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2.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3.xml" ContentType="application/vnd.openxmlformats-officedocument.drawing+xml"/>
  <Override PartName="/xl/ctrlProps/ctrlProp44.xml" ContentType="application/vnd.ms-excel.controlproperties+xml"/>
  <Override PartName="/xl/drawings/drawing4.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5.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drawings/drawing6.xml" ContentType="application/vnd.openxmlformats-officedocument.drawing+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drawings/drawing7.xml" ContentType="application/vnd.openxmlformats-officedocument.drawing+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drawings/drawing8.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drawings/drawing9.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drawings/drawing10.xml" ContentType="application/vnd.openxmlformats-officedocument.drawing+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drawings/drawing11.xml" ContentType="application/vnd.openxmlformats-officedocument.drawing+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drawings/drawing12.xml" ContentType="application/vnd.openxmlformats-officedocument.drawing+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drawings/drawing13.xml" ContentType="application/vnd.openxmlformats-officedocument.drawing+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14.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drawings/drawing15.xml" ContentType="application/vnd.openxmlformats-officedocument.drawing+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drawings/drawing16.xml" ContentType="application/vnd.openxmlformats-officedocument.drawing+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drawings/drawing17.xml" ContentType="application/vnd.openxmlformats-officedocument.drawing+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8.xml" ContentType="application/vnd.openxmlformats-officedocument.drawing+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drawings/drawing19.xml" ContentType="application/vnd.openxmlformats-officedocument.drawing+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drawings/drawing20.xml" ContentType="application/vnd.openxmlformats-officedocument.drawing+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drawings/drawing21.xml" ContentType="application/vnd.openxmlformats-officedocument.drawing+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drawings/drawing22.xml" ContentType="application/vnd.openxmlformats-officedocument.drawing+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drawings/drawing23.xml" ContentType="application/vnd.openxmlformats-officedocument.drawing+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drawings/drawing24.xml" ContentType="application/vnd.openxmlformats-officedocument.drawing+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drawings/drawing25.xml" ContentType="application/vnd.openxmlformats-officedocument.drawing+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drawings/drawing26.xml" ContentType="application/vnd.openxmlformats-officedocument.drawing+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drawings/drawing27.xml" ContentType="application/vnd.openxmlformats-officedocument.drawing+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drawings/drawing28.xml" ContentType="application/vnd.openxmlformats-officedocument.drawing+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drawings/drawing29.xml" ContentType="application/vnd.openxmlformats-officedocument.drawing+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drawings/drawing30.xml" ContentType="application/vnd.openxmlformats-officedocument.drawing+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drawings/drawing31.xml" ContentType="application/vnd.openxmlformats-officedocument.drawing+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drawings/drawing32.xml" ContentType="application/vnd.openxmlformats-officedocument.drawing+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drawings/drawing33.xml" ContentType="application/vnd.openxmlformats-officedocument.drawing+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drawings/drawing34.xml" ContentType="application/vnd.openxmlformats-officedocument.drawing+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drawings/drawing35.xml" ContentType="application/vnd.openxmlformats-officedocument.drawing+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drawings/drawing36.xml" ContentType="application/vnd.openxmlformats-officedocument.drawing+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drawings/drawing37.xml" ContentType="application/vnd.openxmlformats-officedocument.drawing+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drawings/drawing38.xml" ContentType="application/vnd.openxmlformats-officedocument.drawing+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drawings/drawing39.xml" ContentType="application/vnd.openxmlformats-officedocument.drawing+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drawings/drawing40.xml" ContentType="application/vnd.openxmlformats-officedocument.drawing+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drawings/drawing41.xml" ContentType="application/vnd.openxmlformats-officedocument.drawing+xml"/>
  <Override PartName="/xl/ctrlProps/ctrlProp824.xml" ContentType="application/vnd.ms-excel.controlproperties+xml"/>
  <Override PartName="/xl/ctrlProps/ctrlProp825.xml" ContentType="application/vnd.ms-excel.controlproperties+xml"/>
  <Override PartName="/xl/drawings/drawing42.xml" ContentType="application/vnd.openxmlformats-officedocument.drawing+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drawings/drawing43.xml" ContentType="application/vnd.openxmlformats-officedocument.drawing+xml"/>
  <Override PartName="/xl/ctrlProps/ctrlProp829.xml" ContentType="application/vnd.ms-excel.controlproperties+xml"/>
  <Override PartName="/xl/ctrlProps/ctrlProp830.xml" ContentType="application/vnd.ms-excel.controlproperties+xml"/>
  <Override PartName="/xl/drawings/drawing44.xml" ContentType="application/vnd.openxmlformats-officedocument.drawing+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drawings/drawing45.xml" ContentType="application/vnd.openxmlformats-officedocument.drawing+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drawings/drawing46.xml" ContentType="application/vnd.openxmlformats-officedocument.drawing+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drawings/drawing47.xml" ContentType="application/vnd.openxmlformats-officedocument.drawing+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drawings/drawing48.xml" ContentType="application/vnd.openxmlformats-officedocument.drawing+xml"/>
  <Override PartName="/xl/drawings/drawing49.xml" ContentType="application/vnd.openxmlformats-officedocument.drawing+xml"/>
  <Override PartName="/xl/ctrlProps/ctrlProp861.xml" ContentType="application/vnd.ms-excel.controlproperties+xml"/>
  <Override PartName="/xl/ctrlProps/ctrlProp862.xml" ContentType="application/vnd.ms-excel.controlproperties+xml"/>
  <Override PartName="/xl/drawings/drawing50.xml" ContentType="application/vnd.openxmlformats-officedocument.drawing+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drawings/drawing51.xml" ContentType="application/vnd.openxmlformats-officedocument.drawing+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drawings/drawing52.xml" ContentType="application/vnd.openxmlformats-officedocument.drawing+xml"/>
  <Override PartName="/xl/ctrlProps/ctrlProp872.xml" ContentType="application/vnd.ms-excel.controlproperties+xml"/>
  <Override PartName="/xl/drawings/drawing53.xml" ContentType="application/vnd.openxmlformats-officedocument.drawing+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drawings/drawing54.xml" ContentType="application/vnd.openxmlformats-officedocument.drawing+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drawings/drawing55.xml" ContentType="application/vnd.openxmlformats-officedocument.drawing+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drawings/drawing56.xml" ContentType="application/vnd.openxmlformats-officedocument.drawing+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drawings/drawing57.xml" ContentType="application/vnd.openxmlformats-officedocument.drawing+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drawings/drawing58.xml" ContentType="application/vnd.openxmlformats-officedocument.drawing+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drawings/drawing59.xml" ContentType="application/vnd.openxmlformats-officedocument.drawing+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drawings/drawing60.xml" ContentType="application/vnd.openxmlformats-officedocument.drawing+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drawings/drawing61.xml" ContentType="application/vnd.openxmlformats-officedocument.drawing+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drawings/drawing62.xml" ContentType="application/vnd.openxmlformats-officedocument.drawing+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drawings/drawing63.xml" ContentType="application/vnd.openxmlformats-officedocument.drawing+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drawings/drawing64.xml" ContentType="application/vnd.openxmlformats-officedocument.drawing+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drawings/drawing65.xml" ContentType="application/vnd.openxmlformats-officedocument.drawing+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drawings/drawing66.xml" ContentType="application/vnd.openxmlformats-officedocument.drawing+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drawings/drawing67.xml" ContentType="application/vnd.openxmlformats-officedocument.drawing+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drawings/drawing68.xml" ContentType="application/vnd.openxmlformats-officedocument.drawing+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drawings/drawing69.xml" ContentType="application/vnd.openxmlformats-officedocument.drawing+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drawings/drawing70.xml" ContentType="application/vnd.openxmlformats-officedocument.drawing+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drawings/drawing71.xml" ContentType="application/vnd.openxmlformats-officedocument.drawing+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https://cbre-my.sharepoint.com/personal/imre_pataki_cbre_com/Documents/Desktop/CalcuRate/"/>
    </mc:Choice>
  </mc:AlternateContent>
  <xr:revisionPtr revIDLastSave="1" documentId="8_{448F214C-1D6C-44F2-B389-47BAD77593D1}" xr6:coauthVersionLast="47" xr6:coauthVersionMax="47" xr10:uidLastSave="{721B10EF-B14B-46C8-91ED-9D8B0DBE0C91}"/>
  <bookViews>
    <workbookView xWindow="8700" yWindow="2160" windowWidth="22080" windowHeight="18480" tabRatio="852" xr2:uid="{110FDE87-E615-4B0C-83B6-E006842B52F2}"/>
  </bookViews>
  <sheets>
    <sheet name="menu" sheetId="23" r:id="rId1"/>
    <sheet name="details" sheetId="24" r:id="rId2"/>
    <sheet name="gl_list" sheetId="67" r:id="rId3"/>
    <sheet name="basic" sheetId="4" r:id="rId4"/>
    <sheet name="payments" sheetId="56" r:id="rId5"/>
    <sheet name="instalments" sheetId="58" r:id="rId6"/>
    <sheet name="basic output" sheetId="33" r:id="rId7"/>
    <sheet name="basic client report" sheetId="51" r:id="rId8"/>
    <sheet name="basic analysis original" sheetId="53" r:id="rId9"/>
    <sheet name="basic analysis revised" sheetId="54" r:id="rId10"/>
    <sheet name="ta analysis original yr1" sheetId="37" r:id="rId11"/>
    <sheet name="ta analysis revised yr1" sheetId="45" r:id="rId12"/>
    <sheet name="ta analysis original yr2" sheetId="38" r:id="rId13"/>
    <sheet name="ta analysis revised yr2" sheetId="46" r:id="rId14"/>
    <sheet name="ta analysis original yr3" sheetId="39" r:id="rId15"/>
    <sheet name="ta analysis revised yr3" sheetId="47" r:id="rId16"/>
    <sheet name="ta analysis original yr4" sheetId="40" state="hidden" r:id="rId17"/>
    <sheet name="ta analysis revised yr4" sheetId="48" state="hidden" r:id="rId18"/>
    <sheet name="ta analysis original yr5" sheetId="65" state="hidden" r:id="rId19"/>
    <sheet name="ta analysis revised yr5" sheetId="66" state="hidden" r:id="rId20"/>
    <sheet name="calc1" sheetId="1" state="hidden" r:id="rId21"/>
    <sheet name="calc2" sheetId="8" state="hidden" r:id="rId22"/>
    <sheet name="advanced" sheetId="60" r:id="rId23"/>
    <sheet name="s44a" sheetId="97" r:id="rId24"/>
    <sheet name="advanced report" sheetId="64" r:id="rId25"/>
    <sheet name="advanced payments" sheetId="107" r:id="rId26"/>
    <sheet name="advanced client report" sheetId="71" r:id="rId27"/>
    <sheet name="advanced detail" sheetId="73" r:id="rId28"/>
    <sheet name="input_engine_o" sheetId="21" state="hidden" r:id="rId29"/>
    <sheet name="input_engine_ox" sheetId="109" state="hidden" r:id="rId30"/>
    <sheet name="input_engine_r" sheetId="62" state="hidden" r:id="rId31"/>
    <sheet name="workings1" sheetId="61" state="hidden" r:id="rId32"/>
    <sheet name="workings1x" sheetId="111" state="hidden" r:id="rId33"/>
    <sheet name="workings2" sheetId="63" state="hidden" r:id="rId34"/>
    <sheet name="nncalc1" sheetId="11" state="hidden" r:id="rId35"/>
    <sheet name="nccalc1" sheetId="13" state="hidden" r:id="rId36"/>
    <sheet name="bncalc1" sheetId="14" state="hidden" r:id="rId37"/>
    <sheet name="bccalc1" sheetId="15" state="hidden" r:id="rId38"/>
    <sheet name="nncalc2" sheetId="16" state="hidden" r:id="rId39"/>
    <sheet name="nccalc2" sheetId="17" state="hidden" r:id="rId40"/>
    <sheet name="bncalc2" sheetId="18" state="hidden" r:id="rId41"/>
    <sheet name="bccalc2" sheetId="19" state="hidden" r:id="rId42"/>
    <sheet name="workings2x" sheetId="112" state="hidden" r:id="rId43"/>
    <sheet name="input_engine_rx" sheetId="110" state="hidden" r:id="rId44"/>
    <sheet name="original detail 1" sheetId="99" r:id="rId45"/>
    <sheet name="revised detail 1" sheetId="102" r:id="rId46"/>
    <sheet name="original detail 2" sheetId="100" r:id="rId47"/>
    <sheet name="revised detail 2" sheetId="103" r:id="rId48"/>
    <sheet name="original detail 3" sheetId="101" r:id="rId49"/>
    <sheet name="revised detail 3" sheetId="105" r:id="rId50"/>
    <sheet name="split" sheetId="90" r:id="rId51"/>
    <sheet name="split report" sheetId="92" r:id="rId52"/>
    <sheet name="merge" sheetId="94" r:id="rId53"/>
    <sheet name="merge report" sheetId="95" r:id="rId54"/>
    <sheet name="rjs" sheetId="77" r:id="rId55"/>
    <sheet name="rcalc" sheetId="76" r:id="rId56"/>
    <sheet name="rjscalc1" sheetId="79" state="hidden" r:id="rId57"/>
    <sheet name="rjscalc2" sheetId="80" state="hidden" r:id="rId58"/>
    <sheet name="text" sheetId="3" state="hidden" r:id="rId59"/>
    <sheet name="interest" sheetId="82" r:id="rId60"/>
    <sheet name="interest breakdown" sheetId="83" r:id="rId61"/>
    <sheet name="authorities" sheetId="20" r:id="rId62"/>
    <sheet name="riverlake" sheetId="27" r:id="rId63"/>
    <sheet name="email" sheetId="44" r:id="rId64"/>
    <sheet name="memoryhelp" sheetId="32" r:id="rId65"/>
    <sheet name="memorysetup" sheetId="36" r:id="rId66"/>
    <sheet name="info sheet" sheetId="30" r:id="rId67"/>
    <sheet name="global" sheetId="29" r:id="rId68"/>
    <sheet name="update" sheetId="6" r:id="rId69"/>
    <sheet name="data" sheetId="5" state="hidden" r:id="rId70"/>
    <sheet name="gl list" sheetId="31" r:id="rId71"/>
    <sheet name="links" sheetId="26" r:id="rId72"/>
    <sheet name="reliefs" sheetId="9" r:id="rId73"/>
    <sheet name="vo website filter" sheetId="34" r:id="rId74"/>
    <sheet name="analyse filter" sheetId="35" r:id="rId75"/>
    <sheet name="helix filter" sheetId="114" r:id="rId76"/>
    <sheet name="impcheck" sheetId="113" r:id="rId77"/>
    <sheet name="version history" sheetId="25" r:id="rId78"/>
    <sheet name="conditions" sheetId="81" r:id="rId79"/>
    <sheet name="codes" sheetId="7" state="hidden" r:id="rId80"/>
    <sheet name="folder settings" sheetId="42" r:id="rId81"/>
    <sheet name="copysheetmap" sheetId="41" r:id="rId82"/>
    <sheet name="macromap" sheetId="10" state="hidden" r:id="rId83"/>
    <sheet name="tempmem" sheetId="28" r:id="rId84"/>
    <sheet name="basic (2)" sheetId="68" r:id="rId85"/>
    <sheet name="payments (2)" sheetId="57" r:id="rId86"/>
    <sheet name="instalments (2)" sheetId="59" r:id="rId87"/>
    <sheet name="basic output (2)" sheetId="50" r:id="rId88"/>
    <sheet name="basic client report (2)" sheetId="52" r:id="rId89"/>
    <sheet name="basic analysis (2)" sheetId="55" r:id="rId90"/>
    <sheet name="ta analysis (2)" sheetId="49" r:id="rId91"/>
    <sheet name="info sheet (2)" sheetId="69" r:id="rId92"/>
    <sheet name="advanced report (2)" sheetId="70" r:id="rId93"/>
    <sheet name="advanced payments (2)" sheetId="108" r:id="rId94"/>
    <sheet name="advanced client report (2)" sheetId="72" r:id="rId95"/>
    <sheet name="advanced detail (2)" sheetId="74" r:id="rId96"/>
    <sheet name="advanced detail report (2)" sheetId="106" r:id="rId97"/>
    <sheet name="rcalc (2)" sheetId="78" r:id="rId98"/>
    <sheet name="rjs (2)" sheetId="89" r:id="rId99"/>
    <sheet name="split report (2)" sheetId="93" r:id="rId100"/>
    <sheet name="merge report (2)" sheetId="96" r:id="rId101"/>
    <sheet name="interest (2)" sheetId="88" r:id="rId102"/>
    <sheet name="s44a (2)" sheetId="98" r:id="rId103"/>
  </sheets>
  <functionGroups builtInGroupCount="19"/>
  <definedNames>
    <definedName name="__xleta.LEFT" hidden="1" xlm="1" functionGroupId="14">#NAME?</definedName>
    <definedName name="__xleta.MAX" hidden="1" xlm="1" functionGroupId="14">#NAME?</definedName>
    <definedName name="__xleta.RIGHT" hidden="1" xlm="1" functionGroupId="14">#NAME?</definedName>
    <definedName name="__xleta.T" hidden="1" xlm="1" functionGroupId="14">#NAME?</definedName>
    <definedName name="_xlnm.Print_Area" localSheetId="22">advanced!$E$3:$R$100</definedName>
    <definedName name="_xlnm.Print_Area" localSheetId="26">'advanced client report'!$B$4:$M$47</definedName>
    <definedName name="_xlnm.Print_Area" localSheetId="94">'advanced client report (2)'!$B$4:$M$47</definedName>
    <definedName name="_xlnm.Print_Area" localSheetId="27">'advanced detail'!$B$4:$R$57</definedName>
    <definedName name="_xlnm.Print_Area" localSheetId="95">'advanced detail (2)'!$B$4:$R$57</definedName>
    <definedName name="_xlnm.Print_Area" localSheetId="96">'advanced detail report (2)'!$B$2:$N$36</definedName>
    <definedName name="_xlnm.Print_Area" localSheetId="25">'advanced payments'!$B$3:$M$66</definedName>
    <definedName name="_xlnm.Print_Area" localSheetId="93">'advanced payments (2)'!$B$3:$M$66</definedName>
    <definedName name="_xlnm.Print_Area" localSheetId="24">'advanced report'!$B$3:$M$66</definedName>
    <definedName name="_xlnm.Print_Area" localSheetId="92">'advanced report (2)'!$B$3:$M$66</definedName>
    <definedName name="_xlnm.Print_Area" localSheetId="3">basic!$C$3:$J$30</definedName>
    <definedName name="_xlnm.Print_Area" localSheetId="84">'basic (2)'!$C$3:$J$30</definedName>
    <definedName name="_xlnm.Print_Area" localSheetId="89">'basic analysis (2)'!$B$3:$J$54</definedName>
    <definedName name="_xlnm.Print_Area" localSheetId="8">'basic analysis original'!$B$3:$J$54</definedName>
    <definedName name="_xlnm.Print_Area" localSheetId="9">'basic analysis revised'!$B$3:$J$54</definedName>
    <definedName name="_xlnm.Print_Area" localSheetId="7">'basic client report'!$B$4:$M$45</definedName>
    <definedName name="_xlnm.Print_Area" localSheetId="88">'basic client report (2)'!$B$4:$M$45</definedName>
    <definedName name="_xlnm.Print_Area" localSheetId="6">'basic output'!$B$2:$J$57</definedName>
    <definedName name="_xlnm.Print_Area" localSheetId="87">'basic output (2)'!$B$2:$J$57</definedName>
    <definedName name="_xlnm.Print_Area" localSheetId="78">conditions!$B$2:$D$17</definedName>
    <definedName name="_xlnm.Print_Area" localSheetId="66">'info sheet'!$B$2:$N$58</definedName>
    <definedName name="_xlnm.Print_Area" localSheetId="91">'info sheet (2)'!$B$2:$N$58</definedName>
    <definedName name="_xlnm.Print_Area" localSheetId="5">instalments!$B$2:$D$17</definedName>
    <definedName name="_xlnm.Print_Area" localSheetId="86">'instalments (2)'!$B$2:$D$16</definedName>
    <definedName name="_xlnm.Print_Area" localSheetId="59">interest!$B$3:$J$43</definedName>
    <definedName name="_xlnm.Print_Area" localSheetId="101">'interest (2)'!$B$3:$J$43</definedName>
    <definedName name="_xlnm.Print_Area" localSheetId="60">'interest breakdown'!$B$3:$I$14</definedName>
    <definedName name="_xlnm.Print_Area" localSheetId="0">menu!$D$4:$R$31</definedName>
    <definedName name="_xlnm.Print_Area" localSheetId="53">'merge report'!$B$2:$R$41</definedName>
    <definedName name="_xlnm.Print_Area" localSheetId="100">'merge report (2)'!$B$2:$R$41</definedName>
    <definedName name="_xlnm.Print_Area" localSheetId="44">'original detail 1'!$B$2:$N$36</definedName>
    <definedName name="_xlnm.Print_Area" localSheetId="46">'original detail 2'!$B$2:$N$36</definedName>
    <definedName name="_xlnm.Print_Area" localSheetId="48">'original detail 3'!$B$2:$N$36</definedName>
    <definedName name="_xlnm.Print_Area" localSheetId="4">payments!$C$3:$J$29</definedName>
    <definedName name="_xlnm.Print_Area" localSheetId="85">'payments (2)'!$C$3:$J$29</definedName>
    <definedName name="_xlnm.Print_Area" localSheetId="55">rcalc!$C$3:$M$108</definedName>
    <definedName name="_xlnm.Print_Area" localSheetId="97">'rcalc (2)'!$C$3:$M$108</definedName>
    <definedName name="_xlnm.Print_Area" localSheetId="45">'revised detail 1'!$B$2:$N$36</definedName>
    <definedName name="_xlnm.Print_Area" localSheetId="47">'revised detail 2'!$B$2:$N$36</definedName>
    <definedName name="_xlnm.Print_Area" localSheetId="49">'revised detail 3'!$B$2:$N$36</definedName>
    <definedName name="_xlnm.Print_Area" localSheetId="62">riverlake!$D$1:$R$20</definedName>
    <definedName name="_xlnm.Print_Area" localSheetId="54">rjs!$C$2:$K$48</definedName>
    <definedName name="_xlnm.Print_Area" localSheetId="98">'rjs (2)'!$C$2:$K$48</definedName>
    <definedName name="_xlnm.Print_Area" localSheetId="23">s44a!$B$2:$I$43</definedName>
    <definedName name="_xlnm.Print_Area" localSheetId="102">'s44a (2)'!$B$2:$I$43</definedName>
    <definedName name="_xlnm.Print_Area" localSheetId="50">split!$B$2:$L$30</definedName>
    <definedName name="_xlnm.Print_Area" localSheetId="51">'split report'!$B$2:$R$44</definedName>
    <definedName name="_xlnm.Print_Area" localSheetId="99">'split report (2)'!$B$2:$R$44</definedName>
    <definedName name="_xlnm.Print_Area" localSheetId="90">'ta analysis (2)'!$B$3:$J$52</definedName>
    <definedName name="_xlnm.Print_Area" localSheetId="10">'ta analysis original yr1'!$B$3:$J$52</definedName>
    <definedName name="_xlnm.Print_Area" localSheetId="12">'ta analysis original yr2'!$B$3:$J$52</definedName>
    <definedName name="_xlnm.Print_Area" localSheetId="14">'ta analysis original yr3'!$B$3:$J$52</definedName>
    <definedName name="_xlnm.Print_Area" localSheetId="16">'ta analysis original yr4'!$B$3:$J$52</definedName>
    <definedName name="_xlnm.Print_Area" localSheetId="18">'ta analysis original yr5'!$B$3:$J$52</definedName>
    <definedName name="_xlnm.Print_Area" localSheetId="11">'ta analysis revised yr1'!$B$3:$J$52</definedName>
    <definedName name="_xlnm.Print_Area" localSheetId="13">'ta analysis revised yr2'!$B$3:$J$52</definedName>
    <definedName name="_xlnm.Print_Area" localSheetId="15">'ta analysis revised yr3'!$B$3:$J$52</definedName>
    <definedName name="_xlnm.Print_Area" localSheetId="17">'ta analysis revised yr4'!$B$3:$J$52</definedName>
    <definedName name="_xlnm.Print_Area" localSheetId="19">'ta analysis revised yr5'!$B$3:$J$52</definedName>
    <definedName name="_xlnm.Print_Area" localSheetId="77">'version history'!$B$2:$E$44</definedName>
    <definedName name="_xlnm.Print_Titles" localSheetId="27">'advanced detail'!$4:$13</definedName>
    <definedName name="_xlnm.Print_Titles" localSheetId="95">'advanced detail (2)'!$4:$13</definedName>
    <definedName name="_xlnm.Print_Titles" localSheetId="55">rcalc!$3:$4</definedName>
    <definedName name="_xlnm.Print_Titles" localSheetId="97">'rcalc (2)'!$3:$4</definedName>
    <definedName name="Z_4BD6A60F_0432_11D2_9448_00C04FBB5CA2_.wvu.PrintArea" localSheetId="54" hidden="1">rjs!#REF!</definedName>
    <definedName name="Z_4BD6A60F_0432_11D2_9448_00C04FBB5CA2_.wvu.PrintArea" localSheetId="98" hidden="1">'rjs (2)'!#REF!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5" i="7" l="1"/>
  <c r="N80" i="60"/>
  <c r="N79" i="60"/>
  <c r="N74" i="60"/>
  <c r="N72" i="60"/>
  <c r="N71" i="60"/>
  <c r="M80" i="60"/>
  <c r="M79" i="60"/>
  <c r="M78" i="60"/>
  <c r="N78" i="60" s="1"/>
  <c r="E14" i="62" s="1"/>
  <c r="M77" i="60"/>
  <c r="N77" i="60" s="1"/>
  <c r="M76" i="60"/>
  <c r="M75" i="60"/>
  <c r="J41" i="107" s="1"/>
  <c r="S41" i="107" s="1"/>
  <c r="M74" i="60"/>
  <c r="M73" i="60"/>
  <c r="N73" i="60" s="1"/>
  <c r="M72" i="60"/>
  <c r="V72" i="60" s="1"/>
  <c r="M71" i="60"/>
  <c r="M70" i="60"/>
  <c r="N70" i="60" s="1"/>
  <c r="I80" i="60"/>
  <c r="I79" i="60"/>
  <c r="E15" i="109" s="1"/>
  <c r="I78" i="60"/>
  <c r="F44" i="64" s="1"/>
  <c r="I77" i="60"/>
  <c r="I76" i="60"/>
  <c r="I75" i="60"/>
  <c r="I74" i="60"/>
  <c r="I73" i="60"/>
  <c r="I72" i="60"/>
  <c r="I71" i="60"/>
  <c r="I70" i="60"/>
  <c r="M23" i="60"/>
  <c r="M22" i="60"/>
  <c r="I24" i="60"/>
  <c r="M24" i="60" s="1"/>
  <c r="I23" i="60"/>
  <c r="M12" i="60"/>
  <c r="M11" i="60"/>
  <c r="O69" i="60" s="1"/>
  <c r="M10" i="60"/>
  <c r="G37" i="10" s="1"/>
  <c r="M9" i="60"/>
  <c r="E16" i="109"/>
  <c r="E13" i="21"/>
  <c r="F42" i="64"/>
  <c r="F41" i="107"/>
  <c r="P69" i="60"/>
  <c r="G5" i="110" s="1"/>
  <c r="V10" i="112"/>
  <c r="C44" i="7"/>
  <c r="C42" i="7"/>
  <c r="J46" i="64"/>
  <c r="AB15" i="60"/>
  <c r="AA15" i="60"/>
  <c r="Z15" i="60"/>
  <c r="AB13" i="60"/>
  <c r="C41" i="7"/>
  <c r="C40" i="7"/>
  <c r="M23" i="105"/>
  <c r="M23" i="101"/>
  <c r="M23" i="103"/>
  <c r="M23" i="100"/>
  <c r="M23" i="102"/>
  <c r="C39" i="7"/>
  <c r="K5" i="35"/>
  <c r="L5" i="35" s="1"/>
  <c r="J5" i="35"/>
  <c r="V16" i="114"/>
  <c r="U10" i="114"/>
  <c r="U9" i="114"/>
  <c r="V10" i="114"/>
  <c r="V11" i="114"/>
  <c r="V12" i="114"/>
  <c r="V13" i="114"/>
  <c r="V14" i="114"/>
  <c r="V15" i="114"/>
  <c r="V9" i="114"/>
  <c r="T12" i="114"/>
  <c r="U12" i="114" s="1"/>
  <c r="T13" i="114"/>
  <c r="T10" i="114"/>
  <c r="T11" i="114" s="1"/>
  <c r="U11" i="114" s="1"/>
  <c r="AN16" i="114"/>
  <c r="AM16" i="114"/>
  <c r="Z32" i="114"/>
  <c r="Z33" i="114"/>
  <c r="Z34" i="114"/>
  <c r="Z35" i="114"/>
  <c r="Z36" i="114"/>
  <c r="Z37" i="114"/>
  <c r="Z38" i="114"/>
  <c r="Z39" i="114"/>
  <c r="Z31" i="114"/>
  <c r="AA43" i="114"/>
  <c r="AA44" i="114"/>
  <c r="AA45" i="114"/>
  <c r="AA46" i="114"/>
  <c r="AA47" i="114"/>
  <c r="AA48" i="114"/>
  <c r="AA49" i="114"/>
  <c r="AA50" i="114"/>
  <c r="AA42" i="114"/>
  <c r="H17" i="114"/>
  <c r="C38" i="7"/>
  <c r="AA10" i="114"/>
  <c r="J2" i="114"/>
  <c r="I2" i="114"/>
  <c r="AM14" i="114" s="1"/>
  <c r="A4" i="113"/>
  <c r="A6" i="113"/>
  <c r="AA2" i="114" s="1"/>
  <c r="AA3" i="114" s="1"/>
  <c r="C37" i="7"/>
  <c r="C36" i="7"/>
  <c r="H14" i="94"/>
  <c r="G14" i="94"/>
  <c r="F14" i="94"/>
  <c r="W11" i="94" s="1"/>
  <c r="E14" i="94"/>
  <c r="T10" i="94" s="1"/>
  <c r="D14" i="94"/>
  <c r="E9" i="90"/>
  <c r="M104" i="60"/>
  <c r="W42" i="4"/>
  <c r="BH40" i="111"/>
  <c r="CE3" i="112"/>
  <c r="CE4" i="112" s="1"/>
  <c r="CE5" i="112" s="1"/>
  <c r="CE6" i="112" s="1"/>
  <c r="CE7" i="112" s="1"/>
  <c r="CE8" i="112" s="1"/>
  <c r="CE9" i="112" s="1"/>
  <c r="CE10" i="112" s="1"/>
  <c r="CE11" i="112" s="1"/>
  <c r="CE12" i="112" s="1"/>
  <c r="CE13" i="112" s="1"/>
  <c r="CE14" i="112" s="1"/>
  <c r="CE15" i="112" s="1"/>
  <c r="CE16" i="112" s="1"/>
  <c r="CE17" i="112" s="1"/>
  <c r="CE18" i="112" s="1"/>
  <c r="CE19" i="112" s="1"/>
  <c r="CE20" i="112" s="1"/>
  <c r="CE21" i="112" s="1"/>
  <c r="CE22" i="112" s="1"/>
  <c r="CE23" i="112" s="1"/>
  <c r="CE24" i="112" s="1"/>
  <c r="CE25" i="112" s="1"/>
  <c r="CE26" i="112" s="1"/>
  <c r="CE27" i="112" s="1"/>
  <c r="CE28" i="112" s="1"/>
  <c r="CE29" i="112" s="1"/>
  <c r="CE30" i="112" s="1"/>
  <c r="CE31" i="112" s="1"/>
  <c r="CE32" i="112" s="1"/>
  <c r="CE33" i="112" s="1"/>
  <c r="CE34" i="112" s="1"/>
  <c r="CE35" i="112" s="1"/>
  <c r="CE36" i="112" s="1"/>
  <c r="CE37" i="112" s="1"/>
  <c r="CE38" i="112" s="1"/>
  <c r="CE39" i="112" s="1"/>
  <c r="CE40" i="112" s="1"/>
  <c r="CE41" i="112" s="1"/>
  <c r="CE3" i="63"/>
  <c r="CE4" i="63" s="1"/>
  <c r="CE5" i="63" s="1"/>
  <c r="CE6" i="63" s="1"/>
  <c r="CE7" i="63" s="1"/>
  <c r="CE8" i="63" s="1"/>
  <c r="CE9" i="63" s="1"/>
  <c r="CE10" i="63" s="1"/>
  <c r="CE11" i="63" s="1"/>
  <c r="CE12" i="63" s="1"/>
  <c r="CE13" i="63" s="1"/>
  <c r="CE14" i="63" s="1"/>
  <c r="CE15" i="63" s="1"/>
  <c r="CE16" i="63" s="1"/>
  <c r="CE17" i="63" s="1"/>
  <c r="CE18" i="63" s="1"/>
  <c r="CE19" i="63" s="1"/>
  <c r="CE20" i="63" s="1"/>
  <c r="CE21" i="63" s="1"/>
  <c r="CE22" i="63" s="1"/>
  <c r="CE23" i="63" s="1"/>
  <c r="CE24" i="63" s="1"/>
  <c r="CE25" i="63" s="1"/>
  <c r="CE26" i="63" s="1"/>
  <c r="CE27" i="63" s="1"/>
  <c r="CE28" i="63" s="1"/>
  <c r="CE29" i="63" s="1"/>
  <c r="CE30" i="63" s="1"/>
  <c r="CE31" i="63" s="1"/>
  <c r="CE32" i="63" s="1"/>
  <c r="CE33" i="63" s="1"/>
  <c r="CE34" i="63" s="1"/>
  <c r="CE35" i="63" s="1"/>
  <c r="CE36" i="63" s="1"/>
  <c r="CE37" i="63" s="1"/>
  <c r="CE38" i="63" s="1"/>
  <c r="CE39" i="63" s="1"/>
  <c r="CE40" i="63" s="1"/>
  <c r="CE41" i="63" s="1"/>
  <c r="CE3" i="111"/>
  <c r="CE4" i="111" s="1"/>
  <c r="CE5" i="111" s="1"/>
  <c r="CE6" i="111" s="1"/>
  <c r="CE7" i="111" s="1"/>
  <c r="CE8" i="111" s="1"/>
  <c r="CE9" i="111" s="1"/>
  <c r="CE10" i="111" s="1"/>
  <c r="CE11" i="111" s="1"/>
  <c r="CE12" i="111" s="1"/>
  <c r="CE13" i="111" s="1"/>
  <c r="CE14" i="111" s="1"/>
  <c r="CE15" i="111" s="1"/>
  <c r="CE16" i="111" s="1"/>
  <c r="CE17" i="111" s="1"/>
  <c r="CE18" i="111" s="1"/>
  <c r="CE19" i="111" s="1"/>
  <c r="CE20" i="111" s="1"/>
  <c r="CE21" i="111" s="1"/>
  <c r="CE22" i="111" s="1"/>
  <c r="CE23" i="111" s="1"/>
  <c r="CE24" i="111" s="1"/>
  <c r="CE25" i="111" s="1"/>
  <c r="CE26" i="111" s="1"/>
  <c r="CE27" i="111" s="1"/>
  <c r="CE28" i="111" s="1"/>
  <c r="CE29" i="111" s="1"/>
  <c r="CE30" i="111" s="1"/>
  <c r="CE31" i="111" s="1"/>
  <c r="CE32" i="111" s="1"/>
  <c r="CE33" i="111" s="1"/>
  <c r="CE34" i="111" s="1"/>
  <c r="CE35" i="111" s="1"/>
  <c r="CE36" i="111" s="1"/>
  <c r="CE37" i="111" s="1"/>
  <c r="CE38" i="111" s="1"/>
  <c r="CE39" i="111" s="1"/>
  <c r="CE40" i="111" s="1"/>
  <c r="CE41" i="111" s="1"/>
  <c r="CE3" i="61"/>
  <c r="CE4" i="61" s="1"/>
  <c r="CE5" i="61" s="1"/>
  <c r="CE6" i="61" s="1"/>
  <c r="CE7" i="61" s="1"/>
  <c r="CE8" i="61" s="1"/>
  <c r="CE9" i="61" s="1"/>
  <c r="CE10" i="61" s="1"/>
  <c r="CE11" i="61" s="1"/>
  <c r="CE12" i="61" s="1"/>
  <c r="CE13" i="61" s="1"/>
  <c r="CE14" i="61" s="1"/>
  <c r="CE15" i="61" s="1"/>
  <c r="CE16" i="61" s="1"/>
  <c r="CE17" i="61" s="1"/>
  <c r="CE18" i="61" s="1"/>
  <c r="CE19" i="61" s="1"/>
  <c r="CE20" i="61" s="1"/>
  <c r="CE21" i="61" s="1"/>
  <c r="CE22" i="61" s="1"/>
  <c r="CE23" i="61" s="1"/>
  <c r="CE24" i="61" s="1"/>
  <c r="CE25" i="61" s="1"/>
  <c r="CE26" i="61" s="1"/>
  <c r="CE27" i="61" s="1"/>
  <c r="CE28" i="61" s="1"/>
  <c r="CE29" i="61" s="1"/>
  <c r="CE30" i="61" s="1"/>
  <c r="CE31" i="61" s="1"/>
  <c r="CE32" i="61" s="1"/>
  <c r="CE33" i="61" s="1"/>
  <c r="CE34" i="61" s="1"/>
  <c r="CE35" i="61" s="1"/>
  <c r="CE36" i="61" s="1"/>
  <c r="CE37" i="61" s="1"/>
  <c r="CE38" i="61" s="1"/>
  <c r="CE39" i="61" s="1"/>
  <c r="CE40" i="61" s="1"/>
  <c r="CE41" i="61" s="1"/>
  <c r="G159" i="10"/>
  <c r="G158" i="10"/>
  <c r="F159" i="10"/>
  <c r="F158" i="10"/>
  <c r="E159" i="10"/>
  <c r="E158" i="10"/>
  <c r="I158" i="10"/>
  <c r="K158" i="10"/>
  <c r="I159" i="10"/>
  <c r="K159" i="10"/>
  <c r="I156" i="10"/>
  <c r="K156" i="10"/>
  <c r="I157" i="10"/>
  <c r="K157" i="10"/>
  <c r="G157" i="10"/>
  <c r="G156" i="10"/>
  <c r="F157" i="10"/>
  <c r="F156" i="10"/>
  <c r="E157" i="10"/>
  <c r="E156" i="10"/>
  <c r="A153" i="8"/>
  <c r="A154" i="1"/>
  <c r="A154" i="8" s="1"/>
  <c r="I13" i="4"/>
  <c r="BM3" i="112"/>
  <c r="BM4" i="112" s="1"/>
  <c r="BM5" i="112" s="1"/>
  <c r="BM6" i="112" s="1"/>
  <c r="BM7" i="112" s="1"/>
  <c r="BM8" i="112" s="1"/>
  <c r="BM9" i="112" s="1"/>
  <c r="BM10" i="112" s="1"/>
  <c r="BM11" i="112" s="1"/>
  <c r="BM12" i="112" s="1"/>
  <c r="BM13" i="112" s="1"/>
  <c r="BM14" i="112" s="1"/>
  <c r="BM15" i="112" s="1"/>
  <c r="BM16" i="112" s="1"/>
  <c r="BM17" i="112" s="1"/>
  <c r="BM18" i="112" s="1"/>
  <c r="BM19" i="112" s="1"/>
  <c r="BM20" i="112" s="1"/>
  <c r="BM21" i="112" s="1"/>
  <c r="BM22" i="112" s="1"/>
  <c r="BM23" i="112" s="1"/>
  <c r="BM24" i="112" s="1"/>
  <c r="BM25" i="112" s="1"/>
  <c r="BM26" i="112" s="1"/>
  <c r="BM27" i="112" s="1"/>
  <c r="BM28" i="112" s="1"/>
  <c r="BM29" i="112" s="1"/>
  <c r="BM30" i="112" s="1"/>
  <c r="BM31" i="112" s="1"/>
  <c r="BM32" i="112" s="1"/>
  <c r="BM33" i="112" s="1"/>
  <c r="BM34" i="112" s="1"/>
  <c r="BM35" i="112" s="1"/>
  <c r="BM36" i="112" s="1"/>
  <c r="BM37" i="112" s="1"/>
  <c r="BM38" i="112" s="1"/>
  <c r="BM39" i="112" s="1"/>
  <c r="BM40" i="112" s="1"/>
  <c r="BI3" i="112"/>
  <c r="BJ3" i="112" s="1"/>
  <c r="BJ4" i="112" s="1"/>
  <c r="BJ5" i="112" s="1"/>
  <c r="BJ6" i="112" s="1"/>
  <c r="BJ7" i="112" s="1"/>
  <c r="BJ8" i="112" s="1"/>
  <c r="BJ9" i="112" s="1"/>
  <c r="BJ10" i="112" s="1"/>
  <c r="BJ11" i="112" s="1"/>
  <c r="BJ12" i="112" s="1"/>
  <c r="BJ13" i="112" s="1"/>
  <c r="BJ14" i="112" s="1"/>
  <c r="BJ15" i="112" s="1"/>
  <c r="BJ16" i="112" s="1"/>
  <c r="BJ17" i="112" s="1"/>
  <c r="BJ18" i="112" s="1"/>
  <c r="BJ19" i="112" s="1"/>
  <c r="BJ20" i="112" s="1"/>
  <c r="BJ21" i="112" s="1"/>
  <c r="BJ22" i="112" s="1"/>
  <c r="BJ23" i="112" s="1"/>
  <c r="BJ24" i="112" s="1"/>
  <c r="BJ25" i="112" s="1"/>
  <c r="BJ26" i="112" s="1"/>
  <c r="BJ27" i="112" s="1"/>
  <c r="BJ28" i="112" s="1"/>
  <c r="BJ29" i="112" s="1"/>
  <c r="BJ30" i="112" s="1"/>
  <c r="BJ31" i="112" s="1"/>
  <c r="BJ32" i="112" s="1"/>
  <c r="BJ33" i="112" s="1"/>
  <c r="BJ34" i="112" s="1"/>
  <c r="BJ35" i="112" s="1"/>
  <c r="BJ36" i="112" s="1"/>
  <c r="BJ37" i="112" s="1"/>
  <c r="BJ38" i="112" s="1"/>
  <c r="BJ39" i="112" s="1"/>
  <c r="BJ40" i="112" s="1"/>
  <c r="BH3" i="112"/>
  <c r="BH4" i="112"/>
  <c r="BH5" i="112" s="1"/>
  <c r="BH6" i="112" s="1"/>
  <c r="BH7" i="112" s="1"/>
  <c r="BH8" i="112" s="1"/>
  <c r="BH9" i="112" s="1"/>
  <c r="BH10" i="112" s="1"/>
  <c r="BH11" i="112" s="1"/>
  <c r="BH12" i="112" s="1"/>
  <c r="BH13" i="112" s="1"/>
  <c r="BH14" i="112" s="1"/>
  <c r="BH15" i="112" s="1"/>
  <c r="BH16" i="112" s="1"/>
  <c r="BH17" i="112" s="1"/>
  <c r="BH18" i="112" s="1"/>
  <c r="BH19" i="112" s="1"/>
  <c r="BH20" i="112" s="1"/>
  <c r="BH21" i="112" s="1"/>
  <c r="BH22" i="112" s="1"/>
  <c r="BH23" i="112" s="1"/>
  <c r="BH24" i="112" s="1"/>
  <c r="BH25" i="112" s="1"/>
  <c r="BH26" i="112" s="1"/>
  <c r="BH27" i="112" s="1"/>
  <c r="BH28" i="112" s="1"/>
  <c r="BH29" i="112" s="1"/>
  <c r="BH30" i="112" s="1"/>
  <c r="BH31" i="112" s="1"/>
  <c r="BH32" i="112" s="1"/>
  <c r="BH33" i="112" s="1"/>
  <c r="BH34" i="112" s="1"/>
  <c r="BH35" i="112" s="1"/>
  <c r="BH36" i="112" s="1"/>
  <c r="BH37" i="112" s="1"/>
  <c r="BH38" i="112" s="1"/>
  <c r="BH39" i="112" s="1"/>
  <c r="BH40" i="112" s="1"/>
  <c r="BM3" i="63"/>
  <c r="BM4" i="63" s="1"/>
  <c r="BM5" i="63" s="1"/>
  <c r="BM6" i="63" s="1"/>
  <c r="BM7" i="63" s="1"/>
  <c r="BM8" i="63" s="1"/>
  <c r="BM9" i="63" s="1"/>
  <c r="BM10" i="63" s="1"/>
  <c r="BM11" i="63" s="1"/>
  <c r="BM12" i="63" s="1"/>
  <c r="BM13" i="63" s="1"/>
  <c r="BI3" i="63"/>
  <c r="BH3" i="63"/>
  <c r="BH4" i="63" s="1"/>
  <c r="BH5" i="63" s="1"/>
  <c r="BH6" i="63" s="1"/>
  <c r="BH7" i="63" s="1"/>
  <c r="BH8" i="63" s="1"/>
  <c r="BH9" i="63" s="1"/>
  <c r="BH10" i="63" s="1"/>
  <c r="BH11" i="63" s="1"/>
  <c r="BH12" i="63" s="1"/>
  <c r="BH13" i="63" s="1"/>
  <c r="BH14" i="63" s="1"/>
  <c r="BH15" i="63" s="1"/>
  <c r="BH16" i="63" s="1"/>
  <c r="BH17" i="63" s="1"/>
  <c r="BH18" i="63" s="1"/>
  <c r="BH19" i="63" s="1"/>
  <c r="BH20" i="63" s="1"/>
  <c r="BH21" i="63" s="1"/>
  <c r="BH22" i="63" s="1"/>
  <c r="BH23" i="63" s="1"/>
  <c r="BH24" i="63" s="1"/>
  <c r="BH25" i="63" s="1"/>
  <c r="BH26" i="63" s="1"/>
  <c r="BH27" i="63" s="1"/>
  <c r="BH28" i="63" s="1"/>
  <c r="BH29" i="63" s="1"/>
  <c r="BH30" i="63" s="1"/>
  <c r="BH31" i="63" s="1"/>
  <c r="BH32" i="63" s="1"/>
  <c r="BH33" i="63" s="1"/>
  <c r="BH34" i="63" s="1"/>
  <c r="BH35" i="63" s="1"/>
  <c r="BH36" i="63" s="1"/>
  <c r="BH37" i="63" s="1"/>
  <c r="BH38" i="63" s="1"/>
  <c r="BH39" i="63" s="1"/>
  <c r="BH40" i="63" s="1"/>
  <c r="BH5" i="111"/>
  <c r="BH6" i="111" s="1"/>
  <c r="BH7" i="111" s="1"/>
  <c r="BH8" i="111" s="1"/>
  <c r="BH9" i="111" s="1"/>
  <c r="BH10" i="111" s="1"/>
  <c r="BH11" i="111" s="1"/>
  <c r="BH12" i="111" s="1"/>
  <c r="BH13" i="111" s="1"/>
  <c r="BH14" i="111" s="1"/>
  <c r="BH15" i="111" s="1"/>
  <c r="BH16" i="111" s="1"/>
  <c r="BH17" i="111" s="1"/>
  <c r="BH18" i="111" s="1"/>
  <c r="BH19" i="111" s="1"/>
  <c r="BH20" i="111" s="1"/>
  <c r="BH21" i="111" s="1"/>
  <c r="BH22" i="111" s="1"/>
  <c r="BH23" i="111" s="1"/>
  <c r="BH24" i="111" s="1"/>
  <c r="BH25" i="111" s="1"/>
  <c r="BH26" i="111" s="1"/>
  <c r="BH27" i="111" s="1"/>
  <c r="BH28" i="111" s="1"/>
  <c r="BH29" i="111" s="1"/>
  <c r="BH30" i="111" s="1"/>
  <c r="BH31" i="111" s="1"/>
  <c r="BH32" i="111" s="1"/>
  <c r="BH33" i="111" s="1"/>
  <c r="BH34" i="111" s="1"/>
  <c r="BH35" i="111" s="1"/>
  <c r="BH36" i="111" s="1"/>
  <c r="BH37" i="111" s="1"/>
  <c r="BH38" i="111" s="1"/>
  <c r="BH39" i="111" s="1"/>
  <c r="BM3" i="111"/>
  <c r="BM4" i="111" s="1"/>
  <c r="BM5" i="111" s="1"/>
  <c r="BM6" i="111" s="1"/>
  <c r="BM7" i="111" s="1"/>
  <c r="BM8" i="111" s="1"/>
  <c r="BM9" i="111" s="1"/>
  <c r="BM10" i="111" s="1"/>
  <c r="BM11" i="111" s="1"/>
  <c r="BM12" i="111" s="1"/>
  <c r="BM13" i="111" s="1"/>
  <c r="BM14" i="111" s="1"/>
  <c r="BM15" i="111" s="1"/>
  <c r="BM16" i="111" s="1"/>
  <c r="BM17" i="111" s="1"/>
  <c r="BM18" i="111" s="1"/>
  <c r="BM19" i="111" s="1"/>
  <c r="BM20" i="111" s="1"/>
  <c r="BM21" i="111" s="1"/>
  <c r="BM22" i="111" s="1"/>
  <c r="BM23" i="111" s="1"/>
  <c r="BM24" i="111" s="1"/>
  <c r="BM25" i="111" s="1"/>
  <c r="BM26" i="111" s="1"/>
  <c r="BM27" i="111" s="1"/>
  <c r="BM28" i="111" s="1"/>
  <c r="BM29" i="111" s="1"/>
  <c r="BM30" i="111" s="1"/>
  <c r="BM31" i="111" s="1"/>
  <c r="BM32" i="111" s="1"/>
  <c r="BM33" i="111" s="1"/>
  <c r="BM34" i="111" s="1"/>
  <c r="BM35" i="111" s="1"/>
  <c r="BM36" i="111" s="1"/>
  <c r="BM37" i="111" s="1"/>
  <c r="BM38" i="111" s="1"/>
  <c r="BM39" i="111" s="1"/>
  <c r="BM40" i="111" s="1"/>
  <c r="BI3" i="111"/>
  <c r="BI4" i="111" s="1"/>
  <c r="BI5" i="111" s="1"/>
  <c r="BI6" i="111" s="1"/>
  <c r="BI7" i="111" s="1"/>
  <c r="BI8" i="111" s="1"/>
  <c r="BI9" i="111" s="1"/>
  <c r="BI10" i="111" s="1"/>
  <c r="BI11" i="111" s="1"/>
  <c r="BI12" i="111" s="1"/>
  <c r="BI13" i="111" s="1"/>
  <c r="BI14" i="111" s="1"/>
  <c r="BI15" i="111" s="1"/>
  <c r="BI16" i="111" s="1"/>
  <c r="BI17" i="111" s="1"/>
  <c r="BI18" i="111" s="1"/>
  <c r="BI19" i="111" s="1"/>
  <c r="BI20" i="111" s="1"/>
  <c r="BI21" i="111" s="1"/>
  <c r="BI22" i="111" s="1"/>
  <c r="BI23" i="111" s="1"/>
  <c r="BI24" i="111" s="1"/>
  <c r="BI25" i="111" s="1"/>
  <c r="BI26" i="111" s="1"/>
  <c r="BI27" i="111" s="1"/>
  <c r="BI28" i="111" s="1"/>
  <c r="BI29" i="111" s="1"/>
  <c r="BI30" i="111" s="1"/>
  <c r="BI31" i="111" s="1"/>
  <c r="BI32" i="111" s="1"/>
  <c r="BI33" i="111" s="1"/>
  <c r="BI34" i="111" s="1"/>
  <c r="BI35" i="111" s="1"/>
  <c r="BI36" i="111" s="1"/>
  <c r="BI37" i="111" s="1"/>
  <c r="BI38" i="111" s="1"/>
  <c r="BI39" i="111" s="1"/>
  <c r="BI40" i="111" s="1"/>
  <c r="BH3" i="111"/>
  <c r="BH4" i="111" s="1"/>
  <c r="BH3" i="61"/>
  <c r="A148" i="8"/>
  <c r="A148" i="1"/>
  <c r="A149" i="1"/>
  <c r="A149" i="8" s="1"/>
  <c r="BM3" i="61"/>
  <c r="BM4" i="61" s="1"/>
  <c r="BM5" i="61" s="1"/>
  <c r="BM6" i="61" s="1"/>
  <c r="BM7" i="61" s="1"/>
  <c r="BM8" i="61" s="1"/>
  <c r="BM9" i="61" s="1"/>
  <c r="BM10" i="61" s="1"/>
  <c r="BM11" i="61" s="1"/>
  <c r="BM12" i="61" s="1"/>
  <c r="BM13" i="61" s="1"/>
  <c r="BM14" i="61" s="1"/>
  <c r="BM15" i="61" s="1"/>
  <c r="BM16" i="61" s="1"/>
  <c r="BM17" i="61" s="1"/>
  <c r="BM18" i="61" s="1"/>
  <c r="BM19" i="61" s="1"/>
  <c r="BM20" i="61" s="1"/>
  <c r="BM21" i="61" s="1"/>
  <c r="BM22" i="61" s="1"/>
  <c r="BM23" i="61" s="1"/>
  <c r="BM24" i="61" s="1"/>
  <c r="BM25" i="61" s="1"/>
  <c r="BM26" i="61" s="1"/>
  <c r="BM27" i="61" s="1"/>
  <c r="BM28" i="61" s="1"/>
  <c r="BM29" i="61" s="1"/>
  <c r="BM30" i="61" s="1"/>
  <c r="BM31" i="61" s="1"/>
  <c r="BM32" i="61" s="1"/>
  <c r="BM33" i="61" s="1"/>
  <c r="BM34" i="61" s="1"/>
  <c r="BM35" i="61" s="1"/>
  <c r="BM36" i="61" s="1"/>
  <c r="BM37" i="61" s="1"/>
  <c r="BM38" i="61" s="1"/>
  <c r="BM39" i="61" s="1"/>
  <c r="BM40" i="61" s="1"/>
  <c r="BI3" i="61"/>
  <c r="BI4" i="61" s="1"/>
  <c r="BI5" i="61" s="1"/>
  <c r="BI6" i="61" s="1"/>
  <c r="BI7" i="61" s="1"/>
  <c r="BI8" i="61" s="1"/>
  <c r="BI9" i="61" s="1"/>
  <c r="BI10" i="61" s="1"/>
  <c r="BI11" i="61" s="1"/>
  <c r="BI12" i="61" s="1"/>
  <c r="BI13" i="61" s="1"/>
  <c r="BI14" i="61" s="1"/>
  <c r="BI15" i="61" s="1"/>
  <c r="BI16" i="61" s="1"/>
  <c r="BI17" i="61" s="1"/>
  <c r="BI18" i="61" s="1"/>
  <c r="BI19" i="61" s="1"/>
  <c r="BI20" i="61" s="1"/>
  <c r="BI21" i="61" s="1"/>
  <c r="BI22" i="61" s="1"/>
  <c r="BI23" i="61" s="1"/>
  <c r="BI24" i="61" s="1"/>
  <c r="BI25" i="61" s="1"/>
  <c r="BI26" i="61" s="1"/>
  <c r="BI27" i="61" s="1"/>
  <c r="BI28" i="61" s="1"/>
  <c r="BI29" i="61" s="1"/>
  <c r="BI30" i="61" s="1"/>
  <c r="BI31" i="61" s="1"/>
  <c r="BI32" i="61" s="1"/>
  <c r="BI33" i="61" s="1"/>
  <c r="BI34" i="61" s="1"/>
  <c r="BI35" i="61" s="1"/>
  <c r="BI36" i="61" s="1"/>
  <c r="BI37" i="61" s="1"/>
  <c r="BI38" i="61" s="1"/>
  <c r="BI39" i="61" s="1"/>
  <c r="BI40" i="61" s="1"/>
  <c r="BH4" i="61"/>
  <c r="BH5" i="61" s="1"/>
  <c r="BH6" i="61" s="1"/>
  <c r="BH7" i="61" s="1"/>
  <c r="BH8" i="61" s="1"/>
  <c r="BH9" i="61" s="1"/>
  <c r="BH10" i="61" s="1"/>
  <c r="BH11" i="61" s="1"/>
  <c r="BH12" i="61" s="1"/>
  <c r="BH13" i="61" s="1"/>
  <c r="BH14" i="61" s="1"/>
  <c r="BH15" i="61" s="1"/>
  <c r="BH16" i="61" s="1"/>
  <c r="BH17" i="61" s="1"/>
  <c r="BH18" i="61" s="1"/>
  <c r="BH19" i="61" s="1"/>
  <c r="BH20" i="61" s="1"/>
  <c r="BH21" i="61" s="1"/>
  <c r="BH22" i="61" s="1"/>
  <c r="BH23" i="61" s="1"/>
  <c r="BH24" i="61" s="1"/>
  <c r="BH25" i="61" s="1"/>
  <c r="BH26" i="61" s="1"/>
  <c r="BH27" i="61" s="1"/>
  <c r="BH28" i="61" s="1"/>
  <c r="BH29" i="61" s="1"/>
  <c r="BH30" i="61" s="1"/>
  <c r="BH31" i="61" s="1"/>
  <c r="BH32" i="61" s="1"/>
  <c r="BH33" i="61" s="1"/>
  <c r="BH34" i="61" s="1"/>
  <c r="BH35" i="61" s="1"/>
  <c r="BH36" i="61" s="1"/>
  <c r="BH37" i="61" s="1"/>
  <c r="BH38" i="61" s="1"/>
  <c r="BH39" i="61" s="1"/>
  <c r="BH40" i="61" s="1"/>
  <c r="W40" i="4"/>
  <c r="S38" i="4"/>
  <c r="E105" i="76"/>
  <c r="E104" i="76"/>
  <c r="E103" i="76"/>
  <c r="E102" i="76"/>
  <c r="E101" i="76"/>
  <c r="E100" i="76"/>
  <c r="E99" i="76"/>
  <c r="X99" i="76" s="1"/>
  <c r="Y99" i="76" s="1"/>
  <c r="E98" i="76"/>
  <c r="E97" i="76"/>
  <c r="E96" i="76"/>
  <c r="E95" i="76"/>
  <c r="E94" i="76"/>
  <c r="E93" i="76"/>
  <c r="E92" i="76"/>
  <c r="E91" i="76"/>
  <c r="E90" i="76"/>
  <c r="E89" i="76"/>
  <c r="E88" i="76"/>
  <c r="E87" i="76"/>
  <c r="E86" i="76"/>
  <c r="E85" i="76"/>
  <c r="E84" i="76"/>
  <c r="E83" i="76"/>
  <c r="E82" i="76"/>
  <c r="E81" i="76"/>
  <c r="E80" i="76"/>
  <c r="E79" i="76"/>
  <c r="E78" i="76"/>
  <c r="E77" i="76"/>
  <c r="E76" i="76"/>
  <c r="E75" i="76"/>
  <c r="E74" i="76"/>
  <c r="E73" i="76"/>
  <c r="E72" i="76"/>
  <c r="E71" i="76"/>
  <c r="E70" i="76"/>
  <c r="E69" i="76"/>
  <c r="E68" i="76"/>
  <c r="E67" i="76"/>
  <c r="X67" i="76" s="1"/>
  <c r="Y67" i="76" s="1"/>
  <c r="E66" i="76"/>
  <c r="E65" i="76"/>
  <c r="E64" i="76"/>
  <c r="E63" i="76"/>
  <c r="E62" i="76"/>
  <c r="E61" i="76"/>
  <c r="E60" i="76"/>
  <c r="E59" i="76"/>
  <c r="E58" i="76"/>
  <c r="E57" i="76"/>
  <c r="E56" i="76"/>
  <c r="E55" i="76"/>
  <c r="E54" i="76"/>
  <c r="X54" i="76"/>
  <c r="Y54" i="76"/>
  <c r="E53" i="76"/>
  <c r="X53" i="76"/>
  <c r="Y53" i="76" s="1"/>
  <c r="E52" i="76"/>
  <c r="E51" i="76"/>
  <c r="X51" i="76" s="1"/>
  <c r="Y51" i="76" s="1"/>
  <c r="E50" i="76"/>
  <c r="E49" i="76"/>
  <c r="E48" i="76"/>
  <c r="E47" i="76"/>
  <c r="E46" i="76"/>
  <c r="E45" i="76"/>
  <c r="E44" i="76"/>
  <c r="X44" i="76" s="1"/>
  <c r="Y44" i="76" s="1"/>
  <c r="E43" i="76"/>
  <c r="E42" i="76"/>
  <c r="E41" i="76"/>
  <c r="E40" i="76"/>
  <c r="E39" i="76"/>
  <c r="X39" i="76" s="1"/>
  <c r="Y39" i="76" s="1"/>
  <c r="E38" i="76"/>
  <c r="E37" i="76"/>
  <c r="E36" i="76"/>
  <c r="E35" i="76"/>
  <c r="E34" i="76"/>
  <c r="E33" i="76"/>
  <c r="E32" i="76"/>
  <c r="E31" i="76"/>
  <c r="E30" i="76"/>
  <c r="X30" i="76" s="1"/>
  <c r="Y30" i="76" s="1"/>
  <c r="E29" i="76"/>
  <c r="E28" i="76"/>
  <c r="E27" i="76"/>
  <c r="E26" i="76"/>
  <c r="E25" i="76"/>
  <c r="E24" i="76"/>
  <c r="E23" i="76"/>
  <c r="X23" i="76" s="1"/>
  <c r="Y23" i="76" s="1"/>
  <c r="E22" i="76"/>
  <c r="E21" i="76"/>
  <c r="E20" i="76"/>
  <c r="X20" i="76" s="1"/>
  <c r="Y20" i="76" s="1"/>
  <c r="E19" i="76"/>
  <c r="E18" i="76"/>
  <c r="E17" i="76"/>
  <c r="E16" i="76"/>
  <c r="X16" i="76"/>
  <c r="Y16" i="76" s="1"/>
  <c r="E15" i="76"/>
  <c r="E14" i="76"/>
  <c r="E13" i="76"/>
  <c r="X13" i="76"/>
  <c r="Y13" i="76" s="1"/>
  <c r="E12" i="76"/>
  <c r="E11" i="76"/>
  <c r="X11" i="76" s="1"/>
  <c r="Y11" i="76" s="1"/>
  <c r="E10" i="76"/>
  <c r="X10" i="76" s="1"/>
  <c r="Y10" i="76" s="1"/>
  <c r="E9" i="76"/>
  <c r="E8" i="76"/>
  <c r="E7" i="76"/>
  <c r="E6" i="76"/>
  <c r="E5" i="76"/>
  <c r="J29" i="77"/>
  <c r="J28" i="77"/>
  <c r="O28" i="77" s="1"/>
  <c r="J27" i="77"/>
  <c r="J30" i="77" s="1"/>
  <c r="D40" i="80" s="1"/>
  <c r="E40" i="80" s="1"/>
  <c r="F40" i="80" s="1"/>
  <c r="G40" i="80" s="1"/>
  <c r="H40" i="80" s="1"/>
  <c r="I40" i="80" s="1"/>
  <c r="J18" i="77"/>
  <c r="X88" i="76"/>
  <c r="Y88" i="76" s="1"/>
  <c r="X52" i="76"/>
  <c r="Y52" i="76"/>
  <c r="X47" i="76"/>
  <c r="Y47" i="76"/>
  <c r="X46" i="76"/>
  <c r="Y46" i="76" s="1"/>
  <c r="X41" i="76"/>
  <c r="Y41" i="76" s="1"/>
  <c r="X33" i="76"/>
  <c r="Y33" i="76"/>
  <c r="X17" i="76"/>
  <c r="Y17" i="76"/>
  <c r="X14" i="76"/>
  <c r="Y14" i="76" s="1"/>
  <c r="X12" i="76"/>
  <c r="Y12" i="76" s="1"/>
  <c r="O29" i="77"/>
  <c r="BC41" i="112"/>
  <c r="BC28" i="112"/>
  <c r="BC15" i="112"/>
  <c r="BE3" i="112"/>
  <c r="BD3" i="112"/>
  <c r="AY1" i="112"/>
  <c r="BE3" i="63"/>
  <c r="BD3" i="63"/>
  <c r="BC41" i="63"/>
  <c r="BC28" i="63"/>
  <c r="BC15" i="63"/>
  <c r="BC41" i="111"/>
  <c r="BC28" i="111"/>
  <c r="BC15" i="111"/>
  <c r="BE3" i="111"/>
  <c r="BD3" i="111"/>
  <c r="I154" i="10"/>
  <c r="K154" i="10"/>
  <c r="I155" i="10"/>
  <c r="K155" i="10"/>
  <c r="G155" i="10"/>
  <c r="G154" i="10"/>
  <c r="E155" i="10"/>
  <c r="F155" i="10"/>
  <c r="F154" i="10"/>
  <c r="E154" i="10"/>
  <c r="I153" i="10"/>
  <c r="K153" i="10"/>
  <c r="G153" i="10"/>
  <c r="E153" i="10"/>
  <c r="F153" i="10"/>
  <c r="K152" i="10"/>
  <c r="I152" i="10"/>
  <c r="G152" i="10"/>
  <c r="F152" i="10"/>
  <c r="E152" i="10"/>
  <c r="BD3" i="61"/>
  <c r="BE3" i="61"/>
  <c r="BC41" i="61"/>
  <c r="BC15" i="61"/>
  <c r="AO1" i="60"/>
  <c r="AN1" i="60"/>
  <c r="BC28" i="61"/>
  <c r="B168" i="8"/>
  <c r="B166" i="8"/>
  <c r="F31" i="9"/>
  <c r="E31" i="9"/>
  <c r="F27" i="9"/>
  <c r="E27" i="9"/>
  <c r="E26" i="9"/>
  <c r="S37" i="4"/>
  <c r="R4" i="4"/>
  <c r="D29" i="9"/>
  <c r="D26" i="9"/>
  <c r="I24" i="9"/>
  <c r="I23" i="9"/>
  <c r="I22" i="9"/>
  <c r="D22" i="9"/>
  <c r="D25" i="9" s="1"/>
  <c r="E164" i="8"/>
  <c r="F164" i="8"/>
  <c r="E164" i="1"/>
  <c r="F164" i="1"/>
  <c r="D164" i="8"/>
  <c r="D164" i="1"/>
  <c r="D73" i="80"/>
  <c r="E73" i="80" s="1"/>
  <c r="F73" i="80" s="1"/>
  <c r="G73" i="80" s="1"/>
  <c r="H73" i="80" s="1"/>
  <c r="I73" i="80" s="1"/>
  <c r="X79" i="76"/>
  <c r="Y79" i="76" s="1"/>
  <c r="C35" i="7"/>
  <c r="G23" i="6"/>
  <c r="V53" i="112"/>
  <c r="V52" i="112"/>
  <c r="V51" i="112"/>
  <c r="V50" i="112"/>
  <c r="V49" i="112"/>
  <c r="V48" i="112"/>
  <c r="V47" i="112"/>
  <c r="V46" i="112"/>
  <c r="V45" i="112"/>
  <c r="V44" i="112"/>
  <c r="V43" i="112"/>
  <c r="A43" i="112"/>
  <c r="V42" i="112"/>
  <c r="A30" i="112"/>
  <c r="A31" i="112" s="1"/>
  <c r="A32" i="112" s="1"/>
  <c r="CL17" i="112"/>
  <c r="A17" i="112"/>
  <c r="A18" i="112" s="1"/>
  <c r="CL16" i="112"/>
  <c r="CL15" i="112"/>
  <c r="CL14" i="112"/>
  <c r="AG14" i="112"/>
  <c r="W14" i="112"/>
  <c r="CL13" i="112"/>
  <c r="AG13" i="112"/>
  <c r="W13" i="112"/>
  <c r="CL12" i="112"/>
  <c r="AG12" i="112"/>
  <c r="W12" i="112"/>
  <c r="CK11" i="112"/>
  <c r="AJ1" i="112" s="1"/>
  <c r="AG11" i="112"/>
  <c r="W11" i="112"/>
  <c r="AG10" i="112"/>
  <c r="W10" i="112"/>
  <c r="AG9" i="112"/>
  <c r="W9" i="112"/>
  <c r="AG8" i="112"/>
  <c r="W8" i="112"/>
  <c r="AG7" i="112"/>
  <c r="W7" i="112"/>
  <c r="AG6" i="112"/>
  <c r="W6" i="112"/>
  <c r="CQ5" i="112"/>
  <c r="AG5" i="112"/>
  <c r="W5" i="112"/>
  <c r="AG4" i="112"/>
  <c r="W4" i="112"/>
  <c r="A4" i="112"/>
  <c r="A5" i="112" s="1"/>
  <c r="AG3" i="112"/>
  <c r="W3" i="112"/>
  <c r="CV2" i="112"/>
  <c r="CU2" i="112"/>
  <c r="CT2" i="112"/>
  <c r="CR2" i="112"/>
  <c r="CL2" i="112"/>
  <c r="AC2" i="112"/>
  <c r="Z2" i="112"/>
  <c r="X2" i="112"/>
  <c r="X3" i="112" s="1"/>
  <c r="AV1" i="112"/>
  <c r="AV8" i="112" s="1"/>
  <c r="V53" i="111"/>
  <c r="V52" i="111"/>
  <c r="V51" i="111"/>
  <c r="V50" i="111"/>
  <c r="V49" i="111"/>
  <c r="V48" i="111"/>
  <c r="V47" i="111"/>
  <c r="V46" i="111"/>
  <c r="V45" i="111"/>
  <c r="V44" i="111"/>
  <c r="V43" i="111"/>
  <c r="A43" i="111"/>
  <c r="V42" i="111"/>
  <c r="A30" i="111"/>
  <c r="CL17" i="111"/>
  <c r="W17" i="111"/>
  <c r="A17" i="111"/>
  <c r="A18" i="111"/>
  <c r="CL16" i="111"/>
  <c r="CL15" i="111"/>
  <c r="CL14" i="111"/>
  <c r="AG14" i="111"/>
  <c r="W14" i="111"/>
  <c r="V14" i="111"/>
  <c r="CL13" i="111"/>
  <c r="AG13" i="111"/>
  <c r="W13" i="111"/>
  <c r="V13" i="111"/>
  <c r="CL12" i="111"/>
  <c r="AG12" i="111"/>
  <c r="W12" i="111"/>
  <c r="V12" i="111"/>
  <c r="CK11" i="111"/>
  <c r="AJ1" i="111" s="1"/>
  <c r="AG11" i="111"/>
  <c r="W11" i="111"/>
  <c r="V11" i="111"/>
  <c r="AG10" i="111"/>
  <c r="W10" i="111"/>
  <c r="V10" i="111"/>
  <c r="AG9" i="111"/>
  <c r="AB9" i="111"/>
  <c r="W9" i="111"/>
  <c r="V9" i="111"/>
  <c r="AG8" i="111"/>
  <c r="W8" i="111"/>
  <c r="V8" i="111"/>
  <c r="AG7" i="111"/>
  <c r="W7" i="111"/>
  <c r="V7" i="111"/>
  <c r="AG6" i="111"/>
  <c r="W6" i="111"/>
  <c r="V6" i="111"/>
  <c r="AG5" i="111"/>
  <c r="W5" i="111"/>
  <c r="V5" i="111"/>
  <c r="AG4" i="111"/>
  <c r="W4" i="111"/>
  <c r="V4" i="111"/>
  <c r="A4" i="111"/>
  <c r="AG3" i="111"/>
  <c r="W3" i="111"/>
  <c r="V3" i="111"/>
  <c r="CV2" i="111"/>
  <c r="CU2" i="111"/>
  <c r="CR2" i="111" s="1"/>
  <c r="CT2" i="111"/>
  <c r="CL2" i="111"/>
  <c r="P4" i="111" s="1"/>
  <c r="AC2" i="111"/>
  <c r="Z2" i="111"/>
  <c r="X2" i="111"/>
  <c r="X52" i="111" s="1"/>
  <c r="BU3" i="111"/>
  <c r="BU4" i="111" s="1"/>
  <c r="BU5" i="111" s="1"/>
  <c r="BU6" i="111" s="1"/>
  <c r="BU7" i="111" s="1"/>
  <c r="BU8" i="111" s="1"/>
  <c r="BU9" i="111" s="1"/>
  <c r="BU10" i="111" s="1"/>
  <c r="BU11" i="111" s="1"/>
  <c r="BU12" i="111" s="1"/>
  <c r="BU13" i="111" s="1"/>
  <c r="BU14" i="111" s="1"/>
  <c r="BU16" i="111" s="1"/>
  <c r="BU17" i="111" s="1"/>
  <c r="BU18" i="111" s="1"/>
  <c r="BU19" i="111" s="1"/>
  <c r="BU20" i="111" s="1"/>
  <c r="BU21" i="111" s="1"/>
  <c r="BU22" i="111" s="1"/>
  <c r="BU23" i="111" s="1"/>
  <c r="BU24" i="111" s="1"/>
  <c r="BU25" i="111" s="1"/>
  <c r="BU26" i="111" s="1"/>
  <c r="BU27" i="111" s="1"/>
  <c r="BU29" i="111" s="1"/>
  <c r="BU30" i="111" s="1"/>
  <c r="BU31" i="111" s="1"/>
  <c r="BU32" i="111" s="1"/>
  <c r="BU33" i="111" s="1"/>
  <c r="BU34" i="111" s="1"/>
  <c r="BU35" i="111" s="1"/>
  <c r="BU36" i="111" s="1"/>
  <c r="BU37" i="111" s="1"/>
  <c r="BU38" i="111" s="1"/>
  <c r="BU39" i="111" s="1"/>
  <c r="BU40" i="111" s="1"/>
  <c r="AY1" i="111"/>
  <c r="AV1" i="111"/>
  <c r="AV34" i="111" s="1"/>
  <c r="AQ40" i="110"/>
  <c r="AQ24" i="110" s="1"/>
  <c r="AQ39" i="110"/>
  <c r="AQ23" i="110" s="1"/>
  <c r="AS36" i="110"/>
  <c r="AR36" i="110"/>
  <c r="AQ36" i="110"/>
  <c r="AP36" i="110"/>
  <c r="AO36" i="110"/>
  <c r="AN36" i="110"/>
  <c r="AM36" i="110"/>
  <c r="AL36" i="110"/>
  <c r="AK36" i="110"/>
  <c r="AJ36" i="110"/>
  <c r="AI36" i="110"/>
  <c r="AH36" i="110"/>
  <c r="AG36" i="110"/>
  <c r="AF36" i="110"/>
  <c r="AE36" i="110"/>
  <c r="AD36" i="110"/>
  <c r="AC36" i="110"/>
  <c r="AB36" i="110"/>
  <c r="AA36" i="110"/>
  <c r="Z36" i="110"/>
  <c r="Y36" i="110"/>
  <c r="X36" i="110"/>
  <c r="W36" i="110"/>
  <c r="U36" i="110"/>
  <c r="T36" i="110"/>
  <c r="S36" i="110"/>
  <c r="R36" i="110"/>
  <c r="Q36" i="110"/>
  <c r="P36" i="110"/>
  <c r="H22" i="110"/>
  <c r="G22" i="110"/>
  <c r="D21" i="110"/>
  <c r="C21" i="110"/>
  <c r="L17" i="110"/>
  <c r="L16" i="110"/>
  <c r="L15" i="110"/>
  <c r="L14" i="110"/>
  <c r="L13" i="110"/>
  <c r="L12" i="110"/>
  <c r="L11" i="110"/>
  <c r="L10" i="110"/>
  <c r="L9" i="110"/>
  <c r="L8" i="110"/>
  <c r="L7" i="110"/>
  <c r="L6" i="110"/>
  <c r="L5" i="110"/>
  <c r="U4" i="110"/>
  <c r="U8" i="110" s="1"/>
  <c r="T4" i="110"/>
  <c r="T8" i="110"/>
  <c r="S4" i="110"/>
  <c r="S8" i="110"/>
  <c r="AQ40" i="109"/>
  <c r="AQ24" i="109" s="1"/>
  <c r="AQ39" i="109"/>
  <c r="AQ23" i="109" s="1"/>
  <c r="AS36" i="109"/>
  <c r="AR36" i="109"/>
  <c r="AQ36" i="109"/>
  <c r="AP36" i="109"/>
  <c r="AO36" i="109"/>
  <c r="AN36" i="109"/>
  <c r="AM36" i="109"/>
  <c r="AL36" i="109"/>
  <c r="AK36" i="109"/>
  <c r="AJ36" i="109"/>
  <c r="AI36" i="109"/>
  <c r="AH36" i="109"/>
  <c r="AG36" i="109"/>
  <c r="AF36" i="109"/>
  <c r="AE36" i="109"/>
  <c r="AD36" i="109"/>
  <c r="AC36" i="109"/>
  <c r="AB36" i="109"/>
  <c r="AA36" i="109"/>
  <c r="Z36" i="109"/>
  <c r="Y36" i="109"/>
  <c r="X36" i="109"/>
  <c r="W36" i="109"/>
  <c r="U36" i="109"/>
  <c r="T36" i="109"/>
  <c r="S36" i="109"/>
  <c r="R36" i="109"/>
  <c r="Q36" i="109"/>
  <c r="P36" i="109"/>
  <c r="H22" i="109"/>
  <c r="G22" i="109"/>
  <c r="D21" i="109"/>
  <c r="C21" i="109"/>
  <c r="L17" i="109"/>
  <c r="L16" i="109"/>
  <c r="L15" i="109"/>
  <c r="L14" i="109"/>
  <c r="L13" i="109"/>
  <c r="L12" i="109"/>
  <c r="L11" i="109"/>
  <c r="L10" i="109"/>
  <c r="L9" i="109"/>
  <c r="T8" i="109"/>
  <c r="L8" i="109"/>
  <c r="L7" i="109"/>
  <c r="L6" i="109"/>
  <c r="L5" i="109"/>
  <c r="U4" i="109"/>
  <c r="U8" i="109" s="1"/>
  <c r="T4" i="109"/>
  <c r="S4" i="109"/>
  <c r="S8" i="109"/>
  <c r="AN54" i="60"/>
  <c r="AO54" i="60"/>
  <c r="AN55" i="60"/>
  <c r="AO55" i="60"/>
  <c r="AN56" i="60"/>
  <c r="AO56" i="60"/>
  <c r="AN57" i="60"/>
  <c r="AO57" i="60"/>
  <c r="AN58" i="60"/>
  <c r="AO58" i="60"/>
  <c r="AO53" i="60"/>
  <c r="AN53" i="60"/>
  <c r="C34" i="7"/>
  <c r="Q7" i="107"/>
  <c r="Q7" i="64"/>
  <c r="I28" i="64"/>
  <c r="J28" i="64"/>
  <c r="K28" i="64"/>
  <c r="I29" i="64"/>
  <c r="J29" i="64"/>
  <c r="K29" i="64"/>
  <c r="I30" i="64"/>
  <c r="J30" i="64"/>
  <c r="K30" i="64"/>
  <c r="I31" i="64"/>
  <c r="J31" i="64"/>
  <c r="K31" i="64"/>
  <c r="L31" i="64"/>
  <c r="L30" i="64"/>
  <c r="L29" i="64"/>
  <c r="L28" i="64"/>
  <c r="K27" i="64"/>
  <c r="J27" i="64"/>
  <c r="I27" i="64"/>
  <c r="F28" i="64"/>
  <c r="F29" i="64"/>
  <c r="F30" i="64"/>
  <c r="F31" i="64"/>
  <c r="F27" i="64"/>
  <c r="E28" i="64"/>
  <c r="E29" i="64"/>
  <c r="E30" i="64"/>
  <c r="E31" i="64"/>
  <c r="E27" i="64"/>
  <c r="C28" i="64"/>
  <c r="C29" i="64"/>
  <c r="C30" i="64"/>
  <c r="C31" i="64"/>
  <c r="C27" i="64"/>
  <c r="C24" i="64"/>
  <c r="I24" i="64" s="1"/>
  <c r="AR71" i="60"/>
  <c r="AR72" i="60"/>
  <c r="AR73" i="60"/>
  <c r="AR74" i="60"/>
  <c r="AR75" i="60"/>
  <c r="AR76" i="60"/>
  <c r="AR77" i="60"/>
  <c r="AR78" i="60"/>
  <c r="AR79" i="60"/>
  <c r="AR80" i="60"/>
  <c r="AR70" i="60"/>
  <c r="I151" i="10"/>
  <c r="K151" i="10"/>
  <c r="F151" i="10"/>
  <c r="E151" i="10"/>
  <c r="F150" i="10"/>
  <c r="E150" i="10"/>
  <c r="AQ40" i="21"/>
  <c r="AQ24" i="21" s="1"/>
  <c r="AQ39" i="21"/>
  <c r="AQ23" i="21" s="1"/>
  <c r="AQ36" i="21"/>
  <c r="AL36" i="21"/>
  <c r="AG36" i="21"/>
  <c r="AB36" i="21"/>
  <c r="W36" i="21"/>
  <c r="R36" i="21"/>
  <c r="AQ40" i="62"/>
  <c r="AQ24" i="62" s="1"/>
  <c r="AQ39" i="62"/>
  <c r="AQ23" i="62" s="1"/>
  <c r="E47" i="62"/>
  <c r="E45" i="62"/>
  <c r="E43" i="62"/>
  <c r="E41" i="62"/>
  <c r="E39" i="62"/>
  <c r="AJ55" i="60" a="1"/>
  <c r="AJ55" i="60" s="1"/>
  <c r="AJ56" i="60" a="1"/>
  <c r="AJ56" i="60" s="1"/>
  <c r="AJ57" i="60" a="1"/>
  <c r="AJ57" i="60" s="1"/>
  <c r="AJ58" i="60" a="1"/>
  <c r="AJ58" i="60" s="1"/>
  <c r="AJ54" i="60" a="1"/>
  <c r="AJ54" i="60" s="1"/>
  <c r="AI56" i="60"/>
  <c r="AI57" i="60"/>
  <c r="AI58" i="60"/>
  <c r="AI55" i="60"/>
  <c r="AH56" i="60"/>
  <c r="AH57" i="60"/>
  <c r="AH58" i="60"/>
  <c r="AH55" i="60"/>
  <c r="AH52" i="60"/>
  <c r="AA55" i="60" a="1"/>
  <c r="AA55" i="60" s="1"/>
  <c r="AA56" i="60" a="1"/>
  <c r="AA56" i="60" s="1"/>
  <c r="AA57" i="60" a="1"/>
  <c r="AA57" i="60" s="1"/>
  <c r="AA58" i="60" a="1"/>
  <c r="AA58" i="60" s="1"/>
  <c r="AA54" i="60" a="1"/>
  <c r="AA54" i="60" s="1"/>
  <c r="Z55" i="60"/>
  <c r="Z56" i="60"/>
  <c r="Z57" i="60"/>
  <c r="Z58" i="60"/>
  <c r="Y56" i="60"/>
  <c r="Y57" i="60"/>
  <c r="Y58" i="60"/>
  <c r="Y55" i="60"/>
  <c r="Y52" i="60"/>
  <c r="Z54" i="60" s="1"/>
  <c r="A16" i="26"/>
  <c r="G149" i="10"/>
  <c r="F149" i="10"/>
  <c r="E149" i="10"/>
  <c r="F148" i="10"/>
  <c r="F147" i="10"/>
  <c r="E148" i="10"/>
  <c r="E147" i="10"/>
  <c r="I146" i="10"/>
  <c r="I147" i="10"/>
  <c r="I148" i="10"/>
  <c r="I149" i="10"/>
  <c r="I150" i="10"/>
  <c r="K145" i="10"/>
  <c r="K146" i="10"/>
  <c r="K147" i="10"/>
  <c r="K148" i="10"/>
  <c r="K149" i="10"/>
  <c r="K150" i="10"/>
  <c r="E47" i="21"/>
  <c r="E45" i="21"/>
  <c r="E43" i="21"/>
  <c r="E41" i="21"/>
  <c r="E39" i="21"/>
  <c r="C33" i="7"/>
  <c r="C32" i="7"/>
  <c r="Z4" i="82"/>
  <c r="C21" i="82"/>
  <c r="G4" i="83" s="1"/>
  <c r="F20" i="97"/>
  <c r="F15" i="97"/>
  <c r="K13" i="27"/>
  <c r="L8" i="105"/>
  <c r="L8" i="101"/>
  <c r="L8" i="103"/>
  <c r="L8" i="100"/>
  <c r="L8" i="102"/>
  <c r="L8" i="99"/>
  <c r="C31" i="7"/>
  <c r="K56" i="5"/>
  <c r="K57" i="5"/>
  <c r="K58" i="5"/>
  <c r="K59" i="5"/>
  <c r="K55" i="5"/>
  <c r="K17" i="27" s="1"/>
  <c r="K54" i="5"/>
  <c r="K16" i="27" s="1"/>
  <c r="G14" i="30"/>
  <c r="G13" i="30"/>
  <c r="C30" i="7"/>
  <c r="L22" i="6"/>
  <c r="C29" i="7"/>
  <c r="E66" i="107"/>
  <c r="E46" i="107"/>
  <c r="D46" i="107"/>
  <c r="E45" i="107"/>
  <c r="D45" i="107"/>
  <c r="E44" i="107"/>
  <c r="D44" i="107"/>
  <c r="E43" i="107"/>
  <c r="D43" i="107"/>
  <c r="E42" i="107"/>
  <c r="D42" i="107"/>
  <c r="E41" i="107"/>
  <c r="D41" i="107"/>
  <c r="E40" i="107"/>
  <c r="D40" i="107"/>
  <c r="E39" i="107"/>
  <c r="D39" i="107"/>
  <c r="E38" i="107"/>
  <c r="D38" i="107"/>
  <c r="E37" i="107"/>
  <c r="D37" i="107"/>
  <c r="E36" i="107"/>
  <c r="D36" i="107"/>
  <c r="I22" i="107"/>
  <c r="F22" i="107"/>
  <c r="I21" i="107"/>
  <c r="F21" i="107"/>
  <c r="I20" i="107"/>
  <c r="F19" i="107"/>
  <c r="J17" i="107"/>
  <c r="I17" i="107" s="1"/>
  <c r="F17" i="107"/>
  <c r="E17" i="107" s="1"/>
  <c r="J16" i="107"/>
  <c r="I16" i="107"/>
  <c r="F16" i="107"/>
  <c r="E16" i="107"/>
  <c r="F15" i="107"/>
  <c r="E15" i="107" s="1"/>
  <c r="J14" i="107"/>
  <c r="I14" i="107"/>
  <c r="F14" i="107"/>
  <c r="E14" i="107"/>
  <c r="S12" i="107"/>
  <c r="C12" i="107"/>
  <c r="C11" i="107"/>
  <c r="C10" i="107"/>
  <c r="K8" i="107"/>
  <c r="L66" i="107" s="1"/>
  <c r="E8" i="107"/>
  <c r="K6" i="107"/>
  <c r="E6" i="107"/>
  <c r="Q5" i="107"/>
  <c r="C28" i="7"/>
  <c r="M4" i="60"/>
  <c r="J3" i="107" s="1"/>
  <c r="N4" i="60"/>
  <c r="K3" i="107" s="1"/>
  <c r="AH5" i="60"/>
  <c r="AL5" i="60"/>
  <c r="AH6" i="60"/>
  <c r="AL6" i="60"/>
  <c r="C9" i="60"/>
  <c r="J9" i="60"/>
  <c r="N10" i="60"/>
  <c r="AJ10" i="60"/>
  <c r="AK10" i="60"/>
  <c r="AJ12" i="60"/>
  <c r="V15" i="60"/>
  <c r="W99" i="60" s="1"/>
  <c r="W15" i="60"/>
  <c r="W100" i="60" s="1"/>
  <c r="V16" i="60"/>
  <c r="AH8" i="60" s="1"/>
  <c r="W16" i="60"/>
  <c r="AL8" i="60" s="1"/>
  <c r="V31" i="60"/>
  <c r="G115" i="10" s="1"/>
  <c r="U35" i="60"/>
  <c r="V35" i="60"/>
  <c r="W35" i="60"/>
  <c r="J37" i="60"/>
  <c r="L37" i="60"/>
  <c r="I40" i="60"/>
  <c r="M40" i="60"/>
  <c r="I44" i="60"/>
  <c r="M44" i="60"/>
  <c r="I45" i="60"/>
  <c r="AB42" i="60" s="1"/>
  <c r="W96" i="60" s="1"/>
  <c r="M45" i="60"/>
  <c r="W43" i="60" s="1"/>
  <c r="X66" i="60"/>
  <c r="AJ67" i="60"/>
  <c r="AK67" i="60"/>
  <c r="M68" i="60"/>
  <c r="Y68" i="60"/>
  <c r="Z68" i="60"/>
  <c r="I69" i="60"/>
  <c r="F35" i="107" s="1"/>
  <c r="J69" i="60"/>
  <c r="K69" i="60"/>
  <c r="G5" i="109" s="1"/>
  <c r="AD70" i="60"/>
  <c r="AD71" i="60" s="1"/>
  <c r="AD72" i="60" s="1"/>
  <c r="AD73" i="60" s="1"/>
  <c r="AE70" i="60"/>
  <c r="AE71" i="60" s="1"/>
  <c r="AE72" i="60" s="1"/>
  <c r="F71" i="60"/>
  <c r="F72" i="60" s="1"/>
  <c r="F73" i="60"/>
  <c r="F74" i="60"/>
  <c r="F75" i="60" s="1"/>
  <c r="F76" i="60" s="1"/>
  <c r="F77" i="60" s="1"/>
  <c r="F78" i="60" s="1"/>
  <c r="F79" i="60" s="1"/>
  <c r="F80" i="60" s="1"/>
  <c r="U71" i="60"/>
  <c r="U72" i="60"/>
  <c r="U73" i="60"/>
  <c r="W73" i="60"/>
  <c r="U74" i="60"/>
  <c r="W74" i="60"/>
  <c r="U75" i="60"/>
  <c r="W75" i="60"/>
  <c r="U76" i="60"/>
  <c r="W76" i="60"/>
  <c r="U77" i="60"/>
  <c r="W77" i="60"/>
  <c r="U78" i="60"/>
  <c r="W78" i="60"/>
  <c r="U79" i="60"/>
  <c r="W79" i="60"/>
  <c r="U80" i="60"/>
  <c r="W80" i="60"/>
  <c r="V85" i="60"/>
  <c r="M86" i="60"/>
  <c r="F88" i="60"/>
  <c r="L88" i="60"/>
  <c r="F89" i="60"/>
  <c r="L89" i="60"/>
  <c r="F90" i="60"/>
  <c r="L90" i="60"/>
  <c r="U91" i="60"/>
  <c r="U92" i="60"/>
  <c r="W92" i="60"/>
  <c r="G97" i="60"/>
  <c r="C60" i="64" s="1"/>
  <c r="C7" i="73" s="1"/>
  <c r="W98" i="60"/>
  <c r="AB107" i="60"/>
  <c r="V113" i="60"/>
  <c r="V114" i="60"/>
  <c r="V115" i="60"/>
  <c r="AO115" i="60"/>
  <c r="V116" i="60"/>
  <c r="AO116" i="60"/>
  <c r="AO117" i="60"/>
  <c r="AO118" i="60"/>
  <c r="AO119" i="60"/>
  <c r="AO121" i="60"/>
  <c r="AO123" i="60"/>
  <c r="AO125" i="60"/>
  <c r="AO128" i="60"/>
  <c r="AO129" i="60"/>
  <c r="AO130" i="60"/>
  <c r="AO131" i="60"/>
  <c r="AO132" i="60"/>
  <c r="AO134" i="60"/>
  <c r="AO135" i="60"/>
  <c r="AO136" i="60"/>
  <c r="AO137" i="60"/>
  <c r="AO138" i="60"/>
  <c r="AO139" i="60"/>
  <c r="AO140" i="60"/>
  <c r="AO141" i="60"/>
  <c r="AO144" i="60"/>
  <c r="AO148" i="60"/>
  <c r="AO149" i="60"/>
  <c r="AO150" i="60"/>
  <c r="AO151" i="60"/>
  <c r="AO152" i="60"/>
  <c r="AO153" i="60"/>
  <c r="AO155" i="60"/>
  <c r="AO157" i="60"/>
  <c r="AO158" i="60"/>
  <c r="AO159" i="60"/>
  <c r="AO160" i="60"/>
  <c r="AO161" i="60"/>
  <c r="AO162" i="60"/>
  <c r="AO163" i="60"/>
  <c r="AO164" i="60"/>
  <c r="AO165" i="60"/>
  <c r="AO166" i="60"/>
  <c r="AO167" i="60"/>
  <c r="AO168" i="60"/>
  <c r="AO169" i="60"/>
  <c r="AO170" i="60"/>
  <c r="AO171" i="60"/>
  <c r="AO172" i="60"/>
  <c r="AO173" i="60"/>
  <c r="AO174" i="60"/>
  <c r="AO175" i="60"/>
  <c r="AO176" i="60"/>
  <c r="AO177" i="60"/>
  <c r="AO178" i="60"/>
  <c r="AO179" i="60"/>
  <c r="AO180" i="60"/>
  <c r="AO181" i="60"/>
  <c r="AO182" i="60"/>
  <c r="AO183" i="60"/>
  <c r="AO184" i="60"/>
  <c r="AO185" i="60"/>
  <c r="AO186" i="60"/>
  <c r="AO187" i="60"/>
  <c r="AO188" i="60"/>
  <c r="AO189" i="60"/>
  <c r="AO267" i="60"/>
  <c r="AO268" i="60"/>
  <c r="AO269" i="60"/>
  <c r="AO270" i="60"/>
  <c r="AO271" i="60"/>
  <c r="AO272" i="60"/>
  <c r="AO273" i="60"/>
  <c r="AO274" i="60"/>
  <c r="AO275" i="60"/>
  <c r="AO276" i="60"/>
  <c r="AO277" i="60"/>
  <c r="AO278" i="60"/>
  <c r="AO279" i="60"/>
  <c r="AO280" i="60"/>
  <c r="AO281" i="60"/>
  <c r="K7" i="71"/>
  <c r="G11" i="71"/>
  <c r="G12" i="71"/>
  <c r="G13" i="71"/>
  <c r="R29" i="71"/>
  <c r="Q29" i="71"/>
  <c r="S30" i="71"/>
  <c r="S31" i="71"/>
  <c r="S32" i="71"/>
  <c r="S33" i="71"/>
  <c r="S34" i="71"/>
  <c r="S35" i="71"/>
  <c r="S36" i="71"/>
  <c r="S37" i="71"/>
  <c r="R37" i="71"/>
  <c r="S38" i="71"/>
  <c r="S39" i="71"/>
  <c r="R39" i="71" s="1"/>
  <c r="S40" i="71"/>
  <c r="R43" i="71"/>
  <c r="Q43" i="71" s="1"/>
  <c r="S44" i="71"/>
  <c r="R45" i="71" s="1"/>
  <c r="S45" i="71"/>
  <c r="E46" i="71"/>
  <c r="K46" i="71"/>
  <c r="S46" i="71"/>
  <c r="S47" i="71"/>
  <c r="R47" i="71" s="1"/>
  <c r="S48" i="71"/>
  <c r="S49" i="71"/>
  <c r="S50" i="71"/>
  <c r="S51" i="71"/>
  <c r="S52" i="71"/>
  <c r="S53" i="71"/>
  <c r="R53" i="71"/>
  <c r="S54" i="71"/>
  <c r="N4" i="73"/>
  <c r="C5" i="73"/>
  <c r="N5" i="73"/>
  <c r="C10" i="73"/>
  <c r="J10" i="73" s="1"/>
  <c r="D10" i="73"/>
  <c r="T14" i="73"/>
  <c r="U14" i="73" s="1"/>
  <c r="T28" i="73"/>
  <c r="U28" i="73" s="1"/>
  <c r="T42" i="73"/>
  <c r="U42" i="73" s="1"/>
  <c r="Q5" i="64"/>
  <c r="E6" i="64"/>
  <c r="E7" i="92"/>
  <c r="E7" i="95" s="1"/>
  <c r="K6" i="64"/>
  <c r="Q5" i="92" s="1"/>
  <c r="Q5" i="95" s="1"/>
  <c r="E8" i="64"/>
  <c r="E5" i="92" s="1"/>
  <c r="E5" i="95" s="1"/>
  <c r="K8" i="64"/>
  <c r="L66" i="64" s="1"/>
  <c r="C10" i="64"/>
  <c r="C9" i="92" s="1"/>
  <c r="C9" i="95" s="1"/>
  <c r="C11" i="64"/>
  <c r="C10" i="92" s="1"/>
  <c r="C10" i="95" s="1"/>
  <c r="C12" i="64"/>
  <c r="C11" i="92" s="1"/>
  <c r="C11" i="95" s="1"/>
  <c r="S12" i="64"/>
  <c r="E14" i="64"/>
  <c r="F14" i="64"/>
  <c r="I14" i="64"/>
  <c r="J14" i="64"/>
  <c r="F15" i="64"/>
  <c r="E15" i="64" s="1"/>
  <c r="E16" i="64"/>
  <c r="F16" i="64"/>
  <c r="I16" i="64"/>
  <c r="J16" i="64"/>
  <c r="F17" i="64"/>
  <c r="E17" i="64" s="1"/>
  <c r="J17" i="64"/>
  <c r="I17" i="64" s="1"/>
  <c r="F19" i="64"/>
  <c r="I20" i="64"/>
  <c r="F21" i="64"/>
  <c r="I21" i="64"/>
  <c r="F22" i="64"/>
  <c r="I22" i="64"/>
  <c r="D36" i="64"/>
  <c r="E36" i="64"/>
  <c r="D37" i="64"/>
  <c r="E37" i="64"/>
  <c r="D38" i="64"/>
  <c r="E38" i="64"/>
  <c r="D39" i="64"/>
  <c r="E39" i="64"/>
  <c r="D40" i="64"/>
  <c r="E40" i="64"/>
  <c r="D41" i="64"/>
  <c r="E41" i="64"/>
  <c r="D42" i="64"/>
  <c r="E42" i="64"/>
  <c r="D43" i="64"/>
  <c r="E43" i="64"/>
  <c r="D44" i="64"/>
  <c r="E44" i="64"/>
  <c r="D45" i="64"/>
  <c r="E45" i="64"/>
  <c r="D46" i="64"/>
  <c r="E46" i="64"/>
  <c r="F50" i="64"/>
  <c r="I50" i="64"/>
  <c r="J50" i="64"/>
  <c r="E66" i="64"/>
  <c r="A5" i="35"/>
  <c r="A6" i="35" s="1"/>
  <c r="E5" i="35"/>
  <c r="F5" i="35"/>
  <c r="F6" i="35"/>
  <c r="M7" i="35"/>
  <c r="M8" i="35"/>
  <c r="M9" i="35"/>
  <c r="M10" i="35"/>
  <c r="M11" i="35"/>
  <c r="M12" i="35"/>
  <c r="M13" i="35"/>
  <c r="M14" i="35"/>
  <c r="M15" i="35"/>
  <c r="M16" i="35"/>
  <c r="M17" i="35"/>
  <c r="M18" i="35"/>
  <c r="M19" i="35"/>
  <c r="J20" i="35"/>
  <c r="K20" i="35"/>
  <c r="M20" i="35"/>
  <c r="J21" i="35"/>
  <c r="K21" i="35"/>
  <c r="M21" i="35"/>
  <c r="J22" i="35"/>
  <c r="K22" i="35"/>
  <c r="M22" i="35"/>
  <c r="J23" i="35"/>
  <c r="K23" i="35"/>
  <c r="M23" i="35"/>
  <c r="J24" i="35"/>
  <c r="K24" i="35"/>
  <c r="M24" i="35"/>
  <c r="J25" i="35"/>
  <c r="K25" i="35"/>
  <c r="M25" i="35"/>
  <c r="J26" i="35"/>
  <c r="K26" i="35"/>
  <c r="M26" i="35"/>
  <c r="J27" i="35"/>
  <c r="K27" i="35"/>
  <c r="M27" i="35"/>
  <c r="J28" i="35"/>
  <c r="K28" i="35"/>
  <c r="M28" i="35"/>
  <c r="J29" i="35"/>
  <c r="K29" i="35"/>
  <c r="M29" i="35"/>
  <c r="M30" i="35"/>
  <c r="M31" i="35"/>
  <c r="M32" i="35"/>
  <c r="I33" i="35"/>
  <c r="M33" i="35"/>
  <c r="M34" i="35"/>
  <c r="M35" i="35"/>
  <c r="M36" i="35"/>
  <c r="M37" i="35"/>
  <c r="M38" i="35"/>
  <c r="M39" i="35"/>
  <c r="M40" i="35"/>
  <c r="M41" i="35"/>
  <c r="M42" i="35"/>
  <c r="M43" i="35"/>
  <c r="M44" i="35"/>
  <c r="M45" i="35"/>
  <c r="M46" i="35"/>
  <c r="M47" i="35"/>
  <c r="M48" i="35"/>
  <c r="M49" i="35"/>
  <c r="M50" i="35"/>
  <c r="M51" i="35"/>
  <c r="M52" i="35"/>
  <c r="M53" i="35"/>
  <c r="M54" i="35"/>
  <c r="M55" i="35"/>
  <c r="M56" i="35"/>
  <c r="M57" i="35"/>
  <c r="M58" i="35"/>
  <c r="M59" i="35"/>
  <c r="M60" i="35"/>
  <c r="M61" i="35"/>
  <c r="M62" i="35"/>
  <c r="M63" i="35"/>
  <c r="M64" i="35"/>
  <c r="M65" i="35"/>
  <c r="M66" i="35"/>
  <c r="M67" i="35"/>
  <c r="M68" i="35"/>
  <c r="M69" i="35"/>
  <c r="M70" i="35"/>
  <c r="M71" i="35"/>
  <c r="M72" i="35"/>
  <c r="M73" i="35"/>
  <c r="M74" i="35"/>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D200"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A1" i="20"/>
  <c r="T2" i="20"/>
  <c r="T3" i="20"/>
  <c r="T4" i="20"/>
  <c r="T5" i="20"/>
  <c r="T6" i="20"/>
  <c r="T7" i="20"/>
  <c r="T8" i="20"/>
  <c r="T9" i="20"/>
  <c r="T10" i="20"/>
  <c r="T11" i="20"/>
  <c r="T12" i="20"/>
  <c r="T13" i="20"/>
  <c r="T14" i="20"/>
  <c r="T15" i="20"/>
  <c r="T16" i="20"/>
  <c r="T17" i="20"/>
  <c r="T18" i="20"/>
  <c r="T19" i="20"/>
  <c r="T20" i="20"/>
  <c r="T21" i="20"/>
  <c r="T22" i="20"/>
  <c r="T23" i="20"/>
  <c r="T24" i="20"/>
  <c r="T25" i="20"/>
  <c r="T26" i="20"/>
  <c r="T27" i="20"/>
  <c r="T28" i="20"/>
  <c r="T29" i="20"/>
  <c r="T30" i="20"/>
  <c r="T31" i="20"/>
  <c r="T32" i="20"/>
  <c r="T33" i="20"/>
  <c r="T34" i="20"/>
  <c r="T35" i="20"/>
  <c r="AG1" i="4"/>
  <c r="AH1" i="4"/>
  <c r="AI1" i="4"/>
  <c r="AJ1" i="4"/>
  <c r="AK1" i="4"/>
  <c r="AL1" i="4"/>
  <c r="AM1" i="4"/>
  <c r="AN1" i="4"/>
  <c r="AE2" i="4"/>
  <c r="AH2" i="4"/>
  <c r="AI2" i="4"/>
  <c r="V3" i="4"/>
  <c r="W3" i="4" s="1"/>
  <c r="D6" i="1" s="1"/>
  <c r="D45" i="1" s="1"/>
  <c r="AH3" i="4"/>
  <c r="AI3" i="4"/>
  <c r="AH4" i="4"/>
  <c r="AI4" i="4"/>
  <c r="AM4" i="4"/>
  <c r="AN4" i="4"/>
  <c r="D5" i="4"/>
  <c r="T5" i="4"/>
  <c r="AH5" i="4"/>
  <c r="AI5" i="4"/>
  <c r="AM5" i="4"/>
  <c r="AN5" i="4"/>
  <c r="H6" i="4"/>
  <c r="R6" i="4"/>
  <c r="B5" i="4" s="1"/>
  <c r="T6" i="4"/>
  <c r="O7" i="4" s="1"/>
  <c r="AH6" i="4"/>
  <c r="AI6" i="4"/>
  <c r="AM6" i="4"/>
  <c r="AN6" i="4"/>
  <c r="AA8" i="4"/>
  <c r="D9" i="4"/>
  <c r="I9" i="4"/>
  <c r="H23" i="33" s="1"/>
  <c r="V9" i="4"/>
  <c r="W9" i="4"/>
  <c r="AA9" i="4"/>
  <c r="D12" i="4"/>
  <c r="D12" i="56" s="1"/>
  <c r="F12" i="4"/>
  <c r="F12" i="56" s="1"/>
  <c r="AA12" i="4"/>
  <c r="AA11" i="4" s="1"/>
  <c r="AA10" i="4" s="1"/>
  <c r="V15" i="4"/>
  <c r="AJ15" i="4"/>
  <c r="AK15" i="4"/>
  <c r="AP15" i="4"/>
  <c r="AQ15" i="4"/>
  <c r="AQ16" i="4" s="1"/>
  <c r="AQ17" i="4" s="1"/>
  <c r="AQ18" i="4" s="1"/>
  <c r="AQ19" i="4" s="1"/>
  <c r="AQ20" i="4" s="1"/>
  <c r="AR15" i="4"/>
  <c r="AR16" i="4" s="1"/>
  <c r="AR17" i="4" s="1"/>
  <c r="AR18" i="4" s="1"/>
  <c r="AR19" i="4" s="1"/>
  <c r="AR20" i="4" s="1"/>
  <c r="S16" i="4"/>
  <c r="G55" i="10" s="1"/>
  <c r="AJ16" i="4"/>
  <c r="AK16" i="4"/>
  <c r="AP16" i="4"/>
  <c r="AJ17" i="4"/>
  <c r="AK17" i="4"/>
  <c r="AP17" i="4"/>
  <c r="AJ18" i="4"/>
  <c r="AK18" i="4"/>
  <c r="AP18" i="4"/>
  <c r="AJ19" i="4"/>
  <c r="AK19" i="4"/>
  <c r="AP19" i="4"/>
  <c r="AP20" i="4"/>
  <c r="X21" i="4"/>
  <c r="H14" i="4" s="1"/>
  <c r="AJ21" i="4"/>
  <c r="AK21" i="4"/>
  <c r="AB22" i="4"/>
  <c r="AB24" i="4"/>
  <c r="AB25" i="4"/>
  <c r="AB26" i="4"/>
  <c r="AB27" i="4" s="1"/>
  <c r="W28" i="4"/>
  <c r="B61" i="79" s="1"/>
  <c r="AB28" i="4"/>
  <c r="AB29" i="4"/>
  <c r="AB30" i="4"/>
  <c r="V31" i="4"/>
  <c r="AB31" i="4"/>
  <c r="V32" i="4"/>
  <c r="AB32" i="4"/>
  <c r="V33" i="4"/>
  <c r="AB33" i="4"/>
  <c r="AB34" i="4"/>
  <c r="AB35" i="4"/>
  <c r="AB36" i="4"/>
  <c r="AB37" i="4"/>
  <c r="AB38" i="4"/>
  <c r="AE38" i="4"/>
  <c r="AB39" i="4"/>
  <c r="AE39" i="4"/>
  <c r="AB40" i="4"/>
  <c r="AE40" i="4"/>
  <c r="AB41" i="4"/>
  <c r="AE41" i="4"/>
  <c r="AB42" i="4"/>
  <c r="AE42" i="4"/>
  <c r="AB43" i="4"/>
  <c r="AE43" i="4"/>
  <c r="AB44" i="4"/>
  <c r="AE44" i="4"/>
  <c r="C4" i="53"/>
  <c r="C4" i="54" s="1"/>
  <c r="F11" i="53"/>
  <c r="F13" i="53" s="1"/>
  <c r="F15" i="53" s="1"/>
  <c r="D18" i="53"/>
  <c r="D31" i="53" s="1"/>
  <c r="D44" i="53" s="1"/>
  <c r="D20" i="53"/>
  <c r="D33" i="53" s="1"/>
  <c r="D46" i="53" s="1"/>
  <c r="D23" i="53"/>
  <c r="D36" i="53" s="1"/>
  <c r="F24" i="53"/>
  <c r="D25" i="53"/>
  <c r="D26" i="53"/>
  <c r="D39" i="53" s="1"/>
  <c r="F26" i="53"/>
  <c r="D27" i="53"/>
  <c r="D40" i="53" s="1"/>
  <c r="F28" i="53"/>
  <c r="F37" i="53"/>
  <c r="F39" i="53" s="1"/>
  <c r="F41" i="53" s="1"/>
  <c r="D38" i="53"/>
  <c r="C53" i="53"/>
  <c r="F11" i="54"/>
  <c r="F13" i="54"/>
  <c r="F15" i="54" s="1"/>
  <c r="D18" i="54"/>
  <c r="D31" i="54" s="1"/>
  <c r="D20" i="54"/>
  <c r="D33" i="54" s="1"/>
  <c r="D46" i="54" s="1"/>
  <c r="D23" i="54"/>
  <c r="D36" i="54" s="1"/>
  <c r="F24" i="54"/>
  <c r="D25" i="54"/>
  <c r="D38" i="54" s="1"/>
  <c r="D26" i="54"/>
  <c r="D39" i="54"/>
  <c r="F26" i="54"/>
  <c r="F28" i="54" s="1"/>
  <c r="D27" i="54"/>
  <c r="D40" i="54" s="1"/>
  <c r="D44" i="54"/>
  <c r="F37" i="54"/>
  <c r="F39" i="54" s="1"/>
  <c r="F41" i="54" s="1"/>
  <c r="C53" i="54"/>
  <c r="K7" i="51"/>
  <c r="G11" i="51"/>
  <c r="G12" i="51"/>
  <c r="G13" i="51"/>
  <c r="G18" i="51"/>
  <c r="I18" i="51"/>
  <c r="G19" i="51"/>
  <c r="I19" i="51"/>
  <c r="C26" i="51"/>
  <c r="K44" i="51"/>
  <c r="E5" i="33"/>
  <c r="I5" i="33"/>
  <c r="E7" i="33"/>
  <c r="I7" i="33"/>
  <c r="G53" i="10" s="1"/>
  <c r="C9" i="33"/>
  <c r="C10" i="33"/>
  <c r="C64" i="33"/>
  <c r="C65" i="33" s="1"/>
  <c r="C66" i="33" s="1"/>
  <c r="C67" i="33" s="1"/>
  <c r="C68" i="33" s="1"/>
  <c r="C69" i="33" s="1"/>
  <c r="C70" i="33" s="1"/>
  <c r="C71" i="33" s="1"/>
  <c r="C72" i="33" s="1"/>
  <c r="C73" i="33" s="1"/>
  <c r="C11" i="33"/>
  <c r="C12" i="33"/>
  <c r="C22" i="33"/>
  <c r="F22" i="33"/>
  <c r="H22" i="33" s="1"/>
  <c r="F34" i="33"/>
  <c r="H34" i="33"/>
  <c r="G35" i="33"/>
  <c r="C44" i="33"/>
  <c r="C45" i="33"/>
  <c r="C53" i="33"/>
  <c r="G98" i="60" s="1"/>
  <c r="C62" i="64"/>
  <c r="C36" i="92" s="1"/>
  <c r="C36" i="95" s="1"/>
  <c r="C55" i="33"/>
  <c r="E57" i="33"/>
  <c r="D51" i="40" s="1"/>
  <c r="D5" i="15"/>
  <c r="D15" i="15"/>
  <c r="E15" i="15" s="1"/>
  <c r="F15" i="15" s="1"/>
  <c r="G15" i="15" s="1"/>
  <c r="H15" i="15" s="1"/>
  <c r="I15" i="15" s="1"/>
  <c r="D16" i="15"/>
  <c r="B18" i="15"/>
  <c r="D18" i="15"/>
  <c r="D5" i="19"/>
  <c r="CP10" i="112" s="1"/>
  <c r="D15" i="19"/>
  <c r="E15" i="19" s="1"/>
  <c r="F15" i="19" s="1"/>
  <c r="G15" i="19" s="1"/>
  <c r="H15" i="19" s="1"/>
  <c r="I15" i="19" s="1"/>
  <c r="D16" i="19"/>
  <c r="B18" i="19"/>
  <c r="D18" i="19"/>
  <c r="D5" i="14"/>
  <c r="CO10" i="111" s="1"/>
  <c r="D15" i="14"/>
  <c r="D17" i="14" s="1"/>
  <c r="D16" i="14"/>
  <c r="B18" i="14"/>
  <c r="D18" i="14"/>
  <c r="D15" i="18"/>
  <c r="E15" i="18" s="1"/>
  <c r="F15" i="18" s="1"/>
  <c r="G15" i="18" s="1"/>
  <c r="H15" i="18" s="1"/>
  <c r="I15" i="18" s="1"/>
  <c r="D16" i="18"/>
  <c r="B18" i="18"/>
  <c r="D18" i="18"/>
  <c r="D5" i="1"/>
  <c r="E5" i="1" s="1"/>
  <c r="D7" i="1"/>
  <c r="D8" i="1"/>
  <c r="D57" i="1" s="1"/>
  <c r="D9" i="1"/>
  <c r="D54" i="1" s="1"/>
  <c r="D15" i="1"/>
  <c r="E15" i="1" s="1"/>
  <c r="D16" i="1"/>
  <c r="D18" i="1"/>
  <c r="I37" i="1"/>
  <c r="I37" i="8" s="1"/>
  <c r="B61" i="1"/>
  <c r="D71" i="1"/>
  <c r="D72" i="1"/>
  <c r="E72" i="1" s="1"/>
  <c r="F72" i="1" s="1"/>
  <c r="G72" i="1" s="1"/>
  <c r="H72" i="1" s="1"/>
  <c r="I72" i="1" s="1"/>
  <c r="B83" i="1"/>
  <c r="D85" i="1"/>
  <c r="E85" i="1"/>
  <c r="F85" i="1"/>
  <c r="G85" i="1"/>
  <c r="H85" i="1"/>
  <c r="I85" i="1"/>
  <c r="B87" i="1"/>
  <c r="B88" i="1"/>
  <c r="B89" i="1"/>
  <c r="D93" i="1"/>
  <c r="E93" i="1"/>
  <c r="F93" i="1"/>
  <c r="G93" i="1"/>
  <c r="H93" i="1"/>
  <c r="I93" i="1"/>
  <c r="D98" i="1"/>
  <c r="E98" i="1"/>
  <c r="F98" i="1"/>
  <c r="G98" i="1"/>
  <c r="H98" i="1"/>
  <c r="I98" i="1"/>
  <c r="D100" i="1"/>
  <c r="W7" i="4"/>
  <c r="D101" i="1"/>
  <c r="G101" i="1"/>
  <c r="H101" i="1"/>
  <c r="I101" i="1"/>
  <c r="I128" i="1"/>
  <c r="D108" i="1"/>
  <c r="W8" i="4" s="1"/>
  <c r="C111" i="1"/>
  <c r="C112" i="1"/>
  <c r="G128" i="1"/>
  <c r="H128" i="1"/>
  <c r="A135" i="1"/>
  <c r="D137" i="1"/>
  <c r="E137" i="1"/>
  <c r="F137" i="1"/>
  <c r="G137" i="1"/>
  <c r="H137" i="1"/>
  <c r="I137" i="1"/>
  <c r="D150" i="1"/>
  <c r="E150" i="1" s="1"/>
  <c r="F150" i="1" s="1"/>
  <c r="C156" i="1"/>
  <c r="D5" i="8"/>
  <c r="D7" i="8"/>
  <c r="D152" i="8" s="1"/>
  <c r="D8" i="8"/>
  <c r="D153" i="8" s="1"/>
  <c r="D9" i="8"/>
  <c r="D54" i="8" s="1"/>
  <c r="D15" i="8"/>
  <c r="D149" i="8" s="1"/>
  <c r="E149" i="8" s="1"/>
  <c r="F149" i="8" s="1"/>
  <c r="D16" i="8"/>
  <c r="D144" i="8" s="1"/>
  <c r="D18" i="8"/>
  <c r="B61" i="8"/>
  <c r="D71" i="8"/>
  <c r="E71" i="8" s="1"/>
  <c r="F71" i="8" s="1"/>
  <c r="G71" i="8" s="1"/>
  <c r="H71" i="8" s="1"/>
  <c r="I71" i="8" s="1"/>
  <c r="D72" i="8"/>
  <c r="E72" i="8" s="1"/>
  <c r="F72" i="8" s="1"/>
  <c r="G72" i="8" s="1"/>
  <c r="H72" i="8" s="1"/>
  <c r="I72" i="8" s="1"/>
  <c r="B83" i="8"/>
  <c r="D85" i="8"/>
  <c r="E85" i="8"/>
  <c r="F85" i="8"/>
  <c r="G85" i="8"/>
  <c r="H85" i="8"/>
  <c r="I85" i="8"/>
  <c r="B87" i="8"/>
  <c r="B88" i="8"/>
  <c r="B89" i="8"/>
  <c r="D93" i="8"/>
  <c r="E93" i="8"/>
  <c r="F93" i="8"/>
  <c r="G93" i="8"/>
  <c r="H93" i="8"/>
  <c r="I93" i="8"/>
  <c r="D98" i="8"/>
  <c r="E98" i="8"/>
  <c r="F98" i="8"/>
  <c r="G98" i="8"/>
  <c r="H98" i="8"/>
  <c r="I98" i="8"/>
  <c r="D100" i="8"/>
  <c r="D101" i="8"/>
  <c r="G101" i="8"/>
  <c r="G128" i="8"/>
  <c r="H101" i="8"/>
  <c r="H128" i="8" s="1"/>
  <c r="I101" i="8"/>
  <c r="I128" i="8"/>
  <c r="D108" i="8"/>
  <c r="C111" i="8"/>
  <c r="C112" i="8"/>
  <c r="D137" i="8"/>
  <c r="E137" i="8"/>
  <c r="F137" i="8"/>
  <c r="G137" i="8"/>
  <c r="H137" i="8"/>
  <c r="I137" i="8"/>
  <c r="D150" i="8"/>
  <c r="E150" i="8" s="1"/>
  <c r="F150" i="8" s="1"/>
  <c r="C156" i="8"/>
  <c r="F2" i="7"/>
  <c r="H2" i="7" s="1"/>
  <c r="F30" i="23" s="1"/>
  <c r="C8" i="7"/>
  <c r="C9" i="7"/>
  <c r="I9" i="7"/>
  <c r="C10" i="7"/>
  <c r="C11" i="7"/>
  <c r="C12" i="7"/>
  <c r="C13" i="7"/>
  <c r="H13" i="7"/>
  <c r="C14" i="7"/>
  <c r="C15" i="7"/>
  <c r="I15" i="7"/>
  <c r="C7" i="30" s="1"/>
  <c r="C16" i="7"/>
  <c r="C17" i="7"/>
  <c r="C18" i="7"/>
  <c r="I18" i="7"/>
  <c r="C19" i="7"/>
  <c r="C20" i="7"/>
  <c r="C21" i="7"/>
  <c r="C22" i="7"/>
  <c r="C23" i="7"/>
  <c r="C24" i="7"/>
  <c r="C25" i="7"/>
  <c r="C26" i="7"/>
  <c r="C27" i="7"/>
  <c r="I37" i="7"/>
  <c r="J37" i="7" s="1"/>
  <c r="H38" i="7"/>
  <c r="H40" i="7"/>
  <c r="C43" i="7"/>
  <c r="C46" i="7"/>
  <c r="D3" i="41"/>
  <c r="E3" i="41"/>
  <c r="F3" i="41"/>
  <c r="G3" i="41"/>
  <c r="H3" i="41"/>
  <c r="I3" i="41"/>
  <c r="J3" i="41"/>
  <c r="K3" i="41"/>
  <c r="L3" i="41"/>
  <c r="M3" i="41"/>
  <c r="N3" i="41"/>
  <c r="E5" i="41"/>
  <c r="F5" i="41"/>
  <c r="G5" i="41"/>
  <c r="H5" i="41"/>
  <c r="I5" i="41"/>
  <c r="J5" i="41"/>
  <c r="K5" i="41"/>
  <c r="L5" i="41"/>
  <c r="U3" i="5"/>
  <c r="T3" i="5" s="1"/>
  <c r="W3" i="5" s="1"/>
  <c r="A4" i="5"/>
  <c r="A5" i="5" s="1"/>
  <c r="A13" i="5"/>
  <c r="B13" i="5"/>
  <c r="A14" i="5"/>
  <c r="C24" i="5"/>
  <c r="D24" i="5"/>
  <c r="E24" i="5"/>
  <c r="E25" i="5" s="1"/>
  <c r="E26" i="5" s="1"/>
  <c r="E27" i="5" s="1"/>
  <c r="E28" i="5" s="1"/>
  <c r="E29" i="5" s="1"/>
  <c r="E30" i="5" s="1"/>
  <c r="F24" i="5"/>
  <c r="F25" i="5"/>
  <c r="F26" i="5" s="1"/>
  <c r="F27" i="5" s="1"/>
  <c r="F28" i="5" s="1"/>
  <c r="F29" i="5" s="1"/>
  <c r="F30" i="5" s="1"/>
  <c r="C25" i="5"/>
  <c r="C26" i="5" s="1"/>
  <c r="C27" i="5" s="1"/>
  <c r="C28" i="5" s="1"/>
  <c r="C29" i="5" s="1"/>
  <c r="C30" i="5" s="1"/>
  <c r="D25" i="5"/>
  <c r="D26" i="5" s="1"/>
  <c r="D27" i="5" s="1"/>
  <c r="D28" i="5" s="1"/>
  <c r="D29" i="5" s="1"/>
  <c r="T9" i="90" s="1"/>
  <c r="S9" i="90" s="1"/>
  <c r="U9" i="90" s="1"/>
  <c r="Y9" i="90" s="1"/>
  <c r="F33" i="5"/>
  <c r="CS2" i="111" s="1"/>
  <c r="C34" i="5"/>
  <c r="CT3" i="112" s="1"/>
  <c r="D34" i="5"/>
  <c r="W20" i="111" s="1"/>
  <c r="E34" i="5"/>
  <c r="C44" i="5"/>
  <c r="E53" i="5"/>
  <c r="F53" i="5"/>
  <c r="AB14" i="111" s="1"/>
  <c r="G53" i="5"/>
  <c r="I53" i="5"/>
  <c r="J53" i="5" s="1"/>
  <c r="D53" i="5" s="1"/>
  <c r="J29" i="30" s="1"/>
  <c r="E56" i="5"/>
  <c r="CQ5" i="111" s="1"/>
  <c r="E58" i="5"/>
  <c r="C63" i="5"/>
  <c r="K5" i="24"/>
  <c r="K13" i="24"/>
  <c r="K12" i="24" s="1"/>
  <c r="D12" i="24" s="1"/>
  <c r="K14" i="24"/>
  <c r="K15" i="24"/>
  <c r="K16" i="24"/>
  <c r="I17" i="24"/>
  <c r="I18" i="24"/>
  <c r="U5" i="42"/>
  <c r="N5" i="42"/>
  <c r="U6" i="42"/>
  <c r="N6" i="42" s="1"/>
  <c r="M6" i="42" s="1"/>
  <c r="U7" i="42"/>
  <c r="N7" i="42"/>
  <c r="M7" i="42"/>
  <c r="U8" i="42"/>
  <c r="N8" i="42"/>
  <c r="M8" i="42" s="1"/>
  <c r="U9" i="42"/>
  <c r="N9" i="42" s="1"/>
  <c r="M9" i="42" s="1"/>
  <c r="U10" i="42"/>
  <c r="N10" i="42"/>
  <c r="M10" i="42" s="1"/>
  <c r="U11" i="42"/>
  <c r="N11" i="42"/>
  <c r="M11" i="42" s="1"/>
  <c r="U12" i="42"/>
  <c r="N12" i="42" s="1"/>
  <c r="M12" i="42" s="1"/>
  <c r="U13" i="42"/>
  <c r="N13" i="42" s="1"/>
  <c r="M13" i="42" s="1"/>
  <c r="U14" i="42"/>
  <c r="N14" i="42" s="1"/>
  <c r="M14" i="42" s="1"/>
  <c r="U15" i="42"/>
  <c r="N15" i="42"/>
  <c r="M15" i="42"/>
  <c r="U16" i="42"/>
  <c r="N16" i="42"/>
  <c r="M16" i="42"/>
  <c r="U17" i="42"/>
  <c r="N17" i="42" s="1"/>
  <c r="M17" i="42" s="1"/>
  <c r="U18" i="42"/>
  <c r="N18" i="42"/>
  <c r="M18" i="42" s="1"/>
  <c r="U19" i="42"/>
  <c r="N19" i="42" s="1"/>
  <c r="M19" i="42"/>
  <c r="U20" i="42"/>
  <c r="N20" i="42" s="1"/>
  <c r="M20" i="42" s="1"/>
  <c r="U21" i="42"/>
  <c r="N21" i="42" s="1"/>
  <c r="M21" i="42" s="1"/>
  <c r="M25" i="42"/>
  <c r="M29" i="42"/>
  <c r="B21" i="42" s="1"/>
  <c r="M2" i="67"/>
  <c r="G4" i="29"/>
  <c r="G5" i="29"/>
  <c r="G6" i="29"/>
  <c r="D22" i="4"/>
  <c r="H4" i="54" s="1"/>
  <c r="D15" i="54" s="1"/>
  <c r="D28" i="54" s="1"/>
  <c r="D41" i="54" s="1"/>
  <c r="E8" i="29"/>
  <c r="C14" i="29"/>
  <c r="H14" i="29"/>
  <c r="AD1" i="111" s="1"/>
  <c r="AE1" i="111" s="1"/>
  <c r="E10" i="30"/>
  <c r="G10" i="30"/>
  <c r="H10" i="30"/>
  <c r="I10" i="30"/>
  <c r="J10" i="30"/>
  <c r="C17" i="30"/>
  <c r="C18" i="30"/>
  <c r="H18" i="30"/>
  <c r="C19" i="30"/>
  <c r="C20" i="30"/>
  <c r="D24" i="30"/>
  <c r="F24" i="30"/>
  <c r="D25" i="30"/>
  <c r="F25" i="30"/>
  <c r="D26" i="30"/>
  <c r="F26" i="30"/>
  <c r="D29" i="30"/>
  <c r="D36" i="30" s="1"/>
  <c r="E29" i="30"/>
  <c r="F29" i="30"/>
  <c r="G29" i="30"/>
  <c r="H29" i="30"/>
  <c r="I29" i="30"/>
  <c r="D30" i="30"/>
  <c r="E30" i="30"/>
  <c r="F30" i="30"/>
  <c r="G30" i="30"/>
  <c r="H30" i="30"/>
  <c r="I30" i="30"/>
  <c r="D31" i="30"/>
  <c r="E31" i="30"/>
  <c r="F31" i="30"/>
  <c r="G31" i="30"/>
  <c r="H31" i="30"/>
  <c r="I31" i="30"/>
  <c r="D45" i="30"/>
  <c r="C48" i="30"/>
  <c r="D48" i="30"/>
  <c r="F48" i="30"/>
  <c r="I48" i="30"/>
  <c r="C49" i="30"/>
  <c r="D49" i="30"/>
  <c r="C51" i="30"/>
  <c r="C57" i="30"/>
  <c r="S4" i="21"/>
  <c r="S8" i="21" s="1"/>
  <c r="T4" i="21"/>
  <c r="T8" i="21"/>
  <c r="U4" i="21"/>
  <c r="U8" i="21" s="1"/>
  <c r="L5" i="21"/>
  <c r="L6" i="21"/>
  <c r="L7" i="21"/>
  <c r="L8" i="21"/>
  <c r="L9" i="21"/>
  <c r="L10" i="21"/>
  <c r="L11" i="21"/>
  <c r="L12" i="21"/>
  <c r="L13" i="21"/>
  <c r="L14" i="21"/>
  <c r="L15" i="21"/>
  <c r="L16" i="21"/>
  <c r="L17" i="21"/>
  <c r="C21" i="21"/>
  <c r="D21" i="21"/>
  <c r="G22" i="21"/>
  <c r="H22" i="21"/>
  <c r="P36" i="21"/>
  <c r="Q36" i="21"/>
  <c r="S36" i="21"/>
  <c r="T36" i="21"/>
  <c r="U36" i="21"/>
  <c r="X36" i="21"/>
  <c r="Y36" i="21"/>
  <c r="Z36" i="21"/>
  <c r="AA36" i="21"/>
  <c r="AC36" i="21"/>
  <c r="AD36" i="21"/>
  <c r="AE36" i="21"/>
  <c r="AF36" i="21"/>
  <c r="AH36" i="21"/>
  <c r="AI36" i="21"/>
  <c r="AJ36" i="21"/>
  <c r="AK36" i="21"/>
  <c r="AM36" i="21"/>
  <c r="AN36" i="21"/>
  <c r="AO36" i="21"/>
  <c r="AP36" i="21"/>
  <c r="AR36" i="21"/>
  <c r="AS36" i="21"/>
  <c r="S4" i="62"/>
  <c r="S8" i="62"/>
  <c r="T4" i="62"/>
  <c r="T8" i="62" s="1"/>
  <c r="U4" i="62"/>
  <c r="U8" i="62"/>
  <c r="L5" i="62"/>
  <c r="L6" i="62"/>
  <c r="L7" i="62"/>
  <c r="L8" i="62"/>
  <c r="L9" i="62"/>
  <c r="L10" i="62"/>
  <c r="L11" i="62"/>
  <c r="L12" i="62"/>
  <c r="L13" i="62"/>
  <c r="L14" i="62"/>
  <c r="L15" i="62"/>
  <c r="L16" i="62"/>
  <c r="L17" i="62"/>
  <c r="C21" i="62"/>
  <c r="D21" i="62"/>
  <c r="G22" i="62"/>
  <c r="H22" i="62"/>
  <c r="P36" i="62"/>
  <c r="Q36" i="62"/>
  <c r="R36" i="62"/>
  <c r="S36" i="62"/>
  <c r="T36" i="62"/>
  <c r="U36" i="62"/>
  <c r="W36" i="62"/>
  <c r="X36" i="62"/>
  <c r="Y36" i="62"/>
  <c r="Z36" i="62"/>
  <c r="AA36" i="62"/>
  <c r="AB36" i="62"/>
  <c r="AC36" i="62"/>
  <c r="AD36" i="62"/>
  <c r="AE36" i="62"/>
  <c r="AF36" i="62"/>
  <c r="AG36" i="62"/>
  <c r="AH36" i="62"/>
  <c r="AI36" i="62"/>
  <c r="AJ36" i="62"/>
  <c r="AK36" i="62"/>
  <c r="AL36" i="62"/>
  <c r="AM36" i="62"/>
  <c r="AN36" i="62"/>
  <c r="AO36" i="62"/>
  <c r="AP36" i="62"/>
  <c r="AQ36" i="62"/>
  <c r="AR36" i="62"/>
  <c r="AS36" i="62"/>
  <c r="J4" i="58"/>
  <c r="N4" i="58"/>
  <c r="D17" i="58" s="1"/>
  <c r="K5" i="58"/>
  <c r="L5" i="58"/>
  <c r="K6" i="58"/>
  <c r="L6" i="58" s="1"/>
  <c r="M6" i="58" s="1"/>
  <c r="K7" i="58"/>
  <c r="L7" i="58" s="1"/>
  <c r="K8" i="58"/>
  <c r="L8" i="58" s="1"/>
  <c r="K9" i="58"/>
  <c r="L9" i="58"/>
  <c r="M9" i="58"/>
  <c r="K10" i="58"/>
  <c r="L10" i="58"/>
  <c r="K11" i="58"/>
  <c r="L11" i="58" s="1"/>
  <c r="M10" i="58" s="1"/>
  <c r="K12" i="58"/>
  <c r="L12" i="58"/>
  <c r="K13" i="58"/>
  <c r="L13" i="58"/>
  <c r="C14" i="58"/>
  <c r="K14" i="58"/>
  <c r="L14" i="58" s="1"/>
  <c r="K15" i="58"/>
  <c r="L15" i="58" s="1"/>
  <c r="M15" i="58" s="1"/>
  <c r="K16" i="58"/>
  <c r="L16" i="58"/>
  <c r="M16" i="58" s="1"/>
  <c r="B17" i="58"/>
  <c r="C18" i="58"/>
  <c r="J19" i="58"/>
  <c r="F17" i="58" s="1"/>
  <c r="J20" i="58"/>
  <c r="Z2" i="82"/>
  <c r="Z3" i="82"/>
  <c r="H4" i="82"/>
  <c r="P5" i="82"/>
  <c r="D6" i="83" s="1"/>
  <c r="Q5" i="82"/>
  <c r="E6" i="83"/>
  <c r="R5" i="82"/>
  <c r="F6" i="83" s="1"/>
  <c r="S5" i="82"/>
  <c r="G6" i="83" s="1"/>
  <c r="T5" i="82"/>
  <c r="H6" i="83" s="1"/>
  <c r="D6" i="82"/>
  <c r="J6" i="82"/>
  <c r="O6" i="82"/>
  <c r="C7" i="83" s="1"/>
  <c r="D8" i="82"/>
  <c r="J8" i="82"/>
  <c r="C10" i="82"/>
  <c r="C11" i="82"/>
  <c r="L11" i="82"/>
  <c r="Q30" i="82"/>
  <c r="C12" i="82"/>
  <c r="C13" i="82"/>
  <c r="H17" i="82"/>
  <c r="M17" i="82"/>
  <c r="X18" i="82"/>
  <c r="X19" i="82" s="1"/>
  <c r="N17" i="82"/>
  <c r="V17" i="82"/>
  <c r="V19" i="82" s="1"/>
  <c r="Y17" i="82"/>
  <c r="Y19" i="82" s="1"/>
  <c r="AB17" i="82"/>
  <c r="AB19" i="82" s="1"/>
  <c r="C18" i="82"/>
  <c r="L18" i="82"/>
  <c r="H18" i="82"/>
  <c r="H20" i="82"/>
  <c r="F21" i="82"/>
  <c r="H21" i="82"/>
  <c r="T21" i="82"/>
  <c r="AC21" i="82"/>
  <c r="T22" i="82"/>
  <c r="T25" i="82"/>
  <c r="U25" i="82"/>
  <c r="V25" i="82"/>
  <c r="D26" i="82"/>
  <c r="F26" i="82"/>
  <c r="M26" i="82"/>
  <c r="F27" i="82"/>
  <c r="M27" i="82"/>
  <c r="M32" i="82" s="1"/>
  <c r="C34" i="82" s="1"/>
  <c r="F28" i="82"/>
  <c r="M28" i="82"/>
  <c r="F29" i="82"/>
  <c r="M29" i="82"/>
  <c r="F30" i="82"/>
  <c r="M30" i="82"/>
  <c r="G32" i="82"/>
  <c r="J35" i="82"/>
  <c r="C36" i="82"/>
  <c r="H36" i="82"/>
  <c r="H39" i="82"/>
  <c r="K39" i="82"/>
  <c r="H40" i="82"/>
  <c r="D43" i="82"/>
  <c r="C4" i="83"/>
  <c r="D4" i="83"/>
  <c r="F4" i="83"/>
  <c r="H4" i="83"/>
  <c r="C5" i="83"/>
  <c r="C6" i="83"/>
  <c r="E7" i="83"/>
  <c r="F7" i="83"/>
  <c r="G7" i="83"/>
  <c r="H7" i="83"/>
  <c r="F8" i="83"/>
  <c r="G8" i="83"/>
  <c r="H8" i="83"/>
  <c r="G9" i="83"/>
  <c r="H9" i="83"/>
  <c r="H10" i="83"/>
  <c r="C14" i="83"/>
  <c r="I13" i="83" s="1"/>
  <c r="A2" i="26"/>
  <c r="A3" i="26"/>
  <c r="A4" i="26"/>
  <c r="A5" i="26"/>
  <c r="A6" i="26"/>
  <c r="A7" i="26"/>
  <c r="A8" i="26"/>
  <c r="A9" i="26"/>
  <c r="A10" i="26"/>
  <c r="A11" i="26"/>
  <c r="A12" i="26"/>
  <c r="A13" i="26"/>
  <c r="A14" i="26"/>
  <c r="A15" i="26"/>
  <c r="G1" i="10"/>
  <c r="J3" i="10"/>
  <c r="K3" i="10"/>
  <c r="J4" i="10"/>
  <c r="K4" i="10"/>
  <c r="J5" i="10"/>
  <c r="K5" i="10"/>
  <c r="J6" i="10"/>
  <c r="K6" i="10"/>
  <c r="E10" i="10"/>
  <c r="F10" i="10"/>
  <c r="G10" i="10"/>
  <c r="I10" i="10"/>
  <c r="K10" i="10"/>
  <c r="E11" i="10"/>
  <c r="F11" i="10"/>
  <c r="I11" i="10"/>
  <c r="K11" i="10"/>
  <c r="E12" i="10"/>
  <c r="F12" i="10"/>
  <c r="I12" i="10"/>
  <c r="K12" i="10"/>
  <c r="E13" i="10"/>
  <c r="F13" i="10"/>
  <c r="G13" i="10"/>
  <c r="I13" i="10"/>
  <c r="K13" i="10"/>
  <c r="E14" i="10"/>
  <c r="F14" i="10"/>
  <c r="I14" i="10"/>
  <c r="K14" i="10"/>
  <c r="E15" i="10"/>
  <c r="F15" i="10"/>
  <c r="I15" i="10"/>
  <c r="K15" i="10"/>
  <c r="E16" i="10"/>
  <c r="F16" i="10"/>
  <c r="G16" i="10"/>
  <c r="I16" i="10"/>
  <c r="K16" i="10"/>
  <c r="E17" i="10"/>
  <c r="F17" i="10"/>
  <c r="G17" i="10"/>
  <c r="I17" i="10"/>
  <c r="K17" i="10"/>
  <c r="E18" i="10"/>
  <c r="F18" i="10"/>
  <c r="I18" i="10"/>
  <c r="K18" i="10"/>
  <c r="E19" i="10"/>
  <c r="F19" i="10"/>
  <c r="G19" i="10"/>
  <c r="I19" i="10"/>
  <c r="K19" i="10"/>
  <c r="E20" i="10"/>
  <c r="F20" i="10"/>
  <c r="I20" i="10"/>
  <c r="K20" i="10"/>
  <c r="E21" i="10"/>
  <c r="F21" i="10"/>
  <c r="G21" i="10"/>
  <c r="I21" i="10"/>
  <c r="K21" i="10"/>
  <c r="E22" i="10"/>
  <c r="F22" i="10"/>
  <c r="I22" i="10"/>
  <c r="K22" i="10"/>
  <c r="E23" i="10"/>
  <c r="F23" i="10"/>
  <c r="G23" i="10"/>
  <c r="I23" i="10"/>
  <c r="K23" i="10"/>
  <c r="E25" i="10"/>
  <c r="F25" i="10"/>
  <c r="G25" i="10"/>
  <c r="I25" i="10"/>
  <c r="K25" i="10"/>
  <c r="E26" i="10"/>
  <c r="F26" i="10"/>
  <c r="I26" i="10"/>
  <c r="K26" i="10"/>
  <c r="E27" i="10"/>
  <c r="F27" i="10"/>
  <c r="G27" i="10"/>
  <c r="I27" i="10"/>
  <c r="K27" i="10"/>
  <c r="E28" i="10"/>
  <c r="F28" i="10"/>
  <c r="I28" i="10"/>
  <c r="K28" i="10"/>
  <c r="E29" i="10"/>
  <c r="F29" i="10"/>
  <c r="I29" i="10"/>
  <c r="K29" i="10"/>
  <c r="E30" i="10"/>
  <c r="F30" i="10"/>
  <c r="I30" i="10"/>
  <c r="K30" i="10"/>
  <c r="E31" i="10"/>
  <c r="F31" i="10"/>
  <c r="I31" i="10"/>
  <c r="K31" i="10"/>
  <c r="E32" i="10"/>
  <c r="F32" i="10"/>
  <c r="I32" i="10"/>
  <c r="K32" i="10"/>
  <c r="E33" i="10"/>
  <c r="F33" i="10"/>
  <c r="G33" i="10"/>
  <c r="I33" i="10"/>
  <c r="K33" i="10"/>
  <c r="E34" i="10"/>
  <c r="F34" i="10"/>
  <c r="G34" i="10"/>
  <c r="I34" i="10"/>
  <c r="K34" i="10"/>
  <c r="E35" i="10"/>
  <c r="F35" i="10"/>
  <c r="G35" i="10"/>
  <c r="I35" i="10"/>
  <c r="K35" i="10"/>
  <c r="E36" i="10"/>
  <c r="F36" i="10"/>
  <c r="G36" i="10"/>
  <c r="I36" i="10"/>
  <c r="K36" i="10"/>
  <c r="E37" i="10"/>
  <c r="F37" i="10"/>
  <c r="I37" i="10"/>
  <c r="K37" i="10"/>
  <c r="E38" i="10"/>
  <c r="F38" i="10"/>
  <c r="I38" i="10"/>
  <c r="K38" i="10"/>
  <c r="E39" i="10"/>
  <c r="F39" i="10"/>
  <c r="I39" i="10"/>
  <c r="K39" i="10"/>
  <c r="E40" i="10"/>
  <c r="F40" i="10"/>
  <c r="G40" i="10"/>
  <c r="I40" i="10"/>
  <c r="K40" i="10"/>
  <c r="E41" i="10"/>
  <c r="F41" i="10"/>
  <c r="G41" i="10"/>
  <c r="I41" i="10"/>
  <c r="K41" i="10"/>
  <c r="E42" i="10"/>
  <c r="F42" i="10"/>
  <c r="G42" i="10"/>
  <c r="I42" i="10"/>
  <c r="K42" i="10"/>
  <c r="E43" i="10"/>
  <c r="F43" i="10"/>
  <c r="I43" i="10"/>
  <c r="K43" i="10"/>
  <c r="E44" i="10"/>
  <c r="F44" i="10"/>
  <c r="I44" i="10"/>
  <c r="K44" i="10"/>
  <c r="E45" i="10"/>
  <c r="F45" i="10"/>
  <c r="G45" i="10"/>
  <c r="I45" i="10"/>
  <c r="K45" i="10"/>
  <c r="E46" i="10"/>
  <c r="F46" i="10"/>
  <c r="G46" i="10"/>
  <c r="I46" i="10"/>
  <c r="K46" i="10"/>
  <c r="E47" i="10"/>
  <c r="F47" i="10"/>
  <c r="G47" i="10"/>
  <c r="I47" i="10"/>
  <c r="K47" i="10"/>
  <c r="E48" i="10"/>
  <c r="F48" i="10"/>
  <c r="G48" i="10"/>
  <c r="I48" i="10"/>
  <c r="K48" i="10"/>
  <c r="E49" i="10"/>
  <c r="F49" i="10"/>
  <c r="G49" i="10"/>
  <c r="I49" i="10"/>
  <c r="K49" i="10"/>
  <c r="E50" i="10"/>
  <c r="F50" i="10"/>
  <c r="G50" i="10"/>
  <c r="I50" i="10"/>
  <c r="K50" i="10"/>
  <c r="E51" i="10"/>
  <c r="F51" i="10"/>
  <c r="G51" i="10"/>
  <c r="I51" i="10"/>
  <c r="K51" i="10"/>
  <c r="E52" i="10"/>
  <c r="F52" i="10"/>
  <c r="G52" i="10"/>
  <c r="I52" i="10"/>
  <c r="K52" i="10"/>
  <c r="E53" i="10"/>
  <c r="F53" i="10"/>
  <c r="I53" i="10"/>
  <c r="K53" i="10"/>
  <c r="E54" i="10"/>
  <c r="F54" i="10"/>
  <c r="G54" i="10"/>
  <c r="I54" i="10"/>
  <c r="K54" i="10"/>
  <c r="E55" i="10"/>
  <c r="F55" i="10"/>
  <c r="I55" i="10"/>
  <c r="K55" i="10"/>
  <c r="E56" i="10"/>
  <c r="F56" i="10"/>
  <c r="G56" i="10"/>
  <c r="I56" i="10"/>
  <c r="K56" i="10"/>
  <c r="E57" i="10"/>
  <c r="F57" i="10"/>
  <c r="I57" i="10"/>
  <c r="K57" i="10"/>
  <c r="E58" i="10"/>
  <c r="F58" i="10"/>
  <c r="I58" i="10"/>
  <c r="K58" i="10"/>
  <c r="E59" i="10"/>
  <c r="F59" i="10"/>
  <c r="G59" i="10"/>
  <c r="I59" i="10"/>
  <c r="K59" i="10"/>
  <c r="E60" i="10"/>
  <c r="F60" i="10"/>
  <c r="I60" i="10"/>
  <c r="K60" i="10"/>
  <c r="E61" i="10"/>
  <c r="F61" i="10"/>
  <c r="I61" i="10"/>
  <c r="K61" i="10"/>
  <c r="E62" i="10"/>
  <c r="F62" i="10"/>
  <c r="G62" i="10"/>
  <c r="I62" i="10"/>
  <c r="K62" i="10"/>
  <c r="E63" i="10"/>
  <c r="F63" i="10"/>
  <c r="G63" i="10"/>
  <c r="I63" i="10"/>
  <c r="K63" i="10"/>
  <c r="E64" i="10"/>
  <c r="F64" i="10"/>
  <c r="G64" i="10"/>
  <c r="I64" i="10"/>
  <c r="K64" i="10"/>
  <c r="E65" i="10"/>
  <c r="F65" i="10"/>
  <c r="I65" i="10"/>
  <c r="K65" i="10"/>
  <c r="E66" i="10"/>
  <c r="F66" i="10"/>
  <c r="I66" i="10"/>
  <c r="K66" i="10"/>
  <c r="E67" i="10"/>
  <c r="F67" i="10"/>
  <c r="I67" i="10"/>
  <c r="K67" i="10"/>
  <c r="E68" i="10"/>
  <c r="F68" i="10"/>
  <c r="G68" i="10"/>
  <c r="I68" i="10"/>
  <c r="K68" i="10"/>
  <c r="E69" i="10"/>
  <c r="F69" i="10"/>
  <c r="G69" i="10"/>
  <c r="I69" i="10"/>
  <c r="K69" i="10"/>
  <c r="E70" i="10"/>
  <c r="F70" i="10"/>
  <c r="I70" i="10"/>
  <c r="K70" i="10"/>
  <c r="E71" i="10"/>
  <c r="F71" i="10"/>
  <c r="G71" i="10"/>
  <c r="I71" i="10"/>
  <c r="K71" i="10"/>
  <c r="E72" i="10"/>
  <c r="F72" i="10"/>
  <c r="G72" i="10"/>
  <c r="I72" i="10"/>
  <c r="K72" i="10"/>
  <c r="E73" i="10"/>
  <c r="F73" i="10"/>
  <c r="G73" i="10"/>
  <c r="I73" i="10"/>
  <c r="K73" i="10"/>
  <c r="E74" i="10"/>
  <c r="F74" i="10"/>
  <c r="G74" i="10"/>
  <c r="I74" i="10"/>
  <c r="K74" i="10"/>
  <c r="E75" i="10"/>
  <c r="F75" i="10"/>
  <c r="G75" i="10"/>
  <c r="I75" i="10"/>
  <c r="K75" i="10"/>
  <c r="E76" i="10"/>
  <c r="F76" i="10"/>
  <c r="G76" i="10"/>
  <c r="I76" i="10"/>
  <c r="K76" i="10"/>
  <c r="E77" i="10"/>
  <c r="F77" i="10"/>
  <c r="G77" i="10"/>
  <c r="I77" i="10"/>
  <c r="K77" i="10"/>
  <c r="E78" i="10"/>
  <c r="F78" i="10"/>
  <c r="I78" i="10"/>
  <c r="K78" i="10"/>
  <c r="E79" i="10"/>
  <c r="F79" i="10"/>
  <c r="I79" i="10"/>
  <c r="K79" i="10"/>
  <c r="E80" i="10"/>
  <c r="F80" i="10"/>
  <c r="G80" i="10"/>
  <c r="I80" i="10"/>
  <c r="K80" i="10"/>
  <c r="E81" i="10"/>
  <c r="F81" i="10"/>
  <c r="G81" i="10"/>
  <c r="I81" i="10"/>
  <c r="K81" i="10"/>
  <c r="E82" i="10"/>
  <c r="F82" i="10"/>
  <c r="G82" i="10"/>
  <c r="I82" i="10"/>
  <c r="K82" i="10"/>
  <c r="E83" i="10"/>
  <c r="F83" i="10"/>
  <c r="G83" i="10"/>
  <c r="I83" i="10"/>
  <c r="K83" i="10"/>
  <c r="E84" i="10"/>
  <c r="F84" i="10"/>
  <c r="G84" i="10"/>
  <c r="I84" i="10"/>
  <c r="K84" i="10"/>
  <c r="E85" i="10"/>
  <c r="F85" i="10"/>
  <c r="G85" i="10"/>
  <c r="I85" i="10"/>
  <c r="K85" i="10"/>
  <c r="E86" i="10"/>
  <c r="F86" i="10"/>
  <c r="G86" i="10"/>
  <c r="I86" i="10"/>
  <c r="K86" i="10"/>
  <c r="E87" i="10"/>
  <c r="F87" i="10"/>
  <c r="G87" i="10"/>
  <c r="I87" i="10"/>
  <c r="K87" i="10"/>
  <c r="E88" i="10"/>
  <c r="F88" i="10"/>
  <c r="I88" i="10"/>
  <c r="K88" i="10"/>
  <c r="E89" i="10"/>
  <c r="F89" i="10"/>
  <c r="I89" i="10"/>
  <c r="K89" i="10"/>
  <c r="E90" i="10"/>
  <c r="F90" i="10"/>
  <c r="G90" i="10"/>
  <c r="I90" i="10"/>
  <c r="K90" i="10"/>
  <c r="E91" i="10"/>
  <c r="F91" i="10"/>
  <c r="I91" i="10"/>
  <c r="K91" i="10"/>
  <c r="E92" i="10"/>
  <c r="F92" i="10"/>
  <c r="I92" i="10"/>
  <c r="K92" i="10"/>
  <c r="E93" i="10"/>
  <c r="F93" i="10"/>
  <c r="I93" i="10"/>
  <c r="K93" i="10"/>
  <c r="E94" i="10"/>
  <c r="F94" i="10"/>
  <c r="G94" i="10"/>
  <c r="I94" i="10"/>
  <c r="K94" i="10"/>
  <c r="E95" i="10"/>
  <c r="F95" i="10"/>
  <c r="G95" i="10"/>
  <c r="I95" i="10"/>
  <c r="K95" i="10"/>
  <c r="E96" i="10"/>
  <c r="F96" i="10"/>
  <c r="G96" i="10"/>
  <c r="I96" i="10"/>
  <c r="K96" i="10"/>
  <c r="E97" i="10"/>
  <c r="F97" i="10"/>
  <c r="G97" i="10"/>
  <c r="I97" i="10"/>
  <c r="K97" i="10"/>
  <c r="E98" i="10"/>
  <c r="F98" i="10"/>
  <c r="G98" i="10"/>
  <c r="I98" i="10"/>
  <c r="K98" i="10"/>
  <c r="E99" i="10"/>
  <c r="F99" i="10"/>
  <c r="G99" i="10"/>
  <c r="I99" i="10"/>
  <c r="K99" i="10"/>
  <c r="E100" i="10"/>
  <c r="F100" i="10"/>
  <c r="G100" i="10"/>
  <c r="I100" i="10"/>
  <c r="K100" i="10"/>
  <c r="E101" i="10"/>
  <c r="F101" i="10"/>
  <c r="G101" i="10"/>
  <c r="I101" i="10"/>
  <c r="K101" i="10"/>
  <c r="E102" i="10"/>
  <c r="F102" i="10"/>
  <c r="G102" i="10"/>
  <c r="I102" i="10"/>
  <c r="K102" i="10"/>
  <c r="E103" i="10"/>
  <c r="F103" i="10"/>
  <c r="G103" i="10"/>
  <c r="I103" i="10"/>
  <c r="K103" i="10"/>
  <c r="E104" i="10"/>
  <c r="F104" i="10"/>
  <c r="G104" i="10"/>
  <c r="I104" i="10"/>
  <c r="K104" i="10"/>
  <c r="E105" i="10"/>
  <c r="F105" i="10"/>
  <c r="G105" i="10"/>
  <c r="I105" i="10"/>
  <c r="K105" i="10"/>
  <c r="E106" i="10"/>
  <c r="F106" i="10"/>
  <c r="G106" i="10"/>
  <c r="I106" i="10"/>
  <c r="K106" i="10"/>
  <c r="E107" i="10"/>
  <c r="F107" i="10"/>
  <c r="G107" i="10"/>
  <c r="I107" i="10"/>
  <c r="K107" i="10"/>
  <c r="E108" i="10"/>
  <c r="F108" i="10"/>
  <c r="G108" i="10"/>
  <c r="I108" i="10"/>
  <c r="K108" i="10"/>
  <c r="E109" i="10"/>
  <c r="F109" i="10"/>
  <c r="G109" i="10"/>
  <c r="I109" i="10"/>
  <c r="K109" i="10"/>
  <c r="E110" i="10"/>
  <c r="F110" i="10"/>
  <c r="G110" i="10"/>
  <c r="I110" i="10"/>
  <c r="K110" i="10"/>
  <c r="E111" i="10"/>
  <c r="F111" i="10"/>
  <c r="G111" i="10"/>
  <c r="I111" i="10"/>
  <c r="K111" i="10"/>
  <c r="E112" i="10"/>
  <c r="F112" i="10"/>
  <c r="G112" i="10"/>
  <c r="I112" i="10"/>
  <c r="K112" i="10"/>
  <c r="E113" i="10"/>
  <c r="F113" i="10"/>
  <c r="G113" i="10"/>
  <c r="I113" i="10"/>
  <c r="K113" i="10"/>
  <c r="E114" i="10"/>
  <c r="F114" i="10"/>
  <c r="G114" i="10"/>
  <c r="I114" i="10"/>
  <c r="K114" i="10"/>
  <c r="E115" i="10"/>
  <c r="F115" i="10"/>
  <c r="I115" i="10"/>
  <c r="K115" i="10"/>
  <c r="E116" i="10"/>
  <c r="F116" i="10"/>
  <c r="I116" i="10"/>
  <c r="K116" i="10"/>
  <c r="E117" i="10"/>
  <c r="F117" i="10"/>
  <c r="G117" i="10"/>
  <c r="I117" i="10"/>
  <c r="K117" i="10"/>
  <c r="E118" i="10"/>
  <c r="F118" i="10"/>
  <c r="G118" i="10"/>
  <c r="I118" i="10"/>
  <c r="K118" i="10"/>
  <c r="E119" i="10"/>
  <c r="F119" i="10"/>
  <c r="I119" i="10"/>
  <c r="K119" i="10"/>
  <c r="E120" i="10"/>
  <c r="F120" i="10"/>
  <c r="I120" i="10"/>
  <c r="K120" i="10"/>
  <c r="E121" i="10"/>
  <c r="F121" i="10"/>
  <c r="I121" i="10"/>
  <c r="K121" i="10"/>
  <c r="E122" i="10"/>
  <c r="F122" i="10"/>
  <c r="G122" i="10"/>
  <c r="I122" i="10"/>
  <c r="K122" i="10"/>
  <c r="E123" i="10"/>
  <c r="F123" i="10"/>
  <c r="G123" i="10"/>
  <c r="I123" i="10"/>
  <c r="K123" i="10"/>
  <c r="E124" i="10"/>
  <c r="F124" i="10"/>
  <c r="I124" i="10"/>
  <c r="K124" i="10"/>
  <c r="I125" i="10"/>
  <c r="K125" i="10"/>
  <c r="I126" i="10"/>
  <c r="K126" i="10"/>
  <c r="I127" i="10"/>
  <c r="K127" i="10"/>
  <c r="I128" i="10"/>
  <c r="K128" i="10"/>
  <c r="I129" i="10"/>
  <c r="K129" i="10"/>
  <c r="I130" i="10"/>
  <c r="K130" i="10"/>
  <c r="I131" i="10"/>
  <c r="K131" i="10"/>
  <c r="I132" i="10"/>
  <c r="K132" i="10"/>
  <c r="I133" i="10"/>
  <c r="K133" i="10"/>
  <c r="I134" i="10"/>
  <c r="K134" i="10"/>
  <c r="I135" i="10"/>
  <c r="K135" i="10"/>
  <c r="I136" i="10"/>
  <c r="K136" i="10"/>
  <c r="I137" i="10"/>
  <c r="K137" i="10"/>
  <c r="I138" i="10"/>
  <c r="K138" i="10"/>
  <c r="I139" i="10"/>
  <c r="K139" i="10"/>
  <c r="I140" i="10"/>
  <c r="K140" i="10"/>
  <c r="I141" i="10"/>
  <c r="K141" i="10"/>
  <c r="I142" i="10"/>
  <c r="K142" i="10"/>
  <c r="E143" i="10"/>
  <c r="F143" i="10"/>
  <c r="I143" i="10"/>
  <c r="K143" i="10"/>
  <c r="E144" i="10"/>
  <c r="F144" i="10"/>
  <c r="I144" i="10"/>
  <c r="K144" i="10"/>
  <c r="E145" i="10"/>
  <c r="F145" i="10"/>
  <c r="I145" i="10"/>
  <c r="E146" i="10"/>
  <c r="F146" i="10"/>
  <c r="U4" i="32"/>
  <c r="C7" i="36"/>
  <c r="C9" i="36"/>
  <c r="E9" i="36"/>
  <c r="D13" i="36"/>
  <c r="D15" i="36"/>
  <c r="E18" i="36"/>
  <c r="E19" i="36"/>
  <c r="S4" i="23"/>
  <c r="H25" i="23"/>
  <c r="H27" i="23"/>
  <c r="T3" i="94"/>
  <c r="E6" i="94"/>
  <c r="P8" i="94"/>
  <c r="Q8" i="94" s="1"/>
  <c r="S8" i="94"/>
  <c r="S9" i="94" s="1"/>
  <c r="S10" i="94" s="1"/>
  <c r="S11" i="94" s="1"/>
  <c r="S12" i="94" s="1"/>
  <c r="S13" i="94" s="1"/>
  <c r="T8" i="94"/>
  <c r="P9" i="94"/>
  <c r="V9" i="94"/>
  <c r="P10" i="94"/>
  <c r="R10" i="94" s="1"/>
  <c r="C11" i="94"/>
  <c r="P11" i="94"/>
  <c r="V11" i="94" s="1"/>
  <c r="D12" i="94"/>
  <c r="F16" i="95" s="1"/>
  <c r="E12" i="94"/>
  <c r="H16" i="95" s="1"/>
  <c r="F12" i="94"/>
  <c r="J16" i="95"/>
  <c r="G12" i="94"/>
  <c r="L16" i="95"/>
  <c r="H12" i="94"/>
  <c r="N16" i="95"/>
  <c r="P12" i="94"/>
  <c r="P13" i="94"/>
  <c r="W9" i="94"/>
  <c r="T9" i="94"/>
  <c r="T12" i="94"/>
  <c r="T13" i="94"/>
  <c r="C15" i="94"/>
  <c r="M16" i="94"/>
  <c r="M17" i="94" s="1"/>
  <c r="N16" i="94"/>
  <c r="N17" i="94" s="1"/>
  <c r="O16" i="94"/>
  <c r="O17" i="94"/>
  <c r="P16" i="94"/>
  <c r="P17" i="94"/>
  <c r="Q16" i="94"/>
  <c r="Q17" i="94" s="1"/>
  <c r="M18" i="94"/>
  <c r="M19" i="94"/>
  <c r="N18" i="94"/>
  <c r="N19" i="94"/>
  <c r="O18" i="94"/>
  <c r="O19" i="94" s="1"/>
  <c r="P18" i="94"/>
  <c r="P19" i="94" s="1"/>
  <c r="Q18" i="94"/>
  <c r="Q19" i="94"/>
  <c r="L23" i="94"/>
  <c r="L24" i="94"/>
  <c r="Q7" i="95"/>
  <c r="F15" i="95"/>
  <c r="H15" i="95"/>
  <c r="J15" i="95"/>
  <c r="L15" i="95"/>
  <c r="N15" i="95"/>
  <c r="P15" i="95"/>
  <c r="P16" i="95"/>
  <c r="F18" i="95"/>
  <c r="H18" i="95"/>
  <c r="J18" i="95"/>
  <c r="L18" i="95"/>
  <c r="N18" i="95"/>
  <c r="F19" i="95"/>
  <c r="H19" i="95"/>
  <c r="J19" i="95"/>
  <c r="L19" i="95"/>
  <c r="N19" i="95"/>
  <c r="P19" i="95"/>
  <c r="F20" i="95"/>
  <c r="H20" i="95"/>
  <c r="J20" i="95"/>
  <c r="L20" i="95"/>
  <c r="N20" i="95"/>
  <c r="P20" i="95"/>
  <c r="E28" i="95"/>
  <c r="G28" i="95"/>
  <c r="I28" i="95"/>
  <c r="K28" i="95"/>
  <c r="M28" i="95"/>
  <c r="O28" i="95"/>
  <c r="E29" i="95"/>
  <c r="G29" i="95"/>
  <c r="I29" i="95"/>
  <c r="K29" i="95"/>
  <c r="M29" i="95"/>
  <c r="O29" i="95"/>
  <c r="E30" i="95"/>
  <c r="G30" i="95"/>
  <c r="I30" i="95"/>
  <c r="K30" i="95"/>
  <c r="M30" i="95"/>
  <c r="O30" i="95"/>
  <c r="F34" i="95"/>
  <c r="H34" i="95"/>
  <c r="J34" i="95"/>
  <c r="L34" i="95"/>
  <c r="N34" i="95"/>
  <c r="P34" i="95"/>
  <c r="N37" i="95"/>
  <c r="P37" i="95"/>
  <c r="N38" i="95"/>
  <c r="Q38" i="95" s="1"/>
  <c r="Q29" i="95" s="1"/>
  <c r="P38" i="95"/>
  <c r="N39" i="95"/>
  <c r="Q39" i="95" s="1"/>
  <c r="P39" i="95"/>
  <c r="E41" i="95"/>
  <c r="C54" i="95"/>
  <c r="D5" i="13"/>
  <c r="E5" i="13" s="1"/>
  <c r="F5" i="13" s="1"/>
  <c r="G5" i="13" s="1"/>
  <c r="H5" i="13" s="1"/>
  <c r="I5" i="13" s="1"/>
  <c r="D15" i="13"/>
  <c r="D16" i="13"/>
  <c r="B18" i="13"/>
  <c r="D18" i="13"/>
  <c r="D5" i="17"/>
  <c r="CN10" i="63" s="1"/>
  <c r="D16" i="17"/>
  <c r="B18" i="17"/>
  <c r="D18" i="17"/>
  <c r="D5" i="11"/>
  <c r="CM10" i="61" s="1"/>
  <c r="D15" i="11"/>
  <c r="E15" i="11" s="1"/>
  <c r="F15" i="11" s="1"/>
  <c r="G15" i="11" s="1"/>
  <c r="H15" i="11" s="1"/>
  <c r="I15" i="11" s="1"/>
  <c r="D16" i="11"/>
  <c r="B18" i="11"/>
  <c r="D18" i="11"/>
  <c r="D16" i="16"/>
  <c r="B18" i="16"/>
  <c r="D18" i="16"/>
  <c r="N3" i="99"/>
  <c r="V3" i="99"/>
  <c r="AC24" i="99"/>
  <c r="AC25" i="99"/>
  <c r="AC26" i="99"/>
  <c r="AC27" i="99"/>
  <c r="AC28" i="99"/>
  <c r="AC29" i="99"/>
  <c r="AC30" i="99"/>
  <c r="AC31" i="99"/>
  <c r="AC32" i="99"/>
  <c r="AC33" i="99"/>
  <c r="AC34" i="99"/>
  <c r="AC35" i="99"/>
  <c r="L36" i="99"/>
  <c r="N3" i="100"/>
  <c r="V3" i="100"/>
  <c r="W3" i="100" s="1"/>
  <c r="AC24" i="100"/>
  <c r="AC25" i="100"/>
  <c r="AC26" i="100"/>
  <c r="AC27" i="100"/>
  <c r="AC28" i="100"/>
  <c r="AC29" i="100"/>
  <c r="AC30" i="100"/>
  <c r="AC31" i="100"/>
  <c r="AC32" i="100"/>
  <c r="AC33" i="100"/>
  <c r="AC34" i="100"/>
  <c r="AC35" i="100"/>
  <c r="L36" i="100"/>
  <c r="N3" i="101"/>
  <c r="V3" i="101"/>
  <c r="W3" i="101" s="1"/>
  <c r="AC24" i="101"/>
  <c r="AC25" i="101"/>
  <c r="AC26" i="101"/>
  <c r="AC27" i="101"/>
  <c r="AC28" i="101"/>
  <c r="AC29" i="101"/>
  <c r="AC30" i="101"/>
  <c r="AC31" i="101"/>
  <c r="AC32" i="101"/>
  <c r="AC33" i="101"/>
  <c r="AC34" i="101"/>
  <c r="AC35" i="101"/>
  <c r="L36" i="101"/>
  <c r="U1" i="56"/>
  <c r="V1" i="56"/>
  <c r="W1" i="56"/>
  <c r="X1" i="56"/>
  <c r="Y1" i="56"/>
  <c r="Z1" i="56"/>
  <c r="AA1" i="56"/>
  <c r="AA2" i="56"/>
  <c r="D5" i="56"/>
  <c r="I5" i="56"/>
  <c r="I6" i="56"/>
  <c r="I7" i="56"/>
  <c r="I8" i="56"/>
  <c r="S20" i="56" s="1"/>
  <c r="I18" i="56"/>
  <c r="L18" i="56"/>
  <c r="I19" i="56"/>
  <c r="L19" i="56"/>
  <c r="I22" i="56"/>
  <c r="I23" i="56"/>
  <c r="U31" i="56"/>
  <c r="U32" i="56"/>
  <c r="U44" i="56"/>
  <c r="U45" i="56"/>
  <c r="T58" i="56"/>
  <c r="T59" i="56"/>
  <c r="U58" i="56"/>
  <c r="U70" i="56"/>
  <c r="U71" i="56"/>
  <c r="U83" i="56"/>
  <c r="U84" i="56"/>
  <c r="U96" i="56"/>
  <c r="U97" i="56"/>
  <c r="U109" i="56"/>
  <c r="U110" i="56"/>
  <c r="W3" i="76"/>
  <c r="C4" i="76"/>
  <c r="D4" i="76"/>
  <c r="E4" i="76"/>
  <c r="X5" i="76"/>
  <c r="Y5" i="76" s="1"/>
  <c r="X6" i="76"/>
  <c r="Y6" i="76" s="1"/>
  <c r="G7" i="76"/>
  <c r="H7" i="76"/>
  <c r="K7" i="76"/>
  <c r="X7" i="76"/>
  <c r="Y7" i="76"/>
  <c r="G8" i="76"/>
  <c r="H8" i="76"/>
  <c r="X8" i="76"/>
  <c r="Y8" i="76"/>
  <c r="G9" i="76"/>
  <c r="H9" i="76"/>
  <c r="X9" i="76"/>
  <c r="Y9" i="76"/>
  <c r="G10" i="76"/>
  <c r="H10" i="76"/>
  <c r="G11" i="76"/>
  <c r="H11" i="76"/>
  <c r="G12" i="76"/>
  <c r="H12" i="76"/>
  <c r="G13" i="76"/>
  <c r="H13" i="76"/>
  <c r="G14" i="76"/>
  <c r="H14" i="76"/>
  <c r="X15" i="76"/>
  <c r="Y15" i="76"/>
  <c r="G15" i="76"/>
  <c r="H15" i="76"/>
  <c r="G16" i="76"/>
  <c r="H16" i="76"/>
  <c r="G17" i="76"/>
  <c r="H17" i="76"/>
  <c r="G18" i="76"/>
  <c r="H18" i="76"/>
  <c r="X18" i="76"/>
  <c r="Y18" i="76" s="1"/>
  <c r="X19" i="76"/>
  <c r="Y19" i="76"/>
  <c r="G19" i="76"/>
  <c r="H19" i="76"/>
  <c r="G20" i="76"/>
  <c r="H20" i="76"/>
  <c r="G21" i="76"/>
  <c r="H21" i="76"/>
  <c r="X21" i="76"/>
  <c r="Y21" i="76"/>
  <c r="G22" i="76"/>
  <c r="H22" i="76"/>
  <c r="X22" i="76"/>
  <c r="Y22" i="76" s="1"/>
  <c r="G23" i="76"/>
  <c r="H23" i="76"/>
  <c r="X24" i="76"/>
  <c r="Y24" i="76"/>
  <c r="G24" i="76"/>
  <c r="H24" i="76"/>
  <c r="G25" i="76"/>
  <c r="H25" i="76"/>
  <c r="X25" i="76"/>
  <c r="Y25" i="76" s="1"/>
  <c r="G26" i="76"/>
  <c r="H26" i="76"/>
  <c r="X26" i="76"/>
  <c r="Y26" i="76"/>
  <c r="X27" i="76"/>
  <c r="Y27" i="76" s="1"/>
  <c r="G27" i="76"/>
  <c r="H27" i="76"/>
  <c r="X28" i="76"/>
  <c r="Y28" i="76"/>
  <c r="G28" i="76"/>
  <c r="H28" i="76"/>
  <c r="G29" i="76"/>
  <c r="H29" i="76"/>
  <c r="X29" i="76"/>
  <c r="Y29" i="76" s="1"/>
  <c r="G30" i="76"/>
  <c r="H30" i="76"/>
  <c r="X31" i="76"/>
  <c r="Y31" i="76"/>
  <c r="G31" i="76"/>
  <c r="H31" i="76"/>
  <c r="X32" i="76"/>
  <c r="Y32" i="76" s="1"/>
  <c r="G32" i="76"/>
  <c r="H32" i="76"/>
  <c r="G33" i="76"/>
  <c r="H33" i="76"/>
  <c r="G34" i="76"/>
  <c r="H34" i="76"/>
  <c r="X34" i="76"/>
  <c r="Y34" i="76" s="1"/>
  <c r="X35" i="76"/>
  <c r="Y35" i="76"/>
  <c r="G35" i="76"/>
  <c r="H35" i="76"/>
  <c r="G36" i="76"/>
  <c r="H36" i="76"/>
  <c r="X36" i="76"/>
  <c r="Y36" i="76" s="1"/>
  <c r="G37" i="76"/>
  <c r="H37" i="76"/>
  <c r="X37" i="76"/>
  <c r="Y37" i="76"/>
  <c r="X38" i="76"/>
  <c r="Y38" i="76" s="1"/>
  <c r="G38" i="76"/>
  <c r="H38" i="76"/>
  <c r="G39" i="76"/>
  <c r="H39" i="76"/>
  <c r="X40" i="76"/>
  <c r="Y40" i="76"/>
  <c r="G40" i="76"/>
  <c r="H40" i="76"/>
  <c r="G41" i="76"/>
  <c r="H41" i="76"/>
  <c r="G42" i="76"/>
  <c r="H42" i="76"/>
  <c r="X42" i="76"/>
  <c r="Y42" i="76"/>
  <c r="X43" i="76"/>
  <c r="Y43" i="76" s="1"/>
  <c r="G43" i="76"/>
  <c r="H43" i="76"/>
  <c r="G44" i="76"/>
  <c r="H44" i="76"/>
  <c r="G45" i="76"/>
  <c r="H45" i="76"/>
  <c r="X45" i="76"/>
  <c r="Y45" i="76" s="1"/>
  <c r="G46" i="76"/>
  <c r="H46" i="76"/>
  <c r="G47" i="76"/>
  <c r="H47" i="76"/>
  <c r="X48" i="76"/>
  <c r="Y48" i="76"/>
  <c r="G48" i="76"/>
  <c r="H48" i="76"/>
  <c r="G49" i="76"/>
  <c r="H49" i="76"/>
  <c r="X49" i="76"/>
  <c r="Y49" i="76"/>
  <c r="G50" i="76"/>
  <c r="H50" i="76"/>
  <c r="X50" i="76"/>
  <c r="Y50" i="76" s="1"/>
  <c r="G51" i="76"/>
  <c r="H51" i="76"/>
  <c r="G52" i="76"/>
  <c r="H52" i="76"/>
  <c r="G53" i="76"/>
  <c r="H53" i="76"/>
  <c r="G54" i="76"/>
  <c r="H54" i="76"/>
  <c r="X55" i="76"/>
  <c r="Y55" i="76" s="1"/>
  <c r="G55" i="76"/>
  <c r="H55" i="76"/>
  <c r="X56" i="76"/>
  <c r="Y56" i="76"/>
  <c r="G56" i="76"/>
  <c r="H56" i="76"/>
  <c r="G57" i="76"/>
  <c r="H57" i="76"/>
  <c r="X57" i="76"/>
  <c r="Y57" i="76"/>
  <c r="G58" i="76"/>
  <c r="H58" i="76"/>
  <c r="X58" i="76"/>
  <c r="Y58" i="76"/>
  <c r="X59" i="76"/>
  <c r="Y59" i="76" s="1"/>
  <c r="G59" i="76"/>
  <c r="H59" i="76"/>
  <c r="G60" i="76"/>
  <c r="H60" i="76"/>
  <c r="X60" i="76"/>
  <c r="Y60" i="76"/>
  <c r="X61" i="76"/>
  <c r="Y61" i="76" s="1"/>
  <c r="G61" i="76"/>
  <c r="H61" i="76"/>
  <c r="X62" i="76"/>
  <c r="Y62" i="76"/>
  <c r="G62" i="76"/>
  <c r="H62" i="76"/>
  <c r="G63" i="76"/>
  <c r="H63" i="76"/>
  <c r="X63" i="76"/>
  <c r="Y63" i="76"/>
  <c r="X64" i="76"/>
  <c r="Y64" i="76"/>
  <c r="G64" i="76"/>
  <c r="H64" i="76"/>
  <c r="X65" i="76"/>
  <c r="Y65" i="76" s="1"/>
  <c r="G65" i="76"/>
  <c r="H65" i="76"/>
  <c r="G66" i="76"/>
  <c r="H66" i="76"/>
  <c r="X66" i="76"/>
  <c r="Y66" i="76" s="1"/>
  <c r="G67" i="76"/>
  <c r="H67" i="76"/>
  <c r="X68" i="76"/>
  <c r="Y68" i="76"/>
  <c r="G68" i="76"/>
  <c r="H68" i="76"/>
  <c r="X69" i="76"/>
  <c r="Y69" i="76" s="1"/>
  <c r="G69" i="76"/>
  <c r="H69" i="76"/>
  <c r="X70" i="76"/>
  <c r="Y70" i="76"/>
  <c r="G70" i="76"/>
  <c r="H70" i="76"/>
  <c r="G71" i="76"/>
  <c r="H71" i="76"/>
  <c r="X71" i="76"/>
  <c r="Y71" i="76" s="1"/>
  <c r="X72" i="76"/>
  <c r="Y72" i="76"/>
  <c r="G72" i="76"/>
  <c r="H72" i="76"/>
  <c r="X73" i="76"/>
  <c r="Y73" i="76"/>
  <c r="G73" i="76"/>
  <c r="H73" i="76"/>
  <c r="G74" i="76"/>
  <c r="H74" i="76"/>
  <c r="X74" i="76"/>
  <c r="Y74" i="76"/>
  <c r="X75" i="76"/>
  <c r="Y75" i="76"/>
  <c r="G75" i="76"/>
  <c r="H75" i="76"/>
  <c r="G76" i="76"/>
  <c r="H76" i="76"/>
  <c r="X76" i="76"/>
  <c r="Y76" i="76"/>
  <c r="G77" i="76"/>
  <c r="H77" i="76"/>
  <c r="X77" i="76"/>
  <c r="Y77" i="76" s="1"/>
  <c r="X78" i="76"/>
  <c r="Y78" i="76"/>
  <c r="G78" i="76"/>
  <c r="H78" i="76"/>
  <c r="G79" i="76"/>
  <c r="H79" i="76"/>
  <c r="X80" i="76"/>
  <c r="Y80" i="76" s="1"/>
  <c r="G80" i="76"/>
  <c r="H80" i="76"/>
  <c r="G81" i="76"/>
  <c r="H81" i="76"/>
  <c r="X81" i="76"/>
  <c r="Y81" i="76"/>
  <c r="X82" i="76"/>
  <c r="Y82" i="76" s="1"/>
  <c r="G82" i="76"/>
  <c r="H82" i="76"/>
  <c r="X83" i="76"/>
  <c r="Y83" i="76"/>
  <c r="G83" i="76"/>
  <c r="H83" i="76"/>
  <c r="X84" i="76"/>
  <c r="Y84" i="76" s="1"/>
  <c r="G84" i="76"/>
  <c r="H84" i="76"/>
  <c r="G85" i="76"/>
  <c r="H85" i="76"/>
  <c r="X85" i="76"/>
  <c r="Y85" i="76"/>
  <c r="X86" i="76"/>
  <c r="Y86" i="76" s="1"/>
  <c r="G86" i="76"/>
  <c r="H86" i="76"/>
  <c r="X87" i="76"/>
  <c r="Y87" i="76"/>
  <c r="G87" i="76"/>
  <c r="H87" i="76"/>
  <c r="G88" i="76"/>
  <c r="H88" i="76"/>
  <c r="X89" i="76"/>
  <c r="Y89" i="76"/>
  <c r="G89" i="76"/>
  <c r="H89" i="76"/>
  <c r="X90" i="76"/>
  <c r="Y90" i="76"/>
  <c r="G90" i="76"/>
  <c r="H90" i="76"/>
  <c r="X91" i="76"/>
  <c r="Y91" i="76"/>
  <c r="G91" i="76"/>
  <c r="H91" i="76"/>
  <c r="X92" i="76"/>
  <c r="Y92" i="76"/>
  <c r="G92" i="76"/>
  <c r="H92" i="76"/>
  <c r="G93" i="76"/>
  <c r="H93" i="76"/>
  <c r="X93" i="76"/>
  <c r="Y93" i="76"/>
  <c r="X94" i="76"/>
  <c r="Y94" i="76"/>
  <c r="G94" i="76"/>
  <c r="H94" i="76"/>
  <c r="X95" i="76"/>
  <c r="Y95" i="76"/>
  <c r="G95" i="76"/>
  <c r="H95" i="76"/>
  <c r="X96" i="76"/>
  <c r="Y96" i="76"/>
  <c r="G96" i="76"/>
  <c r="H96" i="76"/>
  <c r="G97" i="76"/>
  <c r="H97" i="76"/>
  <c r="X97" i="76"/>
  <c r="Y97" i="76"/>
  <c r="G98" i="76"/>
  <c r="H98" i="76"/>
  <c r="X98" i="76"/>
  <c r="Y98" i="76" s="1"/>
  <c r="G99" i="76"/>
  <c r="H99" i="76"/>
  <c r="X100" i="76"/>
  <c r="Y100" i="76"/>
  <c r="G100" i="76"/>
  <c r="H100" i="76"/>
  <c r="X101" i="76"/>
  <c r="Y101" i="76" s="1"/>
  <c r="G101" i="76"/>
  <c r="H101" i="76"/>
  <c r="G102" i="76"/>
  <c r="H102" i="76"/>
  <c r="X102" i="76"/>
  <c r="Y102" i="76" s="1"/>
  <c r="X103" i="76"/>
  <c r="Y103" i="76" s="1"/>
  <c r="G103" i="76"/>
  <c r="H103" i="76"/>
  <c r="X104" i="76"/>
  <c r="Y104" i="76"/>
  <c r="G104" i="76"/>
  <c r="H104" i="76"/>
  <c r="X105" i="76"/>
  <c r="Y105" i="76" s="1"/>
  <c r="G105" i="76"/>
  <c r="H105" i="76"/>
  <c r="E6" i="9"/>
  <c r="E7" i="9"/>
  <c r="G7" i="9"/>
  <c r="H7" i="9"/>
  <c r="I7" i="9" s="1"/>
  <c r="E8" i="9"/>
  <c r="E48" i="30"/>
  <c r="G8" i="9"/>
  <c r="H8" i="9" s="1"/>
  <c r="I8" i="9"/>
  <c r="E12" i="9"/>
  <c r="F12" i="9" s="1"/>
  <c r="G12" i="9" s="1"/>
  <c r="I12" i="9"/>
  <c r="E15" i="9"/>
  <c r="N3" i="102"/>
  <c r="V3" i="102"/>
  <c r="W3" i="102"/>
  <c r="V9" i="102"/>
  <c r="V10" i="102" s="1"/>
  <c r="V11" i="102" s="1"/>
  <c r="V12" i="102" s="1"/>
  <c r="V13" i="102" s="1"/>
  <c r="V14" i="102" s="1"/>
  <c r="V15" i="102" s="1"/>
  <c r="V16" i="102" s="1"/>
  <c r="V17" i="102" s="1"/>
  <c r="V18" i="102" s="1"/>
  <c r="V19" i="102" s="1"/>
  <c r="V20" i="102" s="1"/>
  <c r="AC24" i="102"/>
  <c r="AC25" i="102"/>
  <c r="AC26" i="102"/>
  <c r="AC27" i="102"/>
  <c r="AC28" i="102"/>
  <c r="AC29" i="102"/>
  <c r="AC30" i="102"/>
  <c r="AC31" i="102"/>
  <c r="AC32" i="102"/>
  <c r="AC33" i="102"/>
  <c r="AC34" i="102"/>
  <c r="AC35" i="102"/>
  <c r="L36" i="102"/>
  <c r="N3" i="103"/>
  <c r="V3" i="103"/>
  <c r="W3" i="103" s="1"/>
  <c r="AC24" i="103"/>
  <c r="AC25" i="103"/>
  <c r="AC26" i="103"/>
  <c r="AC27" i="103"/>
  <c r="AC28" i="103"/>
  <c r="AC29" i="103"/>
  <c r="AC30" i="103"/>
  <c r="AC31" i="103"/>
  <c r="AC32" i="103"/>
  <c r="AC33" i="103"/>
  <c r="AC34" i="103"/>
  <c r="AC35" i="103"/>
  <c r="L36" i="103"/>
  <c r="N3" i="105"/>
  <c r="V3" i="105"/>
  <c r="W3" i="105" s="1"/>
  <c r="AC24" i="105"/>
  <c r="AC25" i="105"/>
  <c r="AC26" i="105"/>
  <c r="AC27" i="105"/>
  <c r="AC28" i="105"/>
  <c r="AC29" i="105"/>
  <c r="AC30" i="105"/>
  <c r="AC31" i="105"/>
  <c r="AC32" i="105"/>
  <c r="AC33" i="105"/>
  <c r="AC34" i="105"/>
  <c r="AC35" i="105"/>
  <c r="L36" i="105"/>
  <c r="E5" i="27"/>
  <c r="G5" i="27" s="1"/>
  <c r="M5" i="27"/>
  <c r="M6" i="27"/>
  <c r="M7" i="27"/>
  <c r="I15" i="27"/>
  <c r="R2" i="77"/>
  <c r="F5" i="77"/>
  <c r="K5" i="77"/>
  <c r="F7" i="77"/>
  <c r="K7" i="77"/>
  <c r="D9" i="77"/>
  <c r="Z9" i="77" s="1"/>
  <c r="D10" i="77"/>
  <c r="Z10" i="77" s="1"/>
  <c r="D11" i="77"/>
  <c r="Z11" i="77" s="1"/>
  <c r="D12" i="77"/>
  <c r="Z12" i="77" s="1"/>
  <c r="J16" i="77"/>
  <c r="G16" i="77" s="1"/>
  <c r="F18" i="77"/>
  <c r="V2" i="77"/>
  <c r="G26" i="77"/>
  <c r="I27" i="77"/>
  <c r="N27" i="77"/>
  <c r="R27" i="77"/>
  <c r="F28" i="77"/>
  <c r="I28" i="77" s="1"/>
  <c r="N28" i="77"/>
  <c r="R28" i="77"/>
  <c r="W28" i="77"/>
  <c r="I29" i="77"/>
  <c r="N29" i="77"/>
  <c r="N30" i="77" s="1"/>
  <c r="N31" i="77" s="1"/>
  <c r="G30" i="77"/>
  <c r="D40" i="79"/>
  <c r="I30" i="77"/>
  <c r="K35" i="77"/>
  <c r="D42" i="77"/>
  <c r="F46" i="77"/>
  <c r="C108" i="76" s="1"/>
  <c r="D5" i="79"/>
  <c r="D36" i="79"/>
  <c r="D7" i="79"/>
  <c r="D58" i="79" s="1"/>
  <c r="D8" i="79"/>
  <c r="D106" i="79"/>
  <c r="D109" i="79" s="1"/>
  <c r="B104" i="79" s="1"/>
  <c r="D9" i="79"/>
  <c r="D56" i="79" s="1"/>
  <c r="E35" i="79"/>
  <c r="F35" i="79" s="1"/>
  <c r="G35" i="79" s="1"/>
  <c r="H35" i="79" s="1"/>
  <c r="I35" i="79" s="1"/>
  <c r="B63" i="79"/>
  <c r="D73" i="79"/>
  <c r="B88" i="79"/>
  <c r="B89" i="79"/>
  <c r="B90" i="79"/>
  <c r="B91" i="79"/>
  <c r="D95" i="79"/>
  <c r="E95" i="79"/>
  <c r="F95" i="79"/>
  <c r="G95" i="79"/>
  <c r="H95" i="79"/>
  <c r="I95" i="79"/>
  <c r="D100" i="79"/>
  <c r="E100" i="79" s="1"/>
  <c r="D102" i="79"/>
  <c r="D110" i="79"/>
  <c r="C113" i="79"/>
  <c r="C114" i="79"/>
  <c r="I128" i="79"/>
  <c r="D131" i="79"/>
  <c r="E131" i="79"/>
  <c r="F131" i="79"/>
  <c r="G131" i="79"/>
  <c r="H131" i="79"/>
  <c r="D132" i="79"/>
  <c r="E132" i="79"/>
  <c r="F132" i="79"/>
  <c r="G132" i="79"/>
  <c r="H132" i="79"/>
  <c r="I132" i="79"/>
  <c r="A137" i="79"/>
  <c r="D139" i="79"/>
  <c r="E139" i="79"/>
  <c r="F139" i="79"/>
  <c r="G139" i="79"/>
  <c r="H139" i="79"/>
  <c r="I139" i="79"/>
  <c r="D7" i="80"/>
  <c r="D58" i="80" s="1"/>
  <c r="D8" i="80"/>
  <c r="E8" i="80" s="1"/>
  <c r="E106" i="80" s="1"/>
  <c r="E109" i="80" s="1"/>
  <c r="D9" i="80"/>
  <c r="E9" i="80" s="1"/>
  <c r="E56" i="80" s="1"/>
  <c r="E35" i="80"/>
  <c r="F35" i="80" s="1"/>
  <c r="G35" i="80" s="1"/>
  <c r="H35" i="80" s="1"/>
  <c r="I35" i="80" s="1"/>
  <c r="B63" i="80"/>
  <c r="B88" i="80"/>
  <c r="B89" i="80"/>
  <c r="B90" i="80"/>
  <c r="B91" i="80"/>
  <c r="D95" i="80"/>
  <c r="E95" i="80"/>
  <c r="F95" i="80"/>
  <c r="G95" i="80"/>
  <c r="H95" i="80"/>
  <c r="I95" i="80"/>
  <c r="D100" i="80"/>
  <c r="E100" i="80"/>
  <c r="F100" i="80" s="1"/>
  <c r="G100" i="80" s="1"/>
  <c r="D102" i="80"/>
  <c r="D110" i="80"/>
  <c r="C113" i="80"/>
  <c r="C114" i="80"/>
  <c r="I128" i="80"/>
  <c r="D131" i="80"/>
  <c r="E131" i="80"/>
  <c r="F131" i="80"/>
  <c r="G131" i="80"/>
  <c r="H131" i="80"/>
  <c r="D132" i="80"/>
  <c r="E132" i="80"/>
  <c r="F132" i="80"/>
  <c r="G132" i="80"/>
  <c r="H132" i="80"/>
  <c r="I132" i="80"/>
  <c r="A137" i="80"/>
  <c r="D139" i="80"/>
  <c r="E139" i="80"/>
  <c r="F139" i="80"/>
  <c r="G139" i="80"/>
  <c r="H139" i="80"/>
  <c r="I139" i="80"/>
  <c r="H3" i="97"/>
  <c r="D4" i="97"/>
  <c r="D5" i="97"/>
  <c r="D6" i="97"/>
  <c r="D9" i="97"/>
  <c r="U9" i="97"/>
  <c r="W9" i="97"/>
  <c r="W22" i="97" s="1"/>
  <c r="G10" i="97"/>
  <c r="L30" i="97" s="1"/>
  <c r="U10" i="97"/>
  <c r="W10" i="97"/>
  <c r="W23" i="97"/>
  <c r="K11" i="97"/>
  <c r="W11" i="97"/>
  <c r="U12" i="97"/>
  <c r="K13" i="97"/>
  <c r="P13" i="97"/>
  <c r="Q13" i="97"/>
  <c r="S13" i="97"/>
  <c r="U13" i="97"/>
  <c r="P14" i="97"/>
  <c r="U14" i="97"/>
  <c r="W15" i="97"/>
  <c r="W24" i="97" s="1"/>
  <c r="U16" i="97"/>
  <c r="W16" i="97"/>
  <c r="W25" i="97" s="1"/>
  <c r="F17" i="97"/>
  <c r="G17" i="97" s="1"/>
  <c r="U18" i="97"/>
  <c r="G19" i="97"/>
  <c r="L33" i="97" s="1"/>
  <c r="U19" i="97"/>
  <c r="G20" i="97"/>
  <c r="F21" i="97"/>
  <c r="L21" i="97" s="1"/>
  <c r="G21" i="97"/>
  <c r="H21" i="97"/>
  <c r="W21" i="97"/>
  <c r="Y29" i="97" s="1"/>
  <c r="D28" i="97"/>
  <c r="D38" i="97"/>
  <c r="E38" i="97"/>
  <c r="H38" i="97"/>
  <c r="D6" i="90"/>
  <c r="C7" i="90"/>
  <c r="F7" i="90"/>
  <c r="F8" i="90"/>
  <c r="O8" i="90"/>
  <c r="AB9" i="90"/>
  <c r="AC9" i="90"/>
  <c r="AD9" i="90"/>
  <c r="AE9" i="90"/>
  <c r="I10" i="90"/>
  <c r="M10" i="90"/>
  <c r="O10" i="90"/>
  <c r="U14" i="92" s="1"/>
  <c r="G12" i="90"/>
  <c r="I12" i="90"/>
  <c r="K12" i="90"/>
  <c r="M12" i="90"/>
  <c r="F13" i="90"/>
  <c r="Q13" i="90"/>
  <c r="S13" i="90"/>
  <c r="V13" i="90" s="1"/>
  <c r="T13" i="90"/>
  <c r="AB13" i="90"/>
  <c r="AC13" i="90"/>
  <c r="AD13" i="90"/>
  <c r="AE13" i="90"/>
  <c r="AI13" i="90"/>
  <c r="F14" i="90"/>
  <c r="Q14" i="90"/>
  <c r="T14" i="90"/>
  <c r="AB14" i="90"/>
  <c r="AC14" i="90"/>
  <c r="AD14" i="90"/>
  <c r="AE14" i="90"/>
  <c r="AI14" i="90"/>
  <c r="F15" i="90"/>
  <c r="Q15" i="90"/>
  <c r="AB15" i="90"/>
  <c r="AC15" i="90"/>
  <c r="AD15" i="90"/>
  <c r="AE15" i="90"/>
  <c r="AI15" i="90"/>
  <c r="F16" i="90"/>
  <c r="P16" i="90"/>
  <c r="P21" i="90" s="1"/>
  <c r="T34" i="90" s="1"/>
  <c r="Q16" i="90"/>
  <c r="AB16" i="90"/>
  <c r="AC16" i="90"/>
  <c r="AF16" i="90" s="1"/>
  <c r="AD16" i="90"/>
  <c r="AE16" i="90"/>
  <c r="AI16" i="90"/>
  <c r="F17" i="90"/>
  <c r="P17" i="90"/>
  <c r="Q17" i="90"/>
  <c r="AB17" i="90"/>
  <c r="AC17" i="90"/>
  <c r="AD17" i="90"/>
  <c r="AE17" i="90"/>
  <c r="AI17" i="90"/>
  <c r="P18" i="90"/>
  <c r="P19" i="90"/>
  <c r="P20" i="90"/>
  <c r="Q21" i="90"/>
  <c r="Q26" i="90" s="1"/>
  <c r="Q22" i="90"/>
  <c r="Q23" i="90"/>
  <c r="S23" i="90"/>
  <c r="O24" i="90"/>
  <c r="Q24" i="90"/>
  <c r="S24" i="90"/>
  <c r="Q25" i="90"/>
  <c r="S25" i="90"/>
  <c r="T26" i="90"/>
  <c r="S27" i="90"/>
  <c r="S33" i="90"/>
  <c r="P43" i="90"/>
  <c r="Q43" i="90"/>
  <c r="P44" i="90"/>
  <c r="Q44" i="90"/>
  <c r="P45" i="90"/>
  <c r="Q45" i="90"/>
  <c r="P46" i="90"/>
  <c r="Q46" i="90"/>
  <c r="P47" i="90"/>
  <c r="Q47" i="90"/>
  <c r="P48" i="90"/>
  <c r="Q48" i="90"/>
  <c r="P49" i="90"/>
  <c r="Q49" i="90"/>
  <c r="P50" i="90"/>
  <c r="Q50" i="90"/>
  <c r="P51" i="90"/>
  <c r="Q51" i="90"/>
  <c r="P52" i="90"/>
  <c r="Q52" i="90"/>
  <c r="P53" i="90"/>
  <c r="Q53" i="90"/>
  <c r="P54" i="90"/>
  <c r="Q54" i="90"/>
  <c r="P55" i="90"/>
  <c r="Q55" i="90"/>
  <c r="P56" i="90"/>
  <c r="Q56" i="90"/>
  <c r="P57" i="90"/>
  <c r="Q57" i="90"/>
  <c r="P58" i="90"/>
  <c r="Q58" i="90"/>
  <c r="P59" i="90"/>
  <c r="Q59" i="90"/>
  <c r="P60" i="90"/>
  <c r="Q60" i="90"/>
  <c r="P61" i="90"/>
  <c r="Q61" i="90"/>
  <c r="P62" i="90"/>
  <c r="Q62" i="90"/>
  <c r="P64" i="90"/>
  <c r="P65" i="90"/>
  <c r="P66" i="90"/>
  <c r="P67" i="90"/>
  <c r="P68" i="90"/>
  <c r="P69" i="90"/>
  <c r="P70" i="90"/>
  <c r="P71" i="90"/>
  <c r="P72" i="90"/>
  <c r="P73" i="90"/>
  <c r="P74" i="90"/>
  <c r="P75" i="90"/>
  <c r="P76" i="90"/>
  <c r="P77" i="90"/>
  <c r="P78" i="90"/>
  <c r="P79" i="90"/>
  <c r="P80" i="90"/>
  <c r="P81" i="90"/>
  <c r="P82" i="90"/>
  <c r="P83" i="90"/>
  <c r="P84" i="90"/>
  <c r="P85" i="90"/>
  <c r="P86" i="90"/>
  <c r="P87" i="90"/>
  <c r="P88" i="90"/>
  <c r="P89" i="90"/>
  <c r="P90" i="90"/>
  <c r="P91" i="90"/>
  <c r="P92" i="90"/>
  <c r="P93" i="90"/>
  <c r="P94" i="90"/>
  <c r="P95" i="90"/>
  <c r="P96" i="90"/>
  <c r="P97" i="90"/>
  <c r="P98" i="90"/>
  <c r="P99" i="90"/>
  <c r="Q7" i="92"/>
  <c r="W15" i="92"/>
  <c r="F15" i="92" s="1"/>
  <c r="W16" i="92"/>
  <c r="F16" i="92" s="1"/>
  <c r="W17" i="92"/>
  <c r="F18" i="92"/>
  <c r="W18" i="92"/>
  <c r="F19" i="92" s="1"/>
  <c r="W19" i="92"/>
  <c r="F20" i="92" s="1"/>
  <c r="W20" i="92"/>
  <c r="E28" i="92" s="1"/>
  <c r="W21" i="92"/>
  <c r="E29" i="92" s="1"/>
  <c r="W22" i="92"/>
  <c r="E30" i="92" s="1"/>
  <c r="W23" i="92"/>
  <c r="W24" i="92"/>
  <c r="W25" i="92"/>
  <c r="W26" i="92"/>
  <c r="W27" i="92"/>
  <c r="W28" i="92"/>
  <c r="W29" i="92"/>
  <c r="G28" i="92" s="1"/>
  <c r="W30" i="92"/>
  <c r="G29" i="92" s="1"/>
  <c r="W31" i="92"/>
  <c r="G30" i="92" s="1"/>
  <c r="W32" i="92"/>
  <c r="H20" i="92" s="1"/>
  <c r="W33" i="92"/>
  <c r="F34" i="92"/>
  <c r="H34" i="92"/>
  <c r="J34" i="92"/>
  <c r="L34" i="92"/>
  <c r="N34" i="92"/>
  <c r="P34" i="92"/>
  <c r="W34" i="92"/>
  <c r="W35" i="92"/>
  <c r="W36" i="92"/>
  <c r="I28" i="92" s="1"/>
  <c r="N37" i="92"/>
  <c r="N40" i="92" s="1"/>
  <c r="P37" i="92"/>
  <c r="W37" i="92"/>
  <c r="I29" i="92" s="1"/>
  <c r="N38" i="92"/>
  <c r="P38" i="92"/>
  <c r="W38" i="92"/>
  <c r="I30" i="92"/>
  <c r="N39" i="92"/>
  <c r="P39" i="92"/>
  <c r="P40" i="92" s="1"/>
  <c r="W39" i="92"/>
  <c r="J20" i="92" s="1"/>
  <c r="W40" i="92"/>
  <c r="E41" i="92"/>
  <c r="W41" i="92"/>
  <c r="W42" i="92"/>
  <c r="W43" i="92"/>
  <c r="K28" i="92" s="1"/>
  <c r="W44" i="92"/>
  <c r="K29" i="92" s="1"/>
  <c r="W45" i="92"/>
  <c r="K30" i="92" s="1"/>
  <c r="W46" i="92"/>
  <c r="L20" i="92"/>
  <c r="W47" i="92"/>
  <c r="W48" i="92"/>
  <c r="W49" i="92"/>
  <c r="W50" i="92"/>
  <c r="M28" i="92"/>
  <c r="W51" i="92"/>
  <c r="M29" i="92" s="1"/>
  <c r="W52" i="92"/>
  <c r="M30" i="92"/>
  <c r="W53" i="92"/>
  <c r="N20" i="92" s="1"/>
  <c r="C54" i="92"/>
  <c r="W54" i="92"/>
  <c r="W55" i="92"/>
  <c r="W56" i="92"/>
  <c r="W57" i="92"/>
  <c r="O28" i="92"/>
  <c r="W58" i="92"/>
  <c r="O29" i="92" s="1"/>
  <c r="W59" i="92"/>
  <c r="O30" i="92"/>
  <c r="W60" i="92"/>
  <c r="P20" i="92" s="1"/>
  <c r="W61" i="92"/>
  <c r="H15" i="92"/>
  <c r="H14" i="92" s="1"/>
  <c r="W62" i="92"/>
  <c r="H16" i="92" s="1"/>
  <c r="W63" i="92"/>
  <c r="W64" i="92"/>
  <c r="J15" i="92" s="1"/>
  <c r="J14" i="92" s="1"/>
  <c r="W65" i="92"/>
  <c r="J16" i="92"/>
  <c r="W66" i="92"/>
  <c r="W67" i="92"/>
  <c r="L15" i="92"/>
  <c r="L14" i="92" s="1"/>
  <c r="W68" i="92"/>
  <c r="L16" i="92" s="1"/>
  <c r="W69" i="92"/>
  <c r="W70" i="92"/>
  <c r="N15" i="92" s="1"/>
  <c r="N14" i="92" s="1"/>
  <c r="W71" i="92"/>
  <c r="N16" i="92" s="1"/>
  <c r="W72" i="92"/>
  <c r="W73" i="92"/>
  <c r="P15" i="92" s="1"/>
  <c r="P14" i="92" s="1"/>
  <c r="W74" i="92"/>
  <c r="P16" i="92"/>
  <c r="W75" i="92"/>
  <c r="W76" i="92"/>
  <c r="W77" i="92"/>
  <c r="W78" i="92"/>
  <c r="W79" i="92"/>
  <c r="W80" i="92"/>
  <c r="W81" i="92"/>
  <c r="W82" i="92"/>
  <c r="T9" i="37"/>
  <c r="T10" i="37"/>
  <c r="T11" i="37"/>
  <c r="T13" i="37"/>
  <c r="T16" i="37"/>
  <c r="V18" i="37"/>
  <c r="W18" i="37"/>
  <c r="X18" i="37"/>
  <c r="Y18" i="37"/>
  <c r="V19" i="37"/>
  <c r="W19" i="37"/>
  <c r="X19" i="37"/>
  <c r="Y19" i="37"/>
  <c r="D17" i="37" s="1"/>
  <c r="E24" i="37"/>
  <c r="E25" i="37"/>
  <c r="E26" i="37"/>
  <c r="E27" i="37"/>
  <c r="E28" i="37"/>
  <c r="E29" i="37"/>
  <c r="C51" i="37"/>
  <c r="T9" i="38"/>
  <c r="D10" i="38"/>
  <c r="T10" i="38"/>
  <c r="V18" i="38"/>
  <c r="W18" i="38"/>
  <c r="X18" i="38"/>
  <c r="Y18" i="38"/>
  <c r="V19" i="38"/>
  <c r="W19" i="38"/>
  <c r="X19" i="38"/>
  <c r="Y19" i="38"/>
  <c r="D17" i="38"/>
  <c r="E24" i="38"/>
  <c r="E25" i="38"/>
  <c r="E26" i="38"/>
  <c r="E27" i="38"/>
  <c r="E28" i="38"/>
  <c r="E29" i="38"/>
  <c r="C51" i="38"/>
  <c r="T9" i="39"/>
  <c r="D10" i="39"/>
  <c r="T10" i="39"/>
  <c r="V18" i="39"/>
  <c r="W18" i="39"/>
  <c r="X18" i="39"/>
  <c r="Y18" i="39"/>
  <c r="V19" i="39"/>
  <c r="W19" i="39"/>
  <c r="X19" i="39"/>
  <c r="Y19" i="39"/>
  <c r="D17" i="39" s="1"/>
  <c r="E24" i="39"/>
  <c r="E25" i="39"/>
  <c r="E26" i="39"/>
  <c r="E27" i="39"/>
  <c r="E28" i="39"/>
  <c r="E29" i="39"/>
  <c r="C51" i="39"/>
  <c r="T9" i="40"/>
  <c r="D10" i="40"/>
  <c r="T10" i="40"/>
  <c r="V18" i="40"/>
  <c r="W18" i="40"/>
  <c r="X18" i="40"/>
  <c r="Y18" i="40"/>
  <c r="V19" i="40"/>
  <c r="W19" i="40"/>
  <c r="X19" i="40"/>
  <c r="Y19" i="40"/>
  <c r="D17" i="40"/>
  <c r="E24" i="40"/>
  <c r="F24" i="40"/>
  <c r="F25" i="40" s="1"/>
  <c r="F26" i="40" s="1"/>
  <c r="E25" i="40"/>
  <c r="E26" i="40"/>
  <c r="E27" i="40"/>
  <c r="E28" i="40"/>
  <c r="E29" i="40"/>
  <c r="C51" i="40"/>
  <c r="T9" i="65"/>
  <c r="D10" i="65"/>
  <c r="T10" i="65"/>
  <c r="V18" i="65"/>
  <c r="W18" i="65"/>
  <c r="X18" i="65"/>
  <c r="Y18" i="65"/>
  <c r="V19" i="65"/>
  <c r="W19" i="65"/>
  <c r="X19" i="65"/>
  <c r="Y19" i="65"/>
  <c r="D17" i="65" s="1"/>
  <c r="E24" i="65"/>
  <c r="F24" i="65"/>
  <c r="F25" i="65" s="1"/>
  <c r="E25" i="65"/>
  <c r="E26" i="65"/>
  <c r="E27" i="65"/>
  <c r="E28" i="65"/>
  <c r="E29" i="65"/>
  <c r="C51" i="65"/>
  <c r="T7" i="45"/>
  <c r="T10" i="45" s="1"/>
  <c r="T9" i="45"/>
  <c r="T11" i="45"/>
  <c r="T13" i="45"/>
  <c r="T16" i="45"/>
  <c r="V18" i="45"/>
  <c r="W18" i="45"/>
  <c r="X18" i="45"/>
  <c r="Y18" i="45"/>
  <c r="V19" i="45"/>
  <c r="W19" i="45"/>
  <c r="X19" i="45"/>
  <c r="Y19" i="45"/>
  <c r="D17" i="45" s="1"/>
  <c r="E24" i="45"/>
  <c r="E25" i="45"/>
  <c r="E26" i="45"/>
  <c r="E27" i="45"/>
  <c r="E28" i="45"/>
  <c r="E29" i="45"/>
  <c r="C51" i="45"/>
  <c r="T9" i="46"/>
  <c r="D10" i="46"/>
  <c r="T10" i="46"/>
  <c r="V18" i="46"/>
  <c r="W18" i="46"/>
  <c r="X18" i="46"/>
  <c r="Y18" i="46"/>
  <c r="V19" i="46"/>
  <c r="W19" i="46"/>
  <c r="X19" i="46"/>
  <c r="Y19" i="46"/>
  <c r="D17" i="46"/>
  <c r="E24" i="46"/>
  <c r="E25" i="46"/>
  <c r="E26" i="46"/>
  <c r="E27" i="46"/>
  <c r="E28" i="46"/>
  <c r="E29" i="46"/>
  <c r="C51" i="46"/>
  <c r="T9" i="47"/>
  <c r="D10" i="47"/>
  <c r="T10" i="47"/>
  <c r="V18" i="47"/>
  <c r="W18" i="47"/>
  <c r="X18" i="47"/>
  <c r="Y18" i="47"/>
  <c r="V19" i="47"/>
  <c r="W19" i="47"/>
  <c r="X19" i="47"/>
  <c r="Y19" i="47"/>
  <c r="D17" i="47" s="1"/>
  <c r="E24" i="47"/>
  <c r="E25" i="47"/>
  <c r="E26" i="47"/>
  <c r="E27" i="47"/>
  <c r="E28" i="47"/>
  <c r="E29" i="47"/>
  <c r="C51" i="47"/>
  <c r="T9" i="48"/>
  <c r="D10" i="48"/>
  <c r="T10" i="48"/>
  <c r="V18" i="48"/>
  <c r="W18" i="48"/>
  <c r="X18" i="48"/>
  <c r="Y18" i="48"/>
  <c r="V19" i="48"/>
  <c r="W19" i="48"/>
  <c r="X19" i="48"/>
  <c r="Y19" i="48"/>
  <c r="D17" i="48" s="1"/>
  <c r="E24" i="48"/>
  <c r="F24" i="48"/>
  <c r="E25" i="48"/>
  <c r="E26" i="48"/>
  <c r="E27" i="48"/>
  <c r="E28" i="48"/>
  <c r="E29" i="48"/>
  <c r="C51" i="48"/>
  <c r="T9" i="66"/>
  <c r="D10" i="66"/>
  <c r="T10" i="66"/>
  <c r="V18" i="66"/>
  <c r="W18" i="66"/>
  <c r="X18" i="66"/>
  <c r="Y18" i="66"/>
  <c r="V19" i="66"/>
  <c r="W19" i="66"/>
  <c r="X19" i="66"/>
  <c r="Y19" i="66"/>
  <c r="D17" i="66" s="1"/>
  <c r="E24" i="66"/>
  <c r="G24" i="66" s="1"/>
  <c r="F24" i="66"/>
  <c r="F25" i="66" s="1"/>
  <c r="F26" i="66" s="1"/>
  <c r="F27" i="66" s="1"/>
  <c r="F28" i="66" s="1"/>
  <c r="F29" i="66" s="1"/>
  <c r="G29" i="66" s="1"/>
  <c r="E25" i="66"/>
  <c r="G25" i="66" s="1"/>
  <c r="E26" i="66"/>
  <c r="E27" i="66"/>
  <c r="E28" i="66"/>
  <c r="G28" i="66" s="1"/>
  <c r="E29" i="66"/>
  <c r="C51" i="66"/>
  <c r="B1" i="3"/>
  <c r="S1" i="3"/>
  <c r="T1" i="3"/>
  <c r="D3" i="3"/>
  <c r="C8" i="3"/>
  <c r="B9" i="3"/>
  <c r="D1" i="3" s="1"/>
  <c r="H69" i="60" s="1"/>
  <c r="L13" i="97"/>
  <c r="L10" i="97" s="1"/>
  <c r="E9" i="3"/>
  <c r="A10" i="3"/>
  <c r="B38" i="3"/>
  <c r="C52" i="33" s="1"/>
  <c r="C30" i="51" s="1"/>
  <c r="G62" i="3"/>
  <c r="A63" i="3"/>
  <c r="A64" i="3" s="1"/>
  <c r="G64" i="3" s="1"/>
  <c r="G63" i="3"/>
  <c r="B78" i="3"/>
  <c r="B80" i="3"/>
  <c r="B82" i="3"/>
  <c r="B83" i="3"/>
  <c r="B84" i="3"/>
  <c r="B85" i="3"/>
  <c r="U5" i="6"/>
  <c r="Y5" i="6" s="1"/>
  <c r="W5" i="6"/>
  <c r="G6" i="6"/>
  <c r="Q6" i="6"/>
  <c r="U6" i="6"/>
  <c r="G22" i="6" s="1"/>
  <c r="W6" i="6"/>
  <c r="Y6" i="6"/>
  <c r="Z6" i="6"/>
  <c r="AA6" i="6" s="1"/>
  <c r="G7" i="6"/>
  <c r="Q7" i="6"/>
  <c r="U7" i="6"/>
  <c r="W7" i="6"/>
  <c r="W8" i="6"/>
  <c r="Y7" i="6"/>
  <c r="Z7" i="6"/>
  <c r="AA7" i="6" s="1"/>
  <c r="G8" i="6"/>
  <c r="J12" i="30"/>
  <c r="Q8" i="6"/>
  <c r="U8" i="6"/>
  <c r="G24" i="6" s="1"/>
  <c r="Y8" i="6"/>
  <c r="F23" i="6" s="1"/>
  <c r="Z8" i="6"/>
  <c r="AA8" i="6" s="1"/>
  <c r="E9" i="6"/>
  <c r="F9" i="6"/>
  <c r="G9" i="6"/>
  <c r="Q9" i="6"/>
  <c r="G10" i="6"/>
  <c r="Q10" i="6"/>
  <c r="G11" i="6"/>
  <c r="Q11" i="6"/>
  <c r="G12" i="6"/>
  <c r="Q12" i="6"/>
  <c r="G13" i="6"/>
  <c r="Q13" i="6"/>
  <c r="G14" i="6"/>
  <c r="Q14" i="6"/>
  <c r="G15" i="6"/>
  <c r="Q15" i="6"/>
  <c r="G16" i="6"/>
  <c r="Q16" i="6"/>
  <c r="D17" i="6"/>
  <c r="D32" i="6" s="1"/>
  <c r="G17" i="6"/>
  <c r="Q17" i="6"/>
  <c r="D18" i="6"/>
  <c r="G18" i="6"/>
  <c r="Q18" i="6"/>
  <c r="X18" i="6"/>
  <c r="C21" i="6"/>
  <c r="H21" i="6"/>
  <c r="C22" i="6"/>
  <c r="F22" i="6"/>
  <c r="J22" i="6"/>
  <c r="K22" i="6"/>
  <c r="C23" i="6"/>
  <c r="E55" i="5"/>
  <c r="L25" i="6"/>
  <c r="E57" i="5"/>
  <c r="CQ6" i="61" s="1"/>
  <c r="L27" i="6"/>
  <c r="E59" i="5"/>
  <c r="L59" i="5" s="1"/>
  <c r="L28" i="6"/>
  <c r="L29" i="6"/>
  <c r="L30" i="6" s="1"/>
  <c r="L31" i="6" s="1"/>
  <c r="L32" i="6" s="1"/>
  <c r="M28" i="6"/>
  <c r="M29" i="6"/>
  <c r="L33" i="6"/>
  <c r="M30" i="6"/>
  <c r="M31" i="6"/>
  <c r="M32" i="6"/>
  <c r="D33" i="6"/>
  <c r="M33" i="6"/>
  <c r="E36" i="6"/>
  <c r="C5" i="25"/>
  <c r="D5" i="25"/>
  <c r="C6" i="25"/>
  <c r="D6" i="25"/>
  <c r="C7" i="25"/>
  <c r="D7" i="25"/>
  <c r="C8" i="25"/>
  <c r="D8" i="25"/>
  <c r="C9" i="25"/>
  <c r="D9" i="25"/>
  <c r="C10" i="25"/>
  <c r="D10" i="25"/>
  <c r="C11" i="25"/>
  <c r="D11" i="25"/>
  <c r="C12" i="25"/>
  <c r="D12" i="25"/>
  <c r="C13" i="25"/>
  <c r="D13" i="25"/>
  <c r="C14" i="25"/>
  <c r="D14" i="25"/>
  <c r="C15" i="25"/>
  <c r="D15" i="25"/>
  <c r="C16" i="25"/>
  <c r="D16" i="25"/>
  <c r="C17" i="25"/>
  <c r="D17" i="25"/>
  <c r="C18" i="25"/>
  <c r="D18" i="25"/>
  <c r="C19" i="25"/>
  <c r="D19" i="25"/>
  <c r="C20" i="25"/>
  <c r="D20" i="25"/>
  <c r="C21" i="25"/>
  <c r="D21" i="25"/>
  <c r="C22" i="25"/>
  <c r="D22" i="25"/>
  <c r="C23" i="25"/>
  <c r="D23" i="25"/>
  <c r="C24" i="25"/>
  <c r="D24" i="25"/>
  <c r="C25" i="25"/>
  <c r="D25" i="25"/>
  <c r="C26" i="25"/>
  <c r="D26" i="25"/>
  <c r="C27" i="25"/>
  <c r="D27" i="25"/>
  <c r="C28" i="25"/>
  <c r="D28" i="25"/>
  <c r="C29" i="25"/>
  <c r="D29" i="25"/>
  <c r="C30" i="25"/>
  <c r="D30" i="25"/>
  <c r="C31" i="25"/>
  <c r="D31" i="25"/>
  <c r="C32" i="25"/>
  <c r="D32" i="25"/>
  <c r="C33" i="25"/>
  <c r="D33" i="25"/>
  <c r="C34" i="25"/>
  <c r="D34" i="25"/>
  <c r="C35" i="25"/>
  <c r="D35" i="25"/>
  <c r="C36" i="25"/>
  <c r="D36" i="25"/>
  <c r="C37" i="25"/>
  <c r="D37" i="25"/>
  <c r="C38" i="25"/>
  <c r="D38" i="25"/>
  <c r="C39" i="25"/>
  <c r="D39" i="25"/>
  <c r="C40" i="25"/>
  <c r="D40" i="25"/>
  <c r="C41" i="25"/>
  <c r="D41" i="25"/>
  <c r="C42" i="25"/>
  <c r="D42" i="25"/>
  <c r="C43" i="25"/>
  <c r="D43" i="25"/>
  <c r="A5" i="34"/>
  <c r="AU1" i="61"/>
  <c r="AV1" i="61"/>
  <c r="AV4" i="61" s="1"/>
  <c r="AY1" i="61"/>
  <c r="X2" i="61"/>
  <c r="X43" i="61" s="1"/>
  <c r="Z2" i="61"/>
  <c r="AC2" i="61"/>
  <c r="CH2" i="61"/>
  <c r="B3" i="61" s="1"/>
  <c r="C3" i="61" s="1"/>
  <c r="CL2" i="61"/>
  <c r="P8" i="61" s="1"/>
  <c r="CQ2" i="61"/>
  <c r="CR2" i="61"/>
  <c r="CS2" i="61"/>
  <c r="CT2" i="61"/>
  <c r="CU2" i="61"/>
  <c r="CV2" i="61"/>
  <c r="F3" i="61"/>
  <c r="C14" i="73" s="1"/>
  <c r="V3" i="61"/>
  <c r="W3" i="61"/>
  <c r="AG3" i="61"/>
  <c r="CT3" i="61"/>
  <c r="CU3" i="61"/>
  <c r="A4" i="61"/>
  <c r="V4" i="61"/>
  <c r="W4" i="61"/>
  <c r="AB4" i="61"/>
  <c r="AG4" i="61"/>
  <c r="V5" i="61"/>
  <c r="W5" i="61"/>
  <c r="AB5" i="61"/>
  <c r="AG5" i="61"/>
  <c r="CQ5" i="61"/>
  <c r="V6" i="61"/>
  <c r="W6" i="61"/>
  <c r="AB6" i="61"/>
  <c r="AG6" i="61"/>
  <c r="V7" i="61"/>
  <c r="W7" i="61"/>
  <c r="AA7" i="61"/>
  <c r="AB7" i="61"/>
  <c r="AG7" i="61"/>
  <c r="V8" i="61"/>
  <c r="W8" i="61"/>
  <c r="AB8" i="61"/>
  <c r="AG8" i="61"/>
  <c r="V9" i="61"/>
  <c r="W9" i="61"/>
  <c r="AG9" i="61"/>
  <c r="V10" i="61"/>
  <c r="W10" i="61"/>
  <c r="AG10" i="61"/>
  <c r="V11" i="61"/>
  <c r="W11" i="61"/>
  <c r="AB11" i="61"/>
  <c r="AG11" i="61"/>
  <c r="CK11" i="61"/>
  <c r="AJ1" i="61" s="1"/>
  <c r="V12" i="61"/>
  <c r="W12" i="61"/>
  <c r="AB12" i="61"/>
  <c r="AG12" i="61"/>
  <c r="CL12" i="61"/>
  <c r="V13" i="61"/>
  <c r="W13" i="61"/>
  <c r="AB13" i="61"/>
  <c r="AG13" i="61"/>
  <c r="CL13" i="61"/>
  <c r="V14" i="61"/>
  <c r="W14" i="61"/>
  <c r="AG14" i="61"/>
  <c r="CL14" i="61"/>
  <c r="CL15" i="61"/>
  <c r="W16" i="61"/>
  <c r="CL16" i="61"/>
  <c r="A17" i="61"/>
  <c r="A18" i="61" s="1"/>
  <c r="A19" i="61" s="1"/>
  <c r="A20" i="61" s="1"/>
  <c r="A21" i="61" s="1"/>
  <c r="W17" i="61"/>
  <c r="AG17" i="61"/>
  <c r="CL17" i="61"/>
  <c r="AG20" i="61"/>
  <c r="W21" i="61"/>
  <c r="AG21" i="61"/>
  <c r="AG23" i="61"/>
  <c r="AG24" i="61"/>
  <c r="W25" i="61"/>
  <c r="A30" i="61"/>
  <c r="V42" i="61"/>
  <c r="A43" i="61"/>
  <c r="A44" i="61" s="1"/>
  <c r="A45" i="61" s="1"/>
  <c r="A46" i="61" s="1"/>
  <c r="A47" i="61" s="1"/>
  <c r="A48" i="61" s="1"/>
  <c r="A49" i="61" s="1"/>
  <c r="A50" i="61" s="1"/>
  <c r="A51" i="61" s="1"/>
  <c r="A52" i="61" s="1"/>
  <c r="A53" i="61" s="1"/>
  <c r="V43" i="61"/>
  <c r="V44" i="61"/>
  <c r="V45" i="61"/>
  <c r="V46" i="61"/>
  <c r="V47" i="61"/>
  <c r="V48" i="61"/>
  <c r="V49" i="61"/>
  <c r="V50" i="61"/>
  <c r="V51" i="61"/>
  <c r="V52" i="61"/>
  <c r="V53" i="61"/>
  <c r="AV1" i="63"/>
  <c r="AV13" i="63" s="1"/>
  <c r="AY1" i="63"/>
  <c r="X2" i="63"/>
  <c r="X12" i="63" s="1"/>
  <c r="Z2" i="63"/>
  <c r="AC2" i="63"/>
  <c r="CH2" i="63"/>
  <c r="B3" i="63"/>
  <c r="C3" i="63" s="1"/>
  <c r="CL2" i="63"/>
  <c r="CQ2" i="63"/>
  <c r="CS2" i="63"/>
  <c r="CT2" i="63"/>
  <c r="CU2" i="63"/>
  <c r="CR2" i="63"/>
  <c r="CV2" i="63"/>
  <c r="W3" i="63"/>
  <c r="AB3" i="63"/>
  <c r="AG3" i="63"/>
  <c r="CU3" i="63"/>
  <c r="A4" i="63"/>
  <c r="W4" i="63"/>
  <c r="AB4" i="63"/>
  <c r="AG4" i="63"/>
  <c r="W5" i="63"/>
  <c r="AB5" i="63"/>
  <c r="AG5" i="63"/>
  <c r="CQ5" i="63"/>
  <c r="W6" i="63"/>
  <c r="AB6" i="63"/>
  <c r="AG6" i="63"/>
  <c r="W7" i="63"/>
  <c r="AB7" i="63"/>
  <c r="AG7" i="63"/>
  <c r="W8" i="63"/>
  <c r="AA8" i="63"/>
  <c r="AB8" i="63"/>
  <c r="AG8" i="63"/>
  <c r="W9" i="63"/>
  <c r="AB9" i="63"/>
  <c r="AG9" i="63"/>
  <c r="W10" i="63"/>
  <c r="AA10" i="63"/>
  <c r="AB10" i="63"/>
  <c r="AG10" i="63"/>
  <c r="W11" i="63"/>
  <c r="AB11" i="63"/>
  <c r="AG11" i="63"/>
  <c r="CK11" i="63"/>
  <c r="AJ1" i="63"/>
  <c r="W12" i="63"/>
  <c r="AA12" i="63"/>
  <c r="AB12" i="63"/>
  <c r="AG12" i="63"/>
  <c r="CL12" i="63"/>
  <c r="W13" i="63"/>
  <c r="AB13" i="63"/>
  <c r="AG13" i="63"/>
  <c r="CL13" i="63"/>
  <c r="W14" i="63"/>
  <c r="AB14" i="63"/>
  <c r="AG14" i="63"/>
  <c r="CL14" i="63"/>
  <c r="CL15" i="63"/>
  <c r="W16" i="63"/>
  <c r="AG16" i="63"/>
  <c r="CL16" i="63"/>
  <c r="A17" i="63"/>
  <c r="A18" i="63" s="1"/>
  <c r="W17" i="63"/>
  <c r="CL17" i="63"/>
  <c r="W18" i="63"/>
  <c r="W19" i="63"/>
  <c r="AG19" i="63"/>
  <c r="W20" i="63"/>
  <c r="AG20" i="63"/>
  <c r="W22" i="63"/>
  <c r="AG22" i="63"/>
  <c r="W23" i="63"/>
  <c r="AG23" i="63"/>
  <c r="W24" i="63"/>
  <c r="AG24" i="63"/>
  <c r="AG25" i="63"/>
  <c r="W26" i="63"/>
  <c r="W27" i="63"/>
  <c r="A30" i="63"/>
  <c r="A31" i="63" s="1"/>
  <c r="A32" i="63" s="1"/>
  <c r="A33" i="63" s="1"/>
  <c r="A34" i="63" s="1"/>
  <c r="A35" i="63" s="1"/>
  <c r="A36" i="63" s="1"/>
  <c r="A37" i="63" s="1"/>
  <c r="A38" i="63" s="1"/>
  <c r="A39" i="63" s="1"/>
  <c r="A40" i="63" s="1"/>
  <c r="V42" i="63"/>
  <c r="A43" i="63"/>
  <c r="A44" i="63" s="1"/>
  <c r="A45" i="63" s="1"/>
  <c r="A46" i="63" s="1"/>
  <c r="A47" i="63" s="1"/>
  <c r="A48" i="63" s="1"/>
  <c r="A49" i="63" s="1"/>
  <c r="A50" i="63" s="1"/>
  <c r="A51" i="63" s="1"/>
  <c r="A52" i="63" s="1"/>
  <c r="A53" i="63" s="1"/>
  <c r="V43" i="63"/>
  <c r="V44" i="63"/>
  <c r="V45" i="63"/>
  <c r="V46" i="63"/>
  <c r="V47" i="63"/>
  <c r="V48" i="63"/>
  <c r="V49" i="63"/>
  <c r="V50" i="63"/>
  <c r="V51" i="63"/>
  <c r="V52" i="63"/>
  <c r="V53" i="63"/>
  <c r="C4" i="34"/>
  <c r="A6" i="34"/>
  <c r="R5" i="6"/>
  <c r="A65" i="3"/>
  <c r="A11" i="3"/>
  <c r="D114" i="80"/>
  <c r="G12" i="30"/>
  <c r="F54" i="5"/>
  <c r="H11" i="30"/>
  <c r="V9" i="100"/>
  <c r="V10" i="100" s="1"/>
  <c r="V11" i="100" s="1"/>
  <c r="V12" i="100" s="1"/>
  <c r="V13" i="100" s="1"/>
  <c r="V14" i="100" s="1"/>
  <c r="V15" i="100" s="1"/>
  <c r="V16" i="100" s="1"/>
  <c r="V17" i="100" s="1"/>
  <c r="V18" i="100" s="1"/>
  <c r="V19" i="100" s="1"/>
  <c r="V20" i="100" s="1"/>
  <c r="J23" i="6"/>
  <c r="F55" i="5" s="1"/>
  <c r="AB36" i="63" s="1"/>
  <c r="M9" i="6"/>
  <c r="U20" i="97"/>
  <c r="L20" i="97"/>
  <c r="D4" i="15"/>
  <c r="D4" i="8"/>
  <c r="D4" i="1"/>
  <c r="D4" i="18"/>
  <c r="D4" i="16"/>
  <c r="D4" i="80"/>
  <c r="D4" i="79"/>
  <c r="N26" i="97"/>
  <c r="D2" i="1"/>
  <c r="D2" i="8"/>
  <c r="J11" i="30"/>
  <c r="O7" i="82"/>
  <c r="C8" i="83" s="1"/>
  <c r="C52" i="3"/>
  <c r="N2" i="82" s="1"/>
  <c r="B8" i="3"/>
  <c r="O4" i="77"/>
  <c r="C22" i="71"/>
  <c r="D7" i="4"/>
  <c r="D7" i="56"/>
  <c r="I8" i="4"/>
  <c r="F36" i="33" s="1"/>
  <c r="H36" i="33" s="1"/>
  <c r="C22" i="51"/>
  <c r="D6" i="4"/>
  <c r="D6" i="56"/>
  <c r="AB3" i="82"/>
  <c r="L6" i="82"/>
  <c r="N3" i="94"/>
  <c r="O6" i="76"/>
  <c r="Y22" i="56"/>
  <c r="J26" i="77"/>
  <c r="B10" i="3"/>
  <c r="E49" i="30"/>
  <c r="C64" i="5"/>
  <c r="E101" i="1"/>
  <c r="E101" i="8"/>
  <c r="F6" i="9"/>
  <c r="T60" i="56"/>
  <c r="T61" i="56"/>
  <c r="T62" i="56"/>
  <c r="T63" i="56" s="1"/>
  <c r="T64" i="56" s="1"/>
  <c r="T65" i="56"/>
  <c r="T66" i="56" s="1"/>
  <c r="T67" i="56" s="1"/>
  <c r="T68" i="56" s="1"/>
  <c r="T69" i="56" s="1"/>
  <c r="T70" i="56" s="1"/>
  <c r="T71" i="56" s="1"/>
  <c r="M11" i="58"/>
  <c r="V9" i="99"/>
  <c r="V10" i="99" s="1"/>
  <c r="V11" i="99" s="1"/>
  <c r="V12" i="99" s="1"/>
  <c r="V13" i="99" s="1"/>
  <c r="V14" i="99" s="1"/>
  <c r="V15" i="99" s="1"/>
  <c r="V16" i="99" s="1"/>
  <c r="V17" i="99" s="1"/>
  <c r="V18" i="99" s="1"/>
  <c r="V19" i="99" s="1"/>
  <c r="V20" i="99" s="1"/>
  <c r="W3" i="99"/>
  <c r="W9" i="99" s="1"/>
  <c r="W10" i="99" s="1"/>
  <c r="W11" i="99" s="1"/>
  <c r="W12" i="99" s="1"/>
  <c r="W13" i="99" s="1"/>
  <c r="W14" i="99" s="1"/>
  <c r="W15" i="99" s="1"/>
  <c r="W16" i="99" s="1"/>
  <c r="W17" i="99" s="1"/>
  <c r="W18" i="99" s="1"/>
  <c r="W19" i="99" s="1"/>
  <c r="W20" i="99" s="1"/>
  <c r="Q13" i="94"/>
  <c r="R13" i="94"/>
  <c r="R14" i="94" s="1"/>
  <c r="V13" i="94"/>
  <c r="M5" i="58"/>
  <c r="C8" i="58"/>
  <c r="D11" i="58"/>
  <c r="C16" i="58"/>
  <c r="C5" i="58"/>
  <c r="C13" i="58"/>
  <c r="D16" i="58"/>
  <c r="D5" i="58"/>
  <c r="C10" i="58"/>
  <c r="D13" i="58"/>
  <c r="C7" i="58"/>
  <c r="D10" i="58"/>
  <c r="D7" i="58"/>
  <c r="C12" i="58"/>
  <c r="D15" i="58"/>
  <c r="C9" i="58"/>
  <c r="D12" i="58"/>
  <c r="D14" i="58"/>
  <c r="E4" i="58"/>
  <c r="W12" i="94"/>
  <c r="R9" i="94"/>
  <c r="D13" i="5"/>
  <c r="A23" i="5"/>
  <c r="D14" i="8" s="1"/>
  <c r="H36" i="30"/>
  <c r="D2" i="29"/>
  <c r="C6" i="73" s="1"/>
  <c r="B23" i="5"/>
  <c r="B33" i="5" s="1"/>
  <c r="B43" i="5" s="1"/>
  <c r="AA107" i="60" s="1"/>
  <c r="C29" i="51"/>
  <c r="U1" i="20"/>
  <c r="R10" i="4"/>
  <c r="G70" i="10" s="1"/>
  <c r="AB16" i="61"/>
  <c r="V6" i="60"/>
  <c r="W6" i="60" s="1"/>
  <c r="G68" i="60" s="1"/>
  <c r="R24" i="4"/>
  <c r="G43" i="10"/>
  <c r="C18" i="95"/>
  <c r="C18" i="92"/>
  <c r="O1" i="90"/>
  <c r="E52" i="3"/>
  <c r="F10" i="60" s="1"/>
  <c r="A7" i="34"/>
  <c r="C7" i="34" s="1"/>
  <c r="C5" i="34"/>
  <c r="I10" i="34"/>
  <c r="C23" i="51"/>
  <c r="B4" i="5"/>
  <c r="B14" i="5" s="1"/>
  <c r="C13" i="5" s="1"/>
  <c r="L7" i="82"/>
  <c r="AB4" i="82"/>
  <c r="E1" i="3"/>
  <c r="E2" i="8" s="1"/>
  <c r="S3" i="94"/>
  <c r="L26" i="94" s="1"/>
  <c r="M3" i="94"/>
  <c r="C13" i="94" s="1"/>
  <c r="C14" i="94"/>
  <c r="H12" i="30"/>
  <c r="J24" i="6"/>
  <c r="J25" i="6" s="1"/>
  <c r="J26" i="6" s="1"/>
  <c r="J27" i="6" s="1"/>
  <c r="F59" i="5" s="1"/>
  <c r="S19" i="97" s="1"/>
  <c r="V9" i="105"/>
  <c r="V10" i="105" s="1"/>
  <c r="V11" i="105" s="1"/>
  <c r="V12" i="105" s="1"/>
  <c r="V13" i="105" s="1"/>
  <c r="V14" i="105" s="1"/>
  <c r="V15" i="105" s="1"/>
  <c r="V16" i="105" s="1"/>
  <c r="V17" i="105" s="1"/>
  <c r="V18" i="105" s="1"/>
  <c r="V19" i="105" s="1"/>
  <c r="V20" i="105" s="1"/>
  <c r="V9" i="101"/>
  <c r="V10" i="101" s="1"/>
  <c r="V11" i="101" s="1"/>
  <c r="V12" i="101" s="1"/>
  <c r="V13" i="101" s="1"/>
  <c r="V14" i="101" s="1"/>
  <c r="V15" i="101" s="1"/>
  <c r="V16" i="101" s="1"/>
  <c r="V17" i="101" s="1"/>
  <c r="V18" i="101" s="1"/>
  <c r="V19" i="101" s="1"/>
  <c r="V20" i="101" s="1"/>
  <c r="E2" i="13"/>
  <c r="E2" i="79"/>
  <c r="AB39" i="61"/>
  <c r="AB32" i="63"/>
  <c r="I15" i="34"/>
  <c r="H15" i="34" s="1"/>
  <c r="H16" i="34" s="1"/>
  <c r="H17" i="34" s="1"/>
  <c r="I12" i="34" s="1"/>
  <c r="A8" i="34"/>
  <c r="A9" i="34" s="1"/>
  <c r="A10" i="34" s="1"/>
  <c r="O6" i="90"/>
  <c r="L18" i="92" s="1"/>
  <c r="O7" i="90"/>
  <c r="F11" i="60"/>
  <c r="F4" i="60"/>
  <c r="F57" i="5"/>
  <c r="S17" i="97" s="1"/>
  <c r="C8" i="34"/>
  <c r="B24" i="5"/>
  <c r="B34" i="5" s="1"/>
  <c r="B44" i="5" s="1"/>
  <c r="F58" i="5"/>
  <c r="S18" i="97" s="1"/>
  <c r="C9" i="34"/>
  <c r="J28" i="6"/>
  <c r="J29" i="6"/>
  <c r="J30" i="6"/>
  <c r="J31" i="6"/>
  <c r="J32" i="6" s="1"/>
  <c r="J33" i="6" s="1"/>
  <c r="O8" i="82"/>
  <c r="D28" i="82" s="1"/>
  <c r="CQ4" i="61"/>
  <c r="I17" i="27"/>
  <c r="CQ4" i="63"/>
  <c r="D5" i="80"/>
  <c r="D36" i="80" s="1"/>
  <c r="D56" i="80"/>
  <c r="G15" i="97"/>
  <c r="L31" i="97" s="1"/>
  <c r="G16" i="97"/>
  <c r="L32" i="97" s="1"/>
  <c r="X29" i="97"/>
  <c r="Q9" i="94"/>
  <c r="E7" i="94"/>
  <c r="U12" i="94"/>
  <c r="R12" i="94"/>
  <c r="W13" i="94"/>
  <c r="L25" i="94"/>
  <c r="E9" i="79"/>
  <c r="F9" i="79" s="1"/>
  <c r="P40" i="95"/>
  <c r="Q37" i="95"/>
  <c r="Z18" i="82"/>
  <c r="L33" i="94"/>
  <c r="G6" i="94"/>
  <c r="O18" i="82"/>
  <c r="O19" i="82"/>
  <c r="O20" i="82"/>
  <c r="R18" i="82"/>
  <c r="AA18" i="82"/>
  <c r="AA19" i="82"/>
  <c r="J40" i="82"/>
  <c r="I41" i="82"/>
  <c r="H41" i="82"/>
  <c r="C30" i="71"/>
  <c r="C62" i="107"/>
  <c r="W72" i="60"/>
  <c r="W71" i="60"/>
  <c r="W70" i="60"/>
  <c r="X35" i="60"/>
  <c r="W34" i="60" s="1"/>
  <c r="V33" i="60" s="1"/>
  <c r="N36" i="60" s="1"/>
  <c r="U34" i="60"/>
  <c r="U33" i="60" s="1"/>
  <c r="F36" i="60" s="1"/>
  <c r="C12" i="73" s="1"/>
  <c r="F33" i="60"/>
  <c r="R33" i="71"/>
  <c r="R32" i="71"/>
  <c r="R38" i="71"/>
  <c r="R35" i="71"/>
  <c r="R44" i="71"/>
  <c r="R48" i="71"/>
  <c r="R54" i="71"/>
  <c r="R49" i="71"/>
  <c r="R46" i="71"/>
  <c r="P12" i="112"/>
  <c r="P10" i="111"/>
  <c r="P9" i="111"/>
  <c r="P7" i="111"/>
  <c r="A33" i="112"/>
  <c r="A34" i="112" s="1"/>
  <c r="A35" i="112" s="1"/>
  <c r="A36" i="112" s="1"/>
  <c r="A37" i="112" s="1"/>
  <c r="A38" i="112" s="1"/>
  <c r="A39" i="112" s="1"/>
  <c r="A40" i="112" s="1"/>
  <c r="A6" i="112"/>
  <c r="E10" i="6"/>
  <c r="E11" i="6" s="1"/>
  <c r="E12" i="6" s="1"/>
  <c r="E13" i="6" s="1"/>
  <c r="E14" i="6" s="1"/>
  <c r="E15" i="6" s="1"/>
  <c r="E16" i="6" s="1"/>
  <c r="E17" i="6" s="1"/>
  <c r="E18" i="6" s="1"/>
  <c r="AO133" i="60"/>
  <c r="AL4" i="60"/>
  <c r="G120" i="10"/>
  <c r="G119" i="10"/>
  <c r="AO127" i="60"/>
  <c r="AH4" i="60"/>
  <c r="W9" i="6"/>
  <c r="W10" i="6" s="1"/>
  <c r="U9" i="6"/>
  <c r="E7" i="80"/>
  <c r="E114" i="80" s="1"/>
  <c r="E58" i="80"/>
  <c r="E5" i="79"/>
  <c r="E36" i="79" s="1"/>
  <c r="E73" i="79"/>
  <c r="F73" i="79" s="1"/>
  <c r="G73" i="79" s="1"/>
  <c r="H73" i="79" s="1"/>
  <c r="I73" i="79" s="1"/>
  <c r="F7" i="80"/>
  <c r="F114" i="80"/>
  <c r="G7" i="80"/>
  <c r="G114" i="80" s="1"/>
  <c r="G58" i="80"/>
  <c r="E142" i="10"/>
  <c r="G142" i="10"/>
  <c r="H7" i="4"/>
  <c r="AU1" i="112"/>
  <c r="F58" i="80"/>
  <c r="E56" i="79"/>
  <c r="D101" i="80"/>
  <c r="B96" i="80"/>
  <c r="D101" i="79"/>
  <c r="B96" i="79" s="1"/>
  <c r="F9" i="90"/>
  <c r="P63" i="90"/>
  <c r="O18" i="90"/>
  <c r="D114" i="79"/>
  <c r="E7" i="79"/>
  <c r="F9" i="80"/>
  <c r="Q38" i="92"/>
  <c r="Q29" i="92" s="1"/>
  <c r="F6" i="90"/>
  <c r="T31" i="90"/>
  <c r="T28" i="90"/>
  <c r="D59" i="79"/>
  <c r="E8" i="79"/>
  <c r="E59" i="79" s="1"/>
  <c r="F5" i="79"/>
  <c r="F100" i="79"/>
  <c r="G100" i="79"/>
  <c r="H100" i="79" s="1"/>
  <c r="H6" i="76"/>
  <c r="H7" i="80"/>
  <c r="E40" i="79"/>
  <c r="F40" i="79" s="1"/>
  <c r="G40" i="79" s="1"/>
  <c r="H40" i="79" s="1"/>
  <c r="I40" i="79" s="1"/>
  <c r="G32" i="77"/>
  <c r="P18" i="92"/>
  <c r="F7" i="79"/>
  <c r="E58" i="79"/>
  <c r="G9" i="80"/>
  <c r="H9" i="80" s="1"/>
  <c r="H56" i="80" s="1"/>
  <c r="F56" i="80"/>
  <c r="G5" i="79"/>
  <c r="G36" i="79" s="1"/>
  <c r="G6" i="76"/>
  <c r="H58" i="80"/>
  <c r="G56" i="80"/>
  <c r="I9" i="80"/>
  <c r="I56" i="80" s="1"/>
  <c r="A5" i="63"/>
  <c r="A31" i="61"/>
  <c r="A32" i="61" s="1"/>
  <c r="A33" i="61" s="1"/>
  <c r="A34" i="61" s="1"/>
  <c r="A35" i="61" s="1"/>
  <c r="A36" i="61" s="1"/>
  <c r="A37" i="61" s="1"/>
  <c r="A38" i="61" s="1"/>
  <c r="A39" i="61" s="1"/>
  <c r="A40" i="61" s="1"/>
  <c r="A31" i="111"/>
  <c r="A32" i="111" s="1"/>
  <c r="A33" i="111" s="1"/>
  <c r="A34" i="111" s="1"/>
  <c r="A35" i="111" s="1"/>
  <c r="A36" i="111" s="1"/>
  <c r="A37" i="111" s="1"/>
  <c r="A38" i="111" s="1"/>
  <c r="A39" i="111" s="1"/>
  <c r="A40" i="111" s="1"/>
  <c r="P14" i="112"/>
  <c r="P11" i="112"/>
  <c r="P4" i="112"/>
  <c r="A22" i="61"/>
  <c r="A23" i="61" s="1"/>
  <c r="A24" i="61" s="1"/>
  <c r="A25" i="61" s="1"/>
  <c r="A26" i="61" s="1"/>
  <c r="A27" i="61" s="1"/>
  <c r="A7" i="112"/>
  <c r="A8" i="112" s="1"/>
  <c r="A9" i="112" s="1"/>
  <c r="A10" i="112" s="1"/>
  <c r="A19" i="112"/>
  <c r="A20" i="112" s="1"/>
  <c r="A21" i="112" s="1"/>
  <c r="A22" i="112" s="1"/>
  <c r="A23" i="112" s="1"/>
  <c r="A24" i="112" s="1"/>
  <c r="A25" i="112" s="1"/>
  <c r="A26" i="112" s="1"/>
  <c r="A27" i="112" s="1"/>
  <c r="A5" i="61"/>
  <c r="A6" i="61" s="1"/>
  <c r="A7" i="61" s="1"/>
  <c r="A8" i="61" s="1"/>
  <c r="A9" i="61" s="1"/>
  <c r="A10" i="61" s="1"/>
  <c r="A11" i="61" s="1"/>
  <c r="A12" i="61" s="1"/>
  <c r="A13" i="61" s="1"/>
  <c r="A14" i="61" s="1"/>
  <c r="P9" i="63"/>
  <c r="P4" i="63"/>
  <c r="P13" i="63"/>
  <c r="A6" i="63"/>
  <c r="A7" i="63" s="1"/>
  <c r="P6" i="61"/>
  <c r="A44" i="111"/>
  <c r="A44" i="112"/>
  <c r="A45" i="112" s="1"/>
  <c r="A46" i="112" s="1"/>
  <c r="A47" i="112" s="1"/>
  <c r="A48" i="112" s="1"/>
  <c r="A5" i="111"/>
  <c r="A19" i="111"/>
  <c r="P5" i="112"/>
  <c r="P8" i="112"/>
  <c r="P10" i="112"/>
  <c r="P13" i="112"/>
  <c r="P7" i="112"/>
  <c r="P9" i="112"/>
  <c r="P6" i="112"/>
  <c r="P3" i="112"/>
  <c r="P14" i="111"/>
  <c r="P13" i="111"/>
  <c r="P6" i="111"/>
  <c r="P12" i="111"/>
  <c r="P3" i="111"/>
  <c r="P5" i="111"/>
  <c r="P8" i="111"/>
  <c r="P11" i="111"/>
  <c r="P6" i="63"/>
  <c r="P7" i="63"/>
  <c r="P11" i="63"/>
  <c r="P8" i="63"/>
  <c r="P10" i="61"/>
  <c r="P14" i="63"/>
  <c r="P5" i="63"/>
  <c r="P3" i="63"/>
  <c r="A19" i="63"/>
  <c r="A45" i="111"/>
  <c r="A46" i="111" s="1"/>
  <c r="A47" i="111" s="1"/>
  <c r="A48" i="111" s="1"/>
  <c r="A49" i="111" s="1"/>
  <c r="A50" i="111" s="1"/>
  <c r="A51" i="111" s="1"/>
  <c r="A52" i="111" s="1"/>
  <c r="A53" i="111" s="1"/>
  <c r="A20" i="111"/>
  <c r="A6" i="111"/>
  <c r="A7" i="111" s="1"/>
  <c r="A8" i="111" s="1"/>
  <c r="A9" i="111" s="1"/>
  <c r="A10" i="111" s="1"/>
  <c r="A11" i="111" s="1"/>
  <c r="A12" i="111" s="1"/>
  <c r="A13" i="111" s="1"/>
  <c r="A14" i="111" s="1"/>
  <c r="A20" i="63"/>
  <c r="A21" i="63" s="1"/>
  <c r="A22" i="63" s="1"/>
  <c r="A23" i="63" s="1"/>
  <c r="A24" i="63" s="1"/>
  <c r="A25" i="63" s="1"/>
  <c r="A26" i="63" s="1"/>
  <c r="A27" i="63" s="1"/>
  <c r="A8" i="63"/>
  <c r="A9" i="63" s="1"/>
  <c r="A10" i="63" s="1"/>
  <c r="A11" i="63" s="1"/>
  <c r="A12" i="63" s="1"/>
  <c r="A13" i="63" s="1"/>
  <c r="A14" i="63" s="1"/>
  <c r="A21" i="111"/>
  <c r="A22" i="111" s="1"/>
  <c r="A23" i="111" s="1"/>
  <c r="A24" i="111" s="1"/>
  <c r="A25" i="111" s="1"/>
  <c r="A26" i="111" s="1"/>
  <c r="A27" i="111" s="1"/>
  <c r="A11" i="112"/>
  <c r="A12" i="112" s="1"/>
  <c r="A13" i="112" s="1"/>
  <c r="A49" i="112"/>
  <c r="A50" i="112" s="1"/>
  <c r="A51" i="112" s="1"/>
  <c r="A52" i="112" s="1"/>
  <c r="A53" i="112" s="1"/>
  <c r="A14" i="112"/>
  <c r="AD1" i="61"/>
  <c r="AE1" i="61" s="1"/>
  <c r="U13" i="94"/>
  <c r="Q10" i="94"/>
  <c r="V10" i="94"/>
  <c r="AF15" i="90"/>
  <c r="AG15" i="90"/>
  <c r="AF14" i="90"/>
  <c r="AG14" i="90"/>
  <c r="AF9" i="90"/>
  <c r="AG9" i="90" s="1"/>
  <c r="S32" i="90" s="1"/>
  <c r="U13" i="90"/>
  <c r="H18" i="92"/>
  <c r="O16" i="90"/>
  <c r="J18" i="92"/>
  <c r="N18" i="92"/>
  <c r="C9" i="90"/>
  <c r="H19" i="92"/>
  <c r="O17" i="90"/>
  <c r="S26" i="90"/>
  <c r="J19" i="92"/>
  <c r="P19" i="92"/>
  <c r="L19" i="92"/>
  <c r="O12" i="90"/>
  <c r="O20" i="90"/>
  <c r="O19" i="90"/>
  <c r="N22" i="42"/>
  <c r="N23" i="42"/>
  <c r="G61" i="10" s="1"/>
  <c r="M5" i="42"/>
  <c r="C13" i="42" s="1"/>
  <c r="G60" i="10" s="1"/>
  <c r="N40" i="95"/>
  <c r="Q28" i="95"/>
  <c r="Q11" i="94"/>
  <c r="R11" i="94"/>
  <c r="U10" i="94"/>
  <c r="W10" i="94"/>
  <c r="W14" i="94" s="1"/>
  <c r="P20" i="94"/>
  <c r="Q20" i="94" s="1"/>
  <c r="D9" i="94" s="1"/>
  <c r="AF13" i="90"/>
  <c r="AG13" i="90"/>
  <c r="W9" i="90"/>
  <c r="X9" i="90" s="1"/>
  <c r="G10" i="90"/>
  <c r="W22" i="6"/>
  <c r="C24" i="6"/>
  <c r="L55" i="5"/>
  <c r="CW4" i="111"/>
  <c r="CW4" i="63"/>
  <c r="CW4" i="61"/>
  <c r="CW4" i="112"/>
  <c r="C23" i="33"/>
  <c r="I23" i="33" s="1"/>
  <c r="E71" i="1"/>
  <c r="F71" i="1" s="1"/>
  <c r="G71" i="1" s="1"/>
  <c r="H71" i="1" s="1"/>
  <c r="I71" i="1" s="1"/>
  <c r="J22" i="107"/>
  <c r="X37" i="61"/>
  <c r="X51" i="111"/>
  <c r="X32" i="111"/>
  <c r="Q35" i="107"/>
  <c r="C35" i="107" s="1"/>
  <c r="E5" i="11"/>
  <c r="F5" i="11" s="1"/>
  <c r="CM10" i="111"/>
  <c r="Y80" i="60"/>
  <c r="J46" i="107"/>
  <c r="X18" i="61"/>
  <c r="X10" i="61"/>
  <c r="X47" i="61"/>
  <c r="B17" i="4"/>
  <c r="AV21" i="111"/>
  <c r="H4" i="46"/>
  <c r="AV8" i="63"/>
  <c r="AV22" i="63"/>
  <c r="AV52" i="63"/>
  <c r="AV20" i="63"/>
  <c r="AV47" i="63"/>
  <c r="AV3" i="63"/>
  <c r="AV40" i="63"/>
  <c r="AV24" i="63"/>
  <c r="AV4" i="63"/>
  <c r="AV38" i="63"/>
  <c r="AV18" i="63"/>
  <c r="AV46" i="63"/>
  <c r="AV29" i="63"/>
  <c r="AV53" i="63"/>
  <c r="AV9" i="63"/>
  <c r="AV30" i="63"/>
  <c r="AV45" i="63"/>
  <c r="E7" i="8"/>
  <c r="F7" i="8" s="1"/>
  <c r="F152" i="8" s="1"/>
  <c r="D36" i="8"/>
  <c r="T15" i="66"/>
  <c r="D12" i="66" s="1"/>
  <c r="T15" i="48"/>
  <c r="D12" i="48" s="1"/>
  <c r="X11" i="112"/>
  <c r="Q35" i="64"/>
  <c r="C35" i="64" s="1"/>
  <c r="AV49" i="112"/>
  <c r="D51" i="37"/>
  <c r="C20" i="42"/>
  <c r="C5" i="35"/>
  <c r="A7" i="35"/>
  <c r="AA4" i="114"/>
  <c r="G96" i="60"/>
  <c r="C22" i="92" s="1"/>
  <c r="I4" i="4"/>
  <c r="H4" i="48"/>
  <c r="D3" i="4"/>
  <c r="I4" i="56"/>
  <c r="H4" i="38"/>
  <c r="B59" i="8"/>
  <c r="D59" i="8" s="1"/>
  <c r="D61" i="8" s="1"/>
  <c r="D62" i="8" s="1"/>
  <c r="D112" i="8"/>
  <c r="D57" i="8"/>
  <c r="D104" i="8"/>
  <c r="H12" i="4"/>
  <c r="H12" i="56" s="1"/>
  <c r="D35" i="1"/>
  <c r="J15" i="77"/>
  <c r="G15" i="77" s="1"/>
  <c r="I8" i="60"/>
  <c r="D6" i="16" s="1"/>
  <c r="B13" i="16" s="1"/>
  <c r="F11" i="97"/>
  <c r="U11" i="97" s="1"/>
  <c r="H4" i="53"/>
  <c r="D15" i="53" s="1"/>
  <c r="D28" i="53" s="1"/>
  <c r="D41" i="53" s="1"/>
  <c r="C3" i="94"/>
  <c r="H4" i="37"/>
  <c r="H4" i="47"/>
  <c r="K10" i="90" l="1"/>
  <c r="Z9" i="90"/>
  <c r="D5" i="109"/>
  <c r="B23" i="109" s="1"/>
  <c r="E35" i="64"/>
  <c r="F46" i="60"/>
  <c r="D5" i="21"/>
  <c r="B23" i="21" s="1"/>
  <c r="U70" i="60"/>
  <c r="M69" i="60"/>
  <c r="E35" i="107"/>
  <c r="S34" i="90"/>
  <c r="D12" i="90"/>
  <c r="Q30" i="95"/>
  <c r="Z20" i="82"/>
  <c r="G9" i="79"/>
  <c r="F56" i="79"/>
  <c r="D10" i="97"/>
  <c r="C8" i="90"/>
  <c r="C19" i="94"/>
  <c r="L29" i="94"/>
  <c r="D11" i="16"/>
  <c r="Z9" i="102"/>
  <c r="T7" i="6"/>
  <c r="AA13" i="111"/>
  <c r="AA8" i="61"/>
  <c r="AA5" i="63"/>
  <c r="AA8" i="112"/>
  <c r="AA3" i="61"/>
  <c r="AA6" i="61"/>
  <c r="AA9" i="61"/>
  <c r="AA6" i="63"/>
  <c r="AH54" i="60"/>
  <c r="AI54" i="60"/>
  <c r="Q34" i="95"/>
  <c r="P12" i="61"/>
  <c r="F3" i="63"/>
  <c r="J14" i="73" s="1"/>
  <c r="P14" i="61"/>
  <c r="R8" i="94"/>
  <c r="AB38" i="63"/>
  <c r="AB40" i="61"/>
  <c r="B53" i="5"/>
  <c r="B63" i="5" s="1"/>
  <c r="D27" i="82"/>
  <c r="D2" i="18"/>
  <c r="D11" i="1"/>
  <c r="AA4" i="63"/>
  <c r="AI18" i="90"/>
  <c r="P24" i="90" s="1"/>
  <c r="AA5" i="56"/>
  <c r="AB38" i="61"/>
  <c r="E5" i="80"/>
  <c r="E36" i="80" s="1"/>
  <c r="Q37" i="92"/>
  <c r="V7" i="6"/>
  <c r="H7" i="6" s="1"/>
  <c r="AA13" i="63"/>
  <c r="AA11" i="61"/>
  <c r="O27" i="77"/>
  <c r="J32" i="77" s="1"/>
  <c r="E45" i="30"/>
  <c r="AG16" i="61"/>
  <c r="AG18" i="63"/>
  <c r="AG27" i="63"/>
  <c r="AG24" i="111"/>
  <c r="AG22" i="112"/>
  <c r="AB108" i="60"/>
  <c r="AG25" i="61"/>
  <c r="AG21" i="63"/>
  <c r="AG19" i="61"/>
  <c r="AG27" i="61"/>
  <c r="AG26" i="63"/>
  <c r="J70" i="60"/>
  <c r="AO201" i="60" s="1"/>
  <c r="D14" i="1"/>
  <c r="A33" i="5"/>
  <c r="D12" i="18" s="1"/>
  <c r="AB32" i="111"/>
  <c r="AB32" i="61"/>
  <c r="AB29" i="61"/>
  <c r="AB40" i="111"/>
  <c r="AB34" i="112"/>
  <c r="AB36" i="111"/>
  <c r="D2" i="19"/>
  <c r="C5" i="19" s="1"/>
  <c r="D2" i="79"/>
  <c r="D2" i="14"/>
  <c r="D2" i="11"/>
  <c r="D2" i="15"/>
  <c r="D2" i="17"/>
  <c r="C5" i="17" s="1"/>
  <c r="A6" i="5"/>
  <c r="A15" i="5"/>
  <c r="AD57" i="60" a="1"/>
  <c r="P11" i="61"/>
  <c r="P5" i="61"/>
  <c r="E106" i="79"/>
  <c r="E109" i="79" s="1"/>
  <c r="AB30" i="61"/>
  <c r="P3" i="61"/>
  <c r="F8" i="79"/>
  <c r="W19" i="82"/>
  <c r="D59" i="80"/>
  <c r="U17" i="97"/>
  <c r="C33" i="64"/>
  <c r="AB31" i="63"/>
  <c r="AB35" i="63"/>
  <c r="AB36" i="61"/>
  <c r="U4" i="5"/>
  <c r="D2" i="80"/>
  <c r="Z9" i="99"/>
  <c r="D4" i="14"/>
  <c r="D4" i="11"/>
  <c r="D4" i="13"/>
  <c r="D4" i="19"/>
  <c r="D4" i="17"/>
  <c r="U9" i="94"/>
  <c r="CV3" i="63"/>
  <c r="E35" i="5"/>
  <c r="CV4" i="63" s="1"/>
  <c r="P13" i="61"/>
  <c r="AB29" i="63"/>
  <c r="D13" i="16"/>
  <c r="D106" i="80"/>
  <c r="W17" i="97"/>
  <c r="W26" i="97" s="1"/>
  <c r="AB37" i="63"/>
  <c r="AB31" i="61"/>
  <c r="AB35" i="61"/>
  <c r="AE3" i="4"/>
  <c r="AF2" i="4" s="1"/>
  <c r="AB9" i="100"/>
  <c r="CQ6" i="112"/>
  <c r="CQ6" i="111"/>
  <c r="CQ6" i="63"/>
  <c r="L57" i="5"/>
  <c r="CW6" i="61" s="1"/>
  <c r="CQ7" i="111"/>
  <c r="L58" i="5"/>
  <c r="CQ7" i="61"/>
  <c r="CQ7" i="63"/>
  <c r="AD58" i="60" a="1"/>
  <c r="AA14" i="111"/>
  <c r="P9" i="61"/>
  <c r="V8" i="94"/>
  <c r="P7" i="61"/>
  <c r="V14" i="94"/>
  <c r="L30" i="94" s="1"/>
  <c r="F8" i="80"/>
  <c r="Q39" i="92"/>
  <c r="AB40" i="63"/>
  <c r="AB34" i="61"/>
  <c r="AA14" i="63"/>
  <c r="AA11" i="63"/>
  <c r="AA9" i="63"/>
  <c r="AA7" i="63"/>
  <c r="AA3" i="111"/>
  <c r="U8" i="94"/>
  <c r="AC9" i="99"/>
  <c r="AC10" i="99" s="1"/>
  <c r="AC11" i="99" s="1"/>
  <c r="AC12" i="99" s="1"/>
  <c r="AC13" i="99" s="1"/>
  <c r="AC14" i="99" s="1"/>
  <c r="AC15" i="99" s="1"/>
  <c r="AC16" i="99" s="1"/>
  <c r="AC17" i="99" s="1"/>
  <c r="AC18" i="99" s="1"/>
  <c r="AC19" i="99" s="1"/>
  <c r="AC20" i="99" s="1"/>
  <c r="AC9" i="102"/>
  <c r="AC10" i="102" s="1"/>
  <c r="AC11" i="102" s="1"/>
  <c r="AC12" i="102" s="1"/>
  <c r="AC13" i="102" s="1"/>
  <c r="AC14" i="102" s="1"/>
  <c r="AC15" i="102" s="1"/>
  <c r="AC16" i="102" s="1"/>
  <c r="AC17" i="102" s="1"/>
  <c r="AC18" i="102" s="1"/>
  <c r="AC19" i="102" s="1"/>
  <c r="AC20" i="102" s="1"/>
  <c r="E59" i="80"/>
  <c r="E101" i="80"/>
  <c r="AB34" i="63"/>
  <c r="D14" i="80"/>
  <c r="V9" i="90"/>
  <c r="P4" i="61"/>
  <c r="F101" i="80"/>
  <c r="J12" i="73"/>
  <c r="T11" i="94"/>
  <c r="U11" i="94" s="1"/>
  <c r="AB39" i="63"/>
  <c r="AB33" i="63"/>
  <c r="E2" i="14"/>
  <c r="E2" i="18"/>
  <c r="D2" i="13"/>
  <c r="C5" i="13" s="1"/>
  <c r="D12" i="16"/>
  <c r="AA3" i="63"/>
  <c r="P12" i="63"/>
  <c r="P10" i="63"/>
  <c r="S21" i="97"/>
  <c r="Q12" i="94"/>
  <c r="Q14" i="94" s="1"/>
  <c r="V12" i="94"/>
  <c r="A24" i="5"/>
  <c r="A34" i="5" s="1"/>
  <c r="A44" i="5" s="1"/>
  <c r="A54" i="5" s="1"/>
  <c r="A64" i="5" s="1"/>
  <c r="D14" i="5"/>
  <c r="T12" i="37"/>
  <c r="D11" i="37" s="1"/>
  <c r="AG16" i="90"/>
  <c r="AG18" i="90" s="1"/>
  <c r="S30" i="90" s="1"/>
  <c r="B85" i="1"/>
  <c r="R34" i="71"/>
  <c r="K70" i="60"/>
  <c r="G24" i="65"/>
  <c r="B85" i="8"/>
  <c r="H23" i="109"/>
  <c r="T23" i="109" s="1"/>
  <c r="AF3" i="111" s="1"/>
  <c r="AW3" i="111" s="1"/>
  <c r="BV3" i="111" s="1"/>
  <c r="BW3" i="111" s="1"/>
  <c r="K42" i="64"/>
  <c r="D99" i="8"/>
  <c r="B94" i="8" s="1"/>
  <c r="D99" i="1"/>
  <c r="B94" i="1" s="1"/>
  <c r="W19" i="112"/>
  <c r="N75" i="60"/>
  <c r="S21" i="56"/>
  <c r="W18" i="111"/>
  <c r="N76" i="60"/>
  <c r="Y54" i="60"/>
  <c r="AD56" i="60" s="1" a="1"/>
  <c r="W25" i="112"/>
  <c r="V9" i="103"/>
  <c r="V10" i="103" s="1"/>
  <c r="V11" i="103" s="1"/>
  <c r="V12" i="103" s="1"/>
  <c r="V13" i="103" s="1"/>
  <c r="V14" i="103" s="1"/>
  <c r="V15" i="103" s="1"/>
  <c r="V16" i="103" s="1"/>
  <c r="V17" i="103" s="1"/>
  <c r="V18" i="103" s="1"/>
  <c r="V19" i="103" s="1"/>
  <c r="V20" i="103" s="1"/>
  <c r="AF17" i="90"/>
  <c r="AG17" i="90" s="1"/>
  <c r="D17" i="13"/>
  <c r="B59" i="1"/>
  <c r="D60" i="1" s="1"/>
  <c r="R50" i="71"/>
  <c r="R36" i="71"/>
  <c r="W26" i="111"/>
  <c r="BL3" i="63"/>
  <c r="BL4" i="63" s="1"/>
  <c r="BL5" i="63" s="1"/>
  <c r="BL6" i="63" s="1"/>
  <c r="BL7" i="63" s="1"/>
  <c r="BL8" i="63" s="1"/>
  <c r="BL9" i="63" s="1"/>
  <c r="BL10" i="63" s="1"/>
  <c r="BL11" i="63" s="1"/>
  <c r="BL12" i="63" s="1"/>
  <c r="BL13" i="63" s="1"/>
  <c r="BL14" i="63" s="1"/>
  <c r="BL15" i="63" s="1"/>
  <c r="BL16" i="63" s="1"/>
  <c r="BL17" i="63" s="1"/>
  <c r="BL18" i="63" s="1"/>
  <c r="BL19" i="63" s="1"/>
  <c r="BL20" i="63" s="1"/>
  <c r="BL21" i="63" s="1"/>
  <c r="BL22" i="63" s="1"/>
  <c r="BL23" i="63" s="1"/>
  <c r="BL24" i="63" s="1"/>
  <c r="BL25" i="63" s="1"/>
  <c r="BL26" i="63" s="1"/>
  <c r="BL27" i="63" s="1"/>
  <c r="BL28" i="63" s="1"/>
  <c r="BL29" i="63" s="1"/>
  <c r="BL30" i="63" s="1"/>
  <c r="BL31" i="63" s="1"/>
  <c r="BL32" i="63" s="1"/>
  <c r="BL33" i="63" s="1"/>
  <c r="BL34" i="63" s="1"/>
  <c r="BL35" i="63" s="1"/>
  <c r="BL36" i="63" s="1"/>
  <c r="BL37" i="63" s="1"/>
  <c r="BL38" i="63" s="1"/>
  <c r="BL39" i="63" s="1"/>
  <c r="BL40" i="63" s="1"/>
  <c r="D51" i="65"/>
  <c r="D51" i="48"/>
  <c r="D51" i="66"/>
  <c r="D53" i="54"/>
  <c r="M30" i="42"/>
  <c r="B20" i="42"/>
  <c r="AO225" i="60"/>
  <c r="X23" i="111"/>
  <c r="X47" i="111"/>
  <c r="X11" i="111"/>
  <c r="X10" i="111"/>
  <c r="X5" i="112"/>
  <c r="X8" i="61"/>
  <c r="X34" i="111"/>
  <c r="X7" i="112"/>
  <c r="X12" i="112"/>
  <c r="X42" i="112"/>
  <c r="X44" i="111"/>
  <c r="X24" i="111"/>
  <c r="X25" i="111"/>
  <c r="AO126" i="60"/>
  <c r="E15" i="110"/>
  <c r="BJ3" i="61"/>
  <c r="BJ4" i="61" s="1"/>
  <c r="BJ5" i="61" s="1"/>
  <c r="BJ6" i="61" s="1"/>
  <c r="BJ7" i="61" s="1"/>
  <c r="BJ8" i="61" s="1"/>
  <c r="BJ9" i="61" s="1"/>
  <c r="BJ10" i="61" s="1"/>
  <c r="BJ11" i="61" s="1"/>
  <c r="BJ12" i="61" s="1"/>
  <c r="BJ13" i="61" s="1"/>
  <c r="BJ14" i="61" s="1"/>
  <c r="BJ15" i="61" s="1"/>
  <c r="BJ16" i="61" s="1"/>
  <c r="BJ17" i="61" s="1"/>
  <c r="BJ18" i="61" s="1"/>
  <c r="BJ19" i="61" s="1"/>
  <c r="BJ20" i="61" s="1"/>
  <c r="BJ21" i="61" s="1"/>
  <c r="BJ22" i="61" s="1"/>
  <c r="BJ23" i="61" s="1"/>
  <c r="BJ24" i="61" s="1"/>
  <c r="BJ25" i="61" s="1"/>
  <c r="BJ26" i="61" s="1"/>
  <c r="BJ27" i="61" s="1"/>
  <c r="BJ28" i="61" s="1"/>
  <c r="BJ29" i="61" s="1"/>
  <c r="BJ30" i="61" s="1"/>
  <c r="BJ31" i="61" s="1"/>
  <c r="BJ32" i="61" s="1"/>
  <c r="BJ33" i="61" s="1"/>
  <c r="BJ34" i="61" s="1"/>
  <c r="BJ35" i="61" s="1"/>
  <c r="BJ36" i="61" s="1"/>
  <c r="BJ37" i="61" s="1"/>
  <c r="BJ38" i="61" s="1"/>
  <c r="BJ39" i="61" s="1"/>
  <c r="BJ40" i="61" s="1"/>
  <c r="V21" i="111"/>
  <c r="AV43" i="112"/>
  <c r="AV42" i="112"/>
  <c r="AV22" i="112"/>
  <c r="AV34" i="112"/>
  <c r="AV26" i="112"/>
  <c r="AV48" i="61"/>
  <c r="AV7" i="61"/>
  <c r="X4" i="112"/>
  <c r="X16" i="112"/>
  <c r="X16" i="111"/>
  <c r="X29" i="111"/>
  <c r="X8" i="112"/>
  <c r="X17" i="111"/>
  <c r="X52" i="112"/>
  <c r="X48" i="111"/>
  <c r="X13" i="111"/>
  <c r="X9" i="111"/>
  <c r="X14" i="112"/>
  <c r="X53" i="112"/>
  <c r="X22" i="112"/>
  <c r="X46" i="112"/>
  <c r="X8" i="111"/>
  <c r="X33" i="111"/>
  <c r="X31" i="112"/>
  <c r="X37" i="111"/>
  <c r="X51" i="112"/>
  <c r="X48" i="112"/>
  <c r="X38" i="111"/>
  <c r="X46" i="111"/>
  <c r="X30" i="112"/>
  <c r="X6" i="111"/>
  <c r="X40" i="112"/>
  <c r="X14" i="111"/>
  <c r="X31" i="111"/>
  <c r="X9" i="112"/>
  <c r="X21" i="112"/>
  <c r="X4" i="111"/>
  <c r="X49" i="111"/>
  <c r="E6" i="109"/>
  <c r="V73" i="60"/>
  <c r="D17" i="11"/>
  <c r="D19" i="11" s="1"/>
  <c r="I13" i="60" s="1"/>
  <c r="F20" i="107" s="1"/>
  <c r="D15" i="16"/>
  <c r="E15" i="16" s="1"/>
  <c r="F15" i="16" s="1"/>
  <c r="G15" i="16" s="1"/>
  <c r="H15" i="16" s="1"/>
  <c r="I15" i="16" s="1"/>
  <c r="J36" i="64"/>
  <c r="S36" i="64" s="1"/>
  <c r="AV32" i="112"/>
  <c r="AV39" i="112"/>
  <c r="AV27" i="112"/>
  <c r="AV33" i="112"/>
  <c r="AV6" i="112"/>
  <c r="AV52" i="112"/>
  <c r="AV12" i="112"/>
  <c r="AV37" i="112"/>
  <c r="AV36" i="63"/>
  <c r="AV12" i="63"/>
  <c r="AV17" i="112"/>
  <c r="AV25" i="112"/>
  <c r="AV3" i="112"/>
  <c r="AV31" i="112"/>
  <c r="AV10" i="112"/>
  <c r="AV45" i="112"/>
  <c r="AV34" i="63"/>
  <c r="AV13" i="112"/>
  <c r="AV18" i="112"/>
  <c r="AV53" i="112"/>
  <c r="AV29" i="112"/>
  <c r="AV7" i="112"/>
  <c r="AV19" i="112"/>
  <c r="AV20" i="112"/>
  <c r="AV21" i="112"/>
  <c r="AV16" i="112"/>
  <c r="AV44" i="112"/>
  <c r="AV9" i="112"/>
  <c r="AV46" i="112"/>
  <c r="AV24" i="112"/>
  <c r="AV23" i="112"/>
  <c r="AV14" i="112"/>
  <c r="AV51" i="112"/>
  <c r="AV25" i="63"/>
  <c r="AV47" i="112"/>
  <c r="AV35" i="112"/>
  <c r="AV48" i="112"/>
  <c r="AV5" i="112"/>
  <c r="AV36" i="112"/>
  <c r="AV11" i="112"/>
  <c r="AV7" i="63"/>
  <c r="AV40" i="112"/>
  <c r="AV4" i="112"/>
  <c r="AV27" i="63"/>
  <c r="AV38" i="112"/>
  <c r="AV30" i="112"/>
  <c r="AV50" i="112"/>
  <c r="AV48" i="111"/>
  <c r="AV39" i="111"/>
  <c r="AV31" i="111"/>
  <c r="AV42" i="111"/>
  <c r="AV37" i="111"/>
  <c r="AV4" i="111"/>
  <c r="AV7" i="111"/>
  <c r="AV32" i="111"/>
  <c r="AV26" i="111"/>
  <c r="AV27" i="111"/>
  <c r="AV22" i="111"/>
  <c r="AV51" i="111"/>
  <c r="AV45" i="111"/>
  <c r="AV13" i="111"/>
  <c r="AV20" i="111"/>
  <c r="AV35" i="111"/>
  <c r="G116" i="10"/>
  <c r="K43" i="64"/>
  <c r="E16" i="62"/>
  <c r="N69" i="60"/>
  <c r="E5" i="62" s="1"/>
  <c r="J39" i="107"/>
  <c r="S39" i="107" s="1"/>
  <c r="Y73" i="60"/>
  <c r="AO226" i="60"/>
  <c r="V70" i="60"/>
  <c r="J36" i="107"/>
  <c r="S36" i="107" s="1"/>
  <c r="Y70" i="60"/>
  <c r="AO223" i="60"/>
  <c r="AV21" i="63"/>
  <c r="AV11" i="63"/>
  <c r="AV39" i="63"/>
  <c r="AV50" i="63"/>
  <c r="AV31" i="63"/>
  <c r="AV10" i="63"/>
  <c r="AV6" i="63"/>
  <c r="AV23" i="63"/>
  <c r="AV44" i="63"/>
  <c r="AV48" i="63"/>
  <c r="AV33" i="63"/>
  <c r="AV32" i="63"/>
  <c r="AV42" i="63"/>
  <c r="AV16" i="63"/>
  <c r="AV14" i="63"/>
  <c r="AV37" i="63"/>
  <c r="AV49" i="63"/>
  <c r="AV19" i="63"/>
  <c r="AV51" i="63"/>
  <c r="AV5" i="63"/>
  <c r="AV43" i="63"/>
  <c r="AV35" i="63"/>
  <c r="AV26" i="63"/>
  <c r="AV17" i="63"/>
  <c r="AV38" i="111"/>
  <c r="AV36" i="111"/>
  <c r="X29" i="61"/>
  <c r="X52" i="61"/>
  <c r="X11" i="61"/>
  <c r="X14" i="61"/>
  <c r="X39" i="61"/>
  <c r="X6" i="61"/>
  <c r="X38" i="61"/>
  <c r="X26" i="61"/>
  <c r="X21" i="61"/>
  <c r="X34" i="63"/>
  <c r="X3" i="61"/>
  <c r="X31" i="63"/>
  <c r="X19" i="61"/>
  <c r="X45" i="61"/>
  <c r="X53" i="61"/>
  <c r="X47" i="63"/>
  <c r="X17" i="61"/>
  <c r="X16" i="61"/>
  <c r="X36" i="61"/>
  <c r="X20" i="61"/>
  <c r="X7" i="61"/>
  <c r="X33" i="63"/>
  <c r="X17" i="63"/>
  <c r="X50" i="61"/>
  <c r="BU3" i="61"/>
  <c r="BU4" i="61" s="1"/>
  <c r="BU5" i="61" s="1"/>
  <c r="BU6" i="61" s="1"/>
  <c r="BU7" i="61" s="1"/>
  <c r="BU8" i="61" s="1"/>
  <c r="BU9" i="61" s="1"/>
  <c r="BU10" i="61" s="1"/>
  <c r="BU11" i="61" s="1"/>
  <c r="BU12" i="61" s="1"/>
  <c r="BU13" i="61" s="1"/>
  <c r="BU14" i="61" s="1"/>
  <c r="BU16" i="61" s="1"/>
  <c r="BU17" i="61" s="1"/>
  <c r="BU18" i="61" s="1"/>
  <c r="BU19" i="61" s="1"/>
  <c r="BU20" i="61" s="1"/>
  <c r="BU21" i="61" s="1"/>
  <c r="BU22" i="61" s="1"/>
  <c r="BU23" i="61" s="1"/>
  <c r="BU24" i="61" s="1"/>
  <c r="BU25" i="61" s="1"/>
  <c r="BU26" i="61" s="1"/>
  <c r="BU27" i="61" s="1"/>
  <c r="BU29" i="61" s="1"/>
  <c r="BU30" i="61" s="1"/>
  <c r="BU31" i="61" s="1"/>
  <c r="BU32" i="61" s="1"/>
  <c r="BU33" i="61" s="1"/>
  <c r="BU34" i="61" s="1"/>
  <c r="BU35" i="61" s="1"/>
  <c r="BU36" i="61" s="1"/>
  <c r="BU37" i="61" s="1"/>
  <c r="BU38" i="61" s="1"/>
  <c r="BU39" i="61" s="1"/>
  <c r="BU40" i="61" s="1"/>
  <c r="X25" i="61"/>
  <c r="X46" i="61"/>
  <c r="X49" i="61"/>
  <c r="X23" i="61"/>
  <c r="X44" i="61"/>
  <c r="X33" i="61"/>
  <c r="X4" i="61"/>
  <c r="X42" i="61"/>
  <c r="X22" i="61"/>
  <c r="X30" i="61"/>
  <c r="X12" i="61"/>
  <c r="G35" i="107"/>
  <c r="F5" i="21"/>
  <c r="G23" i="21" s="1"/>
  <c r="S23" i="21" s="1"/>
  <c r="S3" i="61" s="1"/>
  <c r="F14" i="73" s="1"/>
  <c r="G35" i="64"/>
  <c r="F5" i="109"/>
  <c r="G23" i="109" s="1"/>
  <c r="S23" i="109" s="1"/>
  <c r="S3" i="111" s="1"/>
  <c r="F35" i="64"/>
  <c r="E5" i="109"/>
  <c r="E5" i="21"/>
  <c r="E15" i="13"/>
  <c r="F15" i="13" s="1"/>
  <c r="G15" i="13" s="1"/>
  <c r="H15" i="13" s="1"/>
  <c r="I15" i="13" s="1"/>
  <c r="K3" i="64"/>
  <c r="J15" i="107"/>
  <c r="I15" i="107" s="1"/>
  <c r="J15" i="64"/>
  <c r="I15" i="64" s="1"/>
  <c r="BL3" i="111"/>
  <c r="BL4" i="111" s="1"/>
  <c r="BL5" i="111" s="1"/>
  <c r="BL6" i="111" s="1"/>
  <c r="BL7" i="111" s="1"/>
  <c r="BL8" i="111" s="1"/>
  <c r="BL9" i="111" s="1"/>
  <c r="BL10" i="111" s="1"/>
  <c r="BL11" i="111" s="1"/>
  <c r="BL12" i="111" s="1"/>
  <c r="BL13" i="111" s="1"/>
  <c r="BL14" i="111" s="1"/>
  <c r="BL15" i="111" s="1"/>
  <c r="BL16" i="111" s="1"/>
  <c r="BL17" i="111" s="1"/>
  <c r="BL18" i="111" s="1"/>
  <c r="BL19" i="111" s="1"/>
  <c r="BL20" i="111" s="1"/>
  <c r="BL21" i="111" s="1"/>
  <c r="BL22" i="111" s="1"/>
  <c r="BL23" i="111" s="1"/>
  <c r="BL24" i="111" s="1"/>
  <c r="BL25" i="111" s="1"/>
  <c r="BL26" i="111" s="1"/>
  <c r="BL27" i="111" s="1"/>
  <c r="BL28" i="111" s="1"/>
  <c r="BL29" i="111" s="1"/>
  <c r="BL30" i="111" s="1"/>
  <c r="BL31" i="111" s="1"/>
  <c r="BL32" i="111" s="1"/>
  <c r="BL33" i="111" s="1"/>
  <c r="BL34" i="111" s="1"/>
  <c r="BL35" i="111" s="1"/>
  <c r="BL36" i="111" s="1"/>
  <c r="BL37" i="111" s="1"/>
  <c r="BL38" i="111" s="1"/>
  <c r="BL39" i="111" s="1"/>
  <c r="BL40" i="111" s="1"/>
  <c r="BJ3" i="63"/>
  <c r="BJ4" i="63" s="1"/>
  <c r="BJ5" i="63" s="1"/>
  <c r="BJ6" i="63" s="1"/>
  <c r="BJ7" i="63" s="1"/>
  <c r="BJ8" i="63" s="1"/>
  <c r="BJ9" i="63" s="1"/>
  <c r="BJ10" i="63" s="1"/>
  <c r="BJ11" i="63" s="1"/>
  <c r="BJ12" i="63" s="1"/>
  <c r="BJ13" i="63" s="1"/>
  <c r="BJ14" i="63" s="1"/>
  <c r="BJ15" i="63" s="1"/>
  <c r="BJ16" i="63" s="1"/>
  <c r="BJ17" i="63" s="1"/>
  <c r="BJ18" i="63" s="1"/>
  <c r="BJ19" i="63" s="1"/>
  <c r="BJ20" i="63" s="1"/>
  <c r="BJ21" i="63" s="1"/>
  <c r="BJ22" i="63" s="1"/>
  <c r="BJ23" i="63" s="1"/>
  <c r="BJ24" i="63" s="1"/>
  <c r="BJ25" i="63" s="1"/>
  <c r="BJ26" i="63" s="1"/>
  <c r="BJ27" i="63" s="1"/>
  <c r="BJ28" i="63" s="1"/>
  <c r="BJ29" i="63" s="1"/>
  <c r="BJ30" i="63" s="1"/>
  <c r="BJ31" i="63" s="1"/>
  <c r="BJ32" i="63" s="1"/>
  <c r="BJ33" i="63" s="1"/>
  <c r="BJ34" i="63" s="1"/>
  <c r="BJ35" i="63" s="1"/>
  <c r="BJ36" i="63" s="1"/>
  <c r="BJ37" i="63" s="1"/>
  <c r="BJ38" i="63" s="1"/>
  <c r="BJ39" i="63" s="1"/>
  <c r="BJ40" i="63" s="1"/>
  <c r="AD57" i="60"/>
  <c r="J39" i="64"/>
  <c r="S39" i="64" s="1"/>
  <c r="V74" i="60"/>
  <c r="Y72" i="60"/>
  <c r="J38" i="107"/>
  <c r="S38" i="107" s="1"/>
  <c r="J38" i="64"/>
  <c r="S38" i="64" s="1"/>
  <c r="J37" i="107"/>
  <c r="S37" i="107" s="1"/>
  <c r="J37" i="64"/>
  <c r="S37" i="64" s="1"/>
  <c r="D17" i="19"/>
  <c r="D19" i="19" s="1"/>
  <c r="V20" i="61"/>
  <c r="V17" i="61"/>
  <c r="AV14" i="61"/>
  <c r="AV34" i="61"/>
  <c r="AV52" i="61"/>
  <c r="AV37" i="61"/>
  <c r="AV46" i="61"/>
  <c r="AV38" i="61"/>
  <c r="AV49" i="61"/>
  <c r="AV19" i="61"/>
  <c r="AV29" i="61"/>
  <c r="AV9" i="61"/>
  <c r="AV18" i="61"/>
  <c r="AV53" i="61"/>
  <c r="AV44" i="61"/>
  <c r="AV50" i="61"/>
  <c r="AV11" i="61"/>
  <c r="AV30" i="61"/>
  <c r="AV23" i="61"/>
  <c r="AV45" i="61"/>
  <c r="AV31" i="61"/>
  <c r="AV47" i="61"/>
  <c r="AV26" i="61"/>
  <c r="AV36" i="61"/>
  <c r="AV5" i="61"/>
  <c r="AV27" i="61"/>
  <c r="AV51" i="61"/>
  <c r="AV13" i="61"/>
  <c r="AV6" i="61"/>
  <c r="AV33" i="61"/>
  <c r="AV8" i="61"/>
  <c r="AV22" i="61"/>
  <c r="AL7" i="60"/>
  <c r="X35" i="61"/>
  <c r="X32" i="61"/>
  <c r="X31" i="61"/>
  <c r="BU3" i="63"/>
  <c r="BU4" i="63" s="1"/>
  <c r="BU5" i="63" s="1"/>
  <c r="BU6" i="63" s="1"/>
  <c r="BU7" i="63" s="1"/>
  <c r="BU8" i="63" s="1"/>
  <c r="BU9" i="63" s="1"/>
  <c r="BU10" i="63" s="1"/>
  <c r="BU11" i="63" s="1"/>
  <c r="BU12" i="63" s="1"/>
  <c r="BU13" i="63" s="1"/>
  <c r="BU14" i="63" s="1"/>
  <c r="BU16" i="63" s="1"/>
  <c r="BU17" i="63" s="1"/>
  <c r="BU18" i="63" s="1"/>
  <c r="BU19" i="63" s="1"/>
  <c r="BU20" i="63" s="1"/>
  <c r="BU21" i="63" s="1"/>
  <c r="BU22" i="63" s="1"/>
  <c r="BU23" i="63" s="1"/>
  <c r="BU24" i="63" s="1"/>
  <c r="BU25" i="63" s="1"/>
  <c r="BU26" i="63" s="1"/>
  <c r="BU27" i="63" s="1"/>
  <c r="BU29" i="63" s="1"/>
  <c r="BU30" i="63" s="1"/>
  <c r="BU31" i="63" s="1"/>
  <c r="BU32" i="63" s="1"/>
  <c r="BU33" i="63" s="1"/>
  <c r="BU34" i="63" s="1"/>
  <c r="BU35" i="63" s="1"/>
  <c r="BU36" i="63" s="1"/>
  <c r="BU37" i="63" s="1"/>
  <c r="BU38" i="63" s="1"/>
  <c r="BU39" i="63" s="1"/>
  <c r="BU40" i="63" s="1"/>
  <c r="X27" i="61"/>
  <c r="X48" i="61"/>
  <c r="X9" i="61"/>
  <c r="X4" i="63"/>
  <c r="X34" i="61"/>
  <c r="X5" i="61"/>
  <c r="X24" i="61"/>
  <c r="AH7" i="60"/>
  <c r="X42" i="63"/>
  <c r="X16" i="63"/>
  <c r="X39" i="63"/>
  <c r="X30" i="63"/>
  <c r="X24" i="63"/>
  <c r="X13" i="61"/>
  <c r="X51" i="61"/>
  <c r="X40" i="61"/>
  <c r="N45" i="60"/>
  <c r="AG69" i="60"/>
  <c r="G5" i="21"/>
  <c r="CO10" i="61"/>
  <c r="E5" i="14"/>
  <c r="F5" i="14" s="1"/>
  <c r="G5" i="14" s="1"/>
  <c r="H5" i="14" s="1"/>
  <c r="I5" i="14" s="1"/>
  <c r="BI4" i="63"/>
  <c r="BI5" i="63" s="1"/>
  <c r="BI6" i="63" s="1"/>
  <c r="BI7" i="63" s="1"/>
  <c r="BI8" i="63" s="1"/>
  <c r="BI9" i="63" s="1"/>
  <c r="BI10" i="63" s="1"/>
  <c r="BI11" i="63" s="1"/>
  <c r="BI12" i="63" s="1"/>
  <c r="BI13" i="63" s="1"/>
  <c r="BI14" i="63" s="1"/>
  <c r="BI15" i="63" s="1"/>
  <c r="BI16" i="63" s="1"/>
  <c r="BI17" i="63" s="1"/>
  <c r="BI18" i="63" s="1"/>
  <c r="BI19" i="63" s="1"/>
  <c r="BI20" i="63" s="1"/>
  <c r="BI21" i="63" s="1"/>
  <c r="BI22" i="63" s="1"/>
  <c r="BI23" i="63" s="1"/>
  <c r="BI24" i="63" s="1"/>
  <c r="BI25" i="63" s="1"/>
  <c r="BI26" i="63" s="1"/>
  <c r="BI27" i="63" s="1"/>
  <c r="BI28" i="63" s="1"/>
  <c r="BI29" i="63" s="1"/>
  <c r="BI30" i="63" s="1"/>
  <c r="BI31" i="63" s="1"/>
  <c r="BI32" i="63" s="1"/>
  <c r="BI33" i="63" s="1"/>
  <c r="BI34" i="63" s="1"/>
  <c r="BI35" i="63" s="1"/>
  <c r="BI36" i="63" s="1"/>
  <c r="BI37" i="63" s="1"/>
  <c r="BI38" i="63" s="1"/>
  <c r="BI39" i="63" s="1"/>
  <c r="BI40" i="63" s="1"/>
  <c r="K10" i="73"/>
  <c r="D17" i="15"/>
  <c r="D19" i="15" s="1"/>
  <c r="B15" i="4"/>
  <c r="D19" i="54" s="1"/>
  <c r="D32" i="54" s="1"/>
  <c r="D45" i="54" s="1"/>
  <c r="D152" i="1"/>
  <c r="D56" i="8"/>
  <c r="D107" i="8"/>
  <c r="B102" i="8" s="1"/>
  <c r="D16" i="54"/>
  <c r="D29" i="54" s="1"/>
  <c r="D42" i="54" s="1"/>
  <c r="D6" i="80"/>
  <c r="D47" i="80" s="1"/>
  <c r="D21" i="56"/>
  <c r="H4" i="40"/>
  <c r="H4" i="65"/>
  <c r="D33" i="77"/>
  <c r="K4" i="76" s="1"/>
  <c r="T4" i="76" s="1"/>
  <c r="X4" i="76" s="1"/>
  <c r="G5" i="76" s="1"/>
  <c r="H4" i="39"/>
  <c r="H4" i="66"/>
  <c r="C21" i="33"/>
  <c r="F14" i="4"/>
  <c r="V36" i="4"/>
  <c r="R7" i="4"/>
  <c r="R8" i="4" s="1"/>
  <c r="V12" i="4" s="1"/>
  <c r="C5" i="4"/>
  <c r="D10" i="37"/>
  <c r="AD1" i="63"/>
  <c r="AE1" i="63" s="1"/>
  <c r="AE31" i="63" s="1"/>
  <c r="G59" i="1"/>
  <c r="G61" i="1" s="1"/>
  <c r="E59" i="1"/>
  <c r="E61" i="1" s="1"/>
  <c r="E62" i="1" s="1"/>
  <c r="E63" i="1" s="1"/>
  <c r="D59" i="1"/>
  <c r="D61" i="1" s="1"/>
  <c r="B13" i="1"/>
  <c r="D13" i="1" s="1"/>
  <c r="T21" i="39" s="1"/>
  <c r="D16" i="39" s="1"/>
  <c r="E6" i="1"/>
  <c r="AI12" i="4"/>
  <c r="L37" i="33" s="1"/>
  <c r="B16" i="4"/>
  <c r="AH12" i="4"/>
  <c r="L36" i="33" s="1"/>
  <c r="T8" i="45"/>
  <c r="D10" i="45" s="1"/>
  <c r="E99" i="8"/>
  <c r="E9" i="8"/>
  <c r="E9" i="1"/>
  <c r="D153" i="1"/>
  <c r="E8" i="1"/>
  <c r="E104" i="1" s="1"/>
  <c r="D104" i="1"/>
  <c r="D112" i="1"/>
  <c r="D107" i="1"/>
  <c r="B102" i="1" s="1"/>
  <c r="C16" i="51" s="1"/>
  <c r="E7" i="1"/>
  <c r="E112" i="1" s="1"/>
  <c r="D56" i="1"/>
  <c r="D16" i="53"/>
  <c r="D29" i="53" s="1"/>
  <c r="D42" i="53" s="1"/>
  <c r="T15" i="37"/>
  <c r="D12" i="37" s="1"/>
  <c r="E62" i="79"/>
  <c r="D61" i="79"/>
  <c r="D63" i="79" s="1"/>
  <c r="D64" i="79" s="1"/>
  <c r="B64" i="79" s="1"/>
  <c r="I60" i="1"/>
  <c r="H59" i="1"/>
  <c r="H61" i="1" s="1"/>
  <c r="B61" i="80"/>
  <c r="V13" i="4"/>
  <c r="F59" i="1"/>
  <c r="F61" i="1" s="1"/>
  <c r="F60" i="1"/>
  <c r="H60" i="1"/>
  <c r="I59" i="1"/>
  <c r="I61" i="1" s="1"/>
  <c r="AD1" i="112"/>
  <c r="AE1" i="112" s="1"/>
  <c r="AE33" i="112" s="1"/>
  <c r="E60" i="1"/>
  <c r="G60" i="1"/>
  <c r="T21" i="38"/>
  <c r="D16" i="38" s="1"/>
  <c r="E6" i="80"/>
  <c r="F6" i="80" s="1"/>
  <c r="D6" i="79"/>
  <c r="D6" i="8"/>
  <c r="B13" i="8" s="1"/>
  <c r="D13" i="8" s="1"/>
  <c r="AD56" i="60"/>
  <c r="AN59" i="60"/>
  <c r="Y75" i="60"/>
  <c r="J41" i="64"/>
  <c r="S41" i="64" s="1"/>
  <c r="AO239" i="60"/>
  <c r="AO228" i="60"/>
  <c r="V75" i="60"/>
  <c r="Y74" i="60"/>
  <c r="J40" i="107"/>
  <c r="S40" i="107" s="1"/>
  <c r="AO227" i="60"/>
  <c r="J40" i="64"/>
  <c r="S40" i="64" s="1"/>
  <c r="U81" i="60"/>
  <c r="V65" i="60" s="1"/>
  <c r="AE73" i="60"/>
  <c r="AC72" i="60"/>
  <c r="E5" i="19"/>
  <c r="F5" i="19" s="1"/>
  <c r="G5" i="19" s="1"/>
  <c r="H5" i="19" s="1"/>
  <c r="I5" i="19" s="1"/>
  <c r="CP10" i="63"/>
  <c r="D19" i="14"/>
  <c r="AB70" i="60"/>
  <c r="AB71" i="60"/>
  <c r="CN10" i="61"/>
  <c r="V24" i="111"/>
  <c r="V23" i="111"/>
  <c r="V22" i="111"/>
  <c r="AO142" i="60"/>
  <c r="V18" i="111"/>
  <c r="V24" i="63"/>
  <c r="V17" i="111"/>
  <c r="V19" i="111"/>
  <c r="V21" i="61"/>
  <c r="V25" i="61"/>
  <c r="V22" i="61"/>
  <c r="V27" i="111"/>
  <c r="V16" i="111"/>
  <c r="V24" i="61"/>
  <c r="V18" i="61"/>
  <c r="V23" i="61"/>
  <c r="V26" i="61"/>
  <c r="V25" i="111"/>
  <c r="V27" i="61"/>
  <c r="V26" i="111"/>
  <c r="G88" i="10"/>
  <c r="AV18" i="111"/>
  <c r="AV49" i="111"/>
  <c r="AV47" i="111"/>
  <c r="AV16" i="111"/>
  <c r="AV30" i="111"/>
  <c r="AV44" i="111"/>
  <c r="AV12" i="111"/>
  <c r="AV43" i="111"/>
  <c r="AV9" i="111"/>
  <c r="AV14" i="111"/>
  <c r="AV8" i="111"/>
  <c r="AV53" i="111"/>
  <c r="AV17" i="111"/>
  <c r="AV6" i="111"/>
  <c r="AV40" i="111"/>
  <c r="AV3" i="111"/>
  <c r="AV10" i="111"/>
  <c r="AV5" i="111"/>
  <c r="AV29" i="111"/>
  <c r="AV50" i="111"/>
  <c r="AV11" i="111"/>
  <c r="AV33" i="111"/>
  <c r="AV24" i="111"/>
  <c r="AV25" i="111"/>
  <c r="AV19" i="111"/>
  <c r="AV23" i="111"/>
  <c r="AV46" i="111"/>
  <c r="AV52" i="111"/>
  <c r="X8" i="63"/>
  <c r="X37" i="63"/>
  <c r="X11" i="63"/>
  <c r="X38" i="63"/>
  <c r="X20" i="112"/>
  <c r="X24" i="112"/>
  <c r="X6" i="112"/>
  <c r="X35" i="63"/>
  <c r="X26" i="63"/>
  <c r="X50" i="63"/>
  <c r="X12" i="111"/>
  <c r="X45" i="111"/>
  <c r="X37" i="112"/>
  <c r="X29" i="63"/>
  <c r="X40" i="63"/>
  <c r="X20" i="63"/>
  <c r="X35" i="112"/>
  <c r="X36" i="112"/>
  <c r="X20" i="111"/>
  <c r="X35" i="111"/>
  <c r="X25" i="112"/>
  <c r="BU3" i="112"/>
  <c r="BU4" i="112" s="1"/>
  <c r="BU5" i="112" s="1"/>
  <c r="BU6" i="112" s="1"/>
  <c r="BU7" i="112" s="1"/>
  <c r="BU8" i="112" s="1"/>
  <c r="BU9" i="112" s="1"/>
  <c r="BU10" i="112" s="1"/>
  <c r="BU11" i="112" s="1"/>
  <c r="BU12" i="112" s="1"/>
  <c r="BU13" i="112" s="1"/>
  <c r="BU14" i="112" s="1"/>
  <c r="BU16" i="112" s="1"/>
  <c r="BU17" i="112" s="1"/>
  <c r="BU18" i="112" s="1"/>
  <c r="BU19" i="112" s="1"/>
  <c r="BU20" i="112" s="1"/>
  <c r="BU21" i="112" s="1"/>
  <c r="BU22" i="112" s="1"/>
  <c r="BU23" i="112" s="1"/>
  <c r="BU24" i="112" s="1"/>
  <c r="BU25" i="112" s="1"/>
  <c r="BU26" i="112" s="1"/>
  <c r="BU27" i="112" s="1"/>
  <c r="BU29" i="112" s="1"/>
  <c r="BU30" i="112" s="1"/>
  <c r="BU31" i="112" s="1"/>
  <c r="BU32" i="112" s="1"/>
  <c r="BU33" i="112" s="1"/>
  <c r="BU34" i="112" s="1"/>
  <c r="BU35" i="112" s="1"/>
  <c r="BU36" i="112" s="1"/>
  <c r="BU37" i="112" s="1"/>
  <c r="BU38" i="112" s="1"/>
  <c r="BU39" i="112" s="1"/>
  <c r="BU40" i="112" s="1"/>
  <c r="X27" i="63"/>
  <c r="X23" i="63"/>
  <c r="X52" i="63"/>
  <c r="X43" i="111"/>
  <c r="X36" i="111"/>
  <c r="X45" i="112"/>
  <c r="X13" i="112"/>
  <c r="X43" i="112"/>
  <c r="X27" i="112"/>
  <c r="X36" i="63"/>
  <c r="X5" i="63"/>
  <c r="X10" i="63"/>
  <c r="X5" i="111"/>
  <c r="X22" i="111"/>
  <c r="X3" i="63"/>
  <c r="X48" i="63"/>
  <c r="X51" i="63"/>
  <c r="X17" i="112"/>
  <c r="X19" i="112"/>
  <c r="X18" i="112"/>
  <c r="X38" i="112"/>
  <c r="X18" i="63"/>
  <c r="X21" i="63"/>
  <c r="X53" i="63"/>
  <c r="X39" i="112"/>
  <c r="X40" i="111"/>
  <c r="X3" i="111"/>
  <c r="X27" i="111"/>
  <c r="X9" i="63"/>
  <c r="X49" i="112"/>
  <c r="X26" i="112"/>
  <c r="X46" i="63"/>
  <c r="X32" i="63"/>
  <c r="X43" i="63"/>
  <c r="X30" i="111"/>
  <c r="X53" i="111"/>
  <c r="X18" i="111"/>
  <c r="X13" i="63"/>
  <c r="X19" i="63"/>
  <c r="X34" i="112"/>
  <c r="X7" i="63"/>
  <c r="X49" i="63"/>
  <c r="X23" i="112"/>
  <c r="X50" i="112"/>
  <c r="X45" i="63"/>
  <c r="X6" i="63"/>
  <c r="X25" i="63"/>
  <c r="X50" i="111"/>
  <c r="X42" i="111"/>
  <c r="X21" i="111"/>
  <c r="X10" i="112"/>
  <c r="X14" i="63"/>
  <c r="X44" i="63"/>
  <c r="X47" i="112"/>
  <c r="X44" i="112"/>
  <c r="X29" i="112"/>
  <c r="X32" i="112"/>
  <c r="X33" i="112"/>
  <c r="X22" i="63"/>
  <c r="X19" i="111"/>
  <c r="X7" i="111"/>
  <c r="X26" i="111"/>
  <c r="X39" i="111"/>
  <c r="K35" i="107"/>
  <c r="G6" i="109"/>
  <c r="AO212" i="60"/>
  <c r="G6" i="21"/>
  <c r="Q36" i="107"/>
  <c r="C36" i="107" s="1"/>
  <c r="AG70" i="60"/>
  <c r="Q36" i="64"/>
  <c r="C36" i="64" s="1"/>
  <c r="J21" i="107"/>
  <c r="AO122" i="60"/>
  <c r="J21" i="64"/>
  <c r="L10" i="60"/>
  <c r="D5" i="16"/>
  <c r="E5" i="16" s="1"/>
  <c r="F5" i="16" s="1"/>
  <c r="G5" i="16" s="1"/>
  <c r="H5" i="16" s="1"/>
  <c r="D5" i="18"/>
  <c r="CO10" i="112" s="1"/>
  <c r="BL3" i="61"/>
  <c r="BL4" i="61" s="1"/>
  <c r="BL5" i="61" s="1"/>
  <c r="BL6" i="61" s="1"/>
  <c r="BL7" i="61" s="1"/>
  <c r="BL8" i="61" s="1"/>
  <c r="BL9" i="61" s="1"/>
  <c r="BL10" i="61" s="1"/>
  <c r="BL11" i="61" s="1"/>
  <c r="BL12" i="61" s="1"/>
  <c r="L9" i="60"/>
  <c r="J19" i="64"/>
  <c r="AO120" i="60"/>
  <c r="BI4" i="112"/>
  <c r="BI5" i="112" s="1"/>
  <c r="BI6" i="112" s="1"/>
  <c r="BI7" i="112" s="1"/>
  <c r="BI8" i="112" s="1"/>
  <c r="BI9" i="112" s="1"/>
  <c r="BI10" i="112" s="1"/>
  <c r="BI11" i="112" s="1"/>
  <c r="BI12" i="112" s="1"/>
  <c r="BI13" i="112" s="1"/>
  <c r="BI14" i="112" s="1"/>
  <c r="BI15" i="112" s="1"/>
  <c r="BI16" i="112" s="1"/>
  <c r="BI17" i="112" s="1"/>
  <c r="BI18" i="112" s="1"/>
  <c r="BI19" i="112" s="1"/>
  <c r="BI20" i="112" s="1"/>
  <c r="BI21" i="112" s="1"/>
  <c r="BI22" i="112" s="1"/>
  <c r="BI23" i="112" s="1"/>
  <c r="BI24" i="112" s="1"/>
  <c r="BI25" i="112" s="1"/>
  <c r="BI26" i="112" s="1"/>
  <c r="BI27" i="112" s="1"/>
  <c r="BI28" i="112" s="1"/>
  <c r="BI29" i="112" s="1"/>
  <c r="BI30" i="112" s="1"/>
  <c r="BI31" i="112" s="1"/>
  <c r="BI32" i="112" s="1"/>
  <c r="BI33" i="112" s="1"/>
  <c r="BI34" i="112" s="1"/>
  <c r="BI35" i="112" s="1"/>
  <c r="BI36" i="112" s="1"/>
  <c r="BI37" i="112" s="1"/>
  <c r="BI38" i="112" s="1"/>
  <c r="BI39" i="112" s="1"/>
  <c r="BI40" i="112" s="1"/>
  <c r="F26" i="9"/>
  <c r="J19" i="107"/>
  <c r="BL3" i="112"/>
  <c r="BL4" i="112" s="1"/>
  <c r="BL5" i="112" s="1"/>
  <c r="BL6" i="112" s="1"/>
  <c r="BL7" i="112" s="1"/>
  <c r="BL8" i="112" s="1"/>
  <c r="BL9" i="112" s="1"/>
  <c r="BL10" i="112" s="1"/>
  <c r="BL11" i="112" s="1"/>
  <c r="BL12" i="112" s="1"/>
  <c r="BL13" i="112" s="1"/>
  <c r="BL14" i="112" s="1"/>
  <c r="BL15" i="112" s="1"/>
  <c r="BL16" i="112" s="1"/>
  <c r="BL17" i="112" s="1"/>
  <c r="BL18" i="112" s="1"/>
  <c r="BL19" i="112" s="1"/>
  <c r="BL20" i="112" s="1"/>
  <c r="BL21" i="112" s="1"/>
  <c r="BL22" i="112" s="1"/>
  <c r="BL23" i="112" s="1"/>
  <c r="BL24" i="112" s="1"/>
  <c r="BL25" i="112" s="1"/>
  <c r="BL26" i="112" s="1"/>
  <c r="BL27" i="112" s="1"/>
  <c r="BL28" i="112" s="1"/>
  <c r="BL29" i="112" s="1"/>
  <c r="BL30" i="112" s="1"/>
  <c r="BL31" i="112" s="1"/>
  <c r="BL32" i="112" s="1"/>
  <c r="BL33" i="112" s="1"/>
  <c r="BL34" i="112" s="1"/>
  <c r="BL35" i="112" s="1"/>
  <c r="BL36" i="112" s="1"/>
  <c r="BL37" i="112" s="1"/>
  <c r="BL38" i="112" s="1"/>
  <c r="BL39" i="112" s="1"/>
  <c r="BL40" i="112" s="1"/>
  <c r="BJ3" i="111"/>
  <c r="BJ4" i="111" s="1"/>
  <c r="BJ5" i="111" s="1"/>
  <c r="BJ6" i="111" s="1"/>
  <c r="BJ7" i="111" s="1"/>
  <c r="BJ8" i="111" s="1"/>
  <c r="BJ9" i="111" s="1"/>
  <c r="BJ10" i="111" s="1"/>
  <c r="BJ11" i="111" s="1"/>
  <c r="BJ12" i="111" s="1"/>
  <c r="BJ13" i="111" s="1"/>
  <c r="BJ14" i="111" s="1"/>
  <c r="BJ15" i="111" s="1"/>
  <c r="BJ16" i="111" s="1"/>
  <c r="BJ17" i="111" s="1"/>
  <c r="BJ18" i="111" s="1"/>
  <c r="BJ19" i="111" s="1"/>
  <c r="BJ20" i="111" s="1"/>
  <c r="BJ21" i="111" s="1"/>
  <c r="BJ22" i="111" s="1"/>
  <c r="BJ23" i="111" s="1"/>
  <c r="BJ24" i="111" s="1"/>
  <c r="BJ25" i="111" s="1"/>
  <c r="BJ26" i="111" s="1"/>
  <c r="BJ27" i="111" s="1"/>
  <c r="BJ28" i="111" s="1"/>
  <c r="BJ29" i="111" s="1"/>
  <c r="BJ30" i="111" s="1"/>
  <c r="BJ31" i="111" s="1"/>
  <c r="BJ32" i="111" s="1"/>
  <c r="BJ33" i="111" s="1"/>
  <c r="BJ34" i="111" s="1"/>
  <c r="BJ35" i="111" s="1"/>
  <c r="BJ36" i="111" s="1"/>
  <c r="BJ37" i="111" s="1"/>
  <c r="BJ38" i="111" s="1"/>
  <c r="BJ39" i="111" s="1"/>
  <c r="BJ40" i="111" s="1"/>
  <c r="G79" i="10"/>
  <c r="D15" i="17"/>
  <c r="D17" i="17" s="1"/>
  <c r="D19" i="17" s="1"/>
  <c r="W44" i="60"/>
  <c r="N42" i="60" s="1"/>
  <c r="AO59" i="60"/>
  <c r="K41" i="64"/>
  <c r="K41" i="107"/>
  <c r="E11" i="110"/>
  <c r="AO233" i="60"/>
  <c r="AO232" i="60"/>
  <c r="J45" i="64"/>
  <c r="J45" i="107"/>
  <c r="Y79" i="60"/>
  <c r="V80" i="60"/>
  <c r="V79" i="60"/>
  <c r="AO231" i="60"/>
  <c r="J44" i="64"/>
  <c r="J44" i="107"/>
  <c r="Y78" i="60"/>
  <c r="V78" i="60"/>
  <c r="Y77" i="60"/>
  <c r="J43" i="107"/>
  <c r="S43" i="107" s="1"/>
  <c r="AO230" i="60"/>
  <c r="J43" i="64"/>
  <c r="S43" i="64" s="1"/>
  <c r="V77" i="60"/>
  <c r="J42" i="107"/>
  <c r="S42" i="107" s="1"/>
  <c r="AO229" i="60"/>
  <c r="Y76" i="60"/>
  <c r="J42" i="64"/>
  <c r="S42" i="64" s="1"/>
  <c r="F46" i="107"/>
  <c r="V76" i="60"/>
  <c r="AO200" i="60"/>
  <c r="AO199" i="60"/>
  <c r="E14" i="109"/>
  <c r="E16" i="110"/>
  <c r="K46" i="64"/>
  <c r="AO244" i="60"/>
  <c r="K46" i="107"/>
  <c r="E13" i="109"/>
  <c r="AO197" i="60"/>
  <c r="F42" i="107"/>
  <c r="E12" i="21"/>
  <c r="F43" i="64"/>
  <c r="E13" i="110"/>
  <c r="K45" i="107"/>
  <c r="Y71" i="60"/>
  <c r="AD58" i="60"/>
  <c r="AO243" i="60"/>
  <c r="E14" i="21"/>
  <c r="V71" i="60"/>
  <c r="AO224" i="60"/>
  <c r="E11" i="109"/>
  <c r="F44" i="107"/>
  <c r="E11" i="21"/>
  <c r="F43" i="107"/>
  <c r="F45" i="107"/>
  <c r="AC71" i="60"/>
  <c r="F41" i="64"/>
  <c r="F46" i="64"/>
  <c r="E15" i="62"/>
  <c r="K45" i="64"/>
  <c r="AO198" i="60"/>
  <c r="E15" i="21"/>
  <c r="E16" i="21"/>
  <c r="E12" i="62"/>
  <c r="AO196" i="60"/>
  <c r="AO195" i="60"/>
  <c r="E12" i="109"/>
  <c r="F45" i="64"/>
  <c r="AO240" i="60"/>
  <c r="X70" i="60"/>
  <c r="E13" i="62"/>
  <c r="AB72" i="60"/>
  <c r="D17" i="18"/>
  <c r="D19" i="18" s="1"/>
  <c r="CN10" i="112"/>
  <c r="E5" i="17"/>
  <c r="F5" i="17" s="1"/>
  <c r="G5" i="17" s="1"/>
  <c r="H5" i="17" s="1"/>
  <c r="E15" i="14"/>
  <c r="F15" i="14" s="1"/>
  <c r="G15" i="14" s="1"/>
  <c r="H15" i="14" s="1"/>
  <c r="I15" i="14" s="1"/>
  <c r="J42" i="60"/>
  <c r="U43" i="60"/>
  <c r="CN10" i="111"/>
  <c r="F45" i="60"/>
  <c r="U44" i="60"/>
  <c r="F42" i="60" s="1"/>
  <c r="V16" i="61"/>
  <c r="V20" i="63"/>
  <c r="V19" i="61"/>
  <c r="V20" i="111"/>
  <c r="AV32" i="61"/>
  <c r="AV35" i="61"/>
  <c r="AV40" i="61"/>
  <c r="AV16" i="61"/>
  <c r="AV3" i="61"/>
  <c r="AV12" i="61"/>
  <c r="AV17" i="61"/>
  <c r="AV39" i="61"/>
  <c r="AV43" i="61"/>
  <c r="AV24" i="61"/>
  <c r="AV10" i="61"/>
  <c r="AV20" i="61"/>
  <c r="AV25" i="61"/>
  <c r="AV42" i="61"/>
  <c r="AV21" i="61"/>
  <c r="G5" i="62"/>
  <c r="R35" i="107"/>
  <c r="I35" i="107" s="1"/>
  <c r="G78" i="10"/>
  <c r="E11" i="62"/>
  <c r="R35" i="64"/>
  <c r="I35" i="64" s="1"/>
  <c r="AH69" i="60"/>
  <c r="L35" i="107"/>
  <c r="L35" i="64"/>
  <c r="F5" i="62"/>
  <c r="F5" i="110"/>
  <c r="J22" i="64"/>
  <c r="AO124" i="60"/>
  <c r="AO241" i="60"/>
  <c r="K43" i="107"/>
  <c r="K44" i="107"/>
  <c r="F36" i="107"/>
  <c r="E14" i="110"/>
  <c r="E12" i="110"/>
  <c r="K42" i="107"/>
  <c r="K44" i="64"/>
  <c r="AO242" i="60"/>
  <c r="AO156" i="60"/>
  <c r="L42" i="60"/>
  <c r="AO154" i="60"/>
  <c r="D19" i="13"/>
  <c r="AC42" i="60"/>
  <c r="W97" i="60" s="1"/>
  <c r="J3" i="64"/>
  <c r="AA9" i="77"/>
  <c r="O15" i="77"/>
  <c r="V24" i="112"/>
  <c r="V16" i="63"/>
  <c r="V23" i="112"/>
  <c r="V25" i="112"/>
  <c r="G92" i="10"/>
  <c r="V20" i="112"/>
  <c r="V23" i="63"/>
  <c r="V17" i="63"/>
  <c r="V18" i="63"/>
  <c r="V22" i="112"/>
  <c r="V27" i="63"/>
  <c r="V16" i="112"/>
  <c r="V14" i="63"/>
  <c r="V3" i="112"/>
  <c r="V6" i="112"/>
  <c r="V8" i="112"/>
  <c r="V9" i="63"/>
  <c r="V7" i="112"/>
  <c r="V13" i="112"/>
  <c r="V10" i="63"/>
  <c r="V12" i="63"/>
  <c r="G91" i="10"/>
  <c r="V14" i="112"/>
  <c r="V4" i="63"/>
  <c r="V3" i="63"/>
  <c r="V7" i="63"/>
  <c r="V12" i="112"/>
  <c r="V5" i="112"/>
  <c r="V4" i="112"/>
  <c r="V5" i="63"/>
  <c r="V11" i="112"/>
  <c r="V8" i="63"/>
  <c r="V13" i="63"/>
  <c r="V11" i="63"/>
  <c r="AO145" i="60"/>
  <c r="V9" i="112"/>
  <c r="V6" i="63"/>
  <c r="J5" i="7"/>
  <c r="U27" i="23" s="1"/>
  <c r="D51" i="38"/>
  <c r="D53" i="53"/>
  <c r="M28" i="42"/>
  <c r="D51" i="39"/>
  <c r="D51" i="46"/>
  <c r="D51" i="45"/>
  <c r="C22" i="42"/>
  <c r="E44" i="51"/>
  <c r="D51" i="47"/>
  <c r="U10" i="23"/>
  <c r="U10" i="6"/>
  <c r="F15" i="1"/>
  <c r="E35" i="1"/>
  <c r="D35" i="8"/>
  <c r="D149" i="1"/>
  <c r="E15" i="8"/>
  <c r="F15" i="8" s="1"/>
  <c r="F35" i="8" s="1"/>
  <c r="D143" i="1"/>
  <c r="D145" i="1" s="1"/>
  <c r="D8" i="54"/>
  <c r="D17" i="1"/>
  <c r="D19" i="1" s="1"/>
  <c r="H5" i="4" s="1"/>
  <c r="D143" i="8"/>
  <c r="D145" i="8" s="1"/>
  <c r="D146" i="8" s="1"/>
  <c r="D148" i="8" s="1"/>
  <c r="E146" i="8" s="1"/>
  <c r="E148" i="8" s="1"/>
  <c r="F146" i="8" s="1"/>
  <c r="F148" i="8" s="1"/>
  <c r="D17" i="8"/>
  <c r="D19" i="8" s="1"/>
  <c r="D6" i="15"/>
  <c r="M8" i="60"/>
  <c r="D6" i="18"/>
  <c r="B13" i="18" s="1"/>
  <c r="D13" i="18" s="1"/>
  <c r="D6" i="17"/>
  <c r="D6" i="11"/>
  <c r="E6" i="11" s="1"/>
  <c r="F6" i="11" s="1"/>
  <c r="G6" i="11" s="1"/>
  <c r="H6" i="11" s="1"/>
  <c r="I6" i="11" s="1"/>
  <c r="D6" i="14"/>
  <c r="E6" i="14" s="1"/>
  <c r="F6" i="14" s="1"/>
  <c r="G6" i="14" s="1"/>
  <c r="H6" i="14" s="1"/>
  <c r="I6" i="14" s="1"/>
  <c r="T12" i="45"/>
  <c r="D11" i="45" s="1"/>
  <c r="E8" i="8"/>
  <c r="E112" i="8"/>
  <c r="E152" i="8"/>
  <c r="E56" i="8"/>
  <c r="E36" i="1"/>
  <c r="E23" i="53"/>
  <c r="F5" i="1"/>
  <c r="D36" i="1"/>
  <c r="T15" i="40"/>
  <c r="D12" i="40" s="1"/>
  <c r="D55" i="1"/>
  <c r="E10" i="53"/>
  <c r="D62" i="1"/>
  <c r="B62" i="1" s="1"/>
  <c r="T15" i="39"/>
  <c r="D12" i="39" s="1"/>
  <c r="T15" i="65"/>
  <c r="D12" i="65" s="1"/>
  <c r="T15" i="38"/>
  <c r="D12" i="38" s="1"/>
  <c r="AE18" i="111"/>
  <c r="AE50" i="111"/>
  <c r="AE26" i="111"/>
  <c r="AE8" i="111"/>
  <c r="AE53" i="111"/>
  <c r="AE38" i="111"/>
  <c r="AE3" i="111"/>
  <c r="AE9" i="111"/>
  <c r="AE39" i="111"/>
  <c r="AE30" i="111"/>
  <c r="AE22" i="111"/>
  <c r="AE16" i="111"/>
  <c r="AE23" i="111"/>
  <c r="AE7" i="111"/>
  <c r="AE21" i="111"/>
  <c r="AE20" i="111"/>
  <c r="AE6" i="111"/>
  <c r="AE27" i="111"/>
  <c r="AE31" i="111"/>
  <c r="AE42" i="111"/>
  <c r="AE47" i="111"/>
  <c r="AE4" i="111"/>
  <c r="AE19" i="111"/>
  <c r="AE24" i="111"/>
  <c r="AE11" i="111"/>
  <c r="AE32" i="111"/>
  <c r="AE43" i="111"/>
  <c r="AE46" i="111"/>
  <c r="AE14" i="111"/>
  <c r="AE25" i="111"/>
  <c r="AE13" i="111"/>
  <c r="AE35" i="111"/>
  <c r="AE34" i="111"/>
  <c r="AE29" i="111"/>
  <c r="AE12" i="111"/>
  <c r="AE33" i="111"/>
  <c r="AE52" i="111"/>
  <c r="AE49" i="111"/>
  <c r="AE10" i="111"/>
  <c r="AE5" i="111"/>
  <c r="AE40" i="111"/>
  <c r="AE51" i="111"/>
  <c r="AE48" i="111"/>
  <c r="AE17" i="111"/>
  <c r="AE44" i="111"/>
  <c r="AE45" i="111"/>
  <c r="AE37" i="111"/>
  <c r="AE36" i="111"/>
  <c r="AE47" i="112"/>
  <c r="AE24" i="112"/>
  <c r="AE11" i="112"/>
  <c r="AE48" i="112"/>
  <c r="AE13" i="112"/>
  <c r="AE6" i="112"/>
  <c r="AE14" i="112"/>
  <c r="AE3" i="112"/>
  <c r="AE50" i="112"/>
  <c r="AE16" i="112"/>
  <c r="AE51" i="112"/>
  <c r="AE31" i="112"/>
  <c r="AE39" i="112"/>
  <c r="AE53" i="112"/>
  <c r="AE9" i="112"/>
  <c r="AE38" i="112"/>
  <c r="AE35" i="112"/>
  <c r="AE42" i="112"/>
  <c r="AE22" i="112"/>
  <c r="AE46" i="112"/>
  <c r="AE27" i="112"/>
  <c r="AE26" i="112"/>
  <c r="AE10" i="112"/>
  <c r="AE25" i="112"/>
  <c r="AE37" i="112"/>
  <c r="AE43" i="112"/>
  <c r="AE44" i="112"/>
  <c r="AE29" i="112"/>
  <c r="AE17" i="112"/>
  <c r="AE40" i="112"/>
  <c r="AE4" i="112"/>
  <c r="AE8" i="112"/>
  <c r="AE43" i="61"/>
  <c r="AE18" i="61"/>
  <c r="AE3" i="61"/>
  <c r="AE46" i="61"/>
  <c r="AE12" i="61"/>
  <c r="AE37" i="61"/>
  <c r="AE26" i="61"/>
  <c r="AE32" i="61"/>
  <c r="AE13" i="61"/>
  <c r="AE5" i="61"/>
  <c r="AE25" i="61"/>
  <c r="AE36" i="61"/>
  <c r="AE14" i="61"/>
  <c r="AE42" i="61"/>
  <c r="AE19" i="61"/>
  <c r="AE44" i="61"/>
  <c r="AE29" i="61"/>
  <c r="AE9" i="61"/>
  <c r="AE20" i="61"/>
  <c r="AE35" i="61"/>
  <c r="AE49" i="61"/>
  <c r="AE53" i="61"/>
  <c r="AE38" i="61"/>
  <c r="AE7" i="61"/>
  <c r="AE39" i="61"/>
  <c r="AE40" i="61"/>
  <c r="AE8" i="61"/>
  <c r="AE31" i="61"/>
  <c r="AE30" i="61"/>
  <c r="AE51" i="61"/>
  <c r="AE24" i="61"/>
  <c r="AE6" i="61"/>
  <c r="AE4" i="61"/>
  <c r="AE16" i="61"/>
  <c r="AE11" i="61"/>
  <c r="AE47" i="61"/>
  <c r="AE50" i="61"/>
  <c r="AE52" i="61"/>
  <c r="AE21" i="61"/>
  <c r="AE33" i="61"/>
  <c r="AE27" i="61"/>
  <c r="AE48" i="61"/>
  <c r="AE34" i="61"/>
  <c r="AE17" i="61"/>
  <c r="AE10" i="61"/>
  <c r="AE23" i="61"/>
  <c r="AE45" i="61"/>
  <c r="AE22" i="61"/>
  <c r="AE17" i="63"/>
  <c r="AE52" i="63"/>
  <c r="AE7" i="63"/>
  <c r="C60" i="107"/>
  <c r="AE26" i="63"/>
  <c r="AE37" i="63"/>
  <c r="AE20" i="63"/>
  <c r="AE39" i="63"/>
  <c r="F62" i="79"/>
  <c r="AE42" i="63"/>
  <c r="AE49" i="63"/>
  <c r="G61" i="79"/>
  <c r="G63" i="79" s="1"/>
  <c r="G64" i="79" s="1"/>
  <c r="AE22" i="63"/>
  <c r="AE48" i="63"/>
  <c r="AE53" i="63"/>
  <c r="AE44" i="63"/>
  <c r="AE12" i="63"/>
  <c r="D28" i="9"/>
  <c r="D30" i="9" s="1"/>
  <c r="E25" i="9"/>
  <c r="C23" i="95"/>
  <c r="C3" i="90"/>
  <c r="F59" i="8"/>
  <c r="F61" i="8" s="1"/>
  <c r="D60" i="8"/>
  <c r="D63" i="8" s="1"/>
  <c r="G60" i="8"/>
  <c r="E59" i="8"/>
  <c r="E61" i="8" s="1"/>
  <c r="F60" i="8"/>
  <c r="H60" i="8"/>
  <c r="E60" i="8"/>
  <c r="I59" i="8"/>
  <c r="I61" i="8" s="1"/>
  <c r="G59" i="8"/>
  <c r="G61" i="8" s="1"/>
  <c r="H59" i="8"/>
  <c r="H61" i="8" s="1"/>
  <c r="I60" i="8"/>
  <c r="G7" i="8"/>
  <c r="F112" i="8"/>
  <c r="F56" i="8"/>
  <c r="F99" i="8"/>
  <c r="B62" i="8"/>
  <c r="D62" i="79"/>
  <c r="D65" i="79" s="1"/>
  <c r="H62" i="79"/>
  <c r="H61" i="79"/>
  <c r="H63" i="79" s="1"/>
  <c r="F61" i="79"/>
  <c r="F63" i="79" s="1"/>
  <c r="F64" i="79" s="1"/>
  <c r="I62" i="79"/>
  <c r="I61" i="79"/>
  <c r="I63" i="79" s="1"/>
  <c r="G62" i="79"/>
  <c r="E61" i="79"/>
  <c r="E63" i="79" s="1"/>
  <c r="E64" i="79" s="1"/>
  <c r="E45" i="1"/>
  <c r="F6" i="1"/>
  <c r="C59" i="107"/>
  <c r="C59" i="64"/>
  <c r="D45" i="8"/>
  <c r="R30" i="71"/>
  <c r="Q30" i="71" s="1"/>
  <c r="R31" i="71"/>
  <c r="E54" i="5"/>
  <c r="G11" i="30"/>
  <c r="BM14" i="63"/>
  <c r="AA5" i="114"/>
  <c r="AA6" i="114" s="1"/>
  <c r="AA7" i="114" s="1"/>
  <c r="E6" i="16"/>
  <c r="F6" i="16" s="1"/>
  <c r="G6" i="16" s="1"/>
  <c r="H6" i="16" s="1"/>
  <c r="I6" i="16" s="1"/>
  <c r="AE3" i="63"/>
  <c r="AE14" i="63"/>
  <c r="H4" i="45"/>
  <c r="AE6" i="63"/>
  <c r="AE23" i="63"/>
  <c r="AE24" i="63"/>
  <c r="AE16" i="63"/>
  <c r="AE38" i="63"/>
  <c r="AE10" i="63"/>
  <c r="AE18" i="63"/>
  <c r="AE34" i="63"/>
  <c r="AE30" i="63"/>
  <c r="AE29" i="63"/>
  <c r="AE8" i="63"/>
  <c r="AE51" i="63"/>
  <c r="AE9" i="63"/>
  <c r="AE40" i="63"/>
  <c r="AE47" i="63"/>
  <c r="AE27" i="63"/>
  <c r="AE25" i="63"/>
  <c r="AE11" i="63"/>
  <c r="AE32" i="63"/>
  <c r="AE4" i="63"/>
  <c r="AE46" i="63"/>
  <c r="AE35" i="63"/>
  <c r="AE43" i="63"/>
  <c r="AE36" i="63"/>
  <c r="L6" i="76"/>
  <c r="L5" i="76"/>
  <c r="H5" i="76"/>
  <c r="G3" i="76"/>
  <c r="D6" i="19"/>
  <c r="AD74" i="60"/>
  <c r="AB73" i="60"/>
  <c r="D6" i="13"/>
  <c r="W13" i="90"/>
  <c r="Y13" i="90"/>
  <c r="G5" i="11"/>
  <c r="E6" i="35"/>
  <c r="F7" i="35"/>
  <c r="CP10" i="61"/>
  <c r="CP10" i="111"/>
  <c r="E5" i="15"/>
  <c r="R52" i="71"/>
  <c r="R51" i="71"/>
  <c r="D25" i="56"/>
  <c r="D26" i="4"/>
  <c r="B2" i="58"/>
  <c r="F5" i="60"/>
  <c r="C6" i="35"/>
  <c r="A8" i="35"/>
  <c r="G7" i="79"/>
  <c r="F101" i="79"/>
  <c r="F58" i="79"/>
  <c r="I100" i="79"/>
  <c r="Q40" i="95"/>
  <c r="F114" i="79"/>
  <c r="W18" i="82"/>
  <c r="Q28" i="92"/>
  <c r="Z19" i="82"/>
  <c r="G8" i="79"/>
  <c r="F59" i="79"/>
  <c r="F106" i="79"/>
  <c r="T73" i="56"/>
  <c r="T74" i="56" s="1"/>
  <c r="T75" i="56" s="1"/>
  <c r="T76" i="56" s="1"/>
  <c r="T77" i="56" s="1"/>
  <c r="T78" i="56" s="1"/>
  <c r="T79" i="56" s="1"/>
  <c r="T80" i="56" s="1"/>
  <c r="T81" i="56" s="1"/>
  <c r="T82" i="56" s="1"/>
  <c r="T83" i="56" s="1"/>
  <c r="T72" i="56"/>
  <c r="P26" i="82"/>
  <c r="O26" i="82"/>
  <c r="R26" i="82"/>
  <c r="U26" i="82"/>
  <c r="T26" i="82"/>
  <c r="S26" i="82"/>
  <c r="V26" i="82"/>
  <c r="C15" i="18"/>
  <c r="C5" i="18"/>
  <c r="G101" i="80"/>
  <c r="H100" i="80"/>
  <c r="T15" i="47"/>
  <c r="T15" i="45"/>
  <c r="E10" i="54"/>
  <c r="T15" i="46"/>
  <c r="E5" i="8"/>
  <c r="F5" i="80"/>
  <c r="F36" i="79"/>
  <c r="U18" i="82"/>
  <c r="U19" i="82" s="1"/>
  <c r="R19" i="82"/>
  <c r="H114" i="80"/>
  <c r="I7" i="80"/>
  <c r="H5" i="79"/>
  <c r="E114" i="79"/>
  <c r="E101" i="79"/>
  <c r="R20" i="82"/>
  <c r="U20" i="82" s="1"/>
  <c r="AA20" i="82"/>
  <c r="D30" i="5"/>
  <c r="G54" i="5"/>
  <c r="K23" i="6"/>
  <c r="I11" i="30"/>
  <c r="G24" i="48"/>
  <c r="F25" i="48"/>
  <c r="Y10" i="6"/>
  <c r="F25" i="6" s="1"/>
  <c r="W11" i="6"/>
  <c r="W12" i="6" s="1"/>
  <c r="W13" i="6" s="1"/>
  <c r="W14" i="6" s="1"/>
  <c r="W15" i="6" s="1"/>
  <c r="W16" i="6" s="1"/>
  <c r="W17" i="6" s="1"/>
  <c r="W18" i="6" s="1"/>
  <c r="B54" i="5"/>
  <c r="B64" i="5" s="1"/>
  <c r="AA108" i="60"/>
  <c r="G25" i="6"/>
  <c r="Y9" i="6"/>
  <c r="F24" i="6" s="1"/>
  <c r="E13" i="5"/>
  <c r="E7" i="99"/>
  <c r="J8" i="99" s="1"/>
  <c r="E7" i="102"/>
  <c r="J8" i="102" s="1"/>
  <c r="D64" i="8"/>
  <c r="D64" i="1"/>
  <c r="D66" i="80"/>
  <c r="D75" i="80" s="1"/>
  <c r="D74" i="80" s="1"/>
  <c r="D77" i="80" s="1"/>
  <c r="C9" i="83"/>
  <c r="A11" i="34"/>
  <c r="C10" i="34"/>
  <c r="D11" i="13"/>
  <c r="D10" i="13"/>
  <c r="D14" i="13"/>
  <c r="D12" i="13"/>
  <c r="AB27" i="112"/>
  <c r="AB25" i="112"/>
  <c r="AB23" i="112"/>
  <c r="AB21" i="112"/>
  <c r="AB19" i="112"/>
  <c r="AB16" i="112"/>
  <c r="AB27" i="111"/>
  <c r="AB25" i="111"/>
  <c r="AB23" i="111"/>
  <c r="AB21" i="111"/>
  <c r="AB19" i="111"/>
  <c r="AB16" i="111"/>
  <c r="AB17" i="111"/>
  <c r="AB26" i="112"/>
  <c r="AB20" i="112"/>
  <c r="AB22" i="112"/>
  <c r="AB26" i="111"/>
  <c r="AB24" i="111"/>
  <c r="AB22" i="111"/>
  <c r="AB20" i="111"/>
  <c r="AB18" i="111"/>
  <c r="AB18" i="112"/>
  <c r="AB17" i="112"/>
  <c r="AB24" i="112"/>
  <c r="AB17" i="61"/>
  <c r="AB26" i="63"/>
  <c r="AB25" i="61"/>
  <c r="AB22" i="61"/>
  <c r="AB20" i="63"/>
  <c r="S14" i="97"/>
  <c r="AB24" i="61"/>
  <c r="AB16" i="63"/>
  <c r="AB18" i="61"/>
  <c r="AB23" i="61"/>
  <c r="AB22" i="63"/>
  <c r="AB26" i="61"/>
  <c r="AB25" i="63"/>
  <c r="AB21" i="61"/>
  <c r="AB17" i="63"/>
  <c r="AB19" i="61"/>
  <c r="AB24" i="63"/>
  <c r="AB27" i="61"/>
  <c r="AB21" i="63"/>
  <c r="AB20" i="61"/>
  <c r="AB23" i="63"/>
  <c r="AB18" i="63"/>
  <c r="AB19" i="63"/>
  <c r="AB27" i="63"/>
  <c r="D8" i="53"/>
  <c r="D144" i="1"/>
  <c r="D10" i="18"/>
  <c r="D14" i="18"/>
  <c r="D11" i="18"/>
  <c r="AO69" i="60"/>
  <c r="M13" i="58"/>
  <c r="M12" i="58"/>
  <c r="O27" i="82"/>
  <c r="P27" i="82"/>
  <c r="C15" i="19"/>
  <c r="C65" i="5"/>
  <c r="F49" i="30"/>
  <c r="G6" i="9"/>
  <c r="S4" i="77"/>
  <c r="T2" i="77" s="1"/>
  <c r="P2" i="77"/>
  <c r="D10" i="79"/>
  <c r="D14" i="79"/>
  <c r="D11" i="79"/>
  <c r="D66" i="79"/>
  <c r="D75" i="79" s="1"/>
  <c r="D74" i="79" s="1"/>
  <c r="D77" i="79" s="1"/>
  <c r="D12" i="79"/>
  <c r="D43" i="79"/>
  <c r="N19" i="92"/>
  <c r="Q26" i="82"/>
  <c r="CH3" i="112"/>
  <c r="B16" i="112" s="1"/>
  <c r="CH3" i="111"/>
  <c r="B16" i="111" s="1"/>
  <c r="CH3" i="63"/>
  <c r="B16" i="63" s="1"/>
  <c r="CH3" i="61"/>
  <c r="B16" i="61" s="1"/>
  <c r="A12" i="3"/>
  <c r="F3" i="3"/>
  <c r="W21" i="6"/>
  <c r="C6" i="34"/>
  <c r="I11" i="34" s="1"/>
  <c r="C33" i="107"/>
  <c r="T24" i="90"/>
  <c r="F12" i="60"/>
  <c r="D8" i="3"/>
  <c r="E8" i="3"/>
  <c r="M10" i="6"/>
  <c r="O9" i="82"/>
  <c r="G65" i="3"/>
  <c r="A66" i="3"/>
  <c r="E2" i="1"/>
  <c r="E2" i="80"/>
  <c r="E2" i="11"/>
  <c r="E2" i="16"/>
  <c r="E2" i="15"/>
  <c r="E2" i="17"/>
  <c r="E2" i="19"/>
  <c r="T25" i="90"/>
  <c r="S28" i="90"/>
  <c r="B10" i="90" s="1"/>
  <c r="F27" i="40"/>
  <c r="G26" i="40"/>
  <c r="M7" i="58"/>
  <c r="M8" i="58"/>
  <c r="E36" i="5"/>
  <c r="P15" i="97"/>
  <c r="CV4" i="61"/>
  <c r="CV4" i="112"/>
  <c r="CV4" i="111"/>
  <c r="C23" i="71"/>
  <c r="O7" i="76"/>
  <c r="B11" i="3"/>
  <c r="S22" i="56" s="1"/>
  <c r="L14" i="97"/>
  <c r="C9" i="3"/>
  <c r="E10" i="3"/>
  <c r="AB9" i="105" s="1"/>
  <c r="Y23" i="56"/>
  <c r="G24" i="40"/>
  <c r="O5" i="77"/>
  <c r="S5" i="77" s="1"/>
  <c r="F10" i="6"/>
  <c r="Z9" i="6"/>
  <c r="AA9" i="6" s="1"/>
  <c r="M12" i="97"/>
  <c r="Q4" i="77"/>
  <c r="U4" i="77" s="1"/>
  <c r="C54" i="3"/>
  <c r="B96" i="3"/>
  <c r="S14" i="90"/>
  <c r="T15" i="90"/>
  <c r="K8" i="99"/>
  <c r="W9" i="102"/>
  <c r="W10" i="102" s="1"/>
  <c r="W11" i="102" s="1"/>
  <c r="W12" i="102" s="1"/>
  <c r="W13" i="102" s="1"/>
  <c r="W14" i="102" s="1"/>
  <c r="W15" i="102" s="1"/>
  <c r="W16" i="102" s="1"/>
  <c r="W17" i="102" s="1"/>
  <c r="W18" i="102" s="1"/>
  <c r="W19" i="102" s="1"/>
  <c r="W20" i="102" s="1"/>
  <c r="K8" i="102"/>
  <c r="D10" i="1"/>
  <c r="D51" i="1" s="1"/>
  <c r="D52" i="1" s="1"/>
  <c r="D10" i="17"/>
  <c r="G25" i="65"/>
  <c r="F26" i="65"/>
  <c r="D9" i="58"/>
  <c r="C6" i="58"/>
  <c r="D6" i="58"/>
  <c r="D8" i="58"/>
  <c r="C15" i="58"/>
  <c r="E36" i="30"/>
  <c r="F24" i="45"/>
  <c r="F25" i="45" s="1"/>
  <c r="F26" i="45" s="1"/>
  <c r="F27" i="45" s="1"/>
  <c r="F28" i="45" s="1"/>
  <c r="I36" i="30"/>
  <c r="F24" i="37"/>
  <c r="G36" i="30"/>
  <c r="F36" i="30"/>
  <c r="M21" i="6"/>
  <c r="K5" i="27"/>
  <c r="L5" i="27" s="1"/>
  <c r="D10" i="14"/>
  <c r="CQ4" i="111"/>
  <c r="CQ4" i="112"/>
  <c r="E3" i="3"/>
  <c r="C34" i="33"/>
  <c r="G34" i="33"/>
  <c r="D2" i="16"/>
  <c r="D21" i="97"/>
  <c r="N24" i="97"/>
  <c r="AU1" i="63"/>
  <c r="AU1" i="111"/>
  <c r="F56" i="5"/>
  <c r="D12" i="14"/>
  <c r="D12" i="8"/>
  <c r="B44" i="8" s="1"/>
  <c r="D14" i="15"/>
  <c r="D10" i="30"/>
  <c r="F10" i="30" s="1"/>
  <c r="E22" i="6"/>
  <c r="X22" i="6" s="1"/>
  <c r="H22" i="6" s="1"/>
  <c r="H35" i="6"/>
  <c r="H36" i="6" s="1"/>
  <c r="C6" i="30"/>
  <c r="F29" i="3"/>
  <c r="AB9" i="103"/>
  <c r="Q18" i="90"/>
  <c r="S31" i="90" s="1"/>
  <c r="C11" i="58"/>
  <c r="R40" i="71"/>
  <c r="CW6" i="111"/>
  <c r="CW6" i="63"/>
  <c r="CW6" i="112"/>
  <c r="D43" i="80"/>
  <c r="D14" i="16"/>
  <c r="D11" i="15"/>
  <c r="D11" i="14"/>
  <c r="D41" i="8"/>
  <c r="AB39" i="112"/>
  <c r="AB37" i="112"/>
  <c r="AB35" i="112"/>
  <c r="AB33" i="112"/>
  <c r="AB31" i="112"/>
  <c r="AB30" i="112"/>
  <c r="AB36" i="112"/>
  <c r="AB38" i="112"/>
  <c r="AB29" i="111"/>
  <c r="AB40" i="112"/>
  <c r="AB39" i="111"/>
  <c r="AB35" i="111"/>
  <c r="AB31" i="111"/>
  <c r="AB32" i="112"/>
  <c r="AB37" i="111"/>
  <c r="AB33" i="111"/>
  <c r="AB38" i="111"/>
  <c r="AB30" i="111"/>
  <c r="AB29" i="112"/>
  <c r="AB34" i="111"/>
  <c r="S15" i="97"/>
  <c r="AB33" i="61"/>
  <c r="AB30" i="63"/>
  <c r="AB37" i="61"/>
  <c r="G26" i="66"/>
  <c r="M14" i="58"/>
  <c r="CS2" i="112"/>
  <c r="I5" i="27"/>
  <c r="R13" i="97"/>
  <c r="AG27" i="112"/>
  <c r="AG25" i="112"/>
  <c r="AG23" i="112"/>
  <c r="AG21" i="112"/>
  <c r="AG19" i="112"/>
  <c r="AG16" i="112"/>
  <c r="AG17" i="111"/>
  <c r="AG26" i="112"/>
  <c r="AG20" i="112"/>
  <c r="AG17" i="112"/>
  <c r="AG27" i="111"/>
  <c r="AG23" i="111"/>
  <c r="AG19" i="111"/>
  <c r="C45" i="5"/>
  <c r="AG26" i="111"/>
  <c r="AG22" i="111"/>
  <c r="AG18" i="111"/>
  <c r="AG16" i="111"/>
  <c r="AG18" i="61"/>
  <c r="AG22" i="61"/>
  <c r="AG26" i="61"/>
  <c r="AG24" i="112"/>
  <c r="AG18" i="112"/>
  <c r="AG25" i="111"/>
  <c r="AG21" i="111"/>
  <c r="AG17" i="63"/>
  <c r="CV3" i="112"/>
  <c r="CV3" i="111"/>
  <c r="CV3" i="61"/>
  <c r="AA4" i="56"/>
  <c r="AA7" i="56" s="1"/>
  <c r="AA8" i="56" s="1"/>
  <c r="AA9" i="56" s="1"/>
  <c r="AA10" i="56" s="1"/>
  <c r="AA11" i="56" s="1"/>
  <c r="AA12" i="56" s="1"/>
  <c r="AA13" i="56" s="1"/>
  <c r="AA14" i="56" s="1"/>
  <c r="AA15" i="56" s="1"/>
  <c r="AA16" i="56" s="1"/>
  <c r="AA17" i="56" s="1"/>
  <c r="AA18" i="56" s="1"/>
  <c r="D24" i="97"/>
  <c r="U15" i="97"/>
  <c r="U21" i="97" s="1"/>
  <c r="AE56" i="60"/>
  <c r="CT3" i="111"/>
  <c r="AG20" i="111"/>
  <c r="G27" i="66"/>
  <c r="G25" i="40"/>
  <c r="AA14" i="112"/>
  <c r="AA11" i="112"/>
  <c r="AA5" i="111"/>
  <c r="AA13" i="112"/>
  <c r="AA9" i="112"/>
  <c r="AA7" i="112"/>
  <c r="AA5" i="112"/>
  <c r="AA8" i="111"/>
  <c r="AA11" i="111"/>
  <c r="AA6" i="111"/>
  <c r="AA4" i="112"/>
  <c r="AA9" i="111"/>
  <c r="AA4" i="111"/>
  <c r="AA12" i="111"/>
  <c r="AA10" i="61"/>
  <c r="AA14" i="61"/>
  <c r="AA10" i="112"/>
  <c r="AA3" i="112"/>
  <c r="AA10" i="111"/>
  <c r="AA7" i="111"/>
  <c r="AA13" i="61"/>
  <c r="AA12" i="112"/>
  <c r="AA6" i="112"/>
  <c r="AA4" i="61"/>
  <c r="AA5" i="61"/>
  <c r="AA12" i="61"/>
  <c r="W20" i="112"/>
  <c r="W18" i="112"/>
  <c r="W27" i="112"/>
  <c r="W21" i="112"/>
  <c r="W24" i="112"/>
  <c r="W16" i="112"/>
  <c r="W23" i="112"/>
  <c r="CU3" i="112"/>
  <c r="W27" i="111"/>
  <c r="W25" i="111"/>
  <c r="W23" i="111"/>
  <c r="W21" i="111"/>
  <c r="W19" i="111"/>
  <c r="W16" i="111"/>
  <c r="CU3" i="111"/>
  <c r="W26" i="112"/>
  <c r="W22" i="112"/>
  <c r="W17" i="112"/>
  <c r="D35" i="5"/>
  <c r="W18" i="61"/>
  <c r="W22" i="61"/>
  <c r="W26" i="61"/>
  <c r="W19" i="61"/>
  <c r="W23" i="61"/>
  <c r="W27" i="61"/>
  <c r="W20" i="61"/>
  <c r="W24" i="61"/>
  <c r="W21" i="63"/>
  <c r="W25" i="63"/>
  <c r="Q44" i="71"/>
  <c r="W22" i="111"/>
  <c r="AB14" i="112"/>
  <c r="AB11" i="112"/>
  <c r="AB12" i="112"/>
  <c r="AB13" i="112"/>
  <c r="AB9" i="112"/>
  <c r="AB7" i="112"/>
  <c r="AB5" i="112"/>
  <c r="AB8" i="111"/>
  <c r="AB11" i="111"/>
  <c r="AB6" i="111"/>
  <c r="AB12" i="111"/>
  <c r="AB10" i="112"/>
  <c r="AB8" i="112"/>
  <c r="AB6" i="112"/>
  <c r="AB3" i="112"/>
  <c r="AB13" i="111"/>
  <c r="AB4" i="112"/>
  <c r="AB10" i="111"/>
  <c r="AB7" i="111"/>
  <c r="AB10" i="61"/>
  <c r="AB14" i="61"/>
  <c r="AB5" i="111"/>
  <c r="AB4" i="111"/>
  <c r="AB3" i="111"/>
  <c r="AB3" i="61"/>
  <c r="AB9" i="61"/>
  <c r="CT3" i="63"/>
  <c r="C35" i="5"/>
  <c r="CW7" i="111"/>
  <c r="CW7" i="61"/>
  <c r="CW7" i="112"/>
  <c r="CW7" i="63"/>
  <c r="W24" i="111"/>
  <c r="CH2" i="112"/>
  <c r="B3" i="112" s="1"/>
  <c r="CH2" i="111"/>
  <c r="B3" i="111" s="1"/>
  <c r="L56" i="5"/>
  <c r="CQ2" i="111"/>
  <c r="BD28" i="111"/>
  <c r="E29" i="9"/>
  <c r="BD28" i="112"/>
  <c r="F15" i="9"/>
  <c r="H12" i="7"/>
  <c r="CQ2" i="112"/>
  <c r="CQ7" i="112"/>
  <c r="BD28" i="63"/>
  <c r="K53" i="5"/>
  <c r="BD28" i="61"/>
  <c r="T14" i="114"/>
  <c r="U13" i="114"/>
  <c r="F8" i="114"/>
  <c r="AI25" i="114"/>
  <c r="I16" i="7"/>
  <c r="I19" i="7"/>
  <c r="C18" i="94" l="1"/>
  <c r="L28" i="94"/>
  <c r="E47" i="80"/>
  <c r="H23" i="21"/>
  <c r="T23" i="21" s="1"/>
  <c r="AF3" i="61" s="1"/>
  <c r="AW3" i="61" s="1"/>
  <c r="BV3" i="61" s="1"/>
  <c r="BW3" i="61" s="1"/>
  <c r="F106" i="80"/>
  <c r="F109" i="80" s="1"/>
  <c r="F59" i="80"/>
  <c r="G8" i="80"/>
  <c r="D14" i="14"/>
  <c r="C15" i="15"/>
  <c r="C5" i="15"/>
  <c r="G56" i="79"/>
  <c r="H9" i="79"/>
  <c r="D10" i="11"/>
  <c r="D12" i="11"/>
  <c r="M46" i="60"/>
  <c r="J35" i="64"/>
  <c r="S35" i="64" s="1"/>
  <c r="J35" i="107"/>
  <c r="S35" i="107" s="1"/>
  <c r="D5" i="62"/>
  <c r="B23" i="62" s="1"/>
  <c r="D11" i="11"/>
  <c r="Q34" i="92"/>
  <c r="D58" i="1"/>
  <c r="C31" i="51" s="1"/>
  <c r="D19" i="53"/>
  <c r="D32" i="53" s="1"/>
  <c r="D45" i="53" s="1"/>
  <c r="C5" i="14"/>
  <c r="C15" i="14"/>
  <c r="Q40" i="92"/>
  <c r="W20" i="82"/>
  <c r="Q30" i="92"/>
  <c r="J71" i="60"/>
  <c r="G37" i="107" s="1"/>
  <c r="D5" i="110"/>
  <c r="B23" i="110" s="1"/>
  <c r="AC70" i="60"/>
  <c r="G36" i="64"/>
  <c r="T21" i="37"/>
  <c r="D16" i="37" s="1"/>
  <c r="E8" i="94"/>
  <c r="A43" i="5"/>
  <c r="D41" i="1"/>
  <c r="G11" i="53" s="1"/>
  <c r="D10" i="16"/>
  <c r="D12" i="1"/>
  <c r="D12" i="15"/>
  <c r="D11" i="8"/>
  <c r="D12" i="80"/>
  <c r="D10" i="15"/>
  <c r="D10" i="8"/>
  <c r="D11" i="80"/>
  <c r="H23" i="62"/>
  <c r="T23" i="62" s="1"/>
  <c r="AF3" i="63" s="1"/>
  <c r="AW3" i="63" s="1"/>
  <c r="BV3" i="63" s="1"/>
  <c r="BW3" i="63" s="1"/>
  <c r="D14" i="17"/>
  <c r="D11" i="17"/>
  <c r="D12" i="17"/>
  <c r="D10" i="80"/>
  <c r="G23" i="62"/>
  <c r="S23" i="62" s="1"/>
  <c r="S3" i="63" s="1"/>
  <c r="M14" i="73" s="1"/>
  <c r="F109" i="79"/>
  <c r="F6" i="109"/>
  <c r="D23" i="1"/>
  <c r="B13" i="80"/>
  <c r="D13" i="80" s="1"/>
  <c r="D23" i="80" s="1"/>
  <c r="D109" i="80"/>
  <c r="B104" i="80" s="1"/>
  <c r="D10" i="19"/>
  <c r="D11" i="19"/>
  <c r="D12" i="19"/>
  <c r="D14" i="19"/>
  <c r="A25" i="5"/>
  <c r="A35" i="5" s="1"/>
  <c r="A45" i="5" s="1"/>
  <c r="A55" i="5" s="1"/>
  <c r="A65" i="5" s="1"/>
  <c r="D15" i="5"/>
  <c r="F6" i="21"/>
  <c r="D14" i="11"/>
  <c r="G36" i="107"/>
  <c r="T21" i="65"/>
  <c r="D16" i="65" s="1"/>
  <c r="F62" i="1"/>
  <c r="P70" i="60"/>
  <c r="R36" i="64" s="1"/>
  <c r="I36" i="64" s="1"/>
  <c r="K71" i="60"/>
  <c r="A16" i="5"/>
  <c r="A7" i="5"/>
  <c r="O70" i="60"/>
  <c r="O71" i="60" s="1"/>
  <c r="R7" i="6"/>
  <c r="J7" i="6"/>
  <c r="D17" i="16"/>
  <c r="D19" i="16" s="1"/>
  <c r="M13" i="60" s="1"/>
  <c r="J20" i="107" s="1"/>
  <c r="E6" i="21"/>
  <c r="AO190" i="60"/>
  <c r="K35" i="64"/>
  <c r="E5" i="110"/>
  <c r="F36" i="64"/>
  <c r="K36" i="107"/>
  <c r="E6" i="110"/>
  <c r="K36" i="64"/>
  <c r="CO10" i="63"/>
  <c r="D23" i="18"/>
  <c r="F20" i="64"/>
  <c r="D23" i="16"/>
  <c r="CM10" i="63"/>
  <c r="CM10" i="112"/>
  <c r="AE45" i="112"/>
  <c r="AE32" i="112"/>
  <c r="AE21" i="112"/>
  <c r="AE5" i="63"/>
  <c r="AE45" i="63"/>
  <c r="AE13" i="63"/>
  <c r="AE20" i="112"/>
  <c r="AE7" i="112"/>
  <c r="AE23" i="112"/>
  <c r="AE30" i="112"/>
  <c r="AE33" i="63"/>
  <c r="AE50" i="63"/>
  <c r="AE19" i="63"/>
  <c r="AE21" i="63"/>
  <c r="AE49" i="112"/>
  <c r="AE19" i="112"/>
  <c r="AE5" i="112"/>
  <c r="AE34" i="112"/>
  <c r="B13" i="14"/>
  <c r="D13" i="14" s="1"/>
  <c r="D23" i="14" s="1"/>
  <c r="B13" i="11"/>
  <c r="D13" i="11" s="1"/>
  <c r="D23" i="11" s="1"/>
  <c r="T17" i="37"/>
  <c r="E65" i="79"/>
  <c r="E6" i="8"/>
  <c r="T21" i="40"/>
  <c r="D16" i="40" s="1"/>
  <c r="E35" i="8"/>
  <c r="E54" i="1"/>
  <c r="E107" i="1" s="1"/>
  <c r="F9" i="1"/>
  <c r="E54" i="8"/>
  <c r="F9" i="8"/>
  <c r="E153" i="1"/>
  <c r="E57" i="1"/>
  <c r="F8" i="1"/>
  <c r="E99" i="1"/>
  <c r="E56" i="1"/>
  <c r="E152" i="1"/>
  <c r="F7" i="1"/>
  <c r="AE12" i="112"/>
  <c r="E62" i="80"/>
  <c r="H61" i="80"/>
  <c r="H63" i="80" s="1"/>
  <c r="G61" i="80"/>
  <c r="G63" i="80" s="1"/>
  <c r="I62" i="80"/>
  <c r="D62" i="80"/>
  <c r="G62" i="80"/>
  <c r="F62" i="80"/>
  <c r="E61" i="80"/>
  <c r="E63" i="80" s="1"/>
  <c r="E64" i="80" s="1"/>
  <c r="H62" i="80"/>
  <c r="I61" i="80"/>
  <c r="I63" i="80" s="1"/>
  <c r="D61" i="80"/>
  <c r="D63" i="80" s="1"/>
  <c r="D64" i="80" s="1"/>
  <c r="B64" i="80" s="1"/>
  <c r="F61" i="80"/>
  <c r="F63" i="80" s="1"/>
  <c r="F64" i="80" s="1"/>
  <c r="F65" i="80" s="1"/>
  <c r="F63" i="1"/>
  <c r="AE36" i="112"/>
  <c r="AE18" i="112"/>
  <c r="AE52" i="112"/>
  <c r="T22" i="65"/>
  <c r="E6" i="18"/>
  <c r="F6" i="18" s="1"/>
  <c r="G6" i="18" s="1"/>
  <c r="H6" i="18" s="1"/>
  <c r="I6" i="18" s="1"/>
  <c r="B13" i="79"/>
  <c r="D13" i="79" s="1"/>
  <c r="D23" i="79" s="1"/>
  <c r="E6" i="79"/>
  <c r="D47" i="79"/>
  <c r="T22" i="38"/>
  <c r="T23" i="38" s="1"/>
  <c r="T25" i="38" s="1"/>
  <c r="H8" i="54"/>
  <c r="T14" i="45"/>
  <c r="F38" i="45" s="1"/>
  <c r="G15" i="8"/>
  <c r="G35" i="8" s="1"/>
  <c r="S17" i="82"/>
  <c r="S18" i="82" s="1"/>
  <c r="AC73" i="60"/>
  <c r="AE74" i="60"/>
  <c r="V26" i="63"/>
  <c r="V18" i="112"/>
  <c r="V22" i="63"/>
  <c r="V27" i="112"/>
  <c r="V25" i="63"/>
  <c r="V21" i="63"/>
  <c r="V19" i="63"/>
  <c r="V26" i="112"/>
  <c r="V17" i="112"/>
  <c r="G10" i="73"/>
  <c r="E5" i="18"/>
  <c r="F5" i="18" s="1"/>
  <c r="G5" i="18" s="1"/>
  <c r="H5" i="18" s="1"/>
  <c r="E15" i="17"/>
  <c r="F15" i="17" s="1"/>
  <c r="G15" i="17" s="1"/>
  <c r="H15" i="17" s="1"/>
  <c r="I15" i="17" s="1"/>
  <c r="V81" i="60"/>
  <c r="W65" i="60" s="1"/>
  <c r="W87" i="60" s="1"/>
  <c r="V19" i="112"/>
  <c r="AO146" i="60"/>
  <c r="V21" i="112"/>
  <c r="H43" i="7"/>
  <c r="V39" i="61"/>
  <c r="V32" i="61"/>
  <c r="V40" i="61"/>
  <c r="G89" i="10"/>
  <c r="V29" i="111"/>
  <c r="V29" i="61"/>
  <c r="V37" i="111"/>
  <c r="V35" i="111"/>
  <c r="V30" i="61"/>
  <c r="V36" i="111"/>
  <c r="V32" i="111"/>
  <c r="V34" i="61"/>
  <c r="V35" i="61"/>
  <c r="V37" i="61"/>
  <c r="V33" i="61"/>
  <c r="V31" i="61"/>
  <c r="V38" i="61"/>
  <c r="V31" i="111"/>
  <c r="V39" i="111"/>
  <c r="V33" i="111"/>
  <c r="AO143" i="60"/>
  <c r="V36" i="61"/>
  <c r="V40" i="111"/>
  <c r="V34" i="111"/>
  <c r="V38" i="111"/>
  <c r="V30" i="111"/>
  <c r="V24" i="60"/>
  <c r="V23" i="60"/>
  <c r="J39" i="7"/>
  <c r="H39" i="7" s="1"/>
  <c r="H41" i="7"/>
  <c r="U14" i="23"/>
  <c r="E16" i="23" s="1"/>
  <c r="G26" i="6"/>
  <c r="U11" i="6"/>
  <c r="I9" i="56"/>
  <c r="H8" i="53"/>
  <c r="F24" i="33"/>
  <c r="T14" i="37"/>
  <c r="E149" i="1"/>
  <c r="F149" i="1" s="1"/>
  <c r="G13" i="4"/>
  <c r="R11" i="4"/>
  <c r="G15" i="1"/>
  <c r="F35" i="1"/>
  <c r="G65" i="79"/>
  <c r="F65" i="79"/>
  <c r="D63" i="1"/>
  <c r="B13" i="17"/>
  <c r="D13" i="17" s="1"/>
  <c r="D23" i="17" s="1"/>
  <c r="E6" i="17"/>
  <c r="F6" i="17" s="1"/>
  <c r="G6" i="17" s="1"/>
  <c r="H6" i="17" s="1"/>
  <c r="I6" i="17" s="1"/>
  <c r="E6" i="15"/>
  <c r="F6" i="15" s="1"/>
  <c r="G6" i="15" s="1"/>
  <c r="H6" i="15" s="1"/>
  <c r="I6" i="15" s="1"/>
  <c r="B13" i="15"/>
  <c r="D13" i="15" s="1"/>
  <c r="D23" i="15" s="1"/>
  <c r="F8" i="8"/>
  <c r="E104" i="8"/>
  <c r="E107" i="8" s="1"/>
  <c r="E153" i="8"/>
  <c r="E57" i="8"/>
  <c r="D53" i="1"/>
  <c r="E37" i="53"/>
  <c r="E24" i="53"/>
  <c r="E11" i="53"/>
  <c r="T22" i="39"/>
  <c r="D13" i="37"/>
  <c r="F37" i="37"/>
  <c r="G5" i="1"/>
  <c r="F36" i="1"/>
  <c r="E36" i="53"/>
  <c r="E28" i="9"/>
  <c r="E30" i="9" s="1"/>
  <c r="E32" i="9" s="1"/>
  <c r="F25" i="9"/>
  <c r="F28" i="9" s="1"/>
  <c r="B167" i="1"/>
  <c r="W41" i="4" s="1"/>
  <c r="D32" i="9"/>
  <c r="R5" i="4" s="1"/>
  <c r="B167" i="8"/>
  <c r="B7" i="114"/>
  <c r="AA8" i="114"/>
  <c r="AA9" i="114"/>
  <c r="U30" i="97"/>
  <c r="U33" i="97"/>
  <c r="U28" i="97"/>
  <c r="F28" i="97" s="1"/>
  <c r="U26" i="97"/>
  <c r="H23" i="97"/>
  <c r="U29" i="97"/>
  <c r="F29" i="97" s="1"/>
  <c r="U31" i="97"/>
  <c r="U32" i="97"/>
  <c r="U27" i="97"/>
  <c r="U24" i="97"/>
  <c r="F24" i="97" s="1"/>
  <c r="U25" i="97"/>
  <c r="F25" i="97" s="1"/>
  <c r="K15" i="27"/>
  <c r="BK3" i="112"/>
  <c r="BK3" i="61"/>
  <c r="BK3" i="111"/>
  <c r="BK3" i="63"/>
  <c r="D12" i="46"/>
  <c r="D5" i="35"/>
  <c r="H14" i="35"/>
  <c r="I14" i="35" s="1"/>
  <c r="F8" i="35"/>
  <c r="E7" i="35"/>
  <c r="G6" i="80"/>
  <c r="F47" i="80"/>
  <c r="G28" i="45"/>
  <c r="F29" i="45"/>
  <c r="G29" i="45" s="1"/>
  <c r="X20" i="82"/>
  <c r="Y21" i="82" s="1"/>
  <c r="V21" i="82"/>
  <c r="D12" i="45"/>
  <c r="T17" i="45"/>
  <c r="Y11" i="6"/>
  <c r="F26" i="6" s="1"/>
  <c r="F5" i="15"/>
  <c r="B13" i="19"/>
  <c r="D13" i="19" s="1"/>
  <c r="D23" i="19" s="1"/>
  <c r="E6" i="19"/>
  <c r="F6" i="19" s="1"/>
  <c r="G6" i="19" s="1"/>
  <c r="H6" i="19" s="1"/>
  <c r="I6" i="19" s="1"/>
  <c r="F7" i="21"/>
  <c r="F3" i="111"/>
  <c r="C3" i="111"/>
  <c r="W40" i="112"/>
  <c r="W38" i="112"/>
  <c r="W36" i="112"/>
  <c r="W34" i="112"/>
  <c r="W32" i="112"/>
  <c r="W30" i="112"/>
  <c r="W33" i="112"/>
  <c r="W40" i="111"/>
  <c r="W38" i="111"/>
  <c r="W36" i="111"/>
  <c r="W34" i="111"/>
  <c r="W32" i="111"/>
  <c r="W30" i="111"/>
  <c r="W39" i="112"/>
  <c r="W35" i="112"/>
  <c r="CU4" i="112"/>
  <c r="CU4" i="111"/>
  <c r="CU4" i="61"/>
  <c r="W29" i="112"/>
  <c r="W39" i="111"/>
  <c r="W35" i="111"/>
  <c r="W31" i="111"/>
  <c r="D36" i="5"/>
  <c r="W31" i="61"/>
  <c r="W35" i="61"/>
  <c r="W39" i="61"/>
  <c r="W37" i="112"/>
  <c r="W29" i="61"/>
  <c r="W37" i="111"/>
  <c r="W37" i="61"/>
  <c r="W29" i="111"/>
  <c r="W32" i="61"/>
  <c r="W40" i="61"/>
  <c r="W31" i="63"/>
  <c r="W35" i="63"/>
  <c r="W33" i="111"/>
  <c r="W38" i="61"/>
  <c r="W29" i="63"/>
  <c r="W32" i="63"/>
  <c r="W33" i="63"/>
  <c r="W38" i="63"/>
  <c r="W30" i="61"/>
  <c r="W33" i="61"/>
  <c r="W30" i="63"/>
  <c r="W34" i="63"/>
  <c r="W39" i="63"/>
  <c r="W36" i="63"/>
  <c r="W34" i="61"/>
  <c r="W36" i="61"/>
  <c r="W31" i="112"/>
  <c r="W37" i="63"/>
  <c r="CU4" i="63"/>
  <c r="W40" i="63"/>
  <c r="AG39" i="112"/>
  <c r="AG37" i="112"/>
  <c r="AG35" i="112"/>
  <c r="AG33" i="112"/>
  <c r="AG31" i="112"/>
  <c r="AG36" i="112"/>
  <c r="AG32" i="112"/>
  <c r="AG39" i="111"/>
  <c r="AG37" i="111"/>
  <c r="AG35" i="111"/>
  <c r="AG33" i="111"/>
  <c r="AG31" i="111"/>
  <c r="AG29" i="112"/>
  <c r="AG30" i="61"/>
  <c r="AG34" i="61"/>
  <c r="AG38" i="61"/>
  <c r="AG38" i="112"/>
  <c r="AB109" i="60"/>
  <c r="AG38" i="111"/>
  <c r="AG34" i="111"/>
  <c r="AG30" i="111"/>
  <c r="C46" i="5"/>
  <c r="C72" i="3" s="1"/>
  <c r="AG31" i="61"/>
  <c r="AG35" i="61"/>
  <c r="AG39" i="61"/>
  <c r="AG30" i="112"/>
  <c r="AG32" i="61"/>
  <c r="AG36" i="61"/>
  <c r="AG40" i="61"/>
  <c r="AG32" i="63"/>
  <c r="AG36" i="63"/>
  <c r="AG40" i="63"/>
  <c r="AG29" i="61"/>
  <c r="AG40" i="112"/>
  <c r="AG36" i="111"/>
  <c r="AG29" i="111"/>
  <c r="AG39" i="63"/>
  <c r="AG37" i="63"/>
  <c r="AG32" i="111"/>
  <c r="AG29" i="63"/>
  <c r="F45" i="30"/>
  <c r="AG33" i="63"/>
  <c r="AG38" i="63"/>
  <c r="AG34" i="63"/>
  <c r="AG35" i="63"/>
  <c r="AG34" i="112"/>
  <c r="AG33" i="61"/>
  <c r="AG40" i="111"/>
  <c r="AG30" i="63"/>
  <c r="AG37" i="61"/>
  <c r="AG31" i="63"/>
  <c r="F27" i="65"/>
  <c r="G26" i="65"/>
  <c r="C15" i="95"/>
  <c r="C15" i="92"/>
  <c r="E54" i="3"/>
  <c r="Y24" i="56"/>
  <c r="F1" i="3"/>
  <c r="AB5" i="82"/>
  <c r="O8" i="76"/>
  <c r="C10" i="3"/>
  <c r="O6" i="77"/>
  <c r="S6" i="77" s="1"/>
  <c r="E11" i="3"/>
  <c r="L15" i="97"/>
  <c r="B12" i="3"/>
  <c r="C24" i="71"/>
  <c r="C24" i="51"/>
  <c r="B5" i="5"/>
  <c r="L8" i="82"/>
  <c r="CV5" i="112"/>
  <c r="E37" i="5"/>
  <c r="CV5" i="61"/>
  <c r="P16" i="97"/>
  <c r="CV5" i="111"/>
  <c r="CV5" i="63"/>
  <c r="A67" i="3"/>
  <c r="G67" i="3" s="1"/>
  <c r="G66" i="3"/>
  <c r="G23" i="110"/>
  <c r="S23" i="110" s="1"/>
  <c r="S3" i="112" s="1"/>
  <c r="H23" i="110"/>
  <c r="T23" i="110" s="1"/>
  <c r="AF3" i="112" s="1"/>
  <c r="AW3" i="112" s="1"/>
  <c r="BV3" i="112" s="1"/>
  <c r="BW3" i="112" s="1"/>
  <c r="G3" i="3"/>
  <c r="A13" i="3"/>
  <c r="D76" i="79"/>
  <c r="A12" i="34"/>
  <c r="C11" i="34"/>
  <c r="CJ2" i="111"/>
  <c r="CJ2" i="112"/>
  <c r="CJ2" i="63"/>
  <c r="CJ2" i="61"/>
  <c r="H36" i="79"/>
  <c r="I5" i="79"/>
  <c r="H64" i="79"/>
  <c r="H65" i="79" s="1"/>
  <c r="D12" i="47"/>
  <c r="D6" i="65"/>
  <c r="D3" i="83"/>
  <c r="D6" i="53"/>
  <c r="D6" i="37"/>
  <c r="D6" i="47"/>
  <c r="C21" i="90"/>
  <c r="C17" i="94" s="1"/>
  <c r="D6" i="40"/>
  <c r="D6" i="48"/>
  <c r="D6" i="39"/>
  <c r="D6" i="46"/>
  <c r="G39" i="10"/>
  <c r="D6" i="66"/>
  <c r="D6" i="45"/>
  <c r="D6" i="54"/>
  <c r="D6" i="38"/>
  <c r="Z13" i="90"/>
  <c r="Q41" i="71"/>
  <c r="Q31" i="71"/>
  <c r="Q32" i="71" s="1"/>
  <c r="Q33" i="71" s="1"/>
  <c r="Q34" i="71" s="1"/>
  <c r="Q35" i="71" s="1"/>
  <c r="Q36" i="71" s="1"/>
  <c r="Q37" i="71" s="1"/>
  <c r="Q38" i="71" s="1"/>
  <c r="Q39" i="71" s="1"/>
  <c r="Q40" i="71" s="1"/>
  <c r="F45" i="1"/>
  <c r="G6" i="1"/>
  <c r="T16" i="90"/>
  <c r="S15" i="90"/>
  <c r="AC3" i="82"/>
  <c r="D9" i="3"/>
  <c r="E22" i="71"/>
  <c r="Q5" i="77"/>
  <c r="U5" i="77" s="1"/>
  <c r="Q6" i="76"/>
  <c r="M13" i="97"/>
  <c r="N13" i="97" s="1"/>
  <c r="E22" i="51"/>
  <c r="CQ3" i="112"/>
  <c r="L54" i="5"/>
  <c r="CQ3" i="111"/>
  <c r="CQ3" i="61"/>
  <c r="I16" i="27"/>
  <c r="CQ3" i="63"/>
  <c r="F3" i="112"/>
  <c r="C3" i="112"/>
  <c r="AC9" i="100"/>
  <c r="AC10" i="100" s="1"/>
  <c r="AC11" i="100" s="1"/>
  <c r="AC12" i="100" s="1"/>
  <c r="AC13" i="100" s="1"/>
  <c r="AC14" i="100" s="1"/>
  <c r="AC15" i="100" s="1"/>
  <c r="AC16" i="100" s="1"/>
  <c r="AC17" i="100" s="1"/>
  <c r="AC18" i="100" s="1"/>
  <c r="AC19" i="100" s="1"/>
  <c r="AC20" i="100" s="1"/>
  <c r="AC9" i="103"/>
  <c r="AC10" i="103" s="1"/>
  <c r="AC11" i="103" s="1"/>
  <c r="AC12" i="103" s="1"/>
  <c r="AC13" i="103" s="1"/>
  <c r="AC14" i="103" s="1"/>
  <c r="AC15" i="103" s="1"/>
  <c r="AC16" i="103" s="1"/>
  <c r="AC17" i="103" s="1"/>
  <c r="AC18" i="103" s="1"/>
  <c r="AC19" i="103" s="1"/>
  <c r="AC20" i="103" s="1"/>
  <c r="L53" i="5"/>
  <c r="C16" i="61"/>
  <c r="F16" i="61"/>
  <c r="C28" i="73" s="1"/>
  <c r="N26" i="82"/>
  <c r="B26" i="82" s="1"/>
  <c r="BD41" i="112"/>
  <c r="BD41" i="63"/>
  <c r="F29" i="9"/>
  <c r="BD41" i="111"/>
  <c r="BD41" i="61"/>
  <c r="F101" i="8"/>
  <c r="F101" i="1"/>
  <c r="G27" i="45"/>
  <c r="AB50" i="112"/>
  <c r="AB53" i="112"/>
  <c r="AB45" i="112"/>
  <c r="AB42" i="112"/>
  <c r="AB48" i="112"/>
  <c r="AB52" i="112"/>
  <c r="AB47" i="111"/>
  <c r="AB50" i="111"/>
  <c r="AB49" i="112"/>
  <c r="AB47" i="112"/>
  <c r="AB53" i="111"/>
  <c r="AB45" i="111"/>
  <c r="AB42" i="111"/>
  <c r="AB44" i="112"/>
  <c r="AB51" i="111"/>
  <c r="AB43" i="111"/>
  <c r="AB51" i="112"/>
  <c r="AB48" i="111"/>
  <c r="AB52" i="111"/>
  <c r="AB44" i="111"/>
  <c r="AB46" i="112"/>
  <c r="AB46" i="111"/>
  <c r="AB51" i="61"/>
  <c r="AB48" i="61"/>
  <c r="AB50" i="63"/>
  <c r="AB45" i="61"/>
  <c r="AB49" i="63"/>
  <c r="AB47" i="63"/>
  <c r="AB53" i="61"/>
  <c r="AB53" i="63"/>
  <c r="AB48" i="63"/>
  <c r="AB49" i="111"/>
  <c r="AB43" i="63"/>
  <c r="AB50" i="61"/>
  <c r="S16" i="97"/>
  <c r="AB44" i="63"/>
  <c r="AB43" i="61"/>
  <c r="AB46" i="61"/>
  <c r="AB44" i="61"/>
  <c r="AB42" i="63"/>
  <c r="AB52" i="61"/>
  <c r="AB47" i="61"/>
  <c r="AB49" i="61"/>
  <c r="AB42" i="61"/>
  <c r="AB46" i="63"/>
  <c r="AB51" i="63"/>
  <c r="AB52" i="63"/>
  <c r="AB45" i="63"/>
  <c r="AB43" i="112"/>
  <c r="G9" i="97"/>
  <c r="L29" i="97" s="1"/>
  <c r="X21" i="97"/>
  <c r="C10" i="83"/>
  <c r="D29" i="82"/>
  <c r="G25" i="45"/>
  <c r="C16" i="63"/>
  <c r="F16" i="63"/>
  <c r="J28" i="73" s="1"/>
  <c r="D44" i="79"/>
  <c r="B46" i="79"/>
  <c r="AO76" i="60"/>
  <c r="AP76" i="60" s="1"/>
  <c r="AO77" i="60"/>
  <c r="AP77" i="60" s="1"/>
  <c r="AO75" i="60"/>
  <c r="AP75" i="60" s="1"/>
  <c r="AO78" i="60"/>
  <c r="AP78" i="60" s="1"/>
  <c r="AO80" i="60"/>
  <c r="AP80" i="60" s="1"/>
  <c r="AO79" i="60"/>
  <c r="AP79" i="60" s="1"/>
  <c r="AO70" i="60"/>
  <c r="AP70" i="60" s="1"/>
  <c r="AO72" i="60"/>
  <c r="AP72" i="60" s="1"/>
  <c r="AO71" i="60"/>
  <c r="AP71" i="60" s="1"/>
  <c r="AO73" i="60"/>
  <c r="AP73" i="60" s="1"/>
  <c r="AO74" i="60"/>
  <c r="AP74" i="60" s="1"/>
  <c r="F26" i="48"/>
  <c r="G25" i="48"/>
  <c r="H101" i="80"/>
  <c r="A101" i="80" s="1"/>
  <c r="I100" i="80"/>
  <c r="I101" i="80" s="1"/>
  <c r="D76" i="80"/>
  <c r="H7" i="79"/>
  <c r="G101" i="79"/>
  <c r="G114" i="79"/>
  <c r="G58" i="79"/>
  <c r="I5" i="16"/>
  <c r="F6" i="8"/>
  <c r="E45" i="8"/>
  <c r="T23" i="65"/>
  <c r="T25" i="65" s="1"/>
  <c r="F25" i="37"/>
  <c r="G24" i="37"/>
  <c r="AA9" i="102"/>
  <c r="AB9" i="101"/>
  <c r="Z9" i="103"/>
  <c r="AA9" i="99"/>
  <c r="Z9" i="100"/>
  <c r="V8" i="6"/>
  <c r="H8" i="6" s="1"/>
  <c r="T8" i="6"/>
  <c r="T84" i="56"/>
  <c r="T85" i="56"/>
  <c r="F4" i="11"/>
  <c r="F4" i="19"/>
  <c r="F4" i="16"/>
  <c r="F4" i="18"/>
  <c r="F4" i="79"/>
  <c r="F4" i="13"/>
  <c r="F4" i="17"/>
  <c r="F4" i="80"/>
  <c r="F4" i="15"/>
  <c r="F4" i="8"/>
  <c r="F4" i="1"/>
  <c r="F4" i="14"/>
  <c r="C66" i="5"/>
  <c r="H6" i="9"/>
  <c r="F36" i="80"/>
  <c r="G5" i="80"/>
  <c r="CT4" i="63"/>
  <c r="CT4" i="111"/>
  <c r="CT4" i="61"/>
  <c r="CT4" i="112"/>
  <c r="C36" i="5"/>
  <c r="H5" i="35"/>
  <c r="I5" i="35" s="1"/>
  <c r="K4" i="35" s="1"/>
  <c r="J4" i="35" s="1"/>
  <c r="X51" i="114"/>
  <c r="B45" i="3"/>
  <c r="C41" i="3"/>
  <c r="F8" i="23"/>
  <c r="C4" i="82"/>
  <c r="B1" i="4"/>
  <c r="D45" i="79"/>
  <c r="G24" i="45"/>
  <c r="Y12" i="6"/>
  <c r="F27" i="6" s="1"/>
  <c r="X13" i="90"/>
  <c r="B13" i="90"/>
  <c r="BL13" i="61"/>
  <c r="D146" i="1"/>
  <c r="D148" i="1" s="1"/>
  <c r="E146" i="1" s="1"/>
  <c r="E148" i="1" s="1"/>
  <c r="F146" i="1" s="1"/>
  <c r="F148" i="1" s="1"/>
  <c r="T15" i="114"/>
  <c r="U14" i="114"/>
  <c r="I22" i="6"/>
  <c r="H37" i="6"/>
  <c r="E4" i="8"/>
  <c r="E4" i="11"/>
  <c r="E4" i="15"/>
  <c r="E4" i="79"/>
  <c r="E4" i="19"/>
  <c r="E4" i="80"/>
  <c r="E4" i="18"/>
  <c r="E4" i="1"/>
  <c r="E4" i="16"/>
  <c r="E4" i="14"/>
  <c r="E4" i="13"/>
  <c r="E4" i="17"/>
  <c r="W23" i="6"/>
  <c r="O10" i="82"/>
  <c r="M11" i="6"/>
  <c r="M12" i="6" s="1"/>
  <c r="M13" i="6" s="1"/>
  <c r="M14" i="6" s="1"/>
  <c r="M15" i="6" s="1"/>
  <c r="M16" i="6" s="1"/>
  <c r="M17" i="6" s="1"/>
  <c r="M18" i="6" s="1"/>
  <c r="G26" i="45"/>
  <c r="F16" i="111"/>
  <c r="C16" i="111"/>
  <c r="E23" i="54"/>
  <c r="E36" i="8"/>
  <c r="E62" i="8"/>
  <c r="E63" i="8" s="1"/>
  <c r="F5" i="8"/>
  <c r="E6" i="13"/>
  <c r="F6" i="13" s="1"/>
  <c r="G6" i="13" s="1"/>
  <c r="H6" i="13" s="1"/>
  <c r="I6" i="13" s="1"/>
  <c r="B13" i="13"/>
  <c r="D13" i="13" s="1"/>
  <c r="D23" i="13" s="1"/>
  <c r="T23" i="39"/>
  <c r="T25" i="39" s="1"/>
  <c r="G99" i="8"/>
  <c r="G112" i="8"/>
  <c r="G56" i="8"/>
  <c r="H7" i="8"/>
  <c r="Q45" i="71"/>
  <c r="Q46" i="71" s="1"/>
  <c r="Q47" i="71" s="1"/>
  <c r="Q48" i="71" s="1"/>
  <c r="Q49" i="71" s="1"/>
  <c r="Q50" i="71" s="1"/>
  <c r="Q51" i="71" s="1"/>
  <c r="Q52" i="71" s="1"/>
  <c r="Q53" i="71" s="1"/>
  <c r="Q54" i="71" s="1"/>
  <c r="G27" i="40"/>
  <c r="F28" i="40"/>
  <c r="D73" i="8"/>
  <c r="I12" i="30"/>
  <c r="G55" i="5"/>
  <c r="K24" i="6"/>
  <c r="I130" i="80"/>
  <c r="I114" i="80"/>
  <c r="I58" i="80"/>
  <c r="I5" i="17"/>
  <c r="AB74" i="60"/>
  <c r="AD75" i="60"/>
  <c r="G7" i="21"/>
  <c r="AG71" i="60"/>
  <c r="Q37" i="64"/>
  <c r="C37" i="64" s="1"/>
  <c r="AO213" i="60"/>
  <c r="Q37" i="107"/>
  <c r="C37" i="107" s="1"/>
  <c r="G7" i="109"/>
  <c r="V14" i="90"/>
  <c r="U14" i="90"/>
  <c r="AC9" i="105"/>
  <c r="AC10" i="105" s="1"/>
  <c r="AC11" i="105" s="1"/>
  <c r="AC12" i="105" s="1"/>
  <c r="AC13" i="105" s="1"/>
  <c r="AC14" i="105" s="1"/>
  <c r="AC15" i="105" s="1"/>
  <c r="AC16" i="105" s="1"/>
  <c r="AC17" i="105" s="1"/>
  <c r="AC18" i="105" s="1"/>
  <c r="AC19" i="105" s="1"/>
  <c r="AC20" i="105" s="1"/>
  <c r="AC9" i="101"/>
  <c r="AC10" i="101" s="1"/>
  <c r="AC11" i="101" s="1"/>
  <c r="AC12" i="101" s="1"/>
  <c r="AC13" i="101" s="1"/>
  <c r="AC14" i="101" s="1"/>
  <c r="AC15" i="101" s="1"/>
  <c r="AC16" i="101" s="1"/>
  <c r="AC17" i="101" s="1"/>
  <c r="AC18" i="101" s="1"/>
  <c r="AC19" i="101" s="1"/>
  <c r="AC20" i="101" s="1"/>
  <c r="Q26" i="77"/>
  <c r="D57" i="79"/>
  <c r="D60" i="79" s="1"/>
  <c r="D53" i="79"/>
  <c r="D54" i="79" s="1"/>
  <c r="AA27" i="112"/>
  <c r="AA25" i="112"/>
  <c r="AA23" i="112"/>
  <c r="AA24" i="112"/>
  <c r="AA18" i="112"/>
  <c r="AA16" i="112"/>
  <c r="AA27" i="111"/>
  <c r="AA25" i="111"/>
  <c r="AA23" i="111"/>
  <c r="AA21" i="111"/>
  <c r="AA19" i="111"/>
  <c r="AA16" i="111"/>
  <c r="AA17" i="111"/>
  <c r="AA19" i="112"/>
  <c r="AA17" i="112"/>
  <c r="AA21" i="112"/>
  <c r="AA26" i="112"/>
  <c r="AA20" i="112"/>
  <c r="AA26" i="111"/>
  <c r="AA22" i="111"/>
  <c r="AA18" i="111"/>
  <c r="AA21" i="61"/>
  <c r="AA27" i="63"/>
  <c r="AA26" i="61"/>
  <c r="AA20" i="111"/>
  <c r="AA17" i="61"/>
  <c r="AA19" i="63"/>
  <c r="AA24" i="63"/>
  <c r="AA20" i="61"/>
  <c r="AA17" i="63"/>
  <c r="AA25" i="63"/>
  <c r="AA23" i="61"/>
  <c r="AA20" i="63"/>
  <c r="AA16" i="63"/>
  <c r="AA22" i="112"/>
  <c r="AA25" i="61"/>
  <c r="AA24" i="61"/>
  <c r="AA16" i="61"/>
  <c r="AA18" i="63"/>
  <c r="AA26" i="63"/>
  <c r="AA18" i="61"/>
  <c r="AA24" i="111"/>
  <c r="AA19" i="61"/>
  <c r="AA27" i="61"/>
  <c r="AA21" i="63"/>
  <c r="AA22" i="61"/>
  <c r="AA23" i="63"/>
  <c r="AA22" i="63"/>
  <c r="E37" i="54"/>
  <c r="E24" i="54"/>
  <c r="E11" i="54"/>
  <c r="G59" i="79"/>
  <c r="H8" i="79"/>
  <c r="G106" i="79"/>
  <c r="G109" i="79" s="1"/>
  <c r="C5" i="102"/>
  <c r="C5" i="103"/>
  <c r="C5" i="101"/>
  <c r="C5" i="99"/>
  <c r="C5" i="100"/>
  <c r="C5" i="105"/>
  <c r="G121" i="10"/>
  <c r="H5" i="11"/>
  <c r="CW5" i="63"/>
  <c r="CW5" i="111"/>
  <c r="CW5" i="61"/>
  <c r="CW5" i="112"/>
  <c r="G6" i="62"/>
  <c r="G6" i="110"/>
  <c r="D160" i="8"/>
  <c r="D161" i="8" s="1"/>
  <c r="D42" i="8"/>
  <c r="D11" i="54" s="1"/>
  <c r="D24" i="54" s="1"/>
  <c r="D37" i="54" s="1"/>
  <c r="H26" i="23"/>
  <c r="G15" i="10"/>
  <c r="L36" i="64"/>
  <c r="L36" i="107"/>
  <c r="F6" i="110"/>
  <c r="AO245" i="60"/>
  <c r="F6" i="62"/>
  <c r="G11" i="54"/>
  <c r="D11" i="30"/>
  <c r="E23" i="6"/>
  <c r="X23" i="6" s="1"/>
  <c r="H23" i="6" s="1"/>
  <c r="C54" i="5"/>
  <c r="Z10" i="6"/>
  <c r="AA10" i="6" s="1"/>
  <c r="F11" i="6"/>
  <c r="C25" i="6"/>
  <c r="AB9" i="99"/>
  <c r="V6" i="6"/>
  <c r="H6" i="6" s="1"/>
  <c r="AB9" i="102"/>
  <c r="T6" i="6"/>
  <c r="F16" i="112"/>
  <c r="C16" i="112"/>
  <c r="D73" i="1"/>
  <c r="C8" i="35"/>
  <c r="A9" i="35"/>
  <c r="C7" i="35"/>
  <c r="BM15" i="63"/>
  <c r="BM16" i="63" s="1"/>
  <c r="BM17" i="63" s="1"/>
  <c r="BM18" i="63" s="1"/>
  <c r="BM19" i="63" s="1"/>
  <c r="BM20" i="63" s="1"/>
  <c r="BM21" i="63" s="1"/>
  <c r="BM22" i="63" s="1"/>
  <c r="BM23" i="63" s="1"/>
  <c r="BM24" i="63" s="1"/>
  <c r="BM25" i="63" s="1"/>
  <c r="BM26" i="63" s="1"/>
  <c r="BM27" i="63" s="1"/>
  <c r="BM28" i="63" s="1"/>
  <c r="BM29" i="63" s="1"/>
  <c r="BM30" i="63" s="1"/>
  <c r="BM31" i="63" s="1"/>
  <c r="BM32" i="63" s="1"/>
  <c r="BM33" i="63" s="1"/>
  <c r="BM34" i="63" s="1"/>
  <c r="BM35" i="63" s="1"/>
  <c r="BM36" i="63" s="1"/>
  <c r="BM37" i="63" s="1"/>
  <c r="BM38" i="63" s="1"/>
  <c r="BM39" i="63" s="1"/>
  <c r="BM40" i="63" s="1"/>
  <c r="T21" i="48"/>
  <c r="D16" i="48" s="1"/>
  <c r="T21" i="45"/>
  <c r="D16" i="45" s="1"/>
  <c r="T21" i="46"/>
  <c r="D16" i="46" s="1"/>
  <c r="T21" i="47"/>
  <c r="D16" i="47" s="1"/>
  <c r="D23" i="8"/>
  <c r="T21" i="66"/>
  <c r="D16" i="66" s="1"/>
  <c r="J16" i="7"/>
  <c r="I22" i="7" s="1"/>
  <c r="H21" i="7"/>
  <c r="I20" i="7"/>
  <c r="J19" i="7"/>
  <c r="I23" i="7" s="1"/>
  <c r="I24" i="7" s="1"/>
  <c r="L37" i="64" l="1"/>
  <c r="F7" i="62"/>
  <c r="L37" i="107"/>
  <c r="F7" i="110"/>
  <c r="AO246" i="60"/>
  <c r="D57" i="80"/>
  <c r="D60" i="80" s="1"/>
  <c r="D53" i="80"/>
  <c r="D54" i="80" s="1"/>
  <c r="F7" i="109"/>
  <c r="L32" i="33"/>
  <c r="P71" i="60"/>
  <c r="K72" i="60"/>
  <c r="A53" i="5"/>
  <c r="D115" i="80"/>
  <c r="D116" i="80" s="1"/>
  <c r="D113" i="1"/>
  <c r="D114" i="1" s="1"/>
  <c r="D113" i="8"/>
  <c r="D114" i="8" s="1"/>
  <c r="D115" i="79"/>
  <c r="D116" i="79" s="1"/>
  <c r="G106" i="80"/>
  <c r="G109" i="80" s="1"/>
  <c r="H8" i="80"/>
  <c r="G59" i="80"/>
  <c r="B46" i="80"/>
  <c r="D44" i="80"/>
  <c r="D45" i="80" s="1"/>
  <c r="H56" i="79"/>
  <c r="I9" i="79"/>
  <c r="I56" i="79" s="1"/>
  <c r="AH70" i="60"/>
  <c r="Z70" i="60"/>
  <c r="AA70" i="60" s="1"/>
  <c r="T22" i="40"/>
  <c r="T22" i="37"/>
  <c r="T23" i="37" s="1"/>
  <c r="D51" i="8"/>
  <c r="D52" i="8" s="1"/>
  <c r="D55" i="8"/>
  <c r="D58" i="8" s="1"/>
  <c r="D16" i="5"/>
  <c r="A26" i="5"/>
  <c r="A36" i="5" s="1"/>
  <c r="A46" i="5" s="1"/>
  <c r="A56" i="5" s="1"/>
  <c r="A66" i="5" s="1"/>
  <c r="R36" i="107"/>
  <c r="I36" i="107" s="1"/>
  <c r="D46" i="79"/>
  <c r="X71" i="60"/>
  <c r="J72" i="60"/>
  <c r="O72" i="60" s="1"/>
  <c r="G37" i="64"/>
  <c r="AO256" i="60"/>
  <c r="Q28" i="71"/>
  <c r="D105" i="1"/>
  <c r="B44" i="1"/>
  <c r="D160" i="1"/>
  <c r="D161" i="1" s="1"/>
  <c r="D42" i="1"/>
  <c r="D11" i="53" s="1"/>
  <c r="D24" i="53" s="1"/>
  <c r="D37" i="53" s="1"/>
  <c r="AO202" i="60"/>
  <c r="A17" i="5"/>
  <c r="A8" i="5"/>
  <c r="N10" i="73"/>
  <c r="J20" i="64"/>
  <c r="AO234" i="60"/>
  <c r="E6" i="62"/>
  <c r="F37" i="107"/>
  <c r="X72" i="60"/>
  <c r="E7" i="109"/>
  <c r="E7" i="21"/>
  <c r="F37" i="64"/>
  <c r="AO191" i="60"/>
  <c r="S19" i="82"/>
  <c r="E65" i="80"/>
  <c r="D48" i="79"/>
  <c r="F54" i="8"/>
  <c r="G9" i="8"/>
  <c r="F54" i="1"/>
  <c r="G9" i="1"/>
  <c r="F57" i="1"/>
  <c r="G8" i="1"/>
  <c r="F104" i="1"/>
  <c r="F153" i="1"/>
  <c r="F112" i="1"/>
  <c r="F56" i="1"/>
  <c r="F152" i="1"/>
  <c r="F99" i="1"/>
  <c r="G7" i="1"/>
  <c r="D65" i="80"/>
  <c r="F30" i="9"/>
  <c r="F32" i="9" s="1"/>
  <c r="BC3" i="61"/>
  <c r="BA3" i="61" s="1"/>
  <c r="AN15" i="60" s="1"/>
  <c r="E47" i="79"/>
  <c r="F6" i="79"/>
  <c r="G40" i="45"/>
  <c r="H15" i="8"/>
  <c r="I15" i="8" s="1"/>
  <c r="I35" i="8" s="1"/>
  <c r="AE75" i="60"/>
  <c r="AC74" i="60"/>
  <c r="BC3" i="111"/>
  <c r="BA3" i="111" s="1"/>
  <c r="G93" i="10"/>
  <c r="V35" i="112"/>
  <c r="V36" i="112"/>
  <c r="V37" i="112"/>
  <c r="V39" i="63"/>
  <c r="V33" i="63"/>
  <c r="V37" i="63"/>
  <c r="V29" i="112"/>
  <c r="V33" i="112"/>
  <c r="AO147" i="60"/>
  <c r="V40" i="112"/>
  <c r="V31" i="63"/>
  <c r="V29" i="63"/>
  <c r="V32" i="63"/>
  <c r="V38" i="112"/>
  <c r="V39" i="112"/>
  <c r="V36" i="63"/>
  <c r="V40" i="63"/>
  <c r="V31" i="112"/>
  <c r="V38" i="63"/>
  <c r="V34" i="112"/>
  <c r="V30" i="112"/>
  <c r="V34" i="63"/>
  <c r="V30" i="63"/>
  <c r="V35" i="63"/>
  <c r="V32" i="112"/>
  <c r="E18" i="23"/>
  <c r="E14" i="23"/>
  <c r="E12" i="23"/>
  <c r="U12" i="6"/>
  <c r="G27" i="6"/>
  <c r="H15" i="1"/>
  <c r="G35" i="1"/>
  <c r="F38" i="37"/>
  <c r="T18" i="37"/>
  <c r="G40" i="37"/>
  <c r="E42" i="33"/>
  <c r="H24" i="33"/>
  <c r="G42" i="33" s="1"/>
  <c r="F153" i="8"/>
  <c r="G8" i="8"/>
  <c r="F104" i="8"/>
  <c r="F107" i="8" s="1"/>
  <c r="F57" i="8"/>
  <c r="E39" i="53"/>
  <c r="E13" i="53"/>
  <c r="E26" i="53"/>
  <c r="G36" i="1"/>
  <c r="H5" i="1"/>
  <c r="G62" i="1"/>
  <c r="G63" i="1" s="1"/>
  <c r="F33" i="97"/>
  <c r="F30" i="97"/>
  <c r="I10" i="4"/>
  <c r="V42" i="4"/>
  <c r="D170" i="1"/>
  <c r="B165" i="1" s="1"/>
  <c r="D165" i="1" s="1"/>
  <c r="D128" i="1" s="1"/>
  <c r="S35" i="4"/>
  <c r="V40" i="4"/>
  <c r="D170" i="8"/>
  <c r="B165" i="8" s="1"/>
  <c r="D165" i="8" s="1"/>
  <c r="D128" i="8" s="1"/>
  <c r="V41" i="4"/>
  <c r="S36" i="4"/>
  <c r="V43" i="4"/>
  <c r="D7" i="35"/>
  <c r="E9" i="35"/>
  <c r="F10" i="35"/>
  <c r="D107" i="79"/>
  <c r="D55" i="79"/>
  <c r="G28" i="40"/>
  <c r="F29" i="40"/>
  <c r="G29" i="40" s="1"/>
  <c r="H5" i="80"/>
  <c r="G36" i="80"/>
  <c r="G64" i="80"/>
  <c r="G65" i="80" s="1"/>
  <c r="W52" i="112"/>
  <c r="W44" i="112"/>
  <c r="W47" i="112"/>
  <c r="W50" i="112"/>
  <c r="W49" i="111"/>
  <c r="W45" i="112"/>
  <c r="W43" i="112"/>
  <c r="CU5" i="112"/>
  <c r="W52" i="111"/>
  <c r="W44" i="111"/>
  <c r="W47" i="111"/>
  <c r="W49" i="112"/>
  <c r="W42" i="112"/>
  <c r="W53" i="111"/>
  <c r="W45" i="111"/>
  <c r="W42" i="111"/>
  <c r="W48" i="112"/>
  <c r="W46" i="111"/>
  <c r="W45" i="61"/>
  <c r="W53" i="61"/>
  <c r="W51" i="112"/>
  <c r="W51" i="111"/>
  <c r="W43" i="111"/>
  <c r="CU5" i="61"/>
  <c r="W48" i="61"/>
  <c r="W48" i="111"/>
  <c r="D37" i="5"/>
  <c r="W43" i="61"/>
  <c r="W51" i="61"/>
  <c r="W53" i="112"/>
  <c r="W49" i="61"/>
  <c r="W43" i="63"/>
  <c r="W51" i="63"/>
  <c r="W46" i="112"/>
  <c r="W50" i="111"/>
  <c r="W44" i="61"/>
  <c r="W52" i="61"/>
  <c r="W46" i="63"/>
  <c r="W49" i="63"/>
  <c r="W52" i="63"/>
  <c r="W53" i="63"/>
  <c r="W42" i="61"/>
  <c r="W50" i="63"/>
  <c r="W46" i="61"/>
  <c r="W50" i="61"/>
  <c r="CU5" i="63"/>
  <c r="W44" i="63"/>
  <c r="W47" i="63"/>
  <c r="W47" i="61"/>
  <c r="W48" i="63"/>
  <c r="CU5" i="111"/>
  <c r="W42" i="63"/>
  <c r="W45" i="63"/>
  <c r="F8" i="21"/>
  <c r="F8" i="109"/>
  <c r="G38" i="64"/>
  <c r="G38" i="107"/>
  <c r="AO203" i="60"/>
  <c r="T22" i="66"/>
  <c r="T22" i="45"/>
  <c r="T22" i="46"/>
  <c r="T22" i="48"/>
  <c r="T22" i="47"/>
  <c r="I5" i="11"/>
  <c r="F12" i="18"/>
  <c r="F10" i="18"/>
  <c r="F14" i="18"/>
  <c r="F11" i="18"/>
  <c r="F13" i="18"/>
  <c r="F23" i="18" s="1"/>
  <c r="F44" i="60"/>
  <c r="F39" i="60"/>
  <c r="E19" i="64"/>
  <c r="I19" i="64" s="1"/>
  <c r="E19" i="107"/>
  <c r="I19" i="107" s="1"/>
  <c r="F41" i="60"/>
  <c r="E10" i="79"/>
  <c r="E49" i="79"/>
  <c r="E11" i="79"/>
  <c r="E12" i="79"/>
  <c r="E44" i="79" s="1"/>
  <c r="E50" i="79"/>
  <c r="E51" i="79" s="1"/>
  <c r="E115" i="79"/>
  <c r="E116" i="79" s="1"/>
  <c r="E20" i="79"/>
  <c r="E21" i="79" s="1"/>
  <c r="E14" i="79"/>
  <c r="E46" i="79"/>
  <c r="E48" i="79" s="1"/>
  <c r="E13" i="79"/>
  <c r="E23" i="79" s="1"/>
  <c r="F27" i="48"/>
  <c r="G26" i="48"/>
  <c r="G45" i="1"/>
  <c r="H6" i="1"/>
  <c r="T9" i="6"/>
  <c r="V9" i="6"/>
  <c r="H9" i="6" s="1"/>
  <c r="Z9" i="105"/>
  <c r="AA9" i="100"/>
  <c r="Z9" i="101"/>
  <c r="AA9" i="103"/>
  <c r="BK4" i="112"/>
  <c r="BK5" i="112" s="1"/>
  <c r="BK6" i="112" s="1"/>
  <c r="BK7" i="112" s="1"/>
  <c r="BK8" i="112" s="1"/>
  <c r="BK9" i="112" s="1"/>
  <c r="BK10" i="112" s="1"/>
  <c r="BK11" i="112" s="1"/>
  <c r="BK12" i="112" s="1"/>
  <c r="BK13" i="112" s="1"/>
  <c r="BK14" i="112" s="1"/>
  <c r="BK15" i="112" s="1"/>
  <c r="BK16" i="112" s="1"/>
  <c r="BK17" i="112" s="1"/>
  <c r="BK18" i="112" s="1"/>
  <c r="BK19" i="112" s="1"/>
  <c r="BK20" i="112" s="1"/>
  <c r="BK21" i="112" s="1"/>
  <c r="BK22" i="112" s="1"/>
  <c r="BK23" i="112" s="1"/>
  <c r="BK24" i="112" s="1"/>
  <c r="BK25" i="112" s="1"/>
  <c r="BK26" i="112" s="1"/>
  <c r="BK27" i="112" s="1"/>
  <c r="BK28" i="112" s="1"/>
  <c r="BK29" i="112" s="1"/>
  <c r="BK30" i="112" s="1"/>
  <c r="BK31" i="112" s="1"/>
  <c r="BK32" i="112" s="1"/>
  <c r="BK33" i="112" s="1"/>
  <c r="BK34" i="112" s="1"/>
  <c r="BK35" i="112" s="1"/>
  <c r="BK36" i="112" s="1"/>
  <c r="BK37" i="112" s="1"/>
  <c r="BK38" i="112" s="1"/>
  <c r="BK39" i="112" s="1"/>
  <c r="BK40" i="112" s="1"/>
  <c r="BN3" i="112"/>
  <c r="Q55" i="71"/>
  <c r="E20" i="13"/>
  <c r="E21" i="13" s="1"/>
  <c r="E10" i="13"/>
  <c r="E14" i="13"/>
  <c r="E11" i="13"/>
  <c r="E12" i="13"/>
  <c r="E13" i="13"/>
  <c r="E23" i="13" s="1"/>
  <c r="E12" i="15"/>
  <c r="E14" i="15"/>
  <c r="E10" i="15"/>
  <c r="E20" i="15"/>
  <c r="E21" i="15" s="1"/>
  <c r="E11" i="15"/>
  <c r="E13" i="15"/>
  <c r="E23" i="15" s="1"/>
  <c r="Y51" i="114"/>
  <c r="Y74" i="114"/>
  <c r="F14" i="8"/>
  <c r="F11" i="8"/>
  <c r="F55" i="8" s="1"/>
  <c r="F47" i="8"/>
  <c r="F113" i="8"/>
  <c r="F114" i="8" s="1"/>
  <c r="F48" i="8"/>
  <c r="F49" i="8" s="1"/>
  <c r="F12" i="8"/>
  <c r="F160" i="8" s="1"/>
  <c r="F10" i="8"/>
  <c r="F44" i="8"/>
  <c r="G39" i="54" s="1"/>
  <c r="F13" i="8"/>
  <c r="F23" i="8" s="1"/>
  <c r="F10" i="19"/>
  <c r="F14" i="19"/>
  <c r="F11" i="19"/>
  <c r="F12" i="19"/>
  <c r="F13" i="19"/>
  <c r="F23" i="19" s="1"/>
  <c r="CW2" i="111"/>
  <c r="CW2" i="63"/>
  <c r="CW2" i="61"/>
  <c r="CW2" i="112"/>
  <c r="O28" i="82"/>
  <c r="M13" i="82"/>
  <c r="Q27" i="82"/>
  <c r="V27" i="82"/>
  <c r="U27" i="82"/>
  <c r="P28" i="82"/>
  <c r="S27" i="82"/>
  <c r="T27" i="82"/>
  <c r="R27" i="82"/>
  <c r="F37" i="45"/>
  <c r="D13" i="45"/>
  <c r="T18" i="45"/>
  <c r="C55" i="5"/>
  <c r="F20" i="1" s="1"/>
  <c r="E24" i="6"/>
  <c r="X24" i="6" s="1"/>
  <c r="H24" i="6" s="1"/>
  <c r="D12" i="30"/>
  <c r="E20" i="80"/>
  <c r="E21" i="80" s="1"/>
  <c r="E50" i="80"/>
  <c r="E51" i="80" s="1"/>
  <c r="E14" i="80"/>
  <c r="E49" i="80"/>
  <c r="E10" i="80"/>
  <c r="E12" i="80"/>
  <c r="E44" i="80" s="1"/>
  <c r="E115" i="80"/>
  <c r="E116" i="80" s="1"/>
  <c r="E46" i="80"/>
  <c r="E48" i="80" s="1"/>
  <c r="E11" i="80"/>
  <c r="E13" i="80"/>
  <c r="E23" i="80" s="1"/>
  <c r="F14" i="79"/>
  <c r="F11" i="79"/>
  <c r="F115" i="79"/>
  <c r="F116" i="79" s="1"/>
  <c r="F12" i="79"/>
  <c r="F44" i="79" s="1"/>
  <c r="F49" i="79"/>
  <c r="F50" i="79"/>
  <c r="F51" i="79" s="1"/>
  <c r="F10" i="79"/>
  <c r="F46" i="79"/>
  <c r="F13" i="79"/>
  <c r="F23" i="79" s="1"/>
  <c r="I36" i="79"/>
  <c r="I129" i="79"/>
  <c r="I64" i="79"/>
  <c r="I65" i="79" s="1"/>
  <c r="T16" i="114"/>
  <c r="U16" i="114" s="1"/>
  <c r="U15" i="114"/>
  <c r="C9" i="51"/>
  <c r="C9" i="71"/>
  <c r="C2" i="95"/>
  <c r="C2" i="92"/>
  <c r="T86" i="56"/>
  <c r="T87" i="56"/>
  <c r="T88" i="56" s="1"/>
  <c r="T89" i="56" s="1"/>
  <c r="T90" i="56" s="1"/>
  <c r="T91" i="56" s="1"/>
  <c r="T92" i="56" s="1"/>
  <c r="T93" i="56" s="1"/>
  <c r="T94" i="56" s="1"/>
  <c r="T95" i="56" s="1"/>
  <c r="T96" i="56" s="1"/>
  <c r="T97" i="56" s="1"/>
  <c r="T98" i="56" s="1"/>
  <c r="D18" i="39"/>
  <c r="Q6" i="77"/>
  <c r="U6" i="77" s="1"/>
  <c r="E23" i="71"/>
  <c r="E23" i="51"/>
  <c r="AC4" i="82"/>
  <c r="Q7" i="76"/>
  <c r="M14" i="97"/>
  <c r="N14" i="97" s="1"/>
  <c r="D10" i="3"/>
  <c r="Z11" i="6"/>
  <c r="AA11" i="6" s="1"/>
  <c r="F12" i="6"/>
  <c r="C26" i="6"/>
  <c r="E20" i="16"/>
  <c r="E21" i="16" s="1"/>
  <c r="E12" i="16"/>
  <c r="E11" i="16"/>
  <c r="E10" i="16"/>
  <c r="E14" i="16"/>
  <c r="E13" i="16"/>
  <c r="E23" i="16" s="1"/>
  <c r="E10" i="8"/>
  <c r="E11" i="8"/>
  <c r="E14" i="8"/>
  <c r="E20" i="8"/>
  <c r="E113" i="8"/>
  <c r="E114" i="8" s="1"/>
  <c r="E12" i="8"/>
  <c r="E47" i="8"/>
  <c r="E48" i="8"/>
  <c r="E49" i="8" s="1"/>
  <c r="E44" i="8"/>
  <c r="E13" i="8"/>
  <c r="E23" i="8" s="1"/>
  <c r="BL14" i="61"/>
  <c r="CT5" i="111"/>
  <c r="CT5" i="112"/>
  <c r="CT5" i="61"/>
  <c r="CT5" i="63"/>
  <c r="C37" i="5"/>
  <c r="F11" i="80"/>
  <c r="F14" i="80"/>
  <c r="F12" i="80"/>
  <c r="F44" i="80" s="1"/>
  <c r="F115" i="80"/>
  <c r="F116" i="80" s="1"/>
  <c r="F49" i="80"/>
  <c r="F10" i="80"/>
  <c r="F50" i="80"/>
  <c r="F51" i="80" s="1"/>
  <c r="F46" i="80"/>
  <c r="F48" i="80" s="1"/>
  <c r="F13" i="80"/>
  <c r="F23" i="80" s="1"/>
  <c r="G6" i="8"/>
  <c r="F45" i="8"/>
  <c r="C52" i="107"/>
  <c r="F22" i="60"/>
  <c r="C52" i="64"/>
  <c r="D6" i="6"/>
  <c r="D21" i="6" s="1"/>
  <c r="D35" i="6" s="1"/>
  <c r="I29" i="7"/>
  <c r="D2" i="3"/>
  <c r="D5" i="27"/>
  <c r="D15" i="27" s="1"/>
  <c r="F9" i="3"/>
  <c r="X6" i="6"/>
  <c r="V15" i="90"/>
  <c r="U15" i="90"/>
  <c r="G20" i="71"/>
  <c r="G18" i="71"/>
  <c r="G19" i="71"/>
  <c r="G21" i="71"/>
  <c r="N16" i="71"/>
  <c r="D13" i="63"/>
  <c r="D10" i="63"/>
  <c r="D6" i="63"/>
  <c r="D7" i="63"/>
  <c r="CK2" i="63"/>
  <c r="D12" i="63"/>
  <c r="D11" i="63"/>
  <c r="D4" i="63"/>
  <c r="D5" i="63"/>
  <c r="D14" i="63"/>
  <c r="D9" i="63"/>
  <c r="D3" i="63"/>
  <c r="D8" i="63"/>
  <c r="F28" i="65"/>
  <c r="G27" i="65"/>
  <c r="G47" i="80"/>
  <c r="H6" i="80"/>
  <c r="B8" i="114"/>
  <c r="G5" i="8"/>
  <c r="E36" i="54"/>
  <c r="F62" i="8"/>
  <c r="F63" i="8" s="1"/>
  <c r="F36" i="8"/>
  <c r="F42" i="8"/>
  <c r="I7" i="79"/>
  <c r="H114" i="79"/>
  <c r="H58" i="79"/>
  <c r="H101" i="79"/>
  <c r="Q28" i="77"/>
  <c r="S26" i="77"/>
  <c r="S28" i="77" s="1"/>
  <c r="E14" i="19"/>
  <c r="E12" i="19"/>
  <c r="E11" i="19"/>
  <c r="E10" i="19"/>
  <c r="E20" i="19"/>
  <c r="E21" i="19" s="1"/>
  <c r="E13" i="19"/>
  <c r="E23" i="19" s="1"/>
  <c r="I35" i="35"/>
  <c r="F12" i="14"/>
  <c r="F10" i="14"/>
  <c r="F11" i="14"/>
  <c r="F14" i="14"/>
  <c r="F13" i="14"/>
  <c r="F23" i="14" s="1"/>
  <c r="CW3" i="112"/>
  <c r="CW3" i="111"/>
  <c r="CW3" i="63"/>
  <c r="CW3" i="61"/>
  <c r="A13" i="34"/>
  <c r="C12" i="34"/>
  <c r="CV6" i="111"/>
  <c r="CV6" i="112"/>
  <c r="E38" i="5"/>
  <c r="P17" i="97"/>
  <c r="CV6" i="61"/>
  <c r="CV6" i="63"/>
  <c r="F26" i="97"/>
  <c r="F32" i="97"/>
  <c r="F14" i="16"/>
  <c r="F11" i="16"/>
  <c r="F12" i="16"/>
  <c r="F10" i="16"/>
  <c r="F13" i="16"/>
  <c r="F23" i="16" s="1"/>
  <c r="D18" i="65"/>
  <c r="Q42" i="71"/>
  <c r="C11" i="83"/>
  <c r="D30" i="82"/>
  <c r="E11" i="11"/>
  <c r="E20" i="11"/>
  <c r="E21" i="11" s="1"/>
  <c r="E10" i="11"/>
  <c r="E14" i="11"/>
  <c r="E12" i="11"/>
  <c r="E13" i="11"/>
  <c r="E23" i="11" s="1"/>
  <c r="F11" i="15"/>
  <c r="F10" i="15"/>
  <c r="F14" i="15"/>
  <c r="F12" i="15"/>
  <c r="F13" i="15"/>
  <c r="F23" i="15" s="1"/>
  <c r="D6" i="61"/>
  <c r="D9" i="61"/>
  <c r="CK2" i="61"/>
  <c r="D7" i="61"/>
  <c r="D12" i="61"/>
  <c r="D3" i="61"/>
  <c r="D13" i="61"/>
  <c r="D14" i="61"/>
  <c r="D10" i="61"/>
  <c r="D8" i="61"/>
  <c r="D4" i="61"/>
  <c r="D11" i="61"/>
  <c r="D5" i="61"/>
  <c r="H3" i="3"/>
  <c r="A14" i="3"/>
  <c r="U5" i="5"/>
  <c r="AE4" i="4"/>
  <c r="AF3" i="4" s="1"/>
  <c r="B15" i="5"/>
  <c r="AG53" i="112"/>
  <c r="AG45" i="112"/>
  <c r="AG42" i="112"/>
  <c r="AG48" i="112"/>
  <c r="AG51" i="112"/>
  <c r="AG43" i="112"/>
  <c r="AG50" i="111"/>
  <c r="AG49" i="112"/>
  <c r="AG47" i="112"/>
  <c r="AG53" i="111"/>
  <c r="AG45" i="111"/>
  <c r="AG42" i="111"/>
  <c r="AG48" i="111"/>
  <c r="AG46" i="112"/>
  <c r="AG46" i="111"/>
  <c r="AG44" i="112"/>
  <c r="AG50" i="61"/>
  <c r="AG45" i="61"/>
  <c r="AG53" i="61"/>
  <c r="AG48" i="61"/>
  <c r="AG52" i="111"/>
  <c r="AG47" i="111"/>
  <c r="AG44" i="111"/>
  <c r="AG46" i="61"/>
  <c r="AG48" i="63"/>
  <c r="AG50" i="112"/>
  <c r="AG51" i="111"/>
  <c r="AG43" i="111"/>
  <c r="AG43" i="63"/>
  <c r="AG44" i="61"/>
  <c r="AG49" i="63"/>
  <c r="AG49" i="111"/>
  <c r="AG49" i="61"/>
  <c r="AG46" i="63"/>
  <c r="AG53" i="63"/>
  <c r="AG42" i="61"/>
  <c r="AG50" i="63"/>
  <c r="AB110" i="60"/>
  <c r="AG52" i="61"/>
  <c r="AG42" i="63"/>
  <c r="AG47" i="63"/>
  <c r="AG52" i="63"/>
  <c r="AG47" i="61"/>
  <c r="AG44" i="63"/>
  <c r="AG43" i="61"/>
  <c r="AG51" i="63"/>
  <c r="AG51" i="61"/>
  <c r="AG45" i="63"/>
  <c r="C47" i="5"/>
  <c r="AG52" i="112"/>
  <c r="G5" i="15"/>
  <c r="F9" i="35"/>
  <c r="I8" i="35"/>
  <c r="E8" i="35"/>
  <c r="D6" i="35"/>
  <c r="R6" i="6"/>
  <c r="J6" i="6"/>
  <c r="W24" i="6"/>
  <c r="Y14" i="90"/>
  <c r="W14" i="90"/>
  <c r="D74" i="8"/>
  <c r="D76" i="8" s="1"/>
  <c r="D75" i="8"/>
  <c r="E20" i="1"/>
  <c r="E47" i="1"/>
  <c r="E11" i="1"/>
  <c r="E10" i="1"/>
  <c r="E12" i="1"/>
  <c r="E48" i="1"/>
  <c r="E49" i="1" s="1"/>
  <c r="E113" i="1"/>
  <c r="E114" i="1" s="1"/>
  <c r="E14" i="1"/>
  <c r="E44" i="1"/>
  <c r="E13" i="1"/>
  <c r="E23" i="1" s="1"/>
  <c r="I23" i="6"/>
  <c r="C4" i="64"/>
  <c r="C2" i="33"/>
  <c r="F12" i="17"/>
  <c r="F14" i="17"/>
  <c r="F11" i="17"/>
  <c r="F10" i="17"/>
  <c r="F13" i="17"/>
  <c r="F23" i="17" s="1"/>
  <c r="D18" i="38"/>
  <c r="AF3" i="82"/>
  <c r="AG3" i="82"/>
  <c r="AE3" i="82"/>
  <c r="AD3" i="82"/>
  <c r="S16" i="90"/>
  <c r="T17" i="90"/>
  <c r="S17" i="90" s="1"/>
  <c r="D4" i="112"/>
  <c r="D8" i="112"/>
  <c r="D3" i="112"/>
  <c r="D14" i="112"/>
  <c r="D7" i="112"/>
  <c r="D11" i="112"/>
  <c r="D6" i="112"/>
  <c r="D9" i="112"/>
  <c r="D5" i="112"/>
  <c r="D10" i="112"/>
  <c r="D12" i="112"/>
  <c r="D13" i="112"/>
  <c r="CK2" i="112"/>
  <c r="G4" i="8"/>
  <c r="G4" i="79"/>
  <c r="G4" i="19"/>
  <c r="G4" i="16"/>
  <c r="G4" i="17"/>
  <c r="G4" i="15"/>
  <c r="G4" i="80"/>
  <c r="G4" i="14"/>
  <c r="G4" i="18"/>
  <c r="G4" i="1"/>
  <c r="G4" i="11"/>
  <c r="G4" i="13"/>
  <c r="R37" i="107"/>
  <c r="I37" i="107" s="1"/>
  <c r="R37" i="64"/>
  <c r="I37" i="64" s="1"/>
  <c r="AO257" i="60"/>
  <c r="G7" i="62"/>
  <c r="G7" i="110"/>
  <c r="Z71" i="60"/>
  <c r="AA71" i="60" s="1"/>
  <c r="AH71" i="60"/>
  <c r="D18" i="37"/>
  <c r="BK4" i="111"/>
  <c r="BK5" i="111" s="1"/>
  <c r="BK6" i="111" s="1"/>
  <c r="BK7" i="111" s="1"/>
  <c r="BK8" i="111" s="1"/>
  <c r="BK9" i="111" s="1"/>
  <c r="BK10" i="111" s="1"/>
  <c r="BK11" i="111" s="1"/>
  <c r="BK12" i="111" s="1"/>
  <c r="BK13" i="111" s="1"/>
  <c r="BK14" i="111" s="1"/>
  <c r="BK15" i="111" s="1"/>
  <c r="BK16" i="111" s="1"/>
  <c r="BK17" i="111" s="1"/>
  <c r="BK18" i="111" s="1"/>
  <c r="BK19" i="111" s="1"/>
  <c r="BK20" i="111" s="1"/>
  <c r="BK21" i="111" s="1"/>
  <c r="BK22" i="111" s="1"/>
  <c r="BK23" i="111" s="1"/>
  <c r="BK24" i="111" s="1"/>
  <c r="BK25" i="111" s="1"/>
  <c r="BK26" i="111" s="1"/>
  <c r="BK27" i="111" s="1"/>
  <c r="BK28" i="111" s="1"/>
  <c r="BK29" i="111" s="1"/>
  <c r="BK30" i="111" s="1"/>
  <c r="BK31" i="111" s="1"/>
  <c r="BK32" i="111" s="1"/>
  <c r="BK33" i="111" s="1"/>
  <c r="BK34" i="111" s="1"/>
  <c r="BK35" i="111" s="1"/>
  <c r="BK36" i="111" s="1"/>
  <c r="BK37" i="111" s="1"/>
  <c r="BK38" i="111" s="1"/>
  <c r="BK39" i="111" s="1"/>
  <c r="BK40" i="111" s="1"/>
  <c r="BN3" i="111"/>
  <c r="AB75" i="60"/>
  <c r="AD76" i="60"/>
  <c r="K25" i="6"/>
  <c r="G56" i="5"/>
  <c r="I5" i="18"/>
  <c r="BK4" i="61"/>
  <c r="BK5" i="61" s="1"/>
  <c r="BK6" i="61" s="1"/>
  <c r="BK7" i="61" s="1"/>
  <c r="BK8" i="61" s="1"/>
  <c r="BK9" i="61" s="1"/>
  <c r="BK10" i="61" s="1"/>
  <c r="BK11" i="61" s="1"/>
  <c r="BK12" i="61" s="1"/>
  <c r="BK13" i="61" s="1"/>
  <c r="BK14" i="61" s="1"/>
  <c r="BK15" i="61" s="1"/>
  <c r="BK16" i="61" s="1"/>
  <c r="BK17" i="61" s="1"/>
  <c r="BK18" i="61" s="1"/>
  <c r="BK19" i="61" s="1"/>
  <c r="BK20" i="61" s="1"/>
  <c r="BK21" i="61" s="1"/>
  <c r="BK22" i="61" s="1"/>
  <c r="BK23" i="61" s="1"/>
  <c r="BK24" i="61" s="1"/>
  <c r="BK25" i="61" s="1"/>
  <c r="BK26" i="61" s="1"/>
  <c r="BK27" i="61" s="1"/>
  <c r="BK28" i="61" s="1"/>
  <c r="BK29" i="61" s="1"/>
  <c r="BK30" i="61" s="1"/>
  <c r="BK31" i="61" s="1"/>
  <c r="BK32" i="61" s="1"/>
  <c r="BK33" i="61" s="1"/>
  <c r="BK34" i="61" s="1"/>
  <c r="BK35" i="61" s="1"/>
  <c r="BK36" i="61" s="1"/>
  <c r="BK37" i="61" s="1"/>
  <c r="BK38" i="61" s="1"/>
  <c r="BK39" i="61" s="1"/>
  <c r="BK40" i="61" s="1"/>
  <c r="BN3" i="61"/>
  <c r="H59" i="79"/>
  <c r="I8" i="79"/>
  <c r="H106" i="79"/>
  <c r="H109" i="79" s="1"/>
  <c r="AA40" i="112"/>
  <c r="AA33" i="112"/>
  <c r="AA40" i="111"/>
  <c r="AA38" i="111"/>
  <c r="AA36" i="111"/>
  <c r="AA34" i="111"/>
  <c r="AA32" i="111"/>
  <c r="AA30" i="111"/>
  <c r="AA39" i="112"/>
  <c r="AA30" i="112"/>
  <c r="AA36" i="112"/>
  <c r="AA32" i="112"/>
  <c r="AA39" i="111"/>
  <c r="AA37" i="111"/>
  <c r="AA35" i="111"/>
  <c r="AA33" i="111"/>
  <c r="AA31" i="111"/>
  <c r="AA34" i="112"/>
  <c r="AA29" i="112"/>
  <c r="AA38" i="112"/>
  <c r="AA31" i="112"/>
  <c r="AA35" i="112"/>
  <c r="AA37" i="61"/>
  <c r="AA40" i="61"/>
  <c r="AA33" i="63"/>
  <c r="AA34" i="61"/>
  <c r="AA32" i="63"/>
  <c r="AA35" i="61"/>
  <c r="AA35" i="63"/>
  <c r="AA39" i="63"/>
  <c r="AA36" i="61"/>
  <c r="AA36" i="63"/>
  <c r="AA40" i="63"/>
  <c r="AA37" i="112"/>
  <c r="AA29" i="61"/>
  <c r="AA29" i="63"/>
  <c r="AA31" i="63"/>
  <c r="AA37" i="63"/>
  <c r="AA32" i="61"/>
  <c r="AA38" i="61"/>
  <c r="AA29" i="111"/>
  <c r="AA30" i="61"/>
  <c r="AA30" i="63"/>
  <c r="AA31" i="61"/>
  <c r="AA33" i="61"/>
  <c r="AA34" i="63"/>
  <c r="AA38" i="63"/>
  <c r="AA39" i="61"/>
  <c r="E14" i="17"/>
  <c r="E11" i="17"/>
  <c r="E10" i="17"/>
  <c r="E20" i="17"/>
  <c r="E21" i="17" s="1"/>
  <c r="E12" i="17"/>
  <c r="E13" i="17"/>
  <c r="E23" i="17" s="1"/>
  <c r="F10" i="1"/>
  <c r="F14" i="1"/>
  <c r="F12" i="1"/>
  <c r="F113" i="1"/>
  <c r="F114" i="1" s="1"/>
  <c r="F11" i="1"/>
  <c r="F48" i="1"/>
  <c r="F49" i="1" s="1"/>
  <c r="F47" i="1"/>
  <c r="F13" i="1"/>
  <c r="F23" i="1" s="1"/>
  <c r="F44" i="1"/>
  <c r="BA2" i="111"/>
  <c r="BA2" i="61"/>
  <c r="AN11" i="60" s="1"/>
  <c r="E39" i="54"/>
  <c r="E26" i="54"/>
  <c r="E13" i="54"/>
  <c r="E14" i="14"/>
  <c r="E11" i="14"/>
  <c r="E20" i="14"/>
  <c r="E21" i="14" s="1"/>
  <c r="E10" i="14"/>
  <c r="E12" i="14"/>
  <c r="E13" i="14"/>
  <c r="E23" i="14" s="1"/>
  <c r="F12" i="11"/>
  <c r="F11" i="11"/>
  <c r="F10" i="11"/>
  <c r="F14" i="11"/>
  <c r="F13" i="11"/>
  <c r="F23" i="11" s="1"/>
  <c r="Z12" i="114"/>
  <c r="A10" i="35"/>
  <c r="C9" i="35" s="1"/>
  <c r="D75" i="1"/>
  <c r="D74" i="1"/>
  <c r="D76" i="1" s="1"/>
  <c r="CL3" i="111"/>
  <c r="H54" i="5"/>
  <c r="T16" i="46"/>
  <c r="CL3" i="61"/>
  <c r="CL3" i="112"/>
  <c r="CL3" i="63"/>
  <c r="E6" i="27"/>
  <c r="G6" i="27" s="1"/>
  <c r="Q14" i="97"/>
  <c r="T16" i="38"/>
  <c r="Q38" i="107"/>
  <c r="C38" i="107" s="1"/>
  <c r="Q38" i="64"/>
  <c r="C38" i="64" s="1"/>
  <c r="G8" i="21"/>
  <c r="G8" i="109"/>
  <c r="AG72" i="60"/>
  <c r="AO214" i="60"/>
  <c r="H99" i="8"/>
  <c r="H56" i="8"/>
  <c r="H112" i="8"/>
  <c r="I7" i="8"/>
  <c r="E14" i="18"/>
  <c r="E11" i="18"/>
  <c r="E10" i="18"/>
  <c r="E20" i="18"/>
  <c r="E21" i="18" s="1"/>
  <c r="E12" i="18"/>
  <c r="E13" i="18"/>
  <c r="E23" i="18" s="1"/>
  <c r="F34" i="5"/>
  <c r="E41" i="1" s="1"/>
  <c r="E11" i="30"/>
  <c r="F11" i="30" s="1"/>
  <c r="C67" i="5"/>
  <c r="I6" i="9"/>
  <c r="C68" i="5" s="1"/>
  <c r="C69" i="5" s="1"/>
  <c r="C70" i="5" s="1"/>
  <c r="F14" i="13"/>
  <c r="F10" i="13"/>
  <c r="F11" i="13"/>
  <c r="F12" i="13"/>
  <c r="F13" i="13"/>
  <c r="F23" i="13" s="1"/>
  <c r="J8" i="6"/>
  <c r="R8" i="6"/>
  <c r="F26" i="37"/>
  <c r="G25" i="37"/>
  <c r="AP81" i="60"/>
  <c r="AP69" i="60" s="1"/>
  <c r="X87" i="60" s="1"/>
  <c r="T25" i="37"/>
  <c r="D14" i="111"/>
  <c r="D8" i="111"/>
  <c r="D7" i="111"/>
  <c r="D6" i="111"/>
  <c r="D10" i="111"/>
  <c r="D4" i="111"/>
  <c r="D11" i="111"/>
  <c r="D12" i="111"/>
  <c r="D9" i="111"/>
  <c r="D3" i="111"/>
  <c r="CK2" i="111"/>
  <c r="D5" i="111"/>
  <c r="D13" i="111"/>
  <c r="Y25" i="56"/>
  <c r="B6" i="5"/>
  <c r="G1" i="3"/>
  <c r="B13" i="3"/>
  <c r="O7" i="77"/>
  <c r="L9" i="82"/>
  <c r="L16" i="97"/>
  <c r="O9" i="76"/>
  <c r="P5" i="76" s="1"/>
  <c r="C11" i="3"/>
  <c r="E12" i="3"/>
  <c r="AB6" i="82"/>
  <c r="F2" i="14"/>
  <c r="F2" i="80"/>
  <c r="F2" i="18"/>
  <c r="F2" i="1"/>
  <c r="F2" i="8"/>
  <c r="F2" i="13"/>
  <c r="F2" i="17"/>
  <c r="F2" i="15"/>
  <c r="F2" i="11"/>
  <c r="F2" i="79"/>
  <c r="F2" i="16"/>
  <c r="F2" i="19"/>
  <c r="BK4" i="63"/>
  <c r="BK5" i="63" s="1"/>
  <c r="BK6" i="63" s="1"/>
  <c r="BK7" i="63" s="1"/>
  <c r="BK8" i="63" s="1"/>
  <c r="BK9" i="63" s="1"/>
  <c r="BK10" i="63" s="1"/>
  <c r="BK11" i="63" s="1"/>
  <c r="BK12" i="63" s="1"/>
  <c r="BK13" i="63" s="1"/>
  <c r="BK14" i="63" s="1"/>
  <c r="BK15" i="63" s="1"/>
  <c r="BK16" i="63" s="1"/>
  <c r="BK17" i="63" s="1"/>
  <c r="BK18" i="63" s="1"/>
  <c r="BK19" i="63" s="1"/>
  <c r="BK20" i="63" s="1"/>
  <c r="BK21" i="63" s="1"/>
  <c r="BK22" i="63" s="1"/>
  <c r="BK23" i="63" s="1"/>
  <c r="BK24" i="63" s="1"/>
  <c r="BK25" i="63" s="1"/>
  <c r="BK26" i="63" s="1"/>
  <c r="BK27" i="63" s="1"/>
  <c r="BK28" i="63" s="1"/>
  <c r="BK29" i="63" s="1"/>
  <c r="BK30" i="63" s="1"/>
  <c r="BK31" i="63" s="1"/>
  <c r="BK32" i="63" s="1"/>
  <c r="BK33" i="63" s="1"/>
  <c r="BK34" i="63" s="1"/>
  <c r="BK35" i="63" s="1"/>
  <c r="BK36" i="63" s="1"/>
  <c r="BK37" i="63" s="1"/>
  <c r="BK38" i="63" s="1"/>
  <c r="BK39" i="63" s="1"/>
  <c r="BK40" i="63" s="1"/>
  <c r="BN3" i="63"/>
  <c r="F5" i="23"/>
  <c r="I25" i="7"/>
  <c r="G12" i="10" s="1"/>
  <c r="U5" i="23"/>
  <c r="G11" i="10"/>
  <c r="CV1" i="111"/>
  <c r="CV1" i="61"/>
  <c r="F3" i="7"/>
  <c r="H42" i="7"/>
  <c r="J27" i="23" s="1"/>
  <c r="CV1" i="112"/>
  <c r="CV1" i="63"/>
  <c r="U8" i="23"/>
  <c r="J29" i="7"/>
  <c r="V6" i="4"/>
  <c r="A18" i="5" l="1"/>
  <c r="A9" i="5"/>
  <c r="D55" i="80"/>
  <c r="D107" i="80"/>
  <c r="E41" i="8"/>
  <c r="D53" i="8"/>
  <c r="C32" i="51"/>
  <c r="L33" i="33"/>
  <c r="D105" i="8"/>
  <c r="A63" i="5"/>
  <c r="D26" i="15"/>
  <c r="D20" i="16"/>
  <c r="D21" i="16" s="1"/>
  <c r="D20" i="18"/>
  <c r="D21" i="18" s="1"/>
  <c r="D22" i="18" s="1"/>
  <c r="D24" i="18" s="1"/>
  <c r="D25" i="18" s="1"/>
  <c r="D26" i="16"/>
  <c r="D48" i="8"/>
  <c r="D49" i="8" s="1"/>
  <c r="D49" i="79"/>
  <c r="D52" i="79" s="1"/>
  <c r="D48" i="1"/>
  <c r="D49" i="1" s="1"/>
  <c r="D47" i="8"/>
  <c r="D20" i="13"/>
  <c r="D21" i="13" s="1"/>
  <c r="D22" i="13" s="1"/>
  <c r="D24" i="13" s="1"/>
  <c r="D25" i="13" s="1"/>
  <c r="D26" i="1"/>
  <c r="D26" i="79"/>
  <c r="D26" i="80"/>
  <c r="D50" i="79"/>
  <c r="D51" i="79" s="1"/>
  <c r="B51" i="79" s="1"/>
  <c r="D20" i="1"/>
  <c r="D26" i="14"/>
  <c r="D47" i="1"/>
  <c r="D20" i="15"/>
  <c r="D21" i="15" s="1"/>
  <c r="D22" i="15" s="1"/>
  <c r="D24" i="15" s="1"/>
  <c r="D25" i="15" s="1"/>
  <c r="D27" i="15" s="1"/>
  <c r="D28" i="15" s="1"/>
  <c r="E19" i="15" s="1"/>
  <c r="D49" i="80"/>
  <c r="D50" i="80"/>
  <c r="D51" i="80" s="1"/>
  <c r="B51" i="80" s="1"/>
  <c r="D20" i="80"/>
  <c r="D21" i="80" s="1"/>
  <c r="D22" i="80" s="1"/>
  <c r="D24" i="80" s="1"/>
  <c r="D25" i="80" s="1"/>
  <c r="D26" i="13"/>
  <c r="D20" i="79"/>
  <c r="D21" i="79" s="1"/>
  <c r="D22" i="79" s="1"/>
  <c r="D24" i="79" s="1"/>
  <c r="D25" i="79" s="1"/>
  <c r="D26" i="8"/>
  <c r="D20" i="8"/>
  <c r="D26" i="18"/>
  <c r="D26" i="19"/>
  <c r="D46" i="80"/>
  <c r="D48" i="80" s="1"/>
  <c r="D20" i="17"/>
  <c r="D21" i="17" s="1"/>
  <c r="D22" i="17" s="1"/>
  <c r="D24" i="17" s="1"/>
  <c r="D25" i="17" s="1"/>
  <c r="D26" i="11"/>
  <c r="D26" i="17"/>
  <c r="D20" i="19"/>
  <c r="D21" i="19" s="1"/>
  <c r="D22" i="19" s="1"/>
  <c r="D24" i="19" s="1"/>
  <c r="D25" i="19" s="1"/>
  <c r="D27" i="19" s="1"/>
  <c r="D28" i="19" s="1"/>
  <c r="D30" i="19" s="1"/>
  <c r="D20" i="14"/>
  <c r="D21" i="14" s="1"/>
  <c r="D22" i="14" s="1"/>
  <c r="D24" i="14" s="1"/>
  <c r="D25" i="14" s="1"/>
  <c r="D27" i="14" s="1"/>
  <c r="D28" i="14" s="1"/>
  <c r="D30" i="14" s="1"/>
  <c r="D44" i="8"/>
  <c r="D20" i="11"/>
  <c r="D21" i="11" s="1"/>
  <c r="D22" i="11" s="1"/>
  <c r="D24" i="11" s="1"/>
  <c r="D25" i="11" s="1"/>
  <c r="D44" i="1"/>
  <c r="J73" i="60"/>
  <c r="P72" i="60"/>
  <c r="K73" i="60"/>
  <c r="T17" i="4"/>
  <c r="S17" i="4" s="1"/>
  <c r="F107" i="1"/>
  <c r="T23" i="40"/>
  <c r="D18" i="40" s="1"/>
  <c r="T25" i="40"/>
  <c r="H59" i="80"/>
  <c r="H106" i="80"/>
  <c r="H109" i="80" s="1"/>
  <c r="I8" i="80"/>
  <c r="A27" i="5"/>
  <c r="A37" i="5" s="1"/>
  <c r="A47" i="5" s="1"/>
  <c r="A57" i="5" s="1"/>
  <c r="A67" i="5" s="1"/>
  <c r="D17" i="5"/>
  <c r="K8" i="100"/>
  <c r="K8" i="103"/>
  <c r="F50" i="8"/>
  <c r="E8" i="21"/>
  <c r="F38" i="64"/>
  <c r="F38" i="107"/>
  <c r="E8" i="109"/>
  <c r="AO192" i="60"/>
  <c r="E7" i="62"/>
  <c r="E7" i="110"/>
  <c r="K37" i="107"/>
  <c r="K37" i="64"/>
  <c r="AO235" i="60"/>
  <c r="E19" i="14"/>
  <c r="E22" i="14" s="1"/>
  <c r="D30" i="15"/>
  <c r="CP12" i="111" s="1"/>
  <c r="E19" i="19"/>
  <c r="E22" i="19" s="1"/>
  <c r="H35" i="8"/>
  <c r="F58" i="8"/>
  <c r="BC3" i="63"/>
  <c r="BA3" i="63" s="1"/>
  <c r="AO15" i="60" s="1"/>
  <c r="BC3" i="112"/>
  <c r="BA3" i="112" s="1"/>
  <c r="H9" i="1"/>
  <c r="G54" i="1"/>
  <c r="G54" i="8"/>
  <c r="H9" i="8"/>
  <c r="G57" i="1"/>
  <c r="G104" i="1"/>
  <c r="H8" i="1"/>
  <c r="G56" i="1"/>
  <c r="G112" i="1"/>
  <c r="G99" i="1"/>
  <c r="H7" i="1"/>
  <c r="G6" i="79"/>
  <c r="F47" i="79"/>
  <c r="F48" i="79"/>
  <c r="F34" i="97"/>
  <c r="AC75" i="60"/>
  <c r="AE76" i="60"/>
  <c r="U13" i="6"/>
  <c r="G28" i="6"/>
  <c r="Y13" i="6"/>
  <c r="F28" i="6" s="1"/>
  <c r="T20" i="37"/>
  <c r="T19" i="37"/>
  <c r="H35" i="1"/>
  <c r="I15" i="1"/>
  <c r="I35" i="1" s="1"/>
  <c r="E52" i="80"/>
  <c r="G104" i="8"/>
  <c r="G57" i="8"/>
  <c r="H8" i="8"/>
  <c r="F46" i="8"/>
  <c r="H62" i="1"/>
  <c r="H63" i="1" s="1"/>
  <c r="H36" i="1"/>
  <c r="I5" i="1"/>
  <c r="E41" i="53"/>
  <c r="E15" i="53"/>
  <c r="E28" i="53"/>
  <c r="V45" i="4"/>
  <c r="D10" i="4"/>
  <c r="F52" i="80"/>
  <c r="F52" i="79"/>
  <c r="I12" i="4"/>
  <c r="I12" i="56" s="1"/>
  <c r="G57" i="10"/>
  <c r="G36" i="53"/>
  <c r="F21" i="1"/>
  <c r="F11" i="35"/>
  <c r="D8" i="35"/>
  <c r="E10" i="35"/>
  <c r="P19" i="61"/>
  <c r="P22" i="61"/>
  <c r="P23" i="61"/>
  <c r="P16" i="61"/>
  <c r="P17" i="61"/>
  <c r="P27" i="61"/>
  <c r="P25" i="61"/>
  <c r="P24" i="61"/>
  <c r="P21" i="61"/>
  <c r="P26" i="61"/>
  <c r="P18" i="61"/>
  <c r="P20" i="61"/>
  <c r="AI3" i="82"/>
  <c r="AM3" i="82"/>
  <c r="AL3" i="82"/>
  <c r="F20" i="18"/>
  <c r="F21" i="18" s="1"/>
  <c r="T17" i="46"/>
  <c r="F42" i="1"/>
  <c r="F160" i="1"/>
  <c r="AB111" i="60"/>
  <c r="C48" i="5"/>
  <c r="AQ7" i="61"/>
  <c r="BZ7" i="61" s="1"/>
  <c r="AQ5" i="61"/>
  <c r="BZ5" i="61" s="1"/>
  <c r="AQ3" i="61"/>
  <c r="BZ3" i="61" s="1"/>
  <c r="AQ8" i="61"/>
  <c r="BZ8" i="61" s="1"/>
  <c r="AQ13" i="61"/>
  <c r="BZ13" i="61" s="1"/>
  <c r="AQ14" i="61"/>
  <c r="BZ14" i="61" s="1"/>
  <c r="AQ11" i="61"/>
  <c r="BZ11" i="61" s="1"/>
  <c r="AQ9" i="61"/>
  <c r="BZ9" i="61" s="1"/>
  <c r="AQ12" i="61"/>
  <c r="BZ12" i="61" s="1"/>
  <c r="AQ10" i="61"/>
  <c r="BZ10" i="61" s="1"/>
  <c r="AQ4" i="61"/>
  <c r="BZ4" i="61" s="1"/>
  <c r="AQ6" i="61"/>
  <c r="BZ6" i="61" s="1"/>
  <c r="CV7" i="112"/>
  <c r="E39" i="5"/>
  <c r="P18" i="97"/>
  <c r="CV7" i="111"/>
  <c r="CV7" i="63"/>
  <c r="CV7" i="61"/>
  <c r="Y15" i="90"/>
  <c r="Z15" i="90" s="1"/>
  <c r="W15" i="90"/>
  <c r="CU6" i="112"/>
  <c r="CU6" i="61"/>
  <c r="D38" i="5"/>
  <c r="CU6" i="111"/>
  <c r="CU6" i="63"/>
  <c r="G24" i="53"/>
  <c r="CH4" i="112"/>
  <c r="B29" i="112" s="1"/>
  <c r="CH4" i="111"/>
  <c r="B29" i="111" s="1"/>
  <c r="C14" i="5"/>
  <c r="CH4" i="61"/>
  <c r="B29" i="61" s="1"/>
  <c r="B25" i="5"/>
  <c r="B35" i="5" s="1"/>
  <c r="B45" i="5" s="1"/>
  <c r="CH4" i="63"/>
  <c r="B29" i="63" s="1"/>
  <c r="I34" i="77"/>
  <c r="J31" i="77"/>
  <c r="X28" i="77"/>
  <c r="X27" i="77"/>
  <c r="X30" i="77" s="1"/>
  <c r="O30" i="77" s="1"/>
  <c r="O31" i="77" s="1"/>
  <c r="H5" i="8"/>
  <c r="G36" i="8"/>
  <c r="G97" i="8"/>
  <c r="G62" i="8"/>
  <c r="G63" i="8" s="1"/>
  <c r="I6" i="80"/>
  <c r="H47" i="80"/>
  <c r="CT6" i="111"/>
  <c r="CT6" i="61"/>
  <c r="CT6" i="112"/>
  <c r="CT6" i="63"/>
  <c r="C38" i="5"/>
  <c r="G26" i="54"/>
  <c r="E46" i="8"/>
  <c r="E51" i="8"/>
  <c r="E52" i="8" s="1"/>
  <c r="E55" i="8"/>
  <c r="E58" i="8" s="1"/>
  <c r="C53" i="107"/>
  <c r="D7" i="6"/>
  <c r="F10" i="3"/>
  <c r="C53" i="64"/>
  <c r="F23" i="60"/>
  <c r="E2" i="3"/>
  <c r="D6" i="27"/>
  <c r="D16" i="27" s="1"/>
  <c r="I30" i="7"/>
  <c r="X7" i="6"/>
  <c r="N27" i="82"/>
  <c r="B27" i="82" s="1"/>
  <c r="G27" i="48"/>
  <c r="F28" i="48"/>
  <c r="C11" i="73"/>
  <c r="N41" i="60"/>
  <c r="J11" i="73" s="1"/>
  <c r="T23" i="47"/>
  <c r="T25" i="47" s="1"/>
  <c r="F8" i="110"/>
  <c r="L38" i="64"/>
  <c r="F8" i="62"/>
  <c r="L38" i="107"/>
  <c r="AO247" i="60"/>
  <c r="S7" i="77"/>
  <c r="T3" i="77" s="1"/>
  <c r="P3" i="77"/>
  <c r="F20" i="13"/>
  <c r="F21" i="13" s="1"/>
  <c r="CS3" i="112"/>
  <c r="CS3" i="111"/>
  <c r="R14" i="97"/>
  <c r="CS3" i="61"/>
  <c r="I6" i="27"/>
  <c r="CS3" i="63"/>
  <c r="T17" i="38"/>
  <c r="D13" i="38" s="1"/>
  <c r="P20" i="111"/>
  <c r="P26" i="111"/>
  <c r="P24" i="111"/>
  <c r="P17" i="111"/>
  <c r="P25" i="111"/>
  <c r="P23" i="111"/>
  <c r="P27" i="111"/>
  <c r="P18" i="111"/>
  <c r="P19" i="111"/>
  <c r="P22" i="111"/>
  <c r="P16" i="111"/>
  <c r="P21" i="111"/>
  <c r="G10" i="13"/>
  <c r="G12" i="13"/>
  <c r="G14" i="13"/>
  <c r="G11" i="13"/>
  <c r="G13" i="13"/>
  <c r="G23" i="13" s="1"/>
  <c r="G14" i="16"/>
  <c r="G12" i="16"/>
  <c r="G11" i="16"/>
  <c r="G10" i="16"/>
  <c r="G13" i="16"/>
  <c r="G23" i="16" s="1"/>
  <c r="F20" i="17"/>
  <c r="F21" i="17" s="1"/>
  <c r="F20" i="14"/>
  <c r="F21" i="14" s="1"/>
  <c r="G31" i="77"/>
  <c r="D34" i="77"/>
  <c r="V27" i="77"/>
  <c r="V28" i="77"/>
  <c r="I130" i="79"/>
  <c r="I131" i="79" s="1"/>
  <c r="I114" i="79"/>
  <c r="I58" i="79"/>
  <c r="I101" i="79"/>
  <c r="A101" i="79" s="1"/>
  <c r="A94" i="79" s="1"/>
  <c r="F53" i="79"/>
  <c r="F54" i="79" s="1"/>
  <c r="F57" i="79"/>
  <c r="F60" i="79" s="1"/>
  <c r="Y20" i="82"/>
  <c r="Y22" i="82" s="1"/>
  <c r="Y23" i="82" s="1"/>
  <c r="R21" i="82"/>
  <c r="X21" i="82"/>
  <c r="P20" i="82"/>
  <c r="S20" i="82"/>
  <c r="U21" i="82"/>
  <c r="AB20" i="82"/>
  <c r="O21" i="82"/>
  <c r="V20" i="82"/>
  <c r="V22" i="82" s="1"/>
  <c r="V23" i="82" s="1"/>
  <c r="AA21" i="82"/>
  <c r="E43" i="79"/>
  <c r="E45" i="79" s="1"/>
  <c r="T23" i="48"/>
  <c r="T25" i="48" s="1"/>
  <c r="R21" i="97"/>
  <c r="M21" i="97"/>
  <c r="N21" i="97"/>
  <c r="O21" i="97"/>
  <c r="P21" i="97"/>
  <c r="N25" i="97"/>
  <c r="Q21" i="97"/>
  <c r="E53" i="80"/>
  <c r="E54" i="80" s="1"/>
  <c r="E57" i="80"/>
  <c r="E60" i="80" s="1"/>
  <c r="G12" i="15"/>
  <c r="G10" i="15"/>
  <c r="G14" i="15"/>
  <c r="G11" i="15"/>
  <c r="G13" i="15"/>
  <c r="G23" i="15" s="1"/>
  <c r="F53" i="8"/>
  <c r="F105" i="8"/>
  <c r="F53" i="80"/>
  <c r="F54" i="80" s="1"/>
  <c r="F57" i="80"/>
  <c r="F60" i="80" s="1"/>
  <c r="G24" i="54"/>
  <c r="AQ6" i="111"/>
  <c r="BZ6" i="111" s="1"/>
  <c r="AQ12" i="111"/>
  <c r="BZ12" i="111" s="1"/>
  <c r="AQ13" i="111"/>
  <c r="BZ13" i="111" s="1"/>
  <c r="AQ4" i="111"/>
  <c r="BZ4" i="111" s="1"/>
  <c r="AQ7" i="111"/>
  <c r="BZ7" i="111" s="1"/>
  <c r="AQ11" i="111"/>
  <c r="BZ11" i="111" s="1"/>
  <c r="AQ8" i="111"/>
  <c r="BZ8" i="111" s="1"/>
  <c r="AQ9" i="111"/>
  <c r="BZ9" i="111" s="1"/>
  <c r="AQ3" i="111"/>
  <c r="BZ3" i="111" s="1"/>
  <c r="AQ5" i="111"/>
  <c r="BZ5" i="111" s="1"/>
  <c r="AQ10" i="111"/>
  <c r="BZ10" i="111" s="1"/>
  <c r="AQ14" i="111"/>
  <c r="BZ14" i="111" s="1"/>
  <c r="W9" i="103"/>
  <c r="W10" i="103" s="1"/>
  <c r="W11" i="103" s="1"/>
  <c r="W12" i="103" s="1"/>
  <c r="W13" i="103" s="1"/>
  <c r="W14" i="103" s="1"/>
  <c r="W15" i="103" s="1"/>
  <c r="W16" i="103" s="1"/>
  <c r="W17" i="103" s="1"/>
  <c r="W18" i="103" s="1"/>
  <c r="W19" i="103" s="1"/>
  <c r="W20" i="103" s="1"/>
  <c r="W9" i="100"/>
  <c r="W10" i="100" s="1"/>
  <c r="W11" i="100" s="1"/>
  <c r="W12" i="100" s="1"/>
  <c r="W13" i="100" s="1"/>
  <c r="W14" i="100" s="1"/>
  <c r="W15" i="100" s="1"/>
  <c r="W16" i="100" s="1"/>
  <c r="W17" i="100" s="1"/>
  <c r="W18" i="100" s="1"/>
  <c r="W19" i="100" s="1"/>
  <c r="W20" i="100" s="1"/>
  <c r="Y12" i="114"/>
  <c r="G10" i="17"/>
  <c r="G14" i="17"/>
  <c r="G12" i="17"/>
  <c r="G11" i="17"/>
  <c r="G13" i="17"/>
  <c r="G23" i="17" s="1"/>
  <c r="G23" i="53"/>
  <c r="E21" i="1"/>
  <c r="L10" i="82"/>
  <c r="L17" i="97"/>
  <c r="C12" i="3"/>
  <c r="AB7" i="82"/>
  <c r="E13" i="3"/>
  <c r="O10" i="76"/>
  <c r="Y26" i="56"/>
  <c r="H1" i="3"/>
  <c r="O8" i="77"/>
  <c r="S8" i="77" s="1"/>
  <c r="B7" i="5"/>
  <c r="B14" i="3"/>
  <c r="S25" i="56" s="1"/>
  <c r="G41" i="53"/>
  <c r="F50" i="1"/>
  <c r="G12" i="19"/>
  <c r="G10" i="19"/>
  <c r="G11" i="19"/>
  <c r="G14" i="19"/>
  <c r="G13" i="19"/>
  <c r="G23" i="19" s="1"/>
  <c r="G28" i="54"/>
  <c r="E50" i="8"/>
  <c r="F20" i="79"/>
  <c r="F21" i="79" s="1"/>
  <c r="G2" i="13"/>
  <c r="G2" i="1"/>
  <c r="G2" i="18"/>
  <c r="G2" i="17"/>
  <c r="G2" i="16"/>
  <c r="G2" i="8"/>
  <c r="G2" i="11"/>
  <c r="G2" i="80"/>
  <c r="G2" i="79"/>
  <c r="G2" i="15"/>
  <c r="G2" i="14"/>
  <c r="G2" i="19"/>
  <c r="I112" i="8"/>
  <c r="I56" i="8"/>
  <c r="I99" i="8"/>
  <c r="A99" i="8" s="1"/>
  <c r="AA13" i="114"/>
  <c r="F20" i="11"/>
  <c r="F21" i="11" s="1"/>
  <c r="I106" i="79"/>
  <c r="I109" i="79" s="1"/>
  <c r="A109" i="79" s="1"/>
  <c r="I59" i="79"/>
  <c r="K26" i="6"/>
  <c r="G57" i="5"/>
  <c r="G11" i="1"/>
  <c r="G12" i="1"/>
  <c r="G42" i="1" s="1"/>
  <c r="G10" i="1"/>
  <c r="G47" i="1"/>
  <c r="G48" i="1"/>
  <c r="G49" i="1" s="1"/>
  <c r="G14" i="1"/>
  <c r="G13" i="1"/>
  <c r="G23" i="1" s="1"/>
  <c r="G44" i="1"/>
  <c r="G46" i="1" s="1"/>
  <c r="G113" i="1"/>
  <c r="G114" i="1" s="1"/>
  <c r="G97" i="1"/>
  <c r="G50" i="79"/>
  <c r="G14" i="79"/>
  <c r="G49" i="79"/>
  <c r="G10" i="79"/>
  <c r="G12" i="79"/>
  <c r="G44" i="79" s="1"/>
  <c r="G115" i="79"/>
  <c r="G116" i="79" s="1"/>
  <c r="G11" i="79"/>
  <c r="G46" i="79"/>
  <c r="G99" i="79"/>
  <c r="G13" i="79"/>
  <c r="G23" i="79" s="1"/>
  <c r="U16" i="90"/>
  <c r="V16" i="90"/>
  <c r="D77" i="8"/>
  <c r="D78" i="8"/>
  <c r="D139" i="8"/>
  <c r="I3" i="3"/>
  <c r="A15" i="3"/>
  <c r="A14" i="34"/>
  <c r="C13" i="34"/>
  <c r="E160" i="8"/>
  <c r="E161" i="8" s="1"/>
  <c r="E42" i="8"/>
  <c r="AD4" i="82"/>
  <c r="AG4" i="82"/>
  <c r="AE4" i="82"/>
  <c r="AF4" i="82"/>
  <c r="E43" i="80"/>
  <c r="E45" i="80" s="1"/>
  <c r="E22" i="15"/>
  <c r="J9" i="6"/>
  <c r="R9" i="6"/>
  <c r="Q5" i="6" s="1"/>
  <c r="C9" i="26" s="1"/>
  <c r="T23" i="46"/>
  <c r="T25" i="46" s="1"/>
  <c r="G50" i="80"/>
  <c r="G51" i="80" s="1"/>
  <c r="G10" i="80"/>
  <c r="G14" i="80"/>
  <c r="G12" i="80"/>
  <c r="G44" i="80" s="1"/>
  <c r="G115" i="80"/>
  <c r="G116" i="80" s="1"/>
  <c r="G11" i="80"/>
  <c r="G46" i="80"/>
  <c r="G48" i="80" s="1"/>
  <c r="G49" i="80"/>
  <c r="G13" i="80"/>
  <c r="G23" i="80" s="1"/>
  <c r="E51" i="1"/>
  <c r="E52" i="1" s="1"/>
  <c r="E55" i="1"/>
  <c r="E58" i="1" s="1"/>
  <c r="BL15" i="61"/>
  <c r="BL16" i="61" s="1"/>
  <c r="BL17" i="61" s="1"/>
  <c r="BL18" i="61" s="1"/>
  <c r="BL19" i="61" s="1"/>
  <c r="BL20" i="61" s="1"/>
  <c r="BL21" i="61" s="1"/>
  <c r="BL22" i="61" s="1"/>
  <c r="BL23" i="61" s="1"/>
  <c r="BL24" i="61" s="1"/>
  <c r="BL25" i="61" s="1"/>
  <c r="BL26" i="61" s="1"/>
  <c r="BL27" i="61" s="1"/>
  <c r="BL28" i="61" s="1"/>
  <c r="BL29" i="61" s="1"/>
  <c r="BL30" i="61" s="1"/>
  <c r="BL31" i="61" s="1"/>
  <c r="BL32" i="61" s="1"/>
  <c r="BL33" i="61" s="1"/>
  <c r="BL34" i="61" s="1"/>
  <c r="BL35" i="61" s="1"/>
  <c r="BL36" i="61" s="1"/>
  <c r="BL37" i="61" s="1"/>
  <c r="BL38" i="61" s="1"/>
  <c r="BL39" i="61" s="1"/>
  <c r="BL40" i="61" s="1"/>
  <c r="CL4" i="112"/>
  <c r="CL4" i="61"/>
  <c r="T16" i="39"/>
  <c r="Q15" i="97"/>
  <c r="H55" i="5"/>
  <c r="E7" i="27"/>
  <c r="G7" i="27" s="1"/>
  <c r="CL4" i="111"/>
  <c r="T16" i="47"/>
  <c r="CL4" i="63"/>
  <c r="O29" i="82"/>
  <c r="S28" i="82"/>
  <c r="U28" i="82"/>
  <c r="V28" i="82"/>
  <c r="R28" i="82"/>
  <c r="T28" i="82"/>
  <c r="Q28" i="82"/>
  <c r="P29" i="82"/>
  <c r="R38" i="107"/>
  <c r="I38" i="107" s="1"/>
  <c r="AH72" i="60"/>
  <c r="R38" i="64"/>
  <c r="I38" i="64" s="1"/>
  <c r="AO258" i="60"/>
  <c r="G8" i="62"/>
  <c r="G8" i="110"/>
  <c r="E15" i="54"/>
  <c r="E28" i="54"/>
  <c r="E41" i="54"/>
  <c r="E50" i="1"/>
  <c r="G28" i="53"/>
  <c r="I21" i="71"/>
  <c r="N17" i="71"/>
  <c r="I20" i="71"/>
  <c r="I18" i="71"/>
  <c r="I19" i="71"/>
  <c r="I54" i="5"/>
  <c r="J54" i="5" s="1"/>
  <c r="D54" i="5"/>
  <c r="AA47" i="112"/>
  <c r="AA50" i="112"/>
  <c r="AA53" i="112"/>
  <c r="AA45" i="112"/>
  <c r="AA42" i="112"/>
  <c r="AA43" i="112"/>
  <c r="AA52" i="111"/>
  <c r="AA44" i="111"/>
  <c r="AA52" i="112"/>
  <c r="AA47" i="111"/>
  <c r="AA50" i="111"/>
  <c r="AA51" i="112"/>
  <c r="AA48" i="111"/>
  <c r="AA51" i="111"/>
  <c r="AA43" i="111"/>
  <c r="AA44" i="112"/>
  <c r="AA53" i="111"/>
  <c r="AA45" i="111"/>
  <c r="AA46" i="112"/>
  <c r="AA42" i="111"/>
  <c r="AA49" i="111"/>
  <c r="AA49" i="112"/>
  <c r="AA50" i="61"/>
  <c r="AA49" i="61"/>
  <c r="AA49" i="63"/>
  <c r="AA44" i="61"/>
  <c r="AA44" i="63"/>
  <c r="AA42" i="63"/>
  <c r="AA48" i="112"/>
  <c r="AA52" i="61"/>
  <c r="AA43" i="61"/>
  <c r="AA47" i="61"/>
  <c r="AA45" i="61"/>
  <c r="AA45" i="63"/>
  <c r="AA47" i="63"/>
  <c r="AA53" i="61"/>
  <c r="AA46" i="63"/>
  <c r="AA48" i="63"/>
  <c r="AA46" i="111"/>
  <c r="AA48" i="61"/>
  <c r="AA42" i="61"/>
  <c r="AA51" i="61"/>
  <c r="AA50" i="63"/>
  <c r="AA46" i="61"/>
  <c r="AA51" i="63"/>
  <c r="AA52" i="63"/>
  <c r="AA53" i="63"/>
  <c r="AA43" i="63"/>
  <c r="U17" i="90"/>
  <c r="V17" i="90"/>
  <c r="F35" i="5"/>
  <c r="E12" i="30"/>
  <c r="I24" i="6"/>
  <c r="D52" i="107"/>
  <c r="D52" i="64"/>
  <c r="G88" i="60"/>
  <c r="F22" i="71"/>
  <c r="C26" i="82"/>
  <c r="D15" i="4"/>
  <c r="F22" i="51"/>
  <c r="C10" i="30"/>
  <c r="C29" i="30" s="1"/>
  <c r="C36" i="30" s="1"/>
  <c r="D47" i="30" s="1"/>
  <c r="D15" i="56"/>
  <c r="BN4" i="112"/>
  <c r="BR3" i="112"/>
  <c r="T10" i="6"/>
  <c r="V10" i="6"/>
  <c r="H10" i="6" s="1"/>
  <c r="F30" i="3"/>
  <c r="AA9" i="101"/>
  <c r="AA9" i="105"/>
  <c r="E24" i="51"/>
  <c r="AC5" i="82"/>
  <c r="Q8" i="76"/>
  <c r="Q7" i="77"/>
  <c r="U7" i="77" s="1"/>
  <c r="E24" i="71"/>
  <c r="C53" i="3"/>
  <c r="M15" i="97"/>
  <c r="N15" i="97" s="1"/>
  <c r="D11" i="3"/>
  <c r="AE5" i="4"/>
  <c r="AF4" i="4" s="1"/>
  <c r="U6" i="5"/>
  <c r="B16" i="5"/>
  <c r="G26" i="37"/>
  <c r="F27" i="37"/>
  <c r="P17" i="63"/>
  <c r="P22" i="63"/>
  <c r="P24" i="63"/>
  <c r="P16" i="63"/>
  <c r="P21" i="63"/>
  <c r="P18" i="63"/>
  <c r="P26" i="63"/>
  <c r="P20" i="63"/>
  <c r="P25" i="63"/>
  <c r="P19" i="63"/>
  <c r="P23" i="63"/>
  <c r="P27" i="63"/>
  <c r="Z13" i="114"/>
  <c r="AB76" i="60"/>
  <c r="AD77" i="60"/>
  <c r="G14" i="18"/>
  <c r="G10" i="18"/>
  <c r="G12" i="18"/>
  <c r="G11" i="18"/>
  <c r="G13" i="18"/>
  <c r="G23" i="18" s="1"/>
  <c r="G12" i="8"/>
  <c r="G42" i="8" s="1"/>
  <c r="G11" i="8"/>
  <c r="G55" i="8" s="1"/>
  <c r="G113" i="8"/>
  <c r="G114" i="8" s="1"/>
  <c r="G47" i="8"/>
  <c r="G48" i="8"/>
  <c r="G49" i="8" s="1"/>
  <c r="G10" i="8"/>
  <c r="G14" i="8"/>
  <c r="G44" i="8"/>
  <c r="G13" i="8"/>
  <c r="G23" i="8" s="1"/>
  <c r="E160" i="1"/>
  <c r="E161" i="1" s="1"/>
  <c r="E42" i="1"/>
  <c r="B14" i="90"/>
  <c r="X14" i="90"/>
  <c r="H4" i="8"/>
  <c r="H4" i="14"/>
  <c r="H4" i="11"/>
  <c r="H4" i="15"/>
  <c r="H4" i="13"/>
  <c r="H4" i="80"/>
  <c r="H99" i="80" s="1"/>
  <c r="H4" i="1"/>
  <c r="H4" i="18"/>
  <c r="H4" i="16"/>
  <c r="H4" i="79"/>
  <c r="H4" i="19"/>
  <c r="H4" i="17"/>
  <c r="F20" i="16"/>
  <c r="F21" i="16" s="1"/>
  <c r="F29" i="65"/>
  <c r="G29" i="65" s="1"/>
  <c r="G28" i="65"/>
  <c r="B29" i="3"/>
  <c r="D3" i="14"/>
  <c r="D3" i="11"/>
  <c r="D3" i="19"/>
  <c r="D3" i="17"/>
  <c r="D3" i="15"/>
  <c r="D3" i="13"/>
  <c r="D3" i="18"/>
  <c r="D3" i="16"/>
  <c r="D3" i="8"/>
  <c r="D3" i="1"/>
  <c r="P4" i="82"/>
  <c r="D5" i="83" s="1"/>
  <c r="B7" i="83" s="1"/>
  <c r="D3" i="80"/>
  <c r="B28" i="3"/>
  <c r="D3" i="79"/>
  <c r="F13" i="6"/>
  <c r="C27" i="6"/>
  <c r="Z12" i="6"/>
  <c r="AA12" i="6" s="1"/>
  <c r="T99" i="56"/>
  <c r="T100" i="56"/>
  <c r="T101" i="56" s="1"/>
  <c r="T102" i="56" s="1"/>
  <c r="T103" i="56" s="1"/>
  <c r="T104" i="56" s="1"/>
  <c r="T105" i="56" s="1"/>
  <c r="T106" i="56" s="1"/>
  <c r="T107" i="56" s="1"/>
  <c r="T108" i="56" s="1"/>
  <c r="T109" i="56" s="1"/>
  <c r="T110" i="56" s="1"/>
  <c r="T111" i="56" s="1"/>
  <c r="F20" i="19"/>
  <c r="F21" i="19" s="1"/>
  <c r="G41" i="54"/>
  <c r="E57" i="79"/>
  <c r="E60" i="79" s="1"/>
  <c r="E53" i="79"/>
  <c r="E54" i="79" s="1"/>
  <c r="T23" i="45"/>
  <c r="G39" i="107"/>
  <c r="G9" i="109"/>
  <c r="AO215" i="60"/>
  <c r="AG73" i="60"/>
  <c r="Q39" i="64"/>
  <c r="C39" i="64" s="1"/>
  <c r="X73" i="60"/>
  <c r="Q39" i="107"/>
  <c r="C39" i="107" s="1"/>
  <c r="G9" i="21"/>
  <c r="B9" i="114"/>
  <c r="D9" i="114"/>
  <c r="CO12" i="111"/>
  <c r="D31" i="14"/>
  <c r="CO2" i="111" s="1"/>
  <c r="CO12" i="61"/>
  <c r="T19" i="45"/>
  <c r="T20" i="45"/>
  <c r="BN4" i="111"/>
  <c r="BR3" i="111"/>
  <c r="D77" i="1"/>
  <c r="D78" i="1"/>
  <c r="D79" i="1" s="1"/>
  <c r="D65" i="1" s="1"/>
  <c r="D139" i="1"/>
  <c r="AA12" i="114"/>
  <c r="F14" i="60"/>
  <c r="I14" i="60"/>
  <c r="I15" i="60"/>
  <c r="AN16" i="60"/>
  <c r="F15" i="60"/>
  <c r="G12" i="11"/>
  <c r="G14" i="11"/>
  <c r="G11" i="11"/>
  <c r="G10" i="11"/>
  <c r="G13" i="11"/>
  <c r="G23" i="11" s="1"/>
  <c r="N28" i="82"/>
  <c r="B28" i="82" s="1"/>
  <c r="G99" i="80"/>
  <c r="BN4" i="63"/>
  <c r="BR3" i="63"/>
  <c r="P22" i="112"/>
  <c r="P24" i="112"/>
  <c r="P27" i="112"/>
  <c r="P19" i="112"/>
  <c r="P21" i="112"/>
  <c r="P23" i="112"/>
  <c r="P18" i="112"/>
  <c r="P20" i="112"/>
  <c r="P17" i="112"/>
  <c r="P25" i="112"/>
  <c r="P26" i="112"/>
  <c r="P16" i="112"/>
  <c r="C10" i="35"/>
  <c r="A11" i="35"/>
  <c r="G39" i="53"/>
  <c r="F46" i="1"/>
  <c r="F51" i="1"/>
  <c r="F52" i="1" s="1"/>
  <c r="F55" i="1"/>
  <c r="F58" i="1" s="1"/>
  <c r="BR3" i="61"/>
  <c r="BN4" i="61"/>
  <c r="G10" i="14"/>
  <c r="G12" i="14"/>
  <c r="G11" i="14"/>
  <c r="G14" i="14"/>
  <c r="G13" i="14"/>
  <c r="G23" i="14" s="1"/>
  <c r="AQ12" i="112"/>
  <c r="BZ12" i="112" s="1"/>
  <c r="AQ6" i="112"/>
  <c r="BZ6" i="112" s="1"/>
  <c r="AQ13" i="112"/>
  <c r="BZ13" i="112" s="1"/>
  <c r="AQ10" i="112"/>
  <c r="BZ10" i="112" s="1"/>
  <c r="AQ9" i="112"/>
  <c r="BZ9" i="112" s="1"/>
  <c r="AQ7" i="112"/>
  <c r="BZ7" i="112" s="1"/>
  <c r="AQ11" i="112"/>
  <c r="BZ11" i="112" s="1"/>
  <c r="AQ8" i="112"/>
  <c r="BZ8" i="112" s="1"/>
  <c r="AQ4" i="112"/>
  <c r="BZ4" i="112" s="1"/>
  <c r="AQ5" i="112"/>
  <c r="BZ5" i="112" s="1"/>
  <c r="AQ3" i="112"/>
  <c r="BZ3" i="112" s="1"/>
  <c r="AQ14" i="112"/>
  <c r="BZ14" i="112" s="1"/>
  <c r="AH3" i="82"/>
  <c r="AJ3" i="82"/>
  <c r="AA3" i="82"/>
  <c r="G26" i="53"/>
  <c r="E46" i="1"/>
  <c r="Z14" i="90"/>
  <c r="H5" i="15"/>
  <c r="F20" i="15"/>
  <c r="F21" i="15" s="1"/>
  <c r="BA2" i="112"/>
  <c r="BA2" i="63"/>
  <c r="AO11" i="60" s="1"/>
  <c r="D8" i="114"/>
  <c r="AQ14" i="63"/>
  <c r="BZ14" i="63" s="1"/>
  <c r="AQ7" i="63"/>
  <c r="BZ7" i="63" s="1"/>
  <c r="AQ5" i="63"/>
  <c r="BZ5" i="63" s="1"/>
  <c r="AQ3" i="63"/>
  <c r="BZ3" i="63" s="1"/>
  <c r="AQ11" i="63"/>
  <c r="BZ11" i="63" s="1"/>
  <c r="AQ12" i="63"/>
  <c r="BZ12" i="63" s="1"/>
  <c r="AQ8" i="63"/>
  <c r="BZ8" i="63" s="1"/>
  <c r="AQ13" i="63"/>
  <c r="BZ13" i="63" s="1"/>
  <c r="AQ4" i="63"/>
  <c r="BZ4" i="63" s="1"/>
  <c r="AQ6" i="63"/>
  <c r="BZ6" i="63" s="1"/>
  <c r="AQ10" i="63"/>
  <c r="BZ10" i="63" s="1"/>
  <c r="AQ9" i="63"/>
  <c r="BZ9" i="63" s="1"/>
  <c r="H6" i="8"/>
  <c r="G45" i="8"/>
  <c r="F20" i="80"/>
  <c r="F21" i="80" s="1"/>
  <c r="G23" i="54"/>
  <c r="E21" i="8"/>
  <c r="W25" i="6"/>
  <c r="C56" i="5"/>
  <c r="G20" i="14" s="1"/>
  <c r="G21" i="14" s="1"/>
  <c r="E25" i="6"/>
  <c r="X25" i="6" s="1"/>
  <c r="H25" i="6" s="1"/>
  <c r="F20" i="8"/>
  <c r="F51" i="8"/>
  <c r="F52" i="8" s="1"/>
  <c r="CP12" i="63"/>
  <c r="D31" i="19"/>
  <c r="CP2" i="63" s="1"/>
  <c r="CP12" i="112"/>
  <c r="I6" i="1"/>
  <c r="H45" i="1"/>
  <c r="E52" i="79"/>
  <c r="T23" i="66"/>
  <c r="I5" i="80"/>
  <c r="H36" i="80"/>
  <c r="H64" i="80"/>
  <c r="H65" i="80" s="1"/>
  <c r="J30" i="7"/>
  <c r="D70" i="79"/>
  <c r="D70" i="80"/>
  <c r="D68" i="1"/>
  <c r="D68" i="8"/>
  <c r="R3" i="94"/>
  <c r="AB3" i="60"/>
  <c r="P2" i="90"/>
  <c r="Z1" i="77"/>
  <c r="J74" i="60" l="1"/>
  <c r="D34" i="79"/>
  <c r="D27" i="79"/>
  <c r="G10" i="53"/>
  <c r="D21" i="1"/>
  <c r="D22" i="1" s="1"/>
  <c r="D24" i="1" s="1"/>
  <c r="D25" i="1" s="1"/>
  <c r="O73" i="60"/>
  <c r="O74" i="60" s="1"/>
  <c r="B49" i="8"/>
  <c r="D7" i="54"/>
  <c r="D46" i="1"/>
  <c r="G13" i="53"/>
  <c r="D27" i="18"/>
  <c r="D28" i="18" s="1"/>
  <c r="D34" i="80"/>
  <c r="D27" i="80"/>
  <c r="F9" i="109"/>
  <c r="K8" i="105"/>
  <c r="K8" i="101"/>
  <c r="AK3" i="82"/>
  <c r="AN3" i="82" s="1"/>
  <c r="D27" i="11"/>
  <c r="D28" i="11" s="1"/>
  <c r="D52" i="80"/>
  <c r="D22" i="16"/>
  <c r="D24" i="16" s="1"/>
  <c r="D25" i="16" s="1"/>
  <c r="D27" i="16" s="1"/>
  <c r="D28" i="16" s="1"/>
  <c r="E19" i="16" s="1"/>
  <c r="E22" i="16" s="1"/>
  <c r="D30" i="16"/>
  <c r="G13" i="54"/>
  <c r="D46" i="8"/>
  <c r="I13" i="54" s="1"/>
  <c r="D27" i="13"/>
  <c r="D28" i="13" s="1"/>
  <c r="D27" i="17"/>
  <c r="D28" i="17" s="1"/>
  <c r="E19" i="17" s="1"/>
  <c r="E22" i="17" s="1"/>
  <c r="G39" i="64"/>
  <c r="AO204" i="60"/>
  <c r="G51" i="79"/>
  <c r="G107" i="1"/>
  <c r="P73" i="60"/>
  <c r="R39" i="64" s="1"/>
  <c r="I39" i="64" s="1"/>
  <c r="K74" i="60"/>
  <c r="G10" i="54"/>
  <c r="D21" i="8"/>
  <c r="D22" i="8" s="1"/>
  <c r="D24" i="8" s="1"/>
  <c r="D25" i="8" s="1"/>
  <c r="G15" i="53"/>
  <c r="D50" i="1"/>
  <c r="D50" i="8"/>
  <c r="I15" i="54" s="1"/>
  <c r="G15" i="54"/>
  <c r="D97" i="8"/>
  <c r="D99" i="80"/>
  <c r="D97" i="1"/>
  <c r="D99" i="79"/>
  <c r="E97" i="8"/>
  <c r="E99" i="80"/>
  <c r="F99" i="79"/>
  <c r="F99" i="80"/>
  <c r="F97" i="1"/>
  <c r="F97" i="8"/>
  <c r="E97" i="1"/>
  <c r="E99" i="79"/>
  <c r="A10" i="5"/>
  <c r="A20" i="5" s="1"/>
  <c r="A30" i="5" s="1"/>
  <c r="A40" i="5" s="1"/>
  <c r="A50" i="5" s="1"/>
  <c r="A60" i="5" s="1"/>
  <c r="A70" i="5" s="1"/>
  <c r="A19" i="5"/>
  <c r="I13" i="53"/>
  <c r="F9" i="21"/>
  <c r="D30" i="17"/>
  <c r="CN12" i="112" s="1"/>
  <c r="I106" i="80"/>
  <c r="I109" i="80" s="1"/>
  <c r="A109" i="80" s="1"/>
  <c r="A94" i="80" s="1"/>
  <c r="I59" i="80"/>
  <c r="B49" i="1"/>
  <c r="D7" i="53"/>
  <c r="D10" i="56" s="1"/>
  <c r="D18" i="5"/>
  <c r="A28" i="5"/>
  <c r="A38" i="5" s="1"/>
  <c r="A48" i="5" s="1"/>
  <c r="A58" i="5" s="1"/>
  <c r="A68" i="5" s="1"/>
  <c r="D31" i="15"/>
  <c r="CP2" i="61" s="1"/>
  <c r="CP12" i="61"/>
  <c r="K38" i="107"/>
  <c r="E8" i="110"/>
  <c r="K38" i="64"/>
  <c r="E8" i="62"/>
  <c r="AO236" i="60"/>
  <c r="Z72" i="60"/>
  <c r="AA72" i="60" s="1"/>
  <c r="E9" i="21"/>
  <c r="X74" i="60"/>
  <c r="F39" i="107"/>
  <c r="F39" i="64"/>
  <c r="E9" i="109"/>
  <c r="AO193" i="60"/>
  <c r="S23" i="56"/>
  <c r="G107" i="8"/>
  <c r="H54" i="8"/>
  <c r="I9" i="8"/>
  <c r="I54" i="8" s="1"/>
  <c r="G58" i="8"/>
  <c r="G105" i="8" s="1"/>
  <c r="I9" i="1"/>
  <c r="I54" i="1" s="1"/>
  <c r="H54" i="1"/>
  <c r="H57" i="1"/>
  <c r="H104" i="1"/>
  <c r="I8" i="1"/>
  <c r="I7" i="1"/>
  <c r="H56" i="1"/>
  <c r="H112" i="1"/>
  <c r="H99" i="1"/>
  <c r="G47" i="79"/>
  <c r="G48" i="79" s="1"/>
  <c r="H6" i="79"/>
  <c r="AC76" i="60"/>
  <c r="AE77" i="60"/>
  <c r="G20" i="1"/>
  <c r="G21" i="1" s="1"/>
  <c r="G20" i="15"/>
  <c r="G21" i="15" s="1"/>
  <c r="G29" i="6"/>
  <c r="U14" i="6"/>
  <c r="Y14" i="6"/>
  <c r="F29" i="6" s="1"/>
  <c r="D15" i="37"/>
  <c r="D35" i="37"/>
  <c r="D34" i="37"/>
  <c r="T24" i="37"/>
  <c r="G52" i="79"/>
  <c r="I8" i="8"/>
  <c r="H57" i="8"/>
  <c r="H104" i="8"/>
  <c r="H107" i="8" s="1"/>
  <c r="D79" i="8"/>
  <c r="D65" i="8" s="1"/>
  <c r="H10" i="54" s="1"/>
  <c r="H11" i="54" s="1"/>
  <c r="H13" i="54" s="1"/>
  <c r="H15" i="54" s="1"/>
  <c r="I36" i="1"/>
  <c r="I62" i="1"/>
  <c r="I63" i="1" s="1"/>
  <c r="D34" i="45"/>
  <c r="G46" i="8"/>
  <c r="CO2" i="61"/>
  <c r="G50" i="8"/>
  <c r="E11" i="35"/>
  <c r="F12" i="35"/>
  <c r="D9" i="35"/>
  <c r="G9" i="62"/>
  <c r="G9" i="110"/>
  <c r="H115" i="79"/>
  <c r="H116" i="79" s="1"/>
  <c r="H49" i="79"/>
  <c r="H14" i="79"/>
  <c r="H10" i="79"/>
  <c r="H12" i="79"/>
  <c r="H44" i="79" s="1"/>
  <c r="H11" i="79"/>
  <c r="H46" i="79"/>
  <c r="H50" i="79"/>
  <c r="H13" i="79"/>
  <c r="H23" i="79" s="1"/>
  <c r="H99" i="79"/>
  <c r="M16" i="97"/>
  <c r="N16" i="97" s="1"/>
  <c r="AC6" i="82"/>
  <c r="Q9" i="76"/>
  <c r="Q8" i="77"/>
  <c r="U8" i="77" s="1"/>
  <c r="D12" i="3"/>
  <c r="E105" i="8"/>
  <c r="E53" i="8"/>
  <c r="H47" i="8"/>
  <c r="H11" i="8"/>
  <c r="H48" i="8"/>
  <c r="H49" i="8" s="1"/>
  <c r="H12" i="8"/>
  <c r="H42" i="8" s="1"/>
  <c r="H113" i="8"/>
  <c r="H114" i="8" s="1"/>
  <c r="H14" i="8"/>
  <c r="H44" i="8"/>
  <c r="H10" i="8"/>
  <c r="H13" i="8"/>
  <c r="H23" i="8" s="1"/>
  <c r="F28" i="37"/>
  <c r="G27" i="37"/>
  <c r="CP2" i="111"/>
  <c r="H45" i="8"/>
  <c r="I6" i="8"/>
  <c r="C28" i="6"/>
  <c r="Z13" i="6"/>
  <c r="AA13" i="6" s="1"/>
  <c r="F14" i="6"/>
  <c r="H11" i="80"/>
  <c r="H49" i="80"/>
  <c r="H50" i="80"/>
  <c r="H51" i="80" s="1"/>
  <c r="H14" i="80"/>
  <c r="H10" i="80"/>
  <c r="H12" i="80"/>
  <c r="H44" i="80" s="1"/>
  <c r="H115" i="80"/>
  <c r="H116" i="80" s="1"/>
  <c r="H46" i="80"/>
  <c r="H48" i="80" s="1"/>
  <c r="H13" i="80"/>
  <c r="H23" i="80" s="1"/>
  <c r="E24" i="19"/>
  <c r="E25" i="19" s="1"/>
  <c r="E27" i="19" s="1"/>
  <c r="E28" i="19" s="1"/>
  <c r="E29" i="19"/>
  <c r="J30" i="30"/>
  <c r="M22" i="6"/>
  <c r="K6" i="27"/>
  <c r="L6" i="27" s="1"/>
  <c r="E26" i="17"/>
  <c r="E26" i="11"/>
  <c r="E26" i="79"/>
  <c r="E26" i="1"/>
  <c r="E26" i="13"/>
  <c r="E26" i="15"/>
  <c r="E26" i="8"/>
  <c r="E26" i="16"/>
  <c r="E26" i="19"/>
  <c r="E26" i="18"/>
  <c r="E26" i="14"/>
  <c r="E26" i="80"/>
  <c r="F55" i="79"/>
  <c r="F107" i="79"/>
  <c r="G20" i="16"/>
  <c r="G21" i="16" s="1"/>
  <c r="CT7" i="112"/>
  <c r="CT7" i="61"/>
  <c r="C39" i="5"/>
  <c r="C40" i="5" s="1"/>
  <c r="CT7" i="111"/>
  <c r="CT7" i="63"/>
  <c r="F29" i="112"/>
  <c r="C29" i="112"/>
  <c r="CU7" i="112"/>
  <c r="CU7" i="61"/>
  <c r="D39" i="5"/>
  <c r="D40" i="5" s="1"/>
  <c r="CU7" i="111"/>
  <c r="CU7" i="63"/>
  <c r="D18" i="66"/>
  <c r="I5" i="15"/>
  <c r="E29" i="16"/>
  <c r="E24" i="16"/>
  <c r="E25" i="16" s="1"/>
  <c r="H10" i="53"/>
  <c r="H11" i="53" s="1"/>
  <c r="H13" i="53" s="1"/>
  <c r="H15" i="53" s="1"/>
  <c r="I20" i="53"/>
  <c r="I15" i="53"/>
  <c r="BN5" i="111"/>
  <c r="BR4" i="111"/>
  <c r="H11" i="13"/>
  <c r="H14" i="13"/>
  <c r="H10" i="13"/>
  <c r="H12" i="13"/>
  <c r="H13" i="13"/>
  <c r="H23" i="13" s="1"/>
  <c r="CD3" i="112"/>
  <c r="CD4" i="112" s="1"/>
  <c r="CD5" i="112" s="1"/>
  <c r="CD6" i="112" s="1"/>
  <c r="CD7" i="112" s="1"/>
  <c r="CD8" i="112" s="1"/>
  <c r="CD9" i="112" s="1"/>
  <c r="CD10" i="112" s="1"/>
  <c r="CD11" i="112" s="1"/>
  <c r="CD12" i="112" s="1"/>
  <c r="CD13" i="112" s="1"/>
  <c r="CD14" i="112" s="1"/>
  <c r="BN16" i="112" s="1"/>
  <c r="C46" i="33"/>
  <c r="C10" i="54"/>
  <c r="D36" i="77"/>
  <c r="G136" i="10"/>
  <c r="C28" i="92"/>
  <c r="C10" i="37"/>
  <c r="C4" i="37" s="1"/>
  <c r="C10" i="53"/>
  <c r="C10" i="45"/>
  <c r="C4" i="45" s="1"/>
  <c r="G53" i="80"/>
  <c r="G54" i="80" s="1"/>
  <c r="G57" i="80"/>
  <c r="G60" i="80" s="1"/>
  <c r="D18" i="46"/>
  <c r="AI4" i="82"/>
  <c r="AL4" i="82" s="1"/>
  <c r="AM4" i="82"/>
  <c r="W16" i="90"/>
  <c r="Y16" i="90"/>
  <c r="Z16" i="90" s="1"/>
  <c r="G53" i="79"/>
  <c r="G54" i="79" s="1"/>
  <c r="G57" i="79"/>
  <c r="G60" i="79" s="1"/>
  <c r="D18" i="48"/>
  <c r="D53" i="107"/>
  <c r="F23" i="51"/>
  <c r="C11" i="30"/>
  <c r="G89" i="60"/>
  <c r="F23" i="71"/>
  <c r="D53" i="64"/>
  <c r="D16" i="4"/>
  <c r="D16" i="56"/>
  <c r="C27" i="82"/>
  <c r="H55" i="8"/>
  <c r="H62" i="8"/>
  <c r="H63" i="8" s="1"/>
  <c r="I5" i="8"/>
  <c r="H97" i="8"/>
  <c r="H36" i="8"/>
  <c r="BR4" i="63"/>
  <c r="BN5" i="63"/>
  <c r="T24" i="45"/>
  <c r="D18" i="45"/>
  <c r="H10" i="14"/>
  <c r="H14" i="14"/>
  <c r="H11" i="14"/>
  <c r="H12" i="14"/>
  <c r="H13" i="14"/>
  <c r="H23" i="14" s="1"/>
  <c r="E24" i="14"/>
  <c r="E25" i="14" s="1"/>
  <c r="E29" i="14"/>
  <c r="B5" i="109"/>
  <c r="B5" i="21"/>
  <c r="V7" i="60"/>
  <c r="M10" i="97"/>
  <c r="X27" i="97" s="1"/>
  <c r="R25" i="4"/>
  <c r="E53" i="3"/>
  <c r="O2" i="82"/>
  <c r="O3" i="94"/>
  <c r="P3" i="94" s="1"/>
  <c r="O2" i="90"/>
  <c r="B30" i="3"/>
  <c r="S33" i="4"/>
  <c r="C3" i="99"/>
  <c r="C3" i="102"/>
  <c r="E29" i="15"/>
  <c r="E24" i="15"/>
  <c r="E25" i="15" s="1"/>
  <c r="E27" i="15" s="1"/>
  <c r="E28" i="15" s="1"/>
  <c r="I4" i="11"/>
  <c r="I4" i="15"/>
  <c r="I4" i="13"/>
  <c r="I4" i="19"/>
  <c r="I4" i="17"/>
  <c r="I4" i="8"/>
  <c r="I4" i="80"/>
  <c r="I4" i="16"/>
  <c r="I4" i="79"/>
  <c r="I4" i="18"/>
  <c r="I4" i="14"/>
  <c r="I4" i="1"/>
  <c r="AG13" i="114"/>
  <c r="AI13" i="114"/>
  <c r="AF13" i="114"/>
  <c r="AE6" i="4"/>
  <c r="AF5" i="4" s="1"/>
  <c r="B17" i="5"/>
  <c r="X3" i="5" s="1"/>
  <c r="W4" i="5" s="1"/>
  <c r="U7" i="5"/>
  <c r="E40" i="5"/>
  <c r="P19" i="97"/>
  <c r="M15" i="60"/>
  <c r="W90" i="60" s="1"/>
  <c r="N15" i="60"/>
  <c r="AO16" i="60"/>
  <c r="N14" i="60"/>
  <c r="M14" i="60"/>
  <c r="BN5" i="61"/>
  <c r="BR4" i="61"/>
  <c r="T25" i="45"/>
  <c r="Y14" i="114"/>
  <c r="AA14" i="114"/>
  <c r="Z14" i="114"/>
  <c r="T17" i="47"/>
  <c r="D13" i="47" s="1"/>
  <c r="I45" i="1"/>
  <c r="CL5" i="112"/>
  <c r="Q16" i="97"/>
  <c r="CL5" i="63"/>
  <c r="T16" i="48"/>
  <c r="H56" i="5"/>
  <c r="CL5" i="111"/>
  <c r="T16" i="40"/>
  <c r="CL5" i="61"/>
  <c r="CD3" i="61"/>
  <c r="CD4" i="61" s="1"/>
  <c r="CD5" i="61" s="1"/>
  <c r="CD6" i="61" s="1"/>
  <c r="CD7" i="61" s="1"/>
  <c r="CD8" i="61" s="1"/>
  <c r="CD9" i="61" s="1"/>
  <c r="CD10" i="61" s="1"/>
  <c r="CD11" i="61" s="1"/>
  <c r="CD12" i="61" s="1"/>
  <c r="CD13" i="61" s="1"/>
  <c r="CD14" i="61" s="1"/>
  <c r="BN16" i="61" s="1"/>
  <c r="R10" i="6"/>
  <c r="J10" i="6"/>
  <c r="F36" i="5"/>
  <c r="I25" i="6"/>
  <c r="G20" i="80"/>
  <c r="G21" i="80" s="1"/>
  <c r="I47" i="80"/>
  <c r="X15" i="90"/>
  <c r="B15" i="90"/>
  <c r="F37" i="46"/>
  <c r="F53" i="1"/>
  <c r="F105" i="1"/>
  <c r="E55" i="79"/>
  <c r="E107" i="79"/>
  <c r="CH5" i="112"/>
  <c r="B42" i="112" s="1"/>
  <c r="CH5" i="61"/>
  <c r="B42" i="61" s="1"/>
  <c r="CH5" i="63"/>
  <c r="B42" i="63" s="1"/>
  <c r="CH5" i="111"/>
  <c r="B42" i="111" s="1"/>
  <c r="C15" i="5"/>
  <c r="B26" i="5"/>
  <c r="B36" i="5" s="1"/>
  <c r="B46" i="5" s="1"/>
  <c r="I23" i="21"/>
  <c r="I23" i="109"/>
  <c r="I23" i="62"/>
  <c r="I23" i="110"/>
  <c r="E53" i="1"/>
  <c r="E105" i="1"/>
  <c r="F9" i="110"/>
  <c r="AO248" i="60"/>
  <c r="L39" i="107"/>
  <c r="F9" i="62"/>
  <c r="L39" i="64"/>
  <c r="V29" i="77"/>
  <c r="V30" i="77"/>
  <c r="O34" i="77" s="1"/>
  <c r="G20" i="13"/>
  <c r="G21" i="13" s="1"/>
  <c r="D13" i="46"/>
  <c r="I55" i="5"/>
  <c r="J55" i="5" s="1"/>
  <c r="D55" i="5" s="1"/>
  <c r="K27" i="6"/>
  <c r="G58" i="5"/>
  <c r="T25" i="66"/>
  <c r="A17" i="114"/>
  <c r="H12" i="114"/>
  <c r="H13" i="114"/>
  <c r="F12" i="114"/>
  <c r="L15" i="114"/>
  <c r="I10" i="114"/>
  <c r="H10" i="17"/>
  <c r="H14" i="17"/>
  <c r="H11" i="17"/>
  <c r="H12" i="17"/>
  <c r="H13" i="17"/>
  <c r="H23" i="17" s="1"/>
  <c r="H12" i="15"/>
  <c r="H14" i="15"/>
  <c r="H10" i="15"/>
  <c r="H11" i="15"/>
  <c r="H13" i="15"/>
  <c r="H23" i="15" s="1"/>
  <c r="G20" i="8"/>
  <c r="G21" i="8" s="1"/>
  <c r="G20" i="18"/>
  <c r="G21" i="18" s="1"/>
  <c r="E29" i="17"/>
  <c r="E24" i="17"/>
  <c r="E25" i="17" s="1"/>
  <c r="E27" i="17" s="1"/>
  <c r="E28" i="17" s="1"/>
  <c r="C54" i="107"/>
  <c r="F11" i="3"/>
  <c r="F24" i="60"/>
  <c r="C54" i="64"/>
  <c r="I31" i="7"/>
  <c r="F2" i="3"/>
  <c r="D7" i="27"/>
  <c r="D17" i="27" s="1"/>
  <c r="D8" i="6"/>
  <c r="X8" i="6"/>
  <c r="BN5" i="112"/>
  <c r="BR4" i="112"/>
  <c r="W17" i="90"/>
  <c r="Y17" i="90"/>
  <c r="Z17" i="90" s="1"/>
  <c r="T17" i="39"/>
  <c r="A15" i="34"/>
  <c r="C14" i="34"/>
  <c r="G20" i="79"/>
  <c r="G21" i="79" s="1"/>
  <c r="G20" i="19"/>
  <c r="G21" i="19" s="1"/>
  <c r="T11" i="6"/>
  <c r="V11" i="6"/>
  <c r="H11" i="6" s="1"/>
  <c r="E55" i="80"/>
  <c r="E107" i="80"/>
  <c r="F37" i="38"/>
  <c r="D36" i="6"/>
  <c r="D22" i="6"/>
  <c r="C29" i="63"/>
  <c r="F29" i="63"/>
  <c r="J42" i="73" s="1"/>
  <c r="AB112" i="60"/>
  <c r="C49" i="5"/>
  <c r="C50" i="5" s="1"/>
  <c r="P32" i="63"/>
  <c r="P36" i="63"/>
  <c r="P34" i="63"/>
  <c r="P33" i="63"/>
  <c r="P40" i="63"/>
  <c r="P35" i="63"/>
  <c r="P38" i="63"/>
  <c r="P39" i="63"/>
  <c r="P30" i="63"/>
  <c r="P29" i="63"/>
  <c r="P31" i="63"/>
  <c r="P37" i="63"/>
  <c r="P40" i="112"/>
  <c r="P37" i="112"/>
  <c r="P38" i="112"/>
  <c r="P35" i="112"/>
  <c r="P36" i="112"/>
  <c r="P34" i="112"/>
  <c r="P32" i="112"/>
  <c r="P31" i="112"/>
  <c r="P33" i="112"/>
  <c r="P30" i="112"/>
  <c r="P39" i="112"/>
  <c r="P29" i="112"/>
  <c r="V3" i="77"/>
  <c r="D16" i="80"/>
  <c r="E26" i="6"/>
  <c r="X26" i="6" s="1"/>
  <c r="H26" i="6" s="1"/>
  <c r="C57" i="5"/>
  <c r="H20" i="8" s="1"/>
  <c r="H21" i="8" s="1"/>
  <c r="H10" i="16"/>
  <c r="H14" i="16"/>
  <c r="H11" i="16"/>
  <c r="H12" i="16"/>
  <c r="H13" i="16"/>
  <c r="H23" i="16" s="1"/>
  <c r="F107" i="80"/>
  <c r="F55" i="80"/>
  <c r="O23" i="82"/>
  <c r="O22" i="82" s="1"/>
  <c r="P21" i="82" s="1"/>
  <c r="P22" i="82" s="1"/>
  <c r="P23" i="82" s="1"/>
  <c r="C29" i="61"/>
  <c r="F29" i="61"/>
  <c r="C42" i="73" s="1"/>
  <c r="I10" i="35"/>
  <c r="G20" i="11"/>
  <c r="G21" i="11" s="1"/>
  <c r="W26" i="6"/>
  <c r="H10" i="18"/>
  <c r="H14" i="18"/>
  <c r="H12" i="18"/>
  <c r="H11" i="18"/>
  <c r="H13" i="18"/>
  <c r="H23" i="18" s="1"/>
  <c r="P32" i="111"/>
  <c r="P39" i="111"/>
  <c r="P37" i="111"/>
  <c r="P34" i="111"/>
  <c r="P29" i="111"/>
  <c r="P38" i="111"/>
  <c r="P40" i="111"/>
  <c r="P33" i="111"/>
  <c r="P30" i="111"/>
  <c r="P31" i="111"/>
  <c r="P36" i="111"/>
  <c r="P35" i="111"/>
  <c r="I20" i="54"/>
  <c r="G51" i="1"/>
  <c r="G52" i="1" s="1"/>
  <c r="G55" i="1"/>
  <c r="G58" i="1" s="1"/>
  <c r="H2" i="15"/>
  <c r="H2" i="11"/>
  <c r="H2" i="14"/>
  <c r="H2" i="80"/>
  <c r="H2" i="18"/>
  <c r="H2" i="79"/>
  <c r="H2" i="8"/>
  <c r="H2" i="16"/>
  <c r="H2" i="19"/>
  <c r="H2" i="1"/>
  <c r="H2" i="13"/>
  <c r="H2" i="17"/>
  <c r="V29" i="82"/>
  <c r="U29" i="82"/>
  <c r="T29" i="82"/>
  <c r="V30" i="82"/>
  <c r="R30" i="82"/>
  <c r="Q29" i="82"/>
  <c r="Q32" i="82" s="1"/>
  <c r="E25" i="82" s="1"/>
  <c r="T30" i="82"/>
  <c r="R29" i="82"/>
  <c r="O30" i="82"/>
  <c r="U30" i="82"/>
  <c r="S29" i="82"/>
  <c r="S30" i="82"/>
  <c r="P30" i="82"/>
  <c r="P32" i="82" s="1"/>
  <c r="G28" i="48"/>
  <c r="F29" i="48"/>
  <c r="G29" i="48" s="1"/>
  <c r="E3" i="14"/>
  <c r="E3" i="17"/>
  <c r="E3" i="1"/>
  <c r="E3" i="80"/>
  <c r="Q4" i="82"/>
  <c r="E5" i="83" s="1"/>
  <c r="B8" i="83" s="1"/>
  <c r="E3" i="79"/>
  <c r="E3" i="15"/>
  <c r="E3" i="19"/>
  <c r="E3" i="8"/>
  <c r="E3" i="16"/>
  <c r="E3" i="18"/>
  <c r="E3" i="11"/>
  <c r="E3" i="13"/>
  <c r="E14" i="5"/>
  <c r="E7" i="103"/>
  <c r="J8" i="103" s="1"/>
  <c r="E7" i="100"/>
  <c r="J8" i="100" s="1"/>
  <c r="E64" i="1"/>
  <c r="E66" i="79"/>
  <c r="E75" i="79" s="1"/>
  <c r="E64" i="8"/>
  <c r="E66" i="80"/>
  <c r="E75" i="80" s="1"/>
  <c r="AO3" i="82"/>
  <c r="P6" i="82" s="1"/>
  <c r="I129" i="80"/>
  <c r="I131" i="80" s="1"/>
  <c r="I36" i="80"/>
  <c r="I64" i="80"/>
  <c r="I65" i="80" s="1"/>
  <c r="AH23" i="114"/>
  <c r="AI23" i="114" s="1"/>
  <c r="AJ23" i="114" s="1"/>
  <c r="AF12" i="114"/>
  <c r="AI12" i="114"/>
  <c r="AJ12" i="114" s="1"/>
  <c r="AG12" i="114"/>
  <c r="H48" i="1"/>
  <c r="H49" i="1" s="1"/>
  <c r="H14" i="1"/>
  <c r="H10" i="1"/>
  <c r="H113" i="1"/>
  <c r="H114" i="1" s="1"/>
  <c r="H47" i="1"/>
  <c r="H11" i="1"/>
  <c r="H12" i="1"/>
  <c r="H42" i="1" s="1"/>
  <c r="H13" i="1"/>
  <c r="H23" i="1" s="1"/>
  <c r="H44" i="1"/>
  <c r="H46" i="1" s="1"/>
  <c r="H97" i="1"/>
  <c r="G51" i="8"/>
  <c r="G52" i="8" s="1"/>
  <c r="AD78" i="60"/>
  <c r="AB77" i="60"/>
  <c r="D44" i="30"/>
  <c r="D51" i="30"/>
  <c r="W9" i="105"/>
  <c r="W10" i="105" s="1"/>
  <c r="W11" i="105" s="1"/>
  <c r="W12" i="105" s="1"/>
  <c r="W13" i="105" s="1"/>
  <c r="W14" i="105" s="1"/>
  <c r="W15" i="105" s="1"/>
  <c r="W16" i="105" s="1"/>
  <c r="W17" i="105" s="1"/>
  <c r="W18" i="105" s="1"/>
  <c r="W19" i="105" s="1"/>
  <c r="W20" i="105" s="1"/>
  <c r="W9" i="101"/>
  <c r="W10" i="101" s="1"/>
  <c r="W11" i="101" s="1"/>
  <c r="W12" i="101" s="1"/>
  <c r="W13" i="101" s="1"/>
  <c r="W14" i="101" s="1"/>
  <c r="W15" i="101" s="1"/>
  <c r="W16" i="101" s="1"/>
  <c r="W17" i="101" s="1"/>
  <c r="W18" i="101" s="1"/>
  <c r="W19" i="101" s="1"/>
  <c r="W20" i="101" s="1"/>
  <c r="G52" i="80"/>
  <c r="C29" i="111"/>
  <c r="F29" i="111"/>
  <c r="CD3" i="111"/>
  <c r="CD4" i="111" s="1"/>
  <c r="CD5" i="111" s="1"/>
  <c r="CD6" i="111" s="1"/>
  <c r="CD7" i="111" s="1"/>
  <c r="CD8" i="111" s="1"/>
  <c r="CD9" i="111" s="1"/>
  <c r="CD10" i="111" s="1"/>
  <c r="CD11" i="111" s="1"/>
  <c r="CD12" i="111" s="1"/>
  <c r="CD13" i="111" s="1"/>
  <c r="CD14" i="111" s="1"/>
  <c r="BN16" i="111" s="1"/>
  <c r="B33" i="3"/>
  <c r="G14" i="10"/>
  <c r="AD5" i="82"/>
  <c r="AF5" i="82"/>
  <c r="AG5" i="82"/>
  <c r="AE5" i="82"/>
  <c r="CS4" i="63"/>
  <c r="CS4" i="112"/>
  <c r="CS4" i="61"/>
  <c r="R15" i="97"/>
  <c r="CS4" i="111"/>
  <c r="I7" i="27"/>
  <c r="F41" i="8"/>
  <c r="F43" i="79"/>
  <c r="F45" i="79" s="1"/>
  <c r="F41" i="1"/>
  <c r="F43" i="80"/>
  <c r="F45" i="80" s="1"/>
  <c r="AA4" i="82"/>
  <c r="AH4" i="82"/>
  <c r="AJ4" i="82" s="1"/>
  <c r="G50" i="1"/>
  <c r="Y13" i="114"/>
  <c r="CP2" i="112"/>
  <c r="G36" i="54"/>
  <c r="F21" i="8"/>
  <c r="A12" i="35"/>
  <c r="C11" i="35"/>
  <c r="CD3" i="63"/>
  <c r="CD4" i="63" s="1"/>
  <c r="CD5" i="63" s="1"/>
  <c r="CD6" i="63" s="1"/>
  <c r="CD7" i="63" s="1"/>
  <c r="CD8" i="63" s="1"/>
  <c r="CD9" i="63" s="1"/>
  <c r="CD10" i="63" s="1"/>
  <c r="CD11" i="63" s="1"/>
  <c r="CD12" i="63" s="1"/>
  <c r="CD13" i="63" s="1"/>
  <c r="CD14" i="63" s="1"/>
  <c r="BN16" i="63" s="1"/>
  <c r="D35" i="45"/>
  <c r="D15" i="45"/>
  <c r="B10" i="114"/>
  <c r="D10" i="114"/>
  <c r="Q40" i="107"/>
  <c r="C40" i="107" s="1"/>
  <c r="AO216" i="60"/>
  <c r="Q40" i="64"/>
  <c r="C40" i="64" s="1"/>
  <c r="G10" i="109"/>
  <c r="AG74" i="60"/>
  <c r="G10" i="21"/>
  <c r="AO205" i="60"/>
  <c r="G40" i="64"/>
  <c r="G40" i="107"/>
  <c r="F10" i="21"/>
  <c r="F10" i="109"/>
  <c r="F12" i="30"/>
  <c r="K9" i="24"/>
  <c r="G20" i="10"/>
  <c r="U23" i="23"/>
  <c r="H12" i="19"/>
  <c r="H11" i="19"/>
  <c r="H10" i="19"/>
  <c r="H14" i="19"/>
  <c r="H13" i="19"/>
  <c r="H23" i="19" s="1"/>
  <c r="H10" i="11"/>
  <c r="H12" i="11"/>
  <c r="H11" i="11"/>
  <c r="H14" i="11"/>
  <c r="H13" i="11"/>
  <c r="H23" i="11" s="1"/>
  <c r="P36" i="61"/>
  <c r="P30" i="61"/>
  <c r="P34" i="61"/>
  <c r="P35" i="61"/>
  <c r="P29" i="61"/>
  <c r="P33" i="61"/>
  <c r="P38" i="61"/>
  <c r="P32" i="61"/>
  <c r="P40" i="61"/>
  <c r="P37" i="61"/>
  <c r="P39" i="61"/>
  <c r="P31" i="61"/>
  <c r="A16" i="3"/>
  <c r="A17" i="3" s="1"/>
  <c r="A18" i="3" s="1"/>
  <c r="A19" i="3" s="1"/>
  <c r="J3" i="3"/>
  <c r="E14" i="3"/>
  <c r="B8" i="5"/>
  <c r="B15" i="3"/>
  <c r="S26" i="56" s="1"/>
  <c r="Y27" i="56"/>
  <c r="X22" i="56" s="1"/>
  <c r="I1" i="3"/>
  <c r="O9" i="77"/>
  <c r="S9" i="77" s="1"/>
  <c r="C13" i="3"/>
  <c r="O11" i="76"/>
  <c r="L18" i="97"/>
  <c r="G20" i="17"/>
  <c r="G21" i="17" s="1"/>
  <c r="AA23" i="82"/>
  <c r="AA22" i="82" s="1"/>
  <c r="AB21" i="82" s="1"/>
  <c r="AB22" i="82" s="1"/>
  <c r="AB23" i="82" s="1"/>
  <c r="R23" i="82"/>
  <c r="R22" i="82" s="1"/>
  <c r="S21" i="82" s="1"/>
  <c r="S22" i="82" s="1"/>
  <c r="S23" i="82" s="1"/>
  <c r="R3" i="77"/>
  <c r="D16" i="79"/>
  <c r="D18" i="47"/>
  <c r="AA109" i="60"/>
  <c r="B55" i="5"/>
  <c r="B65" i="5" s="1"/>
  <c r="W89" i="60"/>
  <c r="C2" i="90"/>
  <c r="S22" i="90"/>
  <c r="E68" i="8"/>
  <c r="E70" i="80"/>
  <c r="E70" i="79"/>
  <c r="J31" i="7"/>
  <c r="E68" i="1"/>
  <c r="E27" i="16" l="1"/>
  <c r="E28" i="16" s="1"/>
  <c r="CN12" i="63"/>
  <c r="D27" i="1"/>
  <c r="D34" i="1"/>
  <c r="G53" i="8"/>
  <c r="AH73" i="60"/>
  <c r="D19" i="5"/>
  <c r="A29" i="5"/>
  <c r="A39" i="5" s="1"/>
  <c r="A49" i="5" s="1"/>
  <c r="A59" i="5" s="1"/>
  <c r="A69" i="5" s="1"/>
  <c r="AO259" i="60"/>
  <c r="D31" i="17"/>
  <c r="CN2" i="112" s="1"/>
  <c r="E19" i="18"/>
  <c r="E22" i="18" s="1"/>
  <c r="D30" i="18"/>
  <c r="CM12" i="63"/>
  <c r="D31" i="16"/>
  <c r="CM12" i="112"/>
  <c r="R39" i="107"/>
  <c r="I39" i="107" s="1"/>
  <c r="D34" i="8"/>
  <c r="D27" i="8"/>
  <c r="E19" i="11"/>
  <c r="E22" i="11" s="1"/>
  <c r="D30" i="11"/>
  <c r="T20" i="56" a="1"/>
  <c r="T20" i="56" s="1"/>
  <c r="T21" i="56" s="1"/>
  <c r="T22" i="56" s="1"/>
  <c r="T23" i="56" s="1"/>
  <c r="T24" i="56" s="1"/>
  <c r="T25" i="56" s="1"/>
  <c r="T26" i="56" s="1"/>
  <c r="AA26" i="56"/>
  <c r="AA22" i="56"/>
  <c r="AA24" i="56"/>
  <c r="AA28" i="56"/>
  <c r="AA25" i="56"/>
  <c r="AA23" i="56"/>
  <c r="AA27" i="56"/>
  <c r="I10" i="53"/>
  <c r="Z73" i="60"/>
  <c r="AA73" i="60" s="1"/>
  <c r="H107" i="1"/>
  <c r="O75" i="60"/>
  <c r="J75" i="60"/>
  <c r="K75" i="60"/>
  <c r="P74" i="60"/>
  <c r="E19" i="13"/>
  <c r="E22" i="13" s="1"/>
  <c r="D30" i="13"/>
  <c r="E10" i="109"/>
  <c r="F40" i="107"/>
  <c r="AO194" i="60"/>
  <c r="E10" i="21"/>
  <c r="F40" i="64"/>
  <c r="E9" i="110"/>
  <c r="K39" i="64"/>
  <c r="E9" i="62"/>
  <c r="K39" i="107"/>
  <c r="AO237" i="60"/>
  <c r="I10" i="54"/>
  <c r="CN2" i="63"/>
  <c r="I57" i="1"/>
  <c r="I104" i="1"/>
  <c r="I56" i="1"/>
  <c r="I99" i="1"/>
  <c r="A99" i="1" s="1"/>
  <c r="I107" i="1"/>
  <c r="A107" i="1" s="1"/>
  <c r="V8" i="4" s="1"/>
  <c r="I112" i="1"/>
  <c r="H47" i="79"/>
  <c r="I6" i="79"/>
  <c r="I47" i="79" s="1"/>
  <c r="H48" i="79"/>
  <c r="H51" i="79"/>
  <c r="H52" i="79" s="1"/>
  <c r="AC77" i="60"/>
  <c r="AE78" i="60"/>
  <c r="H20" i="11"/>
  <c r="H21" i="11" s="1"/>
  <c r="H20" i="19"/>
  <c r="H21" i="19" s="1"/>
  <c r="H20" i="15"/>
  <c r="H21" i="15" s="1"/>
  <c r="H20" i="1"/>
  <c r="H21" i="1" s="1"/>
  <c r="H20" i="13"/>
  <c r="H21" i="13" s="1"/>
  <c r="G30" i="6"/>
  <c r="Y15" i="6"/>
  <c r="F30" i="6" s="1"/>
  <c r="U15" i="6"/>
  <c r="H20" i="14"/>
  <c r="H21" i="14" s="1"/>
  <c r="H20" i="17"/>
  <c r="H21" i="17" s="1"/>
  <c r="H20" i="18"/>
  <c r="H21" i="18" s="1"/>
  <c r="H58" i="8"/>
  <c r="C26" i="37"/>
  <c r="C27" i="37"/>
  <c r="C24" i="37"/>
  <c r="C25" i="37"/>
  <c r="D21" i="37"/>
  <c r="C29" i="37"/>
  <c r="C28" i="37"/>
  <c r="I57" i="8"/>
  <c r="I104" i="8"/>
  <c r="I107" i="8" s="1"/>
  <c r="A107" i="8" s="1"/>
  <c r="A92" i="8" s="1"/>
  <c r="H46" i="8"/>
  <c r="H50" i="1"/>
  <c r="H50" i="8"/>
  <c r="L41" i="64"/>
  <c r="F11" i="62"/>
  <c r="AO250" i="60"/>
  <c r="L41" i="107"/>
  <c r="F11" i="110"/>
  <c r="K7" i="27"/>
  <c r="L7" i="27" s="1"/>
  <c r="M23" i="6"/>
  <c r="J31" i="30"/>
  <c r="F26" i="19"/>
  <c r="F26" i="14"/>
  <c r="F26" i="13"/>
  <c r="F26" i="79"/>
  <c r="F26" i="11"/>
  <c r="F26" i="18"/>
  <c r="F26" i="16"/>
  <c r="F26" i="15"/>
  <c r="F26" i="17"/>
  <c r="F26" i="1"/>
  <c r="F26" i="8"/>
  <c r="F26" i="80"/>
  <c r="Q41" i="64"/>
  <c r="C41" i="64" s="1"/>
  <c r="AO217" i="60"/>
  <c r="Q41" i="107"/>
  <c r="C41" i="107" s="1"/>
  <c r="G11" i="109"/>
  <c r="G11" i="21"/>
  <c r="X75" i="60"/>
  <c r="AG75" i="60"/>
  <c r="AH5" i="82"/>
  <c r="AJ5" i="82"/>
  <c r="AA5" i="82"/>
  <c r="G53" i="1"/>
  <c r="G105" i="1"/>
  <c r="A16" i="34"/>
  <c r="C15" i="34"/>
  <c r="BN6" i="112"/>
  <c r="BR5" i="112"/>
  <c r="F24" i="71"/>
  <c r="G90" i="60"/>
  <c r="C28" i="82"/>
  <c r="C12" i="30"/>
  <c r="D54" i="64"/>
  <c r="F24" i="51"/>
  <c r="D54" i="107"/>
  <c r="D17" i="56"/>
  <c r="D17" i="4"/>
  <c r="N29" i="82"/>
  <c r="B29" i="82" s="1"/>
  <c r="C42" i="111"/>
  <c r="F42" i="111"/>
  <c r="I10" i="17"/>
  <c r="I14" i="17"/>
  <c r="I12" i="17"/>
  <c r="I11" i="17"/>
  <c r="I13" i="17"/>
  <c r="I23" i="17" s="1"/>
  <c r="G137" i="10"/>
  <c r="C23" i="53"/>
  <c r="C10" i="46"/>
  <c r="C4" i="46" s="1"/>
  <c r="C23" i="54"/>
  <c r="D37" i="77"/>
  <c r="C47" i="33"/>
  <c r="C29" i="92"/>
  <c r="C10" i="38"/>
  <c r="C4" i="38" s="1"/>
  <c r="AO4" i="82"/>
  <c r="F42" i="63"/>
  <c r="C42" i="63"/>
  <c r="BN17" i="61"/>
  <c r="BR16" i="61"/>
  <c r="P43" i="112"/>
  <c r="P46" i="112"/>
  <c r="P51" i="112"/>
  <c r="P44" i="112"/>
  <c r="P47" i="112"/>
  <c r="P42" i="112"/>
  <c r="P45" i="112"/>
  <c r="P48" i="112"/>
  <c r="P49" i="112"/>
  <c r="P53" i="112"/>
  <c r="P52" i="112"/>
  <c r="P50" i="112"/>
  <c r="Z15" i="114"/>
  <c r="I12" i="1"/>
  <c r="I42" i="1" s="1"/>
  <c r="I11" i="1"/>
  <c r="I113" i="1"/>
  <c r="I114" i="1" s="1"/>
  <c r="I14" i="1"/>
  <c r="I10" i="1"/>
  <c r="I48" i="1"/>
  <c r="I49" i="1" s="1"/>
  <c r="I47" i="1"/>
  <c r="I44" i="1"/>
  <c r="I46" i="1" s="1"/>
  <c r="I13" i="1"/>
  <c r="I23" i="1" s="1"/>
  <c r="I97" i="1"/>
  <c r="I10" i="19"/>
  <c r="I11" i="19"/>
  <c r="I14" i="19"/>
  <c r="I12" i="19"/>
  <c r="I13" i="19"/>
  <c r="I23" i="19" s="1"/>
  <c r="AK58" i="60" a="1"/>
  <c r="AK58" i="60" s="1"/>
  <c r="AB57" i="60" a="1"/>
  <c r="AB57" i="60" s="1"/>
  <c r="AK55" i="60" a="1"/>
  <c r="AK55" i="60" s="1"/>
  <c r="AB55" i="60" a="1"/>
  <c r="AB55" i="60" s="1"/>
  <c r="AB56" i="60" a="1"/>
  <c r="AB56" i="60" s="1"/>
  <c r="AK57" i="60" a="1"/>
  <c r="AK57" i="60" s="1"/>
  <c r="AB58" i="60" a="1"/>
  <c r="AB58" i="60" s="1"/>
  <c r="AB54" i="60" a="1"/>
  <c r="AB54" i="60" s="1"/>
  <c r="AK54" i="60" a="1"/>
  <c r="AK54" i="60" s="1"/>
  <c r="AK56" i="60" a="1"/>
  <c r="AK56" i="60" s="1"/>
  <c r="AM80" i="60"/>
  <c r="W55" i="60"/>
  <c r="AC55" i="60" s="1" a="1"/>
  <c r="W7" i="60"/>
  <c r="AG55" i="60"/>
  <c r="AN73" i="60"/>
  <c r="AM72" i="60"/>
  <c r="AM77" i="60"/>
  <c r="AM75" i="60"/>
  <c r="X58" i="60"/>
  <c r="AM74" i="60"/>
  <c r="AM78" i="60"/>
  <c r="AM71" i="60"/>
  <c r="W56" i="60"/>
  <c r="AF56" i="60"/>
  <c r="AM76" i="60"/>
  <c r="AF55" i="60"/>
  <c r="AM70" i="60"/>
  <c r="X57" i="60"/>
  <c r="AG54" i="60"/>
  <c r="AM73" i="60"/>
  <c r="W58" i="60"/>
  <c r="AG56" i="60"/>
  <c r="AN79" i="60"/>
  <c r="AN80" i="60"/>
  <c r="AN71" i="60"/>
  <c r="AF58" i="60"/>
  <c r="AN76" i="60"/>
  <c r="AN77" i="60"/>
  <c r="AN74" i="60"/>
  <c r="W57" i="60"/>
  <c r="AN75" i="60"/>
  <c r="AN72" i="60"/>
  <c r="AN70" i="60"/>
  <c r="AN78" i="60"/>
  <c r="X56" i="60"/>
  <c r="AG58" i="60"/>
  <c r="AM79" i="60"/>
  <c r="X55" i="60"/>
  <c r="AG57" i="60"/>
  <c r="W54" i="60"/>
  <c r="AF54" i="60"/>
  <c r="AF57" i="60"/>
  <c r="X54" i="60"/>
  <c r="AK4" i="82"/>
  <c r="AN4" i="82" s="1"/>
  <c r="C28" i="95"/>
  <c r="M37" i="95" s="1"/>
  <c r="M37" i="92"/>
  <c r="F29" i="37"/>
  <c r="G29" i="37" s="1"/>
  <c r="G28" i="37"/>
  <c r="I32" i="7"/>
  <c r="D9" i="6"/>
  <c r="D24" i="6" s="1"/>
  <c r="G2" i="3"/>
  <c r="F12" i="3"/>
  <c r="X9" i="6"/>
  <c r="T17" i="48"/>
  <c r="I115" i="80"/>
  <c r="I116" i="80" s="1"/>
  <c r="I12" i="80"/>
  <c r="I44" i="80" s="1"/>
  <c r="I11" i="80"/>
  <c r="I14" i="80"/>
  <c r="I49" i="80"/>
  <c r="I10" i="80"/>
  <c r="I46" i="80"/>
  <c r="I48" i="80" s="1"/>
  <c r="I50" i="80"/>
  <c r="I51" i="80" s="1"/>
  <c r="I13" i="80"/>
  <c r="I23" i="80" s="1"/>
  <c r="D78" i="79"/>
  <c r="D41" i="79"/>
  <c r="E16" i="79"/>
  <c r="AC7" i="82"/>
  <c r="Q10" i="76"/>
  <c r="Q9" i="77"/>
  <c r="U9" i="77" s="1"/>
  <c r="M17" i="97"/>
  <c r="N17" i="97" s="1"/>
  <c r="D13" i="3"/>
  <c r="BN17" i="111"/>
  <c r="BR16" i="111"/>
  <c r="C22" i="82"/>
  <c r="L21" i="82"/>
  <c r="K10" i="114"/>
  <c r="L10" i="114"/>
  <c r="F10" i="114"/>
  <c r="J10" i="114"/>
  <c r="M15" i="114" s="1"/>
  <c r="N15" i="114" s="1"/>
  <c r="P43" i="63"/>
  <c r="P47" i="63"/>
  <c r="P46" i="63"/>
  <c r="P42" i="63"/>
  <c r="P49" i="63"/>
  <c r="P52" i="63"/>
  <c r="P48" i="63"/>
  <c r="P53" i="63"/>
  <c r="P45" i="63"/>
  <c r="P50" i="63"/>
  <c r="P44" i="63"/>
  <c r="P51" i="63"/>
  <c r="AH24" i="114"/>
  <c r="AI24" i="114" s="1"/>
  <c r="AJ13" i="114"/>
  <c r="I10" i="8"/>
  <c r="I47" i="8"/>
  <c r="I48" i="8"/>
  <c r="I113" i="8"/>
  <c r="I114" i="8" s="1"/>
  <c r="I14" i="8"/>
  <c r="I12" i="8"/>
  <c r="I42" i="8" s="1"/>
  <c r="I44" i="8"/>
  <c r="I11" i="8"/>
  <c r="I13" i="8"/>
  <c r="I23" i="8" s="1"/>
  <c r="G44" i="10"/>
  <c r="S25" i="4"/>
  <c r="V11" i="4" s="1"/>
  <c r="H24" i="4" s="1"/>
  <c r="H23" i="56" s="1"/>
  <c r="S24" i="4"/>
  <c r="V10" i="4" s="1"/>
  <c r="H23" i="4" s="1"/>
  <c r="H22" i="56" s="1"/>
  <c r="I62" i="8"/>
  <c r="I63" i="8" s="1"/>
  <c r="I36" i="8"/>
  <c r="I97" i="8"/>
  <c r="F19" i="16"/>
  <c r="E30" i="16"/>
  <c r="F19" i="19"/>
  <c r="E30" i="19"/>
  <c r="E74" i="80"/>
  <c r="E77" i="80" s="1"/>
  <c r="E76" i="80"/>
  <c r="E16" i="80"/>
  <c r="D78" i="80"/>
  <c r="D41" i="80"/>
  <c r="B17" i="90"/>
  <c r="X17" i="90"/>
  <c r="L40" i="64"/>
  <c r="L40" i="107"/>
  <c r="F10" i="62"/>
  <c r="AO249" i="60"/>
  <c r="F10" i="110"/>
  <c r="B56" i="5"/>
  <c r="B66" i="5" s="1"/>
  <c r="AA110" i="60"/>
  <c r="BR5" i="61"/>
  <c r="BN6" i="61"/>
  <c r="C24" i="45"/>
  <c r="D21" i="45"/>
  <c r="C28" i="45"/>
  <c r="C29" i="45"/>
  <c r="C26" i="45"/>
  <c r="C25" i="45"/>
  <c r="C27" i="45"/>
  <c r="B16" i="90"/>
  <c r="X16" i="90"/>
  <c r="W18" i="90"/>
  <c r="S29" i="90" s="1"/>
  <c r="S36" i="90" s="1"/>
  <c r="F15" i="6"/>
  <c r="C29" i="6"/>
  <c r="Z14" i="6"/>
  <c r="AA14" i="6" s="1"/>
  <c r="D7" i="83"/>
  <c r="G37" i="53"/>
  <c r="F161" i="1"/>
  <c r="E7" i="101"/>
  <c r="J8" i="101" s="1"/>
  <c r="E7" i="105"/>
  <c r="J8" i="105" s="1"/>
  <c r="F64" i="8"/>
  <c r="F66" i="80"/>
  <c r="F75" i="80" s="1"/>
  <c r="F66" i="79"/>
  <c r="F75" i="79" s="1"/>
  <c r="F64" i="1"/>
  <c r="E15" i="5"/>
  <c r="F37" i="47"/>
  <c r="BN6" i="63"/>
  <c r="BR5" i="63"/>
  <c r="BN17" i="112"/>
  <c r="BR16" i="112"/>
  <c r="W27" i="6"/>
  <c r="I2" i="15"/>
  <c r="I2" i="80"/>
  <c r="I2" i="8"/>
  <c r="I2" i="79"/>
  <c r="I2" i="14"/>
  <c r="I2" i="19"/>
  <c r="I2" i="18"/>
  <c r="I2" i="1"/>
  <c r="I2" i="11"/>
  <c r="I2" i="13"/>
  <c r="I2" i="16"/>
  <c r="I2" i="17"/>
  <c r="BR16" i="63"/>
  <c r="BN17" i="63"/>
  <c r="G37" i="54"/>
  <c r="F161" i="8"/>
  <c r="E12" i="35"/>
  <c r="F13" i="35"/>
  <c r="D10" i="35"/>
  <c r="I99" i="80"/>
  <c r="K23" i="110"/>
  <c r="L23" i="110"/>
  <c r="J23" i="110"/>
  <c r="N23" i="110"/>
  <c r="M23" i="110"/>
  <c r="O23" i="110"/>
  <c r="P44" i="61"/>
  <c r="P47" i="61"/>
  <c r="P45" i="61"/>
  <c r="P50" i="61"/>
  <c r="P43" i="61"/>
  <c r="P51" i="61"/>
  <c r="P48" i="61"/>
  <c r="P53" i="61"/>
  <c r="P46" i="61"/>
  <c r="P52" i="61"/>
  <c r="P42" i="61"/>
  <c r="P49" i="61"/>
  <c r="AI14" i="114"/>
  <c r="AG14" i="114"/>
  <c r="AF14" i="114"/>
  <c r="I10" i="14"/>
  <c r="I11" i="14"/>
  <c r="I12" i="14"/>
  <c r="I14" i="14"/>
  <c r="I13" i="14"/>
  <c r="I23" i="14" s="1"/>
  <c r="K10" i="24"/>
  <c r="G22" i="10"/>
  <c r="U25" i="23"/>
  <c r="B5" i="62"/>
  <c r="B5" i="110"/>
  <c r="D10" i="21"/>
  <c r="D13" i="21"/>
  <c r="D6" i="21"/>
  <c r="D14" i="21"/>
  <c r="D15" i="21"/>
  <c r="D19" i="21"/>
  <c r="D11" i="21"/>
  <c r="D16" i="21"/>
  <c r="D8" i="21"/>
  <c r="D7" i="21"/>
  <c r="D9" i="21"/>
  <c r="D17" i="21"/>
  <c r="D12" i="21"/>
  <c r="D18" i="21"/>
  <c r="BR5" i="111"/>
  <c r="BN6" i="111"/>
  <c r="I45" i="8"/>
  <c r="I49" i="8"/>
  <c r="I50" i="8" s="1"/>
  <c r="H53" i="79"/>
  <c r="H54" i="79" s="1"/>
  <c r="H57" i="79"/>
  <c r="H60" i="79" s="1"/>
  <c r="B9" i="5"/>
  <c r="J1" i="3"/>
  <c r="Y28" i="56"/>
  <c r="B16" i="3"/>
  <c r="S27" i="56" s="1"/>
  <c r="E15" i="3"/>
  <c r="O10" i="77"/>
  <c r="S10" i="77" s="1"/>
  <c r="L19" i="97"/>
  <c r="C14" i="3"/>
  <c r="O12" i="76"/>
  <c r="O3" i="76" s="1"/>
  <c r="B11" i="114"/>
  <c r="D11" i="114" s="1"/>
  <c r="E10" i="114" s="1"/>
  <c r="C12" i="35"/>
  <c r="A13" i="35"/>
  <c r="E74" i="79"/>
  <c r="E77" i="79" s="1"/>
  <c r="E76" i="79"/>
  <c r="N30" i="82"/>
  <c r="B30" i="82" s="1"/>
  <c r="O32" i="82"/>
  <c r="E24" i="82" s="1"/>
  <c r="C33" i="82" s="1"/>
  <c r="H57" i="5"/>
  <c r="Q17" i="97"/>
  <c r="CL6" i="63"/>
  <c r="T16" i="66"/>
  <c r="CL6" i="112"/>
  <c r="CL6" i="61"/>
  <c r="T16" i="65"/>
  <c r="CL6" i="111"/>
  <c r="F37" i="39"/>
  <c r="K23" i="62"/>
  <c r="O23" i="62"/>
  <c r="L23" i="62"/>
  <c r="J23" i="62"/>
  <c r="N23" i="62"/>
  <c r="M23" i="62"/>
  <c r="C42" i="61"/>
  <c r="F42" i="61"/>
  <c r="T17" i="40"/>
  <c r="D13" i="40" s="1"/>
  <c r="I12" i="18"/>
  <c r="I11" i="18"/>
  <c r="I10" i="18"/>
  <c r="I14" i="18"/>
  <c r="I13" i="18"/>
  <c r="I23" i="18" s="1"/>
  <c r="I11" i="15"/>
  <c r="I12" i="15"/>
  <c r="I14" i="15"/>
  <c r="I10" i="15"/>
  <c r="I13" i="15"/>
  <c r="I23" i="15" s="1"/>
  <c r="D15" i="109"/>
  <c r="D6" i="109"/>
  <c r="D10" i="109"/>
  <c r="D14" i="109"/>
  <c r="D16" i="109"/>
  <c r="D12" i="109"/>
  <c r="D19" i="109"/>
  <c r="D11" i="109"/>
  <c r="D13" i="109"/>
  <c r="D7" i="109"/>
  <c r="D17" i="109"/>
  <c r="D9" i="109"/>
  <c r="D8" i="109"/>
  <c r="D18" i="109"/>
  <c r="C3" i="100"/>
  <c r="C3" i="103"/>
  <c r="G55" i="79"/>
  <c r="G107" i="79"/>
  <c r="H20" i="79"/>
  <c r="H21" i="79" s="1"/>
  <c r="W69" i="60"/>
  <c r="X69" i="60" s="1"/>
  <c r="Y69" i="60"/>
  <c r="Z69" i="60" s="1"/>
  <c r="U8" i="5"/>
  <c r="T4" i="5" s="1"/>
  <c r="B18" i="5"/>
  <c r="Y18" i="90"/>
  <c r="AD79" i="60"/>
  <c r="AB78" i="60"/>
  <c r="E73" i="1"/>
  <c r="H20" i="16"/>
  <c r="H21" i="16" s="1"/>
  <c r="E27" i="6"/>
  <c r="X27" i="6" s="1"/>
  <c r="H27" i="6" s="1"/>
  <c r="C58" i="5"/>
  <c r="I20" i="80" s="1"/>
  <c r="I21" i="80" s="1"/>
  <c r="J11" i="6"/>
  <c r="R11" i="6"/>
  <c r="D13" i="39"/>
  <c r="F3" i="14"/>
  <c r="F3" i="15"/>
  <c r="F3" i="11"/>
  <c r="R4" i="82"/>
  <c r="F5" i="83" s="1"/>
  <c r="B9" i="83" s="1"/>
  <c r="F3" i="17"/>
  <c r="F3" i="13"/>
  <c r="F3" i="16"/>
  <c r="F3" i="1"/>
  <c r="F3" i="18"/>
  <c r="F3" i="19"/>
  <c r="F3" i="8"/>
  <c r="F3" i="79"/>
  <c r="F3" i="80"/>
  <c r="O23" i="109"/>
  <c r="N23" i="109"/>
  <c r="M23" i="109"/>
  <c r="K23" i="109"/>
  <c r="J23" i="109"/>
  <c r="L23" i="109"/>
  <c r="C42" i="112"/>
  <c r="F42" i="112"/>
  <c r="I26" i="6"/>
  <c r="F37" i="5"/>
  <c r="P43" i="111"/>
  <c r="P52" i="111"/>
  <c r="P45" i="111"/>
  <c r="P53" i="111"/>
  <c r="P50" i="111"/>
  <c r="P42" i="111"/>
  <c r="P48" i="111"/>
  <c r="P49" i="111"/>
  <c r="P46" i="111"/>
  <c r="P51" i="111"/>
  <c r="P47" i="111"/>
  <c r="P44" i="111"/>
  <c r="CH6" i="112"/>
  <c r="CH6" i="111"/>
  <c r="CH6" i="61"/>
  <c r="C16" i="5"/>
  <c r="B27" i="5"/>
  <c r="B37" i="5" s="1"/>
  <c r="B47" i="5" s="1"/>
  <c r="CH6" i="63"/>
  <c r="I50" i="79"/>
  <c r="I49" i="79"/>
  <c r="I11" i="79"/>
  <c r="I14" i="79"/>
  <c r="I115" i="79"/>
  <c r="I116" i="79" s="1"/>
  <c r="I10" i="79"/>
  <c r="I46" i="79"/>
  <c r="I48" i="79" s="1"/>
  <c r="I12" i="79"/>
  <c r="I44" i="79" s="1"/>
  <c r="I13" i="79"/>
  <c r="I23" i="79" s="1"/>
  <c r="I99" i="79"/>
  <c r="I14" i="11"/>
  <c r="I12" i="11"/>
  <c r="I11" i="11"/>
  <c r="I10" i="11"/>
  <c r="I13" i="11"/>
  <c r="I23" i="11" s="1"/>
  <c r="C7" i="94"/>
  <c r="L27" i="94"/>
  <c r="L32" i="94" s="1"/>
  <c r="C13" i="30"/>
  <c r="C30" i="30"/>
  <c r="C37" i="30" s="1"/>
  <c r="E47" i="30" s="1"/>
  <c r="G55" i="80"/>
  <c r="G107" i="80"/>
  <c r="H52" i="80"/>
  <c r="AD6" i="82"/>
  <c r="AF6" i="82"/>
  <c r="AG6" i="82"/>
  <c r="AE6" i="82"/>
  <c r="G41" i="107"/>
  <c r="F11" i="21"/>
  <c r="G41" i="64"/>
  <c r="AO206" i="60"/>
  <c r="F11" i="109"/>
  <c r="CJ3" i="112"/>
  <c r="CJ3" i="111"/>
  <c r="CJ3" i="61"/>
  <c r="CJ3" i="63"/>
  <c r="G10" i="110"/>
  <c r="R40" i="107"/>
  <c r="I40" i="107" s="1"/>
  <c r="AH74" i="60"/>
  <c r="AO260" i="60"/>
  <c r="Z74" i="60"/>
  <c r="AA74" i="60" s="1"/>
  <c r="R40" i="64"/>
  <c r="I40" i="64" s="1"/>
  <c r="G10" i="62"/>
  <c r="AI5" i="82"/>
  <c r="AL5" i="82"/>
  <c r="AM5" i="82"/>
  <c r="E73" i="8"/>
  <c r="D37" i="6"/>
  <c r="D23" i="6"/>
  <c r="F19" i="17"/>
  <c r="E30" i="17"/>
  <c r="I12" i="13"/>
  <c r="I14" i="13"/>
  <c r="I11" i="13"/>
  <c r="I10" i="13"/>
  <c r="I13" i="13"/>
  <c r="I23" i="13" s="1"/>
  <c r="V12" i="6"/>
  <c r="H12" i="6" s="1"/>
  <c r="T12" i="6"/>
  <c r="G29" i="23"/>
  <c r="G18" i="10"/>
  <c r="H51" i="1"/>
  <c r="H52" i="1" s="1"/>
  <c r="H55" i="1"/>
  <c r="H58" i="1" s="1"/>
  <c r="G59" i="5"/>
  <c r="K28" i="6"/>
  <c r="K29" i="6" s="1"/>
  <c r="K30" i="6" s="1"/>
  <c r="K31" i="6" s="1"/>
  <c r="K32" i="6" s="1"/>
  <c r="K33" i="6" s="1"/>
  <c r="H39" i="77"/>
  <c r="H25" i="77"/>
  <c r="L23" i="21"/>
  <c r="O23" i="21"/>
  <c r="K23" i="21"/>
  <c r="N23" i="21"/>
  <c r="J23" i="21"/>
  <c r="M23" i="21"/>
  <c r="CS5" i="112"/>
  <c r="R16" i="97"/>
  <c r="CS5" i="63"/>
  <c r="CS5" i="61"/>
  <c r="CS5" i="111"/>
  <c r="G41" i="1"/>
  <c r="G43" i="1" s="1"/>
  <c r="G43" i="79"/>
  <c r="G45" i="79" s="1"/>
  <c r="G43" i="80"/>
  <c r="G45" i="80" s="1"/>
  <c r="G41" i="8"/>
  <c r="G43" i="8" s="1"/>
  <c r="I56" i="5"/>
  <c r="J56" i="5" s="1"/>
  <c r="D56" i="5" s="1"/>
  <c r="I10" i="16"/>
  <c r="I14" i="16"/>
  <c r="I12" i="16"/>
  <c r="I11" i="16"/>
  <c r="I13" i="16"/>
  <c r="I23" i="16" s="1"/>
  <c r="F19" i="15"/>
  <c r="E30" i="15"/>
  <c r="E27" i="14"/>
  <c r="E28" i="14" s="1"/>
  <c r="H105" i="8"/>
  <c r="H53" i="8"/>
  <c r="F37" i="30"/>
  <c r="H37" i="30"/>
  <c r="F24" i="38"/>
  <c r="F24" i="46"/>
  <c r="I37" i="30"/>
  <c r="G37" i="30"/>
  <c r="E37" i="30"/>
  <c r="D37" i="30"/>
  <c r="H20" i="80"/>
  <c r="H21" i="80" s="1"/>
  <c r="H53" i="80"/>
  <c r="H54" i="80" s="1"/>
  <c r="H57" i="80"/>
  <c r="H60" i="80" s="1"/>
  <c r="H51" i="8"/>
  <c r="H52" i="8" s="1"/>
  <c r="T36" i="90"/>
  <c r="F70" i="79"/>
  <c r="J32" i="7"/>
  <c r="F68" i="8"/>
  <c r="F70" i="80"/>
  <c r="F68" i="1"/>
  <c r="I51" i="8" l="1"/>
  <c r="I52" i="8" s="1"/>
  <c r="CM2" i="112"/>
  <c r="CM2" i="63"/>
  <c r="D31" i="13"/>
  <c r="CN12" i="111"/>
  <c r="CN12" i="61"/>
  <c r="E29" i="13"/>
  <c r="E24" i="13"/>
  <c r="E25" i="13" s="1"/>
  <c r="E27" i="13" s="1"/>
  <c r="E28" i="13" s="1"/>
  <c r="CM12" i="111"/>
  <c r="D31" i="11"/>
  <c r="CM12" i="61"/>
  <c r="CO12" i="112"/>
  <c r="D31" i="18"/>
  <c r="CO12" i="63"/>
  <c r="E24" i="11"/>
  <c r="E25" i="11" s="1"/>
  <c r="E27" i="11" s="1"/>
  <c r="E28" i="11" s="1"/>
  <c r="F19" i="11" s="1"/>
  <c r="E29" i="11"/>
  <c r="E29" i="18"/>
  <c r="E24" i="18"/>
  <c r="E25" i="18" s="1"/>
  <c r="E27" i="18" s="1"/>
  <c r="E28" i="18" s="1"/>
  <c r="F19" i="18" s="1"/>
  <c r="T26" i="37"/>
  <c r="D32" i="37" s="1"/>
  <c r="D28" i="1"/>
  <c r="S24" i="56"/>
  <c r="T27" i="56"/>
  <c r="T28" i="56" s="1"/>
  <c r="T29" i="56" s="1"/>
  <c r="T30" i="56" s="1"/>
  <c r="T31" i="56" s="1"/>
  <c r="T32" i="56" s="1"/>
  <c r="K76" i="60"/>
  <c r="P75" i="60"/>
  <c r="T26" i="45"/>
  <c r="D32" i="45" s="1"/>
  <c r="D28" i="8"/>
  <c r="AC58" i="60" a="1"/>
  <c r="AC58" i="60" s="1"/>
  <c r="F58" i="60" s="1"/>
  <c r="AC56" i="60" a="1"/>
  <c r="J76" i="60"/>
  <c r="AO5" i="82"/>
  <c r="E10" i="110"/>
  <c r="K40" i="64"/>
  <c r="AO238" i="60"/>
  <c r="K40" i="107"/>
  <c r="E10" i="62"/>
  <c r="I46" i="8"/>
  <c r="I51" i="79"/>
  <c r="V7" i="4"/>
  <c r="A92" i="1"/>
  <c r="AC78" i="60"/>
  <c r="AE79" i="60"/>
  <c r="AC55" i="60"/>
  <c r="F55" i="60" s="1"/>
  <c r="AC56" i="60"/>
  <c r="F56" i="60" s="1"/>
  <c r="AA69" i="60"/>
  <c r="E30" i="18"/>
  <c r="E31" i="18" s="1"/>
  <c r="E30" i="11"/>
  <c r="CM13" i="61" s="1"/>
  <c r="U16" i="6"/>
  <c r="G31" i="6"/>
  <c r="Y16" i="6"/>
  <c r="F31" i="6" s="1"/>
  <c r="I20" i="13"/>
  <c r="I21" i="13" s="1"/>
  <c r="I52" i="80"/>
  <c r="I50" i="1"/>
  <c r="D18" i="90"/>
  <c r="M24" i="6"/>
  <c r="G26" i="19"/>
  <c r="G26" i="80"/>
  <c r="G26" i="14"/>
  <c r="G26" i="16"/>
  <c r="G26" i="15"/>
  <c r="G26" i="17"/>
  <c r="G26" i="1"/>
  <c r="G26" i="79"/>
  <c r="G26" i="13"/>
  <c r="G26" i="8"/>
  <c r="G26" i="18"/>
  <c r="G26" i="11"/>
  <c r="AR23" i="62"/>
  <c r="AP23" i="62"/>
  <c r="AS23" i="62"/>
  <c r="AO23" i="62"/>
  <c r="D27" i="112"/>
  <c r="D24" i="112"/>
  <c r="D17" i="112"/>
  <c r="D22" i="112"/>
  <c r="D21" i="112"/>
  <c r="D25" i="112"/>
  <c r="D18" i="112"/>
  <c r="D16" i="112"/>
  <c r="D26" i="112"/>
  <c r="D23" i="112"/>
  <c r="D19" i="112"/>
  <c r="D20" i="112"/>
  <c r="CK3" i="112"/>
  <c r="G66" i="79"/>
  <c r="G75" i="79" s="1"/>
  <c r="G64" i="1"/>
  <c r="G73" i="1" s="1"/>
  <c r="G66" i="80"/>
  <c r="G75" i="80" s="1"/>
  <c r="G64" i="8"/>
  <c r="G73" i="8" s="1"/>
  <c r="E16" i="5"/>
  <c r="AA23" i="109"/>
  <c r="AB39" i="109"/>
  <c r="AB23" i="109" s="1"/>
  <c r="AD23" i="109"/>
  <c r="AC23" i="109"/>
  <c r="Z23" i="109"/>
  <c r="B44" i="109"/>
  <c r="B43" i="109"/>
  <c r="B42" i="109"/>
  <c r="B48" i="109"/>
  <c r="B47" i="109"/>
  <c r="B39" i="109"/>
  <c r="B46" i="109"/>
  <c r="B41" i="109"/>
  <c r="B40" i="109"/>
  <c r="B45" i="109"/>
  <c r="F22" i="19"/>
  <c r="H38" i="30"/>
  <c r="I38" i="30"/>
  <c r="D38" i="30"/>
  <c r="F24" i="47"/>
  <c r="F24" i="39"/>
  <c r="G38" i="30"/>
  <c r="E38" i="30"/>
  <c r="F38" i="30"/>
  <c r="C30" i="109"/>
  <c r="C26" i="109"/>
  <c r="C25" i="109"/>
  <c r="C27" i="109"/>
  <c r="C23" i="109"/>
  <c r="C28" i="109"/>
  <c r="C31" i="109"/>
  <c r="C29" i="109"/>
  <c r="C34" i="109"/>
  <c r="R5" i="109"/>
  <c r="C35" i="109"/>
  <c r="C24" i="109"/>
  <c r="C33" i="109"/>
  <c r="C32" i="109"/>
  <c r="M6" i="21"/>
  <c r="N6" i="21" s="1"/>
  <c r="M11" i="21"/>
  <c r="N11" i="21" s="1"/>
  <c r="M7" i="21"/>
  <c r="N7" i="21" s="1"/>
  <c r="M14" i="21"/>
  <c r="N14" i="21" s="1"/>
  <c r="M5" i="21"/>
  <c r="N5" i="21" s="1"/>
  <c r="M15" i="21"/>
  <c r="N15" i="21" s="1"/>
  <c r="M16" i="21"/>
  <c r="N16" i="21" s="1"/>
  <c r="M9" i="21"/>
  <c r="N9" i="21" s="1"/>
  <c r="M10" i="21"/>
  <c r="N10" i="21" s="1"/>
  <c r="M12" i="21"/>
  <c r="N12" i="21" s="1"/>
  <c r="M13" i="21"/>
  <c r="N13" i="21" s="1"/>
  <c r="M17" i="21"/>
  <c r="N17" i="21" s="1"/>
  <c r="M8" i="21"/>
  <c r="N8" i="21" s="1"/>
  <c r="F22" i="11"/>
  <c r="AR23" i="110"/>
  <c r="AP23" i="110"/>
  <c r="AO23" i="110"/>
  <c r="AS23" i="110"/>
  <c r="F73" i="1"/>
  <c r="I20" i="1"/>
  <c r="I21" i="1" s="1"/>
  <c r="X23" i="109"/>
  <c r="W39" i="109"/>
  <c r="W23" i="109" s="1"/>
  <c r="U23" i="109"/>
  <c r="Y23" i="109"/>
  <c r="V23" i="109"/>
  <c r="AQ78" i="60" a="1"/>
  <c r="AQ78" i="60" s="1"/>
  <c r="B78" i="60"/>
  <c r="AS78" i="60"/>
  <c r="I51" i="1"/>
  <c r="I52" i="1" s="1"/>
  <c r="I55" i="1"/>
  <c r="I58" i="1" s="1"/>
  <c r="U23" i="21"/>
  <c r="X23" i="21"/>
  <c r="V23" i="21"/>
  <c r="Y23" i="21"/>
  <c r="W39" i="21"/>
  <c r="W23" i="21" s="1"/>
  <c r="AK5" i="82"/>
  <c r="AN5" i="82" s="1"/>
  <c r="AH6" i="82"/>
  <c r="AJ6" i="82" s="1"/>
  <c r="AA6" i="82"/>
  <c r="W39" i="62"/>
  <c r="W23" i="62" s="1"/>
  <c r="U23" i="62"/>
  <c r="Y23" i="62"/>
  <c r="X23" i="62"/>
  <c r="V23" i="62"/>
  <c r="BR17" i="112"/>
  <c r="BN18" i="112"/>
  <c r="F16" i="80"/>
  <c r="E78" i="80"/>
  <c r="AL58" i="60" a="1"/>
  <c r="AL58" i="60" s="1"/>
  <c r="L58" i="60" s="1"/>
  <c r="F25" i="46"/>
  <c r="G24" i="46"/>
  <c r="F22" i="15"/>
  <c r="AS23" i="21"/>
  <c r="AR23" i="21"/>
  <c r="AP23" i="21"/>
  <c r="AO23" i="21"/>
  <c r="J12" i="6"/>
  <c r="R12" i="6"/>
  <c r="AI6" i="82"/>
  <c r="AM6" i="82" s="1"/>
  <c r="E44" i="30"/>
  <c r="E51" i="30"/>
  <c r="I52" i="79"/>
  <c r="AM23" i="109"/>
  <c r="AJ23" i="109"/>
  <c r="AN23" i="109"/>
  <c r="AL39" i="109"/>
  <c r="AL23" i="109" s="1"/>
  <c r="AK23" i="109"/>
  <c r="D32" i="109"/>
  <c r="D25" i="109"/>
  <c r="D35" i="109"/>
  <c r="D27" i="109"/>
  <c r="D28" i="109"/>
  <c r="D33" i="109"/>
  <c r="D24" i="109"/>
  <c r="D30" i="109"/>
  <c r="D26" i="109"/>
  <c r="D23" i="109"/>
  <c r="D34" i="109"/>
  <c r="D31" i="109"/>
  <c r="D29" i="109"/>
  <c r="R9" i="109"/>
  <c r="T17" i="66"/>
  <c r="D13" i="66" s="1"/>
  <c r="D19" i="110"/>
  <c r="D12" i="110"/>
  <c r="D14" i="110"/>
  <c r="D15" i="110"/>
  <c r="D8" i="110"/>
  <c r="D7" i="110"/>
  <c r="D13" i="110"/>
  <c r="D16" i="110"/>
  <c r="D6" i="110"/>
  <c r="D11" i="110"/>
  <c r="D18" i="110"/>
  <c r="D9" i="110"/>
  <c r="D17" i="110"/>
  <c r="D10" i="110"/>
  <c r="AM15" i="114"/>
  <c r="AH25" i="114"/>
  <c r="AN14" i="114"/>
  <c r="AO14" i="114" s="1"/>
  <c r="Q23" i="110"/>
  <c r="P23" i="110"/>
  <c r="F73" i="8"/>
  <c r="BR6" i="61"/>
  <c r="BN7" i="61"/>
  <c r="CD16" i="111"/>
  <c r="CD17" i="111" s="1"/>
  <c r="CD18" i="111" s="1"/>
  <c r="CD19" i="111" s="1"/>
  <c r="CD20" i="111" s="1"/>
  <c r="CD21" i="111" s="1"/>
  <c r="CD22" i="111" s="1"/>
  <c r="CD23" i="111" s="1"/>
  <c r="CD24" i="111" s="1"/>
  <c r="CD25" i="111" s="1"/>
  <c r="CD26" i="111" s="1"/>
  <c r="CD27" i="111" s="1"/>
  <c r="BN29" i="111" s="1"/>
  <c r="D38" i="79"/>
  <c r="D28" i="79"/>
  <c r="D120" i="79"/>
  <c r="D68" i="79"/>
  <c r="AL54" i="60" a="1"/>
  <c r="AL54" i="60" s="1"/>
  <c r="L54" i="60" s="1"/>
  <c r="AN81" i="60" a="1"/>
  <c r="AN81" i="60" s="1"/>
  <c r="B70" i="60"/>
  <c r="AQ70" i="60" a="1"/>
  <c r="AQ70" i="60" s="1"/>
  <c r="AM81" i="60" a="1"/>
  <c r="AM81" i="60" s="1"/>
  <c r="W88" i="60" s="1" a="1"/>
  <c r="AS70" i="60"/>
  <c r="B80" i="60"/>
  <c r="AS80" i="60"/>
  <c r="AQ80" i="60" a="1"/>
  <c r="AQ80" i="60" s="1"/>
  <c r="Z16" i="114"/>
  <c r="BR17" i="61"/>
  <c r="BN18" i="61"/>
  <c r="C29" i="95"/>
  <c r="M38" i="95" s="1"/>
  <c r="M38" i="92"/>
  <c r="V35" i="4"/>
  <c r="V30" i="4" s="1"/>
  <c r="G66" i="10" s="1"/>
  <c r="C14" i="30"/>
  <c r="C31" i="30"/>
  <c r="C38" i="30" s="1"/>
  <c r="F47" i="30" s="1"/>
  <c r="AG39" i="21"/>
  <c r="AG23" i="21" s="1"/>
  <c r="AI23" i="21"/>
  <c r="AE23" i="21"/>
  <c r="AH23" i="21"/>
  <c r="AF23" i="21"/>
  <c r="I20" i="15"/>
  <c r="I21" i="15" s="1"/>
  <c r="P23" i="62"/>
  <c r="Q23" i="62"/>
  <c r="R9" i="21"/>
  <c r="D35" i="21"/>
  <c r="D26" i="21"/>
  <c r="D27" i="21"/>
  <c r="D28" i="21"/>
  <c r="D32" i="21"/>
  <c r="D33" i="21"/>
  <c r="D30" i="21"/>
  <c r="D23" i="21"/>
  <c r="D24" i="21"/>
  <c r="D29" i="21"/>
  <c r="D25" i="21"/>
  <c r="D34" i="21"/>
  <c r="D31" i="21"/>
  <c r="CJ4" i="111"/>
  <c r="CJ4" i="112"/>
  <c r="CJ4" i="63"/>
  <c r="CJ4" i="61"/>
  <c r="P7" i="82"/>
  <c r="Q7" i="82"/>
  <c r="H105" i="1"/>
  <c r="H53" i="1"/>
  <c r="I20" i="11"/>
  <c r="I21" i="11" s="1"/>
  <c r="C59" i="5"/>
  <c r="E28" i="6"/>
  <c r="X28" i="6" s="1"/>
  <c r="H28" i="6" s="1"/>
  <c r="E29" i="6" s="1"/>
  <c r="X29" i="6" s="1"/>
  <c r="H29" i="6" s="1"/>
  <c r="E30" i="6" s="1"/>
  <c r="X30" i="6" s="1"/>
  <c r="H30" i="6" s="1"/>
  <c r="E31" i="6" s="1"/>
  <c r="X31" i="6" s="1"/>
  <c r="H31" i="6" s="1"/>
  <c r="E32" i="6" s="1"/>
  <c r="Z23" i="62"/>
  <c r="AC23" i="62"/>
  <c r="AA23" i="62"/>
  <c r="AD23" i="62"/>
  <c r="AB39" i="62"/>
  <c r="AB23" i="62" s="1"/>
  <c r="T17" i="65"/>
  <c r="D13" i="65" s="1"/>
  <c r="CM13" i="112"/>
  <c r="CM13" i="63"/>
  <c r="E31" i="16"/>
  <c r="F37" i="48"/>
  <c r="AS73" i="60"/>
  <c r="AQ73" i="60" a="1"/>
  <c r="AQ73" i="60" s="1"/>
  <c r="B73" i="60"/>
  <c r="BR17" i="63"/>
  <c r="BN18" i="63"/>
  <c r="CD16" i="112"/>
  <c r="CD17" i="112" s="1"/>
  <c r="CD18" i="112" s="1"/>
  <c r="CD19" i="112" s="1"/>
  <c r="CD20" i="112" s="1"/>
  <c r="CD21" i="112" s="1"/>
  <c r="CD22" i="112" s="1"/>
  <c r="CD23" i="112" s="1"/>
  <c r="CD24" i="112" s="1"/>
  <c r="CD25" i="112" s="1"/>
  <c r="CD26" i="112" s="1"/>
  <c r="CD27" i="112" s="1"/>
  <c r="BN29" i="112" s="1"/>
  <c r="D17" i="80"/>
  <c r="I36" i="77" s="1"/>
  <c r="D79" i="80"/>
  <c r="D80" i="80"/>
  <c r="D81" i="80" s="1"/>
  <c r="D67" i="80" s="1"/>
  <c r="D141" i="80"/>
  <c r="AE54" i="60"/>
  <c r="AE55" i="60"/>
  <c r="X88" i="60"/>
  <c r="CP13" i="61"/>
  <c r="E31" i="15"/>
  <c r="CP13" i="111"/>
  <c r="I53" i="79"/>
  <c r="I54" i="79" s="1"/>
  <c r="I57" i="79"/>
  <c r="I60" i="79" s="1"/>
  <c r="CD16" i="63"/>
  <c r="CD17" i="63" s="1"/>
  <c r="CD18" i="63" s="1"/>
  <c r="CD19" i="63" s="1"/>
  <c r="CD20" i="63" s="1"/>
  <c r="CD21" i="63" s="1"/>
  <c r="CD22" i="63" s="1"/>
  <c r="CD23" i="63" s="1"/>
  <c r="CD24" i="63" s="1"/>
  <c r="CD25" i="63" s="1"/>
  <c r="CD26" i="63" s="1"/>
  <c r="CD27" i="63" s="1"/>
  <c r="BN29" i="63" s="1"/>
  <c r="F16" i="79"/>
  <c r="E78" i="79"/>
  <c r="AL57" i="60" a="1"/>
  <c r="AL57" i="60" s="1"/>
  <c r="L57" i="60" s="1"/>
  <c r="B74" i="60"/>
  <c r="AQ74" i="60" a="1"/>
  <c r="AQ74" i="60" s="1"/>
  <c r="AS74" i="60"/>
  <c r="CD16" i="61"/>
  <c r="CD17" i="61" s="1"/>
  <c r="CD18" i="61" s="1"/>
  <c r="CD19" i="61" s="1"/>
  <c r="CD20" i="61" s="1"/>
  <c r="CD21" i="61" s="1"/>
  <c r="CD22" i="61" s="1"/>
  <c r="CD23" i="61" s="1"/>
  <c r="CD24" i="61" s="1"/>
  <c r="CD25" i="61" s="1"/>
  <c r="CD26" i="61" s="1"/>
  <c r="CD27" i="61" s="1"/>
  <c r="BN29" i="61" s="1"/>
  <c r="A17" i="34"/>
  <c r="H55" i="80"/>
  <c r="H107" i="80"/>
  <c r="G24" i="38"/>
  <c r="F25" i="38"/>
  <c r="AC23" i="21"/>
  <c r="Z23" i="21"/>
  <c r="AB39" i="21"/>
  <c r="AB23" i="21" s="1"/>
  <c r="AA23" i="21"/>
  <c r="AD23" i="21"/>
  <c r="D25" i="63"/>
  <c r="D19" i="63"/>
  <c r="D17" i="63"/>
  <c r="D20" i="63"/>
  <c r="CK3" i="63"/>
  <c r="D26" i="63"/>
  <c r="D24" i="63"/>
  <c r="D22" i="63"/>
  <c r="D27" i="63"/>
  <c r="D21" i="63"/>
  <c r="D18" i="63"/>
  <c r="D16" i="63"/>
  <c r="D23" i="63"/>
  <c r="AS23" i="109"/>
  <c r="AO23" i="109"/>
  <c r="AP23" i="109"/>
  <c r="AR23" i="109"/>
  <c r="CH7" i="112"/>
  <c r="CH7" i="111"/>
  <c r="C17" i="5"/>
  <c r="B28" i="5"/>
  <c r="B38" i="5" s="1"/>
  <c r="B48" i="5" s="1"/>
  <c r="CH7" i="63"/>
  <c r="CH7" i="61"/>
  <c r="M12" i="109"/>
  <c r="N12" i="109" s="1"/>
  <c r="M9" i="109"/>
  <c r="N9" i="109" s="1"/>
  <c r="M8" i="109"/>
  <c r="N8" i="109" s="1"/>
  <c r="M11" i="109"/>
  <c r="N11" i="109" s="1"/>
  <c r="M15" i="109"/>
  <c r="N15" i="109" s="1"/>
  <c r="M7" i="109"/>
  <c r="N7" i="109" s="1"/>
  <c r="M10" i="109"/>
  <c r="N10" i="109" s="1"/>
  <c r="M5" i="109"/>
  <c r="N5" i="109" s="1"/>
  <c r="M14" i="109"/>
  <c r="N14" i="109" s="1"/>
  <c r="M17" i="109"/>
  <c r="N17" i="109" s="1"/>
  <c r="M13" i="109"/>
  <c r="N13" i="109" s="1"/>
  <c r="M6" i="109"/>
  <c r="N6" i="109" s="1"/>
  <c r="M16" i="109"/>
  <c r="N16" i="109" s="1"/>
  <c r="F37" i="40"/>
  <c r="B19" i="5"/>
  <c r="U9" i="5"/>
  <c r="D17" i="62"/>
  <c r="D9" i="62"/>
  <c r="D19" i="62"/>
  <c r="D8" i="62"/>
  <c r="D6" i="62"/>
  <c r="D14" i="62"/>
  <c r="D10" i="62"/>
  <c r="D13" i="62"/>
  <c r="D18" i="62"/>
  <c r="D16" i="62"/>
  <c r="D12" i="62"/>
  <c r="D11" i="62"/>
  <c r="D7" i="62"/>
  <c r="D15" i="62"/>
  <c r="AC23" i="110"/>
  <c r="Z23" i="110"/>
  <c r="AD23" i="110"/>
  <c r="AA23" i="110"/>
  <c r="AB39" i="110"/>
  <c r="AB23" i="110" s="1"/>
  <c r="BN7" i="63"/>
  <c r="BR6" i="63"/>
  <c r="I55" i="8"/>
  <c r="I58" i="8" s="1"/>
  <c r="BN18" i="111"/>
  <c r="BR17" i="111"/>
  <c r="D80" i="79"/>
  <c r="D79" i="79"/>
  <c r="D141" i="79"/>
  <c r="D17" i="79"/>
  <c r="F36" i="77" s="1"/>
  <c r="AD54" i="60" a="1"/>
  <c r="AD54" i="60" s="1"/>
  <c r="AC54" i="60" a="1"/>
  <c r="AC54" i="60" s="1"/>
  <c r="AL55" i="60" a="1"/>
  <c r="AL55" i="60" s="1"/>
  <c r="L55" i="60" s="1"/>
  <c r="AQ75" i="60" a="1"/>
  <c r="AQ75" i="60" s="1"/>
  <c r="B75" i="60"/>
  <c r="AS75" i="60"/>
  <c r="AA15" i="114"/>
  <c r="H58" i="5"/>
  <c r="CL7" i="63"/>
  <c r="Q18" i="97"/>
  <c r="CL7" i="111"/>
  <c r="CL7" i="61"/>
  <c r="CL7" i="112"/>
  <c r="F22" i="18"/>
  <c r="G3" i="1"/>
  <c r="G3" i="11"/>
  <c r="G3" i="18"/>
  <c r="G3" i="17"/>
  <c r="G3" i="14"/>
  <c r="G3" i="80"/>
  <c r="S4" i="82"/>
  <c r="G5" i="83" s="1"/>
  <c r="B10" i="83" s="1"/>
  <c r="G3" i="13"/>
  <c r="G3" i="16"/>
  <c r="G3" i="79"/>
  <c r="G3" i="19"/>
  <c r="G3" i="8"/>
  <c r="G3" i="15"/>
  <c r="Q23" i="21"/>
  <c r="P23" i="21"/>
  <c r="D12" i="114"/>
  <c r="B12" i="114"/>
  <c r="D38" i="80"/>
  <c r="D28" i="80"/>
  <c r="D120" i="80"/>
  <c r="D68" i="80"/>
  <c r="F19" i="13"/>
  <c r="E30" i="13"/>
  <c r="CS6" i="63"/>
  <c r="CS6" i="111"/>
  <c r="CS6" i="61"/>
  <c r="CS6" i="112"/>
  <c r="R17" i="97"/>
  <c r="H43" i="79"/>
  <c r="H45" i="79" s="1"/>
  <c r="H41" i="1"/>
  <c r="H43" i="1" s="1"/>
  <c r="H43" i="80"/>
  <c r="H45" i="80" s="1"/>
  <c r="H41" i="8"/>
  <c r="H43" i="8" s="1"/>
  <c r="B17" i="3"/>
  <c r="C15" i="3"/>
  <c r="O11" i="77"/>
  <c r="S11" i="77" s="1"/>
  <c r="E16" i="3"/>
  <c r="B10" i="5"/>
  <c r="B20" i="5" s="1"/>
  <c r="AI23" i="110"/>
  <c r="AH23" i="110"/>
  <c r="AG39" i="110"/>
  <c r="AG23" i="110" s="1"/>
  <c r="AE23" i="110"/>
  <c r="AF23" i="110"/>
  <c r="F74" i="79"/>
  <c r="F77" i="79" s="1"/>
  <c r="F76" i="79"/>
  <c r="D13" i="48"/>
  <c r="AE23" i="109"/>
  <c r="AI23" i="109"/>
  <c r="AF23" i="109"/>
  <c r="AG39" i="109"/>
  <c r="AG23" i="109" s="1"/>
  <c r="AH23" i="109"/>
  <c r="AD80" i="60"/>
  <c r="AB79" i="60"/>
  <c r="I20" i="14"/>
  <c r="I21" i="14" s="1"/>
  <c r="AK23" i="110"/>
  <c r="AJ23" i="110"/>
  <c r="AN23" i="110"/>
  <c r="AM23" i="110"/>
  <c r="AL39" i="110"/>
  <c r="AL23" i="110" s="1"/>
  <c r="F74" i="80"/>
  <c r="F77" i="80" s="1"/>
  <c r="F76" i="80"/>
  <c r="AG76" i="60"/>
  <c r="Q42" i="107"/>
  <c r="C42" i="107" s="1"/>
  <c r="G12" i="109"/>
  <c r="AO218" i="60"/>
  <c r="G12" i="21"/>
  <c r="X76" i="60"/>
  <c r="Q42" i="64"/>
  <c r="C42" i="64" s="1"/>
  <c r="CN13" i="63"/>
  <c r="CN13" i="112"/>
  <c r="E31" i="17"/>
  <c r="E75" i="8"/>
  <c r="E74" i="8"/>
  <c r="E76" i="8" s="1"/>
  <c r="D19" i="61"/>
  <c r="D22" i="61"/>
  <c r="D16" i="61"/>
  <c r="D27" i="61"/>
  <c r="D18" i="61"/>
  <c r="D21" i="61"/>
  <c r="D24" i="61"/>
  <c r="D17" i="61"/>
  <c r="D23" i="61"/>
  <c r="CK3" i="61"/>
  <c r="D20" i="61"/>
  <c r="D26" i="61"/>
  <c r="D25" i="61"/>
  <c r="G42" i="64"/>
  <c r="AO207" i="60"/>
  <c r="G42" i="107"/>
  <c r="F12" i="21"/>
  <c r="F12" i="109"/>
  <c r="AG39" i="62"/>
  <c r="AG23" i="62" s="1"/>
  <c r="AF23" i="62"/>
  <c r="AI23" i="62"/>
  <c r="AE23" i="62"/>
  <c r="AH23" i="62"/>
  <c r="Q10" i="77"/>
  <c r="U10" i="77" s="1"/>
  <c r="Q11" i="76"/>
  <c r="M18" i="97"/>
  <c r="D14" i="3"/>
  <c r="H107" i="79"/>
  <c r="H55" i="79"/>
  <c r="C28" i="21"/>
  <c r="C27" i="21"/>
  <c r="C25" i="21"/>
  <c r="C34" i="21"/>
  <c r="C32" i="21"/>
  <c r="C29" i="21"/>
  <c r="C30" i="21"/>
  <c r="C35" i="21"/>
  <c r="R5" i="21"/>
  <c r="C23" i="21"/>
  <c r="C26" i="21"/>
  <c r="C24" i="21"/>
  <c r="C31" i="21"/>
  <c r="C33" i="21"/>
  <c r="B46" i="21"/>
  <c r="B47" i="21"/>
  <c r="B39" i="21"/>
  <c r="B40" i="21"/>
  <c r="B43" i="21"/>
  <c r="B42" i="21"/>
  <c r="B48" i="21"/>
  <c r="B41" i="21"/>
  <c r="B45" i="21"/>
  <c r="B44" i="21"/>
  <c r="V23" i="110"/>
  <c r="U23" i="110"/>
  <c r="Y23" i="110"/>
  <c r="W39" i="110"/>
  <c r="W23" i="110" s="1"/>
  <c r="X23" i="110"/>
  <c r="I20" i="8"/>
  <c r="I21" i="8" s="1"/>
  <c r="O15" i="114"/>
  <c r="I33" i="7"/>
  <c r="D10" i="6"/>
  <c r="D25" i="6" s="1"/>
  <c r="H2" i="3"/>
  <c r="F13" i="3"/>
  <c r="X10" i="6"/>
  <c r="I53" i="80"/>
  <c r="I54" i="80" s="1"/>
  <c r="I57" i="80"/>
  <c r="I60" i="80" s="1"/>
  <c r="AQ76" i="60" a="1"/>
  <c r="AQ76" i="60" s="1"/>
  <c r="B76" i="60"/>
  <c r="AS76" i="60"/>
  <c r="AQ77" i="60" a="1"/>
  <c r="AQ77" i="60" s="1"/>
  <c r="B77" i="60"/>
  <c r="AS77" i="60"/>
  <c r="Y15" i="114"/>
  <c r="I20" i="17"/>
  <c r="I21" i="17" s="1"/>
  <c r="C3" i="105"/>
  <c r="C3" i="101"/>
  <c r="D11" i="35"/>
  <c r="E13" i="35"/>
  <c r="F14" i="35"/>
  <c r="I11" i="35"/>
  <c r="AQ79" i="60" a="1"/>
  <c r="AQ79" i="60" s="1"/>
  <c r="AS79" i="60"/>
  <c r="B79" i="60"/>
  <c r="P23" i="109"/>
  <c r="Q23" i="109"/>
  <c r="V13" i="6"/>
  <c r="H13" i="6" s="1"/>
  <c r="T13" i="6"/>
  <c r="F16" i="6"/>
  <c r="C30" i="6"/>
  <c r="Z15" i="6"/>
  <c r="AA15" i="6" s="1"/>
  <c r="AQ71" i="60" a="1"/>
  <c r="AQ71" i="60" s="1"/>
  <c r="B71" i="60"/>
  <c r="AS71" i="60"/>
  <c r="I20" i="19"/>
  <c r="I21" i="19" s="1"/>
  <c r="BN7" i="112"/>
  <c r="BR6" i="112"/>
  <c r="F19" i="14"/>
  <c r="E30" i="14"/>
  <c r="AM23" i="21"/>
  <c r="AK23" i="21"/>
  <c r="AN23" i="21"/>
  <c r="AJ23" i="21"/>
  <c r="AL39" i="21"/>
  <c r="AL23" i="21" s="1"/>
  <c r="BN7" i="111"/>
  <c r="BR6" i="111"/>
  <c r="F22" i="16"/>
  <c r="AD7" i="82"/>
  <c r="AE7" i="82"/>
  <c r="AF7" i="82"/>
  <c r="AG7" i="82"/>
  <c r="AD55" i="60" a="1"/>
  <c r="AD55" i="60" s="1"/>
  <c r="AO261" i="60"/>
  <c r="R41" i="64"/>
  <c r="I41" i="64" s="1"/>
  <c r="G11" i="110"/>
  <c r="AH75" i="60"/>
  <c r="Z75" i="60"/>
  <c r="AA75" i="60" s="1"/>
  <c r="G11" i="62"/>
  <c r="R41" i="107"/>
  <c r="I41" i="107" s="1"/>
  <c r="I27" i="6"/>
  <c r="F38" i="5"/>
  <c r="D11" i="4"/>
  <c r="I20" i="16"/>
  <c r="I21" i="16" s="1"/>
  <c r="F22" i="17"/>
  <c r="D20" i="111"/>
  <c r="D16" i="111"/>
  <c r="D22" i="111"/>
  <c r="D17" i="111"/>
  <c r="D18" i="111"/>
  <c r="D26" i="111"/>
  <c r="D21" i="111"/>
  <c r="D24" i="111"/>
  <c r="D25" i="111"/>
  <c r="D23" i="111"/>
  <c r="D19" i="111"/>
  <c r="CK3" i="111"/>
  <c r="D27" i="111"/>
  <c r="I20" i="79"/>
  <c r="I21" i="79" s="1"/>
  <c r="AA111" i="60"/>
  <c r="B57" i="5"/>
  <c r="B67" i="5" s="1"/>
  <c r="E74" i="1"/>
  <c r="E76" i="1" s="1"/>
  <c r="E75" i="1"/>
  <c r="I20" i="18"/>
  <c r="I21" i="18" s="1"/>
  <c r="AJ23" i="62"/>
  <c r="AL39" i="62"/>
  <c r="AL23" i="62" s="1"/>
  <c r="AM23" i="62"/>
  <c r="AK23" i="62"/>
  <c r="AN23" i="62"/>
  <c r="I57" i="5"/>
  <c r="J57" i="5" s="1"/>
  <c r="D57" i="5" s="1"/>
  <c r="A14" i="35"/>
  <c r="W28" i="6"/>
  <c r="CP13" i="63"/>
  <c r="E31" i="19"/>
  <c r="CP13" i="112"/>
  <c r="G10" i="114"/>
  <c r="H10" i="114" s="1"/>
  <c r="D15" i="114" s="1"/>
  <c r="D18" i="4"/>
  <c r="D18" i="56"/>
  <c r="AC57" i="60" a="1"/>
  <c r="AC57" i="60" s="1"/>
  <c r="AL56" i="60" a="1"/>
  <c r="AL56" i="60" s="1"/>
  <c r="L56" i="60" s="1"/>
  <c r="AQ72" i="60" a="1"/>
  <c r="AQ72" i="60" s="1"/>
  <c r="AS72" i="60"/>
  <c r="B72" i="60"/>
  <c r="AD59" i="60" a="1"/>
  <c r="AD59" i="60" s="1"/>
  <c r="C30" i="92"/>
  <c r="C36" i="54"/>
  <c r="C48" i="33"/>
  <c r="C36" i="53"/>
  <c r="C10" i="47"/>
  <c r="C4" i="47" s="1"/>
  <c r="C10" i="39"/>
  <c r="C4" i="39" s="1"/>
  <c r="D38" i="77"/>
  <c r="G138" i="10"/>
  <c r="J33" i="7"/>
  <c r="G70" i="79"/>
  <c r="G68" i="1"/>
  <c r="G68" i="8"/>
  <c r="G70" i="80"/>
  <c r="K77" i="60" l="1"/>
  <c r="P76" i="60"/>
  <c r="J77" i="60"/>
  <c r="O77" i="60"/>
  <c r="AO252" i="60" s="1"/>
  <c r="T33" i="56"/>
  <c r="T34" i="56"/>
  <c r="T35" i="56" s="1"/>
  <c r="T36" i="56" s="1"/>
  <c r="T37" i="56" s="1"/>
  <c r="T38" i="56" s="1"/>
  <c r="T39" i="56" s="1"/>
  <c r="T40" i="56" s="1"/>
  <c r="T41" i="56" s="1"/>
  <c r="T42" i="56" s="1"/>
  <c r="T43" i="56" s="1"/>
  <c r="T44" i="56" s="1"/>
  <c r="T45" i="56" s="1"/>
  <c r="AK6" i="82"/>
  <c r="O76" i="60"/>
  <c r="CO2" i="112"/>
  <c r="CO2" i="63"/>
  <c r="D31" i="1"/>
  <c r="D30" i="1"/>
  <c r="D32" i="1" s="1"/>
  <c r="D38" i="1" s="1"/>
  <c r="F40" i="37" s="1"/>
  <c r="F32" i="37"/>
  <c r="E19" i="1"/>
  <c r="CN2" i="111"/>
  <c r="CN2" i="61"/>
  <c r="F32" i="45"/>
  <c r="D30" i="8"/>
  <c r="D31" i="8"/>
  <c r="E19" i="8"/>
  <c r="CM2" i="61"/>
  <c r="CM2" i="111"/>
  <c r="F27" i="21"/>
  <c r="E31" i="11"/>
  <c r="CM3" i="61" s="1"/>
  <c r="CO13" i="112"/>
  <c r="CO13" i="63"/>
  <c r="CM13" i="111"/>
  <c r="AC79" i="60"/>
  <c r="AE80" i="60"/>
  <c r="F29" i="21"/>
  <c r="W88" i="60"/>
  <c r="F34" i="21"/>
  <c r="AM56" i="60"/>
  <c r="AM55" i="60"/>
  <c r="F30" i="21"/>
  <c r="F24" i="21"/>
  <c r="F35" i="21"/>
  <c r="F25" i="21"/>
  <c r="F26" i="109"/>
  <c r="F26" i="21"/>
  <c r="U17" i="6"/>
  <c r="Y17" i="6"/>
  <c r="F32" i="6" s="1"/>
  <c r="X32" i="6" s="1"/>
  <c r="H32" i="6" s="1"/>
  <c r="E33" i="6" s="1"/>
  <c r="G32" i="6"/>
  <c r="AQ16" i="111"/>
  <c r="BZ16" i="111" s="1"/>
  <c r="AQ26" i="111"/>
  <c r="BZ26" i="111" s="1"/>
  <c r="AQ20" i="111"/>
  <c r="BZ20" i="111" s="1"/>
  <c r="AQ25" i="111"/>
  <c r="BZ25" i="111" s="1"/>
  <c r="AQ17" i="111"/>
  <c r="BZ17" i="111" s="1"/>
  <c r="AQ22" i="111"/>
  <c r="BZ22" i="111" s="1"/>
  <c r="AQ27" i="111"/>
  <c r="BZ27" i="111" s="1"/>
  <c r="AQ21" i="111"/>
  <c r="BZ21" i="111" s="1"/>
  <c r="AQ23" i="111"/>
  <c r="BZ23" i="111" s="1"/>
  <c r="AQ19" i="111"/>
  <c r="BZ19" i="111" s="1"/>
  <c r="AQ18" i="111"/>
  <c r="BZ18" i="111" s="1"/>
  <c r="AQ24" i="111"/>
  <c r="BZ24" i="111" s="1"/>
  <c r="C17" i="34"/>
  <c r="A18" i="34"/>
  <c r="C18" i="34" s="1"/>
  <c r="C16" i="34"/>
  <c r="CO3" i="112"/>
  <c r="CO3" i="63"/>
  <c r="D32" i="111"/>
  <c r="D36" i="111"/>
  <c r="D35" i="111"/>
  <c r="D29" i="111"/>
  <c r="D33" i="111"/>
  <c r="D40" i="111"/>
  <c r="D30" i="111"/>
  <c r="D39" i="111"/>
  <c r="D37" i="111"/>
  <c r="D31" i="111"/>
  <c r="D34" i="111"/>
  <c r="D38" i="111"/>
  <c r="CK4" i="111"/>
  <c r="CM3" i="63"/>
  <c r="CM3" i="112"/>
  <c r="F26" i="46"/>
  <c r="G25" i="46"/>
  <c r="A15" i="35"/>
  <c r="C14" i="35"/>
  <c r="C13" i="35"/>
  <c r="I58" i="5"/>
  <c r="J58" i="5" s="1"/>
  <c r="D58" i="5"/>
  <c r="CP3" i="61"/>
  <c r="CP3" i="111"/>
  <c r="AI7" i="82"/>
  <c r="AM7" i="82"/>
  <c r="CP3" i="112"/>
  <c r="CP3" i="63"/>
  <c r="M25" i="6"/>
  <c r="H26" i="8"/>
  <c r="H26" i="16"/>
  <c r="H26" i="80"/>
  <c r="H26" i="13"/>
  <c r="H26" i="1"/>
  <c r="H26" i="19"/>
  <c r="H26" i="17"/>
  <c r="H26" i="18"/>
  <c r="H26" i="11"/>
  <c r="H26" i="79"/>
  <c r="H26" i="14"/>
  <c r="H26" i="15"/>
  <c r="E139" i="1"/>
  <c r="E78" i="1"/>
  <c r="E77" i="1"/>
  <c r="D19" i="56"/>
  <c r="D19" i="4"/>
  <c r="R5" i="110"/>
  <c r="F57" i="60"/>
  <c r="AM57" i="60"/>
  <c r="BN8" i="111"/>
  <c r="BR7" i="111"/>
  <c r="E141" i="79"/>
  <c r="E79" i="79"/>
  <c r="E80" i="79"/>
  <c r="CO13" i="111"/>
  <c r="CO13" i="61"/>
  <c r="E31" i="14"/>
  <c r="W29" i="6"/>
  <c r="F22" i="13"/>
  <c r="F29" i="18"/>
  <c r="F24" i="18"/>
  <c r="F25" i="18" s="1"/>
  <c r="F27" i="18" s="1"/>
  <c r="F28" i="18" s="1"/>
  <c r="H3" i="19"/>
  <c r="H3" i="1"/>
  <c r="H3" i="16"/>
  <c r="H3" i="18"/>
  <c r="H3" i="17"/>
  <c r="H3" i="15"/>
  <c r="H3" i="80"/>
  <c r="H3" i="14"/>
  <c r="H3" i="8"/>
  <c r="H3" i="79"/>
  <c r="H3" i="11"/>
  <c r="H3" i="13"/>
  <c r="T4" i="82"/>
  <c r="H5" i="83" s="1"/>
  <c r="B11" i="83" s="1"/>
  <c r="F13" i="21"/>
  <c r="G43" i="64"/>
  <c r="F13" i="109"/>
  <c r="AO208" i="60"/>
  <c r="G43" i="107"/>
  <c r="CN3" i="112"/>
  <c r="CN3" i="63"/>
  <c r="D125" i="79"/>
  <c r="E18" i="79"/>
  <c r="E19" i="79" s="1"/>
  <c r="D31" i="79"/>
  <c r="D30" i="79"/>
  <c r="D32" i="79" s="1"/>
  <c r="C30" i="95"/>
  <c r="M39" i="95" s="1"/>
  <c r="M39" i="92"/>
  <c r="D11" i="56"/>
  <c r="G67" i="10"/>
  <c r="AA7" i="82"/>
  <c r="AH7" i="82"/>
  <c r="AJ7" i="82" s="1"/>
  <c r="C31" i="6"/>
  <c r="F17" i="6"/>
  <c r="Z16" i="6"/>
  <c r="AA16" i="6" s="1"/>
  <c r="AA112" i="60"/>
  <c r="B58" i="5"/>
  <c r="B68" i="5" s="1"/>
  <c r="AQ18" i="63"/>
  <c r="BZ18" i="63" s="1"/>
  <c r="AQ24" i="63"/>
  <c r="BZ24" i="63" s="1"/>
  <c r="AQ26" i="63"/>
  <c r="BZ26" i="63" s="1"/>
  <c r="AQ21" i="63"/>
  <c r="BZ21" i="63" s="1"/>
  <c r="AQ17" i="63"/>
  <c r="BZ17" i="63" s="1"/>
  <c r="AQ20" i="63"/>
  <c r="BZ20" i="63" s="1"/>
  <c r="AQ16" i="63"/>
  <c r="BZ16" i="63" s="1"/>
  <c r="AQ19" i="63"/>
  <c r="BZ19" i="63" s="1"/>
  <c r="AQ22" i="63"/>
  <c r="BZ22" i="63" s="1"/>
  <c r="AQ27" i="63"/>
  <c r="BZ27" i="63" s="1"/>
  <c r="AQ25" i="63"/>
  <c r="BZ25" i="63" s="1"/>
  <c r="AQ23" i="63"/>
  <c r="BZ23" i="63" s="1"/>
  <c r="F44" i="30"/>
  <c r="F51" i="30"/>
  <c r="F12" i="62"/>
  <c r="AO251" i="60"/>
  <c r="L42" i="64"/>
  <c r="F12" i="110"/>
  <c r="L42" i="107"/>
  <c r="I28" i="6"/>
  <c r="F39" i="5"/>
  <c r="R19" i="97" s="1"/>
  <c r="F29" i="16"/>
  <c r="F24" i="16"/>
  <c r="F25" i="16" s="1"/>
  <c r="F27" i="16" s="1"/>
  <c r="F28" i="16" s="1"/>
  <c r="AG77" i="60"/>
  <c r="AO219" i="60"/>
  <c r="G13" i="21"/>
  <c r="X77" i="60"/>
  <c r="Q43" i="64"/>
  <c r="C43" i="64" s="1"/>
  <c r="G13" i="109"/>
  <c r="Q43" i="107"/>
  <c r="C43" i="107" s="1"/>
  <c r="Q11" i="77"/>
  <c r="U11" i="77" s="1"/>
  <c r="M19" i="97"/>
  <c r="N19" i="97" s="1"/>
  <c r="N3" i="82"/>
  <c r="D15" i="3"/>
  <c r="F54" i="60"/>
  <c r="AM54" i="60"/>
  <c r="I53" i="8"/>
  <c r="I105" i="8"/>
  <c r="F26" i="38"/>
  <c r="G25" i="38"/>
  <c r="BN30" i="63"/>
  <c r="BR29" i="63"/>
  <c r="D8" i="83"/>
  <c r="Z17" i="114"/>
  <c r="BN30" i="111"/>
  <c r="BR29" i="111"/>
  <c r="F29" i="15"/>
  <c r="F24" i="15"/>
  <c r="F25" i="15" s="1"/>
  <c r="F27" i="15" s="1"/>
  <c r="F28" i="15" s="1"/>
  <c r="G16" i="80"/>
  <c r="F78" i="80"/>
  <c r="F75" i="1"/>
  <c r="G76" i="1" s="1"/>
  <c r="F74" i="1"/>
  <c r="F76" i="1" s="1"/>
  <c r="F24" i="109"/>
  <c r="F27" i="109"/>
  <c r="F25" i="47"/>
  <c r="G24" i="47"/>
  <c r="G74" i="80"/>
  <c r="G77" i="80" s="1"/>
  <c r="G76" i="80"/>
  <c r="F22" i="14"/>
  <c r="D81" i="79"/>
  <c r="D67" i="79" s="1"/>
  <c r="BR18" i="61"/>
  <c r="BN19" i="61"/>
  <c r="F74" i="8"/>
  <c r="F76" i="8" s="1"/>
  <c r="F75" i="8"/>
  <c r="G76" i="8" s="1"/>
  <c r="G16" i="79"/>
  <c r="F78" i="79"/>
  <c r="BN30" i="112"/>
  <c r="BR29" i="112"/>
  <c r="I107" i="80"/>
  <c r="I55" i="80"/>
  <c r="AQ24" i="61"/>
  <c r="BZ24" i="61" s="1"/>
  <c r="AQ18" i="61"/>
  <c r="BZ18" i="61" s="1"/>
  <c r="AQ19" i="61"/>
  <c r="BZ19" i="61" s="1"/>
  <c r="AQ21" i="61"/>
  <c r="BZ21" i="61" s="1"/>
  <c r="AQ17" i="61"/>
  <c r="BZ17" i="61" s="1"/>
  <c r="AQ20" i="61"/>
  <c r="BZ20" i="61" s="1"/>
  <c r="AQ22" i="61"/>
  <c r="BZ22" i="61" s="1"/>
  <c r="AQ27" i="61"/>
  <c r="BZ27" i="61" s="1"/>
  <c r="AQ26" i="61"/>
  <c r="BZ26" i="61" s="1"/>
  <c r="AQ25" i="61"/>
  <c r="BZ25" i="61" s="1"/>
  <c r="AQ16" i="61"/>
  <c r="BZ16" i="61" s="1"/>
  <c r="AQ23" i="61"/>
  <c r="BZ23" i="61" s="1"/>
  <c r="B18" i="3"/>
  <c r="E17" i="3"/>
  <c r="C16" i="3"/>
  <c r="D16" i="3" s="1"/>
  <c r="D125" i="80"/>
  <c r="E18" i="80"/>
  <c r="E19" i="80" s="1"/>
  <c r="D31" i="80"/>
  <c r="D30" i="80"/>
  <c r="G59" i="60"/>
  <c r="X101" i="60" s="1"/>
  <c r="R5" i="62"/>
  <c r="D26" i="62"/>
  <c r="D35" i="62"/>
  <c r="D24" i="62"/>
  <c r="R9" i="62"/>
  <c r="D28" i="62"/>
  <c r="D32" i="62"/>
  <c r="D25" i="62"/>
  <c r="D23" i="62"/>
  <c r="D30" i="62"/>
  <c r="D27" i="62"/>
  <c r="D31" i="62"/>
  <c r="D34" i="62"/>
  <c r="D29" i="62"/>
  <c r="D33" i="62"/>
  <c r="I107" i="79"/>
  <c r="I55" i="79"/>
  <c r="D37" i="61"/>
  <c r="D33" i="61"/>
  <c r="D39" i="61"/>
  <c r="D38" i="61"/>
  <c r="D32" i="61"/>
  <c r="D34" i="61"/>
  <c r="D40" i="61"/>
  <c r="D31" i="61"/>
  <c r="D36" i="61"/>
  <c r="D29" i="61"/>
  <c r="D30" i="61"/>
  <c r="D35" i="61"/>
  <c r="CK4" i="61"/>
  <c r="Y16" i="114"/>
  <c r="BN8" i="61"/>
  <c r="BR7" i="61"/>
  <c r="AN6" i="82"/>
  <c r="BN19" i="112"/>
  <c r="BR18" i="112"/>
  <c r="O17" i="21"/>
  <c r="O14" i="21"/>
  <c r="O8" i="21"/>
  <c r="O15" i="21"/>
  <c r="O11" i="21"/>
  <c r="O12" i="21"/>
  <c r="O9" i="21"/>
  <c r="O16" i="21"/>
  <c r="O7" i="21"/>
  <c r="O10" i="21"/>
  <c r="O6" i="21"/>
  <c r="O13" i="21"/>
  <c r="O5" i="21"/>
  <c r="F35" i="109"/>
  <c r="F25" i="109"/>
  <c r="G74" i="1"/>
  <c r="G75" i="1"/>
  <c r="F33" i="21"/>
  <c r="I2" i="3"/>
  <c r="I34" i="7"/>
  <c r="D11" i="6"/>
  <c r="D26" i="6" s="1"/>
  <c r="F14" i="3"/>
  <c r="D20" i="4" s="1"/>
  <c r="G141" i="10" s="1"/>
  <c r="X11" i="6"/>
  <c r="E33" i="80"/>
  <c r="D42" i="80"/>
  <c r="D39" i="80"/>
  <c r="D34" i="63"/>
  <c r="CK4" i="63"/>
  <c r="D39" i="63"/>
  <c r="D36" i="63"/>
  <c r="D29" i="63"/>
  <c r="D33" i="63"/>
  <c r="D30" i="63"/>
  <c r="D31" i="63"/>
  <c r="D35" i="63"/>
  <c r="D37" i="63"/>
  <c r="D32" i="63"/>
  <c r="D40" i="63"/>
  <c r="D38" i="63"/>
  <c r="R9" i="110"/>
  <c r="D26" i="110"/>
  <c r="D29" i="110"/>
  <c r="D25" i="110"/>
  <c r="D31" i="110"/>
  <c r="D30" i="110"/>
  <c r="D34" i="110"/>
  <c r="D32" i="110"/>
  <c r="D24" i="110"/>
  <c r="D23" i="110"/>
  <c r="D35" i="110"/>
  <c r="D28" i="110"/>
  <c r="D27" i="110"/>
  <c r="D33" i="110"/>
  <c r="I53" i="1"/>
  <c r="I105" i="1"/>
  <c r="S5" i="109"/>
  <c r="E18" i="109" s="1"/>
  <c r="S9" i="109"/>
  <c r="E17" i="109" s="1"/>
  <c r="F29" i="19"/>
  <c r="F24" i="19"/>
  <c r="F25" i="19" s="1"/>
  <c r="F27" i="19" s="1"/>
  <c r="F28" i="19" s="1"/>
  <c r="G74" i="79"/>
  <c r="G77" i="79" s="1"/>
  <c r="G76" i="79"/>
  <c r="AM58" i="60"/>
  <c r="F31" i="21"/>
  <c r="F32" i="21"/>
  <c r="W18" i="97"/>
  <c r="W27" i="97" s="1"/>
  <c r="W29" i="97" s="1"/>
  <c r="N18" i="97"/>
  <c r="E78" i="8"/>
  <c r="E139" i="8"/>
  <c r="E77" i="8"/>
  <c r="E31" i="13"/>
  <c r="CN13" i="61"/>
  <c r="CN13" i="111"/>
  <c r="B13" i="114"/>
  <c r="B14" i="114" s="1"/>
  <c r="B15" i="114" s="1"/>
  <c r="B16" i="114" s="1"/>
  <c r="B17" i="114" s="1"/>
  <c r="E12" i="114"/>
  <c r="E13" i="114" s="1"/>
  <c r="D13" i="114" s="1"/>
  <c r="AF15" i="114"/>
  <c r="AG15" i="114"/>
  <c r="AI15" i="114"/>
  <c r="BR7" i="63"/>
  <c r="BN8" i="63"/>
  <c r="C18" i="5"/>
  <c r="B29" i="5"/>
  <c r="B39" i="5" s="1"/>
  <c r="B49" i="5" s="1"/>
  <c r="B59" i="5" s="1"/>
  <c r="B69" i="5" s="1"/>
  <c r="E19" i="5"/>
  <c r="O13" i="109"/>
  <c r="O12" i="109"/>
  <c r="O16" i="109"/>
  <c r="O17" i="109"/>
  <c r="O11" i="109"/>
  <c r="O8" i="109"/>
  <c r="O7" i="109"/>
  <c r="O5" i="109"/>
  <c r="O10" i="109"/>
  <c r="O15" i="109"/>
  <c r="O14" i="109"/>
  <c r="O6" i="109"/>
  <c r="O9" i="109"/>
  <c r="D36" i="112"/>
  <c r="D35" i="112"/>
  <c r="D37" i="112"/>
  <c r="D34" i="112"/>
  <c r="D39" i="112"/>
  <c r="D40" i="112"/>
  <c r="D31" i="112"/>
  <c r="D38" i="112"/>
  <c r="D32" i="112"/>
  <c r="D30" i="112"/>
  <c r="CK4" i="112"/>
  <c r="D33" i="112"/>
  <c r="D29" i="112"/>
  <c r="D105" i="79"/>
  <c r="D108" i="79" s="1"/>
  <c r="D84" i="79" s="1"/>
  <c r="D69" i="79"/>
  <c r="D82" i="79"/>
  <c r="D121" i="79"/>
  <c r="D122" i="79" s="1"/>
  <c r="D113" i="79"/>
  <c r="D117" i="79" s="1"/>
  <c r="D86" i="79" s="1"/>
  <c r="R8" i="82"/>
  <c r="P8" i="82"/>
  <c r="D9" i="83" s="1"/>
  <c r="Q8" i="82"/>
  <c r="E9" i="83" s="1"/>
  <c r="F34" i="109"/>
  <c r="F30" i="109"/>
  <c r="E23" i="109" a="1"/>
  <c r="E23" i="109" s="1"/>
  <c r="AQ24" i="112"/>
  <c r="BZ24" i="112" s="1"/>
  <c r="AQ25" i="112"/>
  <c r="BZ25" i="112" s="1"/>
  <c r="AQ27" i="112"/>
  <c r="BZ27" i="112" s="1"/>
  <c r="AQ20" i="112"/>
  <c r="BZ20" i="112" s="1"/>
  <c r="AQ16" i="112"/>
  <c r="BZ16" i="112" s="1"/>
  <c r="AQ17" i="112"/>
  <c r="BZ17" i="112" s="1"/>
  <c r="AQ22" i="112"/>
  <c r="BZ22" i="112" s="1"/>
  <c r="AQ21" i="112"/>
  <c r="BZ21" i="112" s="1"/>
  <c r="AQ19" i="112"/>
  <c r="BZ19" i="112" s="1"/>
  <c r="AQ23" i="112"/>
  <c r="BZ23" i="112" s="1"/>
  <c r="AQ18" i="112"/>
  <c r="BZ18" i="112" s="1"/>
  <c r="AQ26" i="112"/>
  <c r="BZ26" i="112" s="1"/>
  <c r="F29" i="109"/>
  <c r="F31" i="109"/>
  <c r="F32" i="109"/>
  <c r="F28" i="109"/>
  <c r="CJ5" i="111"/>
  <c r="CJ5" i="112"/>
  <c r="CJ5" i="61"/>
  <c r="CJ5" i="63"/>
  <c r="AF85" i="60"/>
  <c r="AD84" i="60" s="1"/>
  <c r="AB80" i="60"/>
  <c r="B30" i="5"/>
  <c r="B40" i="5" s="1"/>
  <c r="B50" i="5" s="1"/>
  <c r="B60" i="5" s="1"/>
  <c r="B70" i="5" s="1"/>
  <c r="C19" i="5"/>
  <c r="M8" i="62"/>
  <c r="N8" i="62" s="1"/>
  <c r="M11" i="62"/>
  <c r="N11" i="62" s="1"/>
  <c r="M7" i="62"/>
  <c r="N7" i="62" s="1"/>
  <c r="M12" i="62"/>
  <c r="N12" i="62" s="1"/>
  <c r="M6" i="62"/>
  <c r="N6" i="62" s="1"/>
  <c r="M10" i="62"/>
  <c r="N10" i="62" s="1"/>
  <c r="M5" i="62"/>
  <c r="N5" i="62" s="1"/>
  <c r="M15" i="62"/>
  <c r="N15" i="62" s="1"/>
  <c r="M13" i="62"/>
  <c r="N13" i="62" s="1"/>
  <c r="M9" i="62"/>
  <c r="N9" i="62" s="1"/>
  <c r="M17" i="62"/>
  <c r="N17" i="62" s="1"/>
  <c r="M16" i="62"/>
  <c r="N16" i="62" s="1"/>
  <c r="M14" i="62"/>
  <c r="N14" i="62" s="1"/>
  <c r="G139" i="10"/>
  <c r="C10" i="48"/>
  <c r="C4" i="48" s="1"/>
  <c r="C10" i="40"/>
  <c r="C4" i="40" s="1"/>
  <c r="F23" i="21"/>
  <c r="E3" i="61" s="1"/>
  <c r="K3" i="61" s="1"/>
  <c r="T14" i="6"/>
  <c r="V14" i="6"/>
  <c r="H14" i="6" s="1"/>
  <c r="E33" i="79"/>
  <c r="D39" i="79"/>
  <c r="D42" i="79"/>
  <c r="M7" i="110"/>
  <c r="N7" i="110" s="1"/>
  <c r="M12" i="110"/>
  <c r="N12" i="110" s="1"/>
  <c r="M13" i="110"/>
  <c r="N13" i="110" s="1"/>
  <c r="M9" i="110"/>
  <c r="N9" i="110" s="1"/>
  <c r="M6" i="110"/>
  <c r="N6" i="110" s="1"/>
  <c r="M10" i="110"/>
  <c r="N10" i="110" s="1"/>
  <c r="M15" i="110"/>
  <c r="N15" i="110" s="1"/>
  <c r="M16" i="110"/>
  <c r="N16" i="110" s="1"/>
  <c r="M8" i="110"/>
  <c r="N8" i="110" s="1"/>
  <c r="M14" i="110"/>
  <c r="N14" i="110" s="1"/>
  <c r="M17" i="110"/>
  <c r="N17" i="110" s="1"/>
  <c r="M11" i="110"/>
  <c r="N11" i="110" s="1"/>
  <c r="M5" i="110"/>
  <c r="N5" i="110" s="1"/>
  <c r="B46" i="110"/>
  <c r="B43" i="110"/>
  <c r="B45" i="110"/>
  <c r="B48" i="110"/>
  <c r="B41" i="110"/>
  <c r="B47" i="110"/>
  <c r="B44" i="110"/>
  <c r="B39" i="110"/>
  <c r="B42" i="110"/>
  <c r="B40" i="110"/>
  <c r="E79" i="80"/>
  <c r="E141" i="80"/>
  <c r="E80" i="80"/>
  <c r="F29" i="11"/>
  <c r="F24" i="11"/>
  <c r="F25" i="11" s="1"/>
  <c r="F27" i="11" s="1"/>
  <c r="F28" i="11" s="1"/>
  <c r="E33" i="1"/>
  <c r="E46" i="33"/>
  <c r="F24" i="17"/>
  <c r="F25" i="17" s="1"/>
  <c r="F27" i="17" s="1"/>
  <c r="F28" i="17" s="1"/>
  <c r="F29" i="17"/>
  <c r="CS7" i="61"/>
  <c r="CS7" i="112"/>
  <c r="CS7" i="63"/>
  <c r="R18" i="97"/>
  <c r="CS7" i="111"/>
  <c r="I41" i="1"/>
  <c r="I43" i="1" s="1"/>
  <c r="I41" i="8"/>
  <c r="I43" i="8" s="1"/>
  <c r="I43" i="80"/>
  <c r="I45" i="80" s="1"/>
  <c r="I43" i="79"/>
  <c r="I45" i="79" s="1"/>
  <c r="BR7" i="112"/>
  <c r="BN8" i="112"/>
  <c r="J13" i="6"/>
  <c r="R13" i="6"/>
  <c r="E23" i="21" a="1"/>
  <c r="E23" i="21" s="1"/>
  <c r="S9" i="21"/>
  <c r="E17" i="21" s="1"/>
  <c r="S5" i="21"/>
  <c r="E18" i="21" s="1"/>
  <c r="F28" i="21"/>
  <c r="G12" i="110"/>
  <c r="G12" i="62"/>
  <c r="R42" i="107"/>
  <c r="I42" i="107" s="1"/>
  <c r="AO262" i="60"/>
  <c r="R42" i="64"/>
  <c r="I42" i="64" s="1"/>
  <c r="AH76" i="60"/>
  <c r="Z76" i="60"/>
  <c r="AA76" i="60" s="1"/>
  <c r="D121" i="80"/>
  <c r="D122" i="80" s="1"/>
  <c r="D105" i="80"/>
  <c r="D108" i="80" s="1"/>
  <c r="D84" i="80" s="1"/>
  <c r="D69" i="80"/>
  <c r="D113" i="80"/>
  <c r="D117" i="80" s="1"/>
  <c r="D86" i="80" s="1"/>
  <c r="D82" i="80"/>
  <c r="BN19" i="111"/>
  <c r="BR18" i="111"/>
  <c r="B46" i="62"/>
  <c r="B47" i="62"/>
  <c r="B39" i="62"/>
  <c r="B48" i="62"/>
  <c r="B43" i="62"/>
  <c r="B41" i="62"/>
  <c r="B40" i="62"/>
  <c r="B42" i="62"/>
  <c r="B45" i="62"/>
  <c r="B44" i="62"/>
  <c r="H64" i="8"/>
  <c r="H73" i="8" s="1"/>
  <c r="H64" i="1"/>
  <c r="H73" i="1" s="1"/>
  <c r="H66" i="80"/>
  <c r="H75" i="80" s="1"/>
  <c r="H66" i="79"/>
  <c r="H75" i="79" s="1"/>
  <c r="E17" i="5"/>
  <c r="BR29" i="61"/>
  <c r="BN30" i="61"/>
  <c r="BR18" i="63"/>
  <c r="BN19" i="63"/>
  <c r="F37" i="65"/>
  <c r="Q19" i="97"/>
  <c r="H59" i="5"/>
  <c r="E8" i="83"/>
  <c r="AA16" i="114"/>
  <c r="Y88" i="60"/>
  <c r="Z88" i="60"/>
  <c r="F37" i="66"/>
  <c r="AL6" i="82"/>
  <c r="AO6" i="82" s="1"/>
  <c r="F33" i="109"/>
  <c r="F23" i="109"/>
  <c r="E3" i="111" s="1"/>
  <c r="K3" i="111" s="1"/>
  <c r="G24" i="39"/>
  <c r="F25" i="39"/>
  <c r="G74" i="8"/>
  <c r="G75" i="8"/>
  <c r="H70" i="80"/>
  <c r="H70" i="79"/>
  <c r="H68" i="8"/>
  <c r="J34" i="7"/>
  <c r="H68" i="1"/>
  <c r="D8" i="38" l="1"/>
  <c r="L43" i="107"/>
  <c r="T14" i="46"/>
  <c r="E22" i="8"/>
  <c r="D39" i="1"/>
  <c r="F13" i="110"/>
  <c r="F13" i="62"/>
  <c r="T14" i="38"/>
  <c r="E22" i="1"/>
  <c r="T46" i="56"/>
  <c r="T47" i="56"/>
  <c r="T48" i="56" s="1"/>
  <c r="T49" i="56" s="1"/>
  <c r="T50" i="56" s="1"/>
  <c r="T51" i="56" s="1"/>
  <c r="T52" i="56" s="1"/>
  <c r="T53" i="56" s="1"/>
  <c r="T54" i="56" s="1"/>
  <c r="T55" i="56" s="1"/>
  <c r="T56" i="56" s="1"/>
  <c r="D123" i="1"/>
  <c r="I14" i="53" s="1"/>
  <c r="E15" i="4"/>
  <c r="E15" i="56" s="1"/>
  <c r="AK7" i="82"/>
  <c r="AN7" i="82" s="1"/>
  <c r="F39" i="37"/>
  <c r="T27" i="37"/>
  <c r="D40" i="1"/>
  <c r="E14" i="4" s="1"/>
  <c r="J78" i="60"/>
  <c r="O78" i="60"/>
  <c r="E45" i="33"/>
  <c r="L43" i="64"/>
  <c r="D32" i="8"/>
  <c r="D38" i="8" s="1"/>
  <c r="G45" i="33"/>
  <c r="G46" i="33"/>
  <c r="T27" i="45"/>
  <c r="F39" i="45"/>
  <c r="P77" i="60"/>
  <c r="G13" i="62" s="1"/>
  <c r="K78" i="60"/>
  <c r="CM3" i="111"/>
  <c r="AD85" i="60"/>
  <c r="AF86" i="60" s="1"/>
  <c r="AG85" i="60"/>
  <c r="AE84" i="60" s="1"/>
  <c r="AC80" i="60"/>
  <c r="E23" i="110" a="1"/>
  <c r="E23" i="110" s="1"/>
  <c r="L3" i="112" s="1"/>
  <c r="AD52" i="60"/>
  <c r="W101" i="60" s="1"/>
  <c r="U18" i="6"/>
  <c r="G33" i="6"/>
  <c r="Y18" i="6"/>
  <c r="F33" i="6" s="1"/>
  <c r="X33" i="6" s="1"/>
  <c r="H33" i="6" s="1"/>
  <c r="H76" i="1"/>
  <c r="H139" i="1" s="1"/>
  <c r="G77" i="8"/>
  <c r="G78" i="8"/>
  <c r="G139" i="8"/>
  <c r="D18" i="114"/>
  <c r="B18" i="114"/>
  <c r="E22" i="80"/>
  <c r="Z77" i="60"/>
  <c r="AA77" i="60" s="1"/>
  <c r="R43" i="64"/>
  <c r="I43" i="64" s="1"/>
  <c r="AO263" i="60"/>
  <c r="R43" i="107"/>
  <c r="I43" i="107" s="1"/>
  <c r="AH77" i="60"/>
  <c r="G13" i="110"/>
  <c r="F27" i="46"/>
  <c r="G26" i="46"/>
  <c r="D97" i="80"/>
  <c r="D144" i="80" s="1"/>
  <c r="D147" i="80" s="1"/>
  <c r="AQ46" i="21"/>
  <c r="AQ30" i="21" s="1"/>
  <c r="BR30" i="111"/>
  <c r="BN31" i="111"/>
  <c r="X78" i="60"/>
  <c r="AO220" i="60"/>
  <c r="G14" i="109"/>
  <c r="Q44" i="107"/>
  <c r="C44" i="107" s="1"/>
  <c r="Q44" i="64"/>
  <c r="C44" i="64" s="1"/>
  <c r="G14" i="21"/>
  <c r="D44" i="63"/>
  <c r="CK5" i="63"/>
  <c r="D45" i="63"/>
  <c r="D50" i="63"/>
  <c r="D46" i="63"/>
  <c r="D47" i="63"/>
  <c r="D49" i="63"/>
  <c r="D42" i="63"/>
  <c r="D53" i="63"/>
  <c r="D51" i="63"/>
  <c r="D52" i="63"/>
  <c r="D48" i="63"/>
  <c r="D43" i="63"/>
  <c r="AQ43" i="21"/>
  <c r="AQ27" i="21" s="1"/>
  <c r="AQ39" i="61"/>
  <c r="BZ39" i="61" s="1"/>
  <c r="AQ33" i="61"/>
  <c r="BZ33" i="61" s="1"/>
  <c r="AQ34" i="61"/>
  <c r="BZ34" i="61" s="1"/>
  <c r="AQ38" i="61"/>
  <c r="BZ38" i="61" s="1"/>
  <c r="AQ31" i="61"/>
  <c r="BZ31" i="61" s="1"/>
  <c r="AQ40" i="61"/>
  <c r="BZ40" i="61" s="1"/>
  <c r="AQ32" i="61"/>
  <c r="BZ32" i="61" s="1"/>
  <c r="AQ37" i="61"/>
  <c r="BZ37" i="61" s="1"/>
  <c r="AQ35" i="61"/>
  <c r="BZ35" i="61" s="1"/>
  <c r="AQ29" i="61"/>
  <c r="BZ29" i="61" s="1"/>
  <c r="AQ30" i="61"/>
  <c r="BZ30" i="61" s="1"/>
  <c r="AQ36" i="61"/>
  <c r="BZ36" i="61" s="1"/>
  <c r="D13" i="6"/>
  <c r="D28" i="6" s="1"/>
  <c r="F16" i="3"/>
  <c r="X13" i="6"/>
  <c r="Z18" i="114"/>
  <c r="AA18" i="114"/>
  <c r="F40" i="5"/>
  <c r="I29" i="6"/>
  <c r="I30" i="6" s="1"/>
  <c r="I31" i="6" s="1"/>
  <c r="I32" i="6" s="1"/>
  <c r="I33" i="6" s="1"/>
  <c r="C32" i="6"/>
  <c r="Z17" i="6"/>
  <c r="AA17" i="6" s="1"/>
  <c r="F18" i="6"/>
  <c r="G44" i="64"/>
  <c r="F14" i="109"/>
  <c r="F14" i="21"/>
  <c r="G44" i="107"/>
  <c r="AO209" i="60"/>
  <c r="H76" i="8"/>
  <c r="BN31" i="61"/>
  <c r="BR30" i="61"/>
  <c r="L3" i="61"/>
  <c r="R39" i="21"/>
  <c r="R23" i="21" s="1"/>
  <c r="E81" i="80"/>
  <c r="E67" i="80" s="1"/>
  <c r="J14" i="6"/>
  <c r="R14" i="6"/>
  <c r="CK5" i="61"/>
  <c r="D44" i="61"/>
  <c r="D48" i="61"/>
  <c r="D53" i="61"/>
  <c r="D52" i="61"/>
  <c r="D47" i="61"/>
  <c r="D43" i="61"/>
  <c r="D46" i="61"/>
  <c r="D51" i="61"/>
  <c r="D49" i="61"/>
  <c r="D45" i="61"/>
  <c r="D42" i="61"/>
  <c r="D50" i="61"/>
  <c r="AQ42" i="109"/>
  <c r="AQ26" i="109" s="1"/>
  <c r="CN3" i="61"/>
  <c r="CN3" i="111"/>
  <c r="BR30" i="112"/>
  <c r="BN31" i="112"/>
  <c r="BR19" i="61"/>
  <c r="BN20" i="61"/>
  <c r="F26" i="47"/>
  <c r="G25" i="47"/>
  <c r="AA17" i="114"/>
  <c r="BR30" i="63"/>
  <c r="BN31" i="63"/>
  <c r="F29" i="13"/>
  <c r="F24" i="13"/>
  <c r="F25" i="13" s="1"/>
  <c r="F27" i="13" s="1"/>
  <c r="F28" i="13" s="1"/>
  <c r="C10" i="65"/>
  <c r="C4" i="65" s="1"/>
  <c r="C10" i="66"/>
  <c r="C4" i="66" s="1"/>
  <c r="G140" i="10"/>
  <c r="AQ34" i="111"/>
  <c r="BZ34" i="111" s="1"/>
  <c r="AQ36" i="111"/>
  <c r="BZ36" i="111" s="1"/>
  <c r="AQ35" i="111"/>
  <c r="BZ35" i="111" s="1"/>
  <c r="AQ30" i="111"/>
  <c r="BZ30" i="111" s="1"/>
  <c r="AQ38" i="111"/>
  <c r="BZ38" i="111" s="1"/>
  <c r="AQ32" i="111"/>
  <c r="BZ32" i="111" s="1"/>
  <c r="AQ37" i="111"/>
  <c r="BZ37" i="111" s="1"/>
  <c r="AQ33" i="111"/>
  <c r="BZ33" i="111" s="1"/>
  <c r="AQ31" i="111"/>
  <c r="BZ31" i="111" s="1"/>
  <c r="AQ40" i="111"/>
  <c r="BZ40" i="111" s="1"/>
  <c r="AQ39" i="111"/>
  <c r="BZ39" i="111" s="1"/>
  <c r="AQ29" i="111"/>
  <c r="BZ29" i="111" s="1"/>
  <c r="AQ43" i="109"/>
  <c r="AQ27" i="109" s="1"/>
  <c r="AQ42" i="21"/>
  <c r="AQ26" i="21" s="1"/>
  <c r="S5" i="62"/>
  <c r="E18" i="62" s="1"/>
  <c r="S9" i="62"/>
  <c r="E17" i="62" s="1"/>
  <c r="CO3" i="61"/>
  <c r="CO3" i="111"/>
  <c r="S9" i="110"/>
  <c r="E17" i="110" s="1"/>
  <c r="S5" i="110"/>
  <c r="E18" i="110" s="1"/>
  <c r="AO7" i="82"/>
  <c r="Q10" i="82" s="1"/>
  <c r="E11" i="83" s="1"/>
  <c r="E23" i="62" a="1"/>
  <c r="E23" i="62" s="1"/>
  <c r="BR8" i="112"/>
  <c r="BN9" i="112"/>
  <c r="W30" i="6"/>
  <c r="AO253" i="60"/>
  <c r="F14" i="110"/>
  <c r="L44" i="64"/>
  <c r="L44" i="107"/>
  <c r="F14" i="62"/>
  <c r="AF16" i="114"/>
  <c r="AG16" i="114"/>
  <c r="AI16" i="114"/>
  <c r="BR8" i="63"/>
  <c r="BN9" i="63"/>
  <c r="D159" i="1"/>
  <c r="D147" i="1" s="1"/>
  <c r="D151" i="1" s="1"/>
  <c r="D154" i="1" s="1"/>
  <c r="AQ50" i="109"/>
  <c r="AQ34" i="109" s="1"/>
  <c r="J2" i="3"/>
  <c r="D12" i="6"/>
  <c r="D27" i="6" s="1"/>
  <c r="F15" i="3"/>
  <c r="X12" i="6"/>
  <c r="E14" i="35"/>
  <c r="D12" i="35"/>
  <c r="F15" i="35"/>
  <c r="I59" i="5"/>
  <c r="J59" i="5" s="1"/>
  <c r="D59" i="5" s="1"/>
  <c r="M27" i="6" s="1"/>
  <c r="CJ6" i="112"/>
  <c r="CK6" i="112" s="1"/>
  <c r="CJ6" i="111"/>
  <c r="CK6" i="111" s="1"/>
  <c r="CJ6" i="61"/>
  <c r="CK6" i="61" s="1"/>
  <c r="CJ6" i="63"/>
  <c r="CK6" i="63" s="1"/>
  <c r="BR19" i="111"/>
  <c r="BN20" i="111"/>
  <c r="D46" i="111"/>
  <c r="D48" i="111"/>
  <c r="D47" i="111"/>
  <c r="D50" i="111"/>
  <c r="D49" i="111"/>
  <c r="D53" i="111"/>
  <c r="D52" i="111"/>
  <c r="D44" i="111"/>
  <c r="D42" i="111"/>
  <c r="D43" i="111"/>
  <c r="D51" i="111"/>
  <c r="CK5" i="111"/>
  <c r="D45" i="111"/>
  <c r="AQ51" i="109"/>
  <c r="AQ35" i="109" s="1"/>
  <c r="AQ48" i="109"/>
  <c r="AQ32" i="109" s="1"/>
  <c r="G19" i="19"/>
  <c r="F30" i="19"/>
  <c r="AQ48" i="21"/>
  <c r="AQ32" i="21" s="1"/>
  <c r="BR19" i="112"/>
  <c r="BN20" i="112"/>
  <c r="B19" i="3"/>
  <c r="C17" i="3"/>
  <c r="D17" i="3" s="1"/>
  <c r="E18" i="3"/>
  <c r="G19" i="15"/>
  <c r="F30" i="15"/>
  <c r="F27" i="38"/>
  <c r="G26" i="38"/>
  <c r="BN9" i="111"/>
  <c r="BR8" i="111"/>
  <c r="D13" i="35"/>
  <c r="E15" i="35"/>
  <c r="I12" i="35"/>
  <c r="F16" i="35"/>
  <c r="H75" i="1"/>
  <c r="I76" i="1" s="1"/>
  <c r="H74" i="1"/>
  <c r="O12" i="110"/>
  <c r="O17" i="110"/>
  <c r="O13" i="110"/>
  <c r="O10" i="110"/>
  <c r="O8" i="110"/>
  <c r="O5" i="110"/>
  <c r="O9" i="110"/>
  <c r="O11" i="110"/>
  <c r="O14" i="110"/>
  <c r="O15" i="110"/>
  <c r="O16" i="110"/>
  <c r="O7" i="110"/>
  <c r="O6" i="110"/>
  <c r="AQ44" i="21"/>
  <c r="AQ28" i="21" s="1"/>
  <c r="M26" i="6"/>
  <c r="I26" i="79"/>
  <c r="I26" i="13"/>
  <c r="I26" i="14"/>
  <c r="I26" i="8"/>
  <c r="I26" i="18"/>
  <c r="I26" i="17"/>
  <c r="I26" i="11"/>
  <c r="I26" i="1"/>
  <c r="I26" i="19"/>
  <c r="I26" i="80"/>
  <c r="I26" i="15"/>
  <c r="I26" i="16"/>
  <c r="BR19" i="63"/>
  <c r="BN20" i="63"/>
  <c r="I64" i="8"/>
  <c r="I73" i="8" s="1"/>
  <c r="I66" i="80"/>
  <c r="I75" i="80" s="1"/>
  <c r="I64" i="1"/>
  <c r="I73" i="1" s="1"/>
  <c r="I66" i="79"/>
  <c r="I75" i="79" s="1"/>
  <c r="E18" i="5"/>
  <c r="F141" i="80"/>
  <c r="F79" i="80"/>
  <c r="F80" i="80"/>
  <c r="F81" i="80" s="1"/>
  <c r="F67" i="80" s="1"/>
  <c r="F139" i="8"/>
  <c r="F77" i="8"/>
  <c r="F78" i="8"/>
  <c r="D42" i="37"/>
  <c r="D45" i="37"/>
  <c r="D44" i="37"/>
  <c r="AQ47" i="109"/>
  <c r="AQ31" i="109" s="1"/>
  <c r="D46" i="112"/>
  <c r="D51" i="112"/>
  <c r="D53" i="112"/>
  <c r="D43" i="112"/>
  <c r="D45" i="112"/>
  <c r="D47" i="112"/>
  <c r="D48" i="112"/>
  <c r="D52" i="112"/>
  <c r="D44" i="112"/>
  <c r="D49" i="112"/>
  <c r="CK5" i="112"/>
  <c r="D50" i="112"/>
  <c r="D42" i="112"/>
  <c r="H16" i="80"/>
  <c r="G78" i="80"/>
  <c r="H74" i="79"/>
  <c r="H77" i="79" s="1"/>
  <c r="H76" i="79"/>
  <c r="F9" i="83"/>
  <c r="AQ46" i="109"/>
  <c r="AQ30" i="109" s="1"/>
  <c r="AQ49" i="109"/>
  <c r="AQ33" i="109" s="1"/>
  <c r="E79" i="8"/>
  <c r="E65" i="8" s="1"/>
  <c r="G78" i="1"/>
  <c r="G139" i="1"/>
  <c r="G77" i="1"/>
  <c r="P5" i="21"/>
  <c r="AQ41" i="21"/>
  <c r="AQ25" i="21" s="1"/>
  <c r="AQ47" i="21"/>
  <c r="AQ31" i="21" s="1"/>
  <c r="Q9" i="82"/>
  <c r="E10" i="83" s="1"/>
  <c r="P9" i="82"/>
  <c r="D10" i="83" s="1"/>
  <c r="S9" i="82"/>
  <c r="R9" i="82"/>
  <c r="F10" i="83" s="1"/>
  <c r="D32" i="80"/>
  <c r="E22" i="79"/>
  <c r="E81" i="79"/>
  <c r="E67" i="79" s="1"/>
  <c r="E79" i="1"/>
  <c r="E65" i="1" s="1"/>
  <c r="A16" i="35"/>
  <c r="C15" i="35"/>
  <c r="E14" i="56"/>
  <c r="AA14" i="4"/>
  <c r="L3" i="111"/>
  <c r="R39" i="109"/>
  <c r="R23" i="109" s="1"/>
  <c r="F77" i="1"/>
  <c r="F78" i="1"/>
  <c r="F139" i="1"/>
  <c r="BN9" i="61"/>
  <c r="BR8" i="61"/>
  <c r="F29" i="14"/>
  <c r="F24" i="14"/>
  <c r="F25" i="14" s="1"/>
  <c r="F27" i="14" s="1"/>
  <c r="F28" i="14" s="1"/>
  <c r="G19" i="18"/>
  <c r="F30" i="18"/>
  <c r="F26" i="39"/>
  <c r="G25" i="39"/>
  <c r="H75" i="8"/>
  <c r="I76" i="8" s="1"/>
  <c r="H74" i="8"/>
  <c r="AQ44" i="109"/>
  <c r="AQ28" i="109" s="1"/>
  <c r="AQ50" i="21"/>
  <c r="AQ34" i="21" s="1"/>
  <c r="G19" i="17"/>
  <c r="F30" i="17"/>
  <c r="AQ45" i="109"/>
  <c r="AQ29" i="109" s="1"/>
  <c r="D97" i="79"/>
  <c r="D144" i="79" s="1"/>
  <c r="D147" i="79" s="1"/>
  <c r="AN15" i="114"/>
  <c r="AO15" i="114" s="1"/>
  <c r="AJ24" i="114"/>
  <c r="AQ31" i="63"/>
  <c r="BZ31" i="63" s="1"/>
  <c r="AQ29" i="63"/>
  <c r="BZ29" i="63" s="1"/>
  <c r="AQ40" i="63"/>
  <c r="BZ40" i="63" s="1"/>
  <c r="AQ36" i="63"/>
  <c r="BZ36" i="63" s="1"/>
  <c r="AQ33" i="63"/>
  <c r="BZ33" i="63" s="1"/>
  <c r="AQ37" i="63"/>
  <c r="BZ37" i="63" s="1"/>
  <c r="AQ39" i="63"/>
  <c r="BZ39" i="63" s="1"/>
  <c r="AQ30" i="63"/>
  <c r="BZ30" i="63" s="1"/>
  <c r="AQ35" i="63"/>
  <c r="BZ35" i="63" s="1"/>
  <c r="AQ34" i="63"/>
  <c r="BZ34" i="63" s="1"/>
  <c r="AQ32" i="63"/>
  <c r="BZ32" i="63" s="1"/>
  <c r="AQ38" i="63"/>
  <c r="BZ38" i="63" s="1"/>
  <c r="AQ45" i="21"/>
  <c r="AQ29" i="21" s="1"/>
  <c r="T15" i="6"/>
  <c r="V15" i="6"/>
  <c r="H15" i="6" s="1"/>
  <c r="F80" i="79"/>
  <c r="F141" i="79"/>
  <c r="F79" i="79"/>
  <c r="Y17" i="114"/>
  <c r="H74" i="80"/>
  <c r="H77" i="80" s="1"/>
  <c r="H76" i="80"/>
  <c r="G19" i="11"/>
  <c r="F30" i="11"/>
  <c r="O11" i="62"/>
  <c r="O17" i="62"/>
  <c r="O7" i="62"/>
  <c r="O12" i="62"/>
  <c r="O6" i="62"/>
  <c r="O5" i="62"/>
  <c r="O10" i="62"/>
  <c r="O9" i="62"/>
  <c r="O13" i="62"/>
  <c r="O15" i="62"/>
  <c r="O14" i="62"/>
  <c r="O16" i="62"/>
  <c r="O8" i="62"/>
  <c r="AQ31" i="112"/>
  <c r="BZ31" i="112" s="1"/>
  <c r="AQ30" i="112"/>
  <c r="BZ30" i="112" s="1"/>
  <c r="AQ39" i="112"/>
  <c r="BZ39" i="112" s="1"/>
  <c r="AQ37" i="112"/>
  <c r="BZ37" i="112" s="1"/>
  <c r="AQ36" i="112"/>
  <c r="BZ36" i="112" s="1"/>
  <c r="AQ38" i="112"/>
  <c r="BZ38" i="112" s="1"/>
  <c r="AQ35" i="112"/>
  <c r="BZ35" i="112" s="1"/>
  <c r="AQ34" i="112"/>
  <c r="BZ34" i="112" s="1"/>
  <c r="AQ32" i="112"/>
  <c r="BZ32" i="112" s="1"/>
  <c r="AQ33" i="112"/>
  <c r="BZ33" i="112" s="1"/>
  <c r="AQ29" i="112"/>
  <c r="BZ29" i="112" s="1"/>
  <c r="AQ40" i="112"/>
  <c r="BZ40" i="112" s="1"/>
  <c r="AQ41" i="109"/>
  <c r="AQ25" i="109" s="1"/>
  <c r="P5" i="109"/>
  <c r="P6" i="109" s="1"/>
  <c r="P7" i="109" s="1"/>
  <c r="P8" i="109" s="1"/>
  <c r="P9" i="109" s="1"/>
  <c r="P10" i="109" s="1"/>
  <c r="P11" i="109" s="1"/>
  <c r="P12" i="109" s="1"/>
  <c r="P13" i="109" s="1"/>
  <c r="P14" i="109" s="1"/>
  <c r="P15" i="109" s="1"/>
  <c r="P16" i="109" s="1"/>
  <c r="P17" i="109" s="1"/>
  <c r="I3" i="14"/>
  <c r="I3" i="80"/>
  <c r="I3" i="8"/>
  <c r="I3" i="79"/>
  <c r="I3" i="1"/>
  <c r="I3" i="18"/>
  <c r="I3" i="13"/>
  <c r="I3" i="17"/>
  <c r="I3" i="16"/>
  <c r="I3" i="11"/>
  <c r="I3" i="19"/>
  <c r="I3" i="15"/>
  <c r="AQ49" i="21"/>
  <c r="AQ33" i="21" s="1"/>
  <c r="AQ51" i="21"/>
  <c r="AQ35" i="21" s="1"/>
  <c r="H16" i="79"/>
  <c r="G78" i="79"/>
  <c r="G19" i="16"/>
  <c r="F30" i="16"/>
  <c r="AL7" i="82"/>
  <c r="I68" i="1"/>
  <c r="I70" i="79"/>
  <c r="I68" i="8"/>
  <c r="I70" i="80"/>
  <c r="D11" i="38" l="1"/>
  <c r="F38" i="38"/>
  <c r="G40" i="38"/>
  <c r="T18" i="38"/>
  <c r="P78" i="60"/>
  <c r="K79" i="60"/>
  <c r="Q45" i="64" s="1"/>
  <c r="C45" i="64" s="1"/>
  <c r="E24" i="8"/>
  <c r="E25" i="8" s="1"/>
  <c r="E29" i="8"/>
  <c r="D11" i="46"/>
  <c r="G40" i="46"/>
  <c r="T18" i="46"/>
  <c r="F38" i="46"/>
  <c r="G15" i="4"/>
  <c r="G15" i="56" s="1"/>
  <c r="D40" i="8"/>
  <c r="G14" i="4" s="1"/>
  <c r="D123" i="8"/>
  <c r="I14" i="54" s="1"/>
  <c r="F40" i="45"/>
  <c r="E33" i="8"/>
  <c r="D8" i="46"/>
  <c r="D39" i="8"/>
  <c r="D159" i="8" s="1"/>
  <c r="D147" i="8" s="1"/>
  <c r="D151" i="8" s="1"/>
  <c r="D154" i="8" s="1"/>
  <c r="AG78" i="60"/>
  <c r="J79" i="60"/>
  <c r="O79" i="60"/>
  <c r="F15" i="110" s="1"/>
  <c r="E29" i="1"/>
  <c r="E24" i="1"/>
  <c r="E25" i="1" s="1"/>
  <c r="H77" i="1"/>
  <c r="H78" i="1"/>
  <c r="AE85" i="60"/>
  <c r="AG86" i="60" s="1"/>
  <c r="W95" i="60" s="1"/>
  <c r="R39" i="110"/>
  <c r="R23" i="110" s="1"/>
  <c r="F79" i="1"/>
  <c r="F65" i="1" s="1"/>
  <c r="I36" i="53" s="1"/>
  <c r="F79" i="8"/>
  <c r="F65" i="8" s="1"/>
  <c r="H36" i="54" s="1"/>
  <c r="H37" i="54" s="1"/>
  <c r="H39" i="54" s="1"/>
  <c r="H41" i="54" s="1"/>
  <c r="G79" i="1"/>
  <c r="G65" i="1" s="1"/>
  <c r="I78" i="1"/>
  <c r="I139" i="1"/>
  <c r="I77" i="1"/>
  <c r="G22" i="17"/>
  <c r="A17" i="35"/>
  <c r="I75" i="1"/>
  <c r="I74" i="1"/>
  <c r="AQ48" i="110"/>
  <c r="AQ32" i="110" s="1"/>
  <c r="AQ48" i="61"/>
  <c r="AQ45" i="61"/>
  <c r="AQ46" i="61"/>
  <c r="AQ52" i="61"/>
  <c r="AQ49" i="61"/>
  <c r="AQ42" i="61"/>
  <c r="AQ47" i="61"/>
  <c r="AQ50" i="61"/>
  <c r="AQ53" i="61"/>
  <c r="AQ44" i="61"/>
  <c r="AQ43" i="61"/>
  <c r="AQ51" i="61"/>
  <c r="H23" i="54"/>
  <c r="H24" i="54" s="1"/>
  <c r="H26" i="54" s="1"/>
  <c r="H28" i="54" s="1"/>
  <c r="I23" i="54"/>
  <c r="I26" i="54"/>
  <c r="I28" i="54"/>
  <c r="I33" i="54"/>
  <c r="I16" i="80"/>
  <c r="H78" i="80"/>
  <c r="I74" i="80"/>
  <c r="I77" i="80" s="1"/>
  <c r="I76" i="80"/>
  <c r="AQ47" i="110"/>
  <c r="AQ31" i="110" s="1"/>
  <c r="BN21" i="111"/>
  <c r="BR20" i="111"/>
  <c r="S10" i="82"/>
  <c r="G11" i="83" s="1"/>
  <c r="BN32" i="112"/>
  <c r="BR31" i="112"/>
  <c r="Q13" i="82"/>
  <c r="R44" i="64"/>
  <c r="I44" i="64" s="1"/>
  <c r="AH78" i="60"/>
  <c r="G14" i="110"/>
  <c r="G14" i="62"/>
  <c r="R44" i="107"/>
  <c r="I44" i="107" s="1"/>
  <c r="AO264" i="60"/>
  <c r="Z78" i="60"/>
  <c r="AA78" i="60" s="1"/>
  <c r="G27" i="46"/>
  <c r="F28" i="46"/>
  <c r="H79" i="1"/>
  <c r="H65" i="1" s="1"/>
  <c r="AQ41" i="62"/>
  <c r="AQ25" i="62" s="1"/>
  <c r="P5" i="62"/>
  <c r="P6" i="62" s="1"/>
  <c r="P7" i="62" s="1"/>
  <c r="P8" i="62" s="1"/>
  <c r="P9" i="62" s="1"/>
  <c r="P10" i="62" s="1"/>
  <c r="P11" i="62" s="1"/>
  <c r="P12" i="62" s="1"/>
  <c r="P13" i="62" s="1"/>
  <c r="P14" i="62" s="1"/>
  <c r="P15" i="62" s="1"/>
  <c r="P16" i="62" s="1"/>
  <c r="P17" i="62" s="1"/>
  <c r="F81" i="79"/>
  <c r="F67" i="79" s="1"/>
  <c r="E146" i="79"/>
  <c r="E145" i="79" s="1"/>
  <c r="D98" i="79"/>
  <c r="D85" i="79" s="1"/>
  <c r="T10" i="82"/>
  <c r="I75" i="8"/>
  <c r="I74" i="8"/>
  <c r="AQ45" i="110"/>
  <c r="AQ29" i="110" s="1"/>
  <c r="BN10" i="111"/>
  <c r="BR9" i="111"/>
  <c r="V16" i="6"/>
  <c r="H16" i="6" s="1"/>
  <c r="T16" i="6"/>
  <c r="BR31" i="63"/>
  <c r="BN32" i="63"/>
  <c r="H78" i="8"/>
  <c r="H77" i="8"/>
  <c r="H139" i="8"/>
  <c r="G45" i="64"/>
  <c r="G45" i="107"/>
  <c r="AO210" i="60"/>
  <c r="F15" i="21"/>
  <c r="F15" i="109"/>
  <c r="BN32" i="111"/>
  <c r="BR31" i="111"/>
  <c r="AQ49" i="62"/>
  <c r="AQ33" i="62" s="1"/>
  <c r="F17" i="35"/>
  <c r="E16" i="35"/>
  <c r="D14" i="35"/>
  <c r="I39" i="54"/>
  <c r="BR20" i="112"/>
  <c r="BN21" i="112"/>
  <c r="P10" i="82"/>
  <c r="D11" i="83" s="1"/>
  <c r="D158" i="1"/>
  <c r="D43" i="1" s="1"/>
  <c r="BN32" i="61"/>
  <c r="BR31" i="61"/>
  <c r="I16" i="79"/>
  <c r="H78" i="79"/>
  <c r="AQ46" i="62"/>
  <c r="AQ30" i="62" s="1"/>
  <c r="AQ42" i="62"/>
  <c r="AQ26" i="62" s="1"/>
  <c r="G19" i="14"/>
  <c r="F30" i="14"/>
  <c r="U3" i="111"/>
  <c r="AT3" i="111"/>
  <c r="AU3" i="111" s="1"/>
  <c r="AX3" i="111" s="1"/>
  <c r="AO3" i="111"/>
  <c r="M3" i="111"/>
  <c r="N3" i="111" s="1"/>
  <c r="AI3" i="111"/>
  <c r="AH3" i="111"/>
  <c r="Z3" i="111"/>
  <c r="CP14" i="112"/>
  <c r="F31" i="19"/>
  <c r="CP14" i="63"/>
  <c r="BR9" i="63"/>
  <c r="BN10" i="63"/>
  <c r="AO254" i="60"/>
  <c r="F31" i="16"/>
  <c r="CM14" i="63"/>
  <c r="CM14" i="112"/>
  <c r="B29" i="109"/>
  <c r="B28" i="109"/>
  <c r="B24" i="109"/>
  <c r="B26" i="109"/>
  <c r="B25" i="109"/>
  <c r="B30" i="109"/>
  <c r="B34" i="109"/>
  <c r="B31" i="109"/>
  <c r="B36" i="109"/>
  <c r="B32" i="109"/>
  <c r="B27" i="109"/>
  <c r="B35" i="109"/>
  <c r="B33" i="109"/>
  <c r="AQ48" i="62"/>
  <c r="AQ32" i="62" s="1"/>
  <c r="AQ42" i="110"/>
  <c r="AQ26" i="110" s="1"/>
  <c r="AQ44" i="110"/>
  <c r="AQ28" i="110" s="1"/>
  <c r="G27" i="38"/>
  <c r="F28" i="38"/>
  <c r="G22" i="19"/>
  <c r="AQ49" i="111"/>
  <c r="AQ53" i="111"/>
  <c r="AQ47" i="111"/>
  <c r="AQ45" i="111"/>
  <c r="AQ52" i="111"/>
  <c r="AQ46" i="111"/>
  <c r="AQ50" i="111"/>
  <c r="AQ51" i="111"/>
  <c r="AQ43" i="111"/>
  <c r="AQ42" i="111"/>
  <c r="AQ48" i="111"/>
  <c r="AQ44" i="111"/>
  <c r="AI17" i="114"/>
  <c r="AF17" i="114"/>
  <c r="AG17" i="114"/>
  <c r="R10" i="82"/>
  <c r="F11" i="83" s="1"/>
  <c r="C33" i="6"/>
  <c r="Z18" i="6"/>
  <c r="Z19" i="114"/>
  <c r="AA19" i="114"/>
  <c r="F27" i="39"/>
  <c r="G26" i="39"/>
  <c r="I74" i="79"/>
  <c r="I77" i="79" s="1"/>
  <c r="I76" i="79"/>
  <c r="AQ51" i="110"/>
  <c r="AQ35" i="110" s="1"/>
  <c r="G22" i="15"/>
  <c r="E146" i="80"/>
  <c r="E145" i="80" s="1"/>
  <c r="D98" i="80"/>
  <c r="D85" i="80" s="1"/>
  <c r="AQ45" i="62"/>
  <c r="AQ29" i="62" s="1"/>
  <c r="F31" i="18"/>
  <c r="CO14" i="112"/>
  <c r="CO14" i="63"/>
  <c r="AQ50" i="110"/>
  <c r="AQ34" i="110" s="1"/>
  <c r="G22" i="11"/>
  <c r="G22" i="18"/>
  <c r="AQ44" i="62"/>
  <c r="AQ28" i="62" s="1"/>
  <c r="D158" i="8"/>
  <c r="D43" i="8" s="1"/>
  <c r="BN21" i="63"/>
  <c r="BR20" i="63"/>
  <c r="P5" i="110"/>
  <c r="AQ41" i="110"/>
  <c r="AQ25" i="110" s="1"/>
  <c r="G22" i="16"/>
  <c r="AQ50" i="62"/>
  <c r="AQ34" i="62" s="1"/>
  <c r="AQ43" i="62"/>
  <c r="AQ27" i="62" s="1"/>
  <c r="I77" i="8"/>
  <c r="I78" i="8"/>
  <c r="I139" i="8"/>
  <c r="AQ43" i="110"/>
  <c r="AQ27" i="110" s="1"/>
  <c r="AQ46" i="110"/>
  <c r="AQ30" i="110" s="1"/>
  <c r="P13" i="82"/>
  <c r="B20" i="3"/>
  <c r="C18" i="3"/>
  <c r="D18" i="3" s="1"/>
  <c r="E19" i="3"/>
  <c r="AJ25" i="114"/>
  <c r="AO16" i="114"/>
  <c r="R39" i="62"/>
  <c r="R23" i="62" s="1"/>
  <c r="L3" i="63"/>
  <c r="AO3" i="112"/>
  <c r="AT3" i="112"/>
  <c r="AU3" i="112" s="1"/>
  <c r="AX3" i="112" s="1"/>
  <c r="AH3" i="112"/>
  <c r="U3" i="112"/>
  <c r="AI3" i="112"/>
  <c r="Z3" i="112"/>
  <c r="W31" i="6"/>
  <c r="X17" i="6"/>
  <c r="Y18" i="114"/>
  <c r="B19" i="114"/>
  <c r="D19" i="114"/>
  <c r="G79" i="8"/>
  <c r="G65" i="8" s="1"/>
  <c r="AQ47" i="62"/>
  <c r="AQ31" i="62" s="1"/>
  <c r="G10" i="83"/>
  <c r="S13" i="82"/>
  <c r="BN21" i="61"/>
  <c r="BR20" i="61"/>
  <c r="CM14" i="111"/>
  <c r="CM14" i="61"/>
  <c r="F31" i="11"/>
  <c r="H36" i="53"/>
  <c r="H37" i="53" s="1"/>
  <c r="H39" i="53" s="1"/>
  <c r="H41" i="53" s="1"/>
  <c r="I41" i="53"/>
  <c r="G15" i="21"/>
  <c r="AG79" i="60"/>
  <c r="H23" i="53"/>
  <c r="H24" i="53" s="1"/>
  <c r="H26" i="53" s="1"/>
  <c r="H28" i="53" s="1"/>
  <c r="I23" i="53"/>
  <c r="I26" i="53"/>
  <c r="I28" i="53"/>
  <c r="I33" i="53"/>
  <c r="D14" i="6"/>
  <c r="D29" i="6" s="1"/>
  <c r="F17" i="3"/>
  <c r="X14" i="6"/>
  <c r="BN10" i="112"/>
  <c r="BR9" i="112"/>
  <c r="AG18" i="114"/>
  <c r="AI18" i="114"/>
  <c r="AJ18" i="114" s="1"/>
  <c r="AF18" i="114"/>
  <c r="E29" i="80"/>
  <c r="E24" i="80"/>
  <c r="E25" i="80" s="1"/>
  <c r="G80" i="79"/>
  <c r="G141" i="79"/>
  <c r="G79" i="79"/>
  <c r="AQ51" i="62"/>
  <c r="AQ35" i="62" s="1"/>
  <c r="J15" i="6"/>
  <c r="R15" i="6"/>
  <c r="CN14" i="112"/>
  <c r="CN14" i="63"/>
  <c r="F31" i="17"/>
  <c r="BN10" i="61"/>
  <c r="BR9" i="61"/>
  <c r="E29" i="79"/>
  <c r="E24" i="79"/>
  <c r="E25" i="79" s="1"/>
  <c r="R13" i="82"/>
  <c r="G80" i="80"/>
  <c r="G79" i="80"/>
  <c r="G141" i="80"/>
  <c r="AQ52" i="112"/>
  <c r="AQ48" i="112"/>
  <c r="AQ44" i="112"/>
  <c r="AQ51" i="112"/>
  <c r="AQ47" i="112"/>
  <c r="AQ53" i="112"/>
  <c r="AQ45" i="112"/>
  <c r="AQ42" i="112"/>
  <c r="AQ43" i="112"/>
  <c r="AQ46" i="112"/>
  <c r="AQ50" i="112"/>
  <c r="AQ49" i="112"/>
  <c r="CJ7" i="111"/>
  <c r="CK7" i="111" s="1"/>
  <c r="CJ7" i="112"/>
  <c r="CK7" i="112" s="1"/>
  <c r="CJ7" i="61"/>
  <c r="CK7" i="61" s="1"/>
  <c r="CJ7" i="63"/>
  <c r="CK7" i="63" s="1"/>
  <c r="AQ49" i="110"/>
  <c r="AQ33" i="110" s="1"/>
  <c r="CP14" i="61"/>
  <c r="CP14" i="111"/>
  <c r="F31" i="15"/>
  <c r="P6" i="21"/>
  <c r="P7" i="21" s="1"/>
  <c r="P8" i="21" s="1"/>
  <c r="P9" i="21" s="1"/>
  <c r="P10" i="21" s="1"/>
  <c r="P11" i="21" s="1"/>
  <c r="P12" i="21" s="1"/>
  <c r="P13" i="21" s="1"/>
  <c r="P14" i="21" s="1"/>
  <c r="P15" i="21" s="1"/>
  <c r="P16" i="21" s="1"/>
  <c r="P17" i="21" s="1"/>
  <c r="G19" i="13"/>
  <c r="F30" i="13"/>
  <c r="F27" i="47"/>
  <c r="G26" i="47"/>
  <c r="AT3" i="61"/>
  <c r="AU3" i="61" s="1"/>
  <c r="AX3" i="61" s="1"/>
  <c r="AO3" i="61"/>
  <c r="M3" i="61"/>
  <c r="N3" i="61" s="1"/>
  <c r="AI3" i="61"/>
  <c r="U3" i="61"/>
  <c r="AH3" i="61"/>
  <c r="D14" i="73"/>
  <c r="Z3" i="61"/>
  <c r="AQ42" i="63"/>
  <c r="AQ45" i="63"/>
  <c r="AQ43" i="63"/>
  <c r="AQ46" i="63"/>
  <c r="AQ49" i="63"/>
  <c r="AQ50" i="63"/>
  <c r="AQ51" i="63"/>
  <c r="AQ47" i="63"/>
  <c r="AQ48" i="63"/>
  <c r="AQ52" i="63"/>
  <c r="AQ44" i="63"/>
  <c r="AQ53" i="63"/>
  <c r="H21" i="114"/>
  <c r="F21" i="114"/>
  <c r="H22" i="114"/>
  <c r="A26" i="114"/>
  <c r="L24" i="114"/>
  <c r="I19" i="114"/>
  <c r="E27" i="1" l="1"/>
  <c r="E34" i="1"/>
  <c r="D44" i="45"/>
  <c r="D45" i="45"/>
  <c r="D42" i="45"/>
  <c r="I41" i="54"/>
  <c r="E34" i="8"/>
  <c r="E27" i="8"/>
  <c r="G14" i="56"/>
  <c r="AB14" i="4"/>
  <c r="P79" i="60"/>
  <c r="K80" i="60"/>
  <c r="P80" i="60" s="1"/>
  <c r="F15" i="62"/>
  <c r="I46" i="54"/>
  <c r="J80" i="60"/>
  <c r="O80" i="60"/>
  <c r="L46" i="107" s="1"/>
  <c r="G81" i="79"/>
  <c r="G67" i="79" s="1"/>
  <c r="Q45" i="107"/>
  <c r="C45" i="107" s="1"/>
  <c r="L45" i="64"/>
  <c r="I36" i="54"/>
  <c r="T20" i="38"/>
  <c r="T19" i="38"/>
  <c r="G15" i="109"/>
  <c r="L45" i="107"/>
  <c r="T19" i="46"/>
  <c r="T20" i="46"/>
  <c r="G81" i="80"/>
  <c r="G67" i="80" s="1"/>
  <c r="AO221" i="60"/>
  <c r="X79" i="60"/>
  <c r="I39" i="53"/>
  <c r="I46" i="53"/>
  <c r="I79" i="8"/>
  <c r="I65" i="8" s="1"/>
  <c r="B25" i="21"/>
  <c r="E25" i="21" s="1" a="1"/>
  <c r="E25" i="21" s="1"/>
  <c r="B28" i="21"/>
  <c r="G28" i="21" s="1"/>
  <c r="B30" i="21"/>
  <c r="I30" i="21" s="1"/>
  <c r="B32" i="21"/>
  <c r="H32" i="21" s="1"/>
  <c r="B33" i="21"/>
  <c r="I33" i="21" s="1"/>
  <c r="B29" i="21"/>
  <c r="I29" i="21" s="1"/>
  <c r="B31" i="21"/>
  <c r="E31" i="21" s="1" a="1"/>
  <c r="E31" i="21" s="1"/>
  <c r="H79" i="8"/>
  <c r="H65" i="8" s="1"/>
  <c r="I79" i="1"/>
  <c r="I65" i="1" s="1"/>
  <c r="H32" i="109"/>
  <c r="E32" i="109" a="1"/>
  <c r="E32" i="109" s="1"/>
  <c r="G32" i="109"/>
  <c r="I32" i="109"/>
  <c r="L46" i="64"/>
  <c r="T17" i="6"/>
  <c r="V17" i="6"/>
  <c r="H17" i="6" s="1"/>
  <c r="F16" i="109"/>
  <c r="F16" i="21"/>
  <c r="G46" i="107"/>
  <c r="G46" i="64"/>
  <c r="AO211" i="60"/>
  <c r="Z20" i="114"/>
  <c r="Y20" i="114" s="1"/>
  <c r="E31" i="109" a="1"/>
  <c r="E31" i="109" s="1"/>
  <c r="I31" i="109"/>
  <c r="H31" i="109"/>
  <c r="G31" i="109"/>
  <c r="H141" i="79"/>
  <c r="H80" i="79"/>
  <c r="H79" i="79"/>
  <c r="BR32" i="111"/>
  <c r="BN33" i="111"/>
  <c r="L27" i="82"/>
  <c r="H27" i="82" s="1"/>
  <c r="E14" i="83"/>
  <c r="F31" i="13"/>
  <c r="CN14" i="111"/>
  <c r="CN14" i="61"/>
  <c r="AP3" i="112"/>
  <c r="E20" i="3"/>
  <c r="C19" i="3"/>
  <c r="D19" i="3" s="1"/>
  <c r="B34" i="21"/>
  <c r="B36" i="21"/>
  <c r="G24" i="18"/>
  <c r="G25" i="18" s="1"/>
  <c r="G27" i="18" s="1"/>
  <c r="G28" i="18" s="1"/>
  <c r="G29" i="18"/>
  <c r="Y19" i="114"/>
  <c r="F29" i="38"/>
  <c r="G29" i="38" s="1"/>
  <c r="G28" i="38"/>
  <c r="E34" i="109" a="1"/>
  <c r="E34" i="109" s="1"/>
  <c r="H34" i="109"/>
  <c r="I34" i="109"/>
  <c r="G34" i="109"/>
  <c r="I11" i="53"/>
  <c r="D66" i="1"/>
  <c r="D118" i="1"/>
  <c r="D133" i="79"/>
  <c r="D134" i="79" s="1"/>
  <c r="D87" i="79" s="1"/>
  <c r="D138" i="79" s="1"/>
  <c r="D140" i="79" s="1"/>
  <c r="D93" i="79" s="1"/>
  <c r="G29" i="17"/>
  <c r="G24" i="17"/>
  <c r="G25" i="17" s="1"/>
  <c r="G27" i="17" s="1"/>
  <c r="G28" i="17" s="1"/>
  <c r="CM4" i="61"/>
  <c r="CM4" i="111"/>
  <c r="CO4" i="112"/>
  <c r="CO4" i="63"/>
  <c r="G24" i="19"/>
  <c r="G25" i="19" s="1"/>
  <c r="G27" i="19" s="1"/>
  <c r="G28" i="19" s="1"/>
  <c r="G29" i="19"/>
  <c r="A18" i="35"/>
  <c r="C17" i="35"/>
  <c r="E34" i="79"/>
  <c r="E27" i="79"/>
  <c r="E28" i="79" s="1"/>
  <c r="J16" i="6"/>
  <c r="R16" i="6"/>
  <c r="G28" i="46"/>
  <c r="F29" i="46"/>
  <c r="G29" i="46" s="1"/>
  <c r="BR21" i="111"/>
  <c r="BN22" i="111"/>
  <c r="F28" i="47"/>
  <c r="G27" i="47"/>
  <c r="D14" i="83"/>
  <c r="L26" i="82"/>
  <c r="H26" i="82" s="1"/>
  <c r="CM4" i="63"/>
  <c r="CM4" i="112"/>
  <c r="CO14" i="61"/>
  <c r="F31" i="14"/>
  <c r="CO14" i="111"/>
  <c r="BN11" i="111"/>
  <c r="BR10" i="111"/>
  <c r="CN4" i="63"/>
  <c r="CN4" i="112"/>
  <c r="BN22" i="61"/>
  <c r="BR21" i="61"/>
  <c r="B20" i="114"/>
  <c r="D20" i="114" s="1"/>
  <c r="E19" i="114" s="1"/>
  <c r="B26" i="21"/>
  <c r="B24" i="21"/>
  <c r="I33" i="109"/>
  <c r="E33" i="109" a="1"/>
  <c r="E33" i="109" s="1"/>
  <c r="G33" i="109"/>
  <c r="H33" i="109"/>
  <c r="H25" i="109"/>
  <c r="E25" i="109" a="1"/>
  <c r="E25" i="109" s="1"/>
  <c r="G25" i="109"/>
  <c r="I25" i="109"/>
  <c r="G22" i="14"/>
  <c r="I78" i="79"/>
  <c r="BN22" i="112"/>
  <c r="BR21" i="112"/>
  <c r="I11" i="54"/>
  <c r="D66" i="8"/>
  <c r="D118" i="8"/>
  <c r="AI19" i="114"/>
  <c r="AG19" i="114"/>
  <c r="AF19" i="114"/>
  <c r="E29" i="109" a="1"/>
  <c r="E29" i="109" s="1"/>
  <c r="G29" i="109"/>
  <c r="I29" i="109"/>
  <c r="H29" i="109"/>
  <c r="AP3" i="111"/>
  <c r="H79" i="80"/>
  <c r="H141" i="80"/>
  <c r="H80" i="80"/>
  <c r="H81" i="80" s="1"/>
  <c r="H67" i="80" s="1"/>
  <c r="L19" i="114"/>
  <c r="K19" i="114"/>
  <c r="F19" i="114"/>
  <c r="J19" i="114"/>
  <c r="M24" i="114" s="1"/>
  <c r="N24" i="114" s="1"/>
  <c r="E34" i="80"/>
  <c r="E27" i="80"/>
  <c r="E28" i="80" s="1"/>
  <c r="Q46" i="107"/>
  <c r="C46" i="107" s="1"/>
  <c r="AG80" i="60"/>
  <c r="AG81" i="60" s="1"/>
  <c r="Q46" i="64"/>
  <c r="C46" i="64" s="1"/>
  <c r="AO222" i="60"/>
  <c r="X80" i="60"/>
  <c r="G16" i="21"/>
  <c r="G16" i="109"/>
  <c r="G22" i="13"/>
  <c r="AO3" i="63"/>
  <c r="AT3" i="63"/>
  <c r="AU3" i="63" s="1"/>
  <c r="AX3" i="63" s="1"/>
  <c r="AI3" i="63"/>
  <c r="AH3" i="63"/>
  <c r="K14" i="73"/>
  <c r="U3" i="63"/>
  <c r="Z3" i="63"/>
  <c r="D133" i="80"/>
  <c r="D134" i="80" s="1"/>
  <c r="D87" i="80" s="1"/>
  <c r="D92" i="80" s="1"/>
  <c r="G30" i="109"/>
  <c r="H30" i="109"/>
  <c r="E30" i="109" a="1"/>
  <c r="E30" i="109" s="1"/>
  <c r="I30" i="109"/>
  <c r="BN11" i="63"/>
  <c r="BR10" i="63"/>
  <c r="BR32" i="112"/>
  <c r="BN33" i="112"/>
  <c r="I78" i="80"/>
  <c r="CP4" i="111"/>
  <c r="CP4" i="61"/>
  <c r="B27" i="21"/>
  <c r="G29" i="16"/>
  <c r="G24" i="16"/>
  <c r="G25" i="16" s="1"/>
  <c r="G27" i="16" s="1"/>
  <c r="G28" i="16" s="1"/>
  <c r="BR21" i="63"/>
  <c r="BN22" i="63"/>
  <c r="F28" i="39"/>
  <c r="G27" i="39"/>
  <c r="G35" i="109"/>
  <c r="I35" i="109"/>
  <c r="E35" i="109" a="1"/>
  <c r="E35" i="109" s="1"/>
  <c r="H35" i="109"/>
  <c r="E26" i="109" a="1"/>
  <c r="E26" i="109" s="1"/>
  <c r="I26" i="109"/>
  <c r="H26" i="109"/>
  <c r="G26" i="109"/>
  <c r="BR32" i="63"/>
  <c r="BN33" i="63"/>
  <c r="B36" i="62"/>
  <c r="B28" i="62"/>
  <c r="B26" i="62"/>
  <c r="B27" i="62"/>
  <c r="B35" i="62"/>
  <c r="B29" i="62"/>
  <c r="B31" i="62"/>
  <c r="B25" i="62"/>
  <c r="B32" i="62"/>
  <c r="B24" i="62"/>
  <c r="B30" i="62"/>
  <c r="B33" i="62"/>
  <c r="B34" i="62"/>
  <c r="L28" i="82"/>
  <c r="H28" i="82" s="1"/>
  <c r="F14" i="83"/>
  <c r="BN11" i="112"/>
  <c r="BR10" i="112"/>
  <c r="H28" i="109"/>
  <c r="I28" i="109"/>
  <c r="G28" i="109"/>
  <c r="E28" i="109" a="1"/>
  <c r="E28" i="109" s="1"/>
  <c r="AO265" i="60"/>
  <c r="G15" i="62"/>
  <c r="AH79" i="60"/>
  <c r="G15" i="110"/>
  <c r="R45" i="107"/>
  <c r="I45" i="107" s="1"/>
  <c r="Z79" i="60"/>
  <c r="AA79" i="60" s="1"/>
  <c r="R45" i="64"/>
  <c r="I45" i="64" s="1"/>
  <c r="T13" i="82"/>
  <c r="H11" i="83"/>
  <c r="F18" i="3"/>
  <c r="D15" i="6"/>
  <c r="D30" i="6" s="1"/>
  <c r="X15" i="6"/>
  <c r="BN11" i="61"/>
  <c r="BR10" i="61"/>
  <c r="AP3" i="61"/>
  <c r="L29" i="82"/>
  <c r="H29" i="82" s="1"/>
  <c r="G14" i="83"/>
  <c r="B35" i="21"/>
  <c r="G29" i="11"/>
  <c r="G24" i="11"/>
  <c r="G25" i="11" s="1"/>
  <c r="G27" i="11" s="1"/>
  <c r="G28" i="11" s="1"/>
  <c r="G29" i="15"/>
  <c r="G24" i="15"/>
  <c r="G25" i="15" s="1"/>
  <c r="G27" i="15" s="1"/>
  <c r="G28" i="15" s="1"/>
  <c r="P6" i="110"/>
  <c r="P7" i="110" s="1"/>
  <c r="P8" i="110" s="1"/>
  <c r="P9" i="110" s="1"/>
  <c r="P10" i="110" s="1"/>
  <c r="P11" i="110" s="1"/>
  <c r="P12" i="110" s="1"/>
  <c r="P13" i="110" s="1"/>
  <c r="P14" i="110" s="1"/>
  <c r="P15" i="110" s="1"/>
  <c r="P16" i="110" s="1"/>
  <c r="P17" i="110" s="1"/>
  <c r="G27" i="109"/>
  <c r="E27" i="109" a="1"/>
  <c r="E27" i="109" s="1"/>
  <c r="I27" i="109"/>
  <c r="H27" i="109"/>
  <c r="E24" i="109" a="1"/>
  <c r="E24" i="109" s="1"/>
  <c r="I24" i="109"/>
  <c r="G24" i="109"/>
  <c r="H24" i="109"/>
  <c r="CP4" i="112"/>
  <c r="CP4" i="63"/>
  <c r="BN33" i="61"/>
  <c r="BR32" i="61"/>
  <c r="C16" i="35"/>
  <c r="T26" i="46" l="1"/>
  <c r="D32" i="46" s="1"/>
  <c r="E28" i="8"/>
  <c r="F16" i="110"/>
  <c r="D34" i="38"/>
  <c r="T24" i="38"/>
  <c r="F16" i="62"/>
  <c r="T9" i="62" s="1"/>
  <c r="F17" i="62" s="1"/>
  <c r="D15" i="38"/>
  <c r="D35" i="38"/>
  <c r="AO255" i="60"/>
  <c r="T24" i="46"/>
  <c r="D34" i="46"/>
  <c r="D35" i="46"/>
  <c r="D15" i="46"/>
  <c r="T26" i="38"/>
  <c r="D32" i="38" s="1"/>
  <c r="E28" i="1"/>
  <c r="C23" i="62"/>
  <c r="H31" i="21"/>
  <c r="G31" i="21"/>
  <c r="G30" i="21"/>
  <c r="E30" i="21" a="1"/>
  <c r="E30" i="21" s="1"/>
  <c r="G25" i="21"/>
  <c r="H25" i="21"/>
  <c r="H28" i="21"/>
  <c r="I25" i="21"/>
  <c r="K25" i="21" s="1"/>
  <c r="E32" i="21" a="1"/>
  <c r="E32" i="21" s="1"/>
  <c r="E28" i="21" a="1"/>
  <c r="E28" i="21" s="1"/>
  <c r="I32" i="21"/>
  <c r="L32" i="21" s="1"/>
  <c r="G32" i="21"/>
  <c r="H30" i="21"/>
  <c r="E29" i="21" a="1"/>
  <c r="E29" i="21" s="1"/>
  <c r="I28" i="21"/>
  <c r="N28" i="21" s="1"/>
  <c r="H29" i="21"/>
  <c r="G29" i="21"/>
  <c r="H33" i="21"/>
  <c r="G33" i="21"/>
  <c r="E33" i="21" a="1"/>
  <c r="E33" i="21" s="1"/>
  <c r="B24" i="110"/>
  <c r="E24" i="110" s="1" a="1"/>
  <c r="E24" i="110" s="1"/>
  <c r="B28" i="110"/>
  <c r="H28" i="110" s="1"/>
  <c r="B30" i="110"/>
  <c r="I30" i="110" s="1"/>
  <c r="B33" i="110"/>
  <c r="I33" i="110" s="1"/>
  <c r="I31" i="21"/>
  <c r="O31" i="21" s="1"/>
  <c r="B36" i="110"/>
  <c r="B32" i="110"/>
  <c r="I32" i="110" s="1"/>
  <c r="B25" i="110"/>
  <c r="H25" i="110" s="1"/>
  <c r="D138" i="80"/>
  <c r="D140" i="80" s="1"/>
  <c r="D93" i="80" s="1"/>
  <c r="D94" i="80" s="1"/>
  <c r="J36" i="77" s="1"/>
  <c r="D92" i="79"/>
  <c r="D94" i="79" s="1"/>
  <c r="G36" i="77" s="1"/>
  <c r="H19" i="15"/>
  <c r="G30" i="15"/>
  <c r="H25" i="62"/>
  <c r="E25" i="62" a="1"/>
  <c r="E25" i="62" s="1"/>
  <c r="I25" i="62"/>
  <c r="G25" i="62"/>
  <c r="U5" i="109"/>
  <c r="G18" i="109" s="1"/>
  <c r="U9" i="109"/>
  <c r="G17" i="109" s="1"/>
  <c r="F18" i="80"/>
  <c r="F19" i="80" s="1"/>
  <c r="E31" i="80"/>
  <c r="E30" i="80"/>
  <c r="K33" i="109"/>
  <c r="L33" i="109"/>
  <c r="O33" i="109"/>
  <c r="J33" i="109"/>
  <c r="N33" i="109"/>
  <c r="M33" i="109"/>
  <c r="G28" i="47"/>
  <c r="F29" i="47"/>
  <c r="G29" i="47" s="1"/>
  <c r="BN34" i="61"/>
  <c r="BR33" i="61"/>
  <c r="M33" i="21"/>
  <c r="N33" i="21"/>
  <c r="J33" i="21"/>
  <c r="L33" i="21"/>
  <c r="O33" i="21"/>
  <c r="K33" i="21"/>
  <c r="H29" i="62"/>
  <c r="G29" i="62"/>
  <c r="E29" i="62" a="1"/>
  <c r="E29" i="62" s="1"/>
  <c r="I29" i="62"/>
  <c r="M35" i="109"/>
  <c r="K35" i="109"/>
  <c r="N35" i="109"/>
  <c r="L35" i="109"/>
  <c r="J35" i="109"/>
  <c r="O35" i="109"/>
  <c r="G27" i="21"/>
  <c r="E27" i="21" a="1"/>
  <c r="E27" i="21" s="1"/>
  <c r="I27" i="21"/>
  <c r="H27" i="21"/>
  <c r="AP3" i="63"/>
  <c r="U9" i="21"/>
  <c r="G17" i="21" s="1"/>
  <c r="U5" i="21"/>
  <c r="G18" i="21" s="1"/>
  <c r="N29" i="109"/>
  <c r="O29" i="109"/>
  <c r="M29" i="109"/>
  <c r="J29" i="109"/>
  <c r="L29" i="109"/>
  <c r="K29" i="109"/>
  <c r="BR22" i="112"/>
  <c r="BN23" i="112"/>
  <c r="J25" i="109"/>
  <c r="M25" i="109"/>
  <c r="K25" i="109"/>
  <c r="N25" i="109"/>
  <c r="L25" i="109"/>
  <c r="O25" i="109"/>
  <c r="BR22" i="111"/>
  <c r="BN23" i="111"/>
  <c r="D16" i="35"/>
  <c r="F19" i="35"/>
  <c r="E18" i="35"/>
  <c r="H19" i="18"/>
  <c r="G30" i="18"/>
  <c r="AA20" i="114"/>
  <c r="L32" i="109"/>
  <c r="N32" i="109"/>
  <c r="K32" i="109"/>
  <c r="J32" i="109"/>
  <c r="O32" i="109"/>
  <c r="M32" i="109"/>
  <c r="N27" i="109"/>
  <c r="K27" i="109"/>
  <c r="M27" i="109"/>
  <c r="O27" i="109"/>
  <c r="L27" i="109"/>
  <c r="J27" i="109"/>
  <c r="I34" i="62"/>
  <c r="E34" i="62" a="1"/>
  <c r="E34" i="62" s="1"/>
  <c r="G34" i="62"/>
  <c r="H34" i="62"/>
  <c r="I35" i="62"/>
  <c r="H35" i="62"/>
  <c r="E35" i="62" a="1"/>
  <c r="E35" i="62" s="1"/>
  <c r="G35" i="62"/>
  <c r="BN34" i="112"/>
  <c r="BR33" i="112"/>
  <c r="B35" i="110"/>
  <c r="G29" i="13"/>
  <c r="G24" i="13"/>
  <c r="G25" i="13" s="1"/>
  <c r="G27" i="13" s="1"/>
  <c r="G28" i="13" s="1"/>
  <c r="I79" i="79"/>
  <c r="I80" i="79"/>
  <c r="I81" i="79" s="1"/>
  <c r="I67" i="79" s="1"/>
  <c r="I141" i="79"/>
  <c r="A19" i="35"/>
  <c r="C18" i="35" s="1"/>
  <c r="J34" i="109"/>
  <c r="K34" i="109"/>
  <c r="L34" i="109"/>
  <c r="M34" i="109"/>
  <c r="O34" i="109"/>
  <c r="N34" i="109"/>
  <c r="H81" i="79"/>
  <c r="H67" i="79" s="1"/>
  <c r="N24" i="109"/>
  <c r="O24" i="109"/>
  <c r="L24" i="109"/>
  <c r="M24" i="109"/>
  <c r="J24" i="109"/>
  <c r="K24" i="109"/>
  <c r="BN12" i="112"/>
  <c r="BR11" i="112"/>
  <c r="BN34" i="63"/>
  <c r="BR33" i="63"/>
  <c r="I79" i="80"/>
  <c r="I141" i="80"/>
  <c r="I80" i="80"/>
  <c r="H19" i="11"/>
  <c r="G30" i="11"/>
  <c r="H35" i="21"/>
  <c r="I35" i="21"/>
  <c r="E35" i="21" a="1"/>
  <c r="E35" i="21" s="1"/>
  <c r="G35" i="21"/>
  <c r="I33" i="62"/>
  <c r="H33" i="62"/>
  <c r="G33" i="62"/>
  <c r="E33" i="62" a="1"/>
  <c r="E33" i="62" s="1"/>
  <c r="N29" i="21"/>
  <c r="L29" i="21"/>
  <c r="M29" i="21"/>
  <c r="K29" i="21"/>
  <c r="J29" i="21"/>
  <c r="O29" i="21"/>
  <c r="E24" i="21" a="1"/>
  <c r="E24" i="21" s="1"/>
  <c r="H24" i="21"/>
  <c r="I24" i="21"/>
  <c r="G24" i="21"/>
  <c r="I34" i="21"/>
  <c r="H34" i="21"/>
  <c r="G34" i="21"/>
  <c r="E34" i="21" a="1"/>
  <c r="E34" i="21" s="1"/>
  <c r="K28" i="109"/>
  <c r="O28" i="109"/>
  <c r="J28" i="109"/>
  <c r="M28" i="109"/>
  <c r="L28" i="109"/>
  <c r="N28" i="109"/>
  <c r="I30" i="62"/>
  <c r="H30" i="62"/>
  <c r="E30" i="62" a="1"/>
  <c r="E30" i="62" s="1"/>
  <c r="G30" i="62"/>
  <c r="I26" i="62"/>
  <c r="H26" i="62"/>
  <c r="G26" i="62"/>
  <c r="E26" i="62" a="1"/>
  <c r="E26" i="62" s="1"/>
  <c r="F29" i="39"/>
  <c r="G29" i="39" s="1"/>
  <c r="G28" i="39"/>
  <c r="B34" i="110"/>
  <c r="G19" i="114"/>
  <c r="H19" i="114" s="1"/>
  <c r="D24" i="114" s="1"/>
  <c r="H26" i="21"/>
  <c r="G26" i="21"/>
  <c r="I26" i="21"/>
  <c r="E26" i="21" a="1"/>
  <c r="E26" i="21" s="1"/>
  <c r="H19" i="17"/>
  <c r="G30" i="17"/>
  <c r="D67" i="1"/>
  <c r="D80" i="1"/>
  <c r="D119" i="1"/>
  <c r="D120" i="1" s="1"/>
  <c r="I12" i="53" s="1"/>
  <c r="D111" i="1"/>
  <c r="D115" i="1" s="1"/>
  <c r="D84" i="1" s="1"/>
  <c r="D155" i="1"/>
  <c r="D103" i="1"/>
  <c r="D106" i="1" s="1"/>
  <c r="D82" i="1" s="1"/>
  <c r="D16" i="6"/>
  <c r="D31" i="6" s="1"/>
  <c r="F19" i="3"/>
  <c r="X16" i="6"/>
  <c r="CN4" i="61"/>
  <c r="CN4" i="111"/>
  <c r="T9" i="109"/>
  <c r="F17" i="109" s="1"/>
  <c r="T5" i="109"/>
  <c r="F18" i="109" s="1"/>
  <c r="H19" i="16"/>
  <c r="G30" i="16"/>
  <c r="K30" i="21"/>
  <c r="J30" i="21"/>
  <c r="N30" i="21"/>
  <c r="L30" i="21"/>
  <c r="O30" i="21"/>
  <c r="M30" i="21"/>
  <c r="BR11" i="61"/>
  <c r="BN12" i="61"/>
  <c r="CO4" i="111"/>
  <c r="CO4" i="61"/>
  <c r="T5" i="110"/>
  <c r="F18" i="110" s="1"/>
  <c r="T9" i="110"/>
  <c r="F17" i="110" s="1"/>
  <c r="AJ3" i="61"/>
  <c r="I3" i="61"/>
  <c r="E24" i="62" a="1"/>
  <c r="E24" i="62" s="1"/>
  <c r="I24" i="62"/>
  <c r="I28" i="62"/>
  <c r="E28" i="62" a="1"/>
  <c r="E28" i="62" s="1"/>
  <c r="G28" i="62"/>
  <c r="H28" i="62"/>
  <c r="K26" i="109"/>
  <c r="N26" i="109"/>
  <c r="M26" i="109"/>
  <c r="J26" i="109"/>
  <c r="O26" i="109"/>
  <c r="L26" i="109"/>
  <c r="BR22" i="63"/>
  <c r="BN23" i="63"/>
  <c r="B26" i="110"/>
  <c r="B31" i="110"/>
  <c r="G29" i="14"/>
  <c r="G24" i="14"/>
  <c r="G25" i="14" s="1"/>
  <c r="G27" i="14" s="1"/>
  <c r="G28" i="14" s="1"/>
  <c r="H19" i="19"/>
  <c r="G30" i="19"/>
  <c r="V18" i="6"/>
  <c r="H18" i="6" s="1"/>
  <c r="T18" i="6"/>
  <c r="K30" i="109"/>
  <c r="O30" i="109"/>
  <c r="J30" i="109"/>
  <c r="L30" i="109"/>
  <c r="M30" i="109"/>
  <c r="N30" i="109"/>
  <c r="G16" i="62"/>
  <c r="G16" i="110"/>
  <c r="Z80" i="60"/>
  <c r="AA80" i="60" s="1"/>
  <c r="AA81" i="60" s="1"/>
  <c r="AH80" i="60"/>
  <c r="AH81" i="60" s="1"/>
  <c r="R46" i="64"/>
  <c r="I46" i="64" s="1"/>
  <c r="R46" i="107"/>
  <c r="I46" i="107" s="1"/>
  <c r="AO266" i="60"/>
  <c r="AJ3" i="111"/>
  <c r="I3" i="111"/>
  <c r="F18" i="79"/>
  <c r="F19" i="79" s="1"/>
  <c r="E30" i="79"/>
  <c r="E31" i="79"/>
  <c r="I31" i="62"/>
  <c r="H31" i="62"/>
  <c r="E31" i="62" a="1"/>
  <c r="E31" i="62" s="1"/>
  <c r="G31" i="62"/>
  <c r="BR22" i="61"/>
  <c r="BN23" i="61"/>
  <c r="I27" i="62"/>
  <c r="E27" i="62" a="1"/>
  <c r="E27" i="62" s="1"/>
  <c r="G27" i="62"/>
  <c r="H27" i="62"/>
  <c r="O24" i="114"/>
  <c r="T9" i="21"/>
  <c r="F17" i="21" s="1"/>
  <c r="T5" i="21"/>
  <c r="F18" i="21" s="1"/>
  <c r="E17" i="35"/>
  <c r="D15" i="35"/>
  <c r="F18" i="35"/>
  <c r="L30" i="82"/>
  <c r="H30" i="82" s="1"/>
  <c r="H32" i="82" s="1"/>
  <c r="H14" i="83"/>
  <c r="I14" i="83" s="1"/>
  <c r="H32" i="62"/>
  <c r="G32" i="62"/>
  <c r="E32" i="62" a="1"/>
  <c r="E32" i="62" s="1"/>
  <c r="I32" i="62"/>
  <c r="BN12" i="63"/>
  <c r="BR11" i="63"/>
  <c r="B27" i="110"/>
  <c r="B29" i="110"/>
  <c r="D67" i="8"/>
  <c r="D119" i="8"/>
  <c r="D120" i="8" s="1"/>
  <c r="I12" i="54" s="1"/>
  <c r="D111" i="8"/>
  <c r="D115" i="8" s="1"/>
  <c r="D84" i="8" s="1"/>
  <c r="D103" i="8"/>
  <c r="D106" i="8" s="1"/>
  <c r="D82" i="8" s="1"/>
  <c r="D155" i="8"/>
  <c r="D80" i="8"/>
  <c r="B21" i="114"/>
  <c r="D21" i="114"/>
  <c r="BN12" i="111"/>
  <c r="BR11" i="111"/>
  <c r="BN34" i="111"/>
  <c r="BR33" i="111"/>
  <c r="L31" i="109"/>
  <c r="M31" i="109"/>
  <c r="J31" i="109"/>
  <c r="N31" i="109"/>
  <c r="O31" i="109"/>
  <c r="K31" i="109"/>
  <c r="R17" i="6"/>
  <c r="J17" i="6"/>
  <c r="F32" i="38" l="1"/>
  <c r="F19" i="1"/>
  <c r="E30" i="1"/>
  <c r="E31" i="1"/>
  <c r="C26" i="38"/>
  <c r="C27" i="38"/>
  <c r="C29" i="38"/>
  <c r="D21" i="38"/>
  <c r="C24" i="38"/>
  <c r="C28" i="38"/>
  <c r="C25" i="38"/>
  <c r="T5" i="62"/>
  <c r="F18" i="62" s="1"/>
  <c r="G24" i="62" s="1"/>
  <c r="C26" i="46"/>
  <c r="C27" i="46"/>
  <c r="C25" i="46"/>
  <c r="C29" i="46"/>
  <c r="C28" i="46"/>
  <c r="D21" i="46"/>
  <c r="C24" i="46"/>
  <c r="E31" i="8"/>
  <c r="F19" i="8"/>
  <c r="F32" i="46"/>
  <c r="E30" i="8"/>
  <c r="C23" i="110"/>
  <c r="C24" i="110" s="1"/>
  <c r="C24" i="62"/>
  <c r="F23" i="62"/>
  <c r="E3" i="63" s="1"/>
  <c r="K3" i="63" s="1"/>
  <c r="M3" i="63" s="1"/>
  <c r="N3" i="63" s="1"/>
  <c r="M32" i="21"/>
  <c r="AF32" i="21" s="1"/>
  <c r="L25" i="21"/>
  <c r="Z25" i="21" s="1"/>
  <c r="M25" i="21"/>
  <c r="AF25" i="21" s="1"/>
  <c r="O25" i="21"/>
  <c r="AS25" i="21" s="1"/>
  <c r="N32" i="21"/>
  <c r="AM32" i="21" s="1"/>
  <c r="I24" i="110"/>
  <c r="M24" i="110" s="1"/>
  <c r="O28" i="21"/>
  <c r="AO28" i="21" s="1"/>
  <c r="J25" i="21"/>
  <c r="S25" i="21" s="1"/>
  <c r="L28" i="21"/>
  <c r="Z28" i="21" s="1"/>
  <c r="J28" i="21"/>
  <c r="Q28" i="21" s="1"/>
  <c r="J32" i="21"/>
  <c r="Q32" i="21" s="1"/>
  <c r="M28" i="21"/>
  <c r="AH28" i="21" s="1"/>
  <c r="N25" i="21"/>
  <c r="AM25" i="21" s="1"/>
  <c r="K28" i="21"/>
  <c r="Y28" i="21" s="1"/>
  <c r="O32" i="21"/>
  <c r="AO32" i="21" s="1"/>
  <c r="K32" i="21"/>
  <c r="X32" i="21" s="1"/>
  <c r="G24" i="110"/>
  <c r="I28" i="110"/>
  <c r="N28" i="110" s="1"/>
  <c r="G28" i="110"/>
  <c r="H30" i="110"/>
  <c r="E28" i="110" a="1"/>
  <c r="E28" i="110" s="1"/>
  <c r="G30" i="110"/>
  <c r="G32" i="110"/>
  <c r="H33" i="110"/>
  <c r="E33" i="110" a="1"/>
  <c r="E33" i="110" s="1"/>
  <c r="J31" i="21"/>
  <c r="S31" i="21" s="1"/>
  <c r="E30" i="110" a="1"/>
  <c r="E30" i="110" s="1"/>
  <c r="G33" i="110"/>
  <c r="M31" i="21"/>
  <c r="AI31" i="21" s="1"/>
  <c r="K31" i="21"/>
  <c r="V31" i="21" s="1"/>
  <c r="I25" i="110"/>
  <c r="M25" i="110" s="1"/>
  <c r="H32" i="110"/>
  <c r="E32" i="110" a="1"/>
  <c r="E32" i="110" s="1"/>
  <c r="E25" i="110" a="1"/>
  <c r="E25" i="110" s="1"/>
  <c r="G25" i="110"/>
  <c r="N31" i="21"/>
  <c r="AN31" i="21" s="1"/>
  <c r="L31" i="21"/>
  <c r="Z31" i="21" s="1"/>
  <c r="D136" i="1"/>
  <c r="D138" i="1" s="1"/>
  <c r="D91" i="1" s="1"/>
  <c r="E32" i="80"/>
  <c r="E38" i="80" s="1"/>
  <c r="E125" i="80" s="1"/>
  <c r="I32" i="82"/>
  <c r="J32" i="82" s="1"/>
  <c r="J36" i="82" s="1"/>
  <c r="J38" i="82" s="1"/>
  <c r="H84" i="60"/>
  <c r="F100" i="60"/>
  <c r="E19" i="35"/>
  <c r="F20" i="35"/>
  <c r="D17" i="35"/>
  <c r="H22" i="17"/>
  <c r="T24" i="109"/>
  <c r="R40" i="109"/>
  <c r="R24" i="109" s="1"/>
  <c r="Q24" i="109"/>
  <c r="P24" i="109"/>
  <c r="S24" i="109"/>
  <c r="BN35" i="112"/>
  <c r="BR34" i="112"/>
  <c r="J34" i="62"/>
  <c r="O34" i="62"/>
  <c r="M34" i="62"/>
  <c r="N34" i="62"/>
  <c r="K34" i="62"/>
  <c r="L34" i="62"/>
  <c r="AS32" i="109"/>
  <c r="AO32" i="109"/>
  <c r="AR32" i="109"/>
  <c r="AP32" i="109"/>
  <c r="AS35" i="109"/>
  <c r="AR35" i="109"/>
  <c r="AP35" i="109"/>
  <c r="AO35" i="109"/>
  <c r="AB49" i="109"/>
  <c r="AB33" i="109" s="1"/>
  <c r="AD33" i="109"/>
  <c r="AC33" i="109"/>
  <c r="AA33" i="109"/>
  <c r="Z33" i="109"/>
  <c r="G31" i="11"/>
  <c r="CM15" i="111"/>
  <c r="CM15" i="61"/>
  <c r="AC34" i="109"/>
  <c r="Z34" i="109"/>
  <c r="AA34" i="109"/>
  <c r="AB50" i="109"/>
  <c r="AB34" i="109" s="1"/>
  <c r="AD34" i="109"/>
  <c r="Q27" i="109"/>
  <c r="R43" i="109"/>
  <c r="R27" i="109" s="1"/>
  <c r="T27" i="109"/>
  <c r="S27" i="109"/>
  <c r="P27" i="109"/>
  <c r="H22" i="18"/>
  <c r="AN29" i="109"/>
  <c r="AK29" i="109"/>
  <c r="AJ29" i="109"/>
  <c r="AL45" i="109"/>
  <c r="AL29" i="109" s="1"/>
  <c r="AM29" i="109"/>
  <c r="CM15" i="63"/>
  <c r="CM15" i="112"/>
  <c r="G31" i="16"/>
  <c r="D86" i="1"/>
  <c r="D90" i="1" s="1"/>
  <c r="D156" i="1"/>
  <c r="D157" i="1" s="1"/>
  <c r="I18" i="53" s="1"/>
  <c r="O26" i="21"/>
  <c r="J26" i="21"/>
  <c r="M26" i="21"/>
  <c r="N26" i="21"/>
  <c r="L26" i="21"/>
  <c r="K26" i="21"/>
  <c r="AP29" i="21"/>
  <c r="AO29" i="21"/>
  <c r="AR29" i="21"/>
  <c r="AS29" i="21"/>
  <c r="H22" i="11"/>
  <c r="AC24" i="109"/>
  <c r="Z24" i="109"/>
  <c r="AA24" i="109"/>
  <c r="AB40" i="109"/>
  <c r="AB24" i="109" s="1"/>
  <c r="AD24" i="109"/>
  <c r="Y34" i="109"/>
  <c r="V34" i="109"/>
  <c r="U34" i="109"/>
  <c r="W50" i="109"/>
  <c r="W34" i="109" s="1"/>
  <c r="X34" i="109"/>
  <c r="AC27" i="109"/>
  <c r="AA27" i="109"/>
  <c r="Z27" i="109"/>
  <c r="AB43" i="109"/>
  <c r="AB27" i="109" s="1"/>
  <c r="AD27" i="109"/>
  <c r="V32" i="109"/>
  <c r="U32" i="109"/>
  <c r="W48" i="109"/>
  <c r="W32" i="109" s="1"/>
  <c r="X32" i="109"/>
  <c r="Y32" i="109"/>
  <c r="AN25" i="109"/>
  <c r="AJ25" i="109"/>
  <c r="AM25" i="109"/>
  <c r="AK25" i="109"/>
  <c r="AL41" i="109"/>
  <c r="AL25" i="109" s="1"/>
  <c r="AS31" i="21"/>
  <c r="AO31" i="21"/>
  <c r="AR31" i="21"/>
  <c r="AP31" i="21"/>
  <c r="AB51" i="109"/>
  <c r="AB35" i="109" s="1"/>
  <c r="AD35" i="109"/>
  <c r="Z35" i="109"/>
  <c r="AA35" i="109"/>
  <c r="AC35" i="109"/>
  <c r="Y33" i="21"/>
  <c r="V33" i="21"/>
  <c r="X33" i="21"/>
  <c r="U33" i="21"/>
  <c r="W49" i="21"/>
  <c r="W33" i="21" s="1"/>
  <c r="E17" i="80"/>
  <c r="I37" i="77" s="1"/>
  <c r="AP31" i="109"/>
  <c r="AS31" i="109"/>
  <c r="AO31" i="109"/>
  <c r="AR31" i="109"/>
  <c r="BR12" i="111"/>
  <c r="BN13" i="111"/>
  <c r="I16" i="54"/>
  <c r="K32" i="62"/>
  <c r="N32" i="62"/>
  <c r="O32" i="62"/>
  <c r="L32" i="62"/>
  <c r="M32" i="62"/>
  <c r="J32" i="62"/>
  <c r="BR23" i="61"/>
  <c r="BN24" i="61"/>
  <c r="AR30" i="109"/>
  <c r="AP30" i="109"/>
  <c r="AO30" i="109"/>
  <c r="AS30" i="109"/>
  <c r="H22" i="19"/>
  <c r="H19" i="14"/>
  <c r="G30" i="14"/>
  <c r="AD26" i="109"/>
  <c r="Z26" i="109"/>
  <c r="AC26" i="109"/>
  <c r="AA26" i="109"/>
  <c r="AB42" i="109"/>
  <c r="AB26" i="109" s="1"/>
  <c r="AG46" i="21"/>
  <c r="AG30" i="21" s="1"/>
  <c r="AI30" i="21"/>
  <c r="AH30" i="21"/>
  <c r="AF30" i="21"/>
  <c r="H22" i="16"/>
  <c r="I16" i="53"/>
  <c r="K30" i="62"/>
  <c r="J30" i="62"/>
  <c r="L30" i="62"/>
  <c r="O30" i="62"/>
  <c r="N30" i="62"/>
  <c r="M30" i="62"/>
  <c r="P29" i="21"/>
  <c r="T29" i="21"/>
  <c r="R45" i="21"/>
  <c r="R29" i="21" s="1"/>
  <c r="Q29" i="21"/>
  <c r="S29" i="21"/>
  <c r="BR34" i="63"/>
  <c r="BN35" i="63"/>
  <c r="AO24" i="109"/>
  <c r="AP24" i="109"/>
  <c r="AS24" i="109"/>
  <c r="AR24" i="109"/>
  <c r="T34" i="109"/>
  <c r="R50" i="109"/>
  <c r="R34" i="109" s="1"/>
  <c r="S34" i="109"/>
  <c r="P34" i="109"/>
  <c r="Q34" i="109"/>
  <c r="AO27" i="109"/>
  <c r="AR27" i="109"/>
  <c r="AS27" i="109"/>
  <c r="AP27" i="109"/>
  <c r="AN32" i="109"/>
  <c r="AL48" i="109"/>
  <c r="AL32" i="109" s="1"/>
  <c r="AK32" i="109"/>
  <c r="AM32" i="109"/>
  <c r="AJ32" i="109"/>
  <c r="U25" i="109"/>
  <c r="V25" i="109"/>
  <c r="X25" i="109"/>
  <c r="Y25" i="109"/>
  <c r="W41" i="109"/>
  <c r="W25" i="109" s="1"/>
  <c r="AJ35" i="109"/>
  <c r="AN35" i="109"/>
  <c r="AL51" i="109"/>
  <c r="AL35" i="109" s="1"/>
  <c r="AM35" i="109"/>
  <c r="AK35" i="109"/>
  <c r="AR33" i="21"/>
  <c r="AO33" i="21"/>
  <c r="AS33" i="21"/>
  <c r="AP33" i="21"/>
  <c r="J25" i="62"/>
  <c r="M25" i="62"/>
  <c r="O25" i="62"/>
  <c r="K25" i="62"/>
  <c r="N25" i="62"/>
  <c r="L25" i="62"/>
  <c r="R18" i="6"/>
  <c r="J18" i="6"/>
  <c r="W42" i="109"/>
  <c r="W26" i="109" s="1"/>
  <c r="V26" i="109"/>
  <c r="U26" i="109"/>
  <c r="X26" i="109"/>
  <c r="Y26" i="109"/>
  <c r="CO15" i="63"/>
  <c r="CO15" i="112"/>
  <c r="G31" i="18"/>
  <c r="AR25" i="109"/>
  <c r="AO25" i="109"/>
  <c r="AP25" i="109"/>
  <c r="AS25" i="109"/>
  <c r="AR29" i="109"/>
  <c r="AO29" i="109"/>
  <c r="AP29" i="109"/>
  <c r="AS29" i="109"/>
  <c r="BN35" i="111"/>
  <c r="BR34" i="111"/>
  <c r="BR12" i="63"/>
  <c r="BN13" i="63"/>
  <c r="J3" i="61"/>
  <c r="BO3" i="61"/>
  <c r="M30" i="110"/>
  <c r="O30" i="110"/>
  <c r="J30" i="110"/>
  <c r="K30" i="110"/>
  <c r="L30" i="110"/>
  <c r="N30" i="110"/>
  <c r="S35" i="109"/>
  <c r="P35" i="109"/>
  <c r="T35" i="109"/>
  <c r="R51" i="109"/>
  <c r="R35" i="109" s="1"/>
  <c r="Q35" i="109"/>
  <c r="Y33" i="109"/>
  <c r="W49" i="109"/>
  <c r="W33" i="109" s="1"/>
  <c r="V33" i="109"/>
  <c r="U33" i="109"/>
  <c r="X33" i="109"/>
  <c r="CP15" i="112"/>
  <c r="CP15" i="63"/>
  <c r="G31" i="19"/>
  <c r="AS26" i="109"/>
  <c r="AO26" i="109"/>
  <c r="AP26" i="109"/>
  <c r="AR26" i="109"/>
  <c r="AO30" i="21"/>
  <c r="AS30" i="21"/>
  <c r="AR30" i="21"/>
  <c r="AP30" i="21"/>
  <c r="AN28" i="109"/>
  <c r="AM28" i="109"/>
  <c r="AJ28" i="109"/>
  <c r="AL44" i="109"/>
  <c r="AL28" i="109" s="1"/>
  <c r="AK28" i="109"/>
  <c r="H19" i="13"/>
  <c r="G30" i="13"/>
  <c r="AI25" i="109"/>
  <c r="AH25" i="109"/>
  <c r="AE25" i="109"/>
  <c r="AG41" i="109"/>
  <c r="AG25" i="109" s="1"/>
  <c r="AF25" i="109"/>
  <c r="P31" i="109"/>
  <c r="R47" i="109"/>
  <c r="R31" i="109" s="1"/>
  <c r="T31" i="109"/>
  <c r="S31" i="109"/>
  <c r="Q31" i="109"/>
  <c r="E21" i="114"/>
  <c r="E22" i="114" s="1"/>
  <c r="D22" i="114" s="1"/>
  <c r="B22" i="114"/>
  <c r="B23" i="114" s="1"/>
  <c r="B24" i="114" s="1"/>
  <c r="B25" i="114" s="1"/>
  <c r="B26" i="114" s="1"/>
  <c r="M27" i="62"/>
  <c r="K27" i="62"/>
  <c r="J27" i="62"/>
  <c r="O27" i="62"/>
  <c r="L27" i="62"/>
  <c r="N27" i="62"/>
  <c r="E32" i="79"/>
  <c r="E38" i="79" s="1"/>
  <c r="U5" i="110"/>
  <c r="G18" i="110" s="1"/>
  <c r="H24" i="110" s="1"/>
  <c r="U9" i="110"/>
  <c r="G17" i="110" s="1"/>
  <c r="R42" i="109"/>
  <c r="R26" i="109" s="1"/>
  <c r="S26" i="109"/>
  <c r="P26" i="109"/>
  <c r="T26" i="109"/>
  <c r="Q26" i="109"/>
  <c r="M24" i="62"/>
  <c r="N24" i="62"/>
  <c r="L24" i="62"/>
  <c r="O24" i="62"/>
  <c r="J24" i="62"/>
  <c r="K24" i="62"/>
  <c r="AA30" i="21"/>
  <c r="AD30" i="21"/>
  <c r="AC30" i="21"/>
  <c r="Z30" i="21"/>
  <c r="AB46" i="21"/>
  <c r="AB30" i="21" s="1"/>
  <c r="AA28" i="109"/>
  <c r="Z28" i="109"/>
  <c r="AB44" i="109"/>
  <c r="AB28" i="109" s="1"/>
  <c r="AD28" i="109"/>
  <c r="AC28" i="109"/>
  <c r="N34" i="21"/>
  <c r="L34" i="21"/>
  <c r="O34" i="21"/>
  <c r="M34" i="21"/>
  <c r="K34" i="21"/>
  <c r="J34" i="21"/>
  <c r="AH29" i="21"/>
  <c r="AI29" i="21"/>
  <c r="AF29" i="21"/>
  <c r="AG45" i="21"/>
  <c r="AG29" i="21" s="1"/>
  <c r="BR12" i="112"/>
  <c r="BN13" i="112"/>
  <c r="Y27" i="109"/>
  <c r="X27" i="109"/>
  <c r="W43" i="109"/>
  <c r="W27" i="109" s="1"/>
  <c r="U27" i="109"/>
  <c r="V27" i="109"/>
  <c r="BR23" i="111"/>
  <c r="BN24" i="111"/>
  <c r="Q25" i="109"/>
  <c r="R41" i="109"/>
  <c r="R25" i="109" s="1"/>
  <c r="T25" i="109"/>
  <c r="P25" i="109"/>
  <c r="S25" i="109"/>
  <c r="AD29" i="109"/>
  <c r="AC29" i="109"/>
  <c r="Z29" i="109"/>
  <c r="AB45" i="109"/>
  <c r="AB29" i="109" s="1"/>
  <c r="AA29" i="109"/>
  <c r="K27" i="21"/>
  <c r="L27" i="21"/>
  <c r="O27" i="21"/>
  <c r="M27" i="21"/>
  <c r="N27" i="21"/>
  <c r="J27" i="21"/>
  <c r="AE35" i="109"/>
  <c r="AG51" i="109"/>
  <c r="AG35" i="109" s="1"/>
  <c r="AI35" i="109"/>
  <c r="AH35" i="109"/>
  <c r="AF35" i="109"/>
  <c r="S33" i="21"/>
  <c r="Q33" i="21"/>
  <c r="P33" i="21"/>
  <c r="R49" i="21"/>
  <c r="R33" i="21" s="1"/>
  <c r="T33" i="21"/>
  <c r="AN33" i="109"/>
  <c r="AJ33" i="109"/>
  <c r="AM33" i="109"/>
  <c r="AK33" i="109"/>
  <c r="AL49" i="109"/>
  <c r="AL33" i="109" s="1"/>
  <c r="K36" i="77"/>
  <c r="M31" i="62"/>
  <c r="O31" i="62"/>
  <c r="N31" i="62"/>
  <c r="K31" i="62"/>
  <c r="L31" i="62"/>
  <c r="J31" i="62"/>
  <c r="AI30" i="109"/>
  <c r="AG46" i="109"/>
  <c r="AG30" i="109" s="1"/>
  <c r="AF30" i="109"/>
  <c r="AE30" i="109"/>
  <c r="AH30" i="109"/>
  <c r="W46" i="21"/>
  <c r="W30" i="21" s="1"/>
  <c r="U30" i="21"/>
  <c r="V30" i="21"/>
  <c r="Y30" i="21"/>
  <c r="X30" i="21"/>
  <c r="AO28" i="109"/>
  <c r="AS28" i="109"/>
  <c r="AP28" i="109"/>
  <c r="AR28" i="109"/>
  <c r="AG50" i="109"/>
  <c r="AG34" i="109" s="1"/>
  <c r="AE34" i="109"/>
  <c r="AI34" i="109"/>
  <c r="AH34" i="109"/>
  <c r="AF34" i="109"/>
  <c r="Y25" i="21"/>
  <c r="X25" i="21"/>
  <c r="V25" i="21"/>
  <c r="W41" i="21"/>
  <c r="W25" i="21" s="1"/>
  <c r="U25" i="21"/>
  <c r="D86" i="8"/>
  <c r="D90" i="8" s="1"/>
  <c r="D156" i="8"/>
  <c r="D157" i="8" s="1"/>
  <c r="I18" i="54" s="1"/>
  <c r="AC30" i="109"/>
  <c r="Z30" i="109"/>
  <c r="AD30" i="109"/>
  <c r="AB46" i="109"/>
  <c r="AB30" i="109" s="1"/>
  <c r="AA30" i="109"/>
  <c r="Y28" i="109"/>
  <c r="V28" i="109"/>
  <c r="W44" i="109"/>
  <c r="W28" i="109" s="1"/>
  <c r="U28" i="109"/>
  <c r="X28" i="109"/>
  <c r="AC25" i="21"/>
  <c r="AB41" i="21"/>
  <c r="AB25" i="21" s="1"/>
  <c r="AD25" i="21"/>
  <c r="AA25" i="21"/>
  <c r="BN35" i="61"/>
  <c r="BR34" i="61"/>
  <c r="U31" i="109"/>
  <c r="V31" i="109"/>
  <c r="Y31" i="109"/>
  <c r="W47" i="109"/>
  <c r="W31" i="109" s="1"/>
  <c r="X31" i="109"/>
  <c r="X30" i="109"/>
  <c r="W46" i="109"/>
  <c r="W30" i="109" s="1"/>
  <c r="Y30" i="109"/>
  <c r="U30" i="109"/>
  <c r="V30" i="109"/>
  <c r="O28" i="62"/>
  <c r="L28" i="62"/>
  <c r="K28" i="62"/>
  <c r="M28" i="62"/>
  <c r="N28" i="62"/>
  <c r="J28" i="62"/>
  <c r="M33" i="62"/>
  <c r="J33" i="62"/>
  <c r="L33" i="62"/>
  <c r="K33" i="62"/>
  <c r="O33" i="62"/>
  <c r="N33" i="62"/>
  <c r="AK24" i="109"/>
  <c r="AM24" i="109"/>
  <c r="AN24" i="109"/>
  <c r="AL40" i="109"/>
  <c r="AL24" i="109" s="1"/>
  <c r="AJ24" i="109"/>
  <c r="J35" i="62"/>
  <c r="L35" i="62"/>
  <c r="K35" i="62"/>
  <c r="N35" i="62"/>
  <c r="M35" i="62"/>
  <c r="O35" i="62"/>
  <c r="AG43" i="109"/>
  <c r="AG27" i="109" s="1"/>
  <c r="AF27" i="109"/>
  <c r="AE27" i="109"/>
  <c r="AH27" i="109"/>
  <c r="AI27" i="109"/>
  <c r="W45" i="109"/>
  <c r="W29" i="109" s="1"/>
  <c r="U29" i="109"/>
  <c r="Y29" i="109"/>
  <c r="V29" i="109"/>
  <c r="X29" i="109"/>
  <c r="X35" i="109"/>
  <c r="U35" i="109"/>
  <c r="W51" i="109"/>
  <c r="W35" i="109" s="1"/>
  <c r="V35" i="109"/>
  <c r="Y35" i="109"/>
  <c r="Z33" i="21"/>
  <c r="AC33" i="21"/>
  <c r="AB49" i="21"/>
  <c r="AB33" i="21" s="1"/>
  <c r="AD33" i="21"/>
  <c r="AA33" i="21"/>
  <c r="F22" i="80"/>
  <c r="AI31" i="109"/>
  <c r="AH31" i="109"/>
  <c r="AG47" i="109"/>
  <c r="AG31" i="109" s="1"/>
  <c r="AE31" i="109"/>
  <c r="AF31" i="109"/>
  <c r="H29" i="110"/>
  <c r="E29" i="110" a="1"/>
  <c r="E29" i="110" s="1"/>
  <c r="G29" i="110"/>
  <c r="I29" i="110"/>
  <c r="F22" i="79"/>
  <c r="J3" i="111"/>
  <c r="BO3" i="111"/>
  <c r="U9" i="62"/>
  <c r="G17" i="62" s="1"/>
  <c r="U5" i="62"/>
  <c r="G18" i="62" s="1"/>
  <c r="H24" i="62" s="1"/>
  <c r="E31" i="110" a="1"/>
  <c r="E31" i="110" s="1"/>
  <c r="G31" i="110"/>
  <c r="I31" i="110"/>
  <c r="H31" i="110"/>
  <c r="AF26" i="109"/>
  <c r="AG42" i="109"/>
  <c r="AG26" i="109" s="1"/>
  <c r="AH26" i="109"/>
  <c r="AE26" i="109"/>
  <c r="AI26" i="109"/>
  <c r="AJ30" i="21"/>
  <c r="AN30" i="21"/>
  <c r="AL46" i="21"/>
  <c r="AL30" i="21" s="1"/>
  <c r="AK30" i="21"/>
  <c r="AM30" i="21"/>
  <c r="AG44" i="109"/>
  <c r="AG28" i="109" s="1"/>
  <c r="AF28" i="109"/>
  <c r="AH28" i="109"/>
  <c r="AE28" i="109"/>
  <c r="AI28" i="109"/>
  <c r="AC29" i="21"/>
  <c r="AA29" i="21"/>
  <c r="AD29" i="21"/>
  <c r="AB45" i="21"/>
  <c r="AB29" i="21" s="1"/>
  <c r="Z29" i="21"/>
  <c r="AL50" i="109"/>
  <c r="AL34" i="109" s="1"/>
  <c r="AN34" i="109"/>
  <c r="AM34" i="109"/>
  <c r="AK34" i="109"/>
  <c r="AJ34" i="109"/>
  <c r="I35" i="110"/>
  <c r="E35" i="110" a="1"/>
  <c r="E35" i="110" s="1"/>
  <c r="G35" i="110"/>
  <c r="H35" i="110"/>
  <c r="AN27" i="109"/>
  <c r="AK27" i="109"/>
  <c r="AM27" i="109"/>
  <c r="AL43" i="109"/>
  <c r="AL27" i="109" s="1"/>
  <c r="AJ27" i="109"/>
  <c r="BR23" i="112"/>
  <c r="BN24" i="112"/>
  <c r="P29" i="109"/>
  <c r="R45" i="109"/>
  <c r="R29" i="109" s="1"/>
  <c r="Q29" i="109"/>
  <c r="S29" i="109"/>
  <c r="T29" i="109"/>
  <c r="O29" i="62"/>
  <c r="K29" i="62"/>
  <c r="J29" i="62"/>
  <c r="N29" i="62"/>
  <c r="M29" i="62"/>
  <c r="L29" i="62"/>
  <c r="AL49" i="21"/>
  <c r="AL33" i="21" s="1"/>
  <c r="AJ33" i="21"/>
  <c r="AM33" i="21"/>
  <c r="AN33" i="21"/>
  <c r="AK33" i="21"/>
  <c r="R49" i="109"/>
  <c r="R33" i="109" s="1"/>
  <c r="S33" i="109"/>
  <c r="Q33" i="109"/>
  <c r="T33" i="109"/>
  <c r="P33" i="109"/>
  <c r="CP15" i="111"/>
  <c r="G31" i="15"/>
  <c r="CP15" i="61"/>
  <c r="AI32" i="21"/>
  <c r="AG48" i="21"/>
  <c r="AG32" i="21" s="1"/>
  <c r="J32" i="110"/>
  <c r="O32" i="110"/>
  <c r="N32" i="110"/>
  <c r="M32" i="110"/>
  <c r="L32" i="110"/>
  <c r="K32" i="110"/>
  <c r="BR23" i="63"/>
  <c r="BN24" i="63"/>
  <c r="BN13" i="61"/>
  <c r="BR12" i="61"/>
  <c r="G34" i="110"/>
  <c r="E34" i="110" a="1"/>
  <c r="E34" i="110" s="1"/>
  <c r="I34" i="110"/>
  <c r="H34" i="110"/>
  <c r="AI24" i="109"/>
  <c r="AF24" i="109"/>
  <c r="AG40" i="109"/>
  <c r="AG24" i="109" s="1"/>
  <c r="AE24" i="109"/>
  <c r="AH24" i="109"/>
  <c r="P32" i="109"/>
  <c r="S32" i="109"/>
  <c r="T32" i="109"/>
  <c r="R48" i="109"/>
  <c r="R32" i="109" s="1"/>
  <c r="Q32" i="109"/>
  <c r="AC25" i="109"/>
  <c r="AD25" i="109"/>
  <c r="Z25" i="109"/>
  <c r="AA25" i="109"/>
  <c r="AB41" i="109"/>
  <c r="AB25" i="109" s="1"/>
  <c r="J28" i="110"/>
  <c r="D136" i="8"/>
  <c r="D138" i="8" s="1"/>
  <c r="Q30" i="109"/>
  <c r="S30" i="109"/>
  <c r="R46" i="109"/>
  <c r="R30" i="109" s="1"/>
  <c r="T30" i="109"/>
  <c r="P30" i="109"/>
  <c r="AK28" i="21"/>
  <c r="AL44" i="21"/>
  <c r="AL28" i="21" s="1"/>
  <c r="AN28" i="21"/>
  <c r="AM28" i="21"/>
  <c r="AJ28" i="21"/>
  <c r="AL47" i="109"/>
  <c r="AL31" i="109" s="1"/>
  <c r="AM31" i="109"/>
  <c r="AK31" i="109"/>
  <c r="AN31" i="109"/>
  <c r="AJ31" i="109"/>
  <c r="W45" i="21"/>
  <c r="W29" i="21" s="1"/>
  <c r="U29" i="21"/>
  <c r="V29" i="21"/>
  <c r="Y29" i="21"/>
  <c r="X29" i="21"/>
  <c r="A20" i="35"/>
  <c r="C19" i="35"/>
  <c r="AD32" i="109"/>
  <c r="AB48" i="109"/>
  <c r="AB32" i="109" s="1"/>
  <c r="AA32" i="109"/>
  <c r="AC32" i="109"/>
  <c r="Z32" i="109"/>
  <c r="AE33" i="109"/>
  <c r="AH33" i="109"/>
  <c r="AI33" i="109"/>
  <c r="AG49" i="109"/>
  <c r="AG33" i="109" s="1"/>
  <c r="AF33" i="109"/>
  <c r="AC31" i="109"/>
  <c r="AD31" i="109"/>
  <c r="AB47" i="109"/>
  <c r="AB31" i="109" s="1"/>
  <c r="AA31" i="109"/>
  <c r="Z31" i="109"/>
  <c r="H27" i="110"/>
  <c r="G27" i="110"/>
  <c r="I27" i="110"/>
  <c r="E27" i="110" a="1"/>
  <c r="E27" i="110" s="1"/>
  <c r="AN30" i="109"/>
  <c r="AM30" i="109"/>
  <c r="AJ30" i="109"/>
  <c r="AL46" i="109"/>
  <c r="AL30" i="109" s="1"/>
  <c r="AK30" i="109"/>
  <c r="AD32" i="21"/>
  <c r="AB48" i="21"/>
  <c r="AB32" i="21" s="1"/>
  <c r="AA32" i="21"/>
  <c r="Z32" i="21"/>
  <c r="AC32" i="21"/>
  <c r="H26" i="110"/>
  <c r="E26" i="110" a="1"/>
  <c r="E26" i="110" s="1"/>
  <c r="G26" i="110"/>
  <c r="I26" i="110"/>
  <c r="AL42" i="109"/>
  <c r="AL26" i="109" s="1"/>
  <c r="AN26" i="109"/>
  <c r="AJ26" i="109"/>
  <c r="AK26" i="109"/>
  <c r="AM26" i="109"/>
  <c r="T30" i="21"/>
  <c r="S30" i="21"/>
  <c r="R46" i="21"/>
  <c r="R30" i="21" s="1"/>
  <c r="P30" i="21"/>
  <c r="Q30" i="21"/>
  <c r="CN15" i="63"/>
  <c r="CN15" i="112"/>
  <c r="G31" i="17"/>
  <c r="L26" i="62"/>
  <c r="M26" i="62"/>
  <c r="K26" i="62"/>
  <c r="O26" i="62"/>
  <c r="N26" i="62"/>
  <c r="J26" i="62"/>
  <c r="P28" i="109"/>
  <c r="S28" i="109"/>
  <c r="T28" i="109"/>
  <c r="Q28" i="109"/>
  <c r="R44" i="109"/>
  <c r="R28" i="109" s="1"/>
  <c r="K24" i="21"/>
  <c r="M24" i="21"/>
  <c r="N24" i="21"/>
  <c r="J24" i="21"/>
  <c r="O24" i="21"/>
  <c r="L24" i="21"/>
  <c r="AJ29" i="21"/>
  <c r="AN29" i="21"/>
  <c r="AK29" i="21"/>
  <c r="AM29" i="21"/>
  <c r="AL45" i="21"/>
  <c r="AL29" i="21" s="1"/>
  <c r="L35" i="21"/>
  <c r="M35" i="21"/>
  <c r="O35" i="21"/>
  <c r="N35" i="21"/>
  <c r="J35" i="21"/>
  <c r="K35" i="21"/>
  <c r="O33" i="110"/>
  <c r="K33" i="110"/>
  <c r="M33" i="110"/>
  <c r="L33" i="110"/>
  <c r="N33" i="110"/>
  <c r="J33" i="110"/>
  <c r="I81" i="80"/>
  <c r="I67" i="80" s="1"/>
  <c r="X24" i="109"/>
  <c r="Y24" i="109"/>
  <c r="V24" i="109"/>
  <c r="W40" i="109"/>
  <c r="W24" i="109" s="1"/>
  <c r="U24" i="109"/>
  <c r="AO34" i="109"/>
  <c r="AP34" i="109"/>
  <c r="AR34" i="109"/>
  <c r="AS34" i="109"/>
  <c r="AI32" i="109"/>
  <c r="AG48" i="109"/>
  <c r="AG32" i="109" s="1"/>
  <c r="AH32" i="109"/>
  <c r="AF32" i="109"/>
  <c r="AE32" i="109"/>
  <c r="AF20" i="114"/>
  <c r="AI20" i="114"/>
  <c r="AG20" i="114"/>
  <c r="AG21" i="114" s="1"/>
  <c r="AG45" i="109"/>
  <c r="AG29" i="109" s="1"/>
  <c r="AH29" i="109"/>
  <c r="AE29" i="109"/>
  <c r="AI29" i="109"/>
  <c r="AF29" i="109"/>
  <c r="AG49" i="21"/>
  <c r="AG33" i="21" s="1"/>
  <c r="AF33" i="21"/>
  <c r="AH33" i="21"/>
  <c r="AI33" i="21"/>
  <c r="AO33" i="109"/>
  <c r="AP33" i="109"/>
  <c r="AR33" i="109"/>
  <c r="AS33" i="109"/>
  <c r="H22" i="15"/>
  <c r="F39" i="46" l="1"/>
  <c r="T27" i="46"/>
  <c r="G47" i="33"/>
  <c r="E32" i="8"/>
  <c r="E38" i="8" s="1"/>
  <c r="T14" i="47"/>
  <c r="F22" i="8"/>
  <c r="E32" i="1"/>
  <c r="E38" i="1" s="1"/>
  <c r="T14" i="39"/>
  <c r="F22" i="1"/>
  <c r="T27" i="38"/>
  <c r="F39" i="38"/>
  <c r="K28" i="110"/>
  <c r="AH32" i="21"/>
  <c r="O28" i="110"/>
  <c r="AS28" i="110" s="1"/>
  <c r="AH25" i="21"/>
  <c r="AG41" i="21"/>
  <c r="AG25" i="21" s="1"/>
  <c r="AI25" i="21"/>
  <c r="I3" i="63"/>
  <c r="BO3" i="63" s="1"/>
  <c r="F23" i="110"/>
  <c r="E3" i="112" s="1"/>
  <c r="K3" i="112" s="1"/>
  <c r="M3" i="112" s="1"/>
  <c r="N3" i="112" s="1"/>
  <c r="AJ3" i="63"/>
  <c r="C25" i="62"/>
  <c r="F24" i="62"/>
  <c r="L24" i="110"/>
  <c r="Z24" i="110" s="1"/>
  <c r="C25" i="110"/>
  <c r="F24" i="110"/>
  <c r="AJ32" i="21"/>
  <c r="AE25" i="21"/>
  <c r="K24" i="110"/>
  <c r="X24" i="110" s="1"/>
  <c r="N24" i="110"/>
  <c r="AK24" i="110" s="1"/>
  <c r="AR25" i="21"/>
  <c r="O24" i="110"/>
  <c r="AO24" i="110" s="1"/>
  <c r="J24" i="110"/>
  <c r="Q24" i="110" s="1"/>
  <c r="L28" i="110"/>
  <c r="AA28" i="110" s="1"/>
  <c r="AO25" i="21"/>
  <c r="AP25" i="21"/>
  <c r="AP28" i="21"/>
  <c r="F33" i="80"/>
  <c r="E39" i="80"/>
  <c r="E41" i="80" s="1"/>
  <c r="E120" i="80" s="1"/>
  <c r="P28" i="21"/>
  <c r="R44" i="21"/>
  <c r="R28" i="21" s="1"/>
  <c r="T28" i="21"/>
  <c r="S28" i="21"/>
  <c r="AK32" i="21"/>
  <c r="AN32" i="21"/>
  <c r="AL48" i="21"/>
  <c r="AL32" i="21" s="1"/>
  <c r="AD28" i="21"/>
  <c r="T25" i="21"/>
  <c r="Q25" i="21"/>
  <c r="AR28" i="21"/>
  <c r="P25" i="21"/>
  <c r="AA28" i="21"/>
  <c r="AS28" i="21"/>
  <c r="R41" i="21"/>
  <c r="R25" i="21" s="1"/>
  <c r="AB44" i="21"/>
  <c r="AB28" i="21" s="1"/>
  <c r="AC28" i="21"/>
  <c r="AR32" i="21"/>
  <c r="AF31" i="21"/>
  <c r="AK25" i="21"/>
  <c r="T32" i="21"/>
  <c r="V28" i="21"/>
  <c r="AG44" i="21"/>
  <c r="AG28" i="21" s="1"/>
  <c r="AP32" i="21"/>
  <c r="AH31" i="21"/>
  <c r="W44" i="21"/>
  <c r="W28" i="21" s="1"/>
  <c r="R48" i="21"/>
  <c r="R32" i="21" s="1"/>
  <c r="U28" i="21"/>
  <c r="P32" i="21"/>
  <c r="AF28" i="21"/>
  <c r="U31" i="21"/>
  <c r="AS32" i="21"/>
  <c r="S32" i="21"/>
  <c r="AI28" i="21"/>
  <c r="AG47" i="21"/>
  <c r="AG31" i="21" s="1"/>
  <c r="AJ25" i="21"/>
  <c r="X28" i="21"/>
  <c r="AL41" i="21"/>
  <c r="AL25" i="21" s="1"/>
  <c r="AN25" i="21"/>
  <c r="V32" i="21"/>
  <c r="Y31" i="21"/>
  <c r="U32" i="21"/>
  <c r="X31" i="21"/>
  <c r="W48" i="21"/>
  <c r="W32" i="21" s="1"/>
  <c r="Y32" i="21"/>
  <c r="M28" i="110"/>
  <c r="AF28" i="110" s="1"/>
  <c r="W47" i="21"/>
  <c r="W31" i="21" s="1"/>
  <c r="Q31" i="21"/>
  <c r="P31" i="21"/>
  <c r="R47" i="21"/>
  <c r="R31" i="21" s="1"/>
  <c r="T31" i="21"/>
  <c r="K25" i="110"/>
  <c r="W41" i="110" s="1"/>
  <c r="W25" i="110" s="1"/>
  <c r="N25" i="110"/>
  <c r="AM25" i="110" s="1"/>
  <c r="O25" i="110"/>
  <c r="AP25" i="110" s="1"/>
  <c r="J25" i="110"/>
  <c r="S25" i="110" s="1"/>
  <c r="L25" i="110"/>
  <c r="AC25" i="110" s="1"/>
  <c r="AC31" i="21"/>
  <c r="AA31" i="21"/>
  <c r="AB47" i="21"/>
  <c r="AB31" i="21" s="1"/>
  <c r="AD31" i="21"/>
  <c r="AM31" i="21"/>
  <c r="AJ31" i="21"/>
  <c r="AL47" i="21"/>
  <c r="AL31" i="21" s="1"/>
  <c r="AK31" i="21"/>
  <c r="D140" i="1"/>
  <c r="D95" i="1" s="1"/>
  <c r="D96" i="1" s="1"/>
  <c r="AH15" i="4" s="1"/>
  <c r="AM33" i="62"/>
  <c r="AN33" i="62"/>
  <c r="AL49" i="62"/>
  <c r="AL33" i="62" s="1"/>
  <c r="AJ33" i="62"/>
  <c r="AK33" i="62"/>
  <c r="CP5" i="63"/>
  <c r="CP5" i="112"/>
  <c r="AM30" i="62"/>
  <c r="AL46" i="62"/>
  <c r="AL30" i="62" s="1"/>
  <c r="AK30" i="62"/>
  <c r="AJ30" i="62"/>
  <c r="AN30" i="62"/>
  <c r="BN36" i="112"/>
  <c r="BR35" i="112"/>
  <c r="AP27" i="21"/>
  <c r="AO27" i="21"/>
  <c r="AS27" i="21"/>
  <c r="AR27" i="21"/>
  <c r="H22" i="14"/>
  <c r="X35" i="21"/>
  <c r="V35" i="21"/>
  <c r="Y35" i="21"/>
  <c r="U35" i="21"/>
  <c r="W51" i="21"/>
  <c r="W35" i="21" s="1"/>
  <c r="Y24" i="21"/>
  <c r="W40" i="21"/>
  <c r="W24" i="21" s="1"/>
  <c r="U24" i="21"/>
  <c r="V24" i="21"/>
  <c r="X24" i="21"/>
  <c r="U33" i="62"/>
  <c r="Y33" i="62"/>
  <c r="W49" i="62"/>
  <c r="W33" i="62" s="1"/>
  <c r="V33" i="62"/>
  <c r="X33" i="62"/>
  <c r="BN14" i="112"/>
  <c r="BR14" i="112" s="1"/>
  <c r="BR13" i="112"/>
  <c r="U24" i="62"/>
  <c r="X24" i="62"/>
  <c r="V24" i="62"/>
  <c r="Y24" i="62"/>
  <c r="W40" i="62"/>
  <c r="W24" i="62" s="1"/>
  <c r="AC27" i="62"/>
  <c r="Z27" i="62"/>
  <c r="AA27" i="62"/>
  <c r="AB43" i="62"/>
  <c r="AB27" i="62" s="1"/>
  <c r="AD27" i="62"/>
  <c r="AG46" i="110"/>
  <c r="AG30" i="110" s="1"/>
  <c r="AH30" i="110"/>
  <c r="AF30" i="110"/>
  <c r="AI30" i="110"/>
  <c r="BR13" i="63"/>
  <c r="BN14" i="63"/>
  <c r="BR14" i="63" s="1"/>
  <c r="AK25" i="62"/>
  <c r="AM25" i="62"/>
  <c r="AL41" i="62"/>
  <c r="AL25" i="62" s="1"/>
  <c r="AJ25" i="62"/>
  <c r="AN25" i="62"/>
  <c r="AB46" i="62"/>
  <c r="AB30" i="62" s="1"/>
  <c r="AA30" i="62"/>
  <c r="AC30" i="62"/>
  <c r="AD30" i="62"/>
  <c r="Z30" i="62"/>
  <c r="AR32" i="62"/>
  <c r="AP32" i="62"/>
  <c r="AS32" i="62"/>
  <c r="AO32" i="62"/>
  <c r="H29" i="11"/>
  <c r="H24" i="11"/>
  <c r="H25" i="11" s="1"/>
  <c r="H27" i="11" s="1"/>
  <c r="H28" i="11" s="1"/>
  <c r="Z26" i="21"/>
  <c r="AC26" i="21"/>
  <c r="AB42" i="21"/>
  <c r="AB26" i="21" s="1"/>
  <c r="AD26" i="21"/>
  <c r="AA26" i="21"/>
  <c r="H29" i="18"/>
  <c r="H24" i="18"/>
  <c r="H25" i="18" s="1"/>
  <c r="H27" i="18" s="1"/>
  <c r="H28" i="18" s="1"/>
  <c r="Y34" i="62"/>
  <c r="U34" i="62"/>
  <c r="X34" i="62"/>
  <c r="W50" i="62"/>
  <c r="W34" i="62" s="1"/>
  <c r="V34" i="62"/>
  <c r="P21" i="109"/>
  <c r="H24" i="15"/>
  <c r="H25" i="15" s="1"/>
  <c r="H27" i="15" s="1"/>
  <c r="H28" i="15" s="1"/>
  <c r="H29" i="15"/>
  <c r="AE33" i="21"/>
  <c r="R51" i="21"/>
  <c r="R35" i="21" s="1"/>
  <c r="P35" i="21"/>
  <c r="T35" i="21"/>
  <c r="Q35" i="21"/>
  <c r="S35" i="21"/>
  <c r="U26" i="62"/>
  <c r="V26" i="62"/>
  <c r="Y26" i="62"/>
  <c r="W42" i="62"/>
  <c r="W26" i="62" s="1"/>
  <c r="X26" i="62"/>
  <c r="K34" i="110"/>
  <c r="M34" i="110"/>
  <c r="L34" i="110"/>
  <c r="O34" i="110"/>
  <c r="J34" i="110"/>
  <c r="N34" i="110"/>
  <c r="AO32" i="110"/>
  <c r="AS32" i="110"/>
  <c r="AP32" i="110"/>
  <c r="AR32" i="110"/>
  <c r="Q29" i="62"/>
  <c r="S29" i="62"/>
  <c r="R45" i="62"/>
  <c r="R29" i="62" s="1"/>
  <c r="T29" i="62"/>
  <c r="P29" i="62"/>
  <c r="L35" i="110"/>
  <c r="O35" i="110"/>
  <c r="M35" i="110"/>
  <c r="N35" i="110"/>
  <c r="K35" i="110"/>
  <c r="J35" i="110"/>
  <c r="L31" i="110"/>
  <c r="M31" i="110"/>
  <c r="O31" i="110"/>
  <c r="N31" i="110"/>
  <c r="K31" i="110"/>
  <c r="J31" i="110"/>
  <c r="O29" i="110"/>
  <c r="J29" i="110"/>
  <c r="M29" i="110"/>
  <c r="N29" i="110"/>
  <c r="K29" i="110"/>
  <c r="L29" i="110"/>
  <c r="AD33" i="62"/>
  <c r="Z33" i="62"/>
  <c r="AA33" i="62"/>
  <c r="AC33" i="62"/>
  <c r="AB49" i="62"/>
  <c r="AB33" i="62" s="1"/>
  <c r="AP28" i="62"/>
  <c r="AO28" i="62"/>
  <c r="AS28" i="62"/>
  <c r="AR28" i="62"/>
  <c r="AH31" i="62"/>
  <c r="AI31" i="62"/>
  <c r="AG47" i="62"/>
  <c r="AG31" i="62" s="1"/>
  <c r="AE31" i="62"/>
  <c r="AF31" i="62"/>
  <c r="U27" i="21"/>
  <c r="Y27" i="21"/>
  <c r="V27" i="21"/>
  <c r="X27" i="21"/>
  <c r="W43" i="21"/>
  <c r="W27" i="21" s="1"/>
  <c r="BR24" i="111"/>
  <c r="BN25" i="111"/>
  <c r="AH34" i="21"/>
  <c r="AI34" i="21"/>
  <c r="AE34" i="21"/>
  <c r="AG50" i="21"/>
  <c r="AG34" i="21" s="1"/>
  <c r="AF34" i="21"/>
  <c r="S24" i="62"/>
  <c r="Q24" i="62"/>
  <c r="P24" i="62"/>
  <c r="R40" i="62"/>
  <c r="R24" i="62" s="1"/>
  <c r="T24" i="62"/>
  <c r="AO27" i="62"/>
  <c r="AS27" i="62"/>
  <c r="AR27" i="62"/>
  <c r="AP27" i="62"/>
  <c r="G31" i="13"/>
  <c r="CN15" i="61"/>
  <c r="CN15" i="111"/>
  <c r="V25" i="62"/>
  <c r="W41" i="62"/>
  <c r="W25" i="62" s="1"/>
  <c r="U25" i="62"/>
  <c r="Y25" i="62"/>
  <c r="X25" i="62"/>
  <c r="R46" i="62"/>
  <c r="R30" i="62" s="1"/>
  <c r="P30" i="62"/>
  <c r="T30" i="62"/>
  <c r="Q30" i="62"/>
  <c r="S30" i="62"/>
  <c r="H29" i="19"/>
  <c r="H24" i="19"/>
  <c r="H25" i="19" s="1"/>
  <c r="H27" i="19" s="1"/>
  <c r="H28" i="19" s="1"/>
  <c r="AN32" i="62"/>
  <c r="AJ32" i="62"/>
  <c r="AM32" i="62"/>
  <c r="AK32" i="62"/>
  <c r="AL48" i="62"/>
  <c r="AL32" i="62" s="1"/>
  <c r="AJ26" i="21"/>
  <c r="AN26" i="21"/>
  <c r="AM26" i="21"/>
  <c r="AL42" i="21"/>
  <c r="AL26" i="21" s="1"/>
  <c r="AK26" i="21"/>
  <c r="AJ34" i="62"/>
  <c r="AM34" i="62"/>
  <c r="AK34" i="62"/>
  <c r="AN34" i="62"/>
  <c r="AL50" i="62"/>
  <c r="AL34" i="62" s="1"/>
  <c r="T26" i="62"/>
  <c r="Q26" i="62"/>
  <c r="S26" i="62"/>
  <c r="R42" i="62"/>
  <c r="R26" i="62" s="1"/>
  <c r="P26" i="62"/>
  <c r="BN25" i="112"/>
  <c r="BR24" i="112"/>
  <c r="AB51" i="62"/>
  <c r="AB35" i="62" s="1"/>
  <c r="AD35" i="62"/>
  <c r="Z35" i="62"/>
  <c r="AA35" i="62"/>
  <c r="AC35" i="62"/>
  <c r="AE28" i="62"/>
  <c r="AI28" i="62"/>
  <c r="AH28" i="62"/>
  <c r="AG44" i="62"/>
  <c r="AG28" i="62" s="1"/>
  <c r="AF28" i="62"/>
  <c r="CO15" i="61"/>
  <c r="CO15" i="111"/>
  <c r="G31" i="14"/>
  <c r="AH24" i="110"/>
  <c r="AF24" i="110"/>
  <c r="AI24" i="110"/>
  <c r="AG40" i="110"/>
  <c r="AG24" i="110" s="1"/>
  <c r="AE24" i="110"/>
  <c r="AO33" i="62"/>
  <c r="AP33" i="62"/>
  <c r="AR33" i="62"/>
  <c r="AS33" i="62"/>
  <c r="AL47" i="62"/>
  <c r="AL31" i="62" s="1"/>
  <c r="AN31" i="62"/>
  <c r="AJ31" i="62"/>
  <c r="AM31" i="62"/>
  <c r="AK31" i="62"/>
  <c r="AJ27" i="62"/>
  <c r="AK27" i="62"/>
  <c r="AN27" i="62"/>
  <c r="AL43" i="62"/>
  <c r="AL27" i="62" s="1"/>
  <c r="AM27" i="62"/>
  <c r="AO30" i="110"/>
  <c r="AS30" i="110"/>
  <c r="AR30" i="110"/>
  <c r="AP30" i="110"/>
  <c r="AP30" i="62"/>
  <c r="AR30" i="62"/>
  <c r="AO30" i="62"/>
  <c r="AS30" i="62"/>
  <c r="Z32" i="62"/>
  <c r="AA32" i="62"/>
  <c r="AC32" i="62"/>
  <c r="AD32" i="62"/>
  <c r="AB48" i="62"/>
  <c r="AB32" i="62" s="1"/>
  <c r="CM5" i="112"/>
  <c r="CM5" i="63"/>
  <c r="CM5" i="61"/>
  <c r="CM5" i="111"/>
  <c r="AM32" i="110"/>
  <c r="AN32" i="110"/>
  <c r="AJ32" i="110"/>
  <c r="AL48" i="110"/>
  <c r="AL32" i="110" s="1"/>
  <c r="AK32" i="110"/>
  <c r="AK29" i="62"/>
  <c r="AJ29" i="62"/>
  <c r="AN29" i="62"/>
  <c r="AM29" i="62"/>
  <c r="AL45" i="62"/>
  <c r="AL29" i="62" s="1"/>
  <c r="T33" i="110"/>
  <c r="R49" i="110"/>
  <c r="R33" i="110" s="1"/>
  <c r="P33" i="110"/>
  <c r="Q33" i="110"/>
  <c r="S33" i="110"/>
  <c r="BR35" i="61"/>
  <c r="BN36" i="61"/>
  <c r="AR24" i="62"/>
  <c r="AS24" i="62"/>
  <c r="AP24" i="62"/>
  <c r="AO24" i="62"/>
  <c r="Y30" i="62"/>
  <c r="V30" i="62"/>
  <c r="W46" i="62"/>
  <c r="W30" i="62" s="1"/>
  <c r="U30" i="62"/>
  <c r="X30" i="62"/>
  <c r="AE25" i="110"/>
  <c r="AI25" i="110"/>
  <c r="AH25" i="110"/>
  <c r="AG41" i="110"/>
  <c r="AG25" i="110" s="1"/>
  <c r="AF25" i="110"/>
  <c r="C63" i="107"/>
  <c r="C63" i="64"/>
  <c r="AM33" i="110"/>
  <c r="AK33" i="110"/>
  <c r="AN33" i="110"/>
  <c r="AJ33" i="110"/>
  <c r="AL49" i="110"/>
  <c r="AL33" i="110" s="1"/>
  <c r="AR35" i="21"/>
  <c r="AP35" i="21"/>
  <c r="AO35" i="21"/>
  <c r="AS35" i="21"/>
  <c r="AD26" i="62"/>
  <c r="AA26" i="62"/>
  <c r="AC26" i="62"/>
  <c r="AB42" i="62"/>
  <c r="AB26" i="62" s="1"/>
  <c r="Z26" i="62"/>
  <c r="E20" i="35"/>
  <c r="F21" i="35"/>
  <c r="D18" i="35"/>
  <c r="AN28" i="110"/>
  <c r="AJ28" i="110"/>
  <c r="AM28" i="110"/>
  <c r="AL44" i="110"/>
  <c r="AL28" i="110" s="1"/>
  <c r="AK28" i="110"/>
  <c r="AS29" i="62"/>
  <c r="AP29" i="62"/>
  <c r="AR29" i="62"/>
  <c r="AO29" i="62"/>
  <c r="BT3" i="111"/>
  <c r="BX3" i="111" s="1"/>
  <c r="BY3" i="111"/>
  <c r="AF35" i="62"/>
  <c r="AI35" i="62"/>
  <c r="AG51" i="62"/>
  <c r="AG35" i="62" s="1"/>
  <c r="AH35" i="62"/>
  <c r="AE35" i="62"/>
  <c r="AI33" i="62"/>
  <c r="AE33" i="62"/>
  <c r="AH33" i="62"/>
  <c r="AF33" i="62"/>
  <c r="AG49" i="62"/>
  <c r="AG33" i="62" s="1"/>
  <c r="N36" i="77"/>
  <c r="AC18" i="82"/>
  <c r="AB50" i="21"/>
  <c r="AB34" i="21" s="1"/>
  <c r="AC34" i="21"/>
  <c r="Z34" i="21"/>
  <c r="AA34" i="21"/>
  <c r="AD34" i="21"/>
  <c r="AC24" i="62"/>
  <c r="Z24" i="62"/>
  <c r="AB40" i="62"/>
  <c r="AB24" i="62" s="1"/>
  <c r="AD24" i="62"/>
  <c r="AA24" i="62"/>
  <c r="Y27" i="62"/>
  <c r="V27" i="62"/>
  <c r="U27" i="62"/>
  <c r="X27" i="62"/>
  <c r="W43" i="62"/>
  <c r="W27" i="62" s="1"/>
  <c r="AM30" i="110"/>
  <c r="AN30" i="110"/>
  <c r="AL46" i="110"/>
  <c r="AL30" i="110" s="1"/>
  <c r="AJ30" i="110"/>
  <c r="AK30" i="110"/>
  <c r="BN36" i="111"/>
  <c r="BR35" i="111"/>
  <c r="AE25" i="62"/>
  <c r="AF25" i="62"/>
  <c r="AI25" i="62"/>
  <c r="AG41" i="62"/>
  <c r="AG25" i="62" s="1"/>
  <c r="AH25" i="62"/>
  <c r="BR24" i="61"/>
  <c r="BN25" i="61"/>
  <c r="R42" i="21"/>
  <c r="R26" i="21" s="1"/>
  <c r="P26" i="21"/>
  <c r="Q26" i="21"/>
  <c r="T26" i="21"/>
  <c r="S26" i="21"/>
  <c r="AS34" i="62"/>
  <c r="AP34" i="62"/>
  <c r="AO34" i="62"/>
  <c r="AR34" i="62"/>
  <c r="C49" i="64"/>
  <c r="C49" i="107"/>
  <c r="Y28" i="110"/>
  <c r="X28" i="110"/>
  <c r="V28" i="110"/>
  <c r="W44" i="110"/>
  <c r="W28" i="110" s="1"/>
  <c r="BR24" i="63"/>
  <c r="BN25" i="63"/>
  <c r="AB45" i="62"/>
  <c r="AB29" i="62" s="1"/>
  <c r="AA29" i="62"/>
  <c r="AD29" i="62"/>
  <c r="Z29" i="62"/>
  <c r="AC29" i="62"/>
  <c r="X31" i="62"/>
  <c r="Y31" i="62"/>
  <c r="U31" i="62"/>
  <c r="W47" i="62"/>
  <c r="W31" i="62" s="1"/>
  <c r="V31" i="62"/>
  <c r="AG43" i="21"/>
  <c r="AG27" i="21" s="1"/>
  <c r="AH27" i="21"/>
  <c r="AF27" i="21"/>
  <c r="AI27" i="21"/>
  <c r="AE27" i="21"/>
  <c r="T30" i="110"/>
  <c r="S30" i="110"/>
  <c r="Q30" i="110"/>
  <c r="R46" i="110"/>
  <c r="R30" i="110" s="1"/>
  <c r="P30" i="110"/>
  <c r="AS33" i="110"/>
  <c r="AO33" i="110"/>
  <c r="AP33" i="110"/>
  <c r="AR33" i="110"/>
  <c r="AE24" i="21"/>
  <c r="AH24" i="21"/>
  <c r="AI24" i="21"/>
  <c r="AF24" i="21"/>
  <c r="AG40" i="21"/>
  <c r="AG24" i="21" s="1"/>
  <c r="AK26" i="62"/>
  <c r="AJ26" i="62"/>
  <c r="AM26" i="62"/>
  <c r="AL42" i="62"/>
  <c r="AL26" i="62" s="1"/>
  <c r="AN26" i="62"/>
  <c r="AH32" i="110"/>
  <c r="AF32" i="110"/>
  <c r="AI32" i="110"/>
  <c r="AG48" i="110"/>
  <c r="AG32" i="110" s="1"/>
  <c r="AI29" i="62"/>
  <c r="AH29" i="62"/>
  <c r="AE29" i="62"/>
  <c r="AG45" i="62"/>
  <c r="AG29" i="62" s="1"/>
  <c r="AF29" i="62"/>
  <c r="AC25" i="62"/>
  <c r="AD25" i="62"/>
  <c r="Z25" i="62"/>
  <c r="AB41" i="62"/>
  <c r="AB25" i="62" s="1"/>
  <c r="AA25" i="62"/>
  <c r="U26" i="21"/>
  <c r="V26" i="21"/>
  <c r="W42" i="21"/>
  <c r="W26" i="21" s="1"/>
  <c r="X26" i="21"/>
  <c r="Y26" i="21"/>
  <c r="Z34" i="62"/>
  <c r="AA34" i="62"/>
  <c r="AC34" i="62"/>
  <c r="AB50" i="62"/>
  <c r="AB34" i="62" s="1"/>
  <c r="AD34" i="62"/>
  <c r="AP26" i="62"/>
  <c r="AR26" i="62"/>
  <c r="AO26" i="62"/>
  <c r="AS26" i="62"/>
  <c r="AJ21" i="109"/>
  <c r="Q32" i="110"/>
  <c r="P32" i="110"/>
  <c r="R48" i="110"/>
  <c r="R32" i="110" s="1"/>
  <c r="T32" i="110"/>
  <c r="S32" i="110"/>
  <c r="V29" i="62"/>
  <c r="U29" i="62"/>
  <c r="Y29" i="62"/>
  <c r="X29" i="62"/>
  <c r="W45" i="62"/>
  <c r="W29" i="62" s="1"/>
  <c r="AP34" i="21"/>
  <c r="AS34" i="21"/>
  <c r="AR34" i="21"/>
  <c r="AO34" i="21"/>
  <c r="H29" i="16"/>
  <c r="H24" i="16"/>
  <c r="H25" i="16" s="1"/>
  <c r="H27" i="16" s="1"/>
  <c r="H28" i="16" s="1"/>
  <c r="AI26" i="21"/>
  <c r="AH26" i="21"/>
  <c r="AE26" i="21"/>
  <c r="AF26" i="21"/>
  <c r="AG42" i="21"/>
  <c r="AG26" i="21" s="1"/>
  <c r="AF34" i="62"/>
  <c r="AI34" i="62"/>
  <c r="AG50" i="62"/>
  <c r="AG34" i="62" s="1"/>
  <c r="AE34" i="62"/>
  <c r="AH34" i="62"/>
  <c r="AA24" i="21"/>
  <c r="AC24" i="21"/>
  <c r="AB40" i="21"/>
  <c r="AB24" i="21" s="1"/>
  <c r="Z24" i="21"/>
  <c r="AD24" i="21"/>
  <c r="U21" i="109"/>
  <c r="AA33" i="110"/>
  <c r="AC33" i="110"/>
  <c r="AB49" i="110"/>
  <c r="AB33" i="110" s="1"/>
  <c r="Z33" i="110"/>
  <c r="AD33" i="110"/>
  <c r="AG51" i="21"/>
  <c r="AG35" i="21" s="1"/>
  <c r="AH35" i="21"/>
  <c r="AE35" i="21"/>
  <c r="AF35" i="21"/>
  <c r="AI35" i="21"/>
  <c r="AS24" i="21"/>
  <c r="AP24" i="21"/>
  <c r="AR24" i="21"/>
  <c r="AO24" i="21"/>
  <c r="CN5" i="112"/>
  <c r="CN5" i="63"/>
  <c r="N27" i="110"/>
  <c r="J27" i="110"/>
  <c r="L27" i="110"/>
  <c r="O27" i="110"/>
  <c r="M27" i="110"/>
  <c r="K27" i="110"/>
  <c r="A21" i="35"/>
  <c r="C20" i="35"/>
  <c r="AE21" i="109"/>
  <c r="AE32" i="21"/>
  <c r="F29" i="80"/>
  <c r="F24" i="80"/>
  <c r="F25" i="80" s="1"/>
  <c r="AM35" i="62"/>
  <c r="AL51" i="62"/>
  <c r="AL35" i="62" s="1"/>
  <c r="AJ35" i="62"/>
  <c r="AN35" i="62"/>
  <c r="AK35" i="62"/>
  <c r="T28" i="62"/>
  <c r="S28" i="62"/>
  <c r="P28" i="62"/>
  <c r="Q28" i="62"/>
  <c r="R44" i="62"/>
  <c r="R28" i="62" s="1"/>
  <c r="P31" i="62"/>
  <c r="T31" i="62"/>
  <c r="S31" i="62"/>
  <c r="R47" i="62"/>
  <c r="R31" i="62" s="1"/>
  <c r="Q31" i="62"/>
  <c r="R43" i="21"/>
  <c r="R27" i="21" s="1"/>
  <c r="S27" i="21"/>
  <c r="P27" i="21"/>
  <c r="T27" i="21"/>
  <c r="Q27" i="21"/>
  <c r="AJ34" i="21"/>
  <c r="AN34" i="21"/>
  <c r="AM34" i="21"/>
  <c r="AL50" i="21"/>
  <c r="AL34" i="21" s="1"/>
  <c r="AK34" i="21"/>
  <c r="AK24" i="62"/>
  <c r="AL40" i="62"/>
  <c r="AL24" i="62" s="1"/>
  <c r="AM24" i="62"/>
  <c r="AJ24" i="62"/>
  <c r="AN24" i="62"/>
  <c r="AF27" i="62"/>
  <c r="AG43" i="62"/>
  <c r="AG27" i="62" s="1"/>
  <c r="AI27" i="62"/>
  <c r="AE27" i="62"/>
  <c r="AH27" i="62"/>
  <c r="AA30" i="110"/>
  <c r="AC30" i="110"/>
  <c r="Z30" i="110"/>
  <c r="AB46" i="110"/>
  <c r="AB30" i="110" s="1"/>
  <c r="AD30" i="110"/>
  <c r="CO5" i="63"/>
  <c r="CO5" i="112"/>
  <c r="Q25" i="62"/>
  <c r="R41" i="62"/>
  <c r="R25" i="62" s="1"/>
  <c r="S25" i="62"/>
  <c r="T25" i="62"/>
  <c r="P25" i="62"/>
  <c r="AE28" i="21"/>
  <c r="AE30" i="21"/>
  <c r="BR13" i="111"/>
  <c r="BN14" i="111"/>
  <c r="BR14" i="111" s="1"/>
  <c r="AR26" i="21"/>
  <c r="AS26" i="21"/>
  <c r="AO26" i="21"/>
  <c r="AP26" i="21"/>
  <c r="Q34" i="62"/>
  <c r="R50" i="62"/>
  <c r="R34" i="62" s="1"/>
  <c r="S34" i="62"/>
  <c r="T34" i="62"/>
  <c r="P34" i="62"/>
  <c r="H24" i="17"/>
  <c r="H25" i="17" s="1"/>
  <c r="H27" i="17" s="1"/>
  <c r="H28" i="17" s="1"/>
  <c r="H29" i="17"/>
  <c r="U33" i="110"/>
  <c r="X33" i="110"/>
  <c r="Y33" i="110"/>
  <c r="V33" i="110"/>
  <c r="W49" i="110"/>
  <c r="W33" i="110" s="1"/>
  <c r="AL40" i="21"/>
  <c r="AL24" i="21" s="1"/>
  <c r="AK24" i="21"/>
  <c r="AJ24" i="21"/>
  <c r="AM24" i="21"/>
  <c r="AN24" i="21"/>
  <c r="Z32" i="110"/>
  <c r="AC32" i="110"/>
  <c r="AA32" i="110"/>
  <c r="AD32" i="110"/>
  <c r="AB48" i="110"/>
  <c r="AB32" i="110" s="1"/>
  <c r="F33" i="79"/>
  <c r="E39" i="79"/>
  <c r="E41" i="79" s="1"/>
  <c r="E17" i="79"/>
  <c r="F37" i="77" s="1"/>
  <c r="E125" i="79"/>
  <c r="BT3" i="61"/>
  <c r="BX3" i="61" s="1"/>
  <c r="BY3" i="61"/>
  <c r="BR35" i="63"/>
  <c r="BN36" i="63"/>
  <c r="AH32" i="62"/>
  <c r="AI32" i="62"/>
  <c r="AF32" i="62"/>
  <c r="AG48" i="62"/>
  <c r="AG32" i="62" s="1"/>
  <c r="AE32" i="62"/>
  <c r="AJ16" i="114"/>
  <c r="AA25" i="114"/>
  <c r="D6" i="114" s="1"/>
  <c r="AJ17" i="114"/>
  <c r="AA23" i="114"/>
  <c r="D4" i="114" s="1"/>
  <c r="AH26" i="114"/>
  <c r="AI26" i="114" s="1"/>
  <c r="AJ26" i="114" s="1"/>
  <c r="AA26" i="114"/>
  <c r="D7" i="114" s="1"/>
  <c r="AA24" i="114"/>
  <c r="D5" i="114" s="1"/>
  <c r="AJ15" i="114"/>
  <c r="AJ14" i="114"/>
  <c r="AA28" i="114" s="1"/>
  <c r="D14" i="114" s="1"/>
  <c r="P35" i="62"/>
  <c r="R51" i="62"/>
  <c r="R35" i="62" s="1"/>
  <c r="Q35" i="62"/>
  <c r="T35" i="62"/>
  <c r="S35" i="62"/>
  <c r="Y28" i="62"/>
  <c r="X28" i="62"/>
  <c r="W44" i="62"/>
  <c r="W28" i="62" s="1"/>
  <c r="U28" i="62"/>
  <c r="V28" i="62"/>
  <c r="Q34" i="21"/>
  <c r="R50" i="21"/>
  <c r="R34" i="21" s="1"/>
  <c r="P34" i="21"/>
  <c r="T34" i="21"/>
  <c r="S34" i="21"/>
  <c r="Z21" i="109"/>
  <c r="AB44" i="62"/>
  <c r="AB28" i="62" s="1"/>
  <c r="AA28" i="62"/>
  <c r="AC28" i="62"/>
  <c r="Z28" i="62"/>
  <c r="AD28" i="62"/>
  <c r="AR31" i="62"/>
  <c r="AO31" i="62"/>
  <c r="AP31" i="62"/>
  <c r="AS31" i="62"/>
  <c r="AA27" i="21"/>
  <c r="AD27" i="21"/>
  <c r="Z27" i="21"/>
  <c r="AB43" i="21"/>
  <c r="AB27" i="21" s="1"/>
  <c r="AC27" i="21"/>
  <c r="U34" i="21"/>
  <c r="V34" i="21"/>
  <c r="X34" i="21"/>
  <c r="Y34" i="21"/>
  <c r="W50" i="21"/>
  <c r="W34" i="21" s="1"/>
  <c r="AK35" i="21"/>
  <c r="AL51" i="21"/>
  <c r="AL35" i="21" s="1"/>
  <c r="AJ35" i="21"/>
  <c r="AN35" i="21"/>
  <c r="AM35" i="21"/>
  <c r="AG42" i="62"/>
  <c r="AG26" i="62" s="1"/>
  <c r="AI26" i="62"/>
  <c r="AE26" i="62"/>
  <c r="AH26" i="62"/>
  <c r="AF26" i="62"/>
  <c r="D91" i="8"/>
  <c r="D140" i="8"/>
  <c r="D95" i="8" s="1"/>
  <c r="D96" i="8" s="1"/>
  <c r="CP5" i="61"/>
  <c r="CP5" i="111"/>
  <c r="AP35" i="62"/>
  <c r="AO35" i="62"/>
  <c r="AR35" i="62"/>
  <c r="AS35" i="62"/>
  <c r="R49" i="62"/>
  <c r="R33" i="62" s="1"/>
  <c r="S33" i="62"/>
  <c r="Q33" i="62"/>
  <c r="P33" i="62"/>
  <c r="T33" i="62"/>
  <c r="S27" i="62"/>
  <c r="R43" i="62"/>
  <c r="R27" i="62" s="1"/>
  <c r="T27" i="62"/>
  <c r="Q27" i="62"/>
  <c r="P27" i="62"/>
  <c r="H22" i="13"/>
  <c r="AS25" i="62"/>
  <c r="AO25" i="62"/>
  <c r="AR25" i="62"/>
  <c r="AP25" i="62"/>
  <c r="X32" i="62"/>
  <c r="U32" i="62"/>
  <c r="V32" i="62"/>
  <c r="Y32" i="62"/>
  <c r="W48" i="62"/>
  <c r="W32" i="62" s="1"/>
  <c r="AG49" i="110"/>
  <c r="AG33" i="110" s="1"/>
  <c r="AH33" i="110"/>
  <c r="AI33" i="110"/>
  <c r="AF33" i="110"/>
  <c r="AA35" i="21"/>
  <c r="AD35" i="21"/>
  <c r="Z35" i="21"/>
  <c r="AC35" i="21"/>
  <c r="AB51" i="21"/>
  <c r="AB35" i="21" s="1"/>
  <c r="T24" i="21"/>
  <c r="Q24" i="21"/>
  <c r="R40" i="21"/>
  <c r="R24" i="21" s="1"/>
  <c r="P24" i="21"/>
  <c r="S24" i="21"/>
  <c r="M26" i="110"/>
  <c r="J26" i="110"/>
  <c r="O26" i="110"/>
  <c r="K26" i="110"/>
  <c r="L26" i="110"/>
  <c r="N26" i="110"/>
  <c r="AE31" i="21"/>
  <c r="P28" i="110"/>
  <c r="S28" i="110"/>
  <c r="Q28" i="110"/>
  <c r="T28" i="110"/>
  <c r="R44" i="110"/>
  <c r="R28" i="110" s="1"/>
  <c r="BN14" i="61"/>
  <c r="BR14" i="61" s="1"/>
  <c r="BR13" i="61"/>
  <c r="U32" i="110"/>
  <c r="X32" i="110"/>
  <c r="V32" i="110"/>
  <c r="Y32" i="110"/>
  <c r="W48" i="110"/>
  <c r="W32" i="110" s="1"/>
  <c r="F24" i="79"/>
  <c r="F25" i="79" s="1"/>
  <c r="F29" i="79"/>
  <c r="W51" i="62"/>
  <c r="W35" i="62" s="1"/>
  <c r="U35" i="62"/>
  <c r="Y35" i="62"/>
  <c r="X35" i="62"/>
  <c r="V35" i="62"/>
  <c r="AK28" i="62"/>
  <c r="AL44" i="62"/>
  <c r="AL28" i="62" s="1"/>
  <c r="AN28" i="62"/>
  <c r="AM28" i="62"/>
  <c r="AJ28" i="62"/>
  <c r="I19" i="53"/>
  <c r="AB47" i="62"/>
  <c r="AB31" i="62" s="1"/>
  <c r="AA31" i="62"/>
  <c r="AC31" i="62"/>
  <c r="AD31" i="62"/>
  <c r="Z31" i="62"/>
  <c r="AL43" i="21"/>
  <c r="AL27" i="21" s="1"/>
  <c r="AJ27" i="21"/>
  <c r="AK27" i="21"/>
  <c r="AM27" i="21"/>
  <c r="AN27" i="21"/>
  <c r="AE29" i="21"/>
  <c r="AE24" i="62"/>
  <c r="AF24" i="62"/>
  <c r="AH24" i="62"/>
  <c r="AI24" i="62"/>
  <c r="AG40" i="62"/>
  <c r="AG24" i="62" s="1"/>
  <c r="B27" i="114"/>
  <c r="D27" i="114" s="1"/>
  <c r="U30" i="110"/>
  <c r="X30" i="110"/>
  <c r="V30" i="110"/>
  <c r="Y30" i="110"/>
  <c r="W46" i="110"/>
  <c r="W30" i="110" s="1"/>
  <c r="AO21" i="109"/>
  <c r="AE30" i="62"/>
  <c r="AG46" i="62"/>
  <c r="AG30" i="62" s="1"/>
  <c r="AH30" i="62"/>
  <c r="AF30" i="62"/>
  <c r="AI30" i="62"/>
  <c r="S32" i="62"/>
  <c r="R48" i="62"/>
  <c r="R32" i="62" s="1"/>
  <c r="Q32" i="62"/>
  <c r="P32" i="62"/>
  <c r="T32" i="62"/>
  <c r="E68" i="80" l="1"/>
  <c r="G40" i="39"/>
  <c r="F38" i="39"/>
  <c r="D11" i="39"/>
  <c r="T18" i="39"/>
  <c r="F40" i="38"/>
  <c r="E39" i="1"/>
  <c r="E159" i="1" s="1"/>
  <c r="E147" i="1" s="1"/>
  <c r="E151" i="1" s="1"/>
  <c r="E154" i="1" s="1"/>
  <c r="F33" i="1"/>
  <c r="E16" i="4"/>
  <c r="E16" i="56" s="1"/>
  <c r="E123" i="1"/>
  <c r="I27" i="53" s="1"/>
  <c r="D8" i="39"/>
  <c r="E47" i="33"/>
  <c r="D11" i="47"/>
  <c r="T18" i="47"/>
  <c r="F38" i="47"/>
  <c r="G40" i="47"/>
  <c r="F29" i="8"/>
  <c r="F24" i="8"/>
  <c r="F25" i="8" s="1"/>
  <c r="F33" i="8"/>
  <c r="F40" i="46"/>
  <c r="E123" i="8"/>
  <c r="I27" i="54" s="1"/>
  <c r="E39" i="8"/>
  <c r="E159" i="8" s="1"/>
  <c r="E147" i="8" s="1"/>
  <c r="E151" i="8" s="1"/>
  <c r="E154" i="8" s="1"/>
  <c r="G16" i="4"/>
  <c r="G16" i="56" s="1"/>
  <c r="D8" i="47"/>
  <c r="AR28" i="110"/>
  <c r="F24" i="1"/>
  <c r="F25" i="1" s="1"/>
  <c r="F29" i="1"/>
  <c r="AP28" i="110"/>
  <c r="AO28" i="110"/>
  <c r="U28" i="110"/>
  <c r="I3" i="112"/>
  <c r="BO3" i="112" s="1"/>
  <c r="AC24" i="110"/>
  <c r="J3" i="63"/>
  <c r="AJ3" i="112"/>
  <c r="AD24" i="110"/>
  <c r="Y24" i="110"/>
  <c r="AB40" i="110"/>
  <c r="AB24" i="110" s="1"/>
  <c r="V24" i="110"/>
  <c r="AA24" i="110"/>
  <c r="U24" i="110"/>
  <c r="W40" i="110"/>
  <c r="W24" i="110" s="1"/>
  <c r="C26" i="110"/>
  <c r="F25" i="110"/>
  <c r="AL40" i="110"/>
  <c r="AL24" i="110" s="1"/>
  <c r="AN24" i="110"/>
  <c r="C26" i="62"/>
  <c r="F25" i="62"/>
  <c r="AJ24" i="110"/>
  <c r="T24" i="110"/>
  <c r="AD28" i="110"/>
  <c r="AB44" i="110"/>
  <c r="AB28" i="110" s="1"/>
  <c r="AC28" i="110"/>
  <c r="Z28" i="110"/>
  <c r="AS24" i="110"/>
  <c r="AM24" i="110"/>
  <c r="AP24" i="110"/>
  <c r="R40" i="110"/>
  <c r="R24" i="110" s="1"/>
  <c r="P24" i="110"/>
  <c r="AR24" i="110"/>
  <c r="S24" i="110"/>
  <c r="AD25" i="110"/>
  <c r="AI28" i="110"/>
  <c r="AH28" i="110"/>
  <c r="AB41" i="110"/>
  <c r="AB25" i="110" s="1"/>
  <c r="Z25" i="110"/>
  <c r="Y25" i="110"/>
  <c r="AS25" i="110"/>
  <c r="AR25" i="110"/>
  <c r="X25" i="110"/>
  <c r="V25" i="110"/>
  <c r="AG44" i="110"/>
  <c r="AG28" i="110" s="1"/>
  <c r="AO25" i="110"/>
  <c r="U25" i="110"/>
  <c r="AA25" i="110"/>
  <c r="R41" i="110"/>
  <c r="R25" i="110" s="1"/>
  <c r="T25" i="110"/>
  <c r="Q25" i="110"/>
  <c r="P25" i="110"/>
  <c r="AL41" i="110"/>
  <c r="AL25" i="110" s="1"/>
  <c r="AN25" i="110"/>
  <c r="AK25" i="110"/>
  <c r="AJ25" i="110"/>
  <c r="AE33" i="110"/>
  <c r="U21" i="62"/>
  <c r="S20" i="63" s="1"/>
  <c r="M32" i="73" s="1"/>
  <c r="D126" i="1"/>
  <c r="D127" i="1" s="1"/>
  <c r="D129" i="1" s="1"/>
  <c r="D130" i="1" s="1"/>
  <c r="H31" i="114"/>
  <c r="L33" i="114"/>
  <c r="H30" i="114"/>
  <c r="A35" i="114"/>
  <c r="I28" i="114"/>
  <c r="F30" i="114"/>
  <c r="BT3" i="63"/>
  <c r="BX3" i="63" s="1"/>
  <c r="BY3" i="63"/>
  <c r="P31" i="110"/>
  <c r="R47" i="110"/>
  <c r="R31" i="110" s="1"/>
  <c r="Q31" i="110"/>
  <c r="T31" i="110"/>
  <c r="S31" i="110"/>
  <c r="W42" i="110"/>
  <c r="W26" i="110" s="1"/>
  <c r="X26" i="110"/>
  <c r="V26" i="110"/>
  <c r="U26" i="110"/>
  <c r="Y26" i="110"/>
  <c r="AB43" i="110"/>
  <c r="AB27" i="110" s="1"/>
  <c r="Z27" i="110"/>
  <c r="AA27" i="110"/>
  <c r="AD27" i="110"/>
  <c r="AC27" i="110"/>
  <c r="BR25" i="112"/>
  <c r="BN26" i="112"/>
  <c r="U31" i="110"/>
  <c r="V31" i="110"/>
  <c r="W47" i="110"/>
  <c r="W31" i="110" s="1"/>
  <c r="Y31" i="110"/>
  <c r="X31" i="110"/>
  <c r="AI35" i="110"/>
  <c r="AG51" i="110"/>
  <c r="AG35" i="110" s="1"/>
  <c r="AE35" i="110"/>
  <c r="AH35" i="110"/>
  <c r="AF35" i="110"/>
  <c r="AG50" i="110"/>
  <c r="AG34" i="110" s="1"/>
  <c r="AF34" i="110"/>
  <c r="AI34" i="110"/>
  <c r="AE34" i="110"/>
  <c r="AH34" i="110"/>
  <c r="AF10" i="111"/>
  <c r="L13" i="111"/>
  <c r="B4" i="111"/>
  <c r="S5" i="111"/>
  <c r="B10" i="111"/>
  <c r="S6" i="111"/>
  <c r="B7" i="111"/>
  <c r="AF5" i="111"/>
  <c r="L4" i="111"/>
  <c r="S12" i="111"/>
  <c r="AF8" i="111"/>
  <c r="AF11" i="111"/>
  <c r="S8" i="111"/>
  <c r="AF9" i="111"/>
  <c r="AF7" i="111"/>
  <c r="L8" i="111"/>
  <c r="L11" i="111"/>
  <c r="S7" i="111"/>
  <c r="B11" i="111"/>
  <c r="L12" i="111"/>
  <c r="L7" i="111"/>
  <c r="AF4" i="111"/>
  <c r="AF6" i="111"/>
  <c r="L10" i="111"/>
  <c r="B9" i="111"/>
  <c r="S4" i="111"/>
  <c r="S9" i="111"/>
  <c r="B8" i="111"/>
  <c r="S10" i="111"/>
  <c r="AF14" i="111"/>
  <c r="S11" i="111"/>
  <c r="B12" i="111"/>
  <c r="L6" i="111"/>
  <c r="B6" i="111"/>
  <c r="B14" i="111"/>
  <c r="S13" i="111"/>
  <c r="AF13" i="111"/>
  <c r="L14" i="111"/>
  <c r="AF12" i="111"/>
  <c r="S14" i="111"/>
  <c r="B13" i="111"/>
  <c r="L5" i="111"/>
  <c r="B5" i="111"/>
  <c r="L9" i="111"/>
  <c r="BR36" i="112"/>
  <c r="BN37" i="112"/>
  <c r="AP26" i="110"/>
  <c r="AR26" i="110"/>
  <c r="AO26" i="110"/>
  <c r="AS26" i="110"/>
  <c r="H29" i="13"/>
  <c r="H24" i="13"/>
  <c r="H25" i="13" s="1"/>
  <c r="H27" i="13" s="1"/>
  <c r="H28" i="13" s="1"/>
  <c r="R43" i="110"/>
  <c r="R27" i="110" s="1"/>
  <c r="P27" i="110"/>
  <c r="Q27" i="110"/>
  <c r="T27" i="110"/>
  <c r="S27" i="110"/>
  <c r="I19" i="16"/>
  <c r="H30" i="16"/>
  <c r="Z21" i="62"/>
  <c r="CN5" i="111"/>
  <c r="CN5" i="61"/>
  <c r="AA29" i="110"/>
  <c r="AD29" i="110"/>
  <c r="AB45" i="110"/>
  <c r="AB29" i="110" s="1"/>
  <c r="Z29" i="110"/>
  <c r="AC29" i="110"/>
  <c r="AN31" i="110"/>
  <c r="AL47" i="110"/>
  <c r="AL31" i="110" s="1"/>
  <c r="AJ31" i="110"/>
  <c r="AK31" i="110"/>
  <c r="AM31" i="110"/>
  <c r="AP35" i="110"/>
  <c r="AS35" i="110"/>
  <c r="AR35" i="110"/>
  <c r="AO35" i="110"/>
  <c r="W50" i="110"/>
  <c r="W34" i="110" s="1"/>
  <c r="U34" i="110"/>
  <c r="Y34" i="110"/>
  <c r="V34" i="110"/>
  <c r="X34" i="110"/>
  <c r="I19" i="18"/>
  <c r="H30" i="18"/>
  <c r="AR27" i="110"/>
  <c r="AP27" i="110"/>
  <c r="AS27" i="110"/>
  <c r="AO27" i="110"/>
  <c r="AC34" i="110"/>
  <c r="AA34" i="110"/>
  <c r="Z34" i="110"/>
  <c r="AD34" i="110"/>
  <c r="AB50" i="110"/>
  <c r="AB34" i="110" s="1"/>
  <c r="F27" i="80"/>
  <c r="F28" i="80" s="1"/>
  <c r="F34" i="80"/>
  <c r="E120" i="79"/>
  <c r="E68" i="79"/>
  <c r="E69" i="80"/>
  <c r="E121" i="80"/>
  <c r="E122" i="80" s="1"/>
  <c r="E82" i="80"/>
  <c r="E113" i="80"/>
  <c r="E117" i="80" s="1"/>
  <c r="E86" i="80" s="1"/>
  <c r="E105" i="80"/>
  <c r="E108" i="80" s="1"/>
  <c r="E84" i="80" s="1"/>
  <c r="E97" i="80" s="1"/>
  <c r="E144" i="80" s="1"/>
  <c r="E147" i="80" s="1"/>
  <c r="AL43" i="110"/>
  <c r="AL27" i="110" s="1"/>
  <c r="AN27" i="110"/>
  <c r="AJ27" i="110"/>
  <c r="AK27" i="110"/>
  <c r="AM27" i="110"/>
  <c r="BN37" i="61"/>
  <c r="BR36" i="61"/>
  <c r="P21" i="62"/>
  <c r="W45" i="110"/>
  <c r="W29" i="110" s="1"/>
  <c r="Y29" i="110"/>
  <c r="U29" i="110"/>
  <c r="V29" i="110"/>
  <c r="X29" i="110"/>
  <c r="AJ21" i="21"/>
  <c r="AJ21" i="62"/>
  <c r="E21" i="35"/>
  <c r="F22" i="35"/>
  <c r="D19" i="35"/>
  <c r="S24" i="111"/>
  <c r="AF23" i="111"/>
  <c r="L21" i="111"/>
  <c r="L20" i="111"/>
  <c r="L19" i="111"/>
  <c r="S20" i="111"/>
  <c r="AF18" i="111"/>
  <c r="AF20" i="111"/>
  <c r="B18" i="111"/>
  <c r="S17" i="111"/>
  <c r="B22" i="111"/>
  <c r="AF25" i="111"/>
  <c r="L18" i="111"/>
  <c r="AF27" i="111"/>
  <c r="B21" i="111"/>
  <c r="L22" i="111"/>
  <c r="B20" i="111"/>
  <c r="L27" i="111"/>
  <c r="S26" i="111"/>
  <c r="S19" i="111"/>
  <c r="L26" i="111"/>
  <c r="S25" i="111"/>
  <c r="B19" i="111"/>
  <c r="B27" i="111"/>
  <c r="S27" i="111"/>
  <c r="B17" i="111"/>
  <c r="S18" i="111"/>
  <c r="S23" i="111"/>
  <c r="L24" i="111"/>
  <c r="L17" i="111"/>
  <c r="B26" i="111"/>
  <c r="L25" i="111"/>
  <c r="B25" i="111"/>
  <c r="B24" i="111"/>
  <c r="AF24" i="111"/>
  <c r="AF22" i="111"/>
  <c r="AF26" i="111"/>
  <c r="B23" i="111"/>
  <c r="L23" i="111"/>
  <c r="S22" i="111"/>
  <c r="AF19" i="111"/>
  <c r="AF21" i="111"/>
  <c r="S21" i="111"/>
  <c r="AF17" i="111"/>
  <c r="BN26" i="61"/>
  <c r="BR25" i="61"/>
  <c r="BR36" i="111"/>
  <c r="BN37" i="111"/>
  <c r="BN26" i="111"/>
  <c r="BR25" i="111"/>
  <c r="AJ29" i="110"/>
  <c r="AL45" i="110"/>
  <c r="AL29" i="110" s="1"/>
  <c r="AN29" i="110"/>
  <c r="AK29" i="110"/>
  <c r="AM29" i="110"/>
  <c r="AE31" i="110"/>
  <c r="AH31" i="110"/>
  <c r="AG47" i="110"/>
  <c r="AG31" i="110" s="1"/>
  <c r="AI31" i="110"/>
  <c r="AF31" i="110"/>
  <c r="U21" i="21"/>
  <c r="AI27" i="110"/>
  <c r="AH27" i="110"/>
  <c r="AF27" i="110"/>
  <c r="AE27" i="110"/>
  <c r="AG43" i="110"/>
  <c r="AG27" i="110" s="1"/>
  <c r="AE21" i="62"/>
  <c r="AD26" i="110"/>
  <c r="Z26" i="110"/>
  <c r="AA26" i="110"/>
  <c r="AC26" i="110"/>
  <c r="AB42" i="110"/>
  <c r="AB26" i="110" s="1"/>
  <c r="CO5" i="111"/>
  <c r="CO5" i="61"/>
  <c r="I19" i="15"/>
  <c r="H30" i="15"/>
  <c r="S30" i="111"/>
  <c r="AF40" i="111"/>
  <c r="S35" i="111"/>
  <c r="S34" i="111"/>
  <c r="AF39" i="111"/>
  <c r="B30" i="111"/>
  <c r="B39" i="111"/>
  <c r="AF36" i="111"/>
  <c r="L37" i="111"/>
  <c r="L33" i="111"/>
  <c r="S32" i="111"/>
  <c r="B38" i="111"/>
  <c r="L34" i="111"/>
  <c r="B34" i="111"/>
  <c r="S33" i="111"/>
  <c r="B33" i="111"/>
  <c r="B35" i="111"/>
  <c r="AF30" i="111"/>
  <c r="L31" i="111"/>
  <c r="AF37" i="111"/>
  <c r="B31" i="111"/>
  <c r="B32" i="111"/>
  <c r="AF35" i="111"/>
  <c r="S40" i="111"/>
  <c r="AF34" i="111"/>
  <c r="AF38" i="111"/>
  <c r="S36" i="111"/>
  <c r="L38" i="111"/>
  <c r="L30" i="111"/>
  <c r="L35" i="111"/>
  <c r="S38" i="111"/>
  <c r="L39" i="111"/>
  <c r="B37" i="111"/>
  <c r="S37" i="111"/>
  <c r="L32" i="111"/>
  <c r="AF33" i="111"/>
  <c r="L36" i="111"/>
  <c r="L40" i="111"/>
  <c r="S31" i="111"/>
  <c r="S39" i="111"/>
  <c r="B36" i="111"/>
  <c r="AF31" i="111"/>
  <c r="AF32" i="111"/>
  <c r="B40" i="111"/>
  <c r="B28" i="114"/>
  <c r="D28" i="114" s="1"/>
  <c r="I19" i="19"/>
  <c r="H30" i="19"/>
  <c r="Z35" i="110"/>
  <c r="AD35" i="110"/>
  <c r="AB51" i="110"/>
  <c r="AB35" i="110" s="1"/>
  <c r="AC35" i="110"/>
  <c r="AA35" i="110"/>
  <c r="AE30" i="110"/>
  <c r="AH26" i="110"/>
  <c r="AF26" i="110"/>
  <c r="AE26" i="110"/>
  <c r="AI26" i="110"/>
  <c r="AG42" i="110"/>
  <c r="AG26" i="110" s="1"/>
  <c r="AI15" i="4"/>
  <c r="D126" i="8"/>
  <c r="D127" i="8" s="1"/>
  <c r="D129" i="8" s="1"/>
  <c r="BN37" i="63"/>
  <c r="BR36" i="63"/>
  <c r="I19" i="17"/>
  <c r="H30" i="17"/>
  <c r="A22" i="35"/>
  <c r="C21" i="35"/>
  <c r="AE21" i="21"/>
  <c r="BR25" i="63"/>
  <c r="BN26" i="63"/>
  <c r="AE29" i="110"/>
  <c r="AH29" i="110"/>
  <c r="AG45" i="110"/>
  <c r="AG29" i="110" s="1"/>
  <c r="AF29" i="110"/>
  <c r="AI29" i="110"/>
  <c r="AD31" i="110"/>
  <c r="AB47" i="110"/>
  <c r="AB31" i="110" s="1"/>
  <c r="AA31" i="110"/>
  <c r="Z31" i="110"/>
  <c r="AC31" i="110"/>
  <c r="AK34" i="110"/>
  <c r="AL50" i="110"/>
  <c r="AL34" i="110" s="1"/>
  <c r="AM34" i="110"/>
  <c r="AJ34" i="110"/>
  <c r="AN34" i="110"/>
  <c r="H29" i="14"/>
  <c r="H24" i="14"/>
  <c r="H25" i="14" s="1"/>
  <c r="H27" i="14" s="1"/>
  <c r="H28" i="14" s="1"/>
  <c r="AJ26" i="110"/>
  <c r="AL42" i="110"/>
  <c r="AL26" i="110" s="1"/>
  <c r="AK26" i="110"/>
  <c r="AN26" i="110"/>
  <c r="AM26" i="110"/>
  <c r="AE28" i="110"/>
  <c r="AO21" i="62"/>
  <c r="AO29" i="110"/>
  <c r="AP29" i="110"/>
  <c r="AS29" i="110"/>
  <c r="AR29" i="110"/>
  <c r="X35" i="110"/>
  <c r="V35" i="110"/>
  <c r="U35" i="110"/>
  <c r="W51" i="110"/>
  <c r="W35" i="110" s="1"/>
  <c r="Y35" i="110"/>
  <c r="AO34" i="110"/>
  <c r="AP34" i="110"/>
  <c r="AR34" i="110"/>
  <c r="AS34" i="110"/>
  <c r="AN35" i="110"/>
  <c r="AJ35" i="110"/>
  <c r="AK35" i="110"/>
  <c r="AM35" i="110"/>
  <c r="AL51" i="110"/>
  <c r="AL35" i="110" s="1"/>
  <c r="F34" i="79"/>
  <c r="F27" i="79"/>
  <c r="F28" i="79" s="1"/>
  <c r="S26" i="110"/>
  <c r="P26" i="110"/>
  <c r="Q26" i="110"/>
  <c r="T26" i="110"/>
  <c r="R42" i="110"/>
  <c r="R26" i="110" s="1"/>
  <c r="Z21" i="21"/>
  <c r="AE32" i="110"/>
  <c r="AP31" i="110"/>
  <c r="AS31" i="110"/>
  <c r="AR31" i="110"/>
  <c r="AO31" i="110"/>
  <c r="P21" i="21"/>
  <c r="I19" i="54"/>
  <c r="AF47" i="111"/>
  <c r="AW47" i="111" s="1"/>
  <c r="AF50" i="111"/>
  <c r="AW50" i="111" s="1"/>
  <c r="L44" i="111"/>
  <c r="AF48" i="111"/>
  <c r="AW48" i="111" s="1"/>
  <c r="S47" i="111"/>
  <c r="S46" i="111"/>
  <c r="L51" i="111"/>
  <c r="AF53" i="111"/>
  <c r="AW53" i="111" s="1"/>
  <c r="L49" i="111"/>
  <c r="S45" i="111"/>
  <c r="B53" i="111"/>
  <c r="S49" i="111"/>
  <c r="B49" i="111"/>
  <c r="AF43" i="111"/>
  <c r="AW43" i="111" s="1"/>
  <c r="L48" i="111"/>
  <c r="S52" i="111"/>
  <c r="L46" i="111"/>
  <c r="B44" i="111"/>
  <c r="S53" i="111"/>
  <c r="S50" i="111"/>
  <c r="S44" i="111"/>
  <c r="B52" i="111"/>
  <c r="AF49" i="111"/>
  <c r="AW49" i="111" s="1"/>
  <c r="B45" i="111"/>
  <c r="L45" i="111"/>
  <c r="B47" i="111"/>
  <c r="AF51" i="111"/>
  <c r="AW51" i="111" s="1"/>
  <c r="L53" i="111"/>
  <c r="B46" i="111"/>
  <c r="L52" i="111"/>
  <c r="AF44" i="111"/>
  <c r="AW44" i="111" s="1"/>
  <c r="B43" i="111"/>
  <c r="L47" i="111"/>
  <c r="AF45" i="111"/>
  <c r="AW45" i="111" s="1"/>
  <c r="B50" i="111"/>
  <c r="L50" i="111"/>
  <c r="S43" i="111"/>
  <c r="B51" i="111"/>
  <c r="L43" i="111"/>
  <c r="S48" i="111"/>
  <c r="B48" i="111"/>
  <c r="S51" i="111"/>
  <c r="AF46" i="111"/>
  <c r="AW46" i="111" s="1"/>
  <c r="AF52" i="111"/>
  <c r="AW52" i="111" s="1"/>
  <c r="Y27" i="110"/>
  <c r="W43" i="110"/>
  <c r="W27" i="110" s="1"/>
  <c r="X27" i="110"/>
  <c r="U27" i="110"/>
  <c r="V27" i="110"/>
  <c r="AO21" i="21"/>
  <c r="P29" i="110"/>
  <c r="T29" i="110"/>
  <c r="S29" i="110"/>
  <c r="R45" i="110"/>
  <c r="R29" i="110" s="1"/>
  <c r="Q29" i="110"/>
  <c r="R51" i="110"/>
  <c r="R35" i="110" s="1"/>
  <c r="T35" i="110"/>
  <c r="Q35" i="110"/>
  <c r="S35" i="110"/>
  <c r="P35" i="110"/>
  <c r="P34" i="110"/>
  <c r="S34" i="110"/>
  <c r="Q34" i="110"/>
  <c r="T34" i="110"/>
  <c r="R50" i="110"/>
  <c r="R34" i="110" s="1"/>
  <c r="I19" i="11"/>
  <c r="H30" i="11"/>
  <c r="T19" i="47" l="1"/>
  <c r="T20" i="47"/>
  <c r="D45" i="38"/>
  <c r="D44" i="38"/>
  <c r="D42" i="38"/>
  <c r="T19" i="39"/>
  <c r="T20" i="39"/>
  <c r="D42" i="46"/>
  <c r="D44" i="46"/>
  <c r="D45" i="46"/>
  <c r="F27" i="1"/>
  <c r="F34" i="1"/>
  <c r="F34" i="8"/>
  <c r="F27" i="8"/>
  <c r="B22" i="63"/>
  <c r="R22" i="63" s="1"/>
  <c r="J3" i="112"/>
  <c r="C27" i="62"/>
  <c r="F26" i="62"/>
  <c r="BT3" i="112"/>
  <c r="BX3" i="112" s="1"/>
  <c r="BY3" i="112"/>
  <c r="C27" i="110"/>
  <c r="F26" i="110"/>
  <c r="S27" i="63"/>
  <c r="M39" i="73" s="1"/>
  <c r="AF26" i="63"/>
  <c r="AW26" i="63" s="1"/>
  <c r="BV26" i="63" s="1"/>
  <c r="B24" i="63"/>
  <c r="H24" i="63" s="1"/>
  <c r="S22" i="63"/>
  <c r="M34" i="73" s="1"/>
  <c r="B25" i="63"/>
  <c r="C25" i="63" s="1"/>
  <c r="L19" i="63"/>
  <c r="AI19" i="63" s="1"/>
  <c r="L17" i="63"/>
  <c r="AH17" i="63" s="1"/>
  <c r="AF20" i="63"/>
  <c r="AW20" i="63" s="1"/>
  <c r="BV20" i="63" s="1"/>
  <c r="AF22" i="63"/>
  <c r="AW22" i="63" s="1"/>
  <c r="BV22" i="63" s="1"/>
  <c r="AF17" i="63"/>
  <c r="AW17" i="63" s="1"/>
  <c r="BV17" i="63" s="1"/>
  <c r="AF21" i="63"/>
  <c r="AW21" i="63" s="1"/>
  <c r="BV21" i="63" s="1"/>
  <c r="B27" i="63"/>
  <c r="R27" i="63" s="1"/>
  <c r="S19" i="63"/>
  <c r="M31" i="73" s="1"/>
  <c r="L23" i="63"/>
  <c r="AH23" i="63" s="1"/>
  <c r="AF19" i="63"/>
  <c r="AW19" i="63" s="1"/>
  <c r="BV19" i="63" s="1"/>
  <c r="L18" i="63"/>
  <c r="AH18" i="63" s="1"/>
  <c r="AF23" i="63"/>
  <c r="AW23" i="63" s="1"/>
  <c r="BV23" i="63" s="1"/>
  <c r="AF18" i="63"/>
  <c r="AW18" i="63" s="1"/>
  <c r="BV18" i="63" s="1"/>
  <c r="L27" i="63"/>
  <c r="AH27" i="63" s="1"/>
  <c r="B23" i="63"/>
  <c r="Z23" i="63" s="1"/>
  <c r="S17" i="63"/>
  <c r="M29" i="73" s="1"/>
  <c r="S24" i="63"/>
  <c r="M36" i="73" s="1"/>
  <c r="L26" i="63"/>
  <c r="AH26" i="63" s="1"/>
  <c r="L22" i="63"/>
  <c r="K34" i="73" s="1"/>
  <c r="AF25" i="63"/>
  <c r="AW25" i="63" s="1"/>
  <c r="BV25" i="63" s="1"/>
  <c r="B20" i="63"/>
  <c r="Z20" i="63" s="1"/>
  <c r="AF24" i="63"/>
  <c r="AW24" i="63" s="1"/>
  <c r="BV24" i="63" s="1"/>
  <c r="L25" i="63"/>
  <c r="K37" i="73" s="1"/>
  <c r="B19" i="63"/>
  <c r="F19" i="63" s="1"/>
  <c r="J31" i="73" s="1"/>
  <c r="S23" i="63"/>
  <c r="M35" i="73" s="1"/>
  <c r="B18" i="63"/>
  <c r="O18" i="63" s="1"/>
  <c r="L20" i="63"/>
  <c r="AO20" i="63" s="1"/>
  <c r="B26" i="63"/>
  <c r="N26" i="63" s="1"/>
  <c r="S26" i="63"/>
  <c r="M38" i="73" s="1"/>
  <c r="B17" i="63"/>
  <c r="AF27" i="63"/>
  <c r="L24" i="63"/>
  <c r="K36" i="73" s="1"/>
  <c r="S21" i="63"/>
  <c r="M33" i="73" s="1"/>
  <c r="S25" i="63"/>
  <c r="M37" i="73" s="1"/>
  <c r="S18" i="63"/>
  <c r="M30" i="73" s="1"/>
  <c r="L21" i="63"/>
  <c r="K33" i="73" s="1"/>
  <c r="B21" i="63"/>
  <c r="G21" i="63" s="1"/>
  <c r="P21" i="110"/>
  <c r="S10" i="112" s="1"/>
  <c r="Z21" i="110"/>
  <c r="S37" i="112" s="1"/>
  <c r="AJ21" i="110"/>
  <c r="AO21" i="110"/>
  <c r="U21" i="110"/>
  <c r="AF17" i="112" s="1"/>
  <c r="AE21" i="110"/>
  <c r="S45" i="112" s="1"/>
  <c r="D169" i="1"/>
  <c r="D17" i="53" s="1"/>
  <c r="G18" i="79"/>
  <c r="G19" i="79" s="1"/>
  <c r="F30" i="79"/>
  <c r="F31" i="79"/>
  <c r="I22" i="17"/>
  <c r="C36" i="111"/>
  <c r="H36" i="111"/>
  <c r="R36" i="111"/>
  <c r="Y36" i="111"/>
  <c r="AD36" i="111"/>
  <c r="G36" i="111"/>
  <c r="Z36" i="111"/>
  <c r="F36" i="111"/>
  <c r="N36" i="111"/>
  <c r="O36" i="111"/>
  <c r="AD35" i="111"/>
  <c r="O35" i="111"/>
  <c r="R35" i="111"/>
  <c r="Y35" i="111"/>
  <c r="Z35" i="111"/>
  <c r="C35" i="111"/>
  <c r="F35" i="111"/>
  <c r="N35" i="111"/>
  <c r="H35" i="111"/>
  <c r="G35" i="111"/>
  <c r="AW12" i="111"/>
  <c r="BV12" i="111" s="1"/>
  <c r="AW6" i="111"/>
  <c r="BV6" i="111" s="1"/>
  <c r="U39" i="111"/>
  <c r="AC39" i="111" s="1"/>
  <c r="AI39" i="111"/>
  <c r="AH39" i="111"/>
  <c r="AO39" i="111"/>
  <c r="AW36" i="111"/>
  <c r="BV36" i="111" s="1"/>
  <c r="AW4" i="111"/>
  <c r="BV4" i="111" s="1"/>
  <c r="BW4" i="111" s="1"/>
  <c r="AH53" i="111"/>
  <c r="AO53" i="111"/>
  <c r="U53" i="111"/>
  <c r="AI53" i="111"/>
  <c r="AF30" i="61"/>
  <c r="L39" i="61"/>
  <c r="AF37" i="61"/>
  <c r="S36" i="61"/>
  <c r="F49" i="73" s="1"/>
  <c r="S32" i="61"/>
  <c r="F45" i="73" s="1"/>
  <c r="S39" i="61"/>
  <c r="F52" i="73" s="1"/>
  <c r="S37" i="61"/>
  <c r="F50" i="73" s="1"/>
  <c r="AF34" i="61"/>
  <c r="AF38" i="61"/>
  <c r="B36" i="61"/>
  <c r="S33" i="61"/>
  <c r="F46" i="73" s="1"/>
  <c r="S38" i="61"/>
  <c r="F51" i="73" s="1"/>
  <c r="L30" i="61"/>
  <c r="AF40" i="61"/>
  <c r="B31" i="61"/>
  <c r="L35" i="61"/>
  <c r="B37" i="61"/>
  <c r="L36" i="61"/>
  <c r="AF35" i="61"/>
  <c r="S35" i="61"/>
  <c r="F48" i="73" s="1"/>
  <c r="B33" i="61"/>
  <c r="L40" i="61"/>
  <c r="B39" i="61"/>
  <c r="AF31" i="61"/>
  <c r="B32" i="61"/>
  <c r="AF32" i="61"/>
  <c r="B40" i="61"/>
  <c r="S30" i="61"/>
  <c r="F43" i="73" s="1"/>
  <c r="AF33" i="61"/>
  <c r="L34" i="61"/>
  <c r="B35" i="61"/>
  <c r="AF39" i="61"/>
  <c r="L33" i="61"/>
  <c r="S31" i="61"/>
  <c r="F44" i="73" s="1"/>
  <c r="AF36" i="61"/>
  <c r="B30" i="61"/>
  <c r="S40" i="61"/>
  <c r="F53" i="73" s="1"/>
  <c r="L37" i="61"/>
  <c r="B34" i="61"/>
  <c r="L31" i="61"/>
  <c r="S34" i="61"/>
  <c r="F47" i="73" s="1"/>
  <c r="B38" i="61"/>
  <c r="L32" i="61"/>
  <c r="L38" i="61"/>
  <c r="BN38" i="63"/>
  <c r="BR37" i="63"/>
  <c r="AW35" i="111"/>
  <c r="BV35" i="111" s="1"/>
  <c r="R39" i="111"/>
  <c r="N39" i="111"/>
  <c r="F39" i="111"/>
  <c r="AD39" i="111"/>
  <c r="Y39" i="111"/>
  <c r="G39" i="111"/>
  <c r="C39" i="111"/>
  <c r="O39" i="111"/>
  <c r="H39" i="111"/>
  <c r="Z39" i="111"/>
  <c r="AW24" i="111"/>
  <c r="BV24" i="111" s="1"/>
  <c r="O22" i="111"/>
  <c r="R22" i="111"/>
  <c r="F22" i="111"/>
  <c r="C22" i="111"/>
  <c r="Y22" i="111"/>
  <c r="Z22" i="111"/>
  <c r="H22" i="111"/>
  <c r="N22" i="111"/>
  <c r="AD22" i="111"/>
  <c r="G22" i="111"/>
  <c r="AO21" i="111"/>
  <c r="AI21" i="111"/>
  <c r="AH21" i="111"/>
  <c r="U21" i="111"/>
  <c r="AC21" i="111" s="1"/>
  <c r="BR37" i="61"/>
  <c r="BN38" i="61"/>
  <c r="E98" i="80"/>
  <c r="E85" i="80" s="1"/>
  <c r="F146" i="80"/>
  <c r="F145" i="80" s="1"/>
  <c r="G18" i="80"/>
  <c r="G19" i="80" s="1"/>
  <c r="F30" i="80"/>
  <c r="F31" i="80"/>
  <c r="CO16" i="112"/>
  <c r="H31" i="18"/>
  <c r="CO16" i="63"/>
  <c r="AW13" i="111"/>
  <c r="BV13" i="111" s="1"/>
  <c r="AO7" i="111"/>
  <c r="AI7" i="111"/>
  <c r="U7" i="111"/>
  <c r="AH7" i="111"/>
  <c r="C10" i="111"/>
  <c r="F10" i="111"/>
  <c r="AD10" i="111"/>
  <c r="N10" i="111"/>
  <c r="R10" i="111"/>
  <c r="O10" i="111"/>
  <c r="G10" i="111"/>
  <c r="Z10" i="111"/>
  <c r="Y10" i="111"/>
  <c r="H10" i="111"/>
  <c r="E165" i="1"/>
  <c r="E128" i="1" s="1"/>
  <c r="I17" i="53"/>
  <c r="I21" i="53" s="1"/>
  <c r="D92" i="1"/>
  <c r="F50" i="111"/>
  <c r="C50" i="111"/>
  <c r="Z50" i="111"/>
  <c r="F53" i="111"/>
  <c r="C53" i="111"/>
  <c r="G53" i="111" s="1"/>
  <c r="Z53" i="111"/>
  <c r="U44" i="111"/>
  <c r="AH44" i="111"/>
  <c r="AO44" i="111"/>
  <c r="AI44" i="111"/>
  <c r="L14" i="61"/>
  <c r="AF8" i="61"/>
  <c r="B6" i="61"/>
  <c r="AF6" i="61"/>
  <c r="S14" i="61"/>
  <c r="F25" i="73" s="1"/>
  <c r="S4" i="61"/>
  <c r="F15" i="73" s="1"/>
  <c r="B8" i="61"/>
  <c r="B4" i="61"/>
  <c r="L8" i="61"/>
  <c r="AF4" i="61"/>
  <c r="L10" i="61"/>
  <c r="AF10" i="61"/>
  <c r="S7" i="61"/>
  <c r="F18" i="73" s="1"/>
  <c r="AF12" i="61"/>
  <c r="S12" i="61"/>
  <c r="F23" i="73" s="1"/>
  <c r="AF5" i="61"/>
  <c r="AF11" i="61"/>
  <c r="B5" i="61"/>
  <c r="L9" i="61"/>
  <c r="S6" i="61"/>
  <c r="F17" i="73" s="1"/>
  <c r="S10" i="61"/>
  <c r="F21" i="73" s="1"/>
  <c r="L4" i="61"/>
  <c r="AF13" i="61"/>
  <c r="S9" i="61"/>
  <c r="F20" i="73" s="1"/>
  <c r="S8" i="61"/>
  <c r="F19" i="73" s="1"/>
  <c r="B7" i="61"/>
  <c r="L7" i="61"/>
  <c r="AF9" i="61"/>
  <c r="AF7" i="61"/>
  <c r="B14" i="61"/>
  <c r="S5" i="61"/>
  <c r="F16" i="73" s="1"/>
  <c r="L6" i="61"/>
  <c r="S13" i="61"/>
  <c r="F24" i="73" s="1"/>
  <c r="L12" i="61"/>
  <c r="S11" i="61"/>
  <c r="F22" i="73" s="1"/>
  <c r="AF14" i="61"/>
  <c r="B13" i="61"/>
  <c r="B10" i="61"/>
  <c r="L5" i="61"/>
  <c r="B9" i="61"/>
  <c r="B11" i="61"/>
  <c r="L13" i="61"/>
  <c r="B12" i="61"/>
  <c r="L11" i="61"/>
  <c r="D169" i="8"/>
  <c r="D17" i="54" s="1"/>
  <c r="D130" i="8"/>
  <c r="AO40" i="111"/>
  <c r="AH40" i="111"/>
  <c r="U40" i="111"/>
  <c r="AC40" i="111" s="1"/>
  <c r="AI40" i="111"/>
  <c r="U35" i="111"/>
  <c r="AC35" i="111" s="1"/>
  <c r="AH35" i="111"/>
  <c r="AI35" i="111"/>
  <c r="AO35" i="111"/>
  <c r="O32" i="111"/>
  <c r="F32" i="111"/>
  <c r="AD32" i="111"/>
  <c r="H32" i="111"/>
  <c r="N32" i="111"/>
  <c r="Y32" i="111"/>
  <c r="C32" i="111"/>
  <c r="G32" i="111"/>
  <c r="Z32" i="111"/>
  <c r="R32" i="111"/>
  <c r="R34" i="111"/>
  <c r="O34" i="111"/>
  <c r="F34" i="111"/>
  <c r="AD34" i="111"/>
  <c r="G34" i="111"/>
  <c r="C34" i="111"/>
  <c r="H34" i="111"/>
  <c r="N34" i="111"/>
  <c r="Y34" i="111"/>
  <c r="Z34" i="111"/>
  <c r="AD30" i="111"/>
  <c r="N30" i="111"/>
  <c r="H30" i="111"/>
  <c r="R30" i="111"/>
  <c r="Y30" i="111"/>
  <c r="Z30" i="111"/>
  <c r="G30" i="111"/>
  <c r="F30" i="111"/>
  <c r="C30" i="111"/>
  <c r="G29" i="111" s="1"/>
  <c r="H29" i="111" s="1"/>
  <c r="CA29" i="111" s="1"/>
  <c r="O30" i="111"/>
  <c r="CP16" i="61"/>
  <c r="H31" i="15"/>
  <c r="CP16" i="111"/>
  <c r="BR26" i="111"/>
  <c r="BN27" i="111"/>
  <c r="BR27" i="111" s="1"/>
  <c r="AW21" i="111"/>
  <c r="BV21" i="111" s="1"/>
  <c r="O24" i="111"/>
  <c r="Z24" i="111"/>
  <c r="G24" i="111"/>
  <c r="N24" i="111"/>
  <c r="AD24" i="111"/>
  <c r="H24" i="111"/>
  <c r="F24" i="111"/>
  <c r="Y24" i="111"/>
  <c r="R24" i="111"/>
  <c r="C24" i="111"/>
  <c r="F17" i="111"/>
  <c r="Z17" i="111"/>
  <c r="C17" i="111"/>
  <c r="AO27" i="111"/>
  <c r="AI27" i="111"/>
  <c r="AH27" i="111"/>
  <c r="U27" i="111"/>
  <c r="AC27" i="111" s="1"/>
  <c r="AW23" i="111"/>
  <c r="BV23" i="111" s="1"/>
  <c r="I22" i="18"/>
  <c r="U9" i="111"/>
  <c r="AC9" i="111" s="1"/>
  <c r="AH9" i="111"/>
  <c r="AI9" i="111"/>
  <c r="AO9" i="111"/>
  <c r="C8" i="111"/>
  <c r="N8" i="111"/>
  <c r="AD8" i="111"/>
  <c r="O8" i="111"/>
  <c r="H8" i="111"/>
  <c r="R8" i="111"/>
  <c r="F8" i="111"/>
  <c r="G8" i="111"/>
  <c r="Y8" i="111"/>
  <c r="Z8" i="111"/>
  <c r="AH12" i="111"/>
  <c r="AI12" i="111"/>
  <c r="AO12" i="111"/>
  <c r="U12" i="111"/>
  <c r="AC12" i="111" s="1"/>
  <c r="AW11" i="111"/>
  <c r="BV11" i="111" s="1"/>
  <c r="K28" i="114"/>
  <c r="J28" i="114"/>
  <c r="M33" i="114" s="1"/>
  <c r="N33" i="114" s="1"/>
  <c r="F28" i="114"/>
  <c r="G28" i="114" s="1"/>
  <c r="H28" i="114" s="1"/>
  <c r="D33" i="114" s="1"/>
  <c r="L28" i="114"/>
  <c r="BN27" i="61"/>
  <c r="BR27" i="61" s="1"/>
  <c r="BR26" i="61"/>
  <c r="AH18" i="111"/>
  <c r="U18" i="111"/>
  <c r="AC18" i="111" s="1"/>
  <c r="AO18" i="111"/>
  <c r="AI18" i="111"/>
  <c r="AW7" i="111"/>
  <c r="BV7" i="111" s="1"/>
  <c r="I19" i="14"/>
  <c r="H30" i="14"/>
  <c r="AW25" i="111"/>
  <c r="BV25" i="111" s="1"/>
  <c r="AI50" i="111"/>
  <c r="AO50" i="111"/>
  <c r="AH50" i="111"/>
  <c r="U50" i="111"/>
  <c r="C44" i="111"/>
  <c r="F44" i="111"/>
  <c r="E44" i="111"/>
  <c r="K44" i="111" s="1"/>
  <c r="M44" i="111" s="1"/>
  <c r="N44" i="111" s="1"/>
  <c r="Z44" i="111"/>
  <c r="E22" i="35"/>
  <c r="D20" i="35"/>
  <c r="F23" i="35"/>
  <c r="N31" i="111"/>
  <c r="R31" i="111"/>
  <c r="AD31" i="111"/>
  <c r="H31" i="111"/>
  <c r="G31" i="111"/>
  <c r="Z31" i="111"/>
  <c r="F31" i="111"/>
  <c r="O31" i="111"/>
  <c r="Y31" i="111"/>
  <c r="C31" i="111"/>
  <c r="AW19" i="111"/>
  <c r="BV19" i="111" s="1"/>
  <c r="N25" i="111"/>
  <c r="AD25" i="111"/>
  <c r="C25" i="111"/>
  <c r="H25" i="111"/>
  <c r="Y25" i="111"/>
  <c r="Z25" i="111"/>
  <c r="O25" i="111"/>
  <c r="F25" i="111"/>
  <c r="G25" i="111"/>
  <c r="R25" i="111"/>
  <c r="C5" i="111"/>
  <c r="Z5" i="111"/>
  <c r="F5" i="111"/>
  <c r="AW8" i="111"/>
  <c r="BV8" i="111" s="1"/>
  <c r="F48" i="111"/>
  <c r="C48" i="111"/>
  <c r="E48" i="111"/>
  <c r="K48" i="111" s="1"/>
  <c r="M48" i="111" s="1"/>
  <c r="N48" i="111" s="1"/>
  <c r="Z48" i="111"/>
  <c r="AO45" i="111"/>
  <c r="AI45" i="111"/>
  <c r="AH45" i="111"/>
  <c r="U45" i="111"/>
  <c r="A23" i="35"/>
  <c r="C22" i="35"/>
  <c r="AD40" i="111"/>
  <c r="R40" i="111"/>
  <c r="O40" i="111"/>
  <c r="C40" i="111"/>
  <c r="Z40" i="111"/>
  <c r="Y40" i="111"/>
  <c r="N40" i="111"/>
  <c r="G40" i="111"/>
  <c r="H40" i="111"/>
  <c r="F40" i="111"/>
  <c r="AW33" i="111"/>
  <c r="BV33" i="111" s="1"/>
  <c r="U38" i="111"/>
  <c r="AC38" i="111" s="1"/>
  <c r="AI38" i="111"/>
  <c r="AO38" i="111"/>
  <c r="AH38" i="111"/>
  <c r="AW37" i="111"/>
  <c r="BV37" i="111" s="1"/>
  <c r="C38" i="111"/>
  <c r="AD38" i="111"/>
  <c r="N38" i="111"/>
  <c r="Y38" i="111"/>
  <c r="H38" i="111"/>
  <c r="F38" i="111"/>
  <c r="G38" i="111"/>
  <c r="O38" i="111"/>
  <c r="Z38" i="111"/>
  <c r="R38" i="111"/>
  <c r="BN38" i="111"/>
  <c r="BR37" i="111"/>
  <c r="AH25" i="111"/>
  <c r="AI25" i="111"/>
  <c r="AO25" i="111"/>
  <c r="U25" i="111"/>
  <c r="AC25" i="111" s="1"/>
  <c r="H27" i="111"/>
  <c r="C27" i="111"/>
  <c r="N27" i="111"/>
  <c r="Z27" i="111"/>
  <c r="Y27" i="111"/>
  <c r="F27" i="111"/>
  <c r="O27" i="111"/>
  <c r="R27" i="111"/>
  <c r="G27" i="111"/>
  <c r="AD27" i="111"/>
  <c r="U22" i="111"/>
  <c r="AC22" i="111" s="1"/>
  <c r="AO22" i="111"/>
  <c r="AI22" i="111"/>
  <c r="AH22" i="111"/>
  <c r="AW20" i="111"/>
  <c r="BV20" i="111" s="1"/>
  <c r="AI5" i="111"/>
  <c r="AH5" i="111"/>
  <c r="U5" i="111"/>
  <c r="AO5" i="111"/>
  <c r="C6" i="111"/>
  <c r="Z6" i="111"/>
  <c r="F6" i="111"/>
  <c r="AI13" i="111"/>
  <c r="AH13" i="111"/>
  <c r="U13" i="111"/>
  <c r="AC13" i="111" s="1"/>
  <c r="AO13" i="111"/>
  <c r="U52" i="111"/>
  <c r="AI52" i="111"/>
  <c r="AH52" i="111"/>
  <c r="AO52" i="111"/>
  <c r="BR26" i="63"/>
  <c r="BN27" i="63"/>
  <c r="BR27" i="63" s="1"/>
  <c r="AW34" i="111"/>
  <c r="BV34" i="111" s="1"/>
  <c r="AH37" i="111"/>
  <c r="AO37" i="111"/>
  <c r="AI37" i="111"/>
  <c r="U37" i="111"/>
  <c r="AC37" i="111" s="1"/>
  <c r="U26" i="111"/>
  <c r="AC26" i="111" s="1"/>
  <c r="AI26" i="111"/>
  <c r="AH26" i="111"/>
  <c r="AO26" i="111"/>
  <c r="I19" i="13"/>
  <c r="H30" i="13"/>
  <c r="Z7" i="111"/>
  <c r="F7" i="111"/>
  <c r="C7" i="111"/>
  <c r="H31" i="19"/>
  <c r="CP16" i="112"/>
  <c r="CP16" i="63"/>
  <c r="AW17" i="111"/>
  <c r="BV17" i="111" s="1"/>
  <c r="E158" i="8"/>
  <c r="E43" i="8" s="1"/>
  <c r="AW9" i="111"/>
  <c r="BV9" i="111" s="1"/>
  <c r="B52" i="61"/>
  <c r="AF50" i="61"/>
  <c r="AW50" i="61" s="1"/>
  <c r="AF43" i="61"/>
  <c r="AW43" i="61" s="1"/>
  <c r="AF53" i="61"/>
  <c r="AW53" i="61" s="1"/>
  <c r="S51" i="61"/>
  <c r="S45" i="61"/>
  <c r="B47" i="61"/>
  <c r="S47" i="61"/>
  <c r="B45" i="61"/>
  <c r="B53" i="61"/>
  <c r="L48" i="61"/>
  <c r="S43" i="61"/>
  <c r="L47" i="61"/>
  <c r="B48" i="61"/>
  <c r="B44" i="61"/>
  <c r="AF52" i="61"/>
  <c r="AW52" i="61" s="1"/>
  <c r="L50" i="61"/>
  <c r="AF48" i="61"/>
  <c r="AW48" i="61" s="1"/>
  <c r="B51" i="61"/>
  <c r="L46" i="61"/>
  <c r="AF47" i="61"/>
  <c r="AW47" i="61" s="1"/>
  <c r="AF46" i="61"/>
  <c r="AW46" i="61" s="1"/>
  <c r="L44" i="61"/>
  <c r="S53" i="61"/>
  <c r="B46" i="61"/>
  <c r="B50" i="61"/>
  <c r="AF44" i="61"/>
  <c r="AW44" i="61" s="1"/>
  <c r="L43" i="61"/>
  <c r="S49" i="61"/>
  <c r="B49" i="61"/>
  <c r="AF45" i="61"/>
  <c r="AW45" i="61" s="1"/>
  <c r="B43" i="61"/>
  <c r="S46" i="61"/>
  <c r="L51" i="61"/>
  <c r="S44" i="61"/>
  <c r="S52" i="61"/>
  <c r="AF49" i="61"/>
  <c r="AW49" i="61" s="1"/>
  <c r="L49" i="61"/>
  <c r="S48" i="61"/>
  <c r="AF51" i="61"/>
  <c r="AW51" i="61" s="1"/>
  <c r="L45" i="61"/>
  <c r="L53" i="61"/>
  <c r="S50" i="61"/>
  <c r="L52" i="61"/>
  <c r="I22" i="19"/>
  <c r="E47" i="111"/>
  <c r="K47" i="111" s="1"/>
  <c r="M47" i="111" s="1"/>
  <c r="N47" i="111" s="1"/>
  <c r="C47" i="111"/>
  <c r="F47" i="111"/>
  <c r="Z47" i="111"/>
  <c r="E158" i="1"/>
  <c r="E43" i="1" s="1"/>
  <c r="B29" i="114"/>
  <c r="AH34" i="111"/>
  <c r="AI34" i="111"/>
  <c r="AO34" i="111"/>
  <c r="U34" i="111"/>
  <c r="AC34" i="111" s="1"/>
  <c r="B45" i="63"/>
  <c r="AF49" i="63"/>
  <c r="AW49" i="63" s="1"/>
  <c r="AF53" i="63"/>
  <c r="AW53" i="63" s="1"/>
  <c r="S45" i="63"/>
  <c r="L49" i="63"/>
  <c r="B50" i="63"/>
  <c r="AF47" i="63"/>
  <c r="AW47" i="63" s="1"/>
  <c r="B48" i="63"/>
  <c r="L43" i="63"/>
  <c r="B53" i="63"/>
  <c r="AF50" i="63"/>
  <c r="AW50" i="63" s="1"/>
  <c r="B47" i="63"/>
  <c r="S47" i="63"/>
  <c r="S46" i="63"/>
  <c r="AF46" i="63"/>
  <c r="AW46" i="63" s="1"/>
  <c r="L51" i="63"/>
  <c r="L44" i="63"/>
  <c r="S51" i="63"/>
  <c r="B52" i="63"/>
  <c r="B43" i="63"/>
  <c r="S43" i="63"/>
  <c r="B51" i="63"/>
  <c r="L52" i="63"/>
  <c r="S49" i="63"/>
  <c r="B44" i="63"/>
  <c r="AF52" i="63"/>
  <c r="L48" i="63"/>
  <c r="S50" i="63"/>
  <c r="L47" i="63"/>
  <c r="L53" i="63"/>
  <c r="L45" i="63"/>
  <c r="S44" i="63"/>
  <c r="L46" i="63"/>
  <c r="AF43" i="63"/>
  <c r="AW43" i="63" s="1"/>
  <c r="B49" i="63"/>
  <c r="L50" i="63"/>
  <c r="AF51" i="63"/>
  <c r="AF48" i="63"/>
  <c r="AW48" i="63" s="1"/>
  <c r="S48" i="63"/>
  <c r="AF45" i="63"/>
  <c r="AW45" i="63" s="1"/>
  <c r="S52" i="63"/>
  <c r="AF44" i="63"/>
  <c r="B46" i="63"/>
  <c r="S53" i="63"/>
  <c r="Z20" i="111"/>
  <c r="Y20" i="111"/>
  <c r="H20" i="111"/>
  <c r="N20" i="111"/>
  <c r="R20" i="111"/>
  <c r="F20" i="111"/>
  <c r="AD20" i="111"/>
  <c r="C20" i="111"/>
  <c r="O20" i="111"/>
  <c r="G20" i="111"/>
  <c r="G14" i="111"/>
  <c r="F14" i="111"/>
  <c r="R14" i="111"/>
  <c r="N14" i="111"/>
  <c r="C14" i="111"/>
  <c r="Y14" i="111"/>
  <c r="O14" i="111"/>
  <c r="Z14" i="111"/>
  <c r="AD14" i="111"/>
  <c r="H14" i="111"/>
  <c r="O11" i="111"/>
  <c r="Z11" i="111"/>
  <c r="Y11" i="111"/>
  <c r="N11" i="111"/>
  <c r="R11" i="111"/>
  <c r="H11" i="111"/>
  <c r="G11" i="111"/>
  <c r="F11" i="111"/>
  <c r="C11" i="111"/>
  <c r="AD11" i="111"/>
  <c r="Z4" i="111"/>
  <c r="E4" i="111"/>
  <c r="K4" i="111" s="1"/>
  <c r="M4" i="111" s="1"/>
  <c r="N4" i="111" s="1"/>
  <c r="F4" i="111"/>
  <c r="C4" i="111"/>
  <c r="U47" i="111"/>
  <c r="AI47" i="111"/>
  <c r="AH47" i="111"/>
  <c r="AO47" i="111"/>
  <c r="U46" i="111"/>
  <c r="AI46" i="111"/>
  <c r="AO46" i="111"/>
  <c r="AH46" i="111"/>
  <c r="U49" i="111"/>
  <c r="AI49" i="111"/>
  <c r="AH49" i="111"/>
  <c r="AO49" i="111"/>
  <c r="H31" i="11"/>
  <c r="CM16" i="61"/>
  <c r="CM16" i="111"/>
  <c r="C43" i="111"/>
  <c r="F43" i="111"/>
  <c r="Z43" i="111"/>
  <c r="E43" i="111"/>
  <c r="K43" i="111" s="1"/>
  <c r="M43" i="111" s="1"/>
  <c r="N43" i="111" s="1"/>
  <c r="L42" i="111"/>
  <c r="AF42" i="111"/>
  <c r="AW42" i="111" s="1"/>
  <c r="S42" i="111"/>
  <c r="C45" i="111"/>
  <c r="F45" i="111"/>
  <c r="E45" i="111"/>
  <c r="K45" i="111" s="1"/>
  <c r="M45" i="111" s="1"/>
  <c r="N45" i="111" s="1"/>
  <c r="Z45" i="111"/>
  <c r="AW32" i="111"/>
  <c r="BV32" i="111" s="1"/>
  <c r="AO32" i="111"/>
  <c r="AH32" i="111"/>
  <c r="AI32" i="111"/>
  <c r="U32" i="111"/>
  <c r="AC32" i="111" s="1"/>
  <c r="AH31" i="111"/>
  <c r="AO31" i="111"/>
  <c r="AI31" i="111"/>
  <c r="U31" i="111"/>
  <c r="AC31" i="111" s="1"/>
  <c r="U23" i="111"/>
  <c r="AC23" i="111" s="1"/>
  <c r="AO23" i="111"/>
  <c r="AI23" i="111"/>
  <c r="AH23" i="111"/>
  <c r="O26" i="111"/>
  <c r="Z26" i="111"/>
  <c r="H26" i="111"/>
  <c r="R26" i="111"/>
  <c r="F26" i="111"/>
  <c r="AD26" i="111"/>
  <c r="C26" i="111"/>
  <c r="N26" i="111"/>
  <c r="G26" i="111"/>
  <c r="Y26" i="111"/>
  <c r="AD19" i="111"/>
  <c r="Z19" i="111"/>
  <c r="F19" i="111"/>
  <c r="R19" i="111"/>
  <c r="C19" i="111"/>
  <c r="N19" i="111"/>
  <c r="G19" i="111"/>
  <c r="O19" i="111"/>
  <c r="Y19" i="111"/>
  <c r="H19" i="111"/>
  <c r="CA19" i="111" s="1"/>
  <c r="AD21" i="111"/>
  <c r="F21" i="111"/>
  <c r="C21" i="111"/>
  <c r="Y21" i="111"/>
  <c r="G21" i="111"/>
  <c r="R21" i="111"/>
  <c r="H21" i="111"/>
  <c r="N21" i="111"/>
  <c r="O21" i="111"/>
  <c r="Z21" i="111"/>
  <c r="AW18" i="111"/>
  <c r="BV18" i="111" s="1"/>
  <c r="B32" i="63"/>
  <c r="S31" i="63"/>
  <c r="M44" i="73" s="1"/>
  <c r="B36" i="63"/>
  <c r="L40" i="63"/>
  <c r="AF36" i="63"/>
  <c r="L33" i="63"/>
  <c r="B34" i="63"/>
  <c r="B30" i="63"/>
  <c r="S35" i="63"/>
  <c r="M48" i="73" s="1"/>
  <c r="S39" i="63"/>
  <c r="M52" i="73" s="1"/>
  <c r="AF39" i="63"/>
  <c r="B37" i="63"/>
  <c r="S40" i="63"/>
  <c r="M53" i="73" s="1"/>
  <c r="B38" i="63"/>
  <c r="S32" i="63"/>
  <c r="M45" i="73" s="1"/>
  <c r="AF37" i="63"/>
  <c r="AF40" i="63"/>
  <c r="L31" i="63"/>
  <c r="L32" i="63"/>
  <c r="AF32" i="63"/>
  <c r="B33" i="63"/>
  <c r="L39" i="63"/>
  <c r="L36" i="63"/>
  <c r="B39" i="63"/>
  <c r="B35" i="63"/>
  <c r="S37" i="63"/>
  <c r="M50" i="73" s="1"/>
  <c r="S36" i="63"/>
  <c r="M49" i="73" s="1"/>
  <c r="S30" i="63"/>
  <c r="M43" i="73" s="1"/>
  <c r="B31" i="63"/>
  <c r="S34" i="63"/>
  <c r="M47" i="73" s="1"/>
  <c r="AF35" i="63"/>
  <c r="L37" i="63"/>
  <c r="S33" i="63"/>
  <c r="M46" i="73" s="1"/>
  <c r="AF33" i="63"/>
  <c r="S38" i="63"/>
  <c r="M51" i="73" s="1"/>
  <c r="L38" i="63"/>
  <c r="L34" i="63"/>
  <c r="AF34" i="63"/>
  <c r="AF30" i="63"/>
  <c r="L35" i="63"/>
  <c r="AF31" i="63"/>
  <c r="AF38" i="63"/>
  <c r="B40" i="63"/>
  <c r="L30" i="63"/>
  <c r="BN38" i="112"/>
  <c r="BR37" i="112"/>
  <c r="N13" i="111"/>
  <c r="AD13" i="111"/>
  <c r="R13" i="111"/>
  <c r="C13" i="111"/>
  <c r="G13" i="111"/>
  <c r="Z13" i="111"/>
  <c r="H13" i="111"/>
  <c r="O13" i="111"/>
  <c r="Y13" i="111"/>
  <c r="F13" i="111"/>
  <c r="AO6" i="111"/>
  <c r="U6" i="111"/>
  <c r="AI6" i="111"/>
  <c r="AH6" i="111"/>
  <c r="H9" i="111"/>
  <c r="R9" i="111"/>
  <c r="O9" i="111"/>
  <c r="Y9" i="111"/>
  <c r="Z9" i="111"/>
  <c r="AD9" i="111"/>
  <c r="G9" i="111"/>
  <c r="N9" i="111"/>
  <c r="C9" i="111"/>
  <c r="F9" i="111"/>
  <c r="AO11" i="111"/>
  <c r="AI11" i="111"/>
  <c r="U11" i="111"/>
  <c r="AC11" i="111" s="1"/>
  <c r="AH11" i="111"/>
  <c r="AI4" i="111"/>
  <c r="U4" i="111"/>
  <c r="AH4" i="111"/>
  <c r="AT4" i="111"/>
  <c r="AU4" i="111" s="1"/>
  <c r="AO4" i="111"/>
  <c r="AW10" i="111"/>
  <c r="BV10" i="111" s="1"/>
  <c r="BN27" i="112"/>
  <c r="BR27" i="112" s="1"/>
  <c r="BR26" i="112"/>
  <c r="F51" i="111"/>
  <c r="C51" i="111"/>
  <c r="Z51" i="111"/>
  <c r="Z52" i="111"/>
  <c r="C52" i="111"/>
  <c r="F52" i="111"/>
  <c r="H37" i="111"/>
  <c r="C37" i="111"/>
  <c r="O37" i="111"/>
  <c r="G37" i="111"/>
  <c r="R37" i="111"/>
  <c r="F37" i="111"/>
  <c r="N37" i="111"/>
  <c r="Z37" i="111"/>
  <c r="Y37" i="111"/>
  <c r="AD37" i="111"/>
  <c r="AW26" i="111"/>
  <c r="BV26" i="111" s="1"/>
  <c r="AO24" i="111"/>
  <c r="U24" i="111"/>
  <c r="AC24" i="111" s="1"/>
  <c r="AH24" i="111"/>
  <c r="AI24" i="111"/>
  <c r="AH19" i="111"/>
  <c r="U19" i="111"/>
  <c r="AC19" i="111" s="1"/>
  <c r="AO19" i="111"/>
  <c r="AI19" i="111"/>
  <c r="I22" i="16"/>
  <c r="F46" i="111"/>
  <c r="C46" i="111"/>
  <c r="E46" i="111"/>
  <c r="K46" i="111" s="1"/>
  <c r="M46" i="111" s="1"/>
  <c r="N46" i="111" s="1"/>
  <c r="Z46" i="111"/>
  <c r="F49" i="111"/>
  <c r="E49" i="111"/>
  <c r="K49" i="111" s="1"/>
  <c r="M49" i="111" s="1"/>
  <c r="N49" i="111" s="1"/>
  <c r="Z49" i="111"/>
  <c r="C49" i="111"/>
  <c r="G33" i="111"/>
  <c r="AD33" i="111"/>
  <c r="O33" i="111"/>
  <c r="R33" i="111"/>
  <c r="N33" i="111"/>
  <c r="Z33" i="111"/>
  <c r="Y33" i="111"/>
  <c r="F33" i="111"/>
  <c r="H33" i="111"/>
  <c r="C33" i="111"/>
  <c r="AW22" i="111"/>
  <c r="BV22" i="111" s="1"/>
  <c r="AH20" i="111"/>
  <c r="U20" i="111"/>
  <c r="AC20" i="111" s="1"/>
  <c r="AO20" i="111"/>
  <c r="AI20" i="111"/>
  <c r="AI14" i="111"/>
  <c r="AH14" i="111"/>
  <c r="AO14" i="111"/>
  <c r="U14" i="111"/>
  <c r="AC14" i="111" s="1"/>
  <c r="AW14" i="111"/>
  <c r="BV14" i="111" s="1"/>
  <c r="AO36" i="111"/>
  <c r="U36" i="111"/>
  <c r="AC36" i="111" s="1"/>
  <c r="AH36" i="111"/>
  <c r="AI36" i="111"/>
  <c r="U30" i="111"/>
  <c r="AC30" i="111" s="1"/>
  <c r="AH30" i="111"/>
  <c r="AI30" i="111"/>
  <c r="AO30" i="111"/>
  <c r="AW39" i="111"/>
  <c r="BV39" i="111" s="1"/>
  <c r="I22" i="15"/>
  <c r="F18" i="111"/>
  <c r="R18" i="111"/>
  <c r="O18" i="111"/>
  <c r="Y18" i="111"/>
  <c r="AD18" i="111"/>
  <c r="N18" i="111"/>
  <c r="G18" i="111"/>
  <c r="C18" i="111"/>
  <c r="G17" i="111" s="1"/>
  <c r="Z18" i="111"/>
  <c r="H18" i="111"/>
  <c r="CA18" i="111" s="1"/>
  <c r="I22" i="11"/>
  <c r="AI43" i="111"/>
  <c r="U43" i="111"/>
  <c r="AO43" i="111"/>
  <c r="AH43" i="111"/>
  <c r="U48" i="111"/>
  <c r="AO48" i="111"/>
  <c r="AI48" i="111"/>
  <c r="AH48" i="111"/>
  <c r="AI51" i="111"/>
  <c r="U51" i="111"/>
  <c r="AH51" i="111"/>
  <c r="AO51" i="111"/>
  <c r="H31" i="17"/>
  <c r="CN16" i="112"/>
  <c r="CN16" i="63"/>
  <c r="AW31" i="111"/>
  <c r="BV31" i="111" s="1"/>
  <c r="AW38" i="111"/>
  <c r="BV38" i="111" s="1"/>
  <c r="AW30" i="111"/>
  <c r="BV30" i="111" s="1"/>
  <c r="AH33" i="111"/>
  <c r="AI33" i="111"/>
  <c r="U33" i="111"/>
  <c r="AC33" i="111" s="1"/>
  <c r="AO33" i="111"/>
  <c r="AW40" i="111"/>
  <c r="BV40" i="111" s="1"/>
  <c r="L18" i="61"/>
  <c r="L26" i="61"/>
  <c r="L24" i="61"/>
  <c r="L22" i="61"/>
  <c r="B20" i="61"/>
  <c r="AF23" i="61"/>
  <c r="AF20" i="61"/>
  <c r="L27" i="61"/>
  <c r="S17" i="61"/>
  <c r="F29" i="73" s="1"/>
  <c r="L20" i="61"/>
  <c r="B25" i="61"/>
  <c r="B21" i="61"/>
  <c r="S18" i="61"/>
  <c r="F30" i="73" s="1"/>
  <c r="AF19" i="61"/>
  <c r="S22" i="61"/>
  <c r="F34" i="73" s="1"/>
  <c r="B19" i="61"/>
  <c r="S26" i="61"/>
  <c r="F38" i="73" s="1"/>
  <c r="AF25" i="61"/>
  <c r="B22" i="61"/>
  <c r="B23" i="61"/>
  <c r="AF21" i="61"/>
  <c r="AF24" i="61"/>
  <c r="S24" i="61"/>
  <c r="F36" i="73" s="1"/>
  <c r="L23" i="61"/>
  <c r="S27" i="61"/>
  <c r="F39" i="73" s="1"/>
  <c r="AF27" i="61"/>
  <c r="AF17" i="61"/>
  <c r="S19" i="61"/>
  <c r="F31" i="73" s="1"/>
  <c r="L17" i="61"/>
  <c r="B18" i="61"/>
  <c r="AF22" i="61"/>
  <c r="L25" i="61"/>
  <c r="B27" i="61"/>
  <c r="B24" i="61"/>
  <c r="AF18" i="61"/>
  <c r="AF26" i="61"/>
  <c r="S21" i="61"/>
  <c r="F33" i="73" s="1"/>
  <c r="B17" i="61"/>
  <c r="L21" i="61"/>
  <c r="S20" i="61"/>
  <c r="F32" i="73" s="1"/>
  <c r="B26" i="61"/>
  <c r="S23" i="61"/>
  <c r="F35" i="73" s="1"/>
  <c r="L19" i="61"/>
  <c r="S25" i="61"/>
  <c r="F37" i="73" s="1"/>
  <c r="Y23" i="111"/>
  <c r="R23" i="111"/>
  <c r="H23" i="111"/>
  <c r="F23" i="111"/>
  <c r="C23" i="111"/>
  <c r="Z23" i="111"/>
  <c r="G23" i="111"/>
  <c r="AD23" i="111"/>
  <c r="O23" i="111"/>
  <c r="N23" i="111"/>
  <c r="AH17" i="111"/>
  <c r="AO17" i="111"/>
  <c r="U17" i="111"/>
  <c r="AI17" i="111"/>
  <c r="AW27" i="111"/>
  <c r="BV27" i="111" s="1"/>
  <c r="B13" i="63"/>
  <c r="S12" i="63"/>
  <c r="M23" i="73" s="1"/>
  <c r="L13" i="63"/>
  <c r="L8" i="63"/>
  <c r="AF8" i="63"/>
  <c r="B14" i="63"/>
  <c r="AF14" i="63"/>
  <c r="B4" i="63"/>
  <c r="S10" i="63"/>
  <c r="M21" i="73" s="1"/>
  <c r="AF12" i="63"/>
  <c r="L10" i="63"/>
  <c r="AF10" i="63"/>
  <c r="B6" i="63"/>
  <c r="L9" i="63"/>
  <c r="L11" i="63"/>
  <c r="AF7" i="63"/>
  <c r="S4" i="63"/>
  <c r="M15" i="73" s="1"/>
  <c r="B11" i="63"/>
  <c r="AF5" i="63"/>
  <c r="L14" i="63"/>
  <c r="B7" i="63"/>
  <c r="S13" i="63"/>
  <c r="M24" i="73" s="1"/>
  <c r="L7" i="63"/>
  <c r="S7" i="63"/>
  <c r="M18" i="73" s="1"/>
  <c r="B9" i="63"/>
  <c r="AF6" i="63"/>
  <c r="L6" i="63"/>
  <c r="AF11" i="63"/>
  <c r="L5" i="63"/>
  <c r="S9" i="63"/>
  <c r="M20" i="73" s="1"/>
  <c r="B8" i="63"/>
  <c r="AF13" i="63"/>
  <c r="S6" i="63"/>
  <c r="M17" i="73" s="1"/>
  <c r="AF4" i="63"/>
  <c r="B12" i="63"/>
  <c r="S11" i="63"/>
  <c r="M22" i="73" s="1"/>
  <c r="S5" i="63"/>
  <c r="M16" i="73" s="1"/>
  <c r="AF9" i="63"/>
  <c r="L12" i="63"/>
  <c r="S14" i="63"/>
  <c r="M25" i="73" s="1"/>
  <c r="B5" i="63"/>
  <c r="B10" i="63"/>
  <c r="L4" i="63"/>
  <c r="S8" i="63"/>
  <c r="M19" i="73" s="1"/>
  <c r="E113" i="79"/>
  <c r="E117" i="79" s="1"/>
  <c r="E86" i="79" s="1"/>
  <c r="E82" i="79"/>
  <c r="E105" i="79"/>
  <c r="E108" i="79" s="1"/>
  <c r="E84" i="79" s="1"/>
  <c r="E97" i="79" s="1"/>
  <c r="E144" i="79" s="1"/>
  <c r="E147" i="79" s="1"/>
  <c r="E121" i="79"/>
  <c r="E122" i="79" s="1"/>
  <c r="E69" i="79"/>
  <c r="CM16" i="112"/>
  <c r="CM16" i="63"/>
  <c r="H31" i="16"/>
  <c r="N12" i="111"/>
  <c r="R12" i="111"/>
  <c r="O12" i="111"/>
  <c r="F12" i="111"/>
  <c r="G12" i="111"/>
  <c r="Y12" i="111"/>
  <c r="Z12" i="111"/>
  <c r="AD12" i="111"/>
  <c r="H12" i="111"/>
  <c r="C12" i="111"/>
  <c r="AI10" i="111"/>
  <c r="AH10" i="111"/>
  <c r="U10" i="111"/>
  <c r="AC10" i="111" s="1"/>
  <c r="AO10" i="111"/>
  <c r="AI8" i="111"/>
  <c r="AH8" i="111"/>
  <c r="U8" i="111"/>
  <c r="AC8" i="111" s="1"/>
  <c r="AO8" i="111"/>
  <c r="AW5" i="111"/>
  <c r="BV5" i="111" s="1"/>
  <c r="T24" i="39" l="1"/>
  <c r="D34" i="39"/>
  <c r="F28" i="1"/>
  <c r="T26" i="39"/>
  <c r="D32" i="39" s="1"/>
  <c r="T26" i="47"/>
  <c r="D32" i="47" s="1"/>
  <c r="F28" i="8"/>
  <c r="D34" i="47"/>
  <c r="T24" i="47"/>
  <c r="D15" i="39"/>
  <c r="D35" i="39"/>
  <c r="D35" i="47"/>
  <c r="D15" i="47"/>
  <c r="N22" i="63"/>
  <c r="H17" i="111"/>
  <c r="CA17" i="111" s="1"/>
  <c r="Z22" i="63"/>
  <c r="O22" i="63"/>
  <c r="AD17" i="111"/>
  <c r="AC17" i="111"/>
  <c r="G16" i="111"/>
  <c r="H16" i="111" s="1"/>
  <c r="CA16" i="111" s="1"/>
  <c r="E50" i="111"/>
  <c r="G7" i="111"/>
  <c r="H7" i="111" s="1"/>
  <c r="AD7" i="111" s="1"/>
  <c r="C22" i="63"/>
  <c r="Y22" i="63"/>
  <c r="F22" i="63"/>
  <c r="J34" i="73" s="1"/>
  <c r="G22" i="63"/>
  <c r="AD22" i="63"/>
  <c r="H22" i="63"/>
  <c r="L34" i="73" s="1"/>
  <c r="G5" i="111"/>
  <c r="H5" i="111" s="1"/>
  <c r="G6" i="111"/>
  <c r="H6" i="111" s="1"/>
  <c r="G3" i="111"/>
  <c r="H3" i="111" s="1"/>
  <c r="G4" i="111"/>
  <c r="H4" i="111" s="1"/>
  <c r="CA4" i="111" s="1"/>
  <c r="U27" i="63"/>
  <c r="AC27" i="63" s="1"/>
  <c r="K39" i="73"/>
  <c r="C24" i="63"/>
  <c r="F24" i="63"/>
  <c r="J36" i="73" s="1"/>
  <c r="O24" i="63"/>
  <c r="AI27" i="63"/>
  <c r="G24" i="63"/>
  <c r="AO27" i="63"/>
  <c r="R24" i="63"/>
  <c r="Y24" i="63"/>
  <c r="AD24" i="63"/>
  <c r="Z25" i="63"/>
  <c r="R25" i="63"/>
  <c r="O23" i="63"/>
  <c r="C28" i="110"/>
  <c r="F27" i="110"/>
  <c r="C28" i="62"/>
  <c r="F27" i="62"/>
  <c r="AD23" i="63"/>
  <c r="N24" i="63"/>
  <c r="Z24" i="63"/>
  <c r="AW27" i="63"/>
  <c r="BV27" i="63" s="1"/>
  <c r="AD25" i="63"/>
  <c r="G25" i="63"/>
  <c r="H23" i="63"/>
  <c r="L35" i="73" s="1"/>
  <c r="N25" i="63"/>
  <c r="F25" i="63"/>
  <c r="J37" i="73" s="1"/>
  <c r="Y25" i="63"/>
  <c r="H25" i="63"/>
  <c r="L37" i="73" s="1"/>
  <c r="F23" i="63"/>
  <c r="J35" i="73" s="1"/>
  <c r="R23" i="63"/>
  <c r="C23" i="63"/>
  <c r="Y23" i="63"/>
  <c r="N23" i="63"/>
  <c r="G23" i="63"/>
  <c r="AH19" i="63"/>
  <c r="K31" i="73"/>
  <c r="AO19" i="63"/>
  <c r="O25" i="63"/>
  <c r="AI22" i="63"/>
  <c r="AO22" i="63"/>
  <c r="H18" i="63"/>
  <c r="CA18" i="63" s="1"/>
  <c r="AO26" i="63"/>
  <c r="AI26" i="63"/>
  <c r="U26" i="63"/>
  <c r="AC26" i="63" s="1"/>
  <c r="F18" i="63"/>
  <c r="J30" i="73" s="1"/>
  <c r="AH22" i="63"/>
  <c r="U19" i="63"/>
  <c r="AC19" i="63" s="1"/>
  <c r="K35" i="73"/>
  <c r="AI17" i="63"/>
  <c r="G18" i="63"/>
  <c r="AO23" i="63"/>
  <c r="G20" i="63"/>
  <c r="R21" i="63"/>
  <c r="C20" i="63"/>
  <c r="H21" i="63"/>
  <c r="CA21" i="63" s="1"/>
  <c r="O20" i="63"/>
  <c r="F20" i="63"/>
  <c r="J32" i="73" s="1"/>
  <c r="U17" i="63"/>
  <c r="AI25" i="63"/>
  <c r="R20" i="63"/>
  <c r="AD18" i="63"/>
  <c r="U25" i="63"/>
  <c r="AC25" i="63" s="1"/>
  <c r="N20" i="63"/>
  <c r="Y20" i="63"/>
  <c r="K29" i="73"/>
  <c r="H20" i="63"/>
  <c r="CA20" i="63" s="1"/>
  <c r="AO17" i="63"/>
  <c r="U18" i="63"/>
  <c r="AC18" i="63" s="1"/>
  <c r="C19" i="63"/>
  <c r="K38" i="73"/>
  <c r="C18" i="63"/>
  <c r="AD26" i="63"/>
  <c r="AO18" i="63"/>
  <c r="K30" i="73"/>
  <c r="AI18" i="63"/>
  <c r="G26" i="63"/>
  <c r="H26" i="63"/>
  <c r="L38" i="73" s="1"/>
  <c r="Y18" i="63"/>
  <c r="AI23" i="63"/>
  <c r="R26" i="63"/>
  <c r="U23" i="63"/>
  <c r="AC23" i="63" s="1"/>
  <c r="O26" i="63"/>
  <c r="Y26" i="63"/>
  <c r="U21" i="63"/>
  <c r="AC21" i="63" s="1"/>
  <c r="Z21" i="63"/>
  <c r="F26" i="63"/>
  <c r="J38" i="73" s="1"/>
  <c r="Z18" i="63"/>
  <c r="Y21" i="63"/>
  <c r="N18" i="63"/>
  <c r="R18" i="63"/>
  <c r="R19" i="63"/>
  <c r="C21" i="63"/>
  <c r="U22" i="63"/>
  <c r="AC22" i="63" s="1"/>
  <c r="Y19" i="63"/>
  <c r="L36" i="112"/>
  <c r="AH36" i="112" s="1"/>
  <c r="Z19" i="63"/>
  <c r="AO25" i="63"/>
  <c r="G19" i="63"/>
  <c r="C12" i="103" s="1"/>
  <c r="C27" i="103" s="1"/>
  <c r="AH25" i="63"/>
  <c r="AD27" i="63"/>
  <c r="N27" i="63"/>
  <c r="C27" i="63"/>
  <c r="F27" i="63"/>
  <c r="J39" i="73" s="1"/>
  <c r="O27" i="63"/>
  <c r="Z27" i="63"/>
  <c r="H27" i="63"/>
  <c r="CA27" i="63" s="1"/>
  <c r="AD19" i="63"/>
  <c r="Y27" i="63"/>
  <c r="O19" i="63"/>
  <c r="G27" i="63"/>
  <c r="H19" i="63"/>
  <c r="L31" i="73" s="1"/>
  <c r="N19" i="63"/>
  <c r="AD20" i="63"/>
  <c r="Z17" i="63"/>
  <c r="Z26" i="63"/>
  <c r="C26" i="63"/>
  <c r="AH20" i="63"/>
  <c r="F17" i="63"/>
  <c r="J29" i="73" s="1"/>
  <c r="C17" i="63"/>
  <c r="AI24" i="63"/>
  <c r="AI21" i="63"/>
  <c r="AO21" i="63"/>
  <c r="AH24" i="63"/>
  <c r="U24" i="63"/>
  <c r="AC24" i="63" s="1"/>
  <c r="AO24" i="63"/>
  <c r="AI20" i="63"/>
  <c r="U20" i="63"/>
  <c r="AC20" i="63" s="1"/>
  <c r="K32" i="73"/>
  <c r="AH21" i="63"/>
  <c r="AF11" i="112"/>
  <c r="AW11" i="112" s="1"/>
  <c r="BV11" i="112" s="1"/>
  <c r="AF13" i="112"/>
  <c r="AW13" i="112" s="1"/>
  <c r="BV13" i="112" s="1"/>
  <c r="AF36" i="112"/>
  <c r="AW36" i="112" s="1"/>
  <c r="BV36" i="112" s="1"/>
  <c r="L6" i="112"/>
  <c r="AI6" i="112" s="1"/>
  <c r="B9" i="112"/>
  <c r="Y9" i="112" s="1"/>
  <c r="S12" i="112"/>
  <c r="L7" i="112"/>
  <c r="AO7" i="112" s="1"/>
  <c r="AD21" i="63"/>
  <c r="AF12" i="112"/>
  <c r="AW12" i="112" s="1"/>
  <c r="BV12" i="112" s="1"/>
  <c r="F21" i="63"/>
  <c r="J33" i="73" s="1"/>
  <c r="S9" i="112"/>
  <c r="AF35" i="112"/>
  <c r="AW35" i="112" s="1"/>
  <c r="BV35" i="112" s="1"/>
  <c r="O21" i="63"/>
  <c r="L12" i="112"/>
  <c r="N21" i="63"/>
  <c r="S6" i="112"/>
  <c r="AF37" i="112"/>
  <c r="AW37" i="112" s="1"/>
  <c r="BV37" i="112" s="1"/>
  <c r="AF31" i="112"/>
  <c r="AW31" i="112" s="1"/>
  <c r="BV31" i="112" s="1"/>
  <c r="B30" i="112"/>
  <c r="L5" i="112"/>
  <c r="AH5" i="112" s="1"/>
  <c r="B13" i="112"/>
  <c r="O13" i="112" s="1"/>
  <c r="AF4" i="112"/>
  <c r="AW4" i="112" s="1"/>
  <c r="BV4" i="112" s="1"/>
  <c r="BW4" i="112" s="1"/>
  <c r="L10" i="112"/>
  <c r="AO10" i="112" s="1"/>
  <c r="AF30" i="112"/>
  <c r="AW30" i="112" s="1"/>
  <c r="BV30" i="112" s="1"/>
  <c r="L39" i="112"/>
  <c r="AO39" i="112" s="1"/>
  <c r="AF7" i="112"/>
  <c r="AW7" i="112" s="1"/>
  <c r="BV7" i="112" s="1"/>
  <c r="S21" i="112"/>
  <c r="AF14" i="112"/>
  <c r="AW14" i="112" s="1"/>
  <c r="BV14" i="112" s="1"/>
  <c r="S5" i="112"/>
  <c r="AF40" i="112"/>
  <c r="AW40" i="112" s="1"/>
  <c r="BV40" i="112" s="1"/>
  <c r="AF39" i="112"/>
  <c r="AW39" i="112" s="1"/>
  <c r="BV39" i="112" s="1"/>
  <c r="B12" i="112"/>
  <c r="O12" i="112" s="1"/>
  <c r="AF22" i="112"/>
  <c r="AW22" i="112" s="1"/>
  <c r="BV22" i="112" s="1"/>
  <c r="S36" i="112"/>
  <c r="B38" i="112"/>
  <c r="H38" i="112" s="1"/>
  <c r="B11" i="112"/>
  <c r="AD11" i="112" s="1"/>
  <c r="B22" i="112"/>
  <c r="Y22" i="112" s="1"/>
  <c r="S32" i="112"/>
  <c r="L35" i="112"/>
  <c r="AO35" i="112" s="1"/>
  <c r="L11" i="112"/>
  <c r="AH11" i="112" s="1"/>
  <c r="B26" i="112"/>
  <c r="C26" i="112" s="1"/>
  <c r="S34" i="112"/>
  <c r="B35" i="112"/>
  <c r="O35" i="112" s="1"/>
  <c r="L30" i="112"/>
  <c r="AH30" i="112" s="1"/>
  <c r="S39" i="112"/>
  <c r="S4" i="112"/>
  <c r="L20" i="112"/>
  <c r="AI20" i="112" s="1"/>
  <c r="L32" i="112"/>
  <c r="AO32" i="112" s="1"/>
  <c r="B33" i="112"/>
  <c r="C33" i="112" s="1"/>
  <c r="S30" i="112"/>
  <c r="B4" i="112"/>
  <c r="B23" i="112"/>
  <c r="Z23" i="112" s="1"/>
  <c r="L33" i="112"/>
  <c r="AI33" i="112" s="1"/>
  <c r="S35" i="112"/>
  <c r="B5" i="112"/>
  <c r="AF9" i="112"/>
  <c r="AW9" i="112" s="1"/>
  <c r="BV9" i="112" s="1"/>
  <c r="B31" i="112"/>
  <c r="F31" i="112" s="1"/>
  <c r="B14" i="112"/>
  <c r="N14" i="112" s="1"/>
  <c r="L8" i="112"/>
  <c r="AO8" i="112" s="1"/>
  <c r="AF20" i="112"/>
  <c r="AW20" i="112" s="1"/>
  <c r="BV20" i="112" s="1"/>
  <c r="AF43" i="112"/>
  <c r="AW43" i="112" s="1"/>
  <c r="B45" i="112"/>
  <c r="F45" i="112" s="1"/>
  <c r="S47" i="112"/>
  <c r="B48" i="112"/>
  <c r="L25" i="112"/>
  <c r="AO25" i="112" s="1"/>
  <c r="S44" i="112"/>
  <c r="S26" i="112"/>
  <c r="L52" i="112"/>
  <c r="AH52" i="112" s="1"/>
  <c r="L51" i="112"/>
  <c r="AO51" i="112" s="1"/>
  <c r="B46" i="112"/>
  <c r="C46" i="112" s="1"/>
  <c r="AF48" i="112"/>
  <c r="AW48" i="112" s="1"/>
  <c r="AF44" i="112"/>
  <c r="AW44" i="112" s="1"/>
  <c r="L45" i="112"/>
  <c r="B34" i="112"/>
  <c r="O34" i="112" s="1"/>
  <c r="S31" i="112"/>
  <c r="L38" i="112"/>
  <c r="AI38" i="112" s="1"/>
  <c r="L31" i="112"/>
  <c r="AH31" i="112" s="1"/>
  <c r="B36" i="112"/>
  <c r="AD36" i="112" s="1"/>
  <c r="B8" i="112"/>
  <c r="H8" i="112" s="1"/>
  <c r="AF6" i="112"/>
  <c r="AW6" i="112" s="1"/>
  <c r="BV6" i="112" s="1"/>
  <c r="B39" i="112"/>
  <c r="H39" i="112" s="1"/>
  <c r="B32" i="112"/>
  <c r="R32" i="112" s="1"/>
  <c r="AF38" i="112"/>
  <c r="AW38" i="112" s="1"/>
  <c r="BV38" i="112" s="1"/>
  <c r="L37" i="112"/>
  <c r="AO37" i="112" s="1"/>
  <c r="B10" i="112"/>
  <c r="R10" i="112" s="1"/>
  <c r="S14" i="112"/>
  <c r="AF32" i="112"/>
  <c r="B37" i="112"/>
  <c r="AD37" i="112" s="1"/>
  <c r="AF5" i="112"/>
  <c r="AF10" i="112"/>
  <c r="S11" i="112"/>
  <c r="S33" i="112"/>
  <c r="AF34" i="112"/>
  <c r="AW34" i="112" s="1"/>
  <c r="BV34" i="112" s="1"/>
  <c r="L13" i="112"/>
  <c r="B6" i="112"/>
  <c r="L9" i="112"/>
  <c r="AH9" i="112" s="1"/>
  <c r="B40" i="112"/>
  <c r="N40" i="112" s="1"/>
  <c r="S38" i="112"/>
  <c r="L40" i="112"/>
  <c r="AO40" i="112" s="1"/>
  <c r="L34" i="112"/>
  <c r="S7" i="112"/>
  <c r="S13" i="112"/>
  <c r="AF8" i="112"/>
  <c r="S40" i="112"/>
  <c r="AF33" i="112"/>
  <c r="AW33" i="112" s="1"/>
  <c r="BV33" i="112" s="1"/>
  <c r="B44" i="112"/>
  <c r="F44" i="112" s="1"/>
  <c r="B21" i="112"/>
  <c r="O21" i="112" s="1"/>
  <c r="S53" i="112"/>
  <c r="B17" i="112"/>
  <c r="B47" i="112"/>
  <c r="F47" i="112" s="1"/>
  <c r="S22" i="112"/>
  <c r="S43" i="112"/>
  <c r="B7" i="112"/>
  <c r="L4" i="112"/>
  <c r="S27" i="112"/>
  <c r="L49" i="112"/>
  <c r="AI49" i="112" s="1"/>
  <c r="L48" i="112"/>
  <c r="AI48" i="112" s="1"/>
  <c r="L14" i="112"/>
  <c r="S8" i="112"/>
  <c r="B19" i="112"/>
  <c r="R19" i="112" s="1"/>
  <c r="S52" i="112"/>
  <c r="L27" i="112"/>
  <c r="AI27" i="112" s="1"/>
  <c r="S50" i="112"/>
  <c r="AF45" i="112"/>
  <c r="AW45" i="112" s="1"/>
  <c r="S51" i="112"/>
  <c r="L50" i="112"/>
  <c r="AO50" i="112" s="1"/>
  <c r="L43" i="112"/>
  <c r="AI43" i="112" s="1"/>
  <c r="AF53" i="112"/>
  <c r="AW53" i="112" s="1"/>
  <c r="L17" i="112"/>
  <c r="AO17" i="112" s="1"/>
  <c r="S48" i="112"/>
  <c r="AF50" i="112"/>
  <c r="AW50" i="112" s="1"/>
  <c r="S23" i="112"/>
  <c r="AF46" i="112"/>
  <c r="AW46" i="112" s="1"/>
  <c r="L21" i="112"/>
  <c r="AH21" i="112" s="1"/>
  <c r="AF51" i="112"/>
  <c r="AW51" i="112" s="1"/>
  <c r="L47" i="112"/>
  <c r="AH47" i="112" s="1"/>
  <c r="B50" i="112"/>
  <c r="C50" i="112" s="1"/>
  <c r="L53" i="112"/>
  <c r="AI53" i="112" s="1"/>
  <c r="AF49" i="112"/>
  <c r="AW49" i="112" s="1"/>
  <c r="L22" i="112"/>
  <c r="AH22" i="112" s="1"/>
  <c r="B49" i="112"/>
  <c r="C49" i="112" s="1"/>
  <c r="AF47" i="112"/>
  <c r="AW47" i="112" s="1"/>
  <c r="S24" i="112"/>
  <c r="AF52" i="112"/>
  <c r="L44" i="112"/>
  <c r="AH44" i="112" s="1"/>
  <c r="AF19" i="112"/>
  <c r="AW19" i="112" s="1"/>
  <c r="BV19" i="112" s="1"/>
  <c r="S20" i="112"/>
  <c r="S46" i="112"/>
  <c r="B18" i="112"/>
  <c r="Y18" i="112" s="1"/>
  <c r="B52" i="112"/>
  <c r="F52" i="112" s="1"/>
  <c r="L46" i="112"/>
  <c r="AO46" i="112" s="1"/>
  <c r="B53" i="112"/>
  <c r="S18" i="112"/>
  <c r="B43" i="112"/>
  <c r="C43" i="112" s="1"/>
  <c r="S49" i="112"/>
  <c r="B51" i="112"/>
  <c r="C51" i="112" s="1"/>
  <c r="AF24" i="112"/>
  <c r="AW24" i="112" s="1"/>
  <c r="BV24" i="112" s="1"/>
  <c r="L24" i="112"/>
  <c r="AH24" i="112" s="1"/>
  <c r="AF23" i="112"/>
  <c r="AW23" i="112" s="1"/>
  <c r="BV23" i="112" s="1"/>
  <c r="S17" i="112"/>
  <c r="B27" i="112"/>
  <c r="N27" i="112" s="1"/>
  <c r="L19" i="112"/>
  <c r="AI19" i="112" s="1"/>
  <c r="S25" i="112"/>
  <c r="L18" i="112"/>
  <c r="AH18" i="112" s="1"/>
  <c r="B24" i="112"/>
  <c r="H24" i="112" s="1"/>
  <c r="S19" i="112"/>
  <c r="AF26" i="112"/>
  <c r="AW26" i="112" s="1"/>
  <c r="BV26" i="112" s="1"/>
  <c r="L23" i="112"/>
  <c r="AI23" i="112" s="1"/>
  <c r="B25" i="112"/>
  <c r="C25" i="112" s="1"/>
  <c r="AF27" i="112"/>
  <c r="AW27" i="112" s="1"/>
  <c r="BV27" i="112" s="1"/>
  <c r="AF18" i="112"/>
  <c r="AW18" i="112" s="1"/>
  <c r="BV18" i="112" s="1"/>
  <c r="AF21" i="112"/>
  <c r="AW21" i="112" s="1"/>
  <c r="BV21" i="112" s="1"/>
  <c r="G48" i="111"/>
  <c r="H48" i="111" s="1"/>
  <c r="AD48" i="111" s="1"/>
  <c r="G52" i="111"/>
  <c r="H52" i="111" s="1"/>
  <c r="Y52" i="111" s="1"/>
  <c r="H53" i="111"/>
  <c r="AC53" i="111" s="1"/>
  <c r="G47" i="111"/>
  <c r="H47" i="111" s="1"/>
  <c r="AD47" i="111" s="1"/>
  <c r="BW5" i="111"/>
  <c r="BW6" i="111" s="1"/>
  <c r="BW7" i="111" s="1"/>
  <c r="BW8" i="111" s="1"/>
  <c r="BW9" i="111" s="1"/>
  <c r="BW10" i="111" s="1"/>
  <c r="BW11" i="111" s="1"/>
  <c r="BW12" i="111" s="1"/>
  <c r="BW13" i="111" s="1"/>
  <c r="BW14" i="111" s="1"/>
  <c r="G44" i="111"/>
  <c r="H44" i="111" s="1"/>
  <c r="Y44" i="111" s="1"/>
  <c r="G46" i="111"/>
  <c r="H46" i="111" s="1"/>
  <c r="Y46" i="111" s="1"/>
  <c r="G50" i="111"/>
  <c r="H50" i="111" s="1"/>
  <c r="Y50" i="111" s="1"/>
  <c r="G49" i="111"/>
  <c r="H49" i="111" s="1"/>
  <c r="AD49" i="111" s="1"/>
  <c r="G43" i="111"/>
  <c r="H43" i="111" s="1"/>
  <c r="Y43" i="111" s="1"/>
  <c r="L26" i="112"/>
  <c r="AI26" i="112" s="1"/>
  <c r="B20" i="112"/>
  <c r="H20" i="112" s="1"/>
  <c r="AF25" i="112"/>
  <c r="AW25" i="112" s="1"/>
  <c r="BV25" i="112" s="1"/>
  <c r="AT4" i="63"/>
  <c r="AU4" i="63" s="1"/>
  <c r="AH4" i="63"/>
  <c r="AI4" i="63"/>
  <c r="K15" i="73"/>
  <c r="U4" i="63"/>
  <c r="AO4" i="63"/>
  <c r="K24" i="73"/>
  <c r="AO13" i="63"/>
  <c r="AH13" i="63"/>
  <c r="AI13" i="63"/>
  <c r="U13" i="63"/>
  <c r="AC13" i="63" s="1"/>
  <c r="U22" i="61"/>
  <c r="AC22" i="61" s="1"/>
  <c r="AH22" i="61"/>
  <c r="AI22" i="61"/>
  <c r="D34" i="73"/>
  <c r="AO22" i="61"/>
  <c r="AH45" i="63"/>
  <c r="AO45" i="63"/>
  <c r="U45" i="63"/>
  <c r="AI45" i="63"/>
  <c r="AO51" i="61"/>
  <c r="AI51" i="61"/>
  <c r="AH51" i="61"/>
  <c r="U51" i="61"/>
  <c r="C53" i="61"/>
  <c r="G53" i="61" s="1"/>
  <c r="Z53" i="61"/>
  <c r="F53" i="61"/>
  <c r="I22" i="13"/>
  <c r="O9" i="61"/>
  <c r="H9" i="61"/>
  <c r="G9" i="61"/>
  <c r="D15" i="99" s="1"/>
  <c r="Y9" i="61"/>
  <c r="C9" i="61"/>
  <c r="R9" i="61"/>
  <c r="N9" i="61"/>
  <c r="AD9" i="61"/>
  <c r="F9" i="61"/>
  <c r="Z9" i="61"/>
  <c r="AW6" i="63"/>
  <c r="BV6" i="63" s="1"/>
  <c r="AI19" i="61"/>
  <c r="AH19" i="61"/>
  <c r="AO19" i="61"/>
  <c r="D31" i="73"/>
  <c r="U19" i="61"/>
  <c r="AC19" i="61" s="1"/>
  <c r="F25" i="61"/>
  <c r="C37" i="73" s="1"/>
  <c r="G25" i="61"/>
  <c r="N25" i="61"/>
  <c r="O25" i="61"/>
  <c r="Z25" i="61"/>
  <c r="AD25" i="61"/>
  <c r="C25" i="61"/>
  <c r="H25" i="61"/>
  <c r="Y25" i="61"/>
  <c r="R25" i="61"/>
  <c r="CA33" i="111"/>
  <c r="AW32" i="63"/>
  <c r="BV32" i="63" s="1"/>
  <c r="G42" i="111"/>
  <c r="H42" i="111" s="1"/>
  <c r="AD42" i="111" s="1"/>
  <c r="AO53" i="63"/>
  <c r="AH53" i="63"/>
  <c r="U53" i="63"/>
  <c r="AI53" i="63"/>
  <c r="Z50" i="63"/>
  <c r="C50" i="63"/>
  <c r="F50" i="63"/>
  <c r="AO45" i="61"/>
  <c r="AI45" i="61"/>
  <c r="U45" i="61"/>
  <c r="AH45" i="61"/>
  <c r="E45" i="61"/>
  <c r="K45" i="61" s="1"/>
  <c r="M45" i="61" s="1"/>
  <c r="N45" i="61" s="1"/>
  <c r="F45" i="61"/>
  <c r="C45" i="61"/>
  <c r="Z45" i="61"/>
  <c r="CA38" i="111"/>
  <c r="U5" i="61"/>
  <c r="AI5" i="61"/>
  <c r="AH5" i="61"/>
  <c r="AO5" i="61"/>
  <c r="D16" i="73"/>
  <c r="AW13" i="61"/>
  <c r="BV13" i="61" s="1"/>
  <c r="O39" i="61"/>
  <c r="Z39" i="61"/>
  <c r="Y39" i="61"/>
  <c r="R39" i="61"/>
  <c r="H39" i="61"/>
  <c r="G39" i="61"/>
  <c r="C39" i="61"/>
  <c r="F39" i="61"/>
  <c r="C52" i="73" s="1"/>
  <c r="AD39" i="61"/>
  <c r="N39" i="61"/>
  <c r="C5" i="63"/>
  <c r="F5" i="63"/>
  <c r="Z5" i="63"/>
  <c r="C9" i="63"/>
  <c r="R9" i="63"/>
  <c r="Y9" i="63"/>
  <c r="N9" i="63"/>
  <c r="AD9" i="63"/>
  <c r="O9" i="63"/>
  <c r="F9" i="63"/>
  <c r="G9" i="63"/>
  <c r="D15" i="102" s="1"/>
  <c r="Z9" i="63"/>
  <c r="H9" i="63"/>
  <c r="Y13" i="63"/>
  <c r="C13" i="63"/>
  <c r="G13" i="63"/>
  <c r="D19" i="102" s="1"/>
  <c r="O13" i="63"/>
  <c r="F13" i="63"/>
  <c r="R13" i="63"/>
  <c r="N13" i="63"/>
  <c r="AD13" i="63"/>
  <c r="H13" i="63"/>
  <c r="Z13" i="63"/>
  <c r="AW27" i="61"/>
  <c r="BV27" i="61" s="1"/>
  <c r="AI15" i="111"/>
  <c r="F40" i="63"/>
  <c r="J53" i="73" s="1"/>
  <c r="AD40" i="63"/>
  <c r="R40" i="63"/>
  <c r="G40" i="63"/>
  <c r="Y40" i="63"/>
  <c r="C40" i="63"/>
  <c r="O40" i="63"/>
  <c r="N40" i="63"/>
  <c r="H40" i="63"/>
  <c r="Z40" i="63"/>
  <c r="U32" i="63"/>
  <c r="AC32" i="63" s="1"/>
  <c r="K45" i="73"/>
  <c r="AI32" i="63"/>
  <c r="AH32" i="63"/>
  <c r="AO32" i="63"/>
  <c r="AW39" i="63"/>
  <c r="BV39" i="63" s="1"/>
  <c r="AD36" i="63"/>
  <c r="G36" i="63"/>
  <c r="H36" i="63"/>
  <c r="R36" i="63"/>
  <c r="Y36" i="63"/>
  <c r="O36" i="63"/>
  <c r="F36" i="63"/>
  <c r="J49" i="73" s="1"/>
  <c r="N36" i="63"/>
  <c r="C36" i="63"/>
  <c r="Z36" i="63"/>
  <c r="G45" i="111"/>
  <c r="H45" i="111" s="1"/>
  <c r="AW51" i="63"/>
  <c r="AO47" i="63"/>
  <c r="U47" i="63"/>
  <c r="AH47" i="63"/>
  <c r="AI47" i="63"/>
  <c r="U49" i="63"/>
  <c r="AO49" i="63"/>
  <c r="AH49" i="63"/>
  <c r="AI49" i="63"/>
  <c r="E43" i="61"/>
  <c r="K43" i="61" s="1"/>
  <c r="M43" i="61" s="1"/>
  <c r="N43" i="61" s="1"/>
  <c r="F43" i="61"/>
  <c r="Z43" i="61"/>
  <c r="C43" i="61"/>
  <c r="L42" i="61"/>
  <c r="AF42" i="61"/>
  <c r="AW42" i="61" s="1"/>
  <c r="S42" i="61"/>
  <c r="CP6" i="63"/>
  <c r="CP6" i="112"/>
  <c r="E5" i="111"/>
  <c r="CA25" i="111"/>
  <c r="O33" i="114"/>
  <c r="CA32" i="111"/>
  <c r="I17" i="54"/>
  <c r="I21" i="54" s="1"/>
  <c r="E165" i="8"/>
  <c r="E128" i="8" s="1"/>
  <c r="D92" i="8"/>
  <c r="H15" i="4" s="1"/>
  <c r="Y10" i="61"/>
  <c r="Z10" i="61"/>
  <c r="H10" i="61"/>
  <c r="N10" i="61"/>
  <c r="F10" i="61"/>
  <c r="O10" i="61"/>
  <c r="AD10" i="61"/>
  <c r="G10" i="61"/>
  <c r="D16" i="99" s="1"/>
  <c r="R10" i="61"/>
  <c r="C10" i="61"/>
  <c r="R14" i="61"/>
  <c r="F14" i="61"/>
  <c r="H14" i="61"/>
  <c r="O14" i="61"/>
  <c r="Y14" i="61"/>
  <c r="G14" i="61"/>
  <c r="D20" i="99" s="1"/>
  <c r="C14" i="61"/>
  <c r="Z14" i="61"/>
  <c r="N14" i="61"/>
  <c r="AD14" i="61"/>
  <c r="AT4" i="61"/>
  <c r="AU4" i="61" s="1"/>
  <c r="D15" i="73"/>
  <c r="U4" i="61"/>
  <c r="AO4" i="61"/>
  <c r="AI4" i="61"/>
  <c r="AH4" i="61"/>
  <c r="AW12" i="61"/>
  <c r="BV12" i="61" s="1"/>
  <c r="F15" i="4"/>
  <c r="U2" i="56"/>
  <c r="U5" i="56" s="1"/>
  <c r="U4" i="56" s="1"/>
  <c r="U7" i="56" s="1"/>
  <c r="U8" i="56" s="1"/>
  <c r="U9" i="56" s="1"/>
  <c r="U10" i="56" s="1"/>
  <c r="U11" i="56" s="1"/>
  <c r="U12" i="56" s="1"/>
  <c r="U13" i="56" s="1"/>
  <c r="U14" i="56" s="1"/>
  <c r="U15" i="56" s="1"/>
  <c r="U16" i="56" s="1"/>
  <c r="U17" i="56" s="1"/>
  <c r="U18" i="56" s="1"/>
  <c r="F15" i="56" s="1"/>
  <c r="E133" i="80"/>
  <c r="E134" i="80" s="1"/>
  <c r="E87" i="80" s="1"/>
  <c r="E92" i="80" s="1"/>
  <c r="AO37" i="61"/>
  <c r="AH37" i="61"/>
  <c r="AI37" i="61"/>
  <c r="U37" i="61"/>
  <c r="AC37" i="61" s="1"/>
  <c r="D50" i="73"/>
  <c r="U34" i="61"/>
  <c r="AC34" i="61" s="1"/>
  <c r="AO34" i="61"/>
  <c r="AI34" i="61"/>
  <c r="AH34" i="61"/>
  <c r="D47" i="73"/>
  <c r="D53" i="73"/>
  <c r="AI40" i="61"/>
  <c r="U40" i="61"/>
  <c r="AC40" i="61" s="1"/>
  <c r="AO40" i="61"/>
  <c r="AH40" i="61"/>
  <c r="AW40" i="61"/>
  <c r="BV40" i="61" s="1"/>
  <c r="AW13" i="63"/>
  <c r="BV13" i="63" s="1"/>
  <c r="AW7" i="63"/>
  <c r="BV7" i="63" s="1"/>
  <c r="F4" i="63"/>
  <c r="Z4" i="63"/>
  <c r="C4" i="63"/>
  <c r="E4" i="63"/>
  <c r="K4" i="63" s="1"/>
  <c r="M4" i="63" s="1"/>
  <c r="N4" i="63" s="1"/>
  <c r="CA23" i="111"/>
  <c r="F26" i="61"/>
  <c r="C38" i="73" s="1"/>
  <c r="C26" i="61"/>
  <c r="Z26" i="61"/>
  <c r="AD26" i="61"/>
  <c r="G26" i="61"/>
  <c r="H26" i="61"/>
  <c r="O26" i="61"/>
  <c r="N26" i="61"/>
  <c r="Y26" i="61"/>
  <c r="R26" i="61"/>
  <c r="C27" i="61"/>
  <c r="G27" i="61"/>
  <c r="AD27" i="61"/>
  <c r="H27" i="61"/>
  <c r="Y27" i="61"/>
  <c r="R27" i="61"/>
  <c r="Z27" i="61"/>
  <c r="O27" i="61"/>
  <c r="F27" i="61"/>
  <c r="C39" i="73" s="1"/>
  <c r="N27" i="61"/>
  <c r="AO18" i="61"/>
  <c r="AH18" i="61"/>
  <c r="U18" i="61"/>
  <c r="AC18" i="61" s="1"/>
  <c r="AI18" i="61"/>
  <c r="D30" i="73"/>
  <c r="CA37" i="111"/>
  <c r="AW38" i="63"/>
  <c r="BV38" i="63" s="1"/>
  <c r="AW33" i="63"/>
  <c r="BV33" i="63" s="1"/>
  <c r="K44" i="73"/>
  <c r="AI31" i="63"/>
  <c r="AH31" i="63"/>
  <c r="U31" i="63"/>
  <c r="AC31" i="63" s="1"/>
  <c r="AO31" i="63"/>
  <c r="CA11" i="111"/>
  <c r="U50" i="63"/>
  <c r="AI50" i="63"/>
  <c r="AO50" i="63"/>
  <c r="AH50" i="63"/>
  <c r="C43" i="63"/>
  <c r="F43" i="63"/>
  <c r="Z43" i="63"/>
  <c r="AF42" i="63"/>
  <c r="S42" i="63"/>
  <c r="L42" i="63"/>
  <c r="C47" i="63"/>
  <c r="Z47" i="63"/>
  <c r="F47" i="63"/>
  <c r="U44" i="61"/>
  <c r="AI44" i="61"/>
  <c r="AH44" i="61"/>
  <c r="AO44" i="61"/>
  <c r="E44" i="61"/>
  <c r="K44" i="61" s="1"/>
  <c r="M44" i="61" s="1"/>
  <c r="N44" i="61" s="1"/>
  <c r="C44" i="61"/>
  <c r="F44" i="61"/>
  <c r="Z44" i="61"/>
  <c r="C47" i="61"/>
  <c r="E47" i="61"/>
  <c r="K47" i="61" s="1"/>
  <c r="M47" i="61" s="1"/>
  <c r="N47" i="61" s="1"/>
  <c r="Z47" i="61"/>
  <c r="F47" i="61"/>
  <c r="AT5" i="111"/>
  <c r="H31" i="14"/>
  <c r="CO16" i="61"/>
  <c r="CO16" i="111"/>
  <c r="CA30" i="111"/>
  <c r="CA34" i="111"/>
  <c r="Z13" i="61"/>
  <c r="AD13" i="61"/>
  <c r="C13" i="61"/>
  <c r="F13" i="61"/>
  <c r="R13" i="61"/>
  <c r="Y13" i="61"/>
  <c r="H13" i="61"/>
  <c r="N13" i="61"/>
  <c r="O13" i="61"/>
  <c r="G13" i="61"/>
  <c r="D19" i="99" s="1"/>
  <c r="AW7" i="61"/>
  <c r="BV7" i="61" s="1"/>
  <c r="CO6" i="63"/>
  <c r="CO6" i="112"/>
  <c r="BR38" i="61"/>
  <c r="BN39" i="61"/>
  <c r="BN39" i="63"/>
  <c r="BR38" i="63"/>
  <c r="AW33" i="61"/>
  <c r="BV33" i="61" s="1"/>
  <c r="N33" i="61"/>
  <c r="AD33" i="61"/>
  <c r="Z33" i="61"/>
  <c r="R33" i="61"/>
  <c r="C33" i="61"/>
  <c r="H33" i="61"/>
  <c r="F33" i="61"/>
  <c r="C46" i="73" s="1"/>
  <c r="O33" i="61"/>
  <c r="Y33" i="61"/>
  <c r="G33" i="61"/>
  <c r="AH30" i="61"/>
  <c r="U30" i="61"/>
  <c r="AC30" i="61" s="1"/>
  <c r="D43" i="73"/>
  <c r="AI30" i="61"/>
  <c r="AO30" i="61"/>
  <c r="AW5" i="63"/>
  <c r="BV5" i="63" s="1"/>
  <c r="AI34" i="63"/>
  <c r="AO34" i="63"/>
  <c r="K47" i="73"/>
  <c r="AH34" i="63"/>
  <c r="U34" i="63"/>
  <c r="AC34" i="63" s="1"/>
  <c r="AH52" i="63"/>
  <c r="U52" i="63"/>
  <c r="AO52" i="63"/>
  <c r="AI52" i="63"/>
  <c r="F50" i="61"/>
  <c r="C50" i="61"/>
  <c r="Z50" i="61"/>
  <c r="AI6" i="61"/>
  <c r="AH6" i="61"/>
  <c r="AO6" i="61"/>
  <c r="U6" i="61"/>
  <c r="D17" i="73"/>
  <c r="Z4" i="61"/>
  <c r="E4" i="61"/>
  <c r="K4" i="61" s="1"/>
  <c r="M4" i="61" s="1"/>
  <c r="N4" i="61" s="1"/>
  <c r="C4" i="61"/>
  <c r="F4" i="61"/>
  <c r="AO35" i="61"/>
  <c r="AI35" i="61"/>
  <c r="U35" i="61"/>
  <c r="AC35" i="61" s="1"/>
  <c r="D48" i="73"/>
  <c r="AH35" i="61"/>
  <c r="Z11" i="63"/>
  <c r="G11" i="63"/>
  <c r="D17" i="102" s="1"/>
  <c r="H11" i="63"/>
  <c r="R11" i="63"/>
  <c r="N11" i="63"/>
  <c r="Y11" i="63"/>
  <c r="AD11" i="63"/>
  <c r="F11" i="63"/>
  <c r="O11" i="63"/>
  <c r="C11" i="63"/>
  <c r="Y22" i="61"/>
  <c r="Z22" i="61"/>
  <c r="R22" i="61"/>
  <c r="G22" i="61"/>
  <c r="N22" i="61"/>
  <c r="O22" i="61"/>
  <c r="F22" i="61"/>
  <c r="C34" i="73" s="1"/>
  <c r="H22" i="61"/>
  <c r="AD22" i="61"/>
  <c r="C22" i="61"/>
  <c r="U15" i="111"/>
  <c r="AI38" i="63"/>
  <c r="U38" i="63"/>
  <c r="AC38" i="63" s="1"/>
  <c r="AO38" i="63"/>
  <c r="AH38" i="63"/>
  <c r="K51" i="73"/>
  <c r="U40" i="63"/>
  <c r="AC40" i="63" s="1"/>
  <c r="AO40" i="63"/>
  <c r="K53" i="73"/>
  <c r="AI40" i="63"/>
  <c r="AH40" i="63"/>
  <c r="CA26" i="111"/>
  <c r="F52" i="61"/>
  <c r="C52" i="61"/>
  <c r="Z52" i="61"/>
  <c r="AD24" i="61"/>
  <c r="H24" i="61"/>
  <c r="R24" i="61"/>
  <c r="O24" i="61"/>
  <c r="Y24" i="61"/>
  <c r="C24" i="61"/>
  <c r="F24" i="61"/>
  <c r="C36" i="73" s="1"/>
  <c r="G24" i="61"/>
  <c r="N24" i="61"/>
  <c r="Z24" i="61"/>
  <c r="AW25" i="61"/>
  <c r="BV25" i="61" s="1"/>
  <c r="AO26" i="61"/>
  <c r="AI26" i="61"/>
  <c r="U26" i="61"/>
  <c r="AC26" i="61" s="1"/>
  <c r="D38" i="73"/>
  <c r="AH26" i="61"/>
  <c r="U11" i="63"/>
  <c r="AC11" i="63" s="1"/>
  <c r="AO11" i="63"/>
  <c r="AH11" i="63"/>
  <c r="AI11" i="63"/>
  <c r="K22" i="73"/>
  <c r="AW31" i="63"/>
  <c r="BV31" i="63" s="1"/>
  <c r="L36" i="73"/>
  <c r="CA24" i="63"/>
  <c r="CA20" i="111"/>
  <c r="AI48" i="63"/>
  <c r="U48" i="63"/>
  <c r="AH48" i="63"/>
  <c r="AO48" i="63"/>
  <c r="I29" i="19"/>
  <c r="I24" i="19"/>
  <c r="I25" i="19" s="1"/>
  <c r="I27" i="19" s="1"/>
  <c r="I28" i="19" s="1"/>
  <c r="F49" i="61"/>
  <c r="E49" i="61"/>
  <c r="K49" i="61" s="1"/>
  <c r="M49" i="61" s="1"/>
  <c r="N49" i="61" s="1"/>
  <c r="C49" i="61"/>
  <c r="Z49" i="61"/>
  <c r="CA40" i="111"/>
  <c r="CA8" i="111"/>
  <c r="CP6" i="61"/>
  <c r="CP6" i="111"/>
  <c r="AI11" i="61"/>
  <c r="U11" i="61"/>
  <c r="AC11" i="61" s="1"/>
  <c r="AO11" i="61"/>
  <c r="D22" i="73"/>
  <c r="AH11" i="61"/>
  <c r="AW9" i="61"/>
  <c r="BV9" i="61" s="1"/>
  <c r="AW6" i="61"/>
  <c r="BV6" i="61" s="1"/>
  <c r="AH38" i="61"/>
  <c r="U38" i="61"/>
  <c r="AC38" i="61" s="1"/>
  <c r="AI38" i="61"/>
  <c r="D51" i="73"/>
  <c r="AO38" i="61"/>
  <c r="AW9" i="63"/>
  <c r="BV9" i="63" s="1"/>
  <c r="R14" i="63"/>
  <c r="AD14" i="63"/>
  <c r="Z14" i="63"/>
  <c r="O14" i="63"/>
  <c r="Y14" i="63"/>
  <c r="F14" i="63"/>
  <c r="G14" i="63"/>
  <c r="D20" i="102" s="1"/>
  <c r="N14" i="63"/>
  <c r="H14" i="63"/>
  <c r="C14" i="63"/>
  <c r="U21" i="61"/>
  <c r="AC21" i="61" s="1"/>
  <c r="AH21" i="61"/>
  <c r="AI21" i="61"/>
  <c r="AO21" i="61"/>
  <c r="D33" i="73"/>
  <c r="AW20" i="61"/>
  <c r="BV20" i="61" s="1"/>
  <c r="AP13" i="111"/>
  <c r="AP11" i="111"/>
  <c r="AP7" i="111"/>
  <c r="AP6" i="111"/>
  <c r="AP4" i="111"/>
  <c r="AP15" i="111"/>
  <c r="AP9" i="111"/>
  <c r="AP10" i="111"/>
  <c r="AP12" i="111"/>
  <c r="AP14" i="111"/>
  <c r="AP8" i="111"/>
  <c r="AP5" i="111"/>
  <c r="K48" i="73"/>
  <c r="AO35" i="63"/>
  <c r="U35" i="63"/>
  <c r="AC35" i="63" s="1"/>
  <c r="AI35" i="63"/>
  <c r="AH35" i="63"/>
  <c r="Z30" i="63"/>
  <c r="F30" i="63"/>
  <c r="J43" i="73" s="1"/>
  <c r="C30" i="63"/>
  <c r="AW52" i="63"/>
  <c r="C53" i="63"/>
  <c r="G53" i="63" s="1"/>
  <c r="Z53" i="63"/>
  <c r="F53" i="63"/>
  <c r="B30" i="114"/>
  <c r="D30" i="114"/>
  <c r="U47" i="61"/>
  <c r="AH47" i="61"/>
  <c r="AO47" i="61"/>
  <c r="AI47" i="61"/>
  <c r="D21" i="35"/>
  <c r="F24" i="35"/>
  <c r="E23" i="35"/>
  <c r="CA31" i="111"/>
  <c r="F12" i="61"/>
  <c r="N12" i="61"/>
  <c r="G12" i="61"/>
  <c r="D18" i="99" s="1"/>
  <c r="AD12" i="61"/>
  <c r="R12" i="61"/>
  <c r="Z12" i="61"/>
  <c r="Y12" i="61"/>
  <c r="O12" i="61"/>
  <c r="H12" i="61"/>
  <c r="C12" i="61"/>
  <c r="D18" i="73"/>
  <c r="AO7" i="61"/>
  <c r="AI7" i="61"/>
  <c r="U7" i="61"/>
  <c r="AH7" i="61"/>
  <c r="AH9" i="61"/>
  <c r="D20" i="73"/>
  <c r="U9" i="61"/>
  <c r="AC9" i="61" s="1"/>
  <c r="AO9" i="61"/>
  <c r="AI9" i="61"/>
  <c r="AH10" i="61"/>
  <c r="AO10" i="61"/>
  <c r="U10" i="61"/>
  <c r="AC10" i="61" s="1"/>
  <c r="AI10" i="61"/>
  <c r="D21" i="73"/>
  <c r="Z6" i="61"/>
  <c r="F6" i="61"/>
  <c r="C6" i="61"/>
  <c r="AI32" i="61"/>
  <c r="U32" i="61"/>
  <c r="AC32" i="61" s="1"/>
  <c r="AH32" i="61"/>
  <c r="AO32" i="61"/>
  <c r="D45" i="73"/>
  <c r="AW36" i="61"/>
  <c r="BV36" i="61" s="1"/>
  <c r="H40" i="61"/>
  <c r="F40" i="61"/>
  <c r="C53" i="73" s="1"/>
  <c r="R40" i="61"/>
  <c r="O40" i="61"/>
  <c r="AD40" i="61"/>
  <c r="Z40" i="61"/>
  <c r="N40" i="61"/>
  <c r="C40" i="61"/>
  <c r="G40" i="61"/>
  <c r="Y40" i="61"/>
  <c r="AW35" i="61"/>
  <c r="BV35" i="61" s="1"/>
  <c r="AW37" i="61"/>
  <c r="BV37" i="61" s="1"/>
  <c r="F32" i="79"/>
  <c r="F38" i="79" s="1"/>
  <c r="AW17" i="112"/>
  <c r="BV17" i="112" s="1"/>
  <c r="O12" i="63"/>
  <c r="C12" i="63"/>
  <c r="Y12" i="63"/>
  <c r="H12" i="63"/>
  <c r="F12" i="63"/>
  <c r="G12" i="63"/>
  <c r="D18" i="102" s="1"/>
  <c r="N12" i="63"/>
  <c r="Z12" i="63"/>
  <c r="R12" i="63"/>
  <c r="AD12" i="63"/>
  <c r="AH10" i="63"/>
  <c r="U10" i="63"/>
  <c r="AC10" i="63" s="1"/>
  <c r="AI10" i="63"/>
  <c r="AO10" i="63"/>
  <c r="K21" i="73"/>
  <c r="AW26" i="61"/>
  <c r="BV26" i="61" s="1"/>
  <c r="H21" i="61"/>
  <c r="Z21" i="61"/>
  <c r="F21" i="61"/>
  <c r="C33" i="73" s="1"/>
  <c r="R21" i="61"/>
  <c r="Y21" i="61"/>
  <c r="G21" i="61"/>
  <c r="C21" i="61"/>
  <c r="N21" i="61"/>
  <c r="AD21" i="61"/>
  <c r="O21" i="61"/>
  <c r="CA13" i="111"/>
  <c r="AD33" i="63"/>
  <c r="H33" i="63"/>
  <c r="Y33" i="63"/>
  <c r="N33" i="63"/>
  <c r="F33" i="63"/>
  <c r="J46" i="73" s="1"/>
  <c r="G33" i="63"/>
  <c r="R33" i="63"/>
  <c r="O33" i="63"/>
  <c r="C33" i="63"/>
  <c r="Z33" i="63"/>
  <c r="I24" i="53"/>
  <c r="E118" i="1"/>
  <c r="E66" i="1"/>
  <c r="CA24" i="111"/>
  <c r="AW5" i="61"/>
  <c r="BV5" i="61" s="1"/>
  <c r="AW39" i="61"/>
  <c r="BV39" i="61" s="1"/>
  <c r="AW34" i="61"/>
  <c r="BV34" i="61" s="1"/>
  <c r="E98" i="79"/>
  <c r="E85" i="79" s="1"/>
  <c r="F146" i="79"/>
  <c r="F145" i="79" s="1"/>
  <c r="AW12" i="63"/>
  <c r="BV12" i="63" s="1"/>
  <c r="I24" i="11"/>
  <c r="I25" i="11" s="1"/>
  <c r="I27" i="11" s="1"/>
  <c r="I28" i="11" s="1"/>
  <c r="I29" i="11"/>
  <c r="AI30" i="63"/>
  <c r="AO30" i="63"/>
  <c r="K43" i="73"/>
  <c r="U30" i="63"/>
  <c r="AH30" i="63"/>
  <c r="F37" i="63"/>
  <c r="J50" i="73" s="1"/>
  <c r="R37" i="63"/>
  <c r="AD37" i="63"/>
  <c r="Y37" i="63"/>
  <c r="Z37" i="63"/>
  <c r="G37" i="63"/>
  <c r="O37" i="63"/>
  <c r="N37" i="63"/>
  <c r="C37" i="63"/>
  <c r="H37" i="63"/>
  <c r="CA14" i="111"/>
  <c r="C51" i="63"/>
  <c r="F51" i="63"/>
  <c r="Z51" i="63"/>
  <c r="U50" i="61"/>
  <c r="AH50" i="61"/>
  <c r="AI50" i="61"/>
  <c r="AO50" i="61"/>
  <c r="Y34" i="61"/>
  <c r="AD34" i="61"/>
  <c r="N34" i="61"/>
  <c r="G34" i="61"/>
  <c r="Z34" i="61"/>
  <c r="H34" i="61"/>
  <c r="F34" i="61"/>
  <c r="C47" i="73" s="1"/>
  <c r="R34" i="61"/>
  <c r="C34" i="61"/>
  <c r="O34" i="61"/>
  <c r="R35" i="61"/>
  <c r="O35" i="61"/>
  <c r="Z35" i="61"/>
  <c r="G35" i="61"/>
  <c r="N35" i="61"/>
  <c r="C35" i="61"/>
  <c r="H35" i="61"/>
  <c r="AD35" i="61"/>
  <c r="F35" i="61"/>
  <c r="C48" i="73" s="1"/>
  <c r="Y35" i="61"/>
  <c r="Y31" i="61"/>
  <c r="R31" i="61"/>
  <c r="C31" i="61"/>
  <c r="H31" i="61"/>
  <c r="N31" i="61"/>
  <c r="O31" i="61"/>
  <c r="G31" i="61"/>
  <c r="F31" i="61"/>
  <c r="C44" i="73" s="1"/>
  <c r="Z31" i="61"/>
  <c r="AD31" i="61"/>
  <c r="CM6" i="112"/>
  <c r="CM6" i="63"/>
  <c r="AI12" i="63"/>
  <c r="U12" i="63"/>
  <c r="AC12" i="63" s="1"/>
  <c r="K23" i="73"/>
  <c r="AH12" i="63"/>
  <c r="AO12" i="63"/>
  <c r="C8" i="63"/>
  <c r="N8" i="63"/>
  <c r="R8" i="63"/>
  <c r="AD8" i="63"/>
  <c r="H8" i="63"/>
  <c r="F8" i="63"/>
  <c r="G8" i="63"/>
  <c r="D14" i="102" s="1"/>
  <c r="O8" i="63"/>
  <c r="Z8" i="63"/>
  <c r="Y8" i="63"/>
  <c r="AW14" i="63"/>
  <c r="BV14" i="63" s="1"/>
  <c r="U25" i="61"/>
  <c r="AC25" i="61" s="1"/>
  <c r="AI25" i="61"/>
  <c r="AH25" i="61"/>
  <c r="AO25" i="61"/>
  <c r="D37" i="73"/>
  <c r="H19" i="61"/>
  <c r="AD19" i="61"/>
  <c r="Y19" i="61"/>
  <c r="F19" i="61"/>
  <c r="C31" i="73" s="1"/>
  <c r="R19" i="61"/>
  <c r="N19" i="61"/>
  <c r="O19" i="61"/>
  <c r="Z19" i="61"/>
  <c r="C19" i="61"/>
  <c r="G19" i="61"/>
  <c r="H35" i="63"/>
  <c r="C35" i="63"/>
  <c r="F35" i="63"/>
  <c r="J48" i="73" s="1"/>
  <c r="Z35" i="63"/>
  <c r="N35" i="63"/>
  <c r="AD35" i="63"/>
  <c r="O35" i="63"/>
  <c r="Y35" i="63"/>
  <c r="R35" i="63"/>
  <c r="G35" i="63"/>
  <c r="AW40" i="63"/>
  <c r="BV40" i="63" s="1"/>
  <c r="CA21" i="111"/>
  <c r="C46" i="63"/>
  <c r="Z46" i="63"/>
  <c r="F46" i="63"/>
  <c r="C52" i="63"/>
  <c r="Z52" i="63"/>
  <c r="F52" i="63"/>
  <c r="CA35" i="111"/>
  <c r="U9" i="63"/>
  <c r="AC9" i="63" s="1"/>
  <c r="AO9" i="63"/>
  <c r="AI9" i="63"/>
  <c r="K20" i="73"/>
  <c r="AH9" i="63"/>
  <c r="AW22" i="61"/>
  <c r="BV22" i="61" s="1"/>
  <c r="G51" i="111"/>
  <c r="H51" i="111" s="1"/>
  <c r="K50" i="73"/>
  <c r="U37" i="63"/>
  <c r="AC37" i="63" s="1"/>
  <c r="AH37" i="63"/>
  <c r="AI37" i="63"/>
  <c r="AO37" i="63"/>
  <c r="F39" i="63"/>
  <c r="J52" i="73" s="1"/>
  <c r="C39" i="63"/>
  <c r="N39" i="63"/>
  <c r="Y39" i="63"/>
  <c r="O39" i="63"/>
  <c r="AD39" i="63"/>
  <c r="Z39" i="63"/>
  <c r="H39" i="63"/>
  <c r="G39" i="63"/>
  <c r="R39" i="63"/>
  <c r="AW37" i="63"/>
  <c r="BV37" i="63" s="1"/>
  <c r="AW44" i="63"/>
  <c r="K16" i="73"/>
  <c r="AO5" i="63"/>
  <c r="AH5" i="63"/>
  <c r="U5" i="63"/>
  <c r="AI5" i="63"/>
  <c r="F7" i="63"/>
  <c r="C7" i="63"/>
  <c r="Z7" i="63"/>
  <c r="C6" i="63"/>
  <c r="F6" i="63"/>
  <c r="Z6" i="63"/>
  <c r="AW8" i="63"/>
  <c r="BV8" i="63" s="1"/>
  <c r="F17" i="61"/>
  <c r="C29" i="73" s="1"/>
  <c r="Z17" i="61"/>
  <c r="C17" i="61"/>
  <c r="H18" i="61"/>
  <c r="Y18" i="61"/>
  <c r="O18" i="61"/>
  <c r="N18" i="61"/>
  <c r="Z18" i="61"/>
  <c r="C18" i="61"/>
  <c r="F18" i="61"/>
  <c r="C30" i="73" s="1"/>
  <c r="AD18" i="61"/>
  <c r="G18" i="61"/>
  <c r="R18" i="61"/>
  <c r="AW24" i="61"/>
  <c r="BV24" i="61" s="1"/>
  <c r="AW19" i="61"/>
  <c r="BV19" i="61" s="1"/>
  <c r="AW23" i="61"/>
  <c r="BV23" i="61" s="1"/>
  <c r="CN6" i="112"/>
  <c r="CN6" i="63"/>
  <c r="AX4" i="111"/>
  <c r="AW30" i="63"/>
  <c r="BV30" i="63" s="1"/>
  <c r="AW35" i="63"/>
  <c r="BV35" i="63" s="1"/>
  <c r="U36" i="63"/>
  <c r="AC36" i="63" s="1"/>
  <c r="K49" i="73"/>
  <c r="AH36" i="63"/>
  <c r="AO36" i="63"/>
  <c r="AI36" i="63"/>
  <c r="H34" i="63"/>
  <c r="G34" i="63"/>
  <c r="C34" i="63"/>
  <c r="R34" i="63"/>
  <c r="Y34" i="63"/>
  <c r="F34" i="63"/>
  <c r="J47" i="73" s="1"/>
  <c r="N34" i="63"/>
  <c r="O34" i="63"/>
  <c r="Z34" i="63"/>
  <c r="AD34" i="63"/>
  <c r="E42" i="111"/>
  <c r="K42" i="111" s="1"/>
  <c r="AH46" i="63"/>
  <c r="AI46" i="63"/>
  <c r="U46" i="63"/>
  <c r="AO46" i="63"/>
  <c r="Z44" i="63"/>
  <c r="F44" i="63"/>
  <c r="C44" i="63"/>
  <c r="AO44" i="63"/>
  <c r="AI44" i="63"/>
  <c r="U44" i="63"/>
  <c r="AH44" i="63"/>
  <c r="AO43" i="63"/>
  <c r="AI43" i="63"/>
  <c r="U43" i="63"/>
  <c r="AH43" i="63"/>
  <c r="C45" i="63"/>
  <c r="F45" i="63"/>
  <c r="Z45" i="63"/>
  <c r="D29" i="114"/>
  <c r="E28" i="114" s="1"/>
  <c r="AO52" i="61"/>
  <c r="AH52" i="61"/>
  <c r="AI52" i="61"/>
  <c r="U52" i="61"/>
  <c r="AO43" i="61"/>
  <c r="AI43" i="61"/>
  <c r="AH43" i="61"/>
  <c r="U43" i="61"/>
  <c r="U46" i="61"/>
  <c r="AI46" i="61"/>
  <c r="AH46" i="61"/>
  <c r="AO46" i="61"/>
  <c r="I24" i="54"/>
  <c r="E118" i="8"/>
  <c r="E66" i="8"/>
  <c r="A24" i="35"/>
  <c r="C23" i="35" s="1"/>
  <c r="U13" i="61"/>
  <c r="AC13" i="61" s="1"/>
  <c r="AI13" i="61"/>
  <c r="D24" i="73"/>
  <c r="AO13" i="61"/>
  <c r="AH13" i="61"/>
  <c r="AO12" i="61"/>
  <c r="AI12" i="61"/>
  <c r="D23" i="73"/>
  <c r="AH12" i="61"/>
  <c r="U12" i="61"/>
  <c r="AC12" i="61" s="1"/>
  <c r="Z7" i="61"/>
  <c r="F7" i="61"/>
  <c r="C7" i="61"/>
  <c r="C5" i="61"/>
  <c r="Z5" i="61"/>
  <c r="F5" i="61"/>
  <c r="AW4" i="61"/>
  <c r="BV4" i="61" s="1"/>
  <c r="BW4" i="61" s="1"/>
  <c r="AW8" i="61"/>
  <c r="BV8" i="61" s="1"/>
  <c r="CA10" i="111"/>
  <c r="F32" i="80"/>
  <c r="F38" i="80" s="1"/>
  <c r="CA39" i="111"/>
  <c r="R38" i="61"/>
  <c r="O38" i="61"/>
  <c r="AD38" i="61"/>
  <c r="Y38" i="61"/>
  <c r="G38" i="61"/>
  <c r="F38" i="61"/>
  <c r="C51" i="73" s="1"/>
  <c r="Z38" i="61"/>
  <c r="N38" i="61"/>
  <c r="C38" i="61"/>
  <c r="H38" i="61"/>
  <c r="AW32" i="61"/>
  <c r="BV32" i="61" s="1"/>
  <c r="AI36" i="61"/>
  <c r="U36" i="61"/>
  <c r="AC36" i="61" s="1"/>
  <c r="AH36" i="61"/>
  <c r="AO36" i="61"/>
  <c r="D49" i="73"/>
  <c r="C36" i="61"/>
  <c r="F36" i="61"/>
  <c r="C49" i="73" s="1"/>
  <c r="G36" i="61"/>
  <c r="R36" i="61"/>
  <c r="O36" i="61"/>
  <c r="AD36" i="61"/>
  <c r="H36" i="61"/>
  <c r="Y36" i="61"/>
  <c r="N36" i="61"/>
  <c r="Z36" i="61"/>
  <c r="D52" i="73"/>
  <c r="AI39" i="61"/>
  <c r="U39" i="61"/>
  <c r="AC39" i="61" s="1"/>
  <c r="AH39" i="61"/>
  <c r="AO39" i="61"/>
  <c r="G22" i="79"/>
  <c r="AI6" i="63"/>
  <c r="K17" i="73"/>
  <c r="AH6" i="63"/>
  <c r="U6" i="63"/>
  <c r="AO6" i="63"/>
  <c r="G23" i="61"/>
  <c r="Z23" i="61"/>
  <c r="N23" i="61"/>
  <c r="H23" i="61"/>
  <c r="F23" i="61"/>
  <c r="C35" i="73" s="1"/>
  <c r="R23" i="61"/>
  <c r="C23" i="61"/>
  <c r="AD23" i="61"/>
  <c r="Y23" i="61"/>
  <c r="O23" i="61"/>
  <c r="I29" i="16"/>
  <c r="I24" i="16"/>
  <c r="I25" i="16" s="1"/>
  <c r="I27" i="16" s="1"/>
  <c r="I28" i="16" s="1"/>
  <c r="BN39" i="112"/>
  <c r="BR38" i="112"/>
  <c r="H31" i="63"/>
  <c r="R31" i="63"/>
  <c r="AD31" i="63"/>
  <c r="C31" i="63"/>
  <c r="G30" i="63" s="1"/>
  <c r="H30" i="63" s="1"/>
  <c r="AD30" i="63" s="1"/>
  <c r="F31" i="63"/>
  <c r="J44" i="73" s="1"/>
  <c r="O31" i="63"/>
  <c r="Z31" i="63"/>
  <c r="Y31" i="63"/>
  <c r="N31" i="63"/>
  <c r="G31" i="63"/>
  <c r="AW36" i="63"/>
  <c r="BV36" i="63" s="1"/>
  <c r="AO53" i="61"/>
  <c r="AI53" i="61"/>
  <c r="AH53" i="61"/>
  <c r="U53" i="61"/>
  <c r="I29" i="18"/>
  <c r="I24" i="18"/>
  <c r="I25" i="18" s="1"/>
  <c r="I27" i="18" s="1"/>
  <c r="I28" i="18" s="1"/>
  <c r="CA22" i="111"/>
  <c r="AO31" i="61"/>
  <c r="AH31" i="61"/>
  <c r="U31" i="61"/>
  <c r="AC31" i="61" s="1"/>
  <c r="AI31" i="61"/>
  <c r="D44" i="73"/>
  <c r="AW31" i="61"/>
  <c r="BV31" i="61" s="1"/>
  <c r="CA12" i="111"/>
  <c r="G10" i="63"/>
  <c r="D16" i="102" s="1"/>
  <c r="AD10" i="63"/>
  <c r="O10" i="63"/>
  <c r="N10" i="63"/>
  <c r="Z10" i="63"/>
  <c r="H10" i="63"/>
  <c r="R10" i="63"/>
  <c r="Y10" i="63"/>
  <c r="C10" i="63"/>
  <c r="F10" i="63"/>
  <c r="AW4" i="63"/>
  <c r="BV4" i="63" s="1"/>
  <c r="BW4" i="63" s="1"/>
  <c r="AW18" i="61"/>
  <c r="BV18" i="61" s="1"/>
  <c r="AW17" i="61"/>
  <c r="BV17" i="61" s="1"/>
  <c r="U24" i="61"/>
  <c r="AC24" i="61" s="1"/>
  <c r="AO24" i="61"/>
  <c r="AI24" i="61"/>
  <c r="D36" i="73"/>
  <c r="AH24" i="61"/>
  <c r="Z46" i="61"/>
  <c r="F46" i="61"/>
  <c r="E46" i="61"/>
  <c r="K46" i="61" s="1"/>
  <c r="M46" i="61" s="1"/>
  <c r="N46" i="61" s="1"/>
  <c r="C46" i="61"/>
  <c r="Y8" i="61"/>
  <c r="G8" i="61"/>
  <c r="D14" i="99" s="1"/>
  <c r="O8" i="61"/>
  <c r="C8" i="61"/>
  <c r="Z8" i="61"/>
  <c r="R8" i="61"/>
  <c r="H8" i="61"/>
  <c r="N8" i="61"/>
  <c r="AD8" i="61"/>
  <c r="F8" i="61"/>
  <c r="I24" i="17"/>
  <c r="I25" i="17" s="1"/>
  <c r="I27" i="17" s="1"/>
  <c r="I28" i="17" s="1"/>
  <c r="I29" i="17"/>
  <c r="AI20" i="61"/>
  <c r="U20" i="61"/>
  <c r="AC20" i="61" s="1"/>
  <c r="D32" i="73"/>
  <c r="AO20" i="61"/>
  <c r="AH20" i="61"/>
  <c r="K18" i="73"/>
  <c r="AI7" i="63"/>
  <c r="AH7" i="63"/>
  <c r="U7" i="63"/>
  <c r="AO7" i="63"/>
  <c r="AH23" i="61"/>
  <c r="AO23" i="61"/>
  <c r="U23" i="61"/>
  <c r="AC23" i="61" s="1"/>
  <c r="D35" i="73"/>
  <c r="AI23" i="61"/>
  <c r="U27" i="61"/>
  <c r="AC27" i="61" s="1"/>
  <c r="D39" i="73"/>
  <c r="AH27" i="61"/>
  <c r="AI27" i="61"/>
  <c r="AO27" i="61"/>
  <c r="I29" i="15"/>
  <c r="I24" i="15"/>
  <c r="I25" i="15" s="1"/>
  <c r="I27" i="15" s="1"/>
  <c r="I28" i="15" s="1"/>
  <c r="CA9" i="111"/>
  <c r="AD32" i="63"/>
  <c r="N32" i="63"/>
  <c r="R32" i="63"/>
  <c r="Z32" i="63"/>
  <c r="C32" i="63"/>
  <c r="G32" i="63"/>
  <c r="O32" i="63"/>
  <c r="H32" i="63"/>
  <c r="Y32" i="63"/>
  <c r="F32" i="63"/>
  <c r="J45" i="73" s="1"/>
  <c r="CM6" i="61"/>
  <c r="CM6" i="111"/>
  <c r="Z49" i="63"/>
  <c r="F49" i="63"/>
  <c r="C49" i="63"/>
  <c r="AH49" i="61"/>
  <c r="U49" i="61"/>
  <c r="AI49" i="61"/>
  <c r="AO49" i="61"/>
  <c r="F48" i="61"/>
  <c r="E48" i="61"/>
  <c r="K48" i="61" s="1"/>
  <c r="M48" i="61" s="1"/>
  <c r="N48" i="61" s="1"/>
  <c r="Z48" i="61"/>
  <c r="C48" i="61"/>
  <c r="CA27" i="111"/>
  <c r="BR38" i="111"/>
  <c r="BN39" i="111"/>
  <c r="I22" i="14"/>
  <c r="AW14" i="61"/>
  <c r="BV14" i="61" s="1"/>
  <c r="AW10" i="61"/>
  <c r="BV10" i="61" s="1"/>
  <c r="R30" i="61"/>
  <c r="N30" i="61"/>
  <c r="C30" i="61"/>
  <c r="G29" i="61" s="1"/>
  <c r="F30" i="61"/>
  <c r="C43" i="73" s="1"/>
  <c r="Z30" i="61"/>
  <c r="Y30" i="61"/>
  <c r="G30" i="61"/>
  <c r="AD30" i="61"/>
  <c r="H30" i="61"/>
  <c r="O30" i="61"/>
  <c r="AW11" i="63"/>
  <c r="BV11" i="63" s="1"/>
  <c r="K25" i="73"/>
  <c r="AO14" i="63"/>
  <c r="U14" i="63"/>
  <c r="AC14" i="63" s="1"/>
  <c r="AI14" i="63"/>
  <c r="AH14" i="63"/>
  <c r="AW10" i="63"/>
  <c r="BV10" i="63" s="1"/>
  <c r="AI8" i="63"/>
  <c r="AH8" i="63"/>
  <c r="K19" i="73"/>
  <c r="U8" i="63"/>
  <c r="AC8" i="63" s="1"/>
  <c r="AO8" i="63"/>
  <c r="AO17" i="61"/>
  <c r="AI17" i="61"/>
  <c r="AH17" i="61"/>
  <c r="D29" i="73"/>
  <c r="U17" i="61"/>
  <c r="AW21" i="61"/>
  <c r="BV21" i="61" s="1"/>
  <c r="O20" i="61"/>
  <c r="AD20" i="61"/>
  <c r="G20" i="61"/>
  <c r="H20" i="61"/>
  <c r="Y20" i="61"/>
  <c r="F20" i="61"/>
  <c r="C32" i="73" s="1"/>
  <c r="N20" i="61"/>
  <c r="C20" i="61"/>
  <c r="R20" i="61"/>
  <c r="Z20" i="61"/>
  <c r="AW34" i="63"/>
  <c r="BV34" i="63" s="1"/>
  <c r="K52" i="73"/>
  <c r="AI39" i="63"/>
  <c r="AH39" i="63"/>
  <c r="AO39" i="63"/>
  <c r="U39" i="63"/>
  <c r="AC39" i="63" s="1"/>
  <c r="H38" i="63"/>
  <c r="G38" i="63"/>
  <c r="N38" i="63"/>
  <c r="R38" i="63"/>
  <c r="F38" i="63"/>
  <c r="J51" i="73" s="1"/>
  <c r="Y38" i="63"/>
  <c r="C38" i="63"/>
  <c r="AD38" i="63"/>
  <c r="O38" i="63"/>
  <c r="Z38" i="63"/>
  <c r="AO33" i="63"/>
  <c r="U33" i="63"/>
  <c r="AC33" i="63" s="1"/>
  <c r="AH33" i="63"/>
  <c r="K46" i="73"/>
  <c r="AI33" i="63"/>
  <c r="AT42" i="111"/>
  <c r="U42" i="111"/>
  <c r="AO42" i="111"/>
  <c r="AH42" i="111"/>
  <c r="AI42" i="111"/>
  <c r="AI54" i="111" s="1"/>
  <c r="Z42" i="111"/>
  <c r="AI51" i="63"/>
  <c r="AH51" i="63"/>
  <c r="AO51" i="63"/>
  <c r="U51" i="63"/>
  <c r="Z48" i="63"/>
  <c r="C48" i="63"/>
  <c r="F48" i="63"/>
  <c r="C51" i="61"/>
  <c r="F51" i="61"/>
  <c r="Z51" i="61"/>
  <c r="AI48" i="61"/>
  <c r="U48" i="61"/>
  <c r="AH48" i="61"/>
  <c r="AO48" i="61"/>
  <c r="CN16" i="61"/>
  <c r="CN16" i="111"/>
  <c r="H31" i="13"/>
  <c r="C11" i="61"/>
  <c r="O11" i="61"/>
  <c r="H11" i="61"/>
  <c r="G11" i="61"/>
  <c r="D17" i="99" s="1"/>
  <c r="R11" i="61"/>
  <c r="N11" i="61"/>
  <c r="F11" i="61"/>
  <c r="Y11" i="61"/>
  <c r="AD11" i="61"/>
  <c r="Z11" i="61"/>
  <c r="AW11" i="61"/>
  <c r="BV11" i="61" s="1"/>
  <c r="AH8" i="61"/>
  <c r="AI8" i="61"/>
  <c r="AO8" i="61"/>
  <c r="D19" i="73"/>
  <c r="U8" i="61"/>
  <c r="AC8" i="61" s="1"/>
  <c r="U14" i="61"/>
  <c r="AC14" i="61" s="1"/>
  <c r="AO14" i="61"/>
  <c r="AI14" i="61"/>
  <c r="D25" i="73"/>
  <c r="AH14" i="61"/>
  <c r="G22" i="80"/>
  <c r="AH33" i="61"/>
  <c r="U33" i="61"/>
  <c r="AC33" i="61" s="1"/>
  <c r="AO33" i="61"/>
  <c r="AI33" i="61"/>
  <c r="D46" i="73"/>
  <c r="N32" i="61"/>
  <c r="Z32" i="61"/>
  <c r="C32" i="61"/>
  <c r="AD32" i="61"/>
  <c r="H32" i="61"/>
  <c r="G32" i="61"/>
  <c r="Y32" i="61"/>
  <c r="F32" i="61"/>
  <c r="C45" i="73" s="1"/>
  <c r="O32" i="61"/>
  <c r="R32" i="61"/>
  <c r="N37" i="61"/>
  <c r="AD37" i="61"/>
  <c r="C37" i="61"/>
  <c r="H37" i="61"/>
  <c r="Y37" i="61"/>
  <c r="G37" i="61"/>
  <c r="R37" i="61"/>
  <c r="O37" i="61"/>
  <c r="F37" i="61"/>
  <c r="C50" i="73" s="1"/>
  <c r="Z37" i="61"/>
  <c r="AW38" i="61"/>
  <c r="BV38" i="61" s="1"/>
  <c r="AW30" i="61"/>
  <c r="BV30" i="61" s="1"/>
  <c r="CA36" i="111"/>
  <c r="C26" i="47" l="1"/>
  <c r="C24" i="47"/>
  <c r="D21" i="47"/>
  <c r="C25" i="47"/>
  <c r="C28" i="47"/>
  <c r="C27" i="47"/>
  <c r="C29" i="47"/>
  <c r="F30" i="8"/>
  <c r="G19" i="8"/>
  <c r="F32" i="47"/>
  <c r="F31" i="8"/>
  <c r="F31" i="1"/>
  <c r="F30" i="1"/>
  <c r="F32" i="1" s="1"/>
  <c r="F38" i="1" s="1"/>
  <c r="G19" i="1"/>
  <c r="F32" i="39"/>
  <c r="C26" i="39"/>
  <c r="C29" i="39"/>
  <c r="C28" i="39"/>
  <c r="C25" i="39"/>
  <c r="C24" i="39"/>
  <c r="D21" i="39"/>
  <c r="C27" i="39"/>
  <c r="G16" i="63"/>
  <c r="D9" i="103" s="1"/>
  <c r="I9" i="103" s="1"/>
  <c r="AC7" i="111"/>
  <c r="C15" i="103"/>
  <c r="C30" i="103" s="1"/>
  <c r="G7" i="63"/>
  <c r="H7" i="63" s="1"/>
  <c r="AD7" i="63" s="1"/>
  <c r="CA7" i="111"/>
  <c r="G16" i="61"/>
  <c r="D9" i="100" s="1"/>
  <c r="G17" i="63"/>
  <c r="H17" i="63" s="1"/>
  <c r="CA17" i="63" s="1"/>
  <c r="CA22" i="63"/>
  <c r="AD17" i="63"/>
  <c r="G17" i="61"/>
  <c r="H17" i="61" s="1"/>
  <c r="AD17" i="61" s="1"/>
  <c r="AC17" i="63"/>
  <c r="K50" i="111"/>
  <c r="M50" i="111" s="1"/>
  <c r="N50" i="111" s="1"/>
  <c r="E51" i="111"/>
  <c r="D15" i="103"/>
  <c r="F15" i="103" s="1"/>
  <c r="E50" i="61"/>
  <c r="K50" i="61" s="1"/>
  <c r="M50" i="61" s="1"/>
  <c r="N50" i="61" s="1"/>
  <c r="G7" i="61"/>
  <c r="D13" i="99" s="1"/>
  <c r="AD4" i="111"/>
  <c r="BG4" i="111"/>
  <c r="Y3" i="111"/>
  <c r="BG3" i="111"/>
  <c r="AD6" i="111"/>
  <c r="AD5" i="111"/>
  <c r="CA3" i="111"/>
  <c r="CB3" i="111" s="1"/>
  <c r="CC3" i="111" s="1"/>
  <c r="CA5" i="111"/>
  <c r="O3" i="111"/>
  <c r="Q3" i="111" s="1"/>
  <c r="AC3" i="111"/>
  <c r="AD3" i="111"/>
  <c r="AL3" i="111"/>
  <c r="AC5" i="111"/>
  <c r="G6" i="61"/>
  <c r="D12" i="99" s="1"/>
  <c r="H12" i="99" s="1"/>
  <c r="G5" i="61"/>
  <c r="H5" i="61" s="1"/>
  <c r="G5" i="63"/>
  <c r="D11" i="102" s="1"/>
  <c r="M11" i="102" s="1"/>
  <c r="AC6" i="111"/>
  <c r="CA6" i="111"/>
  <c r="G6" i="63"/>
  <c r="G3" i="61"/>
  <c r="H3" i="61" s="1"/>
  <c r="G4" i="61"/>
  <c r="D10" i="99" s="1"/>
  <c r="M10" i="99" s="1"/>
  <c r="AC4" i="111"/>
  <c r="AC30" i="63"/>
  <c r="G29" i="63"/>
  <c r="D9" i="105" s="1"/>
  <c r="D17" i="103"/>
  <c r="G17" i="103" s="1"/>
  <c r="CA23" i="63"/>
  <c r="C17" i="103"/>
  <c r="C32" i="103" s="1"/>
  <c r="G4" i="63"/>
  <c r="D10" i="102" s="1"/>
  <c r="G3" i="63"/>
  <c r="C9" i="102" s="1"/>
  <c r="C24" i="102" s="1"/>
  <c r="C29" i="62"/>
  <c r="F28" i="62"/>
  <c r="C29" i="110"/>
  <c r="F28" i="110"/>
  <c r="CA25" i="63"/>
  <c r="D16" i="103"/>
  <c r="D31" i="103" s="1"/>
  <c r="C16" i="103"/>
  <c r="C31" i="103" s="1"/>
  <c r="D18" i="103"/>
  <c r="E18" i="103" s="1"/>
  <c r="C18" i="103"/>
  <c r="C33" i="103" s="1"/>
  <c r="L30" i="73"/>
  <c r="F38" i="112"/>
  <c r="C11" i="103"/>
  <c r="C26" i="103" s="1"/>
  <c r="AD38" i="112"/>
  <c r="D13" i="103"/>
  <c r="M13" i="103" s="1"/>
  <c r="C13" i="103"/>
  <c r="C28" i="103" s="1"/>
  <c r="D14" i="103"/>
  <c r="H29" i="103" s="1"/>
  <c r="U12" i="112"/>
  <c r="AC12" i="112" s="1"/>
  <c r="C14" i="103"/>
  <c r="C29" i="103" s="1"/>
  <c r="C19" i="103"/>
  <c r="C34" i="103" s="1"/>
  <c r="D11" i="103"/>
  <c r="H11" i="103" s="1"/>
  <c r="C20" i="103"/>
  <c r="C35" i="103" s="1"/>
  <c r="L39" i="73"/>
  <c r="AD14" i="112"/>
  <c r="L33" i="73"/>
  <c r="Z39" i="112"/>
  <c r="AO36" i="112"/>
  <c r="D20" i="103"/>
  <c r="N35" i="103" s="1"/>
  <c r="Y33" i="112"/>
  <c r="F39" i="112"/>
  <c r="G33" i="112"/>
  <c r="L32" i="73"/>
  <c r="AI36" i="112"/>
  <c r="AI11" i="112"/>
  <c r="AD39" i="112"/>
  <c r="C30" i="112"/>
  <c r="N33" i="112"/>
  <c r="F27" i="112"/>
  <c r="AO11" i="112"/>
  <c r="C38" i="112"/>
  <c r="Y39" i="112"/>
  <c r="R39" i="112"/>
  <c r="G39" i="112"/>
  <c r="G38" i="112"/>
  <c r="D12" i="103"/>
  <c r="F12" i="103" s="1"/>
  <c r="G11" i="112"/>
  <c r="AI35" i="112"/>
  <c r="Y38" i="112"/>
  <c r="O39" i="112"/>
  <c r="Z33" i="112"/>
  <c r="Z40" i="112"/>
  <c r="G22" i="112"/>
  <c r="H16" i="63"/>
  <c r="E9" i="103" s="1"/>
  <c r="AH7" i="112"/>
  <c r="AI10" i="112"/>
  <c r="R33" i="112"/>
  <c r="CA19" i="63"/>
  <c r="F30" i="112"/>
  <c r="Z38" i="112"/>
  <c r="Y11" i="112"/>
  <c r="E4" i="112"/>
  <c r="K4" i="112" s="1"/>
  <c r="M4" i="112" s="1"/>
  <c r="N4" i="112" s="1"/>
  <c r="H11" i="112"/>
  <c r="CA26" i="63"/>
  <c r="G40" i="112"/>
  <c r="AH25" i="112"/>
  <c r="AD33" i="112"/>
  <c r="H33" i="112"/>
  <c r="CA33" i="112" s="1"/>
  <c r="AI7" i="112"/>
  <c r="Z30" i="112"/>
  <c r="O33" i="112"/>
  <c r="G13" i="112"/>
  <c r="U36" i="112"/>
  <c r="AC36" i="112" s="1"/>
  <c r="C5" i="112"/>
  <c r="F11" i="112"/>
  <c r="F5" i="112"/>
  <c r="F33" i="112"/>
  <c r="AI25" i="112"/>
  <c r="AH10" i="112"/>
  <c r="D19" i="103"/>
  <c r="K19" i="103" s="1"/>
  <c r="AI5" i="112"/>
  <c r="O11" i="112"/>
  <c r="O40" i="112"/>
  <c r="U13" i="112"/>
  <c r="AC13" i="112" s="1"/>
  <c r="Z5" i="112"/>
  <c r="AO5" i="112"/>
  <c r="C27" i="112"/>
  <c r="AO12" i="112"/>
  <c r="AI12" i="112"/>
  <c r="F35" i="112"/>
  <c r="R35" i="112"/>
  <c r="Z35" i="112"/>
  <c r="AH12" i="112"/>
  <c r="F13" i="112"/>
  <c r="Y13" i="112"/>
  <c r="H13" i="112"/>
  <c r="R13" i="112"/>
  <c r="G9" i="112"/>
  <c r="C13" i="112"/>
  <c r="H9" i="112"/>
  <c r="R9" i="112"/>
  <c r="AO33" i="112"/>
  <c r="Z9" i="112"/>
  <c r="AH35" i="112"/>
  <c r="C22" i="112"/>
  <c r="AH33" i="112"/>
  <c r="AD9" i="112"/>
  <c r="G23" i="112"/>
  <c r="AD22" i="112"/>
  <c r="F23" i="112"/>
  <c r="O22" i="112"/>
  <c r="R22" i="112"/>
  <c r="U11" i="112"/>
  <c r="AC11" i="112" s="1"/>
  <c r="Y23" i="112"/>
  <c r="H22" i="112"/>
  <c r="CA22" i="112" s="1"/>
  <c r="R11" i="112"/>
  <c r="N11" i="112"/>
  <c r="Z11" i="112"/>
  <c r="AI51" i="112"/>
  <c r="H23" i="112"/>
  <c r="CA23" i="112" s="1"/>
  <c r="AD23" i="112"/>
  <c r="C11" i="112"/>
  <c r="Z13" i="112"/>
  <c r="N23" i="112"/>
  <c r="R38" i="112"/>
  <c r="R23" i="112"/>
  <c r="O23" i="112"/>
  <c r="C4" i="112"/>
  <c r="C23" i="112"/>
  <c r="O38" i="112"/>
  <c r="F4" i="112"/>
  <c r="Z4" i="112"/>
  <c r="C9" i="112"/>
  <c r="U35" i="112"/>
  <c r="AC35" i="112" s="1"/>
  <c r="O9" i="112"/>
  <c r="F9" i="112"/>
  <c r="AH6" i="112"/>
  <c r="N38" i="112"/>
  <c r="AD13" i="112"/>
  <c r="N9" i="112"/>
  <c r="AO6" i="112"/>
  <c r="N13" i="112"/>
  <c r="N35" i="112"/>
  <c r="C35" i="112"/>
  <c r="AI8" i="112"/>
  <c r="AH20" i="112"/>
  <c r="AD12" i="112"/>
  <c r="G12" i="112"/>
  <c r="AO43" i="112"/>
  <c r="H12" i="112"/>
  <c r="Y12" i="112"/>
  <c r="AI32" i="112"/>
  <c r="H26" i="112"/>
  <c r="CA26" i="112" s="1"/>
  <c r="AH32" i="112"/>
  <c r="AO20" i="112"/>
  <c r="O14" i="112"/>
  <c r="N36" i="112"/>
  <c r="AI13" i="112"/>
  <c r="R12" i="112"/>
  <c r="C45" i="112"/>
  <c r="H36" i="112"/>
  <c r="CA36" i="112" s="1"/>
  <c r="C12" i="112"/>
  <c r="N12" i="112"/>
  <c r="Z17" i="112"/>
  <c r="AH8" i="112"/>
  <c r="U30" i="112"/>
  <c r="G35" i="112"/>
  <c r="H35" i="112"/>
  <c r="CA35" i="112" s="1"/>
  <c r="AD35" i="112"/>
  <c r="Y35" i="112"/>
  <c r="Z12" i="112"/>
  <c r="F12" i="112"/>
  <c r="F48" i="112"/>
  <c r="AO30" i="112"/>
  <c r="Z26" i="112"/>
  <c r="Z14" i="112"/>
  <c r="U20" i="112"/>
  <c r="AC20" i="112" s="1"/>
  <c r="Y26" i="112"/>
  <c r="G14" i="112"/>
  <c r="AI30" i="112"/>
  <c r="O26" i="112"/>
  <c r="C14" i="112"/>
  <c r="N26" i="112"/>
  <c r="Y31" i="112"/>
  <c r="Y14" i="112"/>
  <c r="G26" i="112"/>
  <c r="AO13" i="112"/>
  <c r="U32" i="112"/>
  <c r="AC32" i="112" s="1"/>
  <c r="U14" i="112"/>
  <c r="AC14" i="112" s="1"/>
  <c r="N31" i="112"/>
  <c r="H14" i="112"/>
  <c r="F14" i="112"/>
  <c r="G31" i="112"/>
  <c r="AI39" i="112"/>
  <c r="C48" i="112"/>
  <c r="F17" i="112"/>
  <c r="H31" i="112"/>
  <c r="CA31" i="112" s="1"/>
  <c r="U7" i="112"/>
  <c r="R14" i="112"/>
  <c r="R31" i="112"/>
  <c r="AH39" i="112"/>
  <c r="Z31" i="112"/>
  <c r="O31" i="112"/>
  <c r="U39" i="112"/>
  <c r="AC39" i="112" s="1"/>
  <c r="R26" i="112"/>
  <c r="AD31" i="112"/>
  <c r="C31" i="112"/>
  <c r="AD26" i="112"/>
  <c r="U4" i="112"/>
  <c r="F26" i="112"/>
  <c r="N22" i="112"/>
  <c r="U10" i="112"/>
  <c r="AC10" i="112" s="1"/>
  <c r="AW5" i="112"/>
  <c r="BV5" i="112" s="1"/>
  <c r="BW5" i="112" s="1"/>
  <c r="BW6" i="112" s="1"/>
  <c r="BW7" i="112" s="1"/>
  <c r="AW8" i="112"/>
  <c r="BV8" i="112" s="1"/>
  <c r="F22" i="112"/>
  <c r="Z22" i="112"/>
  <c r="U6" i="112"/>
  <c r="AH37" i="112"/>
  <c r="AI52" i="112"/>
  <c r="Z45" i="112"/>
  <c r="AD32" i="112"/>
  <c r="AI37" i="112"/>
  <c r="N10" i="112"/>
  <c r="Y21" i="112"/>
  <c r="AO52" i="112"/>
  <c r="AO49" i="112"/>
  <c r="AH45" i="112"/>
  <c r="R21" i="112"/>
  <c r="AH27" i="112"/>
  <c r="U53" i="112"/>
  <c r="H34" i="112"/>
  <c r="CA34" i="112" s="1"/>
  <c r="C44" i="112"/>
  <c r="N18" i="112"/>
  <c r="R18" i="112"/>
  <c r="C21" i="112"/>
  <c r="AO27" i="112"/>
  <c r="N34" i="112"/>
  <c r="Z34" i="112"/>
  <c r="AD18" i="112"/>
  <c r="AH51" i="112"/>
  <c r="AI45" i="112"/>
  <c r="F34" i="112"/>
  <c r="AO45" i="112"/>
  <c r="AW10" i="112"/>
  <c r="BV10" i="112" s="1"/>
  <c r="O36" i="112"/>
  <c r="N8" i="112"/>
  <c r="AI31" i="112"/>
  <c r="F21" i="112"/>
  <c r="C6" i="112"/>
  <c r="AD21" i="112"/>
  <c r="F6" i="112"/>
  <c r="AD34" i="112"/>
  <c r="R37" i="112"/>
  <c r="U34" i="112"/>
  <c r="AC34" i="112" s="1"/>
  <c r="R36" i="112"/>
  <c r="Z21" i="112"/>
  <c r="Z8" i="112"/>
  <c r="C47" i="112"/>
  <c r="U31" i="112"/>
  <c r="AC31" i="112" s="1"/>
  <c r="Y8" i="112"/>
  <c r="AH38" i="112"/>
  <c r="Y34" i="112"/>
  <c r="U38" i="112"/>
  <c r="AC38" i="112" s="1"/>
  <c r="AH13" i="112"/>
  <c r="G8" i="112"/>
  <c r="C34" i="112"/>
  <c r="F46" i="112"/>
  <c r="R34" i="112"/>
  <c r="H21" i="112"/>
  <c r="CA21" i="112" s="1"/>
  <c r="AO31" i="112"/>
  <c r="AO38" i="112"/>
  <c r="C17" i="112"/>
  <c r="G21" i="112"/>
  <c r="Y37" i="112"/>
  <c r="Z6" i="112"/>
  <c r="G34" i="112"/>
  <c r="AD8" i="112"/>
  <c r="N21" i="112"/>
  <c r="C8" i="112"/>
  <c r="R8" i="112"/>
  <c r="U43" i="112"/>
  <c r="U52" i="112"/>
  <c r="Y32" i="112"/>
  <c r="Y24" i="112"/>
  <c r="F32" i="112"/>
  <c r="AW32" i="112"/>
  <c r="BV32" i="112" s="1"/>
  <c r="U9" i="112"/>
  <c r="AC9" i="112" s="1"/>
  <c r="F40" i="112"/>
  <c r="Z24" i="112"/>
  <c r="AI50" i="112"/>
  <c r="F8" i="112"/>
  <c r="C36" i="112"/>
  <c r="AH40" i="112"/>
  <c r="Z10" i="112"/>
  <c r="O32" i="112"/>
  <c r="F10" i="112"/>
  <c r="AI40" i="112"/>
  <c r="Z7" i="112"/>
  <c r="U17" i="112"/>
  <c r="AO9" i="112"/>
  <c r="AD40" i="112"/>
  <c r="Z44" i="112"/>
  <c r="O8" i="112"/>
  <c r="Z36" i="112"/>
  <c r="AH34" i="112"/>
  <c r="AI9" i="112"/>
  <c r="AI17" i="112"/>
  <c r="Y40" i="112"/>
  <c r="Y36" i="112"/>
  <c r="AI34" i="112"/>
  <c r="N24" i="112"/>
  <c r="H32" i="112"/>
  <c r="CA32" i="112" s="1"/>
  <c r="C39" i="112"/>
  <c r="U40" i="112"/>
  <c r="AC40" i="112" s="1"/>
  <c r="G24" i="112"/>
  <c r="C40" i="112"/>
  <c r="AW52" i="112"/>
  <c r="G36" i="112"/>
  <c r="C10" i="112"/>
  <c r="F24" i="112"/>
  <c r="F7" i="112"/>
  <c r="H40" i="112"/>
  <c r="CA40" i="112" s="1"/>
  <c r="C7" i="112"/>
  <c r="AH17" i="112"/>
  <c r="U37" i="112"/>
  <c r="AC37" i="112" s="1"/>
  <c r="AH43" i="112"/>
  <c r="R40" i="112"/>
  <c r="F36" i="112"/>
  <c r="H10" i="112"/>
  <c r="N39" i="112"/>
  <c r="U8" i="112"/>
  <c r="AC8" i="112" s="1"/>
  <c r="H27" i="112"/>
  <c r="CA27" i="112" s="1"/>
  <c r="Z53" i="112"/>
  <c r="F37" i="112"/>
  <c r="G37" i="112"/>
  <c r="Y10" i="112"/>
  <c r="H37" i="112"/>
  <c r="CA37" i="112" s="1"/>
  <c r="Z52" i="112"/>
  <c r="U50" i="112"/>
  <c r="G10" i="112"/>
  <c r="U5" i="112"/>
  <c r="U33" i="112"/>
  <c r="AC33" i="112" s="1"/>
  <c r="C32" i="112"/>
  <c r="N32" i="112"/>
  <c r="O10" i="112"/>
  <c r="N37" i="112"/>
  <c r="G32" i="112"/>
  <c r="H18" i="112"/>
  <c r="CA18" i="112" s="1"/>
  <c r="AD10" i="112"/>
  <c r="O37" i="112"/>
  <c r="AO34" i="112"/>
  <c r="C37" i="112"/>
  <c r="AO19" i="112"/>
  <c r="Z37" i="112"/>
  <c r="AO4" i="112"/>
  <c r="Z32" i="112"/>
  <c r="F18" i="112"/>
  <c r="AI4" i="112"/>
  <c r="U48" i="112"/>
  <c r="U44" i="112"/>
  <c r="AC47" i="111"/>
  <c r="F50" i="112"/>
  <c r="G49" i="112" s="1"/>
  <c r="Y47" i="111"/>
  <c r="AO14" i="112"/>
  <c r="U51" i="112"/>
  <c r="G27" i="112"/>
  <c r="AI44" i="112"/>
  <c r="AC52" i="111"/>
  <c r="AO48" i="112"/>
  <c r="AO44" i="112"/>
  <c r="AT4" i="112"/>
  <c r="AU4" i="112" s="1"/>
  <c r="AX4" i="112" s="1"/>
  <c r="AI14" i="112"/>
  <c r="R27" i="112"/>
  <c r="Z48" i="112"/>
  <c r="AD52" i="111"/>
  <c r="O24" i="112"/>
  <c r="R24" i="112"/>
  <c r="AI21" i="112"/>
  <c r="AO18" i="112"/>
  <c r="AH48" i="112"/>
  <c r="C24" i="112"/>
  <c r="AH49" i="112"/>
  <c r="C18" i="112"/>
  <c r="AH50" i="112"/>
  <c r="O27" i="112"/>
  <c r="AD53" i="111"/>
  <c r="U49" i="112"/>
  <c r="U46" i="112"/>
  <c r="Z19" i="112"/>
  <c r="AD27" i="112"/>
  <c r="AH4" i="112"/>
  <c r="AH14" i="112"/>
  <c r="AD24" i="112"/>
  <c r="Z18" i="112"/>
  <c r="Y27" i="112"/>
  <c r="Z43" i="112"/>
  <c r="G52" i="61"/>
  <c r="H52" i="61" s="1"/>
  <c r="G18" i="112"/>
  <c r="F25" i="112"/>
  <c r="O18" i="112"/>
  <c r="AH23" i="112"/>
  <c r="AO47" i="112"/>
  <c r="F53" i="112"/>
  <c r="U22" i="112"/>
  <c r="AC22" i="112" s="1"/>
  <c r="O19" i="112"/>
  <c r="AF42" i="112"/>
  <c r="AW42" i="112" s="1"/>
  <c r="U21" i="112"/>
  <c r="AC21" i="112" s="1"/>
  <c r="Z49" i="112"/>
  <c r="AO23" i="112"/>
  <c r="C53" i="112"/>
  <c r="G53" i="112" s="1"/>
  <c r="AI22" i="112"/>
  <c r="AH19" i="112"/>
  <c r="G19" i="112"/>
  <c r="L42" i="112"/>
  <c r="Z42" i="112" s="1"/>
  <c r="F49" i="112"/>
  <c r="F51" i="112"/>
  <c r="G50" i="112" s="1"/>
  <c r="U45" i="112"/>
  <c r="AD19" i="112"/>
  <c r="AI47" i="112"/>
  <c r="Z47" i="112"/>
  <c r="N19" i="112"/>
  <c r="AO53" i="112"/>
  <c r="AO22" i="112"/>
  <c r="U19" i="112"/>
  <c r="AC19" i="112" s="1"/>
  <c r="H19" i="112"/>
  <c r="CA19" i="112" s="1"/>
  <c r="F43" i="112"/>
  <c r="G42" i="112" s="1"/>
  <c r="H42" i="112" s="1"/>
  <c r="Z51" i="112"/>
  <c r="F19" i="112"/>
  <c r="Z46" i="112"/>
  <c r="U47" i="112"/>
  <c r="N25" i="112"/>
  <c r="Y19" i="112"/>
  <c r="C19" i="112"/>
  <c r="AH53" i="112"/>
  <c r="AH46" i="112"/>
  <c r="S42" i="112"/>
  <c r="AI46" i="112"/>
  <c r="AO21" i="112"/>
  <c r="U23" i="112"/>
  <c r="AC23" i="112" s="1"/>
  <c r="AI18" i="112"/>
  <c r="C52" i="112"/>
  <c r="G51" i="112" s="1"/>
  <c r="Z50" i="112"/>
  <c r="Y53" i="111"/>
  <c r="U18" i="112"/>
  <c r="AC18" i="112" s="1"/>
  <c r="I30" i="15"/>
  <c r="CP17" i="111" s="1"/>
  <c r="U24" i="112"/>
  <c r="AC24" i="112" s="1"/>
  <c r="AI24" i="112"/>
  <c r="AO24" i="112"/>
  <c r="Z27" i="112"/>
  <c r="O25" i="112"/>
  <c r="Z25" i="112"/>
  <c r="U27" i="112"/>
  <c r="AC27" i="112" s="1"/>
  <c r="H25" i="112"/>
  <c r="CA25" i="112" s="1"/>
  <c r="O20" i="112"/>
  <c r="AD20" i="112"/>
  <c r="G25" i="112"/>
  <c r="AD25" i="112"/>
  <c r="Y25" i="112"/>
  <c r="R25" i="112"/>
  <c r="AD46" i="111"/>
  <c r="AC48" i="111"/>
  <c r="G42" i="63"/>
  <c r="H42" i="63" s="1"/>
  <c r="AD42" i="63" s="1"/>
  <c r="G43" i="61"/>
  <c r="H43" i="61" s="1"/>
  <c r="Y43" i="61" s="1"/>
  <c r="H53" i="63"/>
  <c r="AD53" i="63" s="1"/>
  <c r="G42" i="61"/>
  <c r="H42" i="61" s="1"/>
  <c r="AD42" i="61" s="1"/>
  <c r="U26" i="112"/>
  <c r="AC26" i="112" s="1"/>
  <c r="G43" i="63"/>
  <c r="H43" i="63" s="1"/>
  <c r="AC43" i="63" s="1"/>
  <c r="BW5" i="61"/>
  <c r="BW6" i="61" s="1"/>
  <c r="BW7" i="61" s="1"/>
  <c r="BW8" i="61" s="1"/>
  <c r="BW9" i="61" s="1"/>
  <c r="BW10" i="61" s="1"/>
  <c r="BW11" i="61" s="1"/>
  <c r="BW12" i="61" s="1"/>
  <c r="BW13" i="61" s="1"/>
  <c r="BW14" i="61" s="1"/>
  <c r="Y48" i="111"/>
  <c r="H53" i="61"/>
  <c r="AD53" i="61" s="1"/>
  <c r="AD50" i="111"/>
  <c r="G49" i="63"/>
  <c r="H49" i="63" s="1"/>
  <c r="AC49" i="63" s="1"/>
  <c r="G52" i="63"/>
  <c r="H52" i="63" s="1"/>
  <c r="AD52" i="63" s="1"/>
  <c r="G46" i="63"/>
  <c r="H46" i="63" s="1"/>
  <c r="AD46" i="63" s="1"/>
  <c r="AC46" i="111"/>
  <c r="F20" i="112"/>
  <c r="Z20" i="112"/>
  <c r="G20" i="112"/>
  <c r="AH26" i="112"/>
  <c r="N20" i="112"/>
  <c r="G49" i="61"/>
  <c r="H49" i="61" s="1"/>
  <c r="AD49" i="61" s="1"/>
  <c r="C20" i="112"/>
  <c r="Y20" i="112"/>
  <c r="AC50" i="111"/>
  <c r="Y42" i="111"/>
  <c r="AC44" i="111"/>
  <c r="R20" i="112"/>
  <c r="U25" i="112"/>
  <c r="AC25" i="112" s="1"/>
  <c r="G51" i="61"/>
  <c r="H51" i="61" s="1"/>
  <c r="G45" i="61"/>
  <c r="H45" i="61" s="1"/>
  <c r="AD44" i="111"/>
  <c r="G44" i="61"/>
  <c r="H44" i="61" s="1"/>
  <c r="AD44" i="61" s="1"/>
  <c r="AO26" i="112"/>
  <c r="Y49" i="111"/>
  <c r="AX4" i="61"/>
  <c r="G51" i="63"/>
  <c r="H51" i="63" s="1"/>
  <c r="AD51" i="63" s="1"/>
  <c r="BW5" i="63"/>
  <c r="BW6" i="63" s="1"/>
  <c r="BW7" i="63" s="1"/>
  <c r="BW8" i="63" s="1"/>
  <c r="BW9" i="63" s="1"/>
  <c r="BW10" i="63" s="1"/>
  <c r="BW11" i="63" s="1"/>
  <c r="BW12" i="63" s="1"/>
  <c r="BW13" i="63" s="1"/>
  <c r="BW14" i="63" s="1"/>
  <c r="BW15" i="63" s="1"/>
  <c r="G44" i="63"/>
  <c r="H44" i="63" s="1"/>
  <c r="AD44" i="63" s="1"/>
  <c r="E5" i="63"/>
  <c r="K5" i="63" s="1"/>
  <c r="M5" i="63" s="1"/>
  <c r="G50" i="63"/>
  <c r="H50" i="63" s="1"/>
  <c r="AD50" i="63" s="1"/>
  <c r="G47" i="61"/>
  <c r="H47" i="61" s="1"/>
  <c r="AD47" i="61" s="1"/>
  <c r="G45" i="63"/>
  <c r="H45" i="63" s="1"/>
  <c r="AC45" i="63" s="1"/>
  <c r="AC43" i="111"/>
  <c r="AC49" i="111"/>
  <c r="G46" i="61"/>
  <c r="H46" i="61" s="1"/>
  <c r="AD46" i="61" s="1"/>
  <c r="AD43" i="111"/>
  <c r="G48" i="63"/>
  <c r="H48" i="63" s="1"/>
  <c r="AC48" i="63" s="1"/>
  <c r="I30" i="17"/>
  <c r="CN17" i="63" s="1"/>
  <c r="I30" i="11"/>
  <c r="CM17" i="61" s="1"/>
  <c r="M42" i="111"/>
  <c r="N42" i="111" s="1"/>
  <c r="E24" i="35"/>
  <c r="D22" i="35"/>
  <c r="F25" i="35"/>
  <c r="D12" i="101"/>
  <c r="C12" i="101"/>
  <c r="C27" i="101" s="1"/>
  <c r="E38" i="73"/>
  <c r="CA26" i="61"/>
  <c r="U15" i="61"/>
  <c r="W105" i="60" s="1"/>
  <c r="D29" i="99"/>
  <c r="K14" i="99"/>
  <c r="G29" i="99"/>
  <c r="Y29" i="99" s="1"/>
  <c r="E14" i="99"/>
  <c r="F14" i="99"/>
  <c r="H29" i="99"/>
  <c r="N29" i="99"/>
  <c r="K29" i="99"/>
  <c r="AB29" i="99" s="1"/>
  <c r="L14" i="99"/>
  <c r="N14" i="99"/>
  <c r="V29" i="99" s="1"/>
  <c r="G14" i="99"/>
  <c r="I14" i="99"/>
  <c r="M14" i="99"/>
  <c r="H14" i="99"/>
  <c r="D11" i="100"/>
  <c r="C11" i="100"/>
  <c r="C26" i="100" s="1"/>
  <c r="L52" i="73"/>
  <c r="CA39" i="63"/>
  <c r="C12" i="100"/>
  <c r="C27" i="100" s="1"/>
  <c r="D12" i="100"/>
  <c r="E133" i="79"/>
  <c r="E134" i="79" s="1"/>
  <c r="E87" i="79" s="1"/>
  <c r="E92" i="79" s="1"/>
  <c r="CA40" i="61"/>
  <c r="E53" i="73"/>
  <c r="K20" i="102"/>
  <c r="H20" i="102"/>
  <c r="E20" i="102"/>
  <c r="D35" i="102"/>
  <c r="N35" i="102"/>
  <c r="G20" i="102"/>
  <c r="N20" i="102"/>
  <c r="V35" i="102" s="1"/>
  <c r="F20" i="102"/>
  <c r="M20" i="102"/>
  <c r="G35" i="102"/>
  <c r="Y35" i="102" s="1"/>
  <c r="K35" i="102"/>
  <c r="AB35" i="102" s="1"/>
  <c r="H35" i="102"/>
  <c r="I20" i="102"/>
  <c r="L20" i="102"/>
  <c r="C19" i="101"/>
  <c r="C34" i="101" s="1"/>
  <c r="D19" i="101"/>
  <c r="CA20" i="61"/>
  <c r="E32" i="73"/>
  <c r="C10" i="101"/>
  <c r="C25" i="101" s="1"/>
  <c r="D10" i="101"/>
  <c r="C10" i="105"/>
  <c r="C25" i="105" s="1"/>
  <c r="D10" i="105"/>
  <c r="C20" i="102"/>
  <c r="C35" i="102" s="1"/>
  <c r="J25" i="73"/>
  <c r="L22" i="73"/>
  <c r="CA11" i="63"/>
  <c r="C10" i="99"/>
  <c r="C25" i="99" s="1"/>
  <c r="C15" i="73"/>
  <c r="C13" i="101"/>
  <c r="C28" i="101" s="1"/>
  <c r="D13" i="101"/>
  <c r="BR39" i="61"/>
  <c r="BN40" i="61"/>
  <c r="BR40" i="61" s="1"/>
  <c r="G47" i="63"/>
  <c r="H47" i="63" s="1"/>
  <c r="E19" i="102"/>
  <c r="F19" i="102"/>
  <c r="N19" i="102"/>
  <c r="V34" i="102" s="1"/>
  <c r="H34" i="102"/>
  <c r="N34" i="102"/>
  <c r="M19" i="102"/>
  <c r="D34" i="102"/>
  <c r="H19" i="102"/>
  <c r="G34" i="102"/>
  <c r="Y34" i="102" s="1"/>
  <c r="K19" i="102"/>
  <c r="K34" i="102"/>
  <c r="AB34" i="102" s="1"/>
  <c r="G19" i="102"/>
  <c r="I19" i="102"/>
  <c r="L19" i="102"/>
  <c r="J20" i="73"/>
  <c r="C15" i="102"/>
  <c r="C30" i="102" s="1"/>
  <c r="E52" i="73"/>
  <c r="CA39" i="61"/>
  <c r="AX4" i="63"/>
  <c r="C17" i="101"/>
  <c r="C32" i="101" s="1"/>
  <c r="D17" i="101"/>
  <c r="C13" i="100"/>
  <c r="C28" i="100" s="1"/>
  <c r="D13" i="100"/>
  <c r="G48" i="61"/>
  <c r="H48" i="61" s="1"/>
  <c r="AC48" i="61" s="1"/>
  <c r="E19" i="73"/>
  <c r="CA8" i="61"/>
  <c r="L44" i="73"/>
  <c r="CA31" i="63"/>
  <c r="G33" i="80"/>
  <c r="F39" i="80"/>
  <c r="F41" i="80" s="1"/>
  <c r="F17" i="80"/>
  <c r="I38" i="77" s="1"/>
  <c r="F125" i="80"/>
  <c r="CA35" i="63"/>
  <c r="L48" i="73"/>
  <c r="E31" i="73"/>
  <c r="CA19" i="61"/>
  <c r="D29" i="102"/>
  <c r="N29" i="102"/>
  <c r="L14" i="102"/>
  <c r="G29" i="102"/>
  <c r="Y29" i="102" s="1"/>
  <c r="I14" i="102"/>
  <c r="E14" i="102"/>
  <c r="F14" i="102"/>
  <c r="M14" i="102"/>
  <c r="K14" i="102"/>
  <c r="H14" i="102"/>
  <c r="G14" i="102"/>
  <c r="K29" i="102"/>
  <c r="AB29" i="102" s="1"/>
  <c r="H29" i="102"/>
  <c r="N14" i="102"/>
  <c r="V29" i="102" s="1"/>
  <c r="C14" i="100"/>
  <c r="C29" i="100" s="1"/>
  <c r="D14" i="100"/>
  <c r="E30" i="114"/>
  <c r="E31" i="114" s="1"/>
  <c r="D31" i="114" s="1"/>
  <c r="B31" i="114"/>
  <c r="B32" i="114" s="1"/>
  <c r="B33" i="114" s="1"/>
  <c r="B34" i="114" s="1"/>
  <c r="B35" i="114" s="1"/>
  <c r="I4" i="111"/>
  <c r="AJ4" i="111"/>
  <c r="AL4" i="111" s="1"/>
  <c r="I30" i="19"/>
  <c r="CA24" i="61"/>
  <c r="E36" i="73"/>
  <c r="J22" i="73"/>
  <c r="C17" i="102"/>
  <c r="C32" i="102" s="1"/>
  <c r="N17" i="102"/>
  <c r="V32" i="102" s="1"/>
  <c r="D32" i="102"/>
  <c r="H17" i="102"/>
  <c r="L17" i="102"/>
  <c r="H32" i="102"/>
  <c r="N32" i="102"/>
  <c r="F17" i="102"/>
  <c r="E17" i="102"/>
  <c r="I17" i="102"/>
  <c r="M17" i="102"/>
  <c r="G17" i="102"/>
  <c r="G32" i="102"/>
  <c r="Y32" i="102" s="1"/>
  <c r="K32" i="102"/>
  <c r="AB32" i="102" s="1"/>
  <c r="K17" i="102"/>
  <c r="G50" i="61"/>
  <c r="H50" i="61" s="1"/>
  <c r="AD50" i="61" s="1"/>
  <c r="CO6" i="111"/>
  <c r="CO6" i="61"/>
  <c r="AH42" i="63"/>
  <c r="AO42" i="63"/>
  <c r="AI42" i="63"/>
  <c r="AI54" i="63" s="1"/>
  <c r="AT42" i="63"/>
  <c r="U42" i="63"/>
  <c r="Z42" i="63"/>
  <c r="C10" i="102"/>
  <c r="C25" i="102" s="1"/>
  <c r="J15" i="73"/>
  <c r="CA14" i="61"/>
  <c r="E25" i="73"/>
  <c r="N16" i="99"/>
  <c r="V31" i="99" s="1"/>
  <c r="G31" i="99"/>
  <c r="Y31" i="99" s="1"/>
  <c r="H16" i="99"/>
  <c r="H31" i="99"/>
  <c r="G16" i="99"/>
  <c r="E16" i="99"/>
  <c r="L16" i="99"/>
  <c r="K16" i="99"/>
  <c r="M16" i="99"/>
  <c r="I16" i="99"/>
  <c r="N31" i="99"/>
  <c r="F16" i="99"/>
  <c r="D31" i="99"/>
  <c r="K31" i="99"/>
  <c r="AB31" i="99" s="1"/>
  <c r="H15" i="56"/>
  <c r="I15" i="56" s="1"/>
  <c r="L15" i="56" s="1"/>
  <c r="H46" i="33"/>
  <c r="I22" i="51"/>
  <c r="K5" i="111"/>
  <c r="I5" i="111" s="1"/>
  <c r="E6" i="111"/>
  <c r="AJ6" i="111" s="1"/>
  <c r="E42" i="61"/>
  <c r="K42" i="61" s="1"/>
  <c r="CA40" i="63"/>
  <c r="L53" i="73"/>
  <c r="AT5" i="61"/>
  <c r="D18" i="100"/>
  <c r="C18" i="100"/>
  <c r="C33" i="100" s="1"/>
  <c r="C18" i="105"/>
  <c r="C33" i="105" s="1"/>
  <c r="D18" i="105"/>
  <c r="G15" i="102"/>
  <c r="F15" i="102"/>
  <c r="E15" i="102"/>
  <c r="H15" i="102"/>
  <c r="G30" i="102"/>
  <c r="Y30" i="102" s="1"/>
  <c r="H30" i="102"/>
  <c r="L15" i="102"/>
  <c r="D30" i="102"/>
  <c r="N30" i="102"/>
  <c r="I15" i="102"/>
  <c r="M15" i="102"/>
  <c r="K15" i="102"/>
  <c r="K30" i="102"/>
  <c r="AB30" i="102" s="1"/>
  <c r="N15" i="102"/>
  <c r="V30" i="102" s="1"/>
  <c r="CA23" i="61"/>
  <c r="E35" i="73"/>
  <c r="D15" i="105"/>
  <c r="C15" i="105"/>
  <c r="C30" i="105" s="1"/>
  <c r="J23" i="73"/>
  <c r="C18" i="102"/>
  <c r="C33" i="102" s="1"/>
  <c r="F19" i="99"/>
  <c r="K34" i="99"/>
  <c r="AB34" i="99" s="1"/>
  <c r="M19" i="99"/>
  <c r="I19" i="99"/>
  <c r="H19" i="99"/>
  <c r="E19" i="99"/>
  <c r="L19" i="99"/>
  <c r="G34" i="99"/>
  <c r="Y34" i="99" s="1"/>
  <c r="G19" i="99"/>
  <c r="H34" i="99"/>
  <c r="N34" i="99"/>
  <c r="K19" i="99"/>
  <c r="D34" i="99"/>
  <c r="N19" i="99"/>
  <c r="V34" i="99" s="1"/>
  <c r="L45" i="73"/>
  <c r="CA32" i="63"/>
  <c r="C16" i="102"/>
  <c r="C31" i="102" s="1"/>
  <c r="J21" i="73"/>
  <c r="CA35" i="61"/>
  <c r="E48" i="73"/>
  <c r="E80" i="1"/>
  <c r="E119" i="1"/>
  <c r="E120" i="1" s="1"/>
  <c r="I25" i="53" s="1"/>
  <c r="E155" i="1"/>
  <c r="E111" i="1"/>
  <c r="E115" i="1" s="1"/>
  <c r="E84" i="1" s="1"/>
  <c r="E103" i="1"/>
  <c r="E106" i="1" s="1"/>
  <c r="E82" i="1" s="1"/>
  <c r="E67" i="1"/>
  <c r="L23" i="73"/>
  <c r="CA12" i="63"/>
  <c r="H16" i="102"/>
  <c r="F16" i="102"/>
  <c r="D31" i="102"/>
  <c r="M16" i="102"/>
  <c r="I16" i="102"/>
  <c r="G16" i="102"/>
  <c r="E16" i="102"/>
  <c r="G31" i="102"/>
  <c r="Y31" i="102" s="1"/>
  <c r="K16" i="102"/>
  <c r="L16" i="102"/>
  <c r="N16" i="102"/>
  <c r="V31" i="102" s="1"/>
  <c r="H31" i="102"/>
  <c r="K31" i="102"/>
  <c r="AB31" i="102" s="1"/>
  <c r="N31" i="102"/>
  <c r="D16" i="100"/>
  <c r="C16" i="100"/>
  <c r="C31" i="100" s="1"/>
  <c r="CA36" i="61"/>
  <c r="E49" i="73"/>
  <c r="I24" i="13"/>
  <c r="I25" i="13" s="1"/>
  <c r="I27" i="13" s="1"/>
  <c r="I28" i="13" s="1"/>
  <c r="I29" i="13"/>
  <c r="AP9" i="63"/>
  <c r="AP4" i="63"/>
  <c r="AP7" i="63"/>
  <c r="AP8" i="63"/>
  <c r="AP13" i="63"/>
  <c r="AP10" i="63"/>
  <c r="AP12" i="63"/>
  <c r="AP14" i="63"/>
  <c r="AP11" i="63"/>
  <c r="AP6" i="63"/>
  <c r="AP15" i="63"/>
  <c r="AP5" i="63"/>
  <c r="E50" i="73"/>
  <c r="CA37" i="61"/>
  <c r="K32" i="99"/>
  <c r="AB32" i="99" s="1"/>
  <c r="H32" i="99"/>
  <c r="M17" i="99"/>
  <c r="N17" i="99"/>
  <c r="V32" i="99" s="1"/>
  <c r="H17" i="99"/>
  <c r="D32" i="99"/>
  <c r="I17" i="99"/>
  <c r="K17" i="99"/>
  <c r="G32" i="99"/>
  <c r="Y32" i="99" s="1"/>
  <c r="L17" i="99"/>
  <c r="N32" i="99"/>
  <c r="E17" i="99"/>
  <c r="F17" i="99"/>
  <c r="G17" i="99"/>
  <c r="I29" i="14"/>
  <c r="I24" i="14"/>
  <c r="I25" i="14" s="1"/>
  <c r="I27" i="14" s="1"/>
  <c r="I28" i="14" s="1"/>
  <c r="C12" i="105"/>
  <c r="C27" i="105" s="1"/>
  <c r="D12" i="105"/>
  <c r="C13" i="102"/>
  <c r="C28" i="102" s="1"/>
  <c r="J18" i="73"/>
  <c r="L19" i="73"/>
  <c r="CA8" i="63"/>
  <c r="D15" i="101"/>
  <c r="C15" i="101"/>
  <c r="C30" i="101" s="1"/>
  <c r="D17" i="105"/>
  <c r="C17" i="105"/>
  <c r="C32" i="105" s="1"/>
  <c r="C13" i="105"/>
  <c r="C28" i="105" s="1"/>
  <c r="D13" i="105"/>
  <c r="D17" i="100"/>
  <c r="C17" i="100"/>
  <c r="C32" i="100" s="1"/>
  <c r="D15" i="100"/>
  <c r="C15" i="100"/>
  <c r="C30" i="100" s="1"/>
  <c r="AW42" i="63"/>
  <c r="C25" i="73"/>
  <c r="C20" i="99"/>
  <c r="C35" i="99" s="1"/>
  <c r="D16" i="105"/>
  <c r="C16" i="105"/>
  <c r="C31" i="105" s="1"/>
  <c r="L16" i="111"/>
  <c r="S16" i="111"/>
  <c r="AF16" i="111"/>
  <c r="L20" i="73"/>
  <c r="CA9" i="63"/>
  <c r="E37" i="73"/>
  <c r="CA25" i="61"/>
  <c r="U54" i="111"/>
  <c r="AC42" i="111"/>
  <c r="L47" i="73"/>
  <c r="CA34" i="63"/>
  <c r="Y51" i="111"/>
  <c r="AD51" i="111"/>
  <c r="CA21" i="61"/>
  <c r="E33" i="73"/>
  <c r="CA8" i="112"/>
  <c r="C20" i="101"/>
  <c r="C35" i="101" s="1"/>
  <c r="D20" i="101"/>
  <c r="CA12" i="61"/>
  <c r="E23" i="73"/>
  <c r="AJ5" i="111"/>
  <c r="G22" i="51"/>
  <c r="F46" i="33"/>
  <c r="I15" i="4"/>
  <c r="Q18" i="82" s="1"/>
  <c r="C19" i="102"/>
  <c r="C34" i="102" s="1"/>
  <c r="J24" i="73"/>
  <c r="CA32" i="61"/>
  <c r="E45" i="73"/>
  <c r="C17" i="99"/>
  <c r="C32" i="99" s="1"/>
  <c r="C22" i="73"/>
  <c r="E44" i="73"/>
  <c r="CA31" i="61"/>
  <c r="D14" i="101"/>
  <c r="C14" i="101"/>
  <c r="C29" i="101" s="1"/>
  <c r="L46" i="73"/>
  <c r="CA33" i="63"/>
  <c r="C17" i="73"/>
  <c r="C12" i="99"/>
  <c r="C27" i="99" s="1"/>
  <c r="CA22" i="61"/>
  <c r="E34" i="73"/>
  <c r="BR39" i="63"/>
  <c r="BN40" i="63"/>
  <c r="BR40" i="63" s="1"/>
  <c r="D19" i="100"/>
  <c r="C19" i="100"/>
  <c r="C34" i="100" s="1"/>
  <c r="D11" i="105"/>
  <c r="C11" i="105"/>
  <c r="C26" i="105" s="1"/>
  <c r="CA18" i="61"/>
  <c r="E30" i="73"/>
  <c r="C14" i="102"/>
  <c r="C29" i="102" s="1"/>
  <c r="J19" i="73"/>
  <c r="CA11" i="61"/>
  <c r="E22" i="73"/>
  <c r="D9" i="101"/>
  <c r="C9" i="101"/>
  <c r="C24" i="101" s="1"/>
  <c r="H29" i="61"/>
  <c r="I30" i="18"/>
  <c r="BN40" i="112"/>
  <c r="BR40" i="112" s="1"/>
  <c r="BR39" i="112"/>
  <c r="G24" i="79"/>
  <c r="G25" i="79" s="1"/>
  <c r="G29" i="79"/>
  <c r="CA38" i="61"/>
  <c r="E51" i="73"/>
  <c r="E5" i="61"/>
  <c r="AT5" i="63"/>
  <c r="C11" i="101"/>
  <c r="C26" i="101" s="1"/>
  <c r="D11" i="101"/>
  <c r="CA20" i="112"/>
  <c r="K18" i="99"/>
  <c r="H33" i="99"/>
  <c r="D33" i="99"/>
  <c r="N18" i="99"/>
  <c r="V33" i="99" s="1"/>
  <c r="G33" i="99"/>
  <c r="Y33" i="99" s="1"/>
  <c r="L18" i="99"/>
  <c r="I18" i="99"/>
  <c r="H18" i="99"/>
  <c r="E18" i="99"/>
  <c r="M18" i="99"/>
  <c r="G18" i="99"/>
  <c r="F18" i="99"/>
  <c r="N33" i="99"/>
  <c r="K33" i="99"/>
  <c r="AB33" i="99" s="1"/>
  <c r="L43" i="73"/>
  <c r="CA30" i="63"/>
  <c r="CA13" i="61"/>
  <c r="E24" i="73"/>
  <c r="AU5" i="111"/>
  <c r="AX5" i="111" s="1"/>
  <c r="BG5" i="111" s="1"/>
  <c r="AT6" i="111"/>
  <c r="F39" i="1"/>
  <c r="D8" i="40"/>
  <c r="E48" i="33"/>
  <c r="F40" i="39"/>
  <c r="G33" i="1"/>
  <c r="E17" i="4"/>
  <c r="E17" i="56" s="1"/>
  <c r="F123" i="1"/>
  <c r="I40" i="53" s="1"/>
  <c r="CA27" i="61"/>
  <c r="E39" i="73"/>
  <c r="E138" i="80"/>
  <c r="E140" i="80" s="1"/>
  <c r="E93" i="80" s="1"/>
  <c r="E94" i="80" s="1"/>
  <c r="J37" i="77" s="1"/>
  <c r="AI15" i="61"/>
  <c r="C21" i="73"/>
  <c r="C16" i="99"/>
  <c r="C31" i="99" s="1"/>
  <c r="AH42" i="61"/>
  <c r="AO42" i="61"/>
  <c r="U42" i="61"/>
  <c r="AI42" i="61"/>
  <c r="AI54" i="61" s="1"/>
  <c r="AT42" i="61"/>
  <c r="Z42" i="61"/>
  <c r="C11" i="102"/>
  <c r="C26" i="102" s="1"/>
  <c r="J16" i="73"/>
  <c r="K15" i="99"/>
  <c r="K30" i="99"/>
  <c r="AB30" i="99" s="1"/>
  <c r="H30" i="99"/>
  <c r="D30" i="99"/>
  <c r="L15" i="99"/>
  <c r="N30" i="99"/>
  <c r="F15" i="99"/>
  <c r="H15" i="99"/>
  <c r="G30" i="99"/>
  <c r="Y30" i="99" s="1"/>
  <c r="M15" i="99"/>
  <c r="N15" i="99"/>
  <c r="V30" i="99" s="1"/>
  <c r="E15" i="99"/>
  <c r="I15" i="99"/>
  <c r="G15" i="99"/>
  <c r="U15" i="63"/>
  <c r="W113" i="60" s="1"/>
  <c r="C16" i="101"/>
  <c r="C31" i="101" s="1"/>
  <c r="D16" i="101"/>
  <c r="E119" i="8"/>
  <c r="E120" i="8" s="1"/>
  <c r="I25" i="54" s="1"/>
  <c r="E111" i="8"/>
  <c r="E115" i="8" s="1"/>
  <c r="E84" i="8" s="1"/>
  <c r="E80" i="8"/>
  <c r="E103" i="8"/>
  <c r="E106" i="8" s="1"/>
  <c r="E82" i="8" s="1"/>
  <c r="E67" i="8"/>
  <c r="E155" i="8"/>
  <c r="C19" i="105"/>
  <c r="C34" i="105" s="1"/>
  <c r="D19" i="105"/>
  <c r="L50" i="73"/>
  <c r="CA37" i="63"/>
  <c r="M18" i="102"/>
  <c r="L18" i="102"/>
  <c r="G33" i="102"/>
  <c r="Y33" i="102" s="1"/>
  <c r="K33" i="102"/>
  <c r="AB33" i="102" s="1"/>
  <c r="I18" i="102"/>
  <c r="H33" i="102"/>
  <c r="F18" i="102"/>
  <c r="N33" i="102"/>
  <c r="K18" i="102"/>
  <c r="D33" i="102"/>
  <c r="H18" i="102"/>
  <c r="G18" i="102"/>
  <c r="N18" i="102"/>
  <c r="V33" i="102" s="1"/>
  <c r="E18" i="102"/>
  <c r="C23" i="73"/>
  <c r="C18" i="99"/>
  <c r="C33" i="99" s="1"/>
  <c r="D20" i="100"/>
  <c r="C20" i="100"/>
  <c r="C35" i="100" s="1"/>
  <c r="G35" i="99"/>
  <c r="Y35" i="99" s="1"/>
  <c r="N35" i="99"/>
  <c r="F20" i="99"/>
  <c r="H35" i="99"/>
  <c r="I20" i="99"/>
  <c r="E20" i="99"/>
  <c r="N20" i="99"/>
  <c r="V35" i="99" s="1"/>
  <c r="H20" i="99"/>
  <c r="L20" i="99"/>
  <c r="D35" i="99"/>
  <c r="K35" i="99"/>
  <c r="AB35" i="99" s="1"/>
  <c r="K20" i="99"/>
  <c r="M20" i="99"/>
  <c r="G20" i="99"/>
  <c r="CA10" i="61"/>
  <c r="E21" i="73"/>
  <c r="C20" i="73"/>
  <c r="C15" i="99"/>
  <c r="C30" i="99" s="1"/>
  <c r="AI15" i="63"/>
  <c r="AU42" i="111"/>
  <c r="AX42" i="111" s="1"/>
  <c r="AT43" i="111"/>
  <c r="L51" i="73"/>
  <c r="CA38" i="63"/>
  <c r="C19" i="99"/>
  <c r="C34" i="99" s="1"/>
  <c r="C24" i="73"/>
  <c r="C20" i="105"/>
  <c r="C35" i="105" s="1"/>
  <c r="D20" i="105"/>
  <c r="G29" i="80"/>
  <c r="G24" i="80"/>
  <c r="G25" i="80" s="1"/>
  <c r="CA39" i="112"/>
  <c r="C18" i="101"/>
  <c r="C33" i="101" s="1"/>
  <c r="D18" i="101"/>
  <c r="C16" i="73"/>
  <c r="C11" i="99"/>
  <c r="C26" i="99" s="1"/>
  <c r="J17" i="73"/>
  <c r="C12" i="102"/>
  <c r="C27" i="102" s="1"/>
  <c r="CA24" i="112"/>
  <c r="CA38" i="112"/>
  <c r="D24" i="103"/>
  <c r="L49" i="73"/>
  <c r="CA36" i="63"/>
  <c r="L24" i="73"/>
  <c r="CA13" i="63"/>
  <c r="CN6" i="111"/>
  <c r="CN6" i="61"/>
  <c r="CA30" i="61"/>
  <c r="E43" i="73"/>
  <c r="BR39" i="111"/>
  <c r="BN40" i="111"/>
  <c r="BR40" i="111" s="1"/>
  <c r="C19" i="73"/>
  <c r="C14" i="99"/>
  <c r="C29" i="99" s="1"/>
  <c r="L21" i="73"/>
  <c r="CA10" i="63"/>
  <c r="I30" i="16"/>
  <c r="C18" i="73"/>
  <c r="C13" i="99"/>
  <c r="C28" i="99" s="1"/>
  <c r="A25" i="35"/>
  <c r="C24" i="35" s="1"/>
  <c r="D14" i="105"/>
  <c r="C14" i="105"/>
  <c r="C29" i="105" s="1"/>
  <c r="CA34" i="61"/>
  <c r="E47" i="73"/>
  <c r="G33" i="79"/>
  <c r="F39" i="79"/>
  <c r="F41" i="79" s="1"/>
  <c r="F17" i="79"/>
  <c r="F38" i="77" s="1"/>
  <c r="F125" i="79"/>
  <c r="CA14" i="63"/>
  <c r="L25" i="73"/>
  <c r="E46" i="73"/>
  <c r="CA33" i="61"/>
  <c r="AP13" i="61"/>
  <c r="AP4" i="61"/>
  <c r="AP15" i="61"/>
  <c r="AP14" i="61"/>
  <c r="AP7" i="61"/>
  <c r="AP8" i="61"/>
  <c r="AP12" i="61"/>
  <c r="AP5" i="61"/>
  <c r="AP10" i="61"/>
  <c r="AP11" i="61"/>
  <c r="AP6" i="61"/>
  <c r="AP9" i="61"/>
  <c r="Y45" i="111"/>
  <c r="AD45" i="111"/>
  <c r="CA9" i="61"/>
  <c r="E20" i="73"/>
  <c r="AC45" i="111"/>
  <c r="AC51" i="111"/>
  <c r="F32" i="8" l="1"/>
  <c r="F38" i="8" s="1"/>
  <c r="G48" i="33"/>
  <c r="F39" i="39"/>
  <c r="T27" i="39"/>
  <c r="F39" i="47"/>
  <c r="T27" i="47"/>
  <c r="G22" i="1"/>
  <c r="T14" i="40"/>
  <c r="T14" i="48"/>
  <c r="G22" i="8"/>
  <c r="C9" i="103"/>
  <c r="C24" i="103" s="1"/>
  <c r="D10" i="103"/>
  <c r="L29" i="73"/>
  <c r="E29" i="73"/>
  <c r="D13" i="102"/>
  <c r="G13" i="102" s="1"/>
  <c r="H16" i="61"/>
  <c r="E28" i="73" s="1"/>
  <c r="C9" i="100"/>
  <c r="C24" i="100" s="1"/>
  <c r="G17" i="112"/>
  <c r="H17" i="112" s="1"/>
  <c r="AD17" i="112" s="1"/>
  <c r="CA17" i="61"/>
  <c r="I13" i="102"/>
  <c r="C10" i="103"/>
  <c r="C25" i="103" s="1"/>
  <c r="D28" i="102"/>
  <c r="E13" i="102"/>
  <c r="H28" i="102"/>
  <c r="H13" i="102"/>
  <c r="G28" i="102" s="1"/>
  <c r="Y28" i="102" s="1"/>
  <c r="L18" i="73"/>
  <c r="M15" i="103"/>
  <c r="G30" i="103"/>
  <c r="Y30" i="103" s="1"/>
  <c r="CA7" i="63"/>
  <c r="G16" i="112"/>
  <c r="H16" i="112" s="1"/>
  <c r="CA16" i="112" s="1"/>
  <c r="H15" i="103"/>
  <c r="N30" i="103"/>
  <c r="H30" i="103"/>
  <c r="N15" i="103"/>
  <c r="V30" i="103" s="1"/>
  <c r="K30" i="103"/>
  <c r="AB30" i="103" s="1"/>
  <c r="K51" i="111"/>
  <c r="M51" i="111" s="1"/>
  <c r="N51" i="111" s="1"/>
  <c r="E52" i="111"/>
  <c r="C10" i="100"/>
  <c r="C25" i="100" s="1"/>
  <c r="AC7" i="63"/>
  <c r="L15" i="103"/>
  <c r="E51" i="61"/>
  <c r="K51" i="61" s="1"/>
  <c r="M51" i="61" s="1"/>
  <c r="N51" i="61" s="1"/>
  <c r="I15" i="103"/>
  <c r="E15" i="103"/>
  <c r="D30" i="103"/>
  <c r="K15" i="103"/>
  <c r="D10" i="100"/>
  <c r="F10" i="100" s="1"/>
  <c r="AC17" i="61"/>
  <c r="G15" i="103"/>
  <c r="H7" i="61"/>
  <c r="E13" i="99" s="1"/>
  <c r="G13" i="99"/>
  <c r="H13" i="99"/>
  <c r="G28" i="99" s="1"/>
  <c r="Y28" i="99" s="1"/>
  <c r="M13" i="99"/>
  <c r="D28" i="99"/>
  <c r="I13" i="99"/>
  <c r="F13" i="99"/>
  <c r="Y13" i="99" s="1"/>
  <c r="X13" i="99" s="1"/>
  <c r="U13" i="99" s="1"/>
  <c r="H28" i="99"/>
  <c r="G7" i="112"/>
  <c r="H7" i="112" s="1"/>
  <c r="AD7" i="112" s="1"/>
  <c r="AC7" i="112"/>
  <c r="R3" i="111"/>
  <c r="AR3" i="111" s="1"/>
  <c r="AY3" i="111" s="1"/>
  <c r="CA9" i="112"/>
  <c r="CA14" i="112"/>
  <c r="CA13" i="112"/>
  <c r="CA11" i="112"/>
  <c r="H6" i="61"/>
  <c r="E12" i="99" s="1"/>
  <c r="AD5" i="61"/>
  <c r="CA10" i="112"/>
  <c r="Y3" i="61"/>
  <c r="BG3" i="61"/>
  <c r="CA12" i="112"/>
  <c r="C9" i="99"/>
  <c r="C24" i="99" s="1"/>
  <c r="H26" i="102"/>
  <c r="D26" i="102"/>
  <c r="H11" i="102"/>
  <c r="G26" i="102" s="1"/>
  <c r="Y26" i="102" s="1"/>
  <c r="D9" i="99"/>
  <c r="M9" i="99" s="1"/>
  <c r="I11" i="102"/>
  <c r="F11" i="102"/>
  <c r="Y11" i="102" s="1"/>
  <c r="X11" i="102" s="1"/>
  <c r="U11" i="102" s="1"/>
  <c r="G11" i="102"/>
  <c r="G6" i="112"/>
  <c r="H6" i="112" s="1"/>
  <c r="H5" i="63"/>
  <c r="I12" i="99"/>
  <c r="D11" i="99"/>
  <c r="F11" i="99" s="1"/>
  <c r="Y11" i="99" s="1"/>
  <c r="X11" i="99" s="1"/>
  <c r="U11" i="99" s="1"/>
  <c r="K17" i="103"/>
  <c r="L17" i="103"/>
  <c r="G32" i="103"/>
  <c r="Y32" i="103" s="1"/>
  <c r="K32" i="103"/>
  <c r="AB32" i="103" s="1"/>
  <c r="H32" i="103"/>
  <c r="G27" i="99"/>
  <c r="Y27" i="99" s="1"/>
  <c r="D27" i="99"/>
  <c r="G12" i="99"/>
  <c r="D12" i="102"/>
  <c r="H6" i="63"/>
  <c r="G5" i="112"/>
  <c r="H5" i="112" s="1"/>
  <c r="E16" i="73"/>
  <c r="CA5" i="61"/>
  <c r="H27" i="99"/>
  <c r="F12" i="99"/>
  <c r="Y12" i="99" s="1"/>
  <c r="X12" i="99" s="1"/>
  <c r="U12" i="99" s="1"/>
  <c r="H4" i="61"/>
  <c r="H29" i="63"/>
  <c r="E9" i="105" s="1"/>
  <c r="C9" i="105"/>
  <c r="C24" i="105" s="1"/>
  <c r="M12" i="99"/>
  <c r="AC5" i="61"/>
  <c r="H17" i="103"/>
  <c r="I10" i="99"/>
  <c r="F10" i="99"/>
  <c r="Y10" i="99" s="1"/>
  <c r="X10" i="99" s="1"/>
  <c r="U10" i="99" s="1"/>
  <c r="N5" i="63"/>
  <c r="H25" i="99"/>
  <c r="G10" i="99"/>
  <c r="D25" i="99"/>
  <c r="H10" i="99"/>
  <c r="G25" i="99" s="1"/>
  <c r="Y25" i="99" s="1"/>
  <c r="N32" i="103"/>
  <c r="D32" i="103"/>
  <c r="I17" i="103"/>
  <c r="E17" i="103"/>
  <c r="F17" i="103"/>
  <c r="Y17" i="103" s="1"/>
  <c r="X17" i="103" s="1"/>
  <c r="U17" i="103" s="1"/>
  <c r="H4" i="63"/>
  <c r="G4" i="112"/>
  <c r="H4" i="112" s="1"/>
  <c r="M17" i="103"/>
  <c r="N17" i="103"/>
  <c r="V32" i="103" s="1"/>
  <c r="G30" i="112"/>
  <c r="H30" i="112" s="1"/>
  <c r="CA30" i="112" s="1"/>
  <c r="I10" i="102"/>
  <c r="M10" i="102"/>
  <c r="AD30" i="112"/>
  <c r="AC30" i="112"/>
  <c r="G10" i="102"/>
  <c r="D9" i="102"/>
  <c r="G9" i="102" s="1"/>
  <c r="H3" i="63"/>
  <c r="H25" i="102"/>
  <c r="H10" i="102"/>
  <c r="G25" i="102" s="1"/>
  <c r="Y25" i="102" s="1"/>
  <c r="G29" i="112"/>
  <c r="H29" i="112" s="1"/>
  <c r="CA29" i="112" s="1"/>
  <c r="F10" i="102"/>
  <c r="D25" i="102"/>
  <c r="E16" i="103"/>
  <c r="K31" i="103"/>
  <c r="AB31" i="103" s="1"/>
  <c r="G3" i="112"/>
  <c r="H3" i="112" s="1"/>
  <c r="H16" i="103"/>
  <c r="N31" i="103"/>
  <c r="G16" i="103"/>
  <c r="M16" i="103"/>
  <c r="F16" i="103"/>
  <c r="Y16" i="103" s="1"/>
  <c r="X16" i="103" s="1"/>
  <c r="U16" i="103" s="1"/>
  <c r="L16" i="103"/>
  <c r="H31" i="103"/>
  <c r="K16" i="103"/>
  <c r="G31" i="103"/>
  <c r="Y31" i="103" s="1"/>
  <c r="N16" i="103"/>
  <c r="V31" i="103" s="1"/>
  <c r="C30" i="110"/>
  <c r="F29" i="110"/>
  <c r="I16" i="103"/>
  <c r="C30" i="62"/>
  <c r="F29" i="62"/>
  <c r="E44" i="63" s="1"/>
  <c r="K44" i="63" s="1"/>
  <c r="M44" i="63" s="1"/>
  <c r="N44" i="63" s="1"/>
  <c r="N18" i="103"/>
  <c r="V33" i="103" s="1"/>
  <c r="K18" i="103"/>
  <c r="N33" i="103"/>
  <c r="H18" i="103"/>
  <c r="L18" i="103"/>
  <c r="M18" i="103"/>
  <c r="D33" i="103"/>
  <c r="F18" i="103"/>
  <c r="Y18" i="103" s="1"/>
  <c r="X18" i="103" s="1"/>
  <c r="U18" i="103" s="1"/>
  <c r="K33" i="103"/>
  <c r="AB33" i="103" s="1"/>
  <c r="G33" i="103"/>
  <c r="Y33" i="103" s="1"/>
  <c r="I18" i="103"/>
  <c r="G18" i="103"/>
  <c r="H33" i="103"/>
  <c r="M10" i="103"/>
  <c r="D25" i="103"/>
  <c r="H25" i="103"/>
  <c r="E13" i="103"/>
  <c r="N28" i="103"/>
  <c r="K13" i="103"/>
  <c r="I13" i="103"/>
  <c r="L13" i="103"/>
  <c r="G28" i="103"/>
  <c r="Y28" i="103" s="1"/>
  <c r="I31" i="17"/>
  <c r="CN7" i="63" s="1"/>
  <c r="CN17" i="112"/>
  <c r="N13" i="103"/>
  <c r="V28" i="103" s="1"/>
  <c r="H13" i="103"/>
  <c r="F13" i="103"/>
  <c r="J13" i="103" s="1"/>
  <c r="I10" i="103"/>
  <c r="K28" i="103"/>
  <c r="AB28" i="103" s="1"/>
  <c r="F10" i="103"/>
  <c r="D28" i="103"/>
  <c r="G13" i="103"/>
  <c r="H28" i="103"/>
  <c r="H10" i="103"/>
  <c r="G25" i="103" s="1"/>
  <c r="Y25" i="103" s="1"/>
  <c r="E10" i="103"/>
  <c r="G10" i="103"/>
  <c r="H14" i="103"/>
  <c r="K29" i="103"/>
  <c r="AB29" i="103" s="1"/>
  <c r="G29" i="103"/>
  <c r="Y29" i="103" s="1"/>
  <c r="D29" i="103"/>
  <c r="F14" i="103"/>
  <c r="J14" i="103" s="1"/>
  <c r="L14" i="103"/>
  <c r="N14" i="103"/>
  <c r="V29" i="103" s="1"/>
  <c r="M14" i="103"/>
  <c r="K14" i="103"/>
  <c r="G14" i="103"/>
  <c r="N29" i="103"/>
  <c r="E14" i="103"/>
  <c r="I14" i="103"/>
  <c r="I11" i="103"/>
  <c r="D26" i="103"/>
  <c r="N11" i="103"/>
  <c r="V26" i="103" s="1"/>
  <c r="K11" i="103"/>
  <c r="G26" i="103"/>
  <c r="Y26" i="103" s="1"/>
  <c r="G11" i="103"/>
  <c r="E11" i="103"/>
  <c r="L11" i="103"/>
  <c r="M11" i="103"/>
  <c r="H26" i="103"/>
  <c r="K26" i="103"/>
  <c r="AB26" i="103" s="1"/>
  <c r="F11" i="103"/>
  <c r="Y11" i="103" s="1"/>
  <c r="X11" i="103" s="1"/>
  <c r="U11" i="103" s="1"/>
  <c r="N26" i="103"/>
  <c r="H20" i="103"/>
  <c r="H19" i="103"/>
  <c r="K20" i="103"/>
  <c r="N20" i="103"/>
  <c r="V35" i="103" s="1"/>
  <c r="H34" i="103"/>
  <c r="G20" i="103"/>
  <c r="H27" i="103"/>
  <c r="H35" i="103"/>
  <c r="E20" i="103"/>
  <c r="I12" i="103"/>
  <c r="L20" i="103"/>
  <c r="N12" i="103"/>
  <c r="V27" i="103" s="1"/>
  <c r="E12" i="103"/>
  <c r="F20" i="103"/>
  <c r="Y20" i="103" s="1"/>
  <c r="X20" i="103" s="1"/>
  <c r="U20" i="103" s="1"/>
  <c r="L28" i="73"/>
  <c r="G27" i="103"/>
  <c r="Y27" i="103" s="1"/>
  <c r="CA16" i="63"/>
  <c r="M20" i="103"/>
  <c r="I20" i="103"/>
  <c r="G35" i="103"/>
  <c r="Y35" i="103" s="1"/>
  <c r="K35" i="103"/>
  <c r="AB35" i="103" s="1"/>
  <c r="D35" i="103"/>
  <c r="E5" i="112"/>
  <c r="K5" i="112" s="1"/>
  <c r="M5" i="112" s="1"/>
  <c r="K27" i="103"/>
  <c r="AB27" i="103" s="1"/>
  <c r="G12" i="103"/>
  <c r="N27" i="103"/>
  <c r="N19" i="103"/>
  <c r="V34" i="103" s="1"/>
  <c r="H12" i="103"/>
  <c r="L19" i="103"/>
  <c r="K12" i="103"/>
  <c r="D27" i="103"/>
  <c r="M12" i="103"/>
  <c r="N34" i="103"/>
  <c r="I19" i="103"/>
  <c r="L12" i="103"/>
  <c r="K34" i="103"/>
  <c r="AB34" i="103" s="1"/>
  <c r="F19" i="103"/>
  <c r="Y19" i="103" s="1"/>
  <c r="X19" i="103" s="1"/>
  <c r="U19" i="103" s="1"/>
  <c r="G34" i="103"/>
  <c r="Y34" i="103" s="1"/>
  <c r="E19" i="103"/>
  <c r="D34" i="103"/>
  <c r="M19" i="103"/>
  <c r="G19" i="103"/>
  <c r="G45" i="112"/>
  <c r="H45" i="112" s="1"/>
  <c r="Y45" i="112" s="1"/>
  <c r="G44" i="112"/>
  <c r="H44" i="112" s="1"/>
  <c r="AD44" i="112" s="1"/>
  <c r="AP6" i="112"/>
  <c r="G48" i="112"/>
  <c r="H48" i="112" s="1"/>
  <c r="AC48" i="112" s="1"/>
  <c r="G47" i="112"/>
  <c r="H47" i="112" s="1"/>
  <c r="AD47" i="112" s="1"/>
  <c r="BW8" i="112"/>
  <c r="BW9" i="112" s="1"/>
  <c r="BW10" i="112" s="1"/>
  <c r="BW11" i="112" s="1"/>
  <c r="BW12" i="112" s="1"/>
  <c r="BW13" i="112" s="1"/>
  <c r="BW14" i="112" s="1"/>
  <c r="BW15" i="112" s="1"/>
  <c r="G46" i="112"/>
  <c r="H46" i="112" s="1"/>
  <c r="Y46" i="112" s="1"/>
  <c r="AD42" i="112"/>
  <c r="H50" i="112"/>
  <c r="AD50" i="112" s="1"/>
  <c r="AI15" i="112"/>
  <c r="S16" i="112" s="1"/>
  <c r="G43" i="112"/>
  <c r="H43" i="112" s="1"/>
  <c r="AC43" i="112" s="1"/>
  <c r="H53" i="112"/>
  <c r="AC53" i="112" s="1"/>
  <c r="AP13" i="112"/>
  <c r="AP5" i="112"/>
  <c r="AP10" i="112"/>
  <c r="AC53" i="63"/>
  <c r="AP9" i="112"/>
  <c r="AP7" i="112"/>
  <c r="AC49" i="61"/>
  <c r="AP15" i="112"/>
  <c r="AT42" i="112"/>
  <c r="AU42" i="112" s="1"/>
  <c r="AX42" i="112" s="1"/>
  <c r="U15" i="112"/>
  <c r="AP4" i="112"/>
  <c r="AJ4" i="112" s="1"/>
  <c r="U42" i="112"/>
  <c r="Y42" i="112" s="1"/>
  <c r="AP11" i="112"/>
  <c r="Y43" i="63"/>
  <c r="AI42" i="112"/>
  <c r="AI54" i="112" s="1"/>
  <c r="AP12" i="112"/>
  <c r="AP8" i="112"/>
  <c r="E6" i="63"/>
  <c r="E7" i="63" s="1"/>
  <c r="AJ7" i="63" s="1"/>
  <c r="AO42" i="112"/>
  <c r="AD43" i="63"/>
  <c r="AH42" i="112"/>
  <c r="Y53" i="63"/>
  <c r="AP14" i="112"/>
  <c r="H49" i="112"/>
  <c r="AD49" i="112" s="1"/>
  <c r="AD52" i="61"/>
  <c r="Y52" i="61"/>
  <c r="AT5" i="112"/>
  <c r="AU5" i="112" s="1"/>
  <c r="AX5" i="112" s="1"/>
  <c r="H51" i="112"/>
  <c r="AD51" i="112" s="1"/>
  <c r="G52" i="112"/>
  <c r="H52" i="112" s="1"/>
  <c r="AC52" i="112" s="1"/>
  <c r="Y42" i="61"/>
  <c r="CP17" i="61"/>
  <c r="I31" i="15"/>
  <c r="CP7" i="111" s="1"/>
  <c r="AC52" i="61"/>
  <c r="Y42" i="63"/>
  <c r="Y53" i="61"/>
  <c r="AD43" i="61"/>
  <c r="AC43" i="61"/>
  <c r="Y52" i="63"/>
  <c r="AD45" i="61"/>
  <c r="AC45" i="61"/>
  <c r="AC51" i="63"/>
  <c r="AC46" i="63"/>
  <c r="Y51" i="63"/>
  <c r="AC53" i="61"/>
  <c r="AD49" i="63"/>
  <c r="Y49" i="63"/>
  <c r="AC52" i="63"/>
  <c r="AD45" i="63"/>
  <c r="Y46" i="63"/>
  <c r="Y45" i="63"/>
  <c r="Y51" i="61"/>
  <c r="AD51" i="61"/>
  <c r="AC44" i="61"/>
  <c r="Y45" i="61"/>
  <c r="Y47" i="61"/>
  <c r="Y44" i="61"/>
  <c r="AD48" i="63"/>
  <c r="Y48" i="63"/>
  <c r="Y49" i="61"/>
  <c r="AC47" i="61"/>
  <c r="AC51" i="61"/>
  <c r="AC44" i="63"/>
  <c r="CM17" i="111"/>
  <c r="Y44" i="63"/>
  <c r="AC50" i="63"/>
  <c r="Y46" i="61"/>
  <c r="Y50" i="63"/>
  <c r="I31" i="11"/>
  <c r="CM7" i="111" s="1"/>
  <c r="AC46" i="61"/>
  <c r="E138" i="79"/>
  <c r="E140" i="79" s="1"/>
  <c r="E93" i="79" s="1"/>
  <c r="E94" i="79" s="1"/>
  <c r="G37" i="77" s="1"/>
  <c r="I30" i="13"/>
  <c r="CN17" i="111" s="1"/>
  <c r="I46" i="33"/>
  <c r="L46" i="33" s="1"/>
  <c r="K22" i="51"/>
  <c r="O22" i="51" s="1"/>
  <c r="P22" i="51" s="1"/>
  <c r="I29" i="53"/>
  <c r="E136" i="8"/>
  <c r="E138" i="8" s="1"/>
  <c r="E91" i="8" s="1"/>
  <c r="M42" i="61"/>
  <c r="N42" i="61" s="1"/>
  <c r="F26" i="35"/>
  <c r="D23" i="35"/>
  <c r="E25" i="35"/>
  <c r="Y20" i="99"/>
  <c r="X20" i="99" s="1"/>
  <c r="U20" i="99" s="1"/>
  <c r="J20" i="99"/>
  <c r="K35" i="100"/>
  <c r="AB35" i="100" s="1"/>
  <c r="L20" i="100"/>
  <c r="G20" i="100"/>
  <c r="I20" i="100"/>
  <c r="H20" i="100"/>
  <c r="F20" i="100"/>
  <c r="H35" i="100"/>
  <c r="K20" i="100"/>
  <c r="N35" i="100"/>
  <c r="E20" i="100"/>
  <c r="M20" i="100"/>
  <c r="D35" i="100"/>
  <c r="N20" i="100"/>
  <c r="V35" i="100" s="1"/>
  <c r="G35" i="100"/>
  <c r="Y35" i="100" s="1"/>
  <c r="CO17" i="112"/>
  <c r="CO17" i="63"/>
  <c r="I31" i="18"/>
  <c r="BO5" i="111"/>
  <c r="J5" i="111"/>
  <c r="G32" i="100"/>
  <c r="Y32" i="100" s="1"/>
  <c r="I17" i="100"/>
  <c r="D32" i="100"/>
  <c r="E17" i="100"/>
  <c r="H32" i="100"/>
  <c r="N17" i="100"/>
  <c r="V32" i="100" s="1"/>
  <c r="F17" i="100"/>
  <c r="K17" i="100"/>
  <c r="L17" i="100"/>
  <c r="G17" i="100"/>
  <c r="N32" i="100"/>
  <c r="M17" i="100"/>
  <c r="H17" i="100"/>
  <c r="K32" i="100"/>
  <c r="AB32" i="100" s="1"/>
  <c r="N33" i="105"/>
  <c r="H18" i="105"/>
  <c r="G18" i="105"/>
  <c r="E18" i="105"/>
  <c r="N18" i="105"/>
  <c r="V33" i="105" s="1"/>
  <c r="H33" i="105"/>
  <c r="L18" i="105"/>
  <c r="G33" i="105"/>
  <c r="Y33" i="105" s="1"/>
  <c r="K18" i="105"/>
  <c r="F18" i="105"/>
  <c r="M18" i="105"/>
  <c r="D33" i="105"/>
  <c r="I18" i="105"/>
  <c r="K33" i="105"/>
  <c r="AB33" i="105" s="1"/>
  <c r="M14" i="105"/>
  <c r="G14" i="105"/>
  <c r="N14" i="105"/>
  <c r="V29" i="105" s="1"/>
  <c r="I14" i="105"/>
  <c r="H29" i="105"/>
  <c r="H14" i="105"/>
  <c r="K29" i="105"/>
  <c r="AB29" i="105" s="1"/>
  <c r="N29" i="105"/>
  <c r="K14" i="105"/>
  <c r="F14" i="105"/>
  <c r="D29" i="105"/>
  <c r="E14" i="105"/>
  <c r="L14" i="105"/>
  <c r="G29" i="105"/>
  <c r="Y29" i="105" s="1"/>
  <c r="G27" i="80"/>
  <c r="G28" i="80" s="1"/>
  <c r="G34" i="80"/>
  <c r="F19" i="105"/>
  <c r="K34" i="105"/>
  <c r="AB34" i="105" s="1"/>
  <c r="N19" i="105"/>
  <c r="V34" i="105" s="1"/>
  <c r="L19" i="105"/>
  <c r="N34" i="105"/>
  <c r="K19" i="105"/>
  <c r="H34" i="105"/>
  <c r="I19" i="105"/>
  <c r="G34" i="105"/>
  <c r="Y34" i="105" s="1"/>
  <c r="E19" i="105"/>
  <c r="M19" i="105"/>
  <c r="H19" i="105"/>
  <c r="D34" i="105"/>
  <c r="G19" i="105"/>
  <c r="I29" i="54"/>
  <c r="D42" i="39"/>
  <c r="D44" i="39"/>
  <c r="D45" i="39"/>
  <c r="G34" i="100"/>
  <c r="Y34" i="100" s="1"/>
  <c r="L19" i="100"/>
  <c r="E19" i="100"/>
  <c r="N19" i="100"/>
  <c r="V34" i="100" s="1"/>
  <c r="D34" i="100"/>
  <c r="H34" i="100"/>
  <c r="G19" i="100"/>
  <c r="K34" i="100"/>
  <c r="AB34" i="100" s="1"/>
  <c r="M19" i="100"/>
  <c r="N34" i="100"/>
  <c r="K19" i="100"/>
  <c r="F19" i="100"/>
  <c r="H19" i="100"/>
  <c r="I19" i="100"/>
  <c r="M16" i="105"/>
  <c r="E16" i="105"/>
  <c r="I16" i="105"/>
  <c r="H16" i="105"/>
  <c r="G16" i="105"/>
  <c r="H31" i="105"/>
  <c r="F16" i="105"/>
  <c r="K16" i="105"/>
  <c r="K31" i="105"/>
  <c r="AB31" i="105" s="1"/>
  <c r="N31" i="105"/>
  <c r="N16" i="105"/>
  <c r="V31" i="105" s="1"/>
  <c r="G31" i="105"/>
  <c r="Y31" i="105" s="1"/>
  <c r="D31" i="105"/>
  <c r="L16" i="105"/>
  <c r="F13" i="105"/>
  <c r="G13" i="105"/>
  <c r="G28" i="105"/>
  <c r="Y28" i="105" s="1"/>
  <c r="N28" i="105"/>
  <c r="E13" i="105"/>
  <c r="I13" i="105"/>
  <c r="L13" i="105"/>
  <c r="D28" i="105"/>
  <c r="K13" i="105"/>
  <c r="H28" i="105"/>
  <c r="K28" i="105"/>
  <c r="AB28" i="105" s="1"/>
  <c r="N13" i="105"/>
  <c r="V28" i="105" s="1"/>
  <c r="M13" i="105"/>
  <c r="H13" i="105"/>
  <c r="N31" i="100"/>
  <c r="E16" i="100"/>
  <c r="G16" i="100"/>
  <c r="I16" i="100"/>
  <c r="G31" i="100"/>
  <c r="Y31" i="100" s="1"/>
  <c r="N16" i="100"/>
  <c r="V31" i="100" s="1"/>
  <c r="L16" i="100"/>
  <c r="F16" i="100"/>
  <c r="K31" i="100"/>
  <c r="AB31" i="100" s="1"/>
  <c r="M16" i="100"/>
  <c r="H31" i="100"/>
  <c r="K16" i="100"/>
  <c r="H16" i="100"/>
  <c r="D31" i="100"/>
  <c r="N30" i="105"/>
  <c r="L15" i="105"/>
  <c r="H30" i="105"/>
  <c r="F15" i="105"/>
  <c r="D30" i="105"/>
  <c r="G15" i="105"/>
  <c r="K15" i="105"/>
  <c r="H15" i="105"/>
  <c r="G30" i="105"/>
  <c r="Y30" i="105" s="1"/>
  <c r="I15" i="105"/>
  <c r="N15" i="105"/>
  <c r="V30" i="105" s="1"/>
  <c r="M15" i="105"/>
  <c r="E15" i="105"/>
  <c r="K30" i="105"/>
  <c r="AB30" i="105" s="1"/>
  <c r="J15" i="102"/>
  <c r="Y15" i="102"/>
  <c r="X15" i="102" s="1"/>
  <c r="U15" i="102" s="1"/>
  <c r="K17" i="101"/>
  <c r="M17" i="101"/>
  <c r="N32" i="101"/>
  <c r="I17" i="101"/>
  <c r="L17" i="101"/>
  <c r="N17" i="101"/>
  <c r="V32" i="101" s="1"/>
  <c r="F17" i="101"/>
  <c r="K32" i="101"/>
  <c r="AB32" i="101" s="1"/>
  <c r="D32" i="101"/>
  <c r="H32" i="101"/>
  <c r="H17" i="101"/>
  <c r="E17" i="101"/>
  <c r="G17" i="101"/>
  <c r="G32" i="101"/>
  <c r="Y32" i="101" s="1"/>
  <c r="J19" i="102"/>
  <c r="Y19" i="102"/>
  <c r="X19" i="102" s="1"/>
  <c r="U19" i="102" s="1"/>
  <c r="J14" i="99"/>
  <c r="Y14" i="99"/>
  <c r="X14" i="99" s="1"/>
  <c r="U14" i="99" s="1"/>
  <c r="F120" i="79"/>
  <c r="F68" i="79"/>
  <c r="G27" i="79"/>
  <c r="G28" i="79" s="1"/>
  <c r="G34" i="79"/>
  <c r="E42" i="73"/>
  <c r="CA29" i="61"/>
  <c r="Y12" i="103"/>
  <c r="X12" i="103" s="1"/>
  <c r="U12" i="103" s="1"/>
  <c r="J12" i="103"/>
  <c r="Y17" i="99"/>
  <c r="X17" i="99" s="1"/>
  <c r="U17" i="99" s="1"/>
  <c r="J17" i="99"/>
  <c r="J19" i="99"/>
  <c r="Y19" i="99"/>
  <c r="X19" i="99" s="1"/>
  <c r="U19" i="99" s="1"/>
  <c r="Y16" i="99"/>
  <c r="X16" i="99" s="1"/>
  <c r="U16" i="99" s="1"/>
  <c r="J16" i="99"/>
  <c r="I10" i="105"/>
  <c r="E10" i="105"/>
  <c r="H10" i="105"/>
  <c r="G25" i="105" s="1"/>
  <c r="Y25" i="105" s="1"/>
  <c r="F10" i="105"/>
  <c r="D25" i="105"/>
  <c r="G10" i="105"/>
  <c r="M10" i="105"/>
  <c r="H25" i="105"/>
  <c r="M19" i="101"/>
  <c r="D34" i="101"/>
  <c r="F19" i="101"/>
  <c r="H34" i="101"/>
  <c r="G19" i="101"/>
  <c r="G34" i="101"/>
  <c r="Y34" i="101" s="1"/>
  <c r="K19" i="101"/>
  <c r="N34" i="101"/>
  <c r="N19" i="101"/>
  <c r="V34" i="101" s="1"/>
  <c r="H19" i="101"/>
  <c r="E19" i="101"/>
  <c r="K34" i="101"/>
  <c r="AB34" i="101" s="1"/>
  <c r="I19" i="101"/>
  <c r="L19" i="101"/>
  <c r="N12" i="100"/>
  <c r="V27" i="100" s="1"/>
  <c r="I12" i="100"/>
  <c r="G12" i="100"/>
  <c r="K12" i="100"/>
  <c r="E12" i="100"/>
  <c r="H27" i="100"/>
  <c r="H12" i="100"/>
  <c r="G27" i="100"/>
  <c r="Y27" i="100" s="1"/>
  <c r="D27" i="100"/>
  <c r="L12" i="100"/>
  <c r="K27" i="100"/>
  <c r="AB27" i="100" s="1"/>
  <c r="M12" i="100"/>
  <c r="N27" i="100"/>
  <c r="F12" i="100"/>
  <c r="Y50" i="61"/>
  <c r="S16" i="63"/>
  <c r="L16" i="63"/>
  <c r="AF16" i="63"/>
  <c r="J18" i="102"/>
  <c r="Y18" i="102"/>
  <c r="X18" i="102" s="1"/>
  <c r="U18" i="102" s="1"/>
  <c r="K20" i="105"/>
  <c r="G20" i="105"/>
  <c r="F20" i="105"/>
  <c r="E20" i="105"/>
  <c r="G35" i="105"/>
  <c r="Y35" i="105" s="1"/>
  <c r="I20" i="105"/>
  <c r="H20" i="105"/>
  <c r="D35" i="105"/>
  <c r="M20" i="105"/>
  <c r="N20" i="105"/>
  <c r="V35" i="105" s="1"/>
  <c r="L20" i="105"/>
  <c r="H35" i="105"/>
  <c r="N35" i="105"/>
  <c r="K35" i="105"/>
  <c r="AB35" i="105" s="1"/>
  <c r="K6" i="111"/>
  <c r="E7" i="111"/>
  <c r="AJ7" i="111" s="1"/>
  <c r="B36" i="114"/>
  <c r="D36" i="114"/>
  <c r="F120" i="80"/>
  <c r="F68" i="80"/>
  <c r="AC47" i="63"/>
  <c r="AD47" i="63"/>
  <c r="Y47" i="63"/>
  <c r="J20" i="102"/>
  <c r="Y20" i="102"/>
  <c r="X20" i="102" s="1"/>
  <c r="U20" i="102" s="1"/>
  <c r="CM17" i="63"/>
  <c r="I31" i="16"/>
  <c r="CM17" i="112"/>
  <c r="F159" i="1"/>
  <c r="F147" i="1" s="1"/>
  <c r="F151" i="1" s="1"/>
  <c r="F154" i="1" s="1"/>
  <c r="I9" i="101"/>
  <c r="D24" i="101"/>
  <c r="E9" i="101"/>
  <c r="U16" i="111"/>
  <c r="AW16" i="111"/>
  <c r="BV16" i="111" s="1"/>
  <c r="BW16" i="111" s="1"/>
  <c r="BW17" i="111" s="1"/>
  <c r="BW18" i="111" s="1"/>
  <c r="BW19" i="111" s="1"/>
  <c r="BW20" i="111" s="1"/>
  <c r="BW21" i="111" s="1"/>
  <c r="BW22" i="111" s="1"/>
  <c r="BW23" i="111" s="1"/>
  <c r="BW24" i="111" s="1"/>
  <c r="BW25" i="111" s="1"/>
  <c r="BW26" i="111" s="1"/>
  <c r="BW27" i="111" s="1"/>
  <c r="BW28" i="111" s="1"/>
  <c r="BX28" i="111" s="1"/>
  <c r="CA3" i="61"/>
  <c r="CB3" i="61" s="1"/>
  <c r="AL3" i="61"/>
  <c r="E14" i="73"/>
  <c r="AD3" i="61"/>
  <c r="AC3" i="61"/>
  <c r="O3" i="61"/>
  <c r="Q3" i="61" s="1"/>
  <c r="M18" i="100"/>
  <c r="F18" i="100"/>
  <c r="L18" i="100"/>
  <c r="G18" i="100"/>
  <c r="E18" i="100"/>
  <c r="H18" i="100"/>
  <c r="D33" i="100"/>
  <c r="G33" i="100"/>
  <c r="Y33" i="100" s="1"/>
  <c r="K18" i="100"/>
  <c r="I18" i="100"/>
  <c r="H33" i="100"/>
  <c r="K33" i="100"/>
  <c r="AB33" i="100" s="1"/>
  <c r="N33" i="100"/>
  <c r="N18" i="100"/>
  <c r="V33" i="100" s="1"/>
  <c r="M5" i="111"/>
  <c r="AL5" i="111"/>
  <c r="X105" i="60"/>
  <c r="J15" i="99"/>
  <c r="Y15" i="99"/>
  <c r="X15" i="99" s="1"/>
  <c r="U15" i="99" s="1"/>
  <c r="A26" i="35"/>
  <c r="C25" i="35"/>
  <c r="AU42" i="61"/>
  <c r="AX42" i="61" s="1"/>
  <c r="AT43" i="61"/>
  <c r="L16" i="61"/>
  <c r="AF16" i="61"/>
  <c r="S16" i="61"/>
  <c r="F28" i="73" s="1"/>
  <c r="N27" i="105"/>
  <c r="F12" i="105"/>
  <c r="K12" i="105"/>
  <c r="I12" i="105"/>
  <c r="L12" i="105"/>
  <c r="H27" i="105"/>
  <c r="N12" i="105"/>
  <c r="V27" i="105" s="1"/>
  <c r="M12" i="105"/>
  <c r="G12" i="105"/>
  <c r="G27" i="105"/>
  <c r="Y27" i="105" s="1"/>
  <c r="E12" i="105"/>
  <c r="D27" i="105"/>
  <c r="H12" i="105"/>
  <c r="K27" i="105"/>
  <c r="AB27" i="105" s="1"/>
  <c r="I5" i="63"/>
  <c r="AJ5" i="63"/>
  <c r="K11" i="100"/>
  <c r="I11" i="100"/>
  <c r="H26" i="100"/>
  <c r="H11" i="100"/>
  <c r="G26" i="100"/>
  <c r="Y26" i="100" s="1"/>
  <c r="F11" i="100"/>
  <c r="L11" i="100"/>
  <c r="D26" i="100"/>
  <c r="E11" i="100"/>
  <c r="G11" i="100"/>
  <c r="N26" i="100"/>
  <c r="M11" i="100"/>
  <c r="K26" i="100"/>
  <c r="AB26" i="100" s="1"/>
  <c r="N11" i="100"/>
  <c r="V26" i="100" s="1"/>
  <c r="AJ5" i="61"/>
  <c r="I4" i="61"/>
  <c r="AJ4" i="61"/>
  <c r="D24" i="105"/>
  <c r="I9" i="105"/>
  <c r="M18" i="101"/>
  <c r="K18" i="101"/>
  <c r="E18" i="101"/>
  <c r="N18" i="101"/>
  <c r="V33" i="101" s="1"/>
  <c r="H18" i="101"/>
  <c r="G18" i="101"/>
  <c r="L18" i="101"/>
  <c r="F18" i="101"/>
  <c r="G33" i="101"/>
  <c r="Y33" i="101" s="1"/>
  <c r="H33" i="101"/>
  <c r="D33" i="101"/>
  <c r="I18" i="101"/>
  <c r="N33" i="101"/>
  <c r="K33" i="101"/>
  <c r="AB33" i="101" s="1"/>
  <c r="AU43" i="111"/>
  <c r="AX43" i="111" s="1"/>
  <c r="AT44" i="111"/>
  <c r="E86" i="8"/>
  <c r="E90" i="8" s="1"/>
  <c r="E156" i="8"/>
  <c r="E157" i="8" s="1"/>
  <c r="I31" i="54" s="1"/>
  <c r="AU6" i="111"/>
  <c r="AX6" i="111" s="1"/>
  <c r="BG6" i="111" s="1"/>
  <c r="AT7" i="111"/>
  <c r="J18" i="99"/>
  <c r="Y18" i="99"/>
  <c r="X18" i="99" s="1"/>
  <c r="U18" i="99" s="1"/>
  <c r="K5" i="61"/>
  <c r="I5" i="61" s="1"/>
  <c r="E6" i="61"/>
  <c r="AJ6" i="61" s="1"/>
  <c r="G20" i="101"/>
  <c r="E20" i="101"/>
  <c r="L20" i="101"/>
  <c r="M20" i="101"/>
  <c r="H20" i="101"/>
  <c r="K35" i="101"/>
  <c r="AB35" i="101" s="1"/>
  <c r="K20" i="101"/>
  <c r="G35" i="101"/>
  <c r="Y35" i="101" s="1"/>
  <c r="N35" i="101"/>
  <c r="D35" i="101"/>
  <c r="N20" i="101"/>
  <c r="V35" i="101" s="1"/>
  <c r="H35" i="101"/>
  <c r="F20" i="101"/>
  <c r="I20" i="101"/>
  <c r="J15" i="103"/>
  <c r="Y15" i="103"/>
  <c r="X15" i="103" s="1"/>
  <c r="U15" i="103" s="1"/>
  <c r="F15" i="101"/>
  <c r="L15" i="101"/>
  <c r="G15" i="101"/>
  <c r="G30" i="101"/>
  <c r="Y30" i="101" s="1"/>
  <c r="N15" i="101"/>
  <c r="V30" i="101" s="1"/>
  <c r="K15" i="101"/>
  <c r="H15" i="101"/>
  <c r="K30" i="101"/>
  <c r="AB30" i="101" s="1"/>
  <c r="I15" i="101"/>
  <c r="M15" i="101"/>
  <c r="N30" i="101"/>
  <c r="D30" i="101"/>
  <c r="H30" i="101"/>
  <c r="E15" i="101"/>
  <c r="I30" i="14"/>
  <c r="E136" i="1"/>
  <c r="E138" i="1" s="1"/>
  <c r="CP17" i="112"/>
  <c r="CP17" i="63"/>
  <c r="I31" i="19"/>
  <c r="D29" i="100"/>
  <c r="L14" i="100"/>
  <c r="H29" i="100"/>
  <c r="N14" i="100"/>
  <c r="V29" i="100" s="1"/>
  <c r="I14" i="100"/>
  <c r="E14" i="100"/>
  <c r="H14" i="100"/>
  <c r="N29" i="100"/>
  <c r="K29" i="100"/>
  <c r="AB29" i="100" s="1"/>
  <c r="M14" i="100"/>
  <c r="K14" i="100"/>
  <c r="F14" i="100"/>
  <c r="G29" i="100"/>
  <c r="Y29" i="100" s="1"/>
  <c r="G14" i="100"/>
  <c r="G10" i="101"/>
  <c r="F10" i="101"/>
  <c r="H25" i="101"/>
  <c r="N10" i="101"/>
  <c r="V25" i="101" s="1"/>
  <c r="E10" i="101"/>
  <c r="K10" i="101"/>
  <c r="L10" i="101"/>
  <c r="N25" i="101"/>
  <c r="K25" i="101"/>
  <c r="AB25" i="101" s="1"/>
  <c r="G25" i="101"/>
  <c r="Y25" i="101" s="1"/>
  <c r="I10" i="101"/>
  <c r="D25" i="101"/>
  <c r="H10" i="101"/>
  <c r="M10" i="101"/>
  <c r="AH16" i="111"/>
  <c r="AD16" i="111"/>
  <c r="AT16" i="111"/>
  <c r="Z16" i="111"/>
  <c r="M9" i="100" s="1"/>
  <c r="AI16" i="111"/>
  <c r="AI28" i="111" s="1"/>
  <c r="AO16" i="111"/>
  <c r="Y16" i="102"/>
  <c r="X16" i="102" s="1"/>
  <c r="U16" i="102" s="1"/>
  <c r="J16" i="102"/>
  <c r="L16" i="101"/>
  <c r="K16" i="101"/>
  <c r="G31" i="101"/>
  <c r="Y31" i="101" s="1"/>
  <c r="H16" i="101"/>
  <c r="G16" i="101"/>
  <c r="D31" i="101"/>
  <c r="F16" i="101"/>
  <c r="K31" i="101"/>
  <c r="AB31" i="101" s="1"/>
  <c r="I16" i="101"/>
  <c r="N16" i="101"/>
  <c r="V31" i="101" s="1"/>
  <c r="H31" i="101"/>
  <c r="M16" i="101"/>
  <c r="N31" i="101"/>
  <c r="E16" i="101"/>
  <c r="G17" i="105"/>
  <c r="F17" i="105"/>
  <c r="E17" i="105"/>
  <c r="K17" i="105"/>
  <c r="N17" i="105"/>
  <c r="V32" i="105" s="1"/>
  <c r="L17" i="105"/>
  <c r="H32" i="105"/>
  <c r="H17" i="105"/>
  <c r="D32" i="105"/>
  <c r="G32" i="105"/>
  <c r="Y32" i="105" s="1"/>
  <c r="K32" i="105"/>
  <c r="AB32" i="105" s="1"/>
  <c r="I17" i="105"/>
  <c r="M17" i="105"/>
  <c r="N32" i="105"/>
  <c r="X113" i="60"/>
  <c r="U54" i="61"/>
  <c r="W108" i="60" s="1"/>
  <c r="X108" i="60" s="1"/>
  <c r="AC42" i="61"/>
  <c r="K11" i="101"/>
  <c r="I11" i="101"/>
  <c r="H26" i="101"/>
  <c r="E11" i="101"/>
  <c r="N26" i="101"/>
  <c r="N11" i="101"/>
  <c r="V26" i="101" s="1"/>
  <c r="H11" i="101"/>
  <c r="K26" i="101"/>
  <c r="AB26" i="101" s="1"/>
  <c r="F11" i="101"/>
  <c r="D26" i="101"/>
  <c r="G11" i="101"/>
  <c r="L11" i="101"/>
  <c r="G26" i="101"/>
  <c r="Y26" i="101" s="1"/>
  <c r="M11" i="101"/>
  <c r="AU5" i="63"/>
  <c r="AX5" i="63" s="1"/>
  <c r="AT6" i="63"/>
  <c r="F11" i="105"/>
  <c r="M11" i="105"/>
  <c r="K11" i="105"/>
  <c r="G26" i="105"/>
  <c r="Y26" i="105" s="1"/>
  <c r="N11" i="105"/>
  <c r="V26" i="105" s="1"/>
  <c r="D26" i="105"/>
  <c r="H26" i="105"/>
  <c r="I11" i="105"/>
  <c r="N26" i="105"/>
  <c r="E11" i="105"/>
  <c r="H11" i="105"/>
  <c r="K26" i="105"/>
  <c r="AB26" i="105" s="1"/>
  <c r="L11" i="105"/>
  <c r="G11" i="105"/>
  <c r="H29" i="101"/>
  <c r="M14" i="101"/>
  <c r="I14" i="101"/>
  <c r="K29" i="101"/>
  <c r="AB29" i="101" s="1"/>
  <c r="G14" i="101"/>
  <c r="L14" i="101"/>
  <c r="N29" i="101"/>
  <c r="N14" i="101"/>
  <c r="V29" i="101" s="1"/>
  <c r="K14" i="101"/>
  <c r="E14" i="101"/>
  <c r="G29" i="101"/>
  <c r="Y29" i="101" s="1"/>
  <c r="F14" i="101"/>
  <c r="D29" i="101"/>
  <c r="H14" i="101"/>
  <c r="K15" i="100"/>
  <c r="K30" i="100"/>
  <c r="AB30" i="100" s="1"/>
  <c r="H30" i="100"/>
  <c r="N15" i="100"/>
  <c r="V30" i="100" s="1"/>
  <c r="G15" i="100"/>
  <c r="D30" i="100"/>
  <c r="H15" i="100"/>
  <c r="E15" i="100"/>
  <c r="G30" i="100"/>
  <c r="Y30" i="100" s="1"/>
  <c r="N30" i="100"/>
  <c r="L15" i="100"/>
  <c r="F15" i="100"/>
  <c r="I15" i="100"/>
  <c r="M15" i="100"/>
  <c r="AJ4" i="63"/>
  <c r="I4" i="63"/>
  <c r="AU5" i="61"/>
  <c r="AX5" i="61" s="1"/>
  <c r="BG5" i="61" s="1"/>
  <c r="AT6" i="61"/>
  <c r="U54" i="63"/>
  <c r="W116" i="60" s="1"/>
  <c r="X116" i="60" s="1"/>
  <c r="AC42" i="63"/>
  <c r="AD48" i="61"/>
  <c r="Y48" i="61"/>
  <c r="N28" i="101"/>
  <c r="H28" i="101"/>
  <c r="K28" i="101"/>
  <c r="AB28" i="101" s="1"/>
  <c r="E13" i="101"/>
  <c r="K13" i="101"/>
  <c r="D28" i="101"/>
  <c r="F13" i="101"/>
  <c r="L13" i="101"/>
  <c r="I13" i="101"/>
  <c r="G13" i="101"/>
  <c r="N13" i="101"/>
  <c r="V28" i="101" s="1"/>
  <c r="H13" i="101"/>
  <c r="G28" i="101"/>
  <c r="Y28" i="101" s="1"/>
  <c r="M13" i="101"/>
  <c r="N27" i="101"/>
  <c r="G12" i="101"/>
  <c r="G27" i="101"/>
  <c r="Y27" i="101" s="1"/>
  <c r="F12" i="101"/>
  <c r="E12" i="101"/>
  <c r="N12" i="101"/>
  <c r="V27" i="101" s="1"/>
  <c r="K12" i="101"/>
  <c r="K27" i="101"/>
  <c r="AB27" i="101" s="1"/>
  <c r="L12" i="101"/>
  <c r="H12" i="101"/>
  <c r="M12" i="101"/>
  <c r="I12" i="101"/>
  <c r="H27" i="101"/>
  <c r="D27" i="101"/>
  <c r="E86" i="1"/>
  <c r="E90" i="1" s="1"/>
  <c r="E156" i="1"/>
  <c r="E157" i="1" s="1"/>
  <c r="I31" i="53" s="1"/>
  <c r="AU42" i="63"/>
  <c r="AX42" i="63" s="1"/>
  <c r="AT43" i="63"/>
  <c r="J14" i="102"/>
  <c r="Y14" i="102"/>
  <c r="X14" i="102" s="1"/>
  <c r="U14" i="102" s="1"/>
  <c r="D24" i="100"/>
  <c r="I9" i="100"/>
  <c r="F9" i="100"/>
  <c r="E13" i="100"/>
  <c r="G28" i="100"/>
  <c r="Y28" i="100" s="1"/>
  <c r="M13" i="100"/>
  <c r="L13" i="100"/>
  <c r="K13" i="100"/>
  <c r="H13" i="100"/>
  <c r="N28" i="100"/>
  <c r="I13" i="100"/>
  <c r="D28" i="100"/>
  <c r="G13" i="100"/>
  <c r="H28" i="100"/>
  <c r="K28" i="100"/>
  <c r="AB28" i="100" s="1"/>
  <c r="N13" i="100"/>
  <c r="V28" i="100" s="1"/>
  <c r="F13" i="100"/>
  <c r="Y17" i="102"/>
  <c r="X17" i="102" s="1"/>
  <c r="U17" i="102" s="1"/>
  <c r="J17" i="102"/>
  <c r="BO4" i="111"/>
  <c r="J4" i="111"/>
  <c r="O4" i="111" s="1"/>
  <c r="Q4" i="111" s="1"/>
  <c r="AC50" i="61"/>
  <c r="D11" i="40" l="1"/>
  <c r="T18" i="40"/>
  <c r="G40" i="40"/>
  <c r="F38" i="40"/>
  <c r="G24" i="1"/>
  <c r="G25" i="1" s="1"/>
  <c r="G29" i="1"/>
  <c r="G24" i="8"/>
  <c r="G25" i="8" s="1"/>
  <c r="G29" i="8"/>
  <c r="D11" i="48"/>
  <c r="G40" i="48"/>
  <c r="T18" i="48"/>
  <c r="F38" i="48"/>
  <c r="G17" i="4"/>
  <c r="G17" i="56" s="1"/>
  <c r="D8" i="48"/>
  <c r="F39" i="8"/>
  <c r="F159" i="8" s="1"/>
  <c r="F147" i="8" s="1"/>
  <c r="F151" i="8" s="1"/>
  <c r="F154" i="8" s="1"/>
  <c r="F40" i="47"/>
  <c r="F123" i="8"/>
  <c r="I40" i="54" s="1"/>
  <c r="G33" i="8"/>
  <c r="F13" i="102"/>
  <c r="Y13" i="102" s="1"/>
  <c r="X13" i="102" s="1"/>
  <c r="U13" i="102" s="1"/>
  <c r="M13" i="102"/>
  <c r="CA17" i="112"/>
  <c r="E49" i="63"/>
  <c r="K49" i="63" s="1"/>
  <c r="M49" i="63" s="1"/>
  <c r="N49" i="63" s="1"/>
  <c r="L13" i="102"/>
  <c r="E46" i="63"/>
  <c r="K46" i="63" s="1"/>
  <c r="M46" i="63" s="1"/>
  <c r="N46" i="63" s="1"/>
  <c r="E48" i="63"/>
  <c r="K48" i="63" s="1"/>
  <c r="M48" i="63" s="1"/>
  <c r="N48" i="63" s="1"/>
  <c r="CA16" i="61"/>
  <c r="E9" i="100"/>
  <c r="J9" i="100" s="1"/>
  <c r="H25" i="100"/>
  <c r="M10" i="100"/>
  <c r="M21" i="100" s="1"/>
  <c r="H10" i="100"/>
  <c r="G25" i="100" s="1"/>
  <c r="Y25" i="100" s="1"/>
  <c r="E10" i="100"/>
  <c r="J13" i="102"/>
  <c r="AC17" i="112"/>
  <c r="L13" i="99"/>
  <c r="E45" i="63"/>
  <c r="K45" i="63" s="1"/>
  <c r="M45" i="63" s="1"/>
  <c r="N45" i="63" s="1"/>
  <c r="J10" i="103"/>
  <c r="E47" i="63"/>
  <c r="K47" i="63" s="1"/>
  <c r="M47" i="63" s="1"/>
  <c r="N47" i="63" s="1"/>
  <c r="K52" i="111"/>
  <c r="M52" i="111" s="1"/>
  <c r="N52" i="111" s="1"/>
  <c r="E53" i="111"/>
  <c r="K53" i="111" s="1"/>
  <c r="M53" i="111" s="1"/>
  <c r="N53" i="111" s="1"/>
  <c r="G10" i="100"/>
  <c r="E50" i="63"/>
  <c r="K50" i="63" s="1"/>
  <c r="M50" i="63" s="1"/>
  <c r="N50" i="63" s="1"/>
  <c r="AD7" i="61"/>
  <c r="CA7" i="61"/>
  <c r="E18" i="73"/>
  <c r="K9" i="99"/>
  <c r="I10" i="100"/>
  <c r="E46" i="112"/>
  <c r="K46" i="112" s="1"/>
  <c r="M46" i="112" s="1"/>
  <c r="N46" i="112" s="1"/>
  <c r="E47" i="112"/>
  <c r="K47" i="112" s="1"/>
  <c r="M47" i="112" s="1"/>
  <c r="N47" i="112" s="1"/>
  <c r="E44" i="112"/>
  <c r="K44" i="112" s="1"/>
  <c r="M44" i="112" s="1"/>
  <c r="N44" i="112" s="1"/>
  <c r="E49" i="112"/>
  <c r="E45" i="112"/>
  <c r="K45" i="112" s="1"/>
  <c r="M45" i="112" s="1"/>
  <c r="N45" i="112" s="1"/>
  <c r="E43" i="112"/>
  <c r="E48" i="112"/>
  <c r="K48" i="112" s="1"/>
  <c r="M48" i="112" s="1"/>
  <c r="N48" i="112" s="1"/>
  <c r="D25" i="100"/>
  <c r="E52" i="61"/>
  <c r="K52" i="61" s="1"/>
  <c r="M52" i="61" s="1"/>
  <c r="N52" i="61" s="1"/>
  <c r="E43" i="63"/>
  <c r="E42" i="63" s="1"/>
  <c r="K42" i="63" s="1"/>
  <c r="M42" i="63" s="1"/>
  <c r="N42" i="63" s="1"/>
  <c r="H9" i="99"/>
  <c r="G24" i="99" s="1"/>
  <c r="Y24" i="99" s="1"/>
  <c r="AC7" i="61"/>
  <c r="E17" i="73"/>
  <c r="J13" i="99"/>
  <c r="CA7" i="112"/>
  <c r="CA6" i="61"/>
  <c r="E16" i="111"/>
  <c r="E17" i="111" s="1"/>
  <c r="K17" i="111" s="1"/>
  <c r="M17" i="111" s="1"/>
  <c r="H24" i="99"/>
  <c r="E9" i="99"/>
  <c r="G9" i="99"/>
  <c r="D24" i="99"/>
  <c r="I9" i="99"/>
  <c r="AD5" i="112"/>
  <c r="BG5" i="112"/>
  <c r="AC6" i="112"/>
  <c r="M32" i="102"/>
  <c r="AD32" i="102" s="1"/>
  <c r="F32" i="102"/>
  <c r="X32" i="102" s="1"/>
  <c r="M33" i="99"/>
  <c r="F33" i="99"/>
  <c r="X33" i="99" s="1"/>
  <c r="CA4" i="112"/>
  <c r="BG4" i="112"/>
  <c r="M35" i="102"/>
  <c r="AD35" i="102" s="1"/>
  <c r="F35" i="102"/>
  <c r="X35" i="102" s="1"/>
  <c r="M35" i="99"/>
  <c r="F35" i="99"/>
  <c r="X35" i="99" s="1"/>
  <c r="M34" i="99"/>
  <c r="F34" i="99"/>
  <c r="X34" i="99" s="1"/>
  <c r="M34" i="102"/>
  <c r="AD34" i="102" s="1"/>
  <c r="F34" i="102"/>
  <c r="X34" i="102" s="1"/>
  <c r="AD3" i="112"/>
  <c r="BG3" i="112"/>
  <c r="M28" i="103"/>
  <c r="AD28" i="103" s="1"/>
  <c r="F28" i="103"/>
  <c r="X28" i="103" s="1"/>
  <c r="F32" i="99"/>
  <c r="X32" i="99" s="1"/>
  <c r="M32" i="99"/>
  <c r="E10" i="99"/>
  <c r="L10" i="99" s="1"/>
  <c r="BG4" i="61"/>
  <c r="M30" i="99"/>
  <c r="F30" i="99"/>
  <c r="X30" i="99" s="1"/>
  <c r="F9" i="99"/>
  <c r="Y9" i="99" s="1"/>
  <c r="X9" i="99" s="1"/>
  <c r="U9" i="99" s="1"/>
  <c r="M29" i="102"/>
  <c r="AD29" i="102" s="1"/>
  <c r="F29" i="102"/>
  <c r="X29" i="102" s="1"/>
  <c r="M30" i="102"/>
  <c r="AD30" i="102" s="1"/>
  <c r="F30" i="102"/>
  <c r="X30" i="102" s="1"/>
  <c r="Y3" i="63"/>
  <c r="K9" i="102" s="1"/>
  <c r="BG3" i="63"/>
  <c r="M33" i="102"/>
  <c r="AD33" i="102" s="1"/>
  <c r="F33" i="102"/>
  <c r="X33" i="102" s="1"/>
  <c r="F29" i="103"/>
  <c r="X29" i="103" s="1"/>
  <c r="M29" i="103"/>
  <c r="AD29" i="103" s="1"/>
  <c r="L15" i="73"/>
  <c r="BG4" i="63"/>
  <c r="M29" i="99"/>
  <c r="F29" i="99"/>
  <c r="X29" i="99" s="1"/>
  <c r="M27" i="103"/>
  <c r="AD27" i="103" s="1"/>
  <c r="F27" i="103"/>
  <c r="X27" i="103" s="1"/>
  <c r="AD6" i="61"/>
  <c r="AC6" i="61"/>
  <c r="M31" i="102"/>
  <c r="AD31" i="102" s="1"/>
  <c r="F31" i="102"/>
  <c r="X31" i="102" s="1"/>
  <c r="M31" i="99"/>
  <c r="F31" i="99"/>
  <c r="X31" i="99" s="1"/>
  <c r="F30" i="103"/>
  <c r="X30" i="103" s="1"/>
  <c r="M30" i="103"/>
  <c r="AD30" i="103" s="1"/>
  <c r="AC5" i="63"/>
  <c r="BG5" i="63"/>
  <c r="AL5" i="63"/>
  <c r="AD6" i="112"/>
  <c r="I11" i="99"/>
  <c r="H11" i="99"/>
  <c r="G26" i="99" s="1"/>
  <c r="Y26" i="99" s="1"/>
  <c r="M11" i="99"/>
  <c r="M21" i="99" s="1"/>
  <c r="CA6" i="112"/>
  <c r="E11" i="99"/>
  <c r="D26" i="99"/>
  <c r="H26" i="99"/>
  <c r="G11" i="99"/>
  <c r="AD5" i="63"/>
  <c r="E11" i="102"/>
  <c r="J11" i="102" s="1"/>
  <c r="L16" i="73"/>
  <c r="CA5" i="63"/>
  <c r="J12" i="99"/>
  <c r="CA29" i="63"/>
  <c r="L42" i="73"/>
  <c r="CA5" i="112"/>
  <c r="AC5" i="112"/>
  <c r="L12" i="99"/>
  <c r="E16" i="63"/>
  <c r="E17" i="63" s="1"/>
  <c r="M12" i="102"/>
  <c r="E12" i="102"/>
  <c r="I12" i="102"/>
  <c r="F12" i="102"/>
  <c r="D27" i="102"/>
  <c r="H27" i="102"/>
  <c r="H12" i="102"/>
  <c r="G27" i="102" s="1"/>
  <c r="Y27" i="102" s="1"/>
  <c r="G12" i="102"/>
  <c r="AD4" i="61"/>
  <c r="AC4" i="61"/>
  <c r="CA4" i="61"/>
  <c r="E15" i="73"/>
  <c r="AL4" i="61"/>
  <c r="AD6" i="63"/>
  <c r="AC6" i="63"/>
  <c r="CA6" i="63"/>
  <c r="L17" i="73"/>
  <c r="E10" i="102"/>
  <c r="J10" i="102" s="1"/>
  <c r="AC4" i="112"/>
  <c r="O5" i="111"/>
  <c r="Q5" i="111" s="1"/>
  <c r="N5" i="111"/>
  <c r="N5" i="112"/>
  <c r="AD4" i="112"/>
  <c r="AL4" i="63"/>
  <c r="J17" i="103"/>
  <c r="CA4" i="63"/>
  <c r="AL4" i="112"/>
  <c r="AD4" i="63"/>
  <c r="AC4" i="63"/>
  <c r="M9" i="102"/>
  <c r="F9" i="102"/>
  <c r="Y9" i="102" s="1"/>
  <c r="X9" i="102" s="1"/>
  <c r="U9" i="102" s="1"/>
  <c r="I9" i="102"/>
  <c r="H24" i="102"/>
  <c r="H9" i="102"/>
  <c r="G24" i="102" s="1"/>
  <c r="D24" i="102"/>
  <c r="Y3" i="112"/>
  <c r="AD3" i="63"/>
  <c r="CA3" i="63"/>
  <c r="CB3" i="63" s="1"/>
  <c r="O3" i="112"/>
  <c r="Q3" i="112" s="1"/>
  <c r="O3" i="63"/>
  <c r="Q3" i="63" s="1"/>
  <c r="AC3" i="63"/>
  <c r="AC3" i="112"/>
  <c r="L14" i="73"/>
  <c r="AL3" i="63"/>
  <c r="Y10" i="102"/>
  <c r="X10" i="102" s="1"/>
  <c r="U10" i="102" s="1"/>
  <c r="E9" i="102"/>
  <c r="AL3" i="112"/>
  <c r="J16" i="103"/>
  <c r="CA3" i="112"/>
  <c r="CB3" i="112" s="1"/>
  <c r="AJ6" i="63"/>
  <c r="C31" i="62"/>
  <c r="F30" i="62"/>
  <c r="C31" i="110"/>
  <c r="F30" i="110"/>
  <c r="J18" i="103"/>
  <c r="CN7" i="112"/>
  <c r="Y10" i="103"/>
  <c r="X10" i="103" s="1"/>
  <c r="U10" i="103" s="1"/>
  <c r="L10" i="103" s="1"/>
  <c r="Y13" i="103"/>
  <c r="X13" i="103" s="1"/>
  <c r="U13" i="103" s="1"/>
  <c r="Y14" i="103"/>
  <c r="X14" i="103" s="1"/>
  <c r="U14" i="103" s="1"/>
  <c r="J11" i="103"/>
  <c r="E6" i="112"/>
  <c r="K6" i="112" s="1"/>
  <c r="I5" i="112"/>
  <c r="J5" i="112" s="1"/>
  <c r="O5" i="112" s="1"/>
  <c r="Q5" i="112" s="1"/>
  <c r="J20" i="103"/>
  <c r="J19" i="103"/>
  <c r="AC47" i="112"/>
  <c r="AD45" i="112"/>
  <c r="Y47" i="112"/>
  <c r="Y48" i="112"/>
  <c r="AD48" i="112"/>
  <c r="AC45" i="112"/>
  <c r="Y44" i="112"/>
  <c r="AC44" i="112"/>
  <c r="AF16" i="112"/>
  <c r="I31" i="13"/>
  <c r="CN7" i="61" s="1"/>
  <c r="CN17" i="61"/>
  <c r="CP7" i="61"/>
  <c r="AC42" i="112"/>
  <c r="AC50" i="112"/>
  <c r="L16" i="112"/>
  <c r="F9" i="103" s="1"/>
  <c r="Y9" i="103" s="1"/>
  <c r="X9" i="103" s="1"/>
  <c r="U9" i="103" s="1"/>
  <c r="L9" i="103" s="1"/>
  <c r="H9" i="100"/>
  <c r="G24" i="100" s="1"/>
  <c r="Y24" i="100" s="1"/>
  <c r="Y50" i="112"/>
  <c r="Y53" i="112"/>
  <c r="AJ5" i="112"/>
  <c r="AL5" i="112" s="1"/>
  <c r="AD53" i="112"/>
  <c r="AD46" i="112"/>
  <c r="AC46" i="112"/>
  <c r="AC49" i="112"/>
  <c r="I4" i="112"/>
  <c r="J4" i="112" s="1"/>
  <c r="O4" i="112" s="1"/>
  <c r="Q4" i="112" s="1"/>
  <c r="AT43" i="112"/>
  <c r="AU43" i="112" s="1"/>
  <c r="AX43" i="112" s="1"/>
  <c r="U54" i="112"/>
  <c r="Y43" i="112"/>
  <c r="K6" i="63"/>
  <c r="I6" i="63" s="1"/>
  <c r="J6" i="63" s="1"/>
  <c r="AD43" i="112"/>
  <c r="Y49" i="112"/>
  <c r="AT6" i="112"/>
  <c r="AU6" i="112" s="1"/>
  <c r="AX6" i="112" s="1"/>
  <c r="BG6" i="112" s="1"/>
  <c r="Y51" i="112"/>
  <c r="AC51" i="112"/>
  <c r="AD52" i="112"/>
  <c r="Y52" i="112"/>
  <c r="CM7" i="61"/>
  <c r="G9" i="100"/>
  <c r="R3" i="61"/>
  <c r="E140" i="8"/>
  <c r="E95" i="8" s="1"/>
  <c r="E96" i="8" s="1"/>
  <c r="E126" i="8" s="1"/>
  <c r="E127" i="8" s="1"/>
  <c r="E129" i="8" s="1"/>
  <c r="K7" i="63"/>
  <c r="E8" i="63"/>
  <c r="AJ8" i="63" s="1"/>
  <c r="Y11" i="101"/>
  <c r="X11" i="101" s="1"/>
  <c r="U11" i="101" s="1"/>
  <c r="J11" i="101"/>
  <c r="J5" i="61"/>
  <c r="BO5" i="61"/>
  <c r="AU6" i="63"/>
  <c r="AX6" i="63" s="1"/>
  <c r="BG6" i="63" s="1"/>
  <c r="AT7" i="63"/>
  <c r="E35" i="102"/>
  <c r="W35" i="102" s="1"/>
  <c r="J35" i="102"/>
  <c r="AA35" i="102" s="1"/>
  <c r="I35" i="102"/>
  <c r="Z35" i="102" s="1"/>
  <c r="Y20" i="105"/>
  <c r="X20" i="105" s="1"/>
  <c r="U20" i="105" s="1"/>
  <c r="J20" i="105"/>
  <c r="J19" i="105"/>
  <c r="Y19" i="105"/>
  <c r="X19" i="105" s="1"/>
  <c r="U19" i="105" s="1"/>
  <c r="Y18" i="105"/>
  <c r="X18" i="105" s="1"/>
  <c r="U18" i="105" s="1"/>
  <c r="J18" i="105"/>
  <c r="E35" i="99"/>
  <c r="W35" i="99" s="1"/>
  <c r="I35" i="99"/>
  <c r="Z35" i="99" s="1"/>
  <c r="J35" i="99"/>
  <c r="AA35" i="99" s="1"/>
  <c r="J13" i="100"/>
  <c r="Y13" i="100"/>
  <c r="X13" i="100" s="1"/>
  <c r="U13" i="100" s="1"/>
  <c r="I29" i="102"/>
  <c r="Z29" i="102" s="1"/>
  <c r="E29" i="102"/>
  <c r="W29" i="102" s="1"/>
  <c r="J29" i="102"/>
  <c r="AA29" i="102" s="1"/>
  <c r="J17" i="105"/>
  <c r="Y17" i="105"/>
  <c r="X17" i="105" s="1"/>
  <c r="U17" i="105" s="1"/>
  <c r="CP7" i="112"/>
  <c r="CP7" i="63"/>
  <c r="K6" i="61"/>
  <c r="E7" i="61"/>
  <c r="AJ7" i="61" s="1"/>
  <c r="J18" i="100"/>
  <c r="Y18" i="100"/>
  <c r="X18" i="100" s="1"/>
  <c r="U18" i="100" s="1"/>
  <c r="M6" i="111"/>
  <c r="AL6" i="111"/>
  <c r="I6" i="111"/>
  <c r="Y12" i="100"/>
  <c r="X12" i="100" s="1"/>
  <c r="U12" i="100" s="1"/>
  <c r="J12" i="100"/>
  <c r="J16" i="105"/>
  <c r="Y16" i="105"/>
  <c r="X16" i="105" s="1"/>
  <c r="U16" i="105" s="1"/>
  <c r="J13" i="101"/>
  <c r="Y13" i="101"/>
  <c r="X13" i="101" s="1"/>
  <c r="U13" i="101" s="1"/>
  <c r="AU43" i="61"/>
  <c r="AX43" i="61" s="1"/>
  <c r="AT44" i="61"/>
  <c r="H40" i="114"/>
  <c r="A44" i="114"/>
  <c r="F39" i="114"/>
  <c r="H39" i="114"/>
  <c r="I37" i="114"/>
  <c r="L42" i="114"/>
  <c r="F113" i="79"/>
  <c r="F117" i="79" s="1"/>
  <c r="F86" i="79" s="1"/>
  <c r="F121" i="79"/>
  <c r="F122" i="79" s="1"/>
  <c r="F69" i="79"/>
  <c r="F82" i="79"/>
  <c r="F105" i="79"/>
  <c r="F108" i="79" s="1"/>
  <c r="F84" i="79" s="1"/>
  <c r="F97" i="79" s="1"/>
  <c r="F144" i="79" s="1"/>
  <c r="F147" i="79" s="1"/>
  <c r="F98" i="79" s="1"/>
  <c r="F85" i="79" s="1"/>
  <c r="B37" i="114"/>
  <c r="L29" i="111"/>
  <c r="S29" i="111"/>
  <c r="AF29" i="111"/>
  <c r="CC3" i="61"/>
  <c r="K24" i="99" s="1"/>
  <c r="J31" i="102"/>
  <c r="AA31" i="102" s="1"/>
  <c r="E31" i="102"/>
  <c r="W31" i="102" s="1"/>
  <c r="I31" i="102"/>
  <c r="Z31" i="102" s="1"/>
  <c r="AU16" i="111"/>
  <c r="AX16" i="111" s="1"/>
  <c r="BG16" i="111" s="1"/>
  <c r="AT17" i="111"/>
  <c r="E140" i="1"/>
  <c r="E95" i="1" s="1"/>
  <c r="E96" i="1" s="1"/>
  <c r="E91" i="1"/>
  <c r="M5" i="61"/>
  <c r="AL5" i="61"/>
  <c r="Y11" i="100"/>
  <c r="X11" i="100" s="1"/>
  <c r="U11" i="100" s="1"/>
  <c r="J11" i="100"/>
  <c r="BO5" i="63"/>
  <c r="J5" i="63"/>
  <c r="O5" i="63" s="1"/>
  <c r="Q5" i="63" s="1"/>
  <c r="I30" i="99"/>
  <c r="Z30" i="99" s="1"/>
  <c r="E30" i="99"/>
  <c r="W30" i="99" s="1"/>
  <c r="J30" i="99"/>
  <c r="AA30" i="99" s="1"/>
  <c r="J19" i="101"/>
  <c r="Y19" i="101"/>
  <c r="X19" i="101" s="1"/>
  <c r="U19" i="101" s="1"/>
  <c r="Y15" i="105"/>
  <c r="X15" i="105" s="1"/>
  <c r="U15" i="105" s="1"/>
  <c r="J15" i="105"/>
  <c r="Y19" i="100"/>
  <c r="X19" i="100" s="1"/>
  <c r="U19" i="100" s="1"/>
  <c r="J19" i="100"/>
  <c r="J17" i="100"/>
  <c r="Y17" i="100"/>
  <c r="X17" i="100" s="1"/>
  <c r="U17" i="100" s="1"/>
  <c r="BT5" i="111"/>
  <c r="BX5" i="111" s="1"/>
  <c r="Y5" i="111" s="1"/>
  <c r="BY5" i="111"/>
  <c r="Y20" i="100"/>
  <c r="X20" i="100" s="1"/>
  <c r="U20" i="100" s="1"/>
  <c r="J20" i="100"/>
  <c r="D24" i="35"/>
  <c r="E26" i="35"/>
  <c r="F27" i="35"/>
  <c r="Y10" i="105"/>
  <c r="X10" i="105" s="1"/>
  <c r="U10" i="105" s="1"/>
  <c r="L10" i="105" s="1"/>
  <c r="J10" i="105"/>
  <c r="BO4" i="63"/>
  <c r="J4" i="63"/>
  <c r="O4" i="63" s="1"/>
  <c r="Q4" i="63" s="1"/>
  <c r="AP22" i="111"/>
  <c r="AP28" i="111"/>
  <c r="AP16" i="111"/>
  <c r="AP25" i="111"/>
  <c r="AP20" i="111"/>
  <c r="AP17" i="111"/>
  <c r="AP19" i="111"/>
  <c r="AP27" i="111"/>
  <c r="AP18" i="111"/>
  <c r="AP21" i="111"/>
  <c r="AP24" i="111"/>
  <c r="AP26" i="111"/>
  <c r="AP23" i="111"/>
  <c r="E33" i="99"/>
  <c r="W33" i="99" s="1"/>
  <c r="I33" i="99"/>
  <c r="Z33" i="99" s="1"/>
  <c r="J33" i="99"/>
  <c r="AA33" i="99" s="1"/>
  <c r="E28" i="103"/>
  <c r="W28" i="103" s="1"/>
  <c r="I28" i="103"/>
  <c r="Z28" i="103" s="1"/>
  <c r="J28" i="103"/>
  <c r="AA28" i="103" s="1"/>
  <c r="I32" i="99"/>
  <c r="Z32" i="99" s="1"/>
  <c r="E32" i="99"/>
  <c r="W32" i="99" s="1"/>
  <c r="J32" i="99"/>
  <c r="AA32" i="99" s="1"/>
  <c r="E32" i="102"/>
  <c r="W32" i="102" s="1"/>
  <c r="J32" i="102"/>
  <c r="AA32" i="102" s="1"/>
  <c r="I32" i="102"/>
  <c r="Z32" i="102" s="1"/>
  <c r="AU43" i="63"/>
  <c r="AX43" i="63" s="1"/>
  <c r="AT44" i="63"/>
  <c r="J12" i="101"/>
  <c r="Y12" i="101"/>
  <c r="X12" i="101" s="1"/>
  <c r="U12" i="101" s="1"/>
  <c r="Y15" i="100"/>
  <c r="X15" i="100" s="1"/>
  <c r="U15" i="100" s="1"/>
  <c r="J15" i="100"/>
  <c r="Y15" i="101"/>
  <c r="X15" i="101" s="1"/>
  <c r="U15" i="101" s="1"/>
  <c r="J15" i="101"/>
  <c r="J4" i="61"/>
  <c r="O4" i="61" s="1"/>
  <c r="Q4" i="61" s="1"/>
  <c r="BO4" i="61"/>
  <c r="AW16" i="61"/>
  <c r="BV16" i="61" s="1"/>
  <c r="BW16" i="61" s="1"/>
  <c r="BW17" i="61" s="1"/>
  <c r="BW18" i="61" s="1"/>
  <c r="BW19" i="61" s="1"/>
  <c r="BW20" i="61" s="1"/>
  <c r="BW21" i="61" s="1"/>
  <c r="BW22" i="61" s="1"/>
  <c r="BW23" i="61" s="1"/>
  <c r="BW24" i="61" s="1"/>
  <c r="BW25" i="61" s="1"/>
  <c r="BW26" i="61" s="1"/>
  <c r="BW27" i="61" s="1"/>
  <c r="BW28" i="61" s="1"/>
  <c r="BX28" i="61" s="1"/>
  <c r="K37" i="77"/>
  <c r="I33" i="102"/>
  <c r="Z33" i="102" s="1"/>
  <c r="J33" i="102"/>
  <c r="AA33" i="102" s="1"/>
  <c r="E33" i="102"/>
  <c r="W33" i="102" s="1"/>
  <c r="H18" i="79"/>
  <c r="H19" i="79" s="1"/>
  <c r="G30" i="79"/>
  <c r="G31" i="79"/>
  <c r="E29" i="99"/>
  <c r="W29" i="99" s="1"/>
  <c r="I29" i="99"/>
  <c r="Z29" i="99" s="1"/>
  <c r="J29" i="99"/>
  <c r="AA29" i="99" s="1"/>
  <c r="H18" i="80"/>
  <c r="H19" i="80" s="1"/>
  <c r="G31" i="80"/>
  <c r="G30" i="80"/>
  <c r="E27" i="103"/>
  <c r="W27" i="103" s="1"/>
  <c r="J27" i="103"/>
  <c r="AA27" i="103" s="1"/>
  <c r="I27" i="103"/>
  <c r="Z27" i="103" s="1"/>
  <c r="J20" i="101"/>
  <c r="Y20" i="101"/>
  <c r="X20" i="101" s="1"/>
  <c r="U20" i="101" s="1"/>
  <c r="Y12" i="105"/>
  <c r="X12" i="105" s="1"/>
  <c r="U12" i="105" s="1"/>
  <c r="J12" i="105"/>
  <c r="CM7" i="112"/>
  <c r="CM7" i="63"/>
  <c r="M28" i="73"/>
  <c r="G9" i="103"/>
  <c r="E30" i="102"/>
  <c r="W30" i="102" s="1"/>
  <c r="I30" i="102"/>
  <c r="Z30" i="102" s="1"/>
  <c r="J30" i="102"/>
  <c r="AA30" i="102" s="1"/>
  <c r="Y13" i="105"/>
  <c r="X13" i="105" s="1"/>
  <c r="U13" i="105" s="1"/>
  <c r="J13" i="105"/>
  <c r="K7" i="111"/>
  <c r="E8" i="111"/>
  <c r="AJ8" i="111" s="1"/>
  <c r="J34" i="99"/>
  <c r="AA34" i="99" s="1"/>
  <c r="E34" i="99"/>
  <c r="W34" i="99" s="1"/>
  <c r="I34" i="99"/>
  <c r="Z34" i="99" s="1"/>
  <c r="BT4" i="111"/>
  <c r="BX4" i="111" s="1"/>
  <c r="Y4" i="111" s="1"/>
  <c r="R4" i="111" s="1"/>
  <c r="BY4" i="111"/>
  <c r="Y9" i="100"/>
  <c r="X9" i="100" s="1"/>
  <c r="U9" i="100" s="1"/>
  <c r="AU6" i="61"/>
  <c r="AX6" i="61" s="1"/>
  <c r="BG6" i="61" s="1"/>
  <c r="AT7" i="61"/>
  <c r="Y14" i="101"/>
  <c r="X14" i="101" s="1"/>
  <c r="U14" i="101" s="1"/>
  <c r="J14" i="101"/>
  <c r="Y16" i="101"/>
  <c r="X16" i="101" s="1"/>
  <c r="U16" i="101" s="1"/>
  <c r="J16" i="101"/>
  <c r="J10" i="101"/>
  <c r="Y10" i="101"/>
  <c r="X10" i="101" s="1"/>
  <c r="U10" i="101" s="1"/>
  <c r="AU44" i="111"/>
  <c r="AX44" i="111" s="1"/>
  <c r="AT45" i="111"/>
  <c r="U16" i="61"/>
  <c r="AO16" i="61"/>
  <c r="AI16" i="61"/>
  <c r="AI28" i="61" s="1"/>
  <c r="D28" i="73"/>
  <c r="AT16" i="61"/>
  <c r="AH16" i="61"/>
  <c r="H24" i="100" s="1"/>
  <c r="AD16" i="61"/>
  <c r="Z16" i="61"/>
  <c r="F113" i="80"/>
  <c r="F117" i="80" s="1"/>
  <c r="F86" i="80" s="1"/>
  <c r="F82" i="80"/>
  <c r="F121" i="80"/>
  <c r="F122" i="80" s="1"/>
  <c r="F105" i="80"/>
  <c r="F108" i="80" s="1"/>
  <c r="F84" i="80" s="1"/>
  <c r="F97" i="80" s="1"/>
  <c r="F144" i="80" s="1"/>
  <c r="F147" i="80" s="1"/>
  <c r="F98" i="80" s="1"/>
  <c r="F85" i="80" s="1"/>
  <c r="F133" i="80" s="1"/>
  <c r="F134" i="80" s="1"/>
  <c r="F87" i="80" s="1"/>
  <c r="F138" i="80" s="1"/>
  <c r="F140" i="80" s="1"/>
  <c r="F93" i="80" s="1"/>
  <c r="F69" i="80"/>
  <c r="H9" i="103"/>
  <c r="G24" i="103" s="1"/>
  <c r="AW16" i="63"/>
  <c r="BV16" i="63" s="1"/>
  <c r="BW16" i="63" s="1"/>
  <c r="BW17" i="63" s="1"/>
  <c r="BW18" i="63" s="1"/>
  <c r="BW19" i="63" s="1"/>
  <c r="BW20" i="63" s="1"/>
  <c r="BW21" i="63" s="1"/>
  <c r="BW22" i="63" s="1"/>
  <c r="BW23" i="63" s="1"/>
  <c r="BW24" i="63" s="1"/>
  <c r="BW25" i="63" s="1"/>
  <c r="BW26" i="63" s="1"/>
  <c r="BW27" i="63" s="1"/>
  <c r="BW28" i="63" s="1"/>
  <c r="BX28" i="63" s="1"/>
  <c r="Y10" i="100"/>
  <c r="X10" i="100" s="1"/>
  <c r="U10" i="100" s="1"/>
  <c r="J16" i="100"/>
  <c r="Y16" i="100"/>
  <c r="X16" i="100" s="1"/>
  <c r="U16" i="100" s="1"/>
  <c r="AI16" i="63"/>
  <c r="AI28" i="63" s="1"/>
  <c r="AO16" i="63"/>
  <c r="AT16" i="63"/>
  <c r="AH16" i="63"/>
  <c r="H24" i="103" s="1"/>
  <c r="K28" i="73"/>
  <c r="U16" i="63"/>
  <c r="Z16" i="63"/>
  <c r="AD16" i="63"/>
  <c r="J14" i="105"/>
  <c r="Y14" i="105"/>
  <c r="X14" i="105" s="1"/>
  <c r="U14" i="105" s="1"/>
  <c r="CO7" i="63"/>
  <c r="CO7" i="112"/>
  <c r="C26" i="35"/>
  <c r="A27" i="35"/>
  <c r="AU7" i="111"/>
  <c r="AX7" i="111" s="1"/>
  <c r="BG7" i="111" s="1"/>
  <c r="AT8" i="111"/>
  <c r="U28" i="111"/>
  <c r="AC16" i="111"/>
  <c r="J11" i="105"/>
  <c r="Y11" i="105"/>
  <c r="X11" i="105" s="1"/>
  <c r="U11" i="105" s="1"/>
  <c r="J14" i="100"/>
  <c r="Y14" i="100"/>
  <c r="X14" i="100" s="1"/>
  <c r="U14" i="100" s="1"/>
  <c r="CO17" i="61"/>
  <c r="CO17" i="111"/>
  <c r="I31" i="14"/>
  <c r="I30" i="103"/>
  <c r="Z30" i="103" s="1"/>
  <c r="E30" i="103"/>
  <c r="W30" i="103" s="1"/>
  <c r="J30" i="103"/>
  <c r="AA30" i="103" s="1"/>
  <c r="Y18" i="101"/>
  <c r="X18" i="101" s="1"/>
  <c r="U18" i="101" s="1"/>
  <c r="J18" i="101"/>
  <c r="F158" i="1"/>
  <c r="F43" i="1" s="1"/>
  <c r="B154" i="1"/>
  <c r="L39" i="33" s="1"/>
  <c r="J31" i="99"/>
  <c r="AA31" i="99" s="1"/>
  <c r="E31" i="99"/>
  <c r="W31" i="99" s="1"/>
  <c r="I31" i="99"/>
  <c r="Z31" i="99" s="1"/>
  <c r="I29" i="103"/>
  <c r="Z29" i="103" s="1"/>
  <c r="E29" i="103"/>
  <c r="W29" i="103" s="1"/>
  <c r="J29" i="103"/>
  <c r="AA29" i="103" s="1"/>
  <c r="I34" i="102"/>
  <c r="Z34" i="102" s="1"/>
  <c r="J34" i="102"/>
  <c r="AA34" i="102" s="1"/>
  <c r="E34" i="102"/>
  <c r="W34" i="102" s="1"/>
  <c r="Y17" i="101"/>
  <c r="X17" i="101" s="1"/>
  <c r="U17" i="101" s="1"/>
  <c r="J17" i="101"/>
  <c r="I32" i="54"/>
  <c r="D42" i="47" l="1"/>
  <c r="D44" i="47"/>
  <c r="D45" i="47"/>
  <c r="G27" i="8"/>
  <c r="G34" i="8"/>
  <c r="G34" i="1"/>
  <c r="G27" i="1"/>
  <c r="T20" i="48"/>
  <c r="T19" i="48"/>
  <c r="T19" i="40"/>
  <c r="T20" i="40"/>
  <c r="L9" i="100"/>
  <c r="J10" i="100"/>
  <c r="E18" i="111"/>
  <c r="E19" i="111" s="1"/>
  <c r="AJ19" i="111" s="1"/>
  <c r="L10" i="100"/>
  <c r="E29" i="111"/>
  <c r="K29" i="111" s="1"/>
  <c r="L9" i="99"/>
  <c r="K43" i="63"/>
  <c r="M43" i="63" s="1"/>
  <c r="N43" i="63" s="1"/>
  <c r="E51" i="63"/>
  <c r="K51" i="63" s="1"/>
  <c r="M51" i="63" s="1"/>
  <c r="N51" i="63" s="1"/>
  <c r="L21" i="103"/>
  <c r="N17" i="111"/>
  <c r="E53" i="61"/>
  <c r="K53" i="61" s="1"/>
  <c r="M53" i="61" s="1"/>
  <c r="N53" i="61" s="1"/>
  <c r="K49" i="112"/>
  <c r="M49" i="112" s="1"/>
  <c r="N49" i="112" s="1"/>
  <c r="E50" i="112"/>
  <c r="K43" i="112"/>
  <c r="M43" i="112" s="1"/>
  <c r="N43" i="112" s="1"/>
  <c r="E42" i="112"/>
  <c r="K42" i="112" s="1"/>
  <c r="M42" i="112" s="1"/>
  <c r="N42" i="112" s="1"/>
  <c r="E16" i="61"/>
  <c r="K16" i="61" s="1"/>
  <c r="M16" i="61" s="1"/>
  <c r="N16" i="61" s="1"/>
  <c r="J10" i="99"/>
  <c r="E25" i="99" s="1"/>
  <c r="W25" i="99" s="1"/>
  <c r="J11" i="99"/>
  <c r="E26" i="99" s="1"/>
  <c r="W26" i="99" s="1"/>
  <c r="J9" i="99"/>
  <c r="E24" i="99" s="1"/>
  <c r="K16" i="111"/>
  <c r="M16" i="111" s="1"/>
  <c r="N16" i="111" s="1"/>
  <c r="L11" i="99"/>
  <c r="M34" i="101"/>
  <c r="AD34" i="101" s="1"/>
  <c r="F34" i="101"/>
  <c r="X34" i="101" s="1"/>
  <c r="M32" i="101"/>
  <c r="AD32" i="101" s="1"/>
  <c r="F32" i="101"/>
  <c r="X32" i="101" s="1"/>
  <c r="F28" i="105"/>
  <c r="X28" i="105" s="1"/>
  <c r="M28" i="105"/>
  <c r="AD28" i="105" s="1"/>
  <c r="M29" i="101"/>
  <c r="AD29" i="101" s="1"/>
  <c r="F29" i="101"/>
  <c r="X29" i="101" s="1"/>
  <c r="F28" i="101"/>
  <c r="X28" i="101" s="1"/>
  <c r="M28" i="101"/>
  <c r="AD28" i="101" s="1"/>
  <c r="M26" i="101"/>
  <c r="AD26" i="101" s="1"/>
  <c r="F26" i="101"/>
  <c r="X26" i="101" s="1"/>
  <c r="M29" i="100"/>
  <c r="AD29" i="100" s="1"/>
  <c r="F29" i="100"/>
  <c r="X29" i="100" s="1"/>
  <c r="M33" i="101"/>
  <c r="AD33" i="101" s="1"/>
  <c r="F33" i="101"/>
  <c r="X33" i="101" s="1"/>
  <c r="M31" i="100"/>
  <c r="AD31" i="100" s="1"/>
  <c r="F31" i="100"/>
  <c r="X31" i="100" s="1"/>
  <c r="M30" i="105"/>
  <c r="AD30" i="105" s="1"/>
  <c r="F30" i="105"/>
  <c r="X30" i="105" s="1"/>
  <c r="M34" i="103"/>
  <c r="AD34" i="103" s="1"/>
  <c r="F34" i="103"/>
  <c r="X34" i="103" s="1"/>
  <c r="E31" i="103"/>
  <c r="W31" i="103" s="1"/>
  <c r="F31" i="103"/>
  <c r="X31" i="103" s="1"/>
  <c r="M31" i="103"/>
  <c r="AD31" i="103" s="1"/>
  <c r="M31" i="105"/>
  <c r="AD31" i="105" s="1"/>
  <c r="F31" i="105"/>
  <c r="X31" i="105" s="1"/>
  <c r="J35" i="103"/>
  <c r="AA35" i="103" s="1"/>
  <c r="M35" i="103"/>
  <c r="AD35" i="103" s="1"/>
  <c r="F35" i="103"/>
  <c r="X35" i="103" s="1"/>
  <c r="F33" i="105"/>
  <c r="X33" i="105" s="1"/>
  <c r="M33" i="105"/>
  <c r="AD33" i="105" s="1"/>
  <c r="J26" i="103"/>
  <c r="AA26" i="103" s="1"/>
  <c r="M26" i="103"/>
  <c r="AD26" i="103" s="1"/>
  <c r="F26" i="103"/>
  <c r="X26" i="103" s="1"/>
  <c r="F30" i="101"/>
  <c r="X30" i="101" s="1"/>
  <c r="M30" i="101"/>
  <c r="AD30" i="101" s="1"/>
  <c r="F29" i="105"/>
  <c r="X29" i="105" s="1"/>
  <c r="M29" i="105"/>
  <c r="AD29" i="105" s="1"/>
  <c r="F27" i="100"/>
  <c r="X27" i="100" s="1"/>
  <c r="M27" i="100"/>
  <c r="AD27" i="100" s="1"/>
  <c r="M34" i="105"/>
  <c r="AD34" i="105" s="1"/>
  <c r="F34" i="105"/>
  <c r="X34" i="105" s="1"/>
  <c r="J32" i="103"/>
  <c r="AA32" i="103" s="1"/>
  <c r="F32" i="103"/>
  <c r="X32" i="103" s="1"/>
  <c r="M32" i="103"/>
  <c r="AD32" i="103" s="1"/>
  <c r="F25" i="105"/>
  <c r="M25" i="105"/>
  <c r="F32" i="105"/>
  <c r="X32" i="105" s="1"/>
  <c r="M32" i="105"/>
  <c r="AD32" i="105" s="1"/>
  <c r="M35" i="100"/>
  <c r="AD35" i="100" s="1"/>
  <c r="F35" i="100"/>
  <c r="X35" i="100" s="1"/>
  <c r="M35" i="105"/>
  <c r="AD35" i="105" s="1"/>
  <c r="F35" i="105"/>
  <c r="X35" i="105" s="1"/>
  <c r="F27" i="105"/>
  <c r="X27" i="105" s="1"/>
  <c r="M27" i="105"/>
  <c r="AD27" i="105" s="1"/>
  <c r="M30" i="100"/>
  <c r="AD30" i="100" s="1"/>
  <c r="F30" i="100"/>
  <c r="X30" i="100" s="1"/>
  <c r="F33" i="103"/>
  <c r="X33" i="103" s="1"/>
  <c r="M33" i="103"/>
  <c r="AD33" i="103" s="1"/>
  <c r="M25" i="101"/>
  <c r="AD25" i="101" s="1"/>
  <c r="F25" i="101"/>
  <c r="X25" i="101" s="1"/>
  <c r="F26" i="100"/>
  <c r="X26" i="100" s="1"/>
  <c r="M26" i="100"/>
  <c r="AD26" i="100" s="1"/>
  <c r="M31" i="101"/>
  <c r="AD31" i="101" s="1"/>
  <c r="F31" i="101"/>
  <c r="X31" i="101" s="1"/>
  <c r="F26" i="105"/>
  <c r="X26" i="105" s="1"/>
  <c r="M26" i="105"/>
  <c r="AD26" i="105" s="1"/>
  <c r="F35" i="101"/>
  <c r="X35" i="101" s="1"/>
  <c r="M35" i="101"/>
  <c r="AD35" i="101" s="1"/>
  <c r="M32" i="100"/>
  <c r="AD32" i="100" s="1"/>
  <c r="F32" i="100"/>
  <c r="X32" i="100" s="1"/>
  <c r="M33" i="100"/>
  <c r="AD33" i="100" s="1"/>
  <c r="F33" i="100"/>
  <c r="X33" i="100" s="1"/>
  <c r="M28" i="100"/>
  <c r="AD28" i="100" s="1"/>
  <c r="F28" i="100"/>
  <c r="X28" i="100" s="1"/>
  <c r="M27" i="101"/>
  <c r="AD27" i="101" s="1"/>
  <c r="F27" i="101"/>
  <c r="X27" i="101" s="1"/>
  <c r="F34" i="100"/>
  <c r="X34" i="100" s="1"/>
  <c r="M34" i="100"/>
  <c r="AD34" i="100" s="1"/>
  <c r="AW16" i="112"/>
  <c r="BV16" i="112" s="1"/>
  <c r="BW16" i="112" s="1"/>
  <c r="BW17" i="112" s="1"/>
  <c r="BW18" i="112" s="1"/>
  <c r="BW19" i="112" s="1"/>
  <c r="BW20" i="112" s="1"/>
  <c r="BW21" i="112" s="1"/>
  <c r="BW22" i="112" s="1"/>
  <c r="BW23" i="112" s="1"/>
  <c r="BW24" i="112" s="1"/>
  <c r="BW25" i="112" s="1"/>
  <c r="BW26" i="112" s="1"/>
  <c r="BW27" i="112" s="1"/>
  <c r="BW28" i="112" s="1"/>
  <c r="BX28" i="112" s="1"/>
  <c r="CC3" i="63"/>
  <c r="K24" i="102" s="1"/>
  <c r="AB24" i="102" s="1"/>
  <c r="CC3" i="112"/>
  <c r="K16" i="63"/>
  <c r="M16" i="63" s="1"/>
  <c r="N16" i="63" s="1"/>
  <c r="G36" i="99"/>
  <c r="L11" i="102"/>
  <c r="I26" i="102" s="1"/>
  <c r="Z26" i="102" s="1"/>
  <c r="M21" i="102"/>
  <c r="G36" i="102"/>
  <c r="J12" i="102"/>
  <c r="Y12" i="102"/>
  <c r="X12" i="102" s="1"/>
  <c r="U12" i="102" s="1"/>
  <c r="L12" i="102" s="1"/>
  <c r="N6" i="111"/>
  <c r="L10" i="102"/>
  <c r="I25" i="102" s="1"/>
  <c r="Z25" i="102" s="1"/>
  <c r="E26" i="102"/>
  <c r="W26" i="102" s="1"/>
  <c r="R5" i="111"/>
  <c r="I32" i="103"/>
  <c r="Z32" i="103" s="1"/>
  <c r="O5" i="61"/>
  <c r="Q5" i="61" s="1"/>
  <c r="N5" i="61"/>
  <c r="E32" i="103"/>
  <c r="W32" i="103" s="1"/>
  <c r="Y24" i="102"/>
  <c r="R3" i="63"/>
  <c r="AR3" i="63" s="1"/>
  <c r="R3" i="112"/>
  <c r="J9" i="102"/>
  <c r="L9" i="102"/>
  <c r="J31" i="103"/>
  <c r="AA31" i="103" s="1"/>
  <c r="I31" i="103"/>
  <c r="Z31" i="103" s="1"/>
  <c r="J33" i="103"/>
  <c r="AA33" i="103" s="1"/>
  <c r="E25" i="102"/>
  <c r="W25" i="102" s="1"/>
  <c r="AJ6" i="112"/>
  <c r="AL6" i="112" s="1"/>
  <c r="C32" i="110"/>
  <c r="F31" i="110"/>
  <c r="C32" i="62"/>
  <c r="F31" i="62"/>
  <c r="E33" i="103"/>
  <c r="W33" i="103" s="1"/>
  <c r="I33" i="103"/>
  <c r="Z33" i="103" s="1"/>
  <c r="I26" i="103"/>
  <c r="Z26" i="103" s="1"/>
  <c r="M6" i="112"/>
  <c r="E26" i="103"/>
  <c r="W26" i="103" s="1"/>
  <c r="I6" i="112"/>
  <c r="BO6" i="112" s="1"/>
  <c r="BY6" i="112" s="1"/>
  <c r="E35" i="103"/>
  <c r="W35" i="103" s="1"/>
  <c r="I35" i="103"/>
  <c r="Z35" i="103" s="1"/>
  <c r="E7" i="112"/>
  <c r="E16" i="112" s="1"/>
  <c r="E17" i="112" s="1"/>
  <c r="E18" i="112" s="1"/>
  <c r="K18" i="112" s="1"/>
  <c r="BO5" i="112"/>
  <c r="BT5" i="112" s="1"/>
  <c r="BX5" i="112" s="1"/>
  <c r="Y5" i="112" s="1"/>
  <c r="R5" i="112" s="1"/>
  <c r="J34" i="103"/>
  <c r="AA34" i="103" s="1"/>
  <c r="I34" i="103"/>
  <c r="Z34" i="103" s="1"/>
  <c r="E34" i="103"/>
  <c r="W34" i="103" s="1"/>
  <c r="CN7" i="111"/>
  <c r="J9" i="103"/>
  <c r="AO16" i="112"/>
  <c r="AP28" i="112" s="1"/>
  <c r="Z16" i="112"/>
  <c r="M9" i="103" s="1"/>
  <c r="M21" i="103" s="1"/>
  <c r="AR3" i="61"/>
  <c r="AY3" i="61" s="1"/>
  <c r="AD16" i="112"/>
  <c r="AI16" i="112"/>
  <c r="AI28" i="112" s="1"/>
  <c r="S29" i="112" s="1"/>
  <c r="AH16" i="112"/>
  <c r="AT16" i="112"/>
  <c r="AT17" i="112" s="1"/>
  <c r="AU17" i="112" s="1"/>
  <c r="AX17" i="112" s="1"/>
  <c r="BG17" i="112" s="1"/>
  <c r="U16" i="112"/>
  <c r="U28" i="112" s="1"/>
  <c r="G36" i="100"/>
  <c r="AL6" i="63"/>
  <c r="M6" i="63"/>
  <c r="BO4" i="112"/>
  <c r="BT4" i="112" s="1"/>
  <c r="BX4" i="112" s="1"/>
  <c r="Y4" i="112" s="1"/>
  <c r="R4" i="112" s="1"/>
  <c r="AT44" i="112"/>
  <c r="AT45" i="112" s="1"/>
  <c r="AT7" i="112"/>
  <c r="AU7" i="112" s="1"/>
  <c r="AX7" i="112" s="1"/>
  <c r="BG7" i="112" s="1"/>
  <c r="BO6" i="63"/>
  <c r="BY6" i="63" s="1"/>
  <c r="AI16" i="4"/>
  <c r="CB4" i="111"/>
  <c r="U34" i="102"/>
  <c r="U28" i="103"/>
  <c r="U30" i="102"/>
  <c r="G32" i="79"/>
  <c r="G38" i="79" s="1"/>
  <c r="G125" i="79" s="1"/>
  <c r="J31" i="101"/>
  <c r="AA31" i="101" s="1"/>
  <c r="I31" i="101"/>
  <c r="Z31" i="101" s="1"/>
  <c r="E31" i="101"/>
  <c r="W31" i="101" s="1"/>
  <c r="U29" i="103"/>
  <c r="E30" i="101"/>
  <c r="W30" i="101" s="1"/>
  <c r="I30" i="101"/>
  <c r="Z30" i="101" s="1"/>
  <c r="J30" i="101"/>
  <c r="AA30" i="101" s="1"/>
  <c r="I32" i="105"/>
  <c r="Z32" i="105" s="1"/>
  <c r="J32" i="105"/>
  <c r="AA32" i="105" s="1"/>
  <c r="E32" i="105"/>
  <c r="W32" i="105" s="1"/>
  <c r="J34" i="105"/>
  <c r="AA34" i="105" s="1"/>
  <c r="I34" i="105"/>
  <c r="Z34" i="105" s="1"/>
  <c r="E34" i="105"/>
  <c r="W34" i="105" s="1"/>
  <c r="U35" i="102"/>
  <c r="J29" i="105"/>
  <c r="AA29" i="105" s="1"/>
  <c r="E29" i="105"/>
  <c r="W29" i="105" s="1"/>
  <c r="I29" i="105"/>
  <c r="Z29" i="105" s="1"/>
  <c r="AJ18" i="111"/>
  <c r="BT5" i="63"/>
  <c r="BX5" i="63" s="1"/>
  <c r="Y5" i="63" s="1"/>
  <c r="K11" i="102" s="1"/>
  <c r="BY5" i="63"/>
  <c r="AH16" i="4"/>
  <c r="E126" i="1"/>
  <c r="E127" i="1" s="1"/>
  <c r="E129" i="1" s="1"/>
  <c r="AH29" i="111"/>
  <c r="AO29" i="111"/>
  <c r="U29" i="111"/>
  <c r="AT29" i="111"/>
  <c r="AI29" i="111"/>
  <c r="AI41" i="111" s="1"/>
  <c r="Z29" i="111"/>
  <c r="M9" i="101" s="1"/>
  <c r="M21" i="101" s="1"/>
  <c r="AD29" i="111"/>
  <c r="F9" i="101"/>
  <c r="U29" i="102"/>
  <c r="AU7" i="63"/>
  <c r="AX7" i="63" s="1"/>
  <c r="BG7" i="63" s="1"/>
  <c r="AT8" i="63"/>
  <c r="M7" i="63"/>
  <c r="AL7" i="63"/>
  <c r="I7" i="63"/>
  <c r="CO7" i="111"/>
  <c r="CO7" i="61"/>
  <c r="E31" i="100"/>
  <c r="W31" i="100" s="1"/>
  <c r="J31" i="100"/>
  <c r="AA31" i="100" s="1"/>
  <c r="I31" i="100"/>
  <c r="Z31" i="100" s="1"/>
  <c r="J34" i="101"/>
  <c r="AA34" i="101" s="1"/>
  <c r="I34" i="101"/>
  <c r="Z34" i="101" s="1"/>
  <c r="E34" i="101"/>
  <c r="W34" i="101" s="1"/>
  <c r="Y24" i="103"/>
  <c r="G36" i="103"/>
  <c r="U32" i="102"/>
  <c r="AU8" i="111"/>
  <c r="AX8" i="111" s="1"/>
  <c r="BG8" i="111" s="1"/>
  <c r="AT9" i="111"/>
  <c r="AU16" i="63"/>
  <c r="AX16" i="63" s="1"/>
  <c r="BG16" i="63" s="1"/>
  <c r="AT17" i="63"/>
  <c r="K17" i="63"/>
  <c r="M17" i="63" s="1"/>
  <c r="E18" i="63"/>
  <c r="U30" i="103"/>
  <c r="AP17" i="63"/>
  <c r="AP25" i="63"/>
  <c r="AP16" i="63"/>
  <c r="AP20" i="63"/>
  <c r="AP18" i="63"/>
  <c r="AP28" i="63"/>
  <c r="AP24" i="63"/>
  <c r="AP19" i="63"/>
  <c r="AP27" i="63"/>
  <c r="AP21" i="63"/>
  <c r="AP22" i="63"/>
  <c r="AP26" i="63"/>
  <c r="AP23" i="63"/>
  <c r="AU45" i="111"/>
  <c r="AX45" i="111" s="1"/>
  <c r="AT46" i="111"/>
  <c r="U33" i="102"/>
  <c r="I27" i="101"/>
  <c r="Z27" i="101" s="1"/>
  <c r="E27" i="101"/>
  <c r="W27" i="101" s="1"/>
  <c r="J27" i="101"/>
  <c r="AA27" i="101" s="1"/>
  <c r="AJ16" i="111"/>
  <c r="E35" i="100"/>
  <c r="W35" i="100" s="1"/>
  <c r="I35" i="100"/>
  <c r="Z35" i="100" s="1"/>
  <c r="J35" i="100"/>
  <c r="AA35" i="100" s="1"/>
  <c r="J26" i="100"/>
  <c r="AA26" i="100" s="1"/>
  <c r="E26" i="100"/>
  <c r="W26" i="100" s="1"/>
  <c r="I26" i="100"/>
  <c r="Z26" i="100" s="1"/>
  <c r="B38" i="114"/>
  <c r="AU44" i="61"/>
  <c r="AX44" i="61" s="1"/>
  <c r="AT45" i="61"/>
  <c r="I27" i="100"/>
  <c r="Z27" i="100" s="1"/>
  <c r="E27" i="100"/>
  <c r="W27" i="100" s="1"/>
  <c r="J27" i="100"/>
  <c r="AA27" i="100" s="1"/>
  <c r="E33" i="100"/>
  <c r="W33" i="100" s="1"/>
  <c r="J33" i="100"/>
  <c r="AA33" i="100" s="1"/>
  <c r="I33" i="100"/>
  <c r="Z33" i="100" s="1"/>
  <c r="J35" i="105"/>
  <c r="AA35" i="105" s="1"/>
  <c r="I35" i="105"/>
  <c r="Z35" i="105" s="1"/>
  <c r="E35" i="105"/>
  <c r="W35" i="105" s="1"/>
  <c r="F92" i="80"/>
  <c r="F94" i="80" s="1"/>
  <c r="J38" i="77" s="1"/>
  <c r="J40" i="77" s="1"/>
  <c r="M7" i="111"/>
  <c r="AL7" i="111"/>
  <c r="I7" i="111"/>
  <c r="U27" i="103"/>
  <c r="I32" i="100"/>
  <c r="Z32" i="100" s="1"/>
  <c r="E32" i="100"/>
  <c r="W32" i="100" s="1"/>
  <c r="J32" i="100"/>
  <c r="AA32" i="100" s="1"/>
  <c r="U28" i="61"/>
  <c r="W106" i="60" s="1"/>
  <c r="AC16" i="61"/>
  <c r="I29" i="100"/>
  <c r="Z29" i="100" s="1"/>
  <c r="J29" i="100"/>
  <c r="AA29" i="100" s="1"/>
  <c r="E29" i="100"/>
  <c r="W29" i="100" s="1"/>
  <c r="A28" i="35"/>
  <c r="C27" i="35"/>
  <c r="AF29" i="63"/>
  <c r="S29" i="63"/>
  <c r="E29" i="63"/>
  <c r="L29" i="63"/>
  <c r="I29" i="101"/>
  <c r="Z29" i="101" s="1"/>
  <c r="E29" i="101"/>
  <c r="W29" i="101" s="1"/>
  <c r="J29" i="101"/>
  <c r="AA29" i="101" s="1"/>
  <c r="G32" i="80"/>
  <c r="G38" i="80" s="1"/>
  <c r="AU44" i="63"/>
  <c r="AX44" i="63" s="1"/>
  <c r="AT45" i="63"/>
  <c r="I17" i="111"/>
  <c r="AJ17" i="111"/>
  <c r="AL17" i="111" s="1"/>
  <c r="AU17" i="111"/>
  <c r="AX17" i="111" s="1"/>
  <c r="BG17" i="111" s="1"/>
  <c r="AT18" i="111"/>
  <c r="D37" i="114"/>
  <c r="BT5" i="61"/>
  <c r="BX5" i="61" s="1"/>
  <c r="Y5" i="61" s="1"/>
  <c r="K11" i="99" s="1"/>
  <c r="BY5" i="61"/>
  <c r="I37" i="53"/>
  <c r="F66" i="1"/>
  <c r="F118" i="1"/>
  <c r="E130" i="8"/>
  <c r="E169" i="8"/>
  <c r="H22" i="79"/>
  <c r="N37" i="77"/>
  <c r="AC19" i="82"/>
  <c r="U31" i="102"/>
  <c r="K8" i="63"/>
  <c r="E9" i="63"/>
  <c r="AJ9" i="63" s="1"/>
  <c r="J21" i="100"/>
  <c r="I28" i="105"/>
  <c r="Z28" i="105" s="1"/>
  <c r="J28" i="105"/>
  <c r="AA28" i="105" s="1"/>
  <c r="E28" i="105"/>
  <c r="W28" i="105" s="1"/>
  <c r="F28" i="35"/>
  <c r="E27" i="35"/>
  <c r="D25" i="35"/>
  <c r="AU16" i="61"/>
  <c r="AX16" i="61" s="1"/>
  <c r="BG16" i="61" s="1"/>
  <c r="AT17" i="61"/>
  <c r="J27" i="105"/>
  <c r="AA27" i="105" s="1"/>
  <c r="E27" i="105"/>
  <c r="W27" i="105" s="1"/>
  <c r="I27" i="105"/>
  <c r="Z27" i="105" s="1"/>
  <c r="F158" i="8"/>
  <c r="F43" i="8" s="1"/>
  <c r="B154" i="8"/>
  <c r="L40" i="33" s="1"/>
  <c r="BT4" i="63"/>
  <c r="BX4" i="63" s="1"/>
  <c r="Y4" i="63" s="1"/>
  <c r="K10" i="102" s="1"/>
  <c r="BY4" i="63"/>
  <c r="CB5" i="111"/>
  <c r="F133" i="79"/>
  <c r="F134" i="79" s="1"/>
  <c r="F87" i="79" s="1"/>
  <c r="F92" i="79" s="1"/>
  <c r="J31" i="105"/>
  <c r="AA31" i="105" s="1"/>
  <c r="E31" i="105"/>
  <c r="W31" i="105" s="1"/>
  <c r="I31" i="105"/>
  <c r="Z31" i="105" s="1"/>
  <c r="K7" i="61"/>
  <c r="E8" i="61"/>
  <c r="AJ8" i="61" s="1"/>
  <c r="AF29" i="61"/>
  <c r="S29" i="61"/>
  <c r="L29" i="61"/>
  <c r="E25" i="101"/>
  <c r="W25" i="101" s="1"/>
  <c r="J25" i="101"/>
  <c r="AA25" i="101" s="1"/>
  <c r="I25" i="101"/>
  <c r="Z25" i="101" s="1"/>
  <c r="G39" i="79"/>
  <c r="G41" i="79" s="1"/>
  <c r="J34" i="100"/>
  <c r="AA34" i="100" s="1"/>
  <c r="I34" i="100"/>
  <c r="Z34" i="100" s="1"/>
  <c r="E34" i="100"/>
  <c r="W34" i="100" s="1"/>
  <c r="I33" i="101"/>
  <c r="Z33" i="101" s="1"/>
  <c r="E33" i="101"/>
  <c r="W33" i="101" s="1"/>
  <c r="J33" i="101"/>
  <c r="AA33" i="101" s="1"/>
  <c r="AP27" i="61"/>
  <c r="AP25" i="61"/>
  <c r="AP26" i="61"/>
  <c r="AP20" i="61"/>
  <c r="AP22" i="61"/>
  <c r="AP16" i="61"/>
  <c r="AP24" i="61"/>
  <c r="AP18" i="61"/>
  <c r="AP23" i="61"/>
  <c r="AP17" i="61"/>
  <c r="AP21" i="61"/>
  <c r="AP28" i="61"/>
  <c r="AP19" i="61"/>
  <c r="AU7" i="61"/>
  <c r="AX7" i="61" s="1"/>
  <c r="BG7" i="61" s="1"/>
  <c r="AT8" i="61"/>
  <c r="J35" i="101"/>
  <c r="AA35" i="101" s="1"/>
  <c r="I35" i="101"/>
  <c r="Z35" i="101" s="1"/>
  <c r="E35" i="101"/>
  <c r="W35" i="101" s="1"/>
  <c r="AW29" i="111"/>
  <c r="BV29" i="111" s="1"/>
  <c r="BW29" i="111" s="1"/>
  <c r="BW30" i="111" s="1"/>
  <c r="BW31" i="111" s="1"/>
  <c r="BW32" i="111" s="1"/>
  <c r="BW33" i="111" s="1"/>
  <c r="BW34" i="111" s="1"/>
  <c r="BW35" i="111" s="1"/>
  <c r="BW36" i="111" s="1"/>
  <c r="BW37" i="111" s="1"/>
  <c r="BW38" i="111" s="1"/>
  <c r="BW39" i="111" s="1"/>
  <c r="BW40" i="111" s="1"/>
  <c r="BW41" i="111" s="1"/>
  <c r="BX41" i="111" s="1"/>
  <c r="E30" i="105"/>
  <c r="W30" i="105" s="1"/>
  <c r="I30" i="105"/>
  <c r="Z30" i="105" s="1"/>
  <c r="J30" i="105"/>
  <c r="AA30" i="105" s="1"/>
  <c r="I32" i="53"/>
  <c r="J32" i="101"/>
  <c r="AA32" i="101" s="1"/>
  <c r="E32" i="101"/>
  <c r="W32" i="101" s="1"/>
  <c r="I32" i="101"/>
  <c r="Z32" i="101" s="1"/>
  <c r="J26" i="105"/>
  <c r="AA26" i="105" s="1"/>
  <c r="E26" i="105"/>
  <c r="W26" i="105" s="1"/>
  <c r="I26" i="105"/>
  <c r="Z26" i="105" s="1"/>
  <c r="AC16" i="63"/>
  <c r="U28" i="63"/>
  <c r="W114" i="60" s="1"/>
  <c r="K8" i="111"/>
  <c r="E9" i="111"/>
  <c r="AJ9" i="111" s="1"/>
  <c r="H22" i="80"/>
  <c r="BT4" i="61"/>
  <c r="BX4" i="61" s="1"/>
  <c r="Y4" i="61" s="1"/>
  <c r="K10" i="99" s="1"/>
  <c r="BY4" i="61"/>
  <c r="J30" i="100"/>
  <c r="AA30" i="100" s="1"/>
  <c r="I30" i="100"/>
  <c r="Z30" i="100" s="1"/>
  <c r="E30" i="100"/>
  <c r="W30" i="100" s="1"/>
  <c r="AB24" i="99"/>
  <c r="K37" i="114"/>
  <c r="F37" i="114"/>
  <c r="J37" i="114"/>
  <c r="M42" i="114" s="1"/>
  <c r="N42" i="114" s="1"/>
  <c r="L37" i="114"/>
  <c r="E28" i="101"/>
  <c r="W28" i="101" s="1"/>
  <c r="J28" i="101"/>
  <c r="AA28" i="101" s="1"/>
  <c r="I28" i="101"/>
  <c r="Z28" i="101" s="1"/>
  <c r="BO6" i="111"/>
  <c r="J6" i="111"/>
  <c r="O6" i="111" s="1"/>
  <c r="Q6" i="111" s="1"/>
  <c r="M6" i="61"/>
  <c r="AL6" i="61"/>
  <c r="I6" i="61"/>
  <c r="E28" i="100"/>
  <c r="W28" i="100" s="1"/>
  <c r="I28" i="100"/>
  <c r="Z28" i="100" s="1"/>
  <c r="J28" i="100"/>
  <c r="AA28" i="100" s="1"/>
  <c r="E33" i="105"/>
  <c r="W33" i="105" s="1"/>
  <c r="I33" i="105"/>
  <c r="Z33" i="105" s="1"/>
  <c r="J33" i="105"/>
  <c r="AA33" i="105" s="1"/>
  <c r="J26" i="101"/>
  <c r="AA26" i="101" s="1"/>
  <c r="E26" i="101"/>
  <c r="W26" i="101" s="1"/>
  <c r="I26" i="101"/>
  <c r="Z26" i="101" s="1"/>
  <c r="T24" i="48" l="1"/>
  <c r="D34" i="48"/>
  <c r="H33" i="79"/>
  <c r="G28" i="1"/>
  <c r="T26" i="40"/>
  <c r="D32" i="40" s="1"/>
  <c r="T26" i="48"/>
  <c r="D32" i="48" s="1"/>
  <c r="G28" i="8"/>
  <c r="D34" i="40"/>
  <c r="T24" i="40"/>
  <c r="D35" i="40"/>
  <c r="D15" i="40"/>
  <c r="G17" i="79"/>
  <c r="D35" i="48"/>
  <c r="D15" i="48"/>
  <c r="E17" i="61"/>
  <c r="E18" i="61" s="1"/>
  <c r="E19" i="61" s="1"/>
  <c r="AJ19" i="61" s="1"/>
  <c r="L21" i="100"/>
  <c r="I16" i="111"/>
  <c r="BO16" i="111" s="1"/>
  <c r="K18" i="111"/>
  <c r="M18" i="111" s="1"/>
  <c r="Q18" i="111" s="1"/>
  <c r="E30" i="111"/>
  <c r="K30" i="111" s="1"/>
  <c r="L21" i="99"/>
  <c r="E52" i="63"/>
  <c r="K52" i="63" s="1"/>
  <c r="M52" i="63" s="1"/>
  <c r="N52" i="63" s="1"/>
  <c r="E29" i="61"/>
  <c r="K29" i="61" s="1"/>
  <c r="I24" i="99"/>
  <c r="Z24" i="99" s="1"/>
  <c r="J21" i="99"/>
  <c r="I25" i="99"/>
  <c r="Z25" i="99" s="1"/>
  <c r="N9" i="99"/>
  <c r="V24" i="99" s="1"/>
  <c r="N17" i="63"/>
  <c r="N11" i="99"/>
  <c r="V26" i="99" s="1"/>
  <c r="K50" i="112"/>
  <c r="M50" i="112" s="1"/>
  <c r="N50" i="112" s="1"/>
  <c r="E51" i="112"/>
  <c r="AL16" i="111"/>
  <c r="K16" i="112"/>
  <c r="M16" i="112" s="1"/>
  <c r="N16" i="112" s="1"/>
  <c r="K17" i="112"/>
  <c r="M17" i="112" s="1"/>
  <c r="E19" i="112"/>
  <c r="K19" i="112" s="1"/>
  <c r="N7" i="63"/>
  <c r="N7" i="111"/>
  <c r="J21" i="103"/>
  <c r="N11" i="102"/>
  <c r="V26" i="102" s="1"/>
  <c r="AR3" i="112"/>
  <c r="AY3" i="112" s="1"/>
  <c r="U32" i="103"/>
  <c r="E27" i="99"/>
  <c r="W27" i="99" s="1"/>
  <c r="N6" i="61"/>
  <c r="AR5" i="111"/>
  <c r="AY5" i="111" s="1"/>
  <c r="N6" i="112"/>
  <c r="O6" i="63"/>
  <c r="Q6" i="63" s="1"/>
  <c r="N6" i="63"/>
  <c r="L21" i="102"/>
  <c r="J21" i="102"/>
  <c r="R5" i="61"/>
  <c r="I26" i="99"/>
  <c r="Z26" i="99" s="1"/>
  <c r="R5" i="63"/>
  <c r="N10" i="99"/>
  <c r="V25" i="99" s="1"/>
  <c r="R4" i="61"/>
  <c r="E24" i="102"/>
  <c r="I24" i="102"/>
  <c r="U31" i="103"/>
  <c r="N9" i="102"/>
  <c r="V24" i="102" s="1"/>
  <c r="U33" i="103"/>
  <c r="AJ18" i="61"/>
  <c r="N10" i="102"/>
  <c r="V25" i="102" s="1"/>
  <c r="R4" i="63"/>
  <c r="C33" i="62"/>
  <c r="F32" i="62"/>
  <c r="C33" i="110"/>
  <c r="F32" i="110"/>
  <c r="K7" i="112"/>
  <c r="M7" i="112" s="1"/>
  <c r="AJ7" i="112"/>
  <c r="U35" i="103"/>
  <c r="BT6" i="112"/>
  <c r="BX6" i="112" s="1"/>
  <c r="U26" i="103"/>
  <c r="J6" i="112"/>
  <c r="O6" i="112" s="1"/>
  <c r="Q6" i="112" s="1"/>
  <c r="BY5" i="112"/>
  <c r="CB5" i="112" s="1"/>
  <c r="E8" i="112"/>
  <c r="U34" i="103"/>
  <c r="AP25" i="112"/>
  <c r="AP19" i="112"/>
  <c r="AP26" i="112"/>
  <c r="AP18" i="112"/>
  <c r="AJ18" i="112" s="1"/>
  <c r="AL18" i="112" s="1"/>
  <c r="AP16" i="112"/>
  <c r="AJ16" i="112" s="1"/>
  <c r="AP23" i="112"/>
  <c r="AP24" i="112"/>
  <c r="AP20" i="112"/>
  <c r="AP27" i="112"/>
  <c r="AP21" i="112"/>
  <c r="J24" i="99"/>
  <c r="AP17" i="112"/>
  <c r="AJ17" i="112" s="1"/>
  <c r="AP22" i="112"/>
  <c r="AU16" i="112"/>
  <c r="AX16" i="112" s="1"/>
  <c r="BG16" i="112" s="1"/>
  <c r="BY4" i="112"/>
  <c r="CB4" i="112" s="1"/>
  <c r="AC16" i="112"/>
  <c r="AF29" i="112"/>
  <c r="AY3" i="63"/>
  <c r="AR4" i="111"/>
  <c r="AY4" i="111" s="1"/>
  <c r="L29" i="112"/>
  <c r="AO29" i="112" s="1"/>
  <c r="AP33" i="112" s="1"/>
  <c r="E29" i="112"/>
  <c r="K29" i="112" s="1"/>
  <c r="AT18" i="112"/>
  <c r="AU18" i="112" s="1"/>
  <c r="AX18" i="112" s="1"/>
  <c r="BG18" i="112" s="1"/>
  <c r="AU44" i="112"/>
  <c r="AX44" i="112" s="1"/>
  <c r="AT8" i="112"/>
  <c r="AU8" i="112" s="1"/>
  <c r="AX8" i="112" s="1"/>
  <c r="BG8" i="112" s="1"/>
  <c r="BT6" i="63"/>
  <c r="BX6" i="63" s="1"/>
  <c r="CC4" i="111"/>
  <c r="CB4" i="63"/>
  <c r="CB5" i="61"/>
  <c r="U32" i="105"/>
  <c r="U31" i="101"/>
  <c r="U35" i="105"/>
  <c r="U28" i="105"/>
  <c r="U27" i="105"/>
  <c r="U27" i="101"/>
  <c r="U26" i="101"/>
  <c r="U31" i="100"/>
  <c r="F138" i="79"/>
  <c r="F140" i="79" s="1"/>
  <c r="F93" i="79" s="1"/>
  <c r="F94" i="79" s="1"/>
  <c r="G38" i="77" s="1"/>
  <c r="AU45" i="112"/>
  <c r="AX45" i="112" s="1"/>
  <c r="AT46" i="112"/>
  <c r="BT6" i="111"/>
  <c r="BX6" i="111" s="1"/>
  <c r="Y6" i="111" s="1"/>
  <c r="R6" i="111" s="1"/>
  <c r="BY6" i="111"/>
  <c r="AU29" i="111"/>
  <c r="AX29" i="111" s="1"/>
  <c r="BG29" i="111" s="1"/>
  <c r="AT30" i="111"/>
  <c r="M18" i="112"/>
  <c r="Q18" i="112" s="1"/>
  <c r="G37" i="114"/>
  <c r="H37" i="114" s="1"/>
  <c r="D42" i="114" s="1"/>
  <c r="U32" i="101"/>
  <c r="AJ17" i="61"/>
  <c r="U29" i="101"/>
  <c r="M29" i="111"/>
  <c r="N29" i="111" s="1"/>
  <c r="K9" i="111"/>
  <c r="E10" i="111"/>
  <c r="AJ10" i="111" s="1"/>
  <c r="U35" i="101"/>
  <c r="K8" i="61"/>
  <c r="E9" i="61"/>
  <c r="AJ9" i="61" s="1"/>
  <c r="M8" i="63"/>
  <c r="Q8" i="63" s="1"/>
  <c r="AL8" i="63"/>
  <c r="I8" i="63"/>
  <c r="U29" i="100"/>
  <c r="U34" i="101"/>
  <c r="M42" i="73"/>
  <c r="G9" i="105"/>
  <c r="I17" i="63"/>
  <c r="AJ17" i="63"/>
  <c r="AL17" i="63" s="1"/>
  <c r="AU8" i="63"/>
  <c r="AX8" i="63" s="1"/>
  <c r="BG8" i="63" s="1"/>
  <c r="AT9" i="63"/>
  <c r="H24" i="79"/>
  <c r="H25" i="79" s="1"/>
  <c r="H29" i="79"/>
  <c r="AW29" i="63"/>
  <c r="BV29" i="63" s="1"/>
  <c r="BW29" i="63" s="1"/>
  <c r="BW30" i="63" s="1"/>
  <c r="BW31" i="63" s="1"/>
  <c r="BW32" i="63" s="1"/>
  <c r="BW33" i="63" s="1"/>
  <c r="BW34" i="63" s="1"/>
  <c r="BW35" i="63" s="1"/>
  <c r="BW36" i="63" s="1"/>
  <c r="BW37" i="63" s="1"/>
  <c r="BW38" i="63" s="1"/>
  <c r="BW39" i="63" s="1"/>
  <c r="BW40" i="63" s="1"/>
  <c r="BW41" i="63" s="1"/>
  <c r="BX41" i="63" s="1"/>
  <c r="H9" i="105"/>
  <c r="G24" i="105" s="1"/>
  <c r="U27" i="100"/>
  <c r="E20" i="111"/>
  <c r="AJ20" i="111" s="1"/>
  <c r="K19" i="111"/>
  <c r="AL19" i="111" s="1"/>
  <c r="AU18" i="111"/>
  <c r="AX18" i="111" s="1"/>
  <c r="BG18" i="111" s="1"/>
  <c r="AT19" i="111"/>
  <c r="U29" i="105"/>
  <c r="U25" i="101"/>
  <c r="I37" i="54"/>
  <c r="F66" i="8"/>
  <c r="F118" i="8"/>
  <c r="X106" i="60"/>
  <c r="U28" i="100"/>
  <c r="BO6" i="61"/>
  <c r="J6" i="61"/>
  <c r="O6" i="61" s="1"/>
  <c r="Q6" i="61" s="1"/>
  <c r="U28" i="101"/>
  <c r="U30" i="100"/>
  <c r="M8" i="111"/>
  <c r="Q8" i="111" s="1"/>
  <c r="AL8" i="111"/>
  <c r="I8" i="111"/>
  <c r="U34" i="100"/>
  <c r="G120" i="79"/>
  <c r="G68" i="79"/>
  <c r="AO29" i="61"/>
  <c r="AH29" i="61"/>
  <c r="H24" i="101" s="1"/>
  <c r="AT29" i="61"/>
  <c r="AI29" i="61"/>
  <c r="AI41" i="61" s="1"/>
  <c r="U29" i="61"/>
  <c r="D42" i="73"/>
  <c r="AD29" i="61"/>
  <c r="Z29" i="61"/>
  <c r="M7" i="61"/>
  <c r="AL7" i="61"/>
  <c r="I7" i="61"/>
  <c r="AU17" i="61"/>
  <c r="AX17" i="61" s="1"/>
  <c r="BG17" i="61" s="1"/>
  <c r="AT18" i="61"/>
  <c r="I30" i="54"/>
  <c r="I34" i="54" s="1"/>
  <c r="F165" i="8"/>
  <c r="F128" i="8" s="1"/>
  <c r="E92" i="8"/>
  <c r="H16" i="4" s="1"/>
  <c r="U35" i="100"/>
  <c r="AT18" i="63"/>
  <c r="AU17" i="63"/>
  <c r="AX17" i="63" s="1"/>
  <c r="BG17" i="63" s="1"/>
  <c r="W24" i="99"/>
  <c r="J7" i="63"/>
  <c r="O7" i="63" s="1"/>
  <c r="Q7" i="63" s="1"/>
  <c r="BO7" i="63"/>
  <c r="J9" i="101"/>
  <c r="Y9" i="101"/>
  <c r="X9" i="101" s="1"/>
  <c r="U9" i="101" s="1"/>
  <c r="L9" i="101" s="1"/>
  <c r="L21" i="101" s="1"/>
  <c r="E169" i="1"/>
  <c r="E130" i="1"/>
  <c r="U30" i="101"/>
  <c r="B39" i="114"/>
  <c r="D39" i="114"/>
  <c r="O42" i="114"/>
  <c r="U30" i="105"/>
  <c r="D38" i="114"/>
  <c r="E37" i="114" s="1"/>
  <c r="U33" i="101"/>
  <c r="U41" i="111"/>
  <c r="AC29" i="111"/>
  <c r="A29" i="35"/>
  <c r="C28" i="35" s="1"/>
  <c r="AP45" i="111"/>
  <c r="AP51" i="111"/>
  <c r="AP41" i="111"/>
  <c r="AP31" i="111"/>
  <c r="AP36" i="111"/>
  <c r="AP30" i="111"/>
  <c r="AP35" i="111"/>
  <c r="AP54" i="111"/>
  <c r="AP53" i="111"/>
  <c r="AP40" i="111"/>
  <c r="AP43" i="111"/>
  <c r="AP46" i="111"/>
  <c r="AP47" i="111"/>
  <c r="AP39" i="111"/>
  <c r="AP52" i="111"/>
  <c r="AP38" i="111"/>
  <c r="AP50" i="111"/>
  <c r="AP33" i="111"/>
  <c r="AP42" i="111"/>
  <c r="AP49" i="111"/>
  <c r="AP37" i="111"/>
  <c r="AP32" i="111"/>
  <c r="AP44" i="111"/>
  <c r="AP34" i="111"/>
  <c r="AP48" i="111"/>
  <c r="AP29" i="111"/>
  <c r="U33" i="105"/>
  <c r="CB4" i="61"/>
  <c r="X114" i="60"/>
  <c r="F42" i="73"/>
  <c r="G9" i="101"/>
  <c r="BO17" i="111"/>
  <c r="J17" i="111"/>
  <c r="O17" i="111" s="1"/>
  <c r="Q17" i="111" s="1"/>
  <c r="K42" i="73"/>
  <c r="AO29" i="63"/>
  <c r="AI29" i="63"/>
  <c r="AI41" i="63" s="1"/>
  <c r="AH29" i="63"/>
  <c r="H24" i="105" s="1"/>
  <c r="AT29" i="63"/>
  <c r="U29" i="63"/>
  <c r="Z29" i="63"/>
  <c r="AD29" i="63"/>
  <c r="J7" i="111"/>
  <c r="O7" i="111" s="1"/>
  <c r="Q7" i="111" s="1"/>
  <c r="BO7" i="111"/>
  <c r="AU45" i="61"/>
  <c r="AX45" i="61" s="1"/>
  <c r="AT46" i="61"/>
  <c r="U26" i="100"/>
  <c r="I16" i="63"/>
  <c r="AJ16" i="63"/>
  <c r="AL16" i="63" s="1"/>
  <c r="U34" i="105"/>
  <c r="H24" i="80"/>
  <c r="H25" i="80" s="1"/>
  <c r="H29" i="80"/>
  <c r="AU46" i="111"/>
  <c r="AX46" i="111" s="1"/>
  <c r="AT47" i="111"/>
  <c r="U26" i="105"/>
  <c r="AJ16" i="61"/>
  <c r="AL16" i="61" s="1"/>
  <c r="I16" i="61"/>
  <c r="F29" i="35"/>
  <c r="D26" i="35"/>
  <c r="E28" i="35"/>
  <c r="K18" i="63"/>
  <c r="M18" i="63" s="1"/>
  <c r="Q18" i="63" s="1"/>
  <c r="E19" i="63"/>
  <c r="AJ19" i="63" s="1"/>
  <c r="K9" i="63"/>
  <c r="E10" i="63"/>
  <c r="AJ10" i="63" s="1"/>
  <c r="AU8" i="61"/>
  <c r="AX8" i="61" s="1"/>
  <c r="BG8" i="61" s="1"/>
  <c r="AT9" i="61"/>
  <c r="AW29" i="61"/>
  <c r="BV29" i="61" s="1"/>
  <c r="BW29" i="61" s="1"/>
  <c r="BW30" i="61" s="1"/>
  <c r="BW31" i="61" s="1"/>
  <c r="BW32" i="61" s="1"/>
  <c r="BW33" i="61" s="1"/>
  <c r="BW34" i="61" s="1"/>
  <c r="BW35" i="61" s="1"/>
  <c r="BW36" i="61" s="1"/>
  <c r="BW37" i="61" s="1"/>
  <c r="BW38" i="61" s="1"/>
  <c r="BW39" i="61" s="1"/>
  <c r="BW40" i="61" s="1"/>
  <c r="BW41" i="61" s="1"/>
  <c r="BX41" i="61" s="1"/>
  <c r="H9" i="101"/>
  <c r="G24" i="101" s="1"/>
  <c r="U31" i="105"/>
  <c r="CC5" i="111"/>
  <c r="F155" i="1"/>
  <c r="F80" i="1"/>
  <c r="F67" i="1"/>
  <c r="F119" i="1"/>
  <c r="F120" i="1" s="1"/>
  <c r="I38" i="53" s="1"/>
  <c r="F103" i="1"/>
  <c r="F106" i="1" s="1"/>
  <c r="F82" i="1" s="1"/>
  <c r="F111" i="1"/>
  <c r="F115" i="1" s="1"/>
  <c r="F84" i="1" s="1"/>
  <c r="AU45" i="63"/>
  <c r="AX45" i="63" s="1"/>
  <c r="AT46" i="63"/>
  <c r="H33" i="80"/>
  <c r="G39" i="80"/>
  <c r="G41" i="80" s="1"/>
  <c r="G17" i="80"/>
  <c r="G125" i="80"/>
  <c r="K29" i="63"/>
  <c r="E30" i="63"/>
  <c r="U32" i="100"/>
  <c r="U33" i="100"/>
  <c r="AJ18" i="63"/>
  <c r="AU9" i="111"/>
  <c r="AX9" i="111" s="1"/>
  <c r="BG9" i="111" s="1"/>
  <c r="AT10" i="111"/>
  <c r="CB5" i="63"/>
  <c r="J16" i="111" l="1"/>
  <c r="O16" i="111" s="1"/>
  <c r="Q16" i="111" s="1"/>
  <c r="I18" i="111"/>
  <c r="G30" i="8"/>
  <c r="F32" i="48"/>
  <c r="H19" i="8"/>
  <c r="G31" i="8"/>
  <c r="G31" i="1"/>
  <c r="H19" i="1"/>
  <c r="F32" i="40"/>
  <c r="G30" i="1"/>
  <c r="G32" i="1" s="1"/>
  <c r="G38" i="1" s="1"/>
  <c r="C25" i="40"/>
  <c r="C24" i="40"/>
  <c r="C27" i="40"/>
  <c r="C29" i="40"/>
  <c r="C26" i="40"/>
  <c r="C28" i="40"/>
  <c r="D21" i="40"/>
  <c r="D21" i="48"/>
  <c r="C29" i="48"/>
  <c r="C27" i="48"/>
  <c r="C24" i="48"/>
  <c r="C28" i="48"/>
  <c r="C25" i="48"/>
  <c r="C26" i="48"/>
  <c r="AL18" i="111"/>
  <c r="K18" i="61"/>
  <c r="I18" i="61" s="1"/>
  <c r="K17" i="61"/>
  <c r="M17" i="61" s="1"/>
  <c r="E31" i="111"/>
  <c r="K31" i="111" s="1"/>
  <c r="E30" i="61"/>
  <c r="E31" i="61" s="1"/>
  <c r="E53" i="63"/>
  <c r="K53" i="63" s="1"/>
  <c r="M53" i="63" s="1"/>
  <c r="N53" i="63" s="1"/>
  <c r="E20" i="112"/>
  <c r="K20" i="112" s="1"/>
  <c r="K51" i="112"/>
  <c r="M51" i="112" s="1"/>
  <c r="N51" i="112" s="1"/>
  <c r="E52" i="112"/>
  <c r="E25" i="100"/>
  <c r="W25" i="100" s="1"/>
  <c r="N17" i="112"/>
  <c r="AJ19" i="112"/>
  <c r="AL19" i="112" s="1"/>
  <c r="AL17" i="112"/>
  <c r="N17" i="61"/>
  <c r="AL16" i="112"/>
  <c r="I28" i="102"/>
  <c r="Z28" i="102" s="1"/>
  <c r="E28" i="99"/>
  <c r="W28" i="99" s="1"/>
  <c r="N7" i="112"/>
  <c r="N7" i="61"/>
  <c r="AW29" i="112"/>
  <c r="BV29" i="112" s="1"/>
  <c r="BW29" i="112" s="1"/>
  <c r="BW30" i="112" s="1"/>
  <c r="BW31" i="112" s="1"/>
  <c r="BW32" i="112" s="1"/>
  <c r="BW33" i="112" s="1"/>
  <c r="BW34" i="112" s="1"/>
  <c r="BW35" i="112" s="1"/>
  <c r="BW36" i="112" s="1"/>
  <c r="BW37" i="112" s="1"/>
  <c r="BW38" i="112" s="1"/>
  <c r="BW39" i="112" s="1"/>
  <c r="BW40" i="112" s="1"/>
  <c r="BW41" i="112" s="1"/>
  <c r="BX41" i="112" s="1"/>
  <c r="J24" i="102"/>
  <c r="AA24" i="102" s="1"/>
  <c r="AR5" i="63"/>
  <c r="AY5" i="63" s="1"/>
  <c r="E27" i="102"/>
  <c r="W27" i="102" s="1"/>
  <c r="I27" i="99"/>
  <c r="CB6" i="112"/>
  <c r="Y6" i="112"/>
  <c r="R6" i="112" s="1"/>
  <c r="CB6" i="63"/>
  <c r="Y6" i="63"/>
  <c r="K12" i="102" s="1"/>
  <c r="I27" i="102"/>
  <c r="Z27" i="102" s="1"/>
  <c r="AR4" i="61"/>
  <c r="W24" i="102"/>
  <c r="I7" i="112"/>
  <c r="BO7" i="112" s="1"/>
  <c r="BT7" i="112" s="1"/>
  <c r="BX7" i="112" s="1"/>
  <c r="Y7" i="112" s="1"/>
  <c r="Z24" i="102"/>
  <c r="AJ31" i="111"/>
  <c r="C34" i="110"/>
  <c r="F33" i="110"/>
  <c r="C34" i="62"/>
  <c r="F33" i="62"/>
  <c r="E9" i="112"/>
  <c r="AJ8" i="112"/>
  <c r="AL7" i="112"/>
  <c r="K8" i="112"/>
  <c r="I8" i="112" s="1"/>
  <c r="J8" i="112" s="1"/>
  <c r="I18" i="112"/>
  <c r="J18" i="112" s="1"/>
  <c r="I16" i="112"/>
  <c r="J16" i="112" s="1"/>
  <c r="O16" i="112" s="1"/>
  <c r="Q16" i="112" s="1"/>
  <c r="E24" i="103" s="1"/>
  <c r="I17" i="112"/>
  <c r="J17" i="112" s="1"/>
  <c r="O17" i="112" s="1"/>
  <c r="Q17" i="112" s="1"/>
  <c r="AA24" i="99"/>
  <c r="AH29" i="112"/>
  <c r="M29" i="112"/>
  <c r="N29" i="112" s="1"/>
  <c r="AP51" i="112"/>
  <c r="AJ51" i="112" s="1"/>
  <c r="AP53" i="112"/>
  <c r="AP31" i="112"/>
  <c r="AP37" i="112"/>
  <c r="AP50" i="112"/>
  <c r="AJ50" i="112" s="1"/>
  <c r="AL50" i="112" s="1"/>
  <c r="AP54" i="112"/>
  <c r="AP39" i="112"/>
  <c r="AP45" i="112"/>
  <c r="I45" i="112" s="1"/>
  <c r="J45" i="112" s="1"/>
  <c r="O45" i="112" s="1"/>
  <c r="Q45" i="112" s="1"/>
  <c r="R45" i="112" s="1"/>
  <c r="AR45" i="112" s="1"/>
  <c r="AY45" i="112" s="1"/>
  <c r="T45" i="112" s="1"/>
  <c r="AP49" i="112"/>
  <c r="AJ49" i="112" s="1"/>
  <c r="AL49" i="112" s="1"/>
  <c r="AP46" i="112"/>
  <c r="I46" i="112" s="1"/>
  <c r="J46" i="112" s="1"/>
  <c r="O46" i="112" s="1"/>
  <c r="Q46" i="112" s="1"/>
  <c r="R46" i="112" s="1"/>
  <c r="AR46" i="112" s="1"/>
  <c r="E30" i="112"/>
  <c r="K30" i="112" s="1"/>
  <c r="M30" i="112" s="1"/>
  <c r="AT9" i="112"/>
  <c r="AT10" i="112" s="1"/>
  <c r="AP44" i="112"/>
  <c r="I44" i="112" s="1"/>
  <c r="J44" i="112" s="1"/>
  <c r="O44" i="112" s="1"/>
  <c r="Q44" i="112" s="1"/>
  <c r="R44" i="112" s="1"/>
  <c r="AR44" i="112" s="1"/>
  <c r="AY44" i="112" s="1"/>
  <c r="T44" i="112" s="1"/>
  <c r="AP47" i="112"/>
  <c r="AJ47" i="112" s="1"/>
  <c r="AL47" i="112" s="1"/>
  <c r="CC5" i="61"/>
  <c r="K26" i="99" s="1"/>
  <c r="AB26" i="99" s="1"/>
  <c r="AR5" i="61"/>
  <c r="CC4" i="63"/>
  <c r="K25" i="102" s="1"/>
  <c r="AR4" i="63"/>
  <c r="CC5" i="112"/>
  <c r="AR5" i="112"/>
  <c r="AY5" i="112" s="1"/>
  <c r="AP52" i="112"/>
  <c r="AP40" i="112"/>
  <c r="AT29" i="112"/>
  <c r="AU29" i="112" s="1"/>
  <c r="AP29" i="112"/>
  <c r="AJ29" i="112" s="1"/>
  <c r="AL29" i="112" s="1"/>
  <c r="AP30" i="112"/>
  <c r="U29" i="112"/>
  <c r="U41" i="112" s="1"/>
  <c r="AP42" i="112"/>
  <c r="AJ42" i="112" s="1"/>
  <c r="AL42" i="112" s="1"/>
  <c r="AP35" i="112"/>
  <c r="AI29" i="112"/>
  <c r="AI41" i="112" s="1"/>
  <c r="AP34" i="112"/>
  <c r="AP32" i="112"/>
  <c r="Z29" i="112"/>
  <c r="M9" i="105" s="1"/>
  <c r="M21" i="105" s="1"/>
  <c r="AP38" i="112"/>
  <c r="AP43" i="112"/>
  <c r="I43" i="112" s="1"/>
  <c r="J43" i="112" s="1"/>
  <c r="O43" i="112" s="1"/>
  <c r="Q43" i="112" s="1"/>
  <c r="R43" i="112" s="1"/>
  <c r="AR43" i="112" s="1"/>
  <c r="AY43" i="112" s="1"/>
  <c r="T43" i="112" s="1"/>
  <c r="AT19" i="112"/>
  <c r="AU19" i="112" s="1"/>
  <c r="AX19" i="112" s="1"/>
  <c r="BG19" i="112" s="1"/>
  <c r="AP41" i="112"/>
  <c r="AP48" i="112"/>
  <c r="I48" i="112" s="1"/>
  <c r="J48" i="112" s="1"/>
  <c r="O48" i="112" s="1"/>
  <c r="Q48" i="112" s="1"/>
  <c r="R48" i="112" s="1"/>
  <c r="AR48" i="112" s="1"/>
  <c r="F9" i="105"/>
  <c r="J9" i="105" s="1"/>
  <c r="AP36" i="112"/>
  <c r="AR4" i="112"/>
  <c r="AY4" i="112" s="1"/>
  <c r="AD29" i="112"/>
  <c r="CC4" i="112"/>
  <c r="CB6" i="111"/>
  <c r="F30" i="35"/>
  <c r="D27" i="35"/>
  <c r="E29" i="35"/>
  <c r="I51" i="111"/>
  <c r="J51" i="111" s="1"/>
  <c r="O51" i="111" s="1"/>
  <c r="Q51" i="111" s="1"/>
  <c r="R51" i="111" s="1"/>
  <c r="AR51" i="111" s="1"/>
  <c r="AJ51" i="111"/>
  <c r="AL51" i="111" s="1"/>
  <c r="AU46" i="112"/>
  <c r="AX46" i="112" s="1"/>
  <c r="AT47" i="112"/>
  <c r="G120" i="80"/>
  <c r="G68" i="80"/>
  <c r="K10" i="63"/>
  <c r="E11" i="63"/>
  <c r="AJ11" i="63" s="1"/>
  <c r="AP45" i="63"/>
  <c r="AP52" i="63"/>
  <c r="AP49" i="63"/>
  <c r="AP34" i="63"/>
  <c r="AP54" i="63"/>
  <c r="AP53" i="63"/>
  <c r="AP37" i="63"/>
  <c r="AP32" i="63"/>
  <c r="AP35" i="63"/>
  <c r="AP33" i="63"/>
  <c r="AP47" i="63"/>
  <c r="AP29" i="63"/>
  <c r="AP41" i="63"/>
  <c r="AP43" i="63"/>
  <c r="AP31" i="63"/>
  <c r="AP40" i="63"/>
  <c r="AP44" i="63"/>
  <c r="AP42" i="63"/>
  <c r="AP48" i="63"/>
  <c r="AP39" i="63"/>
  <c r="AP46" i="63"/>
  <c r="AP51" i="63"/>
  <c r="AP30" i="63"/>
  <c r="AP38" i="63"/>
  <c r="AP36" i="63"/>
  <c r="AP50" i="63"/>
  <c r="M30" i="111"/>
  <c r="Q30" i="111" s="1"/>
  <c r="B40" i="114"/>
  <c r="B41" i="114" s="1"/>
  <c r="B42" i="114" s="1"/>
  <c r="B43" i="114" s="1"/>
  <c r="B44" i="114" s="1"/>
  <c r="E39" i="114"/>
  <c r="E40" i="114" s="1"/>
  <c r="D40" i="114" s="1"/>
  <c r="J7" i="61"/>
  <c r="O7" i="61" s="1"/>
  <c r="Q7" i="61" s="1"/>
  <c r="BO7" i="61"/>
  <c r="AU29" i="61"/>
  <c r="AX29" i="61" s="1"/>
  <c r="BG29" i="61" s="1"/>
  <c r="AT30" i="61"/>
  <c r="CC5" i="63"/>
  <c r="K26" i="102" s="1"/>
  <c r="AB26" i="102" s="1"/>
  <c r="AL18" i="63"/>
  <c r="I42" i="53"/>
  <c r="M9" i="63"/>
  <c r="Q9" i="63" s="1"/>
  <c r="AL9" i="63"/>
  <c r="I9" i="63"/>
  <c r="AU47" i="111"/>
  <c r="AX47" i="111" s="1"/>
  <c r="AT48" i="111"/>
  <c r="I44" i="111"/>
  <c r="J44" i="111" s="1"/>
  <c r="O44" i="111" s="1"/>
  <c r="Q44" i="111" s="1"/>
  <c r="R44" i="111" s="1"/>
  <c r="AR44" i="111" s="1"/>
  <c r="AY44" i="111" s="1"/>
  <c r="T44" i="111" s="1"/>
  <c r="AJ44" i="111"/>
  <c r="AL44" i="111" s="1"/>
  <c r="I52" i="111"/>
  <c r="J52" i="111" s="1"/>
  <c r="O52" i="111" s="1"/>
  <c r="Q52" i="111" s="1"/>
  <c r="R52" i="111" s="1"/>
  <c r="AR52" i="111" s="1"/>
  <c r="AJ52" i="111"/>
  <c r="AL52" i="111" s="1"/>
  <c r="BT7" i="63"/>
  <c r="BX7" i="63" s="1"/>
  <c r="Y7" i="63" s="1"/>
  <c r="K13" i="102" s="1"/>
  <c r="N13" i="102" s="1"/>
  <c r="V28" i="102" s="1"/>
  <c r="BY7" i="63"/>
  <c r="G36" i="105"/>
  <c r="Y24" i="105"/>
  <c r="AU9" i="63"/>
  <c r="AX9" i="63" s="1"/>
  <c r="BG9" i="63" s="1"/>
  <c r="AT10" i="63"/>
  <c r="H34" i="80"/>
  <c r="H27" i="80"/>
  <c r="H28" i="80" s="1"/>
  <c r="AT19" i="63"/>
  <c r="AU18" i="63"/>
  <c r="AX18" i="63" s="1"/>
  <c r="BG18" i="63" s="1"/>
  <c r="AJ48" i="111"/>
  <c r="AL48" i="111" s="1"/>
  <c r="I48" i="111"/>
  <c r="J48" i="111" s="1"/>
  <c r="O48" i="111" s="1"/>
  <c r="Q48" i="111" s="1"/>
  <c r="R48" i="111" s="1"/>
  <c r="AR48" i="111" s="1"/>
  <c r="I53" i="111"/>
  <c r="J53" i="111" s="1"/>
  <c r="O53" i="111" s="1"/>
  <c r="Q53" i="111" s="1"/>
  <c r="R53" i="111" s="1"/>
  <c r="AR53" i="111" s="1"/>
  <c r="AJ53" i="111"/>
  <c r="AJ45" i="111"/>
  <c r="AL45" i="111" s="1"/>
  <c r="I45" i="111"/>
  <c r="J45" i="111" s="1"/>
  <c r="O45" i="111" s="1"/>
  <c r="Q45" i="111" s="1"/>
  <c r="R45" i="111" s="1"/>
  <c r="AR45" i="111" s="1"/>
  <c r="AY45" i="111" s="1"/>
  <c r="T45" i="111" s="1"/>
  <c r="M29" i="61"/>
  <c r="N29" i="61" s="1"/>
  <c r="AU46" i="63"/>
  <c r="AX46" i="63" s="1"/>
  <c r="AT47" i="63"/>
  <c r="I30" i="111"/>
  <c r="AJ30" i="111"/>
  <c r="AL30" i="111" s="1"/>
  <c r="F165" i="1"/>
  <c r="F128" i="1" s="1"/>
  <c r="I30" i="53"/>
  <c r="I34" i="53" s="1"/>
  <c r="E92" i="1"/>
  <c r="K19" i="61"/>
  <c r="E20" i="61"/>
  <c r="AJ20" i="61" s="1"/>
  <c r="K38" i="77"/>
  <c r="G40" i="77"/>
  <c r="J8" i="63"/>
  <c r="BO8" i="63"/>
  <c r="AU30" i="111"/>
  <c r="AX30" i="111" s="1"/>
  <c r="BG30" i="111" s="1"/>
  <c r="AT31" i="111"/>
  <c r="Y24" i="101"/>
  <c r="G36" i="101"/>
  <c r="J16" i="63"/>
  <c r="O16" i="63" s="1"/>
  <c r="Q16" i="63" s="1"/>
  <c r="I24" i="103" s="1"/>
  <c r="BO16" i="63"/>
  <c r="U41" i="63"/>
  <c r="W115" i="60" s="1"/>
  <c r="AC29" i="63"/>
  <c r="BT17" i="111"/>
  <c r="BX17" i="111" s="1"/>
  <c r="Y17" i="111" s="1"/>
  <c r="K10" i="100" s="1"/>
  <c r="N10" i="100" s="1"/>
  <c r="V25" i="100" s="1"/>
  <c r="BY17" i="111"/>
  <c r="AJ47" i="111"/>
  <c r="AL47" i="111" s="1"/>
  <c r="I47" i="111"/>
  <c r="J47" i="111" s="1"/>
  <c r="O47" i="111" s="1"/>
  <c r="Q47" i="111" s="1"/>
  <c r="R47" i="111" s="1"/>
  <c r="AR47" i="111" s="1"/>
  <c r="D30" i="53"/>
  <c r="D30" i="54"/>
  <c r="G69" i="79"/>
  <c r="G113" i="79"/>
  <c r="G117" i="79" s="1"/>
  <c r="G86" i="79" s="1"/>
  <c r="G105" i="79"/>
  <c r="G108" i="79" s="1"/>
  <c r="G84" i="79" s="1"/>
  <c r="G97" i="79" s="1"/>
  <c r="G98" i="79" s="1"/>
  <c r="G85" i="79" s="1"/>
  <c r="G121" i="79"/>
  <c r="G122" i="79" s="1"/>
  <c r="G82" i="79"/>
  <c r="K10" i="111"/>
  <c r="E11" i="111"/>
  <c r="AJ11" i="111" s="1"/>
  <c r="F156" i="1"/>
  <c r="F157" i="1" s="1"/>
  <c r="I44" i="53" s="1"/>
  <c r="F86" i="1"/>
  <c r="B86" i="1" s="1"/>
  <c r="AU9" i="61"/>
  <c r="AX9" i="61" s="1"/>
  <c r="BG9" i="61" s="1"/>
  <c r="AT10" i="61"/>
  <c r="BO16" i="61"/>
  <c r="J16" i="61"/>
  <c r="O16" i="61" s="1"/>
  <c r="Q16" i="61" s="1"/>
  <c r="I24" i="100" s="1"/>
  <c r="AJ29" i="111"/>
  <c r="AL29" i="111" s="1"/>
  <c r="I29" i="111"/>
  <c r="K20" i="111"/>
  <c r="E21" i="111"/>
  <c r="AJ21" i="111" s="1"/>
  <c r="BT7" i="111"/>
  <c r="BX7" i="111" s="1"/>
  <c r="Y7" i="111" s="1"/>
  <c r="R7" i="111" s="1"/>
  <c r="BY7" i="111"/>
  <c r="I50" i="111"/>
  <c r="J50" i="111" s="1"/>
  <c r="O50" i="111" s="1"/>
  <c r="Q50" i="111" s="1"/>
  <c r="R50" i="111" s="1"/>
  <c r="AR50" i="111" s="1"/>
  <c r="AJ50" i="111"/>
  <c r="AL50" i="111" s="1"/>
  <c r="F136" i="1"/>
  <c r="F138" i="1" s="1"/>
  <c r="AP31" i="61"/>
  <c r="AP40" i="61"/>
  <c r="AP52" i="61"/>
  <c r="AP36" i="61"/>
  <c r="AP37" i="61"/>
  <c r="AP48" i="61"/>
  <c r="AP32" i="61"/>
  <c r="AP33" i="61"/>
  <c r="AP54" i="61"/>
  <c r="AP38" i="61"/>
  <c r="AP53" i="61"/>
  <c r="AP45" i="61"/>
  <c r="AP29" i="61"/>
  <c r="AP44" i="61"/>
  <c r="AP50" i="61"/>
  <c r="AP49" i="61"/>
  <c r="AP47" i="61"/>
  <c r="AP43" i="61"/>
  <c r="AP41" i="61"/>
  <c r="AP51" i="61"/>
  <c r="AP30" i="61"/>
  <c r="AP46" i="61"/>
  <c r="AP35" i="61"/>
  <c r="AP42" i="61"/>
  <c r="AP34" i="61"/>
  <c r="AP39" i="61"/>
  <c r="AU19" i="111"/>
  <c r="AX19" i="111" s="1"/>
  <c r="BG19" i="111" s="1"/>
  <c r="AT20" i="111"/>
  <c r="AU10" i="111"/>
  <c r="AX10" i="111" s="1"/>
  <c r="BG10" i="111" s="1"/>
  <c r="AT11" i="111"/>
  <c r="K30" i="63"/>
  <c r="M30" i="63" s="1"/>
  <c r="E31" i="63"/>
  <c r="AU29" i="63"/>
  <c r="AX29" i="63" s="1"/>
  <c r="BG29" i="63" s="1"/>
  <c r="AT30" i="63"/>
  <c r="CC4" i="61"/>
  <c r="K25" i="99" s="1"/>
  <c r="I49" i="111"/>
  <c r="J49" i="111" s="1"/>
  <c r="O49" i="111" s="1"/>
  <c r="Q49" i="111" s="1"/>
  <c r="R49" i="111" s="1"/>
  <c r="AR49" i="111" s="1"/>
  <c r="AJ49" i="111"/>
  <c r="AL49" i="111" s="1"/>
  <c r="AJ46" i="111"/>
  <c r="AL46" i="111" s="1"/>
  <c r="I46" i="111"/>
  <c r="J46" i="111" s="1"/>
  <c r="O46" i="111" s="1"/>
  <c r="Q46" i="111" s="1"/>
  <c r="R46" i="111" s="1"/>
  <c r="AR46" i="111" s="1"/>
  <c r="AY46" i="111" s="1"/>
  <c r="T46" i="111" s="1"/>
  <c r="A30" i="35"/>
  <c r="C29" i="35"/>
  <c r="H47" i="33"/>
  <c r="I23" i="51"/>
  <c r="H16" i="56"/>
  <c r="AU18" i="61"/>
  <c r="AX18" i="61" s="1"/>
  <c r="BG18" i="61" s="1"/>
  <c r="AT19" i="61"/>
  <c r="J8" i="111"/>
  <c r="BO8" i="111"/>
  <c r="F119" i="8"/>
  <c r="F120" i="8" s="1"/>
  <c r="I38" i="54" s="1"/>
  <c r="F67" i="8"/>
  <c r="F80" i="8"/>
  <c r="F155" i="8"/>
  <c r="F111" i="8"/>
  <c r="F115" i="8" s="1"/>
  <c r="F84" i="8" s="1"/>
  <c r="F103" i="8"/>
  <c r="F106" i="8" s="1"/>
  <c r="F82" i="8" s="1"/>
  <c r="J17" i="63"/>
  <c r="O17" i="63" s="1"/>
  <c r="Q17" i="63" s="1"/>
  <c r="BO17" i="63"/>
  <c r="E18" i="4"/>
  <c r="E18" i="56" s="1"/>
  <c r="G39" i="1"/>
  <c r="F40" i="40"/>
  <c r="H33" i="1"/>
  <c r="D8" i="65"/>
  <c r="G123" i="1"/>
  <c r="K9" i="61"/>
  <c r="E10" i="61"/>
  <c r="AJ10" i="61" s="1"/>
  <c r="M9" i="111"/>
  <c r="Q9" i="111" s="1"/>
  <c r="AL9" i="111"/>
  <c r="I9" i="111"/>
  <c r="E24" i="100"/>
  <c r="U41" i="61"/>
  <c r="W107" i="60" s="1"/>
  <c r="AC29" i="61"/>
  <c r="E32" i="111"/>
  <c r="AJ32" i="111" s="1"/>
  <c r="I18" i="63"/>
  <c r="BT6" i="61"/>
  <c r="BX6" i="61" s="1"/>
  <c r="Y6" i="61" s="1"/>
  <c r="K12" i="99" s="1"/>
  <c r="BY6" i="61"/>
  <c r="K19" i="63"/>
  <c r="E20" i="63"/>
  <c r="AJ20" i="63" s="1"/>
  <c r="AU46" i="61"/>
  <c r="AX46" i="61" s="1"/>
  <c r="AT47" i="61"/>
  <c r="M29" i="63"/>
  <c r="N29" i="63" s="1"/>
  <c r="AJ42" i="111"/>
  <c r="AL42" i="111" s="1"/>
  <c r="I42" i="111"/>
  <c r="J42" i="111" s="1"/>
  <c r="O42" i="111" s="1"/>
  <c r="Q42" i="111" s="1"/>
  <c r="R42" i="111" s="1"/>
  <c r="AR42" i="111" s="1"/>
  <c r="AY42" i="111" s="1"/>
  <c r="T42" i="111" s="1"/>
  <c r="T54" i="111" s="1"/>
  <c r="I43" i="111"/>
  <c r="J43" i="111" s="1"/>
  <c r="O43" i="111" s="1"/>
  <c r="Q43" i="111" s="1"/>
  <c r="R43" i="111" s="1"/>
  <c r="AR43" i="111" s="1"/>
  <c r="AY43" i="111" s="1"/>
  <c r="T43" i="111" s="1"/>
  <c r="AJ43" i="111"/>
  <c r="AL43" i="111" s="1"/>
  <c r="BT16" i="111"/>
  <c r="BX16" i="111" s="1"/>
  <c r="Y16" i="111" s="1"/>
  <c r="K9" i="100" s="1"/>
  <c r="BY16" i="111"/>
  <c r="J21" i="101"/>
  <c r="M19" i="111"/>
  <c r="Q19" i="111" s="1"/>
  <c r="I19" i="111"/>
  <c r="H34" i="79"/>
  <c r="H27" i="79"/>
  <c r="H28" i="79" s="1"/>
  <c r="M8" i="61"/>
  <c r="Q8" i="61" s="1"/>
  <c r="AL8" i="61"/>
  <c r="I8" i="61"/>
  <c r="BO18" i="111"/>
  <c r="J18" i="111"/>
  <c r="M19" i="112"/>
  <c r="Q19" i="112" s="1"/>
  <c r="I19" i="112"/>
  <c r="AL18" i="61" l="1"/>
  <c r="M18" i="61"/>
  <c r="Q18" i="61" s="1"/>
  <c r="F39" i="40"/>
  <c r="T27" i="40"/>
  <c r="T14" i="65"/>
  <c r="H22" i="1"/>
  <c r="T14" i="66"/>
  <c r="H22" i="8"/>
  <c r="T27" i="48"/>
  <c r="F39" i="48"/>
  <c r="G32" i="8"/>
  <c r="G38" i="8" s="1"/>
  <c r="AL17" i="61"/>
  <c r="I17" i="61"/>
  <c r="K30" i="61"/>
  <c r="M30" i="61" s="1"/>
  <c r="Q30" i="61" s="1"/>
  <c r="E21" i="112"/>
  <c r="AJ21" i="112" s="1"/>
  <c r="AL51" i="112"/>
  <c r="AJ52" i="112"/>
  <c r="AJ20" i="112"/>
  <c r="AL20" i="112" s="1"/>
  <c r="I25" i="100"/>
  <c r="Z25" i="100" s="1"/>
  <c r="E25" i="103"/>
  <c r="W25" i="103" s="1"/>
  <c r="I25" i="103"/>
  <c r="Z25" i="103" s="1"/>
  <c r="R17" i="111"/>
  <c r="K52" i="112"/>
  <c r="M52" i="112" s="1"/>
  <c r="N52" i="112" s="1"/>
  <c r="E53" i="112"/>
  <c r="K53" i="112" s="1"/>
  <c r="M53" i="112" s="1"/>
  <c r="N53" i="112" s="1"/>
  <c r="E36" i="99"/>
  <c r="R7" i="63"/>
  <c r="I28" i="99"/>
  <c r="Z28" i="99" s="1"/>
  <c r="J21" i="105"/>
  <c r="AX29" i="112"/>
  <c r="BG29" i="112" s="1"/>
  <c r="CC6" i="63"/>
  <c r="K27" i="102" s="1"/>
  <c r="AB27" i="102" s="1"/>
  <c r="CC6" i="112"/>
  <c r="AR6" i="112"/>
  <c r="AY6" i="112" s="1"/>
  <c r="I36" i="102"/>
  <c r="K21" i="102"/>
  <c r="N12" i="102"/>
  <c r="R6" i="61"/>
  <c r="N12" i="99"/>
  <c r="R6" i="63"/>
  <c r="Z27" i="99"/>
  <c r="AY5" i="61"/>
  <c r="J26" i="99"/>
  <c r="AA26" i="99" s="1"/>
  <c r="J26" i="102"/>
  <c r="AA26" i="102" s="1"/>
  <c r="AB25" i="99"/>
  <c r="AY4" i="61"/>
  <c r="J25" i="99"/>
  <c r="J7" i="112"/>
  <c r="O7" i="112" s="1"/>
  <c r="Q7" i="112" s="1"/>
  <c r="BY7" i="112"/>
  <c r="CB7" i="112" s="1"/>
  <c r="AL8" i="112"/>
  <c r="E10" i="112"/>
  <c r="K10" i="112" s="1"/>
  <c r="M10" i="112" s="1"/>
  <c r="Q10" i="112" s="1"/>
  <c r="N30" i="63"/>
  <c r="N30" i="112"/>
  <c r="AY4" i="63"/>
  <c r="J25" i="102"/>
  <c r="AB25" i="102"/>
  <c r="AJ30" i="112"/>
  <c r="AL30" i="112" s="1"/>
  <c r="C35" i="62"/>
  <c r="F35" i="62" s="1"/>
  <c r="F34" i="62"/>
  <c r="C35" i="110"/>
  <c r="F35" i="110" s="1"/>
  <c r="F34" i="110"/>
  <c r="K9" i="112"/>
  <c r="I9" i="112" s="1"/>
  <c r="AJ9" i="112"/>
  <c r="M8" i="112"/>
  <c r="Q8" i="112" s="1"/>
  <c r="BO8" i="112"/>
  <c r="BY8" i="112" s="1"/>
  <c r="BO18" i="112"/>
  <c r="BT18" i="112" s="1"/>
  <c r="BX18" i="112" s="1"/>
  <c r="BO16" i="112"/>
  <c r="BT16" i="112" s="1"/>
  <c r="BX16" i="112" s="1"/>
  <c r="Y16" i="112" s="1"/>
  <c r="K9" i="103" s="1"/>
  <c r="BO17" i="112"/>
  <c r="BY17" i="112" s="1"/>
  <c r="I51" i="112"/>
  <c r="J51" i="112" s="1"/>
  <c r="O51" i="112" s="1"/>
  <c r="Q51" i="112" s="1"/>
  <c r="R51" i="112" s="1"/>
  <c r="AR51" i="112" s="1"/>
  <c r="AU9" i="112"/>
  <c r="AX9" i="112" s="1"/>
  <c r="BG9" i="112" s="1"/>
  <c r="I50" i="112"/>
  <c r="J50" i="112" s="1"/>
  <c r="O50" i="112" s="1"/>
  <c r="Q50" i="112" s="1"/>
  <c r="R50" i="112" s="1"/>
  <c r="AR50" i="112" s="1"/>
  <c r="AJ45" i="112"/>
  <c r="AL45" i="112" s="1"/>
  <c r="Y9" i="105"/>
  <c r="X9" i="105" s="1"/>
  <c r="U9" i="105" s="1"/>
  <c r="L9" i="105" s="1"/>
  <c r="L21" i="105" s="1"/>
  <c r="AJ48" i="112"/>
  <c r="AL48" i="112" s="1"/>
  <c r="AJ46" i="112"/>
  <c r="AL46" i="112" s="1"/>
  <c r="E31" i="112"/>
  <c r="K31" i="112" s="1"/>
  <c r="M31" i="112" s="1"/>
  <c r="Q31" i="112" s="1"/>
  <c r="I49" i="112"/>
  <c r="J49" i="112" s="1"/>
  <c r="O49" i="112" s="1"/>
  <c r="Q49" i="112" s="1"/>
  <c r="R49" i="112" s="1"/>
  <c r="AR49" i="112" s="1"/>
  <c r="AT30" i="112"/>
  <c r="AT31" i="112" s="1"/>
  <c r="AU31" i="112" s="1"/>
  <c r="AX31" i="112" s="1"/>
  <c r="BG31" i="112" s="1"/>
  <c r="AC29" i="112"/>
  <c r="I29" i="112"/>
  <c r="BO29" i="112" s="1"/>
  <c r="I42" i="112"/>
  <c r="J42" i="112" s="1"/>
  <c r="O42" i="112" s="1"/>
  <c r="Q42" i="112" s="1"/>
  <c r="R42" i="112" s="1"/>
  <c r="AR42" i="112" s="1"/>
  <c r="AY42" i="112" s="1"/>
  <c r="T42" i="112" s="1"/>
  <c r="T54" i="112" s="1"/>
  <c r="I47" i="112"/>
  <c r="J47" i="112" s="1"/>
  <c r="O47" i="112" s="1"/>
  <c r="Q47" i="112" s="1"/>
  <c r="R47" i="112" s="1"/>
  <c r="AR47" i="112" s="1"/>
  <c r="I30" i="112"/>
  <c r="J30" i="112" s="1"/>
  <c r="O30" i="112" s="1"/>
  <c r="Q30" i="112" s="1"/>
  <c r="AJ44" i="112"/>
  <c r="AL44" i="112" s="1"/>
  <c r="AT20" i="112"/>
  <c r="AU20" i="112" s="1"/>
  <c r="AX20" i="112" s="1"/>
  <c r="BG20" i="112" s="1"/>
  <c r="AJ43" i="112"/>
  <c r="AL43" i="112" s="1"/>
  <c r="CC6" i="111"/>
  <c r="AR6" i="111"/>
  <c r="AY6" i="111" s="1"/>
  <c r="CB7" i="111"/>
  <c r="AY47" i="111"/>
  <c r="T47" i="111" s="1"/>
  <c r="CB16" i="111"/>
  <c r="G133" i="79"/>
  <c r="G134" i="79" s="1"/>
  <c r="G87" i="79" s="1"/>
  <c r="G92" i="79" s="1"/>
  <c r="CB17" i="111"/>
  <c r="F136" i="8"/>
  <c r="F138" i="8" s="1"/>
  <c r="F91" i="8" s="1"/>
  <c r="BO19" i="112"/>
  <c r="J19" i="112"/>
  <c r="AJ29" i="61"/>
  <c r="AL29" i="61" s="1"/>
  <c r="I29" i="61"/>
  <c r="BT16" i="63"/>
  <c r="BX16" i="63" s="1"/>
  <c r="Y16" i="63" s="1"/>
  <c r="R16" i="63" s="1"/>
  <c r="BY16" i="63"/>
  <c r="AJ45" i="61"/>
  <c r="AL45" i="61" s="1"/>
  <c r="I45" i="61"/>
  <c r="J45" i="61" s="1"/>
  <c r="O45" i="61" s="1"/>
  <c r="Q45" i="61" s="1"/>
  <c r="R45" i="61" s="1"/>
  <c r="AR45" i="61" s="1"/>
  <c r="AY45" i="61" s="1"/>
  <c r="T45" i="61" s="1"/>
  <c r="AJ31" i="63"/>
  <c r="X107" i="60"/>
  <c r="W112" i="60"/>
  <c r="Z13" i="60" s="1"/>
  <c r="Z14" i="60" s="1"/>
  <c r="I53" i="61"/>
  <c r="J53" i="61" s="1"/>
  <c r="O53" i="61" s="1"/>
  <c r="Q53" i="61" s="1"/>
  <c r="R53" i="61" s="1"/>
  <c r="AR53" i="61" s="1"/>
  <c r="AJ53" i="61"/>
  <c r="AJ51" i="63"/>
  <c r="AL51" i="63" s="1"/>
  <c r="I51" i="63"/>
  <c r="J51" i="63" s="1"/>
  <c r="O51" i="63" s="1"/>
  <c r="Q51" i="63" s="1"/>
  <c r="R51" i="63" s="1"/>
  <c r="AR51" i="63" s="1"/>
  <c r="I43" i="61"/>
  <c r="J43" i="61" s="1"/>
  <c r="O43" i="61" s="1"/>
  <c r="Q43" i="61" s="1"/>
  <c r="R43" i="61" s="1"/>
  <c r="AR43" i="61" s="1"/>
  <c r="AY43" i="61" s="1"/>
  <c r="T43" i="61" s="1"/>
  <c r="AJ43" i="61"/>
  <c r="AL43" i="61" s="1"/>
  <c r="BO29" i="111"/>
  <c r="J29" i="111"/>
  <c r="O29" i="111" s="1"/>
  <c r="Q29" i="111" s="1"/>
  <c r="I46" i="63"/>
  <c r="J46" i="63" s="1"/>
  <c r="O46" i="63" s="1"/>
  <c r="Q46" i="63" s="1"/>
  <c r="R46" i="63" s="1"/>
  <c r="AR46" i="63" s="1"/>
  <c r="AY46" i="63" s="1"/>
  <c r="T46" i="63" s="1"/>
  <c r="AJ46" i="63"/>
  <c r="AL46" i="63" s="1"/>
  <c r="BO19" i="111"/>
  <c r="J19" i="111"/>
  <c r="F90" i="1"/>
  <c r="J18" i="63"/>
  <c r="BO18" i="63"/>
  <c r="R16" i="111"/>
  <c r="I42" i="54"/>
  <c r="AJ47" i="61"/>
  <c r="AL47" i="61" s="1"/>
  <c r="I47" i="61"/>
  <c r="J47" i="61" s="1"/>
  <c r="O47" i="61" s="1"/>
  <c r="Q47" i="61" s="1"/>
  <c r="R47" i="61" s="1"/>
  <c r="AR47" i="61" s="1"/>
  <c r="AJ31" i="61"/>
  <c r="M10" i="111"/>
  <c r="Q10" i="111" s="1"/>
  <c r="AL10" i="111"/>
  <c r="I10" i="111"/>
  <c r="BT8" i="63"/>
  <c r="BX8" i="63" s="1"/>
  <c r="BY8" i="63"/>
  <c r="K20" i="61"/>
  <c r="E21" i="61"/>
  <c r="AJ21" i="61" s="1"/>
  <c r="I29" i="63"/>
  <c r="AJ29" i="63"/>
  <c r="AL29" i="63" s="1"/>
  <c r="AU47" i="112"/>
  <c r="AX47" i="112" s="1"/>
  <c r="AT48" i="112"/>
  <c r="AU10" i="63"/>
  <c r="AX10" i="63" s="1"/>
  <c r="BG10" i="63" s="1"/>
  <c r="AT11" i="63"/>
  <c r="AU48" i="111"/>
  <c r="AX48" i="111" s="1"/>
  <c r="AY48" i="111" s="1"/>
  <c r="T48" i="111" s="1"/>
  <c r="AT49" i="111"/>
  <c r="AU30" i="61"/>
  <c r="AX30" i="61" s="1"/>
  <c r="BG30" i="61" s="1"/>
  <c r="AT31" i="61"/>
  <c r="AU10" i="112"/>
  <c r="AX10" i="112" s="1"/>
  <c r="BG10" i="112" s="1"/>
  <c r="AT11" i="112"/>
  <c r="Z24" i="103"/>
  <c r="M10" i="63"/>
  <c r="Q10" i="63" s="1"/>
  <c r="AL10" i="63"/>
  <c r="I10" i="63"/>
  <c r="K10" i="61"/>
  <c r="E11" i="61"/>
  <c r="AJ11" i="61" s="1"/>
  <c r="E36" i="100"/>
  <c r="W24" i="100"/>
  <c r="BO30" i="111"/>
  <c r="J30" i="111"/>
  <c r="D42" i="40"/>
  <c r="D44" i="40"/>
  <c r="D45" i="40"/>
  <c r="F156" i="8"/>
  <c r="F157" i="8" s="1"/>
  <c r="I44" i="54" s="1"/>
  <c r="F86" i="8"/>
  <c r="B86" i="8" s="1"/>
  <c r="K31" i="63"/>
  <c r="M31" i="63" s="1"/>
  <c r="Q31" i="63" s="1"/>
  <c r="E32" i="63"/>
  <c r="AJ32" i="63" s="1"/>
  <c r="I42" i="61"/>
  <c r="J42" i="61" s="1"/>
  <c r="O42" i="61" s="1"/>
  <c r="Q42" i="61" s="1"/>
  <c r="R42" i="61" s="1"/>
  <c r="AR42" i="61" s="1"/>
  <c r="AY42" i="61" s="1"/>
  <c r="T42" i="61" s="1"/>
  <c r="T54" i="61" s="1"/>
  <c r="AJ42" i="61"/>
  <c r="AL42" i="61" s="1"/>
  <c r="AJ49" i="61"/>
  <c r="AL49" i="61" s="1"/>
  <c r="I49" i="61"/>
  <c r="J49" i="61" s="1"/>
  <c r="O49" i="61" s="1"/>
  <c r="Q49" i="61" s="1"/>
  <c r="R49" i="61" s="1"/>
  <c r="AR49" i="61" s="1"/>
  <c r="F140" i="1"/>
  <c r="F95" i="1" s="1"/>
  <c r="F96" i="1" s="1"/>
  <c r="F91" i="1"/>
  <c r="Z24" i="100"/>
  <c r="M19" i="61"/>
  <c r="Q19" i="61" s="1"/>
  <c r="AL19" i="61"/>
  <c r="I19" i="61"/>
  <c r="AU47" i="63"/>
  <c r="AX47" i="63" s="1"/>
  <c r="AT48" i="63"/>
  <c r="AJ54" i="111"/>
  <c r="AK54" i="111" s="1"/>
  <c r="AL53" i="111"/>
  <c r="AL54" i="111" s="1"/>
  <c r="AU19" i="63"/>
  <c r="AX19" i="63" s="1"/>
  <c r="BG19" i="63" s="1"/>
  <c r="AT20" i="63"/>
  <c r="AJ48" i="63"/>
  <c r="AL48" i="63" s="1"/>
  <c r="I48" i="63"/>
  <c r="J48" i="63" s="1"/>
  <c r="O48" i="63" s="1"/>
  <c r="Q48" i="63" s="1"/>
  <c r="R48" i="63" s="1"/>
  <c r="AR48" i="63" s="1"/>
  <c r="AJ47" i="63"/>
  <c r="AL47" i="63" s="1"/>
  <c r="I47" i="63"/>
  <c r="J47" i="63" s="1"/>
  <c r="O47" i="63" s="1"/>
  <c r="Q47" i="63" s="1"/>
  <c r="R47" i="63" s="1"/>
  <c r="AR47" i="63" s="1"/>
  <c r="AJ49" i="63"/>
  <c r="AL49" i="63" s="1"/>
  <c r="I49" i="63"/>
  <c r="J49" i="63" s="1"/>
  <c r="O49" i="63" s="1"/>
  <c r="Q49" i="63" s="1"/>
  <c r="R49" i="63" s="1"/>
  <c r="AR49" i="63" s="1"/>
  <c r="AY46" i="112"/>
  <c r="T46" i="112" s="1"/>
  <c r="AU31" i="111"/>
  <c r="AX31" i="111" s="1"/>
  <c r="BG31" i="111" s="1"/>
  <c r="AT32" i="111"/>
  <c r="K11" i="63"/>
  <c r="E12" i="63"/>
  <c r="AJ12" i="63" s="1"/>
  <c r="BT8" i="111"/>
  <c r="BX8" i="111" s="1"/>
  <c r="BY8" i="111"/>
  <c r="AU30" i="63"/>
  <c r="AX30" i="63" s="1"/>
  <c r="BG30" i="63" s="1"/>
  <c r="AT31" i="63"/>
  <c r="AJ51" i="61"/>
  <c r="AL51" i="61" s="1"/>
  <c r="I51" i="61"/>
  <c r="J51" i="61" s="1"/>
  <c r="O51" i="61" s="1"/>
  <c r="Q51" i="61" s="1"/>
  <c r="R51" i="61" s="1"/>
  <c r="AR51" i="61" s="1"/>
  <c r="I30" i="63"/>
  <c r="AJ30" i="63"/>
  <c r="AL30" i="63" s="1"/>
  <c r="I18" i="79"/>
  <c r="I19" i="79" s="1"/>
  <c r="H30" i="79"/>
  <c r="H31" i="79"/>
  <c r="K20" i="63"/>
  <c r="E21" i="63"/>
  <c r="AJ21" i="63" s="1"/>
  <c r="A31" i="35"/>
  <c r="C30" i="35"/>
  <c r="BO9" i="63"/>
  <c r="J9" i="63"/>
  <c r="BT7" i="61"/>
  <c r="BX7" i="61" s="1"/>
  <c r="Y7" i="61" s="1"/>
  <c r="K13" i="99" s="1"/>
  <c r="N13" i="99" s="1"/>
  <c r="V28" i="99" s="1"/>
  <c r="BY7" i="61"/>
  <c r="AJ43" i="63"/>
  <c r="AL43" i="63" s="1"/>
  <c r="I43" i="63"/>
  <c r="J43" i="63" s="1"/>
  <c r="O43" i="63" s="1"/>
  <c r="Q43" i="63" s="1"/>
  <c r="R43" i="63" s="1"/>
  <c r="AR43" i="63" s="1"/>
  <c r="AY43" i="63" s="1"/>
  <c r="T43" i="63" s="1"/>
  <c r="K11" i="111"/>
  <c r="E12" i="111"/>
  <c r="AJ12" i="111" s="1"/>
  <c r="N38" i="77"/>
  <c r="N40" i="77" s="1"/>
  <c r="K41" i="77" s="1"/>
  <c r="AC20" i="82"/>
  <c r="K40" i="77"/>
  <c r="AC22" i="82" s="1"/>
  <c r="BT18" i="111"/>
  <c r="BX18" i="111" s="1"/>
  <c r="BY18" i="111"/>
  <c r="M20" i="112"/>
  <c r="Q20" i="112" s="1"/>
  <c r="I20" i="112"/>
  <c r="AJ50" i="61"/>
  <c r="AL50" i="61" s="1"/>
  <c r="I50" i="61"/>
  <c r="J50" i="61" s="1"/>
  <c r="O50" i="61" s="1"/>
  <c r="Q50" i="61" s="1"/>
  <c r="R50" i="61" s="1"/>
  <c r="AR50" i="61" s="1"/>
  <c r="BT16" i="61"/>
  <c r="BX16" i="61" s="1"/>
  <c r="Y16" i="61" s="1"/>
  <c r="R16" i="61" s="1"/>
  <c r="BY16" i="61"/>
  <c r="E36" i="103"/>
  <c r="W24" i="103"/>
  <c r="F16" i="4"/>
  <c r="V2" i="56"/>
  <c r="V5" i="56" s="1"/>
  <c r="V4" i="56" s="1"/>
  <c r="V7" i="56" s="1"/>
  <c r="V8" i="56" s="1"/>
  <c r="V9" i="56" s="1"/>
  <c r="V10" i="56" s="1"/>
  <c r="V11" i="56" s="1"/>
  <c r="V12" i="56" s="1"/>
  <c r="V13" i="56" s="1"/>
  <c r="V14" i="56" s="1"/>
  <c r="V15" i="56" s="1"/>
  <c r="V16" i="56" s="1"/>
  <c r="V17" i="56" s="1"/>
  <c r="V18" i="56" s="1"/>
  <c r="F16" i="56" s="1"/>
  <c r="I16" i="56" s="1"/>
  <c r="I18" i="80"/>
  <c r="I19" i="80" s="1"/>
  <c r="H30" i="80"/>
  <c r="H31" i="80"/>
  <c r="CB7" i="63"/>
  <c r="I50" i="63"/>
  <c r="J50" i="63" s="1"/>
  <c r="O50" i="63" s="1"/>
  <c r="Q50" i="63" s="1"/>
  <c r="R50" i="63" s="1"/>
  <c r="AR50" i="63" s="1"/>
  <c r="AJ50" i="63"/>
  <c r="AL50" i="63" s="1"/>
  <c r="I42" i="63"/>
  <c r="J42" i="63" s="1"/>
  <c r="O42" i="63" s="1"/>
  <c r="Q42" i="63" s="1"/>
  <c r="R42" i="63" s="1"/>
  <c r="AR42" i="63" s="1"/>
  <c r="AY42" i="63" s="1"/>
  <c r="T42" i="63" s="1"/>
  <c r="T54" i="63" s="1"/>
  <c r="AJ42" i="63"/>
  <c r="AL42" i="63" s="1"/>
  <c r="I52" i="63"/>
  <c r="J52" i="63" s="1"/>
  <c r="O52" i="63" s="1"/>
  <c r="Q52" i="63" s="1"/>
  <c r="R52" i="63" s="1"/>
  <c r="AR52" i="63" s="1"/>
  <c r="AJ52" i="63"/>
  <c r="AL52" i="63" s="1"/>
  <c r="K31" i="61"/>
  <c r="I31" i="61" s="1"/>
  <c r="E32" i="61"/>
  <c r="AJ32" i="61" s="1"/>
  <c r="BT17" i="63"/>
  <c r="BX17" i="63" s="1"/>
  <c r="Y17" i="63" s="1"/>
  <c r="R17" i="63" s="1"/>
  <c r="BY17" i="63"/>
  <c r="AJ30" i="61"/>
  <c r="I30" i="61"/>
  <c r="I20" i="111"/>
  <c r="M20" i="111"/>
  <c r="Q20" i="111" s="1"/>
  <c r="AL20" i="111"/>
  <c r="E30" i="35"/>
  <c r="F31" i="35"/>
  <c r="D28" i="35"/>
  <c r="AJ52" i="61"/>
  <c r="AL52" i="61" s="1"/>
  <c r="I52" i="61"/>
  <c r="J52" i="61" s="1"/>
  <c r="O52" i="61" s="1"/>
  <c r="Q52" i="61" s="1"/>
  <c r="R52" i="61" s="1"/>
  <c r="AR52" i="61" s="1"/>
  <c r="I53" i="63"/>
  <c r="J53" i="63" s="1"/>
  <c r="O53" i="63" s="1"/>
  <c r="Q53" i="63" s="1"/>
  <c r="R53" i="63" s="1"/>
  <c r="AR53" i="63" s="1"/>
  <c r="AJ53" i="63"/>
  <c r="G82" i="80"/>
  <c r="G69" i="80"/>
  <c r="G121" i="80"/>
  <c r="G122" i="80" s="1"/>
  <c r="G105" i="80"/>
  <c r="G108" i="80" s="1"/>
  <c r="G84" i="80" s="1"/>
  <c r="G97" i="80" s="1"/>
  <c r="G98" i="80" s="1"/>
  <c r="G85" i="80" s="1"/>
  <c r="G113" i="80"/>
  <c r="G117" i="80" s="1"/>
  <c r="G86" i="80" s="1"/>
  <c r="I19" i="63"/>
  <c r="M19" i="63"/>
  <c r="Q19" i="63" s="1"/>
  <c r="AL19" i="63"/>
  <c r="M9" i="61"/>
  <c r="Q9" i="61" s="1"/>
  <c r="AL9" i="61"/>
  <c r="I9" i="61"/>
  <c r="AU19" i="61"/>
  <c r="AX19" i="61" s="1"/>
  <c r="BG19" i="61" s="1"/>
  <c r="AT20" i="61"/>
  <c r="AU20" i="111"/>
  <c r="AX20" i="111" s="1"/>
  <c r="BG20" i="111" s="1"/>
  <c r="AT21" i="111"/>
  <c r="K32" i="111"/>
  <c r="E33" i="111"/>
  <c r="AJ33" i="111" s="1"/>
  <c r="G118" i="1"/>
  <c r="G66" i="1"/>
  <c r="J8" i="61"/>
  <c r="BO8" i="61"/>
  <c r="K21" i="100"/>
  <c r="N9" i="100"/>
  <c r="AU47" i="61"/>
  <c r="AX47" i="61" s="1"/>
  <c r="AT48" i="61"/>
  <c r="CB6" i="61"/>
  <c r="I31" i="111"/>
  <c r="M31" i="111"/>
  <c r="Q31" i="111" s="1"/>
  <c r="AL31" i="111"/>
  <c r="J9" i="111"/>
  <c r="BO9" i="111"/>
  <c r="AU11" i="111"/>
  <c r="AX11" i="111" s="1"/>
  <c r="BG11" i="111" s="1"/>
  <c r="AT12" i="111"/>
  <c r="AJ46" i="61"/>
  <c r="AL46" i="61" s="1"/>
  <c r="I46" i="61"/>
  <c r="J46" i="61" s="1"/>
  <c r="O46" i="61" s="1"/>
  <c r="Q46" i="61" s="1"/>
  <c r="R46" i="61" s="1"/>
  <c r="AR46" i="61" s="1"/>
  <c r="AY46" i="61" s="1"/>
  <c r="T46" i="61" s="1"/>
  <c r="AJ44" i="61"/>
  <c r="AL44" i="61" s="1"/>
  <c r="I44" i="61"/>
  <c r="J44" i="61" s="1"/>
  <c r="O44" i="61" s="1"/>
  <c r="Q44" i="61" s="1"/>
  <c r="R44" i="61" s="1"/>
  <c r="AR44" i="61" s="1"/>
  <c r="AY44" i="61" s="1"/>
  <c r="T44" i="61" s="1"/>
  <c r="AJ48" i="61"/>
  <c r="AL48" i="61" s="1"/>
  <c r="I48" i="61"/>
  <c r="J48" i="61" s="1"/>
  <c r="O48" i="61" s="1"/>
  <c r="Q48" i="61" s="1"/>
  <c r="R48" i="61" s="1"/>
  <c r="AR48" i="61" s="1"/>
  <c r="K21" i="111"/>
  <c r="E22" i="111"/>
  <c r="AJ22" i="111" s="1"/>
  <c r="AU10" i="61"/>
  <c r="AX10" i="61" s="1"/>
  <c r="BG10" i="61" s="1"/>
  <c r="AT11" i="61"/>
  <c r="J18" i="61"/>
  <c r="BO18" i="61"/>
  <c r="X115" i="60"/>
  <c r="W120" i="60"/>
  <c r="AA13" i="60" s="1"/>
  <c r="AA14" i="60" s="1"/>
  <c r="B45" i="114"/>
  <c r="D45" i="114"/>
  <c r="I44" i="63"/>
  <c r="J44" i="63" s="1"/>
  <c r="O44" i="63" s="1"/>
  <c r="Q44" i="63" s="1"/>
  <c r="R44" i="63" s="1"/>
  <c r="AR44" i="63" s="1"/>
  <c r="AY44" i="63" s="1"/>
  <c r="T44" i="63" s="1"/>
  <c r="AJ44" i="63"/>
  <c r="AL44" i="63" s="1"/>
  <c r="I45" i="63"/>
  <c r="J45" i="63" s="1"/>
  <c r="O45" i="63" s="1"/>
  <c r="Q45" i="63" s="1"/>
  <c r="R45" i="63" s="1"/>
  <c r="AR45" i="63" s="1"/>
  <c r="AY45" i="63" s="1"/>
  <c r="T45" i="63" s="1"/>
  <c r="AJ45" i="63"/>
  <c r="AL45" i="63" s="1"/>
  <c r="H24" i="8" l="1"/>
  <c r="H25" i="8" s="1"/>
  <c r="H29" i="8"/>
  <c r="T18" i="66"/>
  <c r="G40" i="66"/>
  <c r="D11" i="66"/>
  <c r="F38" i="66"/>
  <c r="H24" i="1"/>
  <c r="H25" i="1" s="1"/>
  <c r="H29" i="1"/>
  <c r="G40" i="65"/>
  <c r="F38" i="65"/>
  <c r="D11" i="65"/>
  <c r="T18" i="65"/>
  <c r="G39" i="8"/>
  <c r="H33" i="8"/>
  <c r="D8" i="66"/>
  <c r="G123" i="8"/>
  <c r="G18" i="4"/>
  <c r="G18" i="56" s="1"/>
  <c r="F40" i="48"/>
  <c r="AL30" i="61"/>
  <c r="BO17" i="61"/>
  <c r="J17" i="61"/>
  <c r="O17" i="61" s="1"/>
  <c r="Q17" i="61" s="1"/>
  <c r="E22" i="112"/>
  <c r="AJ22" i="112" s="1"/>
  <c r="K21" i="112"/>
  <c r="I21" i="112" s="1"/>
  <c r="I36" i="103"/>
  <c r="I52" i="112"/>
  <c r="J52" i="112" s="1"/>
  <c r="O52" i="112" s="1"/>
  <c r="Q52" i="112" s="1"/>
  <c r="R52" i="112" s="1"/>
  <c r="AR52" i="112" s="1"/>
  <c r="I36" i="100"/>
  <c r="I53" i="112"/>
  <c r="J53" i="112" s="1"/>
  <c r="O53" i="112" s="1"/>
  <c r="Q53" i="112" s="1"/>
  <c r="R53" i="112" s="1"/>
  <c r="AR53" i="112" s="1"/>
  <c r="I36" i="99"/>
  <c r="AL52" i="112"/>
  <c r="K21" i="99"/>
  <c r="AJ53" i="112"/>
  <c r="AJ54" i="112" s="1"/>
  <c r="AK54" i="112" s="1"/>
  <c r="R7" i="112"/>
  <c r="AR7" i="112" s="1"/>
  <c r="AY7" i="112" s="1"/>
  <c r="E28" i="102"/>
  <c r="R7" i="61"/>
  <c r="AR7" i="111"/>
  <c r="AY7" i="111" s="1"/>
  <c r="AR7" i="63"/>
  <c r="AR6" i="61"/>
  <c r="J27" i="99" s="1"/>
  <c r="AA27" i="99" s="1"/>
  <c r="AR6" i="63"/>
  <c r="V27" i="99"/>
  <c r="N21" i="99"/>
  <c r="V27" i="102"/>
  <c r="N21" i="102"/>
  <c r="AJ10" i="112"/>
  <c r="AL10" i="112" s="1"/>
  <c r="AA25" i="99"/>
  <c r="E11" i="112"/>
  <c r="AJ11" i="112" s="1"/>
  <c r="I10" i="112"/>
  <c r="J10" i="112" s="1"/>
  <c r="BO9" i="112"/>
  <c r="BY9" i="112" s="1"/>
  <c r="J9" i="112"/>
  <c r="E25" i="105"/>
  <c r="W25" i="105" s="1"/>
  <c r="AA25" i="102"/>
  <c r="BY16" i="112"/>
  <c r="CB16" i="112" s="1"/>
  <c r="BT8" i="112"/>
  <c r="BX8" i="112" s="1"/>
  <c r="CB8" i="112" s="1"/>
  <c r="AL9" i="112"/>
  <c r="M9" i="112"/>
  <c r="Q9" i="112" s="1"/>
  <c r="AJ31" i="112"/>
  <c r="AL31" i="112" s="1"/>
  <c r="N9" i="103"/>
  <c r="V24" i="103" s="1"/>
  <c r="R16" i="112"/>
  <c r="BY18" i="112"/>
  <c r="CB18" i="112" s="1"/>
  <c r="BT17" i="112"/>
  <c r="BX17" i="112" s="1"/>
  <c r="CC7" i="112"/>
  <c r="AT32" i="112"/>
  <c r="AU32" i="112" s="1"/>
  <c r="AX32" i="112" s="1"/>
  <c r="BG32" i="112" s="1"/>
  <c r="J29" i="112"/>
  <c r="O29" i="112" s="1"/>
  <c r="Q29" i="112" s="1"/>
  <c r="E24" i="105" s="1"/>
  <c r="E32" i="112"/>
  <c r="I31" i="112"/>
  <c r="J31" i="112" s="1"/>
  <c r="AU30" i="112"/>
  <c r="AX30" i="112" s="1"/>
  <c r="BG30" i="112" s="1"/>
  <c r="BO30" i="112"/>
  <c r="BT30" i="112" s="1"/>
  <c r="BX30" i="112" s="1"/>
  <c r="Y30" i="112" s="1"/>
  <c r="K10" i="105" s="1"/>
  <c r="N10" i="105" s="1"/>
  <c r="V25" i="105" s="1"/>
  <c r="AY47" i="112"/>
  <c r="T47" i="112" s="1"/>
  <c r="AT21" i="112"/>
  <c r="AT22" i="112" s="1"/>
  <c r="CC7" i="111"/>
  <c r="CC17" i="111"/>
  <c r="AR17" i="111"/>
  <c r="AY17" i="111" s="1"/>
  <c r="CC16" i="111"/>
  <c r="AR16" i="111"/>
  <c r="AY16" i="111" s="1"/>
  <c r="CB8" i="111"/>
  <c r="CB8" i="63"/>
  <c r="CB7" i="61"/>
  <c r="G138" i="79"/>
  <c r="G140" i="79" s="1"/>
  <c r="G93" i="79" s="1"/>
  <c r="G94" i="79" s="1"/>
  <c r="AY47" i="61"/>
  <c r="T47" i="61" s="1"/>
  <c r="F140" i="8"/>
  <c r="F95" i="8" s="1"/>
  <c r="F96" i="8" s="1"/>
  <c r="F126" i="8" s="1"/>
  <c r="F127" i="8" s="1"/>
  <c r="F129" i="8" s="1"/>
  <c r="CB18" i="111"/>
  <c r="F90" i="8"/>
  <c r="CB17" i="63"/>
  <c r="CB16" i="61"/>
  <c r="BO31" i="61"/>
  <c r="J31" i="61"/>
  <c r="BT18" i="61"/>
  <c r="BX18" i="61" s="1"/>
  <c r="BY18" i="61"/>
  <c r="BT9" i="111"/>
  <c r="BX9" i="111" s="1"/>
  <c r="BY9" i="111"/>
  <c r="AU48" i="61"/>
  <c r="AX48" i="61" s="1"/>
  <c r="AY48" i="61" s="1"/>
  <c r="T48" i="61" s="1"/>
  <c r="AT49" i="61"/>
  <c r="AU20" i="61"/>
  <c r="AX20" i="61" s="1"/>
  <c r="BG20" i="61" s="1"/>
  <c r="AT21" i="61"/>
  <c r="H48" i="114"/>
  <c r="I46" i="114"/>
  <c r="L51" i="114"/>
  <c r="A53" i="114"/>
  <c r="H49" i="114"/>
  <c r="F48" i="114"/>
  <c r="BT29" i="112"/>
  <c r="BX29" i="112" s="1"/>
  <c r="Y29" i="112" s="1"/>
  <c r="K9" i="105" s="1"/>
  <c r="BY29" i="112"/>
  <c r="I22" i="80"/>
  <c r="L16" i="56"/>
  <c r="AY47" i="63"/>
  <c r="T47" i="63" s="1"/>
  <c r="AU49" i="111"/>
  <c r="AX49" i="111" s="1"/>
  <c r="AY49" i="111" s="1"/>
  <c r="T49" i="111" s="1"/>
  <c r="AT50" i="111"/>
  <c r="AU48" i="112"/>
  <c r="AX48" i="112" s="1"/>
  <c r="AY48" i="112" s="1"/>
  <c r="T48" i="112" s="1"/>
  <c r="AT49" i="112"/>
  <c r="I45" i="54"/>
  <c r="G95" i="60"/>
  <c r="B46" i="114"/>
  <c r="D46" i="114"/>
  <c r="AU11" i="61"/>
  <c r="AX11" i="61" s="1"/>
  <c r="BG11" i="61" s="1"/>
  <c r="AT12" i="61"/>
  <c r="V24" i="100"/>
  <c r="N21" i="100"/>
  <c r="BO9" i="61"/>
  <c r="J9" i="61"/>
  <c r="K32" i="61"/>
  <c r="E33" i="61"/>
  <c r="AJ33" i="61" s="1"/>
  <c r="BT9" i="63"/>
  <c r="BX9" i="63" s="1"/>
  <c r="BY9" i="63"/>
  <c r="BO19" i="61"/>
  <c r="J19" i="61"/>
  <c r="AJ54" i="61"/>
  <c r="AK54" i="61" s="1"/>
  <c r="AL53" i="61"/>
  <c r="AL54" i="61" s="1"/>
  <c r="H32" i="79"/>
  <c r="H38" i="79" s="1"/>
  <c r="AU32" i="111"/>
  <c r="AX32" i="111" s="1"/>
  <c r="BG32" i="111" s="1"/>
  <c r="AT33" i="111"/>
  <c r="I45" i="53"/>
  <c r="J10" i="111"/>
  <c r="BO10" i="111"/>
  <c r="BT19" i="111"/>
  <c r="BX19" i="111" s="1"/>
  <c r="BY19" i="111"/>
  <c r="J29" i="61"/>
  <c r="O29" i="61" s="1"/>
  <c r="Q29" i="61" s="1"/>
  <c r="I24" i="101" s="1"/>
  <c r="BO29" i="61"/>
  <c r="M32" i="111"/>
  <c r="Q32" i="111" s="1"/>
  <c r="AL32" i="111"/>
  <c r="I32" i="111"/>
  <c r="I22" i="79"/>
  <c r="AU11" i="63"/>
  <c r="AX11" i="63" s="1"/>
  <c r="BG11" i="63" s="1"/>
  <c r="AT12" i="63"/>
  <c r="K21" i="61"/>
  <c r="E22" i="61"/>
  <c r="AJ22" i="61" s="1"/>
  <c r="K22" i="111"/>
  <c r="E23" i="111"/>
  <c r="AJ23" i="111" s="1"/>
  <c r="AU12" i="111"/>
  <c r="AX12" i="111" s="1"/>
  <c r="BG12" i="111" s="1"/>
  <c r="AT13" i="111"/>
  <c r="J31" i="111"/>
  <c r="BO31" i="111"/>
  <c r="BT8" i="61"/>
  <c r="BX8" i="61" s="1"/>
  <c r="BY8" i="61"/>
  <c r="J20" i="111"/>
  <c r="BO20" i="111"/>
  <c r="J20" i="112"/>
  <c r="BO20" i="112"/>
  <c r="M11" i="111"/>
  <c r="Q11" i="111" s="1"/>
  <c r="AL11" i="111"/>
  <c r="I11" i="111"/>
  <c r="A32" i="35"/>
  <c r="BO30" i="63"/>
  <c r="J30" i="63"/>
  <c r="O30" i="63" s="1"/>
  <c r="Q30" i="63" s="1"/>
  <c r="K12" i="63"/>
  <c r="E13" i="63"/>
  <c r="AJ13" i="63" s="1"/>
  <c r="AU20" i="63"/>
  <c r="AX20" i="63" s="1"/>
  <c r="BG20" i="63" s="1"/>
  <c r="AT21" i="63"/>
  <c r="BT30" i="111"/>
  <c r="BX30" i="111" s="1"/>
  <c r="BY30" i="111"/>
  <c r="M10" i="61"/>
  <c r="Q10" i="61" s="1"/>
  <c r="AL10" i="61"/>
  <c r="I10" i="61"/>
  <c r="M20" i="61"/>
  <c r="Q20" i="61" s="1"/>
  <c r="AL20" i="61"/>
  <c r="I20" i="61"/>
  <c r="BT18" i="63"/>
  <c r="BX18" i="63" s="1"/>
  <c r="BY18" i="63"/>
  <c r="CC6" i="61"/>
  <c r="K27" i="99" s="1"/>
  <c r="AJ54" i="63"/>
  <c r="AK54" i="63" s="1"/>
  <c r="AL53" i="63"/>
  <c r="AL54" i="63" s="1"/>
  <c r="AU31" i="61"/>
  <c r="AX31" i="61" s="1"/>
  <c r="BG31" i="61" s="1"/>
  <c r="AT32" i="61"/>
  <c r="H32" i="80"/>
  <c r="H38" i="80" s="1"/>
  <c r="AU48" i="63"/>
  <c r="AX48" i="63" s="1"/>
  <c r="AY48" i="63" s="1"/>
  <c r="T48" i="63" s="1"/>
  <c r="AT49" i="63"/>
  <c r="F126" i="1"/>
  <c r="F127" i="1" s="1"/>
  <c r="F129" i="1" s="1"/>
  <c r="AH17" i="4"/>
  <c r="M31" i="61"/>
  <c r="Q31" i="61" s="1"/>
  <c r="AL31" i="61"/>
  <c r="K12" i="111"/>
  <c r="E13" i="111"/>
  <c r="AJ13" i="111" s="1"/>
  <c r="M21" i="111"/>
  <c r="Q21" i="111" s="1"/>
  <c r="AL21" i="111"/>
  <c r="I21" i="111"/>
  <c r="BO30" i="61"/>
  <c r="J30" i="61"/>
  <c r="F47" i="33"/>
  <c r="I16" i="4"/>
  <c r="G23" i="51"/>
  <c r="K23" i="51" s="1"/>
  <c r="K21" i="63"/>
  <c r="E22" i="63"/>
  <c r="AJ22" i="63" s="1"/>
  <c r="M11" i="63"/>
  <c r="Q11" i="63" s="1"/>
  <c r="AL11" i="63"/>
  <c r="I11" i="63"/>
  <c r="BO10" i="63"/>
  <c r="J10" i="63"/>
  <c r="AU11" i="112"/>
  <c r="AX11" i="112" s="1"/>
  <c r="BG11" i="112" s="1"/>
  <c r="AT12" i="112"/>
  <c r="E24" i="101"/>
  <c r="AL31" i="63"/>
  <c r="BT19" i="112"/>
  <c r="BX19" i="112" s="1"/>
  <c r="BY19" i="112"/>
  <c r="BO19" i="63"/>
  <c r="J19" i="63"/>
  <c r="K33" i="111"/>
  <c r="E34" i="111"/>
  <c r="AJ34" i="111" s="1"/>
  <c r="K32" i="63"/>
  <c r="E33" i="63"/>
  <c r="AJ33" i="63" s="1"/>
  <c r="G133" i="80"/>
  <c r="G134" i="80" s="1"/>
  <c r="G87" i="80" s="1"/>
  <c r="G138" i="80" s="1"/>
  <c r="G140" i="80" s="1"/>
  <c r="G93" i="80" s="1"/>
  <c r="F32" i="35"/>
  <c r="D29" i="35"/>
  <c r="E31" i="35"/>
  <c r="K11" i="61"/>
  <c r="E12" i="61"/>
  <c r="AJ12" i="61" s="1"/>
  <c r="M95" i="60"/>
  <c r="G111" i="1"/>
  <c r="G115" i="1" s="1"/>
  <c r="G84" i="1" s="1"/>
  <c r="G119" i="1"/>
  <c r="G120" i="1" s="1"/>
  <c r="G103" i="1"/>
  <c r="G106" i="1" s="1"/>
  <c r="G82" i="1" s="1"/>
  <c r="G136" i="1" s="1"/>
  <c r="G138" i="1" s="1"/>
  <c r="G91" i="1" s="1"/>
  <c r="G80" i="1"/>
  <c r="G67" i="1"/>
  <c r="AU21" i="111"/>
  <c r="AX21" i="111" s="1"/>
  <c r="BG21" i="111" s="1"/>
  <c r="AT22" i="111"/>
  <c r="CC7" i="63"/>
  <c r="K28" i="102" s="1"/>
  <c r="AB28" i="102" s="1"/>
  <c r="M20" i="63"/>
  <c r="Q20" i="63" s="1"/>
  <c r="AL20" i="63"/>
  <c r="I20" i="63"/>
  <c r="AU31" i="63"/>
  <c r="AX31" i="63" s="1"/>
  <c r="BG31" i="63" s="1"/>
  <c r="AT32" i="63"/>
  <c r="AM54" i="111"/>
  <c r="AN54" i="111" s="1"/>
  <c r="BO29" i="63"/>
  <c r="J29" i="63"/>
  <c r="O29" i="63" s="1"/>
  <c r="Q29" i="63" s="1"/>
  <c r="BT29" i="111"/>
  <c r="BX29" i="111" s="1"/>
  <c r="Y29" i="111" s="1"/>
  <c r="K9" i="101" s="1"/>
  <c r="BY29" i="111"/>
  <c r="I31" i="63"/>
  <c r="CB16" i="63"/>
  <c r="H34" i="1" l="1"/>
  <c r="H27" i="1"/>
  <c r="G118" i="8"/>
  <c r="G66" i="8"/>
  <c r="T20" i="65"/>
  <c r="T19" i="65"/>
  <c r="T19" i="66"/>
  <c r="T20" i="66"/>
  <c r="D42" i="48"/>
  <c r="D44" i="48"/>
  <c r="D45" i="48"/>
  <c r="H34" i="8"/>
  <c r="H27" i="8"/>
  <c r="BY17" i="61"/>
  <c r="BT17" i="61"/>
  <c r="BX17" i="61" s="1"/>
  <c r="Y17" i="61" s="1"/>
  <c r="R17" i="61" s="1"/>
  <c r="K22" i="112"/>
  <c r="M22" i="112" s="1"/>
  <c r="Q22" i="112" s="1"/>
  <c r="AL21" i="112"/>
  <c r="M21" i="112"/>
  <c r="Q21" i="112" s="1"/>
  <c r="E23" i="112"/>
  <c r="AJ23" i="112" s="1"/>
  <c r="AL53" i="112"/>
  <c r="AL54" i="112" s="1"/>
  <c r="AM54" i="112" s="1"/>
  <c r="AN54" i="112" s="1"/>
  <c r="CB17" i="112"/>
  <c r="CC17" i="112" s="1"/>
  <c r="Y17" i="112"/>
  <c r="K36" i="102"/>
  <c r="AY7" i="63"/>
  <c r="J28" i="102"/>
  <c r="AA28" i="102" s="1"/>
  <c r="W28" i="102"/>
  <c r="E36" i="102"/>
  <c r="AR18" i="112"/>
  <c r="AY18" i="112" s="1"/>
  <c r="CC16" i="112"/>
  <c r="AR16" i="63"/>
  <c r="AY16" i="63" s="1"/>
  <c r="AR8" i="111"/>
  <c r="AY8" i="111" s="1"/>
  <c r="AR8" i="63"/>
  <c r="AY8" i="63" s="1"/>
  <c r="AY6" i="61"/>
  <c r="BO10" i="112"/>
  <c r="BY10" i="112" s="1"/>
  <c r="AB27" i="99"/>
  <c r="AY6" i="63"/>
  <c r="J27" i="102"/>
  <c r="BT9" i="112"/>
  <c r="BX9" i="112" s="1"/>
  <c r="CB9" i="112" s="1"/>
  <c r="E12" i="112"/>
  <c r="AJ12" i="112" s="1"/>
  <c r="K11" i="112"/>
  <c r="M11" i="112" s="1"/>
  <c r="Q11" i="112" s="1"/>
  <c r="R30" i="112"/>
  <c r="I25" i="105"/>
  <c r="Z25" i="105" s="1"/>
  <c r="E33" i="112"/>
  <c r="K33" i="112" s="1"/>
  <c r="AJ32" i="112"/>
  <c r="AR16" i="112"/>
  <c r="AY16" i="112" s="1"/>
  <c r="K32" i="112"/>
  <c r="M32" i="112" s="1"/>
  <c r="Q32" i="112" s="1"/>
  <c r="AT33" i="112"/>
  <c r="AT34" i="112" s="1"/>
  <c r="BY30" i="112"/>
  <c r="CB30" i="112" s="1"/>
  <c r="BO31" i="112"/>
  <c r="BT31" i="112" s="1"/>
  <c r="BX31" i="112" s="1"/>
  <c r="AU21" i="112"/>
  <c r="AX21" i="112" s="1"/>
  <c r="BG21" i="112" s="1"/>
  <c r="CC8" i="63"/>
  <c r="CC8" i="111"/>
  <c r="CC7" i="61"/>
  <c r="K28" i="99" s="1"/>
  <c r="AB28" i="99" s="1"/>
  <c r="AR7" i="61"/>
  <c r="CC8" i="112"/>
  <c r="AR8" i="112"/>
  <c r="AY8" i="112" s="1"/>
  <c r="AR17" i="63"/>
  <c r="AR18" i="111"/>
  <c r="AY18" i="111" s="1"/>
  <c r="CC16" i="61"/>
  <c r="K24" i="100" s="1"/>
  <c r="AR16" i="61"/>
  <c r="CB9" i="63"/>
  <c r="CC18" i="111"/>
  <c r="CB8" i="61"/>
  <c r="AI17" i="4"/>
  <c r="CC17" i="63"/>
  <c r="K25" i="103" s="1"/>
  <c r="AB25" i="103" s="1"/>
  <c r="R29" i="112"/>
  <c r="CB18" i="63"/>
  <c r="CB30" i="111"/>
  <c r="CB19" i="111"/>
  <c r="CB29" i="111"/>
  <c r="G95" i="1"/>
  <c r="G96" i="1" s="1"/>
  <c r="AH18" i="4" s="1"/>
  <c r="CB19" i="112"/>
  <c r="CB18" i="61"/>
  <c r="G92" i="80"/>
  <c r="G94" i="80" s="1"/>
  <c r="AU32" i="63"/>
  <c r="AX32" i="63" s="1"/>
  <c r="BG32" i="63" s="1"/>
  <c r="AT33" i="63"/>
  <c r="BT19" i="61"/>
  <c r="BX19" i="61" s="1"/>
  <c r="BY19" i="61"/>
  <c r="M33" i="111"/>
  <c r="Q33" i="111" s="1"/>
  <c r="AL33" i="111"/>
  <c r="I33" i="111"/>
  <c r="BO10" i="61"/>
  <c r="J10" i="61"/>
  <c r="Z24" i="101"/>
  <c r="I36" i="101"/>
  <c r="BT10" i="63"/>
  <c r="BX10" i="63" s="1"/>
  <c r="BY10" i="63"/>
  <c r="BO21" i="111"/>
  <c r="J21" i="111"/>
  <c r="BT31" i="111"/>
  <c r="BX31" i="111" s="1"/>
  <c r="BY31" i="111"/>
  <c r="AU12" i="63"/>
  <c r="AX12" i="63" s="1"/>
  <c r="BG12" i="63" s="1"/>
  <c r="AT13" i="63"/>
  <c r="H39" i="79"/>
  <c r="H41" i="79" s="1"/>
  <c r="I33" i="79"/>
  <c r="H17" i="79"/>
  <c r="H125" i="79"/>
  <c r="CC18" i="112"/>
  <c r="BT9" i="61"/>
  <c r="BX9" i="61" s="1"/>
  <c r="BY9" i="61"/>
  <c r="B47" i="114"/>
  <c r="D47" i="114"/>
  <c r="E46" i="114" s="1"/>
  <c r="AU49" i="112"/>
  <c r="AX49" i="112" s="1"/>
  <c r="AY49" i="112" s="1"/>
  <c r="T49" i="112" s="1"/>
  <c r="AT50" i="112"/>
  <c r="AU21" i="61"/>
  <c r="AX21" i="61" s="1"/>
  <c r="BG21" i="61" s="1"/>
  <c r="AT22" i="61"/>
  <c r="M32" i="63"/>
  <c r="Q32" i="63" s="1"/>
  <c r="AL32" i="63"/>
  <c r="I32" i="63"/>
  <c r="BT19" i="63"/>
  <c r="BX19" i="63" s="1"/>
  <c r="BY19" i="63"/>
  <c r="R29" i="111"/>
  <c r="M21" i="63"/>
  <c r="Q21" i="63" s="1"/>
  <c r="AL21" i="63"/>
  <c r="I21" i="63"/>
  <c r="I33" i="80"/>
  <c r="H39" i="80"/>
  <c r="H41" i="80" s="1"/>
  <c r="H17" i="80"/>
  <c r="H125" i="80"/>
  <c r="BT30" i="63"/>
  <c r="BX30" i="63" s="1"/>
  <c r="Y30" i="63" s="1"/>
  <c r="R30" i="63" s="1"/>
  <c r="BY30" i="63"/>
  <c r="F130" i="8"/>
  <c r="F169" i="8"/>
  <c r="K46" i="114"/>
  <c r="L46" i="114"/>
  <c r="J46" i="114"/>
  <c r="M51" i="114" s="1"/>
  <c r="N51" i="114" s="1"/>
  <c r="F46" i="114"/>
  <c r="G46" i="114" s="1"/>
  <c r="H46" i="114" s="1"/>
  <c r="D51" i="114" s="1"/>
  <c r="BO31" i="63"/>
  <c r="J31" i="63"/>
  <c r="K34" i="111"/>
  <c r="E35" i="111"/>
  <c r="AJ35" i="111" s="1"/>
  <c r="K22" i="61"/>
  <c r="E23" i="61"/>
  <c r="AJ23" i="61" s="1"/>
  <c r="AU33" i="111"/>
  <c r="AX33" i="111" s="1"/>
  <c r="BG33" i="111" s="1"/>
  <c r="AT34" i="111"/>
  <c r="BT20" i="112"/>
  <c r="BX20" i="112" s="1"/>
  <c r="BY20" i="112"/>
  <c r="M21" i="61"/>
  <c r="Q21" i="61" s="1"/>
  <c r="AL21" i="61"/>
  <c r="I21" i="61"/>
  <c r="AU22" i="112"/>
  <c r="AX22" i="112" s="1"/>
  <c r="BG22" i="112" s="1"/>
  <c r="AT23" i="112"/>
  <c r="I24" i="80"/>
  <c r="I25" i="80" s="1"/>
  <c r="I29" i="80"/>
  <c r="E36" i="101"/>
  <c r="W24" i="101"/>
  <c r="AU32" i="61"/>
  <c r="AX32" i="61" s="1"/>
  <c r="BG32" i="61" s="1"/>
  <c r="AT33" i="61"/>
  <c r="A33" i="35"/>
  <c r="C32" i="35" s="1"/>
  <c r="AU13" i="111"/>
  <c r="AX13" i="111" s="1"/>
  <c r="BG13" i="111" s="1"/>
  <c r="AT14" i="111"/>
  <c r="AU14" i="111" s="1"/>
  <c r="AX14" i="111" s="1"/>
  <c r="BG14" i="111" s="1"/>
  <c r="AM54" i="61"/>
  <c r="AN54" i="61" s="1"/>
  <c r="K33" i="61"/>
  <c r="E34" i="61"/>
  <c r="AJ34" i="61" s="1"/>
  <c r="AU50" i="111"/>
  <c r="AX50" i="111" s="1"/>
  <c r="AY50" i="111" s="1"/>
  <c r="T50" i="111" s="1"/>
  <c r="AT51" i="111"/>
  <c r="AU49" i="61"/>
  <c r="AX49" i="61" s="1"/>
  <c r="AY49" i="61" s="1"/>
  <c r="T49" i="61" s="1"/>
  <c r="AT50" i="61"/>
  <c r="BT29" i="63"/>
  <c r="BX29" i="63" s="1"/>
  <c r="Y29" i="63" s="1"/>
  <c r="R29" i="63" s="1"/>
  <c r="BY29" i="63"/>
  <c r="AL9" i="60"/>
  <c r="AE16" i="60" s="1"/>
  <c r="W94" i="60"/>
  <c r="AL10" i="60"/>
  <c r="BO11" i="63"/>
  <c r="J11" i="63"/>
  <c r="O23" i="51"/>
  <c r="P23" i="51" s="1"/>
  <c r="F130" i="1"/>
  <c r="F169" i="1"/>
  <c r="C31" i="35"/>
  <c r="BO32" i="111"/>
  <c r="J32" i="111"/>
  <c r="M32" i="61"/>
  <c r="Q32" i="61" s="1"/>
  <c r="AL32" i="61"/>
  <c r="I32" i="61"/>
  <c r="W93" i="60"/>
  <c r="AH10" i="60"/>
  <c r="AH9" i="60"/>
  <c r="AD16" i="60" s="1"/>
  <c r="CB29" i="112"/>
  <c r="J21" i="112"/>
  <c r="BO21" i="112"/>
  <c r="K13" i="63"/>
  <c r="E14" i="63"/>
  <c r="BT29" i="61"/>
  <c r="BX29" i="61" s="1"/>
  <c r="Y29" i="61" s="1"/>
  <c r="R29" i="61" s="1"/>
  <c r="BY29" i="61"/>
  <c r="M12" i="63"/>
  <c r="Q12" i="63" s="1"/>
  <c r="AL12" i="63"/>
  <c r="I12" i="63"/>
  <c r="AU22" i="111"/>
  <c r="AX22" i="111" s="1"/>
  <c r="BG22" i="111" s="1"/>
  <c r="AT23" i="111"/>
  <c r="K33" i="63"/>
  <c r="E34" i="63"/>
  <c r="AJ34" i="63" s="1"/>
  <c r="J20" i="63"/>
  <c r="BO20" i="63"/>
  <c r="BT30" i="61"/>
  <c r="BX30" i="61" s="1"/>
  <c r="BY30" i="61"/>
  <c r="G90" i="1"/>
  <c r="K12" i="61"/>
  <c r="E13" i="61"/>
  <c r="AJ13" i="61" s="1"/>
  <c r="W24" i="105"/>
  <c r="E36" i="105"/>
  <c r="Q19" i="82"/>
  <c r="K13" i="111"/>
  <c r="E14" i="111"/>
  <c r="AM54" i="63"/>
  <c r="AN54" i="63" s="1"/>
  <c r="BO20" i="61"/>
  <c r="J20" i="61"/>
  <c r="AU21" i="63"/>
  <c r="AX21" i="63" s="1"/>
  <c r="BG21" i="63" s="1"/>
  <c r="AT22" i="63"/>
  <c r="BO11" i="111"/>
  <c r="J11" i="111"/>
  <c r="BT20" i="111"/>
  <c r="BX20" i="111" s="1"/>
  <c r="BY20" i="111"/>
  <c r="K23" i="111"/>
  <c r="E24" i="111"/>
  <c r="AJ24" i="111" s="1"/>
  <c r="I29" i="79"/>
  <c r="I24" i="79"/>
  <c r="I25" i="79" s="1"/>
  <c r="K21" i="105"/>
  <c r="N9" i="105"/>
  <c r="CB9" i="111"/>
  <c r="BT31" i="61"/>
  <c r="BX31" i="61" s="1"/>
  <c r="BY31" i="61"/>
  <c r="AU49" i="63"/>
  <c r="AX49" i="63" s="1"/>
  <c r="AY49" i="63" s="1"/>
  <c r="T49" i="63" s="1"/>
  <c r="AT50" i="63"/>
  <c r="K21" i="101"/>
  <c r="N9" i="101"/>
  <c r="K22" i="63"/>
  <c r="E23" i="63"/>
  <c r="AJ23" i="63" s="1"/>
  <c r="I24" i="105"/>
  <c r="I51" i="64"/>
  <c r="I51" i="107"/>
  <c r="BT10" i="111"/>
  <c r="BX10" i="111" s="1"/>
  <c r="BY10" i="111"/>
  <c r="E51" i="64"/>
  <c r="E51" i="107"/>
  <c r="CC16" i="63"/>
  <c r="K24" i="103" s="1"/>
  <c r="M11" i="61"/>
  <c r="Q11" i="61" s="1"/>
  <c r="AL11" i="61"/>
  <c r="I11" i="61"/>
  <c r="AU12" i="112"/>
  <c r="AX12" i="112" s="1"/>
  <c r="BG12" i="112" s="1"/>
  <c r="AT13" i="112"/>
  <c r="I47" i="33"/>
  <c r="M12" i="111"/>
  <c r="Q12" i="111" s="1"/>
  <c r="AL12" i="111"/>
  <c r="I12" i="111"/>
  <c r="M22" i="111"/>
  <c r="Q22" i="111" s="1"/>
  <c r="AL22" i="111"/>
  <c r="I22" i="111"/>
  <c r="AU12" i="61"/>
  <c r="AX12" i="61" s="1"/>
  <c r="BG12" i="61" s="1"/>
  <c r="AT13" i="61"/>
  <c r="I22" i="112" l="1"/>
  <c r="BO22" i="112" s="1"/>
  <c r="AL22" i="112"/>
  <c r="D34" i="66"/>
  <c r="T24" i="66"/>
  <c r="D35" i="66"/>
  <c r="D15" i="66"/>
  <c r="D15" i="65"/>
  <c r="D35" i="65"/>
  <c r="T26" i="66"/>
  <c r="D32" i="66" s="1"/>
  <c r="H28" i="8"/>
  <c r="D34" i="65"/>
  <c r="T24" i="65"/>
  <c r="G67" i="8"/>
  <c r="G119" i="8"/>
  <c r="G120" i="8" s="1"/>
  <c r="G103" i="8"/>
  <c r="G106" i="8" s="1"/>
  <c r="G82" i="8" s="1"/>
  <c r="G80" i="8"/>
  <c r="G111" i="8"/>
  <c r="G115" i="8" s="1"/>
  <c r="G84" i="8" s="1"/>
  <c r="T26" i="65"/>
  <c r="D32" i="65" s="1"/>
  <c r="H28" i="1"/>
  <c r="E24" i="112"/>
  <c r="AJ24" i="112" s="1"/>
  <c r="CB17" i="61"/>
  <c r="K23" i="112"/>
  <c r="M23" i="112" s="1"/>
  <c r="Q23" i="112" s="1"/>
  <c r="BG15" i="111"/>
  <c r="I11" i="112"/>
  <c r="J11" i="112" s="1"/>
  <c r="K36" i="99"/>
  <c r="AY17" i="63"/>
  <c r="J25" i="100"/>
  <c r="AA25" i="100" s="1"/>
  <c r="K10" i="103"/>
  <c r="R17" i="112"/>
  <c r="AR17" i="112" s="1"/>
  <c r="AY17" i="112" s="1"/>
  <c r="AY7" i="61"/>
  <c r="J28" i="99"/>
  <c r="AR8" i="61"/>
  <c r="AY8" i="61" s="1"/>
  <c r="AR9" i="63"/>
  <c r="AY9" i="63" s="1"/>
  <c r="AR9" i="111"/>
  <c r="AY9" i="111" s="1"/>
  <c r="AR9" i="112"/>
  <c r="AY9" i="112" s="1"/>
  <c r="BT10" i="112"/>
  <c r="BX10" i="112" s="1"/>
  <c r="CB10" i="112" s="1"/>
  <c r="E13" i="112"/>
  <c r="AJ13" i="112" s="1"/>
  <c r="AA27" i="102"/>
  <c r="J36" i="102"/>
  <c r="AL11" i="112"/>
  <c r="BO11" i="112"/>
  <c r="BT11" i="112" s="1"/>
  <c r="BX11" i="112" s="1"/>
  <c r="K12" i="112"/>
  <c r="I12" i="112" s="1"/>
  <c r="J16" i="60"/>
  <c r="G87" i="60" s="1"/>
  <c r="C61" i="64" s="1"/>
  <c r="L16" i="60"/>
  <c r="M87" i="60" s="1"/>
  <c r="I61" i="64" s="1"/>
  <c r="AR30" i="112"/>
  <c r="AY30" i="112" s="1"/>
  <c r="K14" i="111"/>
  <c r="I14" i="111" s="1"/>
  <c r="AJ14" i="111"/>
  <c r="AJ15" i="111" s="1"/>
  <c r="AK15" i="111" s="1"/>
  <c r="K14" i="63"/>
  <c r="M14" i="63" s="1"/>
  <c r="Q14" i="63" s="1"/>
  <c r="AJ14" i="63"/>
  <c r="AJ15" i="63" s="1"/>
  <c r="AK15" i="63" s="1"/>
  <c r="M88" i="60" s="1"/>
  <c r="I52" i="64" s="1"/>
  <c r="J26" i="73" s="1"/>
  <c r="E34" i="112"/>
  <c r="AJ33" i="112"/>
  <c r="AL33" i="112" s="1"/>
  <c r="J24" i="103"/>
  <c r="AA24" i="103" s="1"/>
  <c r="AU33" i="112"/>
  <c r="AX33" i="112" s="1"/>
  <c r="BG33" i="112" s="1"/>
  <c r="M33" i="112"/>
  <c r="Q33" i="112" s="1"/>
  <c r="AL32" i="112"/>
  <c r="I32" i="112"/>
  <c r="BO32" i="112" s="1"/>
  <c r="BT32" i="112" s="1"/>
  <c r="BX32" i="112" s="1"/>
  <c r="I33" i="112"/>
  <c r="BO33" i="112" s="1"/>
  <c r="BY31" i="112"/>
  <c r="CB31" i="112" s="1"/>
  <c r="CC9" i="63"/>
  <c r="AR29" i="112"/>
  <c r="AY29" i="112" s="1"/>
  <c r="CC8" i="61"/>
  <c r="CC30" i="111"/>
  <c r="AR30" i="111"/>
  <c r="AY30" i="111" s="1"/>
  <c r="CC18" i="61"/>
  <c r="AR18" i="61"/>
  <c r="AY18" i="61" s="1"/>
  <c r="CC19" i="112"/>
  <c r="AR19" i="112"/>
  <c r="AY19" i="112" s="1"/>
  <c r="AR18" i="63"/>
  <c r="AY18" i="63" s="1"/>
  <c r="CC29" i="111"/>
  <c r="AR29" i="111"/>
  <c r="AY29" i="111" s="1"/>
  <c r="AR19" i="111"/>
  <c r="AY19" i="111" s="1"/>
  <c r="AY16" i="61"/>
  <c r="J24" i="100"/>
  <c r="AB24" i="100"/>
  <c r="CB9" i="61"/>
  <c r="CB10" i="63"/>
  <c r="CC18" i="63"/>
  <c r="CC19" i="111"/>
  <c r="G126" i="1"/>
  <c r="G127" i="1" s="1"/>
  <c r="G129" i="1" s="1"/>
  <c r="G130" i="1" s="1"/>
  <c r="G92" i="1" s="1"/>
  <c r="X2" i="56" s="1"/>
  <c r="X5" i="56" s="1"/>
  <c r="X4" i="56" s="1"/>
  <c r="X7" i="56" s="1"/>
  <c r="X8" i="56" s="1"/>
  <c r="X9" i="56" s="1"/>
  <c r="X10" i="56" s="1"/>
  <c r="X11" i="56" s="1"/>
  <c r="X12" i="56" s="1"/>
  <c r="X13" i="56" s="1"/>
  <c r="X14" i="56" s="1"/>
  <c r="X15" i="56" s="1"/>
  <c r="X16" i="56" s="1"/>
  <c r="X17" i="56" s="1"/>
  <c r="X18" i="56" s="1"/>
  <c r="AH21" i="4"/>
  <c r="CB20" i="112"/>
  <c r="CB30" i="61"/>
  <c r="CB30" i="63"/>
  <c r="CB31" i="61"/>
  <c r="CB29" i="63"/>
  <c r="CB20" i="111"/>
  <c r="CB31" i="111"/>
  <c r="CB19" i="61"/>
  <c r="E33" i="35"/>
  <c r="F34" i="35"/>
  <c r="D31" i="35"/>
  <c r="Z24" i="105"/>
  <c r="I36" i="105"/>
  <c r="M23" i="111"/>
  <c r="Q23" i="111" s="1"/>
  <c r="AL23" i="111"/>
  <c r="I23" i="111"/>
  <c r="I34" i="80"/>
  <c r="I27" i="80"/>
  <c r="I28" i="80" s="1"/>
  <c r="AU13" i="112"/>
  <c r="AX13" i="112" s="1"/>
  <c r="BG13" i="112" s="1"/>
  <c r="AT14" i="112"/>
  <c r="AU14" i="112" s="1"/>
  <c r="AX14" i="112" s="1"/>
  <c r="BG14" i="112" s="1"/>
  <c r="CC9" i="112"/>
  <c r="M33" i="61"/>
  <c r="Q33" i="61" s="1"/>
  <c r="AL33" i="61"/>
  <c r="I33" i="61"/>
  <c r="J32" i="63"/>
  <c r="BO32" i="63"/>
  <c r="CC30" i="112"/>
  <c r="C9" i="73"/>
  <c r="C31" i="71"/>
  <c r="D48" i="114"/>
  <c r="B48" i="114"/>
  <c r="J12" i="111"/>
  <c r="BO12" i="111"/>
  <c r="CB10" i="111"/>
  <c r="V24" i="101"/>
  <c r="N21" i="101"/>
  <c r="BT11" i="111"/>
  <c r="BX11" i="111" s="1"/>
  <c r="BY11" i="111"/>
  <c r="M13" i="111"/>
  <c r="Q13" i="111" s="1"/>
  <c r="AL13" i="111"/>
  <c r="I13" i="111"/>
  <c r="M12" i="61"/>
  <c r="Q12" i="61" s="1"/>
  <c r="AL12" i="61"/>
  <c r="I12" i="61"/>
  <c r="AU23" i="111"/>
  <c r="AX23" i="111" s="1"/>
  <c r="BG23" i="111" s="1"/>
  <c r="AT24" i="111"/>
  <c r="CB29" i="61"/>
  <c r="AU50" i="61"/>
  <c r="AX50" i="61" s="1"/>
  <c r="AY50" i="61" s="1"/>
  <c r="T50" i="61" s="1"/>
  <c r="AT51" i="61"/>
  <c r="I43" i="54"/>
  <c r="I47" i="54" s="1"/>
  <c r="F92" i="8"/>
  <c r="H17" i="4" s="1"/>
  <c r="L47" i="33"/>
  <c r="BT20" i="61"/>
  <c r="BX20" i="61" s="1"/>
  <c r="BY20" i="61"/>
  <c r="BT21" i="112"/>
  <c r="BX21" i="112" s="1"/>
  <c r="BY21" i="112"/>
  <c r="K34" i="61"/>
  <c r="E35" i="61"/>
  <c r="AJ35" i="61" s="1"/>
  <c r="BT31" i="63"/>
  <c r="BX31" i="63" s="1"/>
  <c r="BY31" i="63"/>
  <c r="AB24" i="103"/>
  <c r="K36" i="103"/>
  <c r="AU33" i="63"/>
  <c r="AX33" i="63" s="1"/>
  <c r="BG33" i="63" s="1"/>
  <c r="AT34" i="63"/>
  <c r="V24" i="105"/>
  <c r="N21" i="105"/>
  <c r="AU13" i="61"/>
  <c r="AX13" i="61" s="1"/>
  <c r="BG13" i="61" s="1"/>
  <c r="AT14" i="61"/>
  <c r="AU14" i="61" s="1"/>
  <c r="AX14" i="61" s="1"/>
  <c r="BG14" i="61" s="1"/>
  <c r="BT32" i="111"/>
  <c r="BX32" i="111" s="1"/>
  <c r="BY32" i="111"/>
  <c r="O51" i="114"/>
  <c r="BO21" i="63"/>
  <c r="J21" i="63"/>
  <c r="BO11" i="61"/>
  <c r="J11" i="61"/>
  <c r="I27" i="79"/>
  <c r="I28" i="79" s="1"/>
  <c r="I34" i="79"/>
  <c r="AU22" i="63"/>
  <c r="AX22" i="63" s="1"/>
  <c r="BG22" i="63" s="1"/>
  <c r="AT23" i="63"/>
  <c r="W102" i="60"/>
  <c r="W103" i="60" s="1"/>
  <c r="H66" i="60"/>
  <c r="G151" i="10" s="1"/>
  <c r="J21" i="61"/>
  <c r="BO21" i="61"/>
  <c r="K35" i="111"/>
  <c r="E36" i="111"/>
  <c r="AJ36" i="111" s="1"/>
  <c r="BT21" i="111"/>
  <c r="BX21" i="111" s="1"/>
  <c r="BY21" i="111"/>
  <c r="D43" i="54"/>
  <c r="D43" i="53"/>
  <c r="A34" i="35"/>
  <c r="C33" i="35"/>
  <c r="BO33" i="111"/>
  <c r="J33" i="111"/>
  <c r="I43" i="53"/>
  <c r="I47" i="53" s="1"/>
  <c r="F92" i="1"/>
  <c r="H120" i="80"/>
  <c r="H68" i="80"/>
  <c r="K23" i="63"/>
  <c r="E24" i="63"/>
  <c r="AJ24" i="63" s="1"/>
  <c r="CC29" i="112"/>
  <c r="K23" i="61"/>
  <c r="E24" i="61"/>
  <c r="AJ24" i="61" s="1"/>
  <c r="K13" i="61"/>
  <c r="E14" i="61"/>
  <c r="AU23" i="112"/>
  <c r="AX23" i="112" s="1"/>
  <c r="BG23" i="112" s="1"/>
  <c r="AT24" i="112"/>
  <c r="BO12" i="63"/>
  <c r="J12" i="63"/>
  <c r="J32" i="61"/>
  <c r="BO32" i="61"/>
  <c r="BT11" i="63"/>
  <c r="BX11" i="63" s="1"/>
  <c r="BY11" i="63"/>
  <c r="AU51" i="111"/>
  <c r="AX51" i="111" s="1"/>
  <c r="AY51" i="111" s="1"/>
  <c r="T51" i="111" s="1"/>
  <c r="AT52" i="111"/>
  <c r="AU33" i="61"/>
  <c r="AX33" i="61" s="1"/>
  <c r="BG33" i="61" s="1"/>
  <c r="AT34" i="61"/>
  <c r="M34" i="111"/>
  <c r="Q34" i="111" s="1"/>
  <c r="AL34" i="111"/>
  <c r="I34" i="111"/>
  <c r="AU22" i="61"/>
  <c r="AX22" i="61" s="1"/>
  <c r="BG22" i="61" s="1"/>
  <c r="AT23" i="61"/>
  <c r="AU13" i="63"/>
  <c r="AX13" i="63" s="1"/>
  <c r="BG13" i="63" s="1"/>
  <c r="AT14" i="63"/>
  <c r="AU14" i="63" s="1"/>
  <c r="AX14" i="63" s="1"/>
  <c r="BG14" i="63" s="1"/>
  <c r="CC9" i="111"/>
  <c r="BT20" i="63"/>
  <c r="BX20" i="63" s="1"/>
  <c r="BY20" i="63"/>
  <c r="AU34" i="111"/>
  <c r="AX34" i="111" s="1"/>
  <c r="BG34" i="111" s="1"/>
  <c r="AT35" i="111"/>
  <c r="AU50" i="112"/>
  <c r="AX50" i="112" s="1"/>
  <c r="AY50" i="112" s="1"/>
  <c r="T50" i="112" s="1"/>
  <c r="AT51" i="112"/>
  <c r="K34" i="63"/>
  <c r="E35" i="63"/>
  <c r="AJ35" i="63" s="1"/>
  <c r="M22" i="63"/>
  <c r="Q22" i="63" s="1"/>
  <c r="AL22" i="63"/>
  <c r="I22" i="63"/>
  <c r="M33" i="63"/>
  <c r="Q33" i="63" s="1"/>
  <c r="AL33" i="63"/>
  <c r="I33" i="63"/>
  <c r="M22" i="61"/>
  <c r="Q22" i="61" s="1"/>
  <c r="AL22" i="61"/>
  <c r="I22" i="61"/>
  <c r="H120" i="79"/>
  <c r="H68" i="79"/>
  <c r="AU34" i="112"/>
  <c r="AX34" i="112" s="1"/>
  <c r="BG34" i="112" s="1"/>
  <c r="AT35" i="112"/>
  <c r="AU50" i="63"/>
  <c r="AX50" i="63" s="1"/>
  <c r="AY50" i="63" s="1"/>
  <c r="T50" i="63" s="1"/>
  <c r="AT51" i="63"/>
  <c r="BO22" i="111"/>
  <c r="J22" i="111"/>
  <c r="C32" i="71"/>
  <c r="J9" i="73"/>
  <c r="K24" i="111"/>
  <c r="E25" i="111"/>
  <c r="AJ25" i="111" s="1"/>
  <c r="M13" i="63"/>
  <c r="Q13" i="63" s="1"/>
  <c r="AL13" i="63"/>
  <c r="I13" i="63"/>
  <c r="E32" i="35"/>
  <c r="F33" i="35"/>
  <c r="D30" i="35"/>
  <c r="CB19" i="63"/>
  <c r="BT10" i="61"/>
  <c r="BX10" i="61" s="1"/>
  <c r="BY10" i="61"/>
  <c r="E25" i="112" l="1"/>
  <c r="AJ25" i="112" s="1"/>
  <c r="J22" i="112"/>
  <c r="I19" i="8"/>
  <c r="I22" i="8" s="1"/>
  <c r="F32" i="66"/>
  <c r="H30" i="8"/>
  <c r="H31" i="8"/>
  <c r="G90" i="8"/>
  <c r="G136" i="8"/>
  <c r="G138" i="8" s="1"/>
  <c r="G91" i="8" s="1"/>
  <c r="G95" i="8"/>
  <c r="G96" i="8" s="1"/>
  <c r="C28" i="65"/>
  <c r="C26" i="65"/>
  <c r="D21" i="65"/>
  <c r="C24" i="65"/>
  <c r="C25" i="65"/>
  <c r="C27" i="65"/>
  <c r="C29" i="65"/>
  <c r="C29" i="66"/>
  <c r="D21" i="66"/>
  <c r="C27" i="66"/>
  <c r="C24" i="66"/>
  <c r="C26" i="66"/>
  <c r="C28" i="66"/>
  <c r="C25" i="66"/>
  <c r="I19" i="1"/>
  <c r="I22" i="1" s="1"/>
  <c r="F32" i="65"/>
  <c r="H31" i="1"/>
  <c r="H30" i="1"/>
  <c r="K24" i="112"/>
  <c r="M24" i="112" s="1"/>
  <c r="Q24" i="112" s="1"/>
  <c r="CC17" i="61"/>
  <c r="K25" i="100" s="1"/>
  <c r="AR17" i="61"/>
  <c r="AY17" i="61" s="1"/>
  <c r="I23" i="112"/>
  <c r="J23" i="112" s="1"/>
  <c r="AL23" i="112"/>
  <c r="BG15" i="63"/>
  <c r="BG15" i="112"/>
  <c r="BG15" i="61"/>
  <c r="BO12" i="112"/>
  <c r="BT12" i="112" s="1"/>
  <c r="BX12" i="112" s="1"/>
  <c r="J12" i="112"/>
  <c r="I14" i="63"/>
  <c r="BO14" i="63" s="1"/>
  <c r="N10" i="103"/>
  <c r="K21" i="103"/>
  <c r="J25" i="103"/>
  <c r="AA25" i="103" s="1"/>
  <c r="AA28" i="99"/>
  <c r="J36" i="99"/>
  <c r="AR31" i="112"/>
  <c r="AY31" i="112" s="1"/>
  <c r="AR29" i="61"/>
  <c r="AY29" i="61" s="1"/>
  <c r="AR19" i="63"/>
  <c r="AY19" i="63" s="1"/>
  <c r="AR10" i="112"/>
  <c r="AY10" i="112" s="1"/>
  <c r="AR10" i="111"/>
  <c r="AY10" i="111" s="1"/>
  <c r="AR9" i="61"/>
  <c r="AY9" i="61" s="1"/>
  <c r="K13" i="112"/>
  <c r="M13" i="112" s="1"/>
  <c r="Q13" i="112" s="1"/>
  <c r="E14" i="112"/>
  <c r="AJ14" i="112" s="1"/>
  <c r="AJ15" i="112" s="1"/>
  <c r="AK15" i="112" s="1"/>
  <c r="BY11" i="112"/>
  <c r="CB11" i="112" s="1"/>
  <c r="M14" i="111"/>
  <c r="Q14" i="111" s="1"/>
  <c r="M12" i="112"/>
  <c r="Q12" i="112" s="1"/>
  <c r="AL12" i="112"/>
  <c r="AL14" i="111"/>
  <c r="AL15" i="111" s="1"/>
  <c r="AM15" i="111" s="1"/>
  <c r="AN15" i="111" s="1"/>
  <c r="AL14" i="63"/>
  <c r="AL15" i="63" s="1"/>
  <c r="AM15" i="63" s="1"/>
  <c r="AN15" i="63" s="1"/>
  <c r="O88" i="60" s="1"/>
  <c r="K14" i="61"/>
  <c r="M14" i="61" s="1"/>
  <c r="Q14" i="61" s="1"/>
  <c r="AJ14" i="61"/>
  <c r="AJ15" i="61" s="1"/>
  <c r="AK15" i="61" s="1"/>
  <c r="H88" i="60" s="1"/>
  <c r="E52" i="64" s="1"/>
  <c r="C26" i="73" s="1"/>
  <c r="AJ34" i="112"/>
  <c r="K34" i="112"/>
  <c r="I34" i="112" s="1"/>
  <c r="E35" i="112"/>
  <c r="J32" i="112"/>
  <c r="BY32" i="112"/>
  <c r="CB32" i="112" s="1"/>
  <c r="J33" i="112"/>
  <c r="CC10" i="112"/>
  <c r="CC9" i="61"/>
  <c r="CC10" i="63"/>
  <c r="AR10" i="63"/>
  <c r="AY10" i="63" s="1"/>
  <c r="AR31" i="111"/>
  <c r="AY31" i="111" s="1"/>
  <c r="CC31" i="61"/>
  <c r="AR31" i="61"/>
  <c r="AY31" i="61" s="1"/>
  <c r="AR30" i="63"/>
  <c r="CC30" i="61"/>
  <c r="AR30" i="61"/>
  <c r="AY30" i="61" s="1"/>
  <c r="CC19" i="61"/>
  <c r="AR19" i="61"/>
  <c r="AY19" i="61" s="1"/>
  <c r="CC20" i="111"/>
  <c r="AR20" i="111"/>
  <c r="AY20" i="111" s="1"/>
  <c r="CC29" i="63"/>
  <c r="K24" i="105" s="1"/>
  <c r="AB24" i="105" s="1"/>
  <c r="AR29" i="63"/>
  <c r="CC20" i="112"/>
  <c r="AR20" i="112"/>
  <c r="AY20" i="112" s="1"/>
  <c r="J36" i="100"/>
  <c r="AA24" i="100"/>
  <c r="CB10" i="61"/>
  <c r="CB11" i="111"/>
  <c r="CC30" i="63"/>
  <c r="K25" i="105" s="1"/>
  <c r="AB25" i="105" s="1"/>
  <c r="F18" i="4"/>
  <c r="CC31" i="111"/>
  <c r="CB21" i="111"/>
  <c r="CB32" i="111"/>
  <c r="CB31" i="63"/>
  <c r="CB20" i="61"/>
  <c r="AA3" i="60"/>
  <c r="G150" i="10"/>
  <c r="G65" i="60"/>
  <c r="G85" i="60"/>
  <c r="K35" i="61"/>
  <c r="E36" i="61"/>
  <c r="AJ36" i="61" s="1"/>
  <c r="M34" i="61"/>
  <c r="Q34" i="61" s="1"/>
  <c r="AL34" i="61"/>
  <c r="I34" i="61"/>
  <c r="CC31" i="112"/>
  <c r="CC19" i="63"/>
  <c r="H113" i="79"/>
  <c r="H117" i="79" s="1"/>
  <c r="H86" i="79" s="1"/>
  <c r="H82" i="79"/>
  <c r="H69" i="79"/>
  <c r="H105" i="79"/>
  <c r="H108" i="79" s="1"/>
  <c r="H84" i="79" s="1"/>
  <c r="H121" i="79"/>
  <c r="H122" i="79" s="1"/>
  <c r="J22" i="63"/>
  <c r="BO22" i="63"/>
  <c r="CB11" i="63"/>
  <c r="BT12" i="63"/>
  <c r="BX12" i="63" s="1"/>
  <c r="BY12" i="63"/>
  <c r="K36" i="111"/>
  <c r="E37" i="111"/>
  <c r="AJ37" i="111" s="1"/>
  <c r="BT11" i="61"/>
  <c r="BX11" i="61" s="1"/>
  <c r="BY11" i="61"/>
  <c r="CB21" i="112"/>
  <c r="J12" i="61"/>
  <c r="BO12" i="61"/>
  <c r="BO34" i="111"/>
  <c r="J34" i="111"/>
  <c r="I30" i="79"/>
  <c r="I31" i="79"/>
  <c r="AU24" i="112"/>
  <c r="AX24" i="112" s="1"/>
  <c r="BG24" i="112" s="1"/>
  <c r="AT25" i="112"/>
  <c r="AU24" i="111"/>
  <c r="AX24" i="111" s="1"/>
  <c r="BG24" i="111" s="1"/>
  <c r="AT25" i="111"/>
  <c r="A35" i="35"/>
  <c r="C34" i="35"/>
  <c r="J13" i="63"/>
  <c r="BO13" i="63"/>
  <c r="AU34" i="61"/>
  <c r="AX34" i="61" s="1"/>
  <c r="BG34" i="61" s="1"/>
  <c r="AT35" i="61"/>
  <c r="K24" i="61"/>
  <c r="E25" i="61"/>
  <c r="AJ25" i="61" s="1"/>
  <c r="AU51" i="61"/>
  <c r="AX51" i="61" s="1"/>
  <c r="AY51" i="61" s="1"/>
  <c r="T51" i="61" s="1"/>
  <c r="AT52" i="61"/>
  <c r="I29" i="8"/>
  <c r="I24" i="8"/>
  <c r="I25" i="8" s="1"/>
  <c r="BO22" i="61"/>
  <c r="J22" i="61"/>
  <c r="BT32" i="61"/>
  <c r="BX32" i="61" s="1"/>
  <c r="BY32" i="61"/>
  <c r="BO14" i="111"/>
  <c r="J14" i="111"/>
  <c r="M23" i="61"/>
  <c r="Q23" i="61" s="1"/>
  <c r="AL23" i="61"/>
  <c r="I23" i="61"/>
  <c r="BT21" i="61"/>
  <c r="BX21" i="61" s="1"/>
  <c r="BY21" i="61"/>
  <c r="AU23" i="63"/>
  <c r="AX23" i="63" s="1"/>
  <c r="BG23" i="63" s="1"/>
  <c r="AT24" i="63"/>
  <c r="BT21" i="63"/>
  <c r="BX21" i="63" s="1"/>
  <c r="BY21" i="63"/>
  <c r="AU34" i="63"/>
  <c r="AX34" i="63" s="1"/>
  <c r="BG34" i="63" s="1"/>
  <c r="AT35" i="63"/>
  <c r="BT22" i="112"/>
  <c r="BX22" i="112" s="1"/>
  <c r="BY22" i="112"/>
  <c r="J33" i="63"/>
  <c r="BO33" i="63"/>
  <c r="K24" i="63"/>
  <c r="E25" i="63"/>
  <c r="AJ25" i="63" s="1"/>
  <c r="BT32" i="63"/>
  <c r="BX32" i="63" s="1"/>
  <c r="BY32" i="63"/>
  <c r="K25" i="111"/>
  <c r="E26" i="111"/>
  <c r="AJ26" i="111" s="1"/>
  <c r="AU52" i="111"/>
  <c r="AX52" i="111" s="1"/>
  <c r="AY52" i="111" s="1"/>
  <c r="T52" i="111" s="1"/>
  <c r="AT53" i="111"/>
  <c r="AU53" i="111" s="1"/>
  <c r="AX53" i="111" s="1"/>
  <c r="AY53" i="111" s="1"/>
  <c r="T53" i="111" s="1"/>
  <c r="M23" i="63"/>
  <c r="Q23" i="63" s="1"/>
  <c r="AL23" i="63"/>
  <c r="I23" i="63"/>
  <c r="M24" i="111"/>
  <c r="Q24" i="111" s="1"/>
  <c r="AL24" i="111"/>
  <c r="I24" i="111"/>
  <c r="AU51" i="112"/>
  <c r="AX51" i="112" s="1"/>
  <c r="AY51" i="112" s="1"/>
  <c r="T51" i="112" s="1"/>
  <c r="AT52" i="112"/>
  <c r="H121" i="80"/>
  <c r="H122" i="80" s="1"/>
  <c r="H82" i="80"/>
  <c r="H105" i="80"/>
  <c r="H108" i="80" s="1"/>
  <c r="H84" i="80" s="1"/>
  <c r="H69" i="80"/>
  <c r="H113" i="80"/>
  <c r="H117" i="80" s="1"/>
  <c r="H86" i="80" s="1"/>
  <c r="I29" i="1"/>
  <c r="I24" i="1"/>
  <c r="I25" i="1" s="1"/>
  <c r="M35" i="111"/>
  <c r="Q35" i="111" s="1"/>
  <c r="AL35" i="111"/>
  <c r="I35" i="111"/>
  <c r="I30" i="80"/>
  <c r="I31" i="80"/>
  <c r="BT22" i="111"/>
  <c r="BX22" i="111" s="1"/>
  <c r="BY22" i="111"/>
  <c r="CB20" i="63"/>
  <c r="AU23" i="61"/>
  <c r="AX23" i="61" s="1"/>
  <c r="BG23" i="61" s="1"/>
  <c r="AT24" i="61"/>
  <c r="BT33" i="111"/>
  <c r="BX33" i="111" s="1"/>
  <c r="BY33" i="111"/>
  <c r="BT33" i="112"/>
  <c r="BX33" i="112" s="1"/>
  <c r="BY33" i="112"/>
  <c r="BY12" i="112"/>
  <c r="J13" i="111"/>
  <c r="BO13" i="111"/>
  <c r="CC10" i="111"/>
  <c r="E48" i="114"/>
  <c r="E49" i="114" s="1"/>
  <c r="D49" i="114" s="1"/>
  <c r="B49" i="114"/>
  <c r="B50" i="114" s="1"/>
  <c r="B51" i="114" s="1"/>
  <c r="B52" i="114" s="1"/>
  <c r="B53" i="114" s="1"/>
  <c r="J33" i="61"/>
  <c r="BO33" i="61"/>
  <c r="J23" i="111"/>
  <c r="BO23" i="111"/>
  <c r="K35" i="63"/>
  <c r="E36" i="63"/>
  <c r="AJ36" i="63" s="1"/>
  <c r="F17" i="4"/>
  <c r="W2" i="56"/>
  <c r="W5" i="56" s="1"/>
  <c r="W4" i="56" s="1"/>
  <c r="W7" i="56" s="1"/>
  <c r="CC29" i="61"/>
  <c r="K24" i="101" s="1"/>
  <c r="AU35" i="112"/>
  <c r="AX35" i="112" s="1"/>
  <c r="BG35" i="112" s="1"/>
  <c r="AT36" i="112"/>
  <c r="M34" i="63"/>
  <c r="Q34" i="63" s="1"/>
  <c r="AL34" i="63"/>
  <c r="I34" i="63"/>
  <c r="D32" i="35"/>
  <c r="E34" i="35"/>
  <c r="F35" i="35"/>
  <c r="Y103" i="60"/>
  <c r="AU35" i="111"/>
  <c r="AX35" i="111" s="1"/>
  <c r="BG35" i="111" s="1"/>
  <c r="AT36" i="111"/>
  <c r="M13" i="61"/>
  <c r="Q13" i="61" s="1"/>
  <c r="AL13" i="61"/>
  <c r="I13" i="61"/>
  <c r="K25" i="112"/>
  <c r="E26" i="112"/>
  <c r="AJ26" i="112" s="1"/>
  <c r="AU51" i="63"/>
  <c r="AX51" i="63" s="1"/>
  <c r="AY51" i="63" s="1"/>
  <c r="T51" i="63" s="1"/>
  <c r="AT52" i="63"/>
  <c r="J14" i="63"/>
  <c r="Z103" i="60"/>
  <c r="I24" i="51"/>
  <c r="H48" i="33"/>
  <c r="H50" i="33" s="1"/>
  <c r="H17" i="56"/>
  <c r="BT12" i="111"/>
  <c r="BX12" i="111" s="1"/>
  <c r="BY12" i="111"/>
  <c r="AL24" i="112" l="1"/>
  <c r="I24" i="112"/>
  <c r="F39" i="65"/>
  <c r="T27" i="65"/>
  <c r="AI21" i="4"/>
  <c r="G126" i="8"/>
  <c r="G127" i="8" s="1"/>
  <c r="G129" i="8" s="1"/>
  <c r="G130" i="8" s="1"/>
  <c r="G92" i="8" s="1"/>
  <c r="H18" i="4" s="1"/>
  <c r="I18" i="4" s="1"/>
  <c r="AB25" i="100"/>
  <c r="K36" i="100"/>
  <c r="H32" i="8"/>
  <c r="H38" i="8" s="1"/>
  <c r="F39" i="66"/>
  <c r="T27" i="66"/>
  <c r="H32" i="1"/>
  <c r="H38" i="1" s="1"/>
  <c r="BO23" i="112"/>
  <c r="BT23" i="112" s="1"/>
  <c r="BX23" i="112" s="1"/>
  <c r="I13" i="112"/>
  <c r="J13" i="112" s="1"/>
  <c r="J36" i="103"/>
  <c r="I14" i="61"/>
  <c r="V25" i="103"/>
  <c r="N21" i="103"/>
  <c r="J24" i="101"/>
  <c r="J36" i="101" s="1"/>
  <c r="AR32" i="112"/>
  <c r="AY32" i="112" s="1"/>
  <c r="AR21" i="112"/>
  <c r="AY21" i="112" s="1"/>
  <c r="AR20" i="63"/>
  <c r="AY20" i="63" s="1"/>
  <c r="AR11" i="112"/>
  <c r="AY11" i="112" s="1"/>
  <c r="AR11" i="63"/>
  <c r="AY11" i="63" s="1"/>
  <c r="AR11" i="111"/>
  <c r="AY11" i="111" s="1"/>
  <c r="AR10" i="61"/>
  <c r="AY10" i="61" s="1"/>
  <c r="BO13" i="112"/>
  <c r="BT13" i="112" s="1"/>
  <c r="BX13" i="112" s="1"/>
  <c r="K14" i="112"/>
  <c r="M14" i="112" s="1"/>
  <c r="Q14" i="112" s="1"/>
  <c r="AL13" i="112"/>
  <c r="AL14" i="61"/>
  <c r="AL15" i="61" s="1"/>
  <c r="J34" i="112"/>
  <c r="BO34" i="112"/>
  <c r="BT34" i="112" s="1"/>
  <c r="BX34" i="112" s="1"/>
  <c r="AY30" i="63"/>
  <c r="J25" i="105"/>
  <c r="AA25" i="105" s="1"/>
  <c r="X25" i="105"/>
  <c r="AJ35" i="112"/>
  <c r="K35" i="112"/>
  <c r="I35" i="112" s="1"/>
  <c r="J35" i="112" s="1"/>
  <c r="E36" i="112"/>
  <c r="AL34" i="112"/>
  <c r="M34" i="112"/>
  <c r="Q34" i="112" s="1"/>
  <c r="CC11" i="111"/>
  <c r="CC10" i="61"/>
  <c r="K36" i="105"/>
  <c r="CC32" i="111"/>
  <c r="AR32" i="111"/>
  <c r="AY32" i="111" s="1"/>
  <c r="AR31" i="63"/>
  <c r="AY31" i="63" s="1"/>
  <c r="AY29" i="63"/>
  <c r="J24" i="105"/>
  <c r="CC21" i="111"/>
  <c r="AR21" i="111"/>
  <c r="AY21" i="111" s="1"/>
  <c r="CC20" i="61"/>
  <c r="AR20" i="61"/>
  <c r="AY20" i="61" s="1"/>
  <c r="CB11" i="61"/>
  <c r="I32" i="79"/>
  <c r="I38" i="79" s="1"/>
  <c r="CB33" i="111"/>
  <c r="CB22" i="111"/>
  <c r="CC31" i="63"/>
  <c r="CB21" i="63"/>
  <c r="K52" i="64"/>
  <c r="K52" i="107"/>
  <c r="AU52" i="63"/>
  <c r="AX52" i="63" s="1"/>
  <c r="AY52" i="63" s="1"/>
  <c r="T52" i="63" s="1"/>
  <c r="AT53" i="63"/>
  <c r="AU53" i="63" s="1"/>
  <c r="AX53" i="63" s="1"/>
  <c r="AY53" i="63" s="1"/>
  <c r="T53" i="63" s="1"/>
  <c r="M24" i="63"/>
  <c r="Q24" i="63" s="1"/>
  <c r="AL24" i="63"/>
  <c r="I24" i="63"/>
  <c r="J23" i="61"/>
  <c r="BO23" i="61"/>
  <c r="M24" i="61"/>
  <c r="Q24" i="61" s="1"/>
  <c r="AL24" i="61"/>
  <c r="I24" i="61"/>
  <c r="J24" i="111"/>
  <c r="BO24" i="111"/>
  <c r="AU35" i="61"/>
  <c r="AX35" i="61" s="1"/>
  <c r="BG35" i="61" s="1"/>
  <c r="AT36" i="61"/>
  <c r="A36" i="35"/>
  <c r="C35" i="35"/>
  <c r="M35" i="61"/>
  <c r="Q35" i="61" s="1"/>
  <c r="AL35" i="61"/>
  <c r="I35" i="61"/>
  <c r="CB12" i="111"/>
  <c r="CC11" i="112"/>
  <c r="K26" i="112"/>
  <c r="E27" i="112"/>
  <c r="AB24" i="101"/>
  <c r="K36" i="101"/>
  <c r="BT23" i="111"/>
  <c r="BX23" i="111" s="1"/>
  <c r="BY23" i="111"/>
  <c r="BT13" i="111"/>
  <c r="BX13" i="111" s="1"/>
  <c r="BY13" i="111"/>
  <c r="AU24" i="63"/>
  <c r="AX24" i="63" s="1"/>
  <c r="BG24" i="63" s="1"/>
  <c r="AT25" i="63"/>
  <c r="BT22" i="61"/>
  <c r="BX22" i="61" s="1"/>
  <c r="BY22" i="61"/>
  <c r="AU25" i="111"/>
  <c r="AX25" i="111" s="1"/>
  <c r="BG25" i="111" s="1"/>
  <c r="AT26" i="111"/>
  <c r="BT12" i="61"/>
  <c r="BX12" i="61" s="1"/>
  <c r="BY12" i="61"/>
  <c r="BO14" i="61"/>
  <c r="J14" i="61"/>
  <c r="BT22" i="63"/>
  <c r="BX22" i="63" s="1"/>
  <c r="BY22" i="63"/>
  <c r="J24" i="112"/>
  <c r="BO24" i="112"/>
  <c r="CC20" i="63"/>
  <c r="F36" i="35"/>
  <c r="E35" i="35"/>
  <c r="D33" i="35"/>
  <c r="K36" i="61"/>
  <c r="E37" i="61"/>
  <c r="AJ37" i="61" s="1"/>
  <c r="CC32" i="112"/>
  <c r="I27" i="1"/>
  <c r="I28" i="1" s="1"/>
  <c r="I34" i="1"/>
  <c r="K26" i="111"/>
  <c r="E27" i="111"/>
  <c r="I39" i="79"/>
  <c r="I41" i="79" s="1"/>
  <c r="I17" i="79"/>
  <c r="K37" i="111"/>
  <c r="E38" i="111"/>
  <c r="AJ38" i="111" s="1"/>
  <c r="J13" i="61"/>
  <c r="BO13" i="61"/>
  <c r="J34" i="63"/>
  <c r="BO34" i="63"/>
  <c r="I17" i="4"/>
  <c r="F48" i="33"/>
  <c r="G24" i="51"/>
  <c r="K24" i="51" s="1"/>
  <c r="BT33" i="61"/>
  <c r="BX33" i="61" s="1"/>
  <c r="BY33" i="61"/>
  <c r="CB12" i="112"/>
  <c r="M25" i="111"/>
  <c r="Q25" i="111" s="1"/>
  <c r="AL25" i="111"/>
  <c r="I25" i="111"/>
  <c r="AU35" i="63"/>
  <c r="AX35" i="63" s="1"/>
  <c r="BG35" i="63" s="1"/>
  <c r="AT36" i="63"/>
  <c r="CB21" i="61"/>
  <c r="BT14" i="111"/>
  <c r="BX14" i="111" s="1"/>
  <c r="BY14" i="111"/>
  <c r="I125" i="79"/>
  <c r="M36" i="111"/>
  <c r="Q36" i="111" s="1"/>
  <c r="AL36" i="111"/>
  <c r="I36" i="111"/>
  <c r="K25" i="63"/>
  <c r="E26" i="63"/>
  <c r="AJ26" i="63" s="1"/>
  <c r="K25" i="61"/>
  <c r="E26" i="61"/>
  <c r="AJ26" i="61" s="1"/>
  <c r="J35" i="111"/>
  <c r="BO35" i="111"/>
  <c r="J34" i="61"/>
  <c r="BO34" i="61"/>
  <c r="W8" i="56"/>
  <c r="W9" i="56" s="1"/>
  <c r="W10" i="56" s="1"/>
  <c r="W11" i="56" s="1"/>
  <c r="W12" i="56" s="1"/>
  <c r="W13" i="56" s="1"/>
  <c r="W14" i="56" s="1"/>
  <c r="W15" i="56" s="1"/>
  <c r="W16" i="56" s="1"/>
  <c r="W17" i="56" s="1"/>
  <c r="W18" i="56" s="1"/>
  <c r="I34" i="8"/>
  <c r="I27" i="8"/>
  <c r="I28" i="8" s="1"/>
  <c r="H20" i="56"/>
  <c r="BT14" i="63"/>
  <c r="BX14" i="63" s="1"/>
  <c r="BY14" i="63"/>
  <c r="K36" i="63"/>
  <c r="E37" i="63"/>
  <c r="AJ37" i="63" s="1"/>
  <c r="CB32" i="63"/>
  <c r="CB32" i="61"/>
  <c r="AU52" i="61"/>
  <c r="AX52" i="61" s="1"/>
  <c r="AY52" i="61" s="1"/>
  <c r="T52" i="61" s="1"/>
  <c r="AT53" i="61"/>
  <c r="AU53" i="61" s="1"/>
  <c r="AX53" i="61" s="1"/>
  <c r="AY53" i="61" s="1"/>
  <c r="T53" i="61" s="1"/>
  <c r="CB12" i="63"/>
  <c r="H97" i="79"/>
  <c r="H98" i="79" s="1"/>
  <c r="H85" i="79" s="1"/>
  <c r="AU36" i="111"/>
  <c r="AX36" i="111" s="1"/>
  <c r="BG36" i="111" s="1"/>
  <c r="AT37" i="111"/>
  <c r="AU36" i="112"/>
  <c r="AX36" i="112" s="1"/>
  <c r="BG36" i="112" s="1"/>
  <c r="AT37" i="112"/>
  <c r="AU52" i="112"/>
  <c r="AX52" i="112" s="1"/>
  <c r="AY52" i="112" s="1"/>
  <c r="T52" i="112" s="1"/>
  <c r="AT53" i="112"/>
  <c r="AU53" i="112" s="1"/>
  <c r="AX53" i="112" s="1"/>
  <c r="AY53" i="112" s="1"/>
  <c r="T53" i="112" s="1"/>
  <c r="CC11" i="63"/>
  <c r="M25" i="112"/>
  <c r="Q25" i="112" s="1"/>
  <c r="AL25" i="112"/>
  <c r="I25" i="112"/>
  <c r="BT33" i="63"/>
  <c r="BX33" i="63" s="1"/>
  <c r="BY33" i="63"/>
  <c r="M35" i="63"/>
  <c r="Q35" i="63" s="1"/>
  <c r="AL35" i="63"/>
  <c r="I35" i="63"/>
  <c r="B54" i="114"/>
  <c r="D54" i="114"/>
  <c r="CB33" i="112"/>
  <c r="AU24" i="61"/>
  <c r="AX24" i="61" s="1"/>
  <c r="BG24" i="61" s="1"/>
  <c r="AT25" i="61"/>
  <c r="I32" i="80"/>
  <c r="I38" i="80" s="1"/>
  <c r="H97" i="80"/>
  <c r="H98" i="80" s="1"/>
  <c r="H85" i="80" s="1"/>
  <c r="BO23" i="63"/>
  <c r="J23" i="63"/>
  <c r="CB22" i="112"/>
  <c r="BT13" i="63"/>
  <c r="BX13" i="63" s="1"/>
  <c r="BY13" i="63"/>
  <c r="AU25" i="112"/>
  <c r="AX25" i="112" s="1"/>
  <c r="BG25" i="112" s="1"/>
  <c r="AT26" i="112"/>
  <c r="BT34" i="111"/>
  <c r="BX34" i="111" s="1"/>
  <c r="BY34" i="111"/>
  <c r="CC21" i="112"/>
  <c r="H39" i="8" l="1"/>
  <c r="H123" i="8"/>
  <c r="F40" i="66"/>
  <c r="I33" i="8"/>
  <c r="G19" i="4"/>
  <c r="G19" i="56" s="1"/>
  <c r="H123" i="1"/>
  <c r="E19" i="4"/>
  <c r="E19" i="56" s="1"/>
  <c r="I33" i="1"/>
  <c r="H39" i="1"/>
  <c r="F40" i="65"/>
  <c r="BY23" i="112"/>
  <c r="I14" i="112"/>
  <c r="AA24" i="101"/>
  <c r="AL14" i="112"/>
  <c r="AL15" i="112" s="1"/>
  <c r="AM15" i="112" s="1"/>
  <c r="AN15" i="112" s="1"/>
  <c r="AR32" i="61"/>
  <c r="AY32" i="61" s="1"/>
  <c r="AR33" i="112"/>
  <c r="AY33" i="112" s="1"/>
  <c r="AR32" i="63"/>
  <c r="AY32" i="63" s="1"/>
  <c r="AR21" i="61"/>
  <c r="AY21" i="61" s="1"/>
  <c r="AR22" i="112"/>
  <c r="AY22" i="112" s="1"/>
  <c r="AR12" i="111"/>
  <c r="AY12" i="111" s="1"/>
  <c r="AR11" i="61"/>
  <c r="AY11" i="61" s="1"/>
  <c r="AR12" i="63"/>
  <c r="AY12" i="63" s="1"/>
  <c r="AR12" i="112"/>
  <c r="AY12" i="112" s="1"/>
  <c r="BY13" i="112"/>
  <c r="CB13" i="112" s="1"/>
  <c r="J14" i="112"/>
  <c r="BO14" i="112"/>
  <c r="BY34" i="112"/>
  <c r="CB34" i="112" s="1"/>
  <c r="BO35" i="112"/>
  <c r="BT35" i="112" s="1"/>
  <c r="BX35" i="112" s="1"/>
  <c r="K27" i="112"/>
  <c r="M27" i="112" s="1"/>
  <c r="Q27" i="112" s="1"/>
  <c r="AJ27" i="112"/>
  <c r="AJ28" i="112" s="1"/>
  <c r="AK28" i="112" s="1"/>
  <c r="AJ36" i="112"/>
  <c r="K36" i="112"/>
  <c r="I36" i="112" s="1"/>
  <c r="E37" i="112"/>
  <c r="K27" i="111"/>
  <c r="M27" i="111" s="1"/>
  <c r="Q27" i="111" s="1"/>
  <c r="AJ27" i="111"/>
  <c r="AJ28" i="111" s="1"/>
  <c r="AK28" i="111" s="1"/>
  <c r="AL35" i="112"/>
  <c r="M35" i="112"/>
  <c r="Q35" i="112" s="1"/>
  <c r="F17" i="56"/>
  <c r="F20" i="56" s="1"/>
  <c r="CC11" i="61"/>
  <c r="CC33" i="111"/>
  <c r="AR33" i="111"/>
  <c r="AY33" i="111" s="1"/>
  <c r="CC22" i="111"/>
  <c r="AR22" i="111"/>
  <c r="AY22" i="111" s="1"/>
  <c r="AR21" i="63"/>
  <c r="AY21" i="63" s="1"/>
  <c r="J36" i="105"/>
  <c r="AA24" i="105"/>
  <c r="CB13" i="111"/>
  <c r="CB12" i="61"/>
  <c r="CB14" i="63"/>
  <c r="CB33" i="61"/>
  <c r="CB22" i="63"/>
  <c r="CB22" i="61"/>
  <c r="CC21" i="63"/>
  <c r="CB33" i="63"/>
  <c r="CB23" i="111"/>
  <c r="F37" i="35"/>
  <c r="D34" i="35"/>
  <c r="E36" i="35"/>
  <c r="M26" i="112"/>
  <c r="Q26" i="112" s="1"/>
  <c r="AL26" i="112"/>
  <c r="I26" i="112"/>
  <c r="A37" i="35"/>
  <c r="C36" i="35"/>
  <c r="BT35" i="111"/>
  <c r="BX35" i="111" s="1"/>
  <c r="BY35" i="111"/>
  <c r="CB13" i="63"/>
  <c r="AU37" i="112"/>
  <c r="AX37" i="112" s="1"/>
  <c r="BG37" i="112" s="1"/>
  <c r="AT38" i="112"/>
  <c r="CB23" i="112"/>
  <c r="H133" i="80"/>
  <c r="H134" i="80" s="1"/>
  <c r="H87" i="80" s="1"/>
  <c r="H138" i="80" s="1"/>
  <c r="H140" i="80" s="1"/>
  <c r="H93" i="80" s="1"/>
  <c r="BO36" i="111"/>
  <c r="J36" i="111"/>
  <c r="CB14" i="111"/>
  <c r="BT24" i="112"/>
  <c r="BX24" i="112" s="1"/>
  <c r="BY24" i="112"/>
  <c r="BO24" i="63"/>
  <c r="J24" i="63"/>
  <c r="CC32" i="63"/>
  <c r="AU26" i="112"/>
  <c r="AX26" i="112" s="1"/>
  <c r="BG26" i="112" s="1"/>
  <c r="AT27" i="112"/>
  <c r="AU27" i="112" s="1"/>
  <c r="AX27" i="112" s="1"/>
  <c r="BG27" i="112" s="1"/>
  <c r="K37" i="63"/>
  <c r="E38" i="63"/>
  <c r="AJ38" i="63" s="1"/>
  <c r="CC12" i="112"/>
  <c r="BT14" i="61"/>
  <c r="BX14" i="61" s="1"/>
  <c r="BY14" i="61"/>
  <c r="CC12" i="63"/>
  <c r="M36" i="61"/>
  <c r="Q36" i="61" s="1"/>
  <c r="AL36" i="61"/>
  <c r="I36" i="61"/>
  <c r="I31" i="1"/>
  <c r="I30" i="1"/>
  <c r="AU26" i="111"/>
  <c r="AX26" i="111" s="1"/>
  <c r="BG26" i="111" s="1"/>
  <c r="AT27" i="111"/>
  <c r="AU27" i="111" s="1"/>
  <c r="AX27" i="111" s="1"/>
  <c r="BG27" i="111" s="1"/>
  <c r="CC12" i="111"/>
  <c r="H133" i="79"/>
  <c r="H134" i="79" s="1"/>
  <c r="H87" i="79" s="1"/>
  <c r="H138" i="79" s="1"/>
  <c r="H140" i="79" s="1"/>
  <c r="H93" i="79" s="1"/>
  <c r="CC22" i="112"/>
  <c r="AU37" i="111"/>
  <c r="AX37" i="111" s="1"/>
  <c r="BG37" i="111" s="1"/>
  <c r="AT38" i="111"/>
  <c r="CC21" i="61"/>
  <c r="O24" i="51"/>
  <c r="P24" i="51" s="1"/>
  <c r="P25" i="51" s="1"/>
  <c r="K26" i="51"/>
  <c r="K38" i="111"/>
  <c r="E39" i="111"/>
  <c r="AJ39" i="111" s="1"/>
  <c r="BO35" i="61"/>
  <c r="J35" i="61"/>
  <c r="J25" i="112"/>
  <c r="BO25" i="112"/>
  <c r="BT34" i="63"/>
  <c r="BX34" i="63" s="1"/>
  <c r="BY34" i="63"/>
  <c r="M25" i="63"/>
  <c r="Q25" i="63" s="1"/>
  <c r="AL25" i="63"/>
  <c r="I25" i="63"/>
  <c r="K37" i="61"/>
  <c r="E38" i="61"/>
  <c r="AJ38" i="61" s="1"/>
  <c r="M26" i="111"/>
  <c r="Q26" i="111" s="1"/>
  <c r="AL26" i="111"/>
  <c r="I26" i="111"/>
  <c r="L60" i="114"/>
  <c r="H58" i="114"/>
  <c r="A62" i="114"/>
  <c r="F57" i="114"/>
  <c r="I55" i="114"/>
  <c r="H57" i="114"/>
  <c r="CC32" i="61"/>
  <c r="BT34" i="61"/>
  <c r="BX34" i="61" s="1"/>
  <c r="BY34" i="61"/>
  <c r="K26" i="61"/>
  <c r="E27" i="61"/>
  <c r="AU36" i="63"/>
  <c r="AX36" i="63" s="1"/>
  <c r="BG36" i="63" s="1"/>
  <c r="AT37" i="63"/>
  <c r="I48" i="33"/>
  <c r="F50" i="33"/>
  <c r="M37" i="111"/>
  <c r="Q37" i="111" s="1"/>
  <c r="AL37" i="111"/>
  <c r="I37" i="111"/>
  <c r="BO24" i="61"/>
  <c r="J24" i="61"/>
  <c r="K26" i="63"/>
  <c r="E27" i="63"/>
  <c r="J25" i="111"/>
  <c r="BO25" i="111"/>
  <c r="I120" i="79"/>
  <c r="I68" i="79"/>
  <c r="AU25" i="63"/>
  <c r="AX25" i="63" s="1"/>
  <c r="BG25" i="63" s="1"/>
  <c r="AT26" i="63"/>
  <c r="I39" i="80"/>
  <c r="I41" i="80" s="1"/>
  <c r="I17" i="80"/>
  <c r="I125" i="80"/>
  <c r="I30" i="8"/>
  <c r="I31" i="8"/>
  <c r="BT23" i="61"/>
  <c r="BX23" i="61" s="1"/>
  <c r="BY23" i="61"/>
  <c r="AU25" i="61"/>
  <c r="AX25" i="61" s="1"/>
  <c r="BG25" i="61" s="1"/>
  <c r="AT26" i="61"/>
  <c r="M36" i="63"/>
  <c r="Q36" i="63" s="1"/>
  <c r="AL36" i="63"/>
  <c r="I36" i="63"/>
  <c r="BT13" i="61"/>
  <c r="BX13" i="61" s="1"/>
  <c r="BY13" i="61"/>
  <c r="AU36" i="61"/>
  <c r="AX36" i="61" s="1"/>
  <c r="BG36" i="61" s="1"/>
  <c r="AT37" i="61"/>
  <c r="CC33" i="112"/>
  <c r="AM15" i="61"/>
  <c r="AN15" i="61" s="1"/>
  <c r="J88" i="60" s="1"/>
  <c r="BT24" i="111"/>
  <c r="BX24" i="111" s="1"/>
  <c r="BY24" i="111"/>
  <c r="B55" i="114"/>
  <c r="CB34" i="111"/>
  <c r="BT23" i="63"/>
  <c r="BX23" i="63" s="1"/>
  <c r="BY23" i="63"/>
  <c r="J35" i="63"/>
  <c r="BO35" i="63"/>
  <c r="M25" i="61"/>
  <c r="Q25" i="61" s="1"/>
  <c r="AL25" i="61"/>
  <c r="I25" i="61"/>
  <c r="Q20" i="82"/>
  <c r="K40" i="73"/>
  <c r="K26" i="73"/>
  <c r="D42" i="66" l="1"/>
  <c r="D44" i="66"/>
  <c r="D45" i="66"/>
  <c r="D44" i="65"/>
  <c r="D45" i="65"/>
  <c r="D42" i="65"/>
  <c r="H118" i="1"/>
  <c r="H66" i="1"/>
  <c r="H118" i="8"/>
  <c r="H66" i="8"/>
  <c r="BG28" i="112"/>
  <c r="BG28" i="111"/>
  <c r="AR34" i="111"/>
  <c r="AY34" i="111" s="1"/>
  <c r="AR23" i="112"/>
  <c r="AY23" i="112" s="1"/>
  <c r="AR13" i="112"/>
  <c r="AY13" i="112" s="1"/>
  <c r="AR13" i="63"/>
  <c r="AY13" i="63" s="1"/>
  <c r="AR14" i="111"/>
  <c r="AY14" i="111" s="1"/>
  <c r="AR12" i="61"/>
  <c r="AY12" i="61" s="1"/>
  <c r="AR13" i="111"/>
  <c r="AY13" i="111" s="1"/>
  <c r="BT14" i="112"/>
  <c r="BX14" i="112" s="1"/>
  <c r="BY14" i="112"/>
  <c r="BY35" i="112"/>
  <c r="CB35" i="112" s="1"/>
  <c r="I27" i="112"/>
  <c r="BO27" i="112" s="1"/>
  <c r="I27" i="111"/>
  <c r="BO27" i="111" s="1"/>
  <c r="BO36" i="112"/>
  <c r="BY36" i="112" s="1"/>
  <c r="J36" i="112"/>
  <c r="AL27" i="111"/>
  <c r="AL28" i="111" s="1"/>
  <c r="AL27" i="112"/>
  <c r="AL28" i="112" s="1"/>
  <c r="AM28" i="112" s="1"/>
  <c r="AN28" i="112" s="1"/>
  <c r="K27" i="63"/>
  <c r="M27" i="63" s="1"/>
  <c r="Q27" i="63" s="1"/>
  <c r="AJ27" i="63"/>
  <c r="AJ28" i="63" s="1"/>
  <c r="AK28" i="63" s="1"/>
  <c r="M89" i="60" s="1"/>
  <c r="I53" i="64" s="1"/>
  <c r="J40" i="73" s="1"/>
  <c r="AJ37" i="112"/>
  <c r="E38" i="112"/>
  <c r="K37" i="112"/>
  <c r="I37" i="112" s="1"/>
  <c r="BO37" i="112" s="1"/>
  <c r="M36" i="112"/>
  <c r="Q36" i="112" s="1"/>
  <c r="AL36" i="112"/>
  <c r="K27" i="61"/>
  <c r="M27" i="61" s="1"/>
  <c r="Q27" i="61" s="1"/>
  <c r="AJ27" i="61"/>
  <c r="AJ28" i="61" s="1"/>
  <c r="AK28" i="61" s="1"/>
  <c r="H89" i="60" s="1"/>
  <c r="E53" i="64" s="1"/>
  <c r="C40" i="73" s="1"/>
  <c r="I17" i="56"/>
  <c r="L17" i="56" s="1"/>
  <c r="CC13" i="112"/>
  <c r="CC12" i="61"/>
  <c r="CC13" i="111"/>
  <c r="AR14" i="63"/>
  <c r="AY14" i="63" s="1"/>
  <c r="AR34" i="112"/>
  <c r="AY34" i="112" s="1"/>
  <c r="CC33" i="63"/>
  <c r="AR33" i="63"/>
  <c r="AY33" i="63" s="1"/>
  <c r="CC33" i="61"/>
  <c r="AR33" i="61"/>
  <c r="AY33" i="61" s="1"/>
  <c r="CC22" i="61"/>
  <c r="AR22" i="61"/>
  <c r="AY22" i="61" s="1"/>
  <c r="AR22" i="63"/>
  <c r="AY22" i="63" s="1"/>
  <c r="CC23" i="111"/>
  <c r="AR23" i="111"/>
  <c r="AY23" i="111" s="1"/>
  <c r="CC14" i="63"/>
  <c r="CC22" i="63"/>
  <c r="CB14" i="61"/>
  <c r="CB13" i="61"/>
  <c r="I32" i="8"/>
  <c r="I38" i="8" s="1"/>
  <c r="I123" i="8" s="1"/>
  <c r="I32" i="1"/>
  <c r="I38" i="1" s="1"/>
  <c r="I123" i="1" s="1"/>
  <c r="H92" i="79"/>
  <c r="H94" i="79" s="1"/>
  <c r="CB34" i="61"/>
  <c r="CC34" i="112"/>
  <c r="H92" i="80"/>
  <c r="H94" i="80" s="1"/>
  <c r="CB34" i="63"/>
  <c r="CB24" i="112"/>
  <c r="CB23" i="63"/>
  <c r="AU38" i="111"/>
  <c r="AX38" i="111" s="1"/>
  <c r="BG38" i="111" s="1"/>
  <c r="AT39" i="111"/>
  <c r="BT24" i="63"/>
  <c r="BX24" i="63" s="1"/>
  <c r="BY24" i="63"/>
  <c r="AU26" i="61"/>
  <c r="AX26" i="61" s="1"/>
  <c r="BG26" i="61" s="1"/>
  <c r="AT27" i="61"/>
  <c r="AU27" i="61" s="1"/>
  <c r="AX27" i="61" s="1"/>
  <c r="BG27" i="61" s="1"/>
  <c r="G52" i="107"/>
  <c r="G52" i="64"/>
  <c r="D26" i="73" s="1"/>
  <c r="M26" i="61"/>
  <c r="Q26" i="61" s="1"/>
  <c r="AL26" i="61"/>
  <c r="I26" i="61"/>
  <c r="J26" i="112"/>
  <c r="BO26" i="112"/>
  <c r="CC34" i="111"/>
  <c r="BT35" i="61"/>
  <c r="BX35" i="61" s="1"/>
  <c r="BY35" i="61"/>
  <c r="CC13" i="63"/>
  <c r="BT35" i="63"/>
  <c r="BX35" i="63" s="1"/>
  <c r="BY35" i="63"/>
  <c r="AU37" i="63"/>
  <c r="AX37" i="63" s="1"/>
  <c r="BG37" i="63" s="1"/>
  <c r="AT38" i="63"/>
  <c r="A38" i="35"/>
  <c r="C37" i="35" s="1"/>
  <c r="B56" i="114"/>
  <c r="D56" i="114" s="1"/>
  <c r="E55" i="114" s="1"/>
  <c r="CB23" i="61"/>
  <c r="K38" i="61"/>
  <c r="E39" i="61"/>
  <c r="AJ39" i="61" s="1"/>
  <c r="BT36" i="111"/>
  <c r="BX36" i="111" s="1"/>
  <c r="BY36" i="111"/>
  <c r="AU38" i="112"/>
  <c r="AX38" i="112" s="1"/>
  <c r="BG38" i="112" s="1"/>
  <c r="AT39" i="112"/>
  <c r="J36" i="61"/>
  <c r="BO36" i="61"/>
  <c r="D35" i="35"/>
  <c r="F38" i="35"/>
  <c r="E37" i="35"/>
  <c r="AU37" i="61"/>
  <c r="AX37" i="61" s="1"/>
  <c r="BG37" i="61" s="1"/>
  <c r="AT38" i="61"/>
  <c r="BO26" i="111"/>
  <c r="J26" i="111"/>
  <c r="D55" i="114"/>
  <c r="I120" i="80"/>
  <c r="I68" i="80"/>
  <c r="M26" i="63"/>
  <c r="Q26" i="63" s="1"/>
  <c r="AL26" i="63"/>
  <c r="I26" i="63"/>
  <c r="BT24" i="61"/>
  <c r="BX24" i="61" s="1"/>
  <c r="BY24" i="61"/>
  <c r="M37" i="61"/>
  <c r="Q37" i="61" s="1"/>
  <c r="AL37" i="61"/>
  <c r="I37" i="61"/>
  <c r="K39" i="111"/>
  <c r="E40" i="111"/>
  <c r="K38" i="63"/>
  <c r="E39" i="63"/>
  <c r="AJ39" i="63" s="1"/>
  <c r="J25" i="61"/>
  <c r="BO25" i="61"/>
  <c r="I121" i="79"/>
  <c r="I122" i="79" s="1"/>
  <c r="I105" i="79"/>
  <c r="I108" i="79" s="1"/>
  <c r="I84" i="79" s="1"/>
  <c r="I97" i="79" s="1"/>
  <c r="I98" i="79" s="1"/>
  <c r="I85" i="79" s="1"/>
  <c r="B85" i="79" s="1"/>
  <c r="I82" i="79"/>
  <c r="I113" i="79"/>
  <c r="I117" i="79" s="1"/>
  <c r="I86" i="79" s="1"/>
  <c r="I69" i="79"/>
  <c r="K28" i="51"/>
  <c r="K18" i="51"/>
  <c r="BT25" i="111"/>
  <c r="BX25" i="111" s="1"/>
  <c r="BY25" i="111"/>
  <c r="BO37" i="111"/>
  <c r="J37" i="111"/>
  <c r="F55" i="114"/>
  <c r="G55" i="114" s="1"/>
  <c r="H55" i="114" s="1"/>
  <c r="D60" i="114" s="1"/>
  <c r="K55" i="114"/>
  <c r="J55" i="114"/>
  <c r="M60" i="114" s="1"/>
  <c r="N60" i="114" s="1"/>
  <c r="O60" i="114" s="1"/>
  <c r="L55" i="114"/>
  <c r="CC14" i="111"/>
  <c r="J36" i="63"/>
  <c r="BO36" i="63"/>
  <c r="CB24" i="111"/>
  <c r="AU26" i="63"/>
  <c r="AX26" i="63" s="1"/>
  <c r="BG26" i="63" s="1"/>
  <c r="AT27" i="63"/>
  <c r="AU27" i="63" s="1"/>
  <c r="AX27" i="63" s="1"/>
  <c r="BG27" i="63" s="1"/>
  <c r="L48" i="33"/>
  <c r="L50" i="33" s="1"/>
  <c r="I51" i="33" s="1"/>
  <c r="I50" i="33"/>
  <c r="BO25" i="63"/>
  <c r="J25" i="63"/>
  <c r="BT25" i="112"/>
  <c r="BX25" i="112" s="1"/>
  <c r="BY25" i="112"/>
  <c r="M38" i="111"/>
  <c r="Q38" i="111" s="1"/>
  <c r="AL38" i="111"/>
  <c r="I38" i="111"/>
  <c r="M37" i="63"/>
  <c r="Q37" i="63" s="1"/>
  <c r="AL37" i="63"/>
  <c r="I37" i="63"/>
  <c r="CC23" i="112"/>
  <c r="CB35" i="111"/>
  <c r="H103" i="1" l="1"/>
  <c r="H106" i="1" s="1"/>
  <c r="H82" i="1" s="1"/>
  <c r="H136" i="1" s="1"/>
  <c r="H138" i="1" s="1"/>
  <c r="H91" i="1" s="1"/>
  <c r="H111" i="1"/>
  <c r="H115" i="1" s="1"/>
  <c r="H84" i="1" s="1"/>
  <c r="H80" i="1"/>
  <c r="H67" i="1"/>
  <c r="H119" i="1"/>
  <c r="H120" i="1" s="1"/>
  <c r="H67" i="8"/>
  <c r="H111" i="8"/>
  <c r="H115" i="8" s="1"/>
  <c r="H84" i="8" s="1"/>
  <c r="H80" i="8"/>
  <c r="H103" i="8"/>
  <c r="H106" i="8" s="1"/>
  <c r="H82" i="8" s="1"/>
  <c r="H136" i="8" s="1"/>
  <c r="H138" i="8" s="1"/>
  <c r="H91" i="8" s="1"/>
  <c r="H119" i="8"/>
  <c r="H120" i="8" s="1"/>
  <c r="BG28" i="63"/>
  <c r="BG28" i="61"/>
  <c r="AY15" i="111"/>
  <c r="AZ10" i="111" s="1"/>
  <c r="T10" i="111" s="1"/>
  <c r="AR35" i="111"/>
  <c r="AY35" i="111" s="1"/>
  <c r="AR24" i="111"/>
  <c r="AY24" i="111" s="1"/>
  <c r="AR23" i="61"/>
  <c r="AY23" i="61" s="1"/>
  <c r="AY15" i="63"/>
  <c r="AZ4" i="63" s="1"/>
  <c r="J27" i="111"/>
  <c r="BT36" i="112"/>
  <c r="BX36" i="112" s="1"/>
  <c r="CB36" i="112" s="1"/>
  <c r="CB14" i="112"/>
  <c r="J27" i="112"/>
  <c r="I27" i="63"/>
  <c r="J27" i="63" s="1"/>
  <c r="J37" i="112"/>
  <c r="AL27" i="63"/>
  <c r="AL28" i="63" s="1"/>
  <c r="I27" i="61"/>
  <c r="J27" i="61" s="1"/>
  <c r="K40" i="111"/>
  <c r="M40" i="111" s="1"/>
  <c r="Q40" i="111" s="1"/>
  <c r="AJ40" i="111"/>
  <c r="AJ41" i="111" s="1"/>
  <c r="AK41" i="111" s="1"/>
  <c r="AL27" i="61"/>
  <c r="AL28" i="61" s="1"/>
  <c r="AM28" i="61" s="1"/>
  <c r="AN28" i="61" s="1"/>
  <c r="J89" i="60" s="1"/>
  <c r="M37" i="112"/>
  <c r="Q37" i="112" s="1"/>
  <c r="AL37" i="112"/>
  <c r="AJ38" i="112"/>
  <c r="E39" i="112"/>
  <c r="K38" i="112"/>
  <c r="I38" i="112" s="1"/>
  <c r="I20" i="56"/>
  <c r="I39" i="8"/>
  <c r="G20" i="4"/>
  <c r="E20" i="4"/>
  <c r="I39" i="1"/>
  <c r="I118" i="1" s="1"/>
  <c r="AR13" i="61"/>
  <c r="AY13" i="61" s="1"/>
  <c r="CC14" i="61"/>
  <c r="AR14" i="61"/>
  <c r="AY14" i="61" s="1"/>
  <c r="CC13" i="61"/>
  <c r="CC34" i="63"/>
  <c r="AR34" i="63"/>
  <c r="AY34" i="63" s="1"/>
  <c r="CC35" i="112"/>
  <c r="AR35" i="112"/>
  <c r="AY35" i="112" s="1"/>
  <c r="CC34" i="61"/>
  <c r="AR34" i="61"/>
  <c r="AY34" i="61" s="1"/>
  <c r="CC23" i="63"/>
  <c r="AR23" i="63"/>
  <c r="AY23" i="63" s="1"/>
  <c r="AR24" i="112"/>
  <c r="AY24" i="112" s="1"/>
  <c r="CB36" i="111"/>
  <c r="CB25" i="112"/>
  <c r="CC24" i="112"/>
  <c r="CB35" i="63"/>
  <c r="CB24" i="61"/>
  <c r="CB24" i="63"/>
  <c r="I133" i="79"/>
  <c r="I134" i="79" s="1"/>
  <c r="I87" i="79" s="1"/>
  <c r="B87" i="79" s="1"/>
  <c r="D36" i="35"/>
  <c r="F39" i="35"/>
  <c r="E38" i="35"/>
  <c r="BO37" i="63"/>
  <c r="J37" i="63"/>
  <c r="AU39" i="111"/>
  <c r="AX39" i="111" s="1"/>
  <c r="BG39" i="111" s="1"/>
  <c r="AT40" i="111"/>
  <c r="AU40" i="111" s="1"/>
  <c r="AX40" i="111" s="1"/>
  <c r="BG40" i="111" s="1"/>
  <c r="BT36" i="63"/>
  <c r="BX36" i="63" s="1"/>
  <c r="BY36" i="63"/>
  <c r="AM28" i="111"/>
  <c r="AN28" i="111" s="1"/>
  <c r="CB25" i="111"/>
  <c r="CB35" i="61"/>
  <c r="BT26" i="112"/>
  <c r="BX26" i="112" s="1"/>
  <c r="BY26" i="112"/>
  <c r="AU38" i="61"/>
  <c r="AX38" i="61" s="1"/>
  <c r="BG38" i="61" s="1"/>
  <c r="AT39" i="61"/>
  <c r="AU39" i="112"/>
  <c r="AX39" i="112" s="1"/>
  <c r="BG39" i="112" s="1"/>
  <c r="AT40" i="112"/>
  <c r="AU40" i="112" s="1"/>
  <c r="AX40" i="112" s="1"/>
  <c r="BG40" i="112" s="1"/>
  <c r="M38" i="61"/>
  <c r="Q38" i="61" s="1"/>
  <c r="AL38" i="61"/>
  <c r="I38" i="61"/>
  <c r="BT25" i="63"/>
  <c r="BX25" i="63" s="1"/>
  <c r="BY25" i="63"/>
  <c r="BT27" i="111"/>
  <c r="BX27" i="111" s="1"/>
  <c r="BY27" i="111"/>
  <c r="M39" i="111"/>
  <c r="Q39" i="111" s="1"/>
  <c r="AL39" i="111"/>
  <c r="I39" i="111"/>
  <c r="BT26" i="111"/>
  <c r="BX26" i="111" s="1"/>
  <c r="BY26" i="111"/>
  <c r="M38" i="63"/>
  <c r="Q38" i="63" s="1"/>
  <c r="AL38" i="63"/>
  <c r="I38" i="63"/>
  <c r="CC24" i="111"/>
  <c r="AU38" i="63"/>
  <c r="AX38" i="63" s="1"/>
  <c r="BG38" i="63" s="1"/>
  <c r="AT39" i="63"/>
  <c r="A39" i="35"/>
  <c r="C38" i="35" s="1"/>
  <c r="BT37" i="111"/>
  <c r="BX37" i="111" s="1"/>
  <c r="BY37" i="111"/>
  <c r="I118" i="8"/>
  <c r="I66" i="8"/>
  <c r="BO26" i="63"/>
  <c r="J26" i="63"/>
  <c r="J38" i="111"/>
  <c r="BO38" i="111"/>
  <c r="J37" i="61"/>
  <c r="BO37" i="61"/>
  <c r="I69" i="80"/>
  <c r="I82" i="80"/>
  <c r="I121" i="80"/>
  <c r="I122" i="80" s="1"/>
  <c r="I105" i="80"/>
  <c r="I108" i="80" s="1"/>
  <c r="I84" i="80" s="1"/>
  <c r="I113" i="80"/>
  <c r="I117" i="80" s="1"/>
  <c r="I86" i="80" s="1"/>
  <c r="BT36" i="61"/>
  <c r="BX36" i="61" s="1"/>
  <c r="BY36" i="61"/>
  <c r="BT37" i="112"/>
  <c r="BX37" i="112" s="1"/>
  <c r="BY37" i="112"/>
  <c r="BO26" i="61"/>
  <c r="J26" i="61"/>
  <c r="BT27" i="112"/>
  <c r="BX27" i="112" s="1"/>
  <c r="BY27" i="112"/>
  <c r="B57" i="114"/>
  <c r="D57" i="114" s="1"/>
  <c r="BT25" i="61"/>
  <c r="BX25" i="61" s="1"/>
  <c r="BY25" i="61"/>
  <c r="K39" i="61"/>
  <c r="E40" i="61"/>
  <c r="CC35" i="111"/>
  <c r="K39" i="63"/>
  <c r="E40" i="63"/>
  <c r="CC23" i="61"/>
  <c r="H95" i="8" l="1"/>
  <c r="H96" i="8" s="1"/>
  <c r="AI18" i="4" s="1"/>
  <c r="H90" i="1"/>
  <c r="H95" i="1"/>
  <c r="H96" i="1" s="1"/>
  <c r="H126" i="1"/>
  <c r="H127" i="1" s="1"/>
  <c r="H129" i="1" s="1"/>
  <c r="H130" i="1" s="1"/>
  <c r="AH19" i="4"/>
  <c r="I66" i="1"/>
  <c r="I111" i="1" s="1"/>
  <c r="I115" i="1" s="1"/>
  <c r="I84" i="1" s="1"/>
  <c r="H90" i="8"/>
  <c r="BG41" i="112"/>
  <c r="BG41" i="111"/>
  <c r="AZ13" i="111"/>
  <c r="T13" i="111" s="1"/>
  <c r="AZ11" i="111"/>
  <c r="T11" i="111" s="1"/>
  <c r="AZ12" i="111"/>
  <c r="T12" i="111" s="1"/>
  <c r="AZ5" i="111"/>
  <c r="T5" i="111" s="1"/>
  <c r="AZ4" i="111"/>
  <c r="T4" i="111" s="1"/>
  <c r="AZ7" i="111"/>
  <c r="T7" i="111" s="1"/>
  <c r="AZ3" i="111"/>
  <c r="T3" i="111" s="1"/>
  <c r="BA15" i="111"/>
  <c r="BB28" i="111" s="1"/>
  <c r="BA28" i="111" s="1"/>
  <c r="AZ9" i="111"/>
  <c r="T9" i="111" s="1"/>
  <c r="AZ6" i="111"/>
  <c r="T6" i="111" s="1"/>
  <c r="AZ14" i="111"/>
  <c r="T14" i="111" s="1"/>
  <c r="AZ11" i="63"/>
  <c r="T11" i="63" s="1"/>
  <c r="N22" i="73" s="1"/>
  <c r="T4" i="63"/>
  <c r="N15" i="73" s="1"/>
  <c r="M25" i="102"/>
  <c r="AZ10" i="63"/>
  <c r="T10" i="63" s="1"/>
  <c r="N21" i="73" s="1"/>
  <c r="AZ8" i="111"/>
  <c r="T8" i="111" s="1"/>
  <c r="AZ9" i="63"/>
  <c r="T9" i="63" s="1"/>
  <c r="N20" i="73" s="1"/>
  <c r="AZ3" i="63"/>
  <c r="AR35" i="61"/>
  <c r="AY35" i="61" s="1"/>
  <c r="AZ14" i="63"/>
  <c r="T14" i="63" s="1"/>
  <c r="N25" i="73" s="1"/>
  <c r="AZ13" i="63"/>
  <c r="T13" i="63" s="1"/>
  <c r="N24" i="73" s="1"/>
  <c r="AR36" i="112"/>
  <c r="AY36" i="112" s="1"/>
  <c r="AZ12" i="63"/>
  <c r="T12" i="63" s="1"/>
  <c r="N23" i="73" s="1"/>
  <c r="BA15" i="63"/>
  <c r="BB28" i="63" s="1"/>
  <c r="BA28" i="63" s="1"/>
  <c r="AZ8" i="63"/>
  <c r="T8" i="63" s="1"/>
  <c r="N19" i="73" s="1"/>
  <c r="AZ7" i="63"/>
  <c r="AZ6" i="63"/>
  <c r="AZ5" i="63"/>
  <c r="AR25" i="111"/>
  <c r="AY25" i="111" s="1"/>
  <c r="AR14" i="112"/>
  <c r="AY14" i="112" s="1"/>
  <c r="AY15" i="112" s="1"/>
  <c r="CC14" i="112"/>
  <c r="BO27" i="63"/>
  <c r="BT27" i="63" s="1"/>
  <c r="BX27" i="63" s="1"/>
  <c r="BO27" i="61"/>
  <c r="BT27" i="61" s="1"/>
  <c r="BX27" i="61" s="1"/>
  <c r="I40" i="111"/>
  <c r="BO40" i="111" s="1"/>
  <c r="J38" i="112"/>
  <c r="BO38" i="112"/>
  <c r="BT38" i="112" s="1"/>
  <c r="BX38" i="112" s="1"/>
  <c r="AL40" i="111"/>
  <c r="AL41" i="111" s="1"/>
  <c r="K40" i="63"/>
  <c r="M40" i="63" s="1"/>
  <c r="Q40" i="63" s="1"/>
  <c r="AJ40" i="63"/>
  <c r="AJ41" i="63" s="1"/>
  <c r="AK41" i="63" s="1"/>
  <c r="M90" i="60" s="1"/>
  <c r="I54" i="64" s="1"/>
  <c r="J54" i="73" s="1"/>
  <c r="AL38" i="112"/>
  <c r="M38" i="112"/>
  <c r="Q38" i="112" s="1"/>
  <c r="AJ39" i="112"/>
  <c r="K39" i="112"/>
  <c r="I39" i="112" s="1"/>
  <c r="J39" i="112" s="1"/>
  <c r="E40" i="112"/>
  <c r="K40" i="61"/>
  <c r="M40" i="61" s="1"/>
  <c r="Q40" i="61" s="1"/>
  <c r="AJ40" i="61"/>
  <c r="AJ41" i="61" s="1"/>
  <c r="AK41" i="61" s="1"/>
  <c r="H90" i="60" s="1"/>
  <c r="E54" i="64" s="1"/>
  <c r="C54" i="73" s="1"/>
  <c r="AY15" i="61"/>
  <c r="AR35" i="63"/>
  <c r="AY35" i="63" s="1"/>
  <c r="AR36" i="111"/>
  <c r="AY36" i="111" s="1"/>
  <c r="CC24" i="63"/>
  <c r="AR24" i="63"/>
  <c r="AY24" i="63" s="1"/>
  <c r="CC25" i="112"/>
  <c r="AR25" i="112"/>
  <c r="AY25" i="112" s="1"/>
  <c r="CC24" i="61"/>
  <c r="AR24" i="61"/>
  <c r="AY24" i="61" s="1"/>
  <c r="CC36" i="111"/>
  <c r="CC35" i="63"/>
  <c r="CB25" i="63"/>
  <c r="CB36" i="63"/>
  <c r="CB37" i="111"/>
  <c r="CB37" i="112"/>
  <c r="CB27" i="111"/>
  <c r="CB26" i="111"/>
  <c r="CB25" i="61"/>
  <c r="CB36" i="61"/>
  <c r="I138" i="79"/>
  <c r="I140" i="79" s="1"/>
  <c r="I93" i="79" s="1"/>
  <c r="B93" i="79" s="1"/>
  <c r="I92" i="79"/>
  <c r="D37" i="35"/>
  <c r="F40" i="35"/>
  <c r="E39" i="35"/>
  <c r="AM28" i="63"/>
  <c r="AN28" i="63" s="1"/>
  <c r="O89" i="60" s="1"/>
  <c r="BT26" i="63"/>
  <c r="BX26" i="63" s="1"/>
  <c r="BY26" i="63"/>
  <c r="M39" i="63"/>
  <c r="Q39" i="63" s="1"/>
  <c r="AL39" i="63"/>
  <c r="I39" i="63"/>
  <c r="M39" i="61"/>
  <c r="Q39" i="61" s="1"/>
  <c r="AL39" i="61"/>
  <c r="I39" i="61"/>
  <c r="CB27" i="112"/>
  <c r="I97" i="80"/>
  <c r="I98" i="80" s="1"/>
  <c r="I85" i="80" s="1"/>
  <c r="B85" i="80" s="1"/>
  <c r="AU39" i="63"/>
  <c r="AX39" i="63" s="1"/>
  <c r="BG39" i="63" s="1"/>
  <c r="AT40" i="63"/>
  <c r="AU40" i="63" s="1"/>
  <c r="AX40" i="63" s="1"/>
  <c r="BG40" i="63" s="1"/>
  <c r="A40" i="35"/>
  <c r="C39" i="35"/>
  <c r="BT26" i="61"/>
  <c r="BX26" i="61" s="1"/>
  <c r="BY26" i="61"/>
  <c r="AU39" i="61"/>
  <c r="AX39" i="61" s="1"/>
  <c r="BG39" i="61" s="1"/>
  <c r="AT40" i="61"/>
  <c r="AU40" i="61" s="1"/>
  <c r="AX40" i="61" s="1"/>
  <c r="BG40" i="61" s="1"/>
  <c r="I111" i="8"/>
  <c r="I115" i="8" s="1"/>
  <c r="I84" i="8" s="1"/>
  <c r="I103" i="8"/>
  <c r="I106" i="8" s="1"/>
  <c r="I82" i="8" s="1"/>
  <c r="I136" i="8" s="1"/>
  <c r="I138" i="8" s="1"/>
  <c r="I91" i="8" s="1"/>
  <c r="B91" i="8" s="1"/>
  <c r="I80" i="8"/>
  <c r="I67" i="8"/>
  <c r="I119" i="8"/>
  <c r="I120" i="8" s="1"/>
  <c r="J39" i="111"/>
  <c r="BO39" i="111"/>
  <c r="J38" i="61"/>
  <c r="BO38" i="61"/>
  <c r="BT38" i="111"/>
  <c r="BX38" i="111" s="1"/>
  <c r="BY38" i="111"/>
  <c r="CC35" i="61"/>
  <c r="G53" i="64"/>
  <c r="D40" i="73" s="1"/>
  <c r="G53" i="107"/>
  <c r="BO38" i="63"/>
  <c r="J38" i="63"/>
  <c r="E57" i="114"/>
  <c r="E58" i="114" s="1"/>
  <c r="D58" i="114" s="1"/>
  <c r="B58" i="114"/>
  <c r="B59" i="114" s="1"/>
  <c r="B60" i="114" s="1"/>
  <c r="B61" i="114" s="1"/>
  <c r="B62" i="114" s="1"/>
  <c r="BT37" i="61"/>
  <c r="BX37" i="61" s="1"/>
  <c r="BY37" i="61"/>
  <c r="CC36" i="112"/>
  <c r="CB26" i="112"/>
  <c r="CC25" i="111"/>
  <c r="BT37" i="63"/>
  <c r="BX37" i="63" s="1"/>
  <c r="BY37" i="63"/>
  <c r="H126" i="8" l="1"/>
  <c r="H127" i="8" s="1"/>
  <c r="H129" i="8" s="1"/>
  <c r="H130" i="8" s="1"/>
  <c r="H92" i="1"/>
  <c r="I80" i="1"/>
  <c r="I67" i="1"/>
  <c r="I103" i="1"/>
  <c r="I106" i="1" s="1"/>
  <c r="I82" i="1" s="1"/>
  <c r="I136" i="1" s="1"/>
  <c r="I138" i="1" s="1"/>
  <c r="I91" i="1" s="1"/>
  <c r="B91" i="1" s="1"/>
  <c r="R12" i="4" s="1"/>
  <c r="S14" i="4" s="1"/>
  <c r="I119" i="1"/>
  <c r="I120" i="1" s="1"/>
  <c r="F19" i="4"/>
  <c r="Y2" i="56"/>
  <c r="Y5" i="56" s="1"/>
  <c r="Y4" i="56" s="1"/>
  <c r="Y7" i="56" s="1"/>
  <c r="Y8" i="56" s="1"/>
  <c r="Y9" i="56" s="1"/>
  <c r="Y10" i="56" s="1"/>
  <c r="Y11" i="56" s="1"/>
  <c r="Y12" i="56" s="1"/>
  <c r="Y13" i="56" s="1"/>
  <c r="Y14" i="56" s="1"/>
  <c r="Y15" i="56" s="1"/>
  <c r="Y16" i="56" s="1"/>
  <c r="Y17" i="56" s="1"/>
  <c r="Y18" i="56" s="1"/>
  <c r="H92" i="8"/>
  <c r="H19" i="4" s="1"/>
  <c r="BG41" i="61"/>
  <c r="BG41" i="63"/>
  <c r="T7" i="63"/>
  <c r="M28" i="102"/>
  <c r="AD28" i="102" s="1"/>
  <c r="T15" i="111"/>
  <c r="F25" i="102"/>
  <c r="X25" i="102" s="1"/>
  <c r="T5" i="63"/>
  <c r="M26" i="102"/>
  <c r="T6" i="63"/>
  <c r="M27" i="102"/>
  <c r="T3" i="63"/>
  <c r="M24" i="102"/>
  <c r="AR26" i="112"/>
  <c r="AY26" i="112" s="1"/>
  <c r="AR27" i="112"/>
  <c r="AY27" i="112" s="1"/>
  <c r="BY27" i="63"/>
  <c r="CB27" i="63" s="1"/>
  <c r="AZ3" i="61"/>
  <c r="AZ4" i="61"/>
  <c r="AZ5" i="61"/>
  <c r="AZ6" i="61"/>
  <c r="AZ7" i="61"/>
  <c r="M28" i="99" s="1"/>
  <c r="AZ8" i="61"/>
  <c r="AZ9" i="61"/>
  <c r="AZ10" i="61"/>
  <c r="AZ11" i="61"/>
  <c r="AZ12" i="61"/>
  <c r="AZ13" i="61"/>
  <c r="AZ14" i="61"/>
  <c r="AZ3" i="112"/>
  <c r="T3" i="112" s="1"/>
  <c r="AZ14" i="112"/>
  <c r="T14" i="112" s="1"/>
  <c r="AZ4" i="112"/>
  <c r="T4" i="112" s="1"/>
  <c r="AZ5" i="112"/>
  <c r="T5" i="112" s="1"/>
  <c r="AZ6" i="112"/>
  <c r="T6" i="112" s="1"/>
  <c r="AZ7" i="112"/>
  <c r="T7" i="112" s="1"/>
  <c r="AZ8" i="112"/>
  <c r="T8" i="112" s="1"/>
  <c r="AZ9" i="112"/>
  <c r="T9" i="112" s="1"/>
  <c r="AZ10" i="112"/>
  <c r="T10" i="112" s="1"/>
  <c r="AZ11" i="112"/>
  <c r="T11" i="112" s="1"/>
  <c r="AZ12" i="112"/>
  <c r="T12" i="112" s="1"/>
  <c r="AZ13" i="112"/>
  <c r="T13" i="112" s="1"/>
  <c r="BA15" i="112"/>
  <c r="BB28" i="112" s="1"/>
  <c r="BA28" i="112" s="1"/>
  <c r="J40" i="111"/>
  <c r="BY27" i="61"/>
  <c r="CB27" i="61" s="1"/>
  <c r="BY38" i="112"/>
  <c r="CB38" i="112" s="1"/>
  <c r="BA15" i="61"/>
  <c r="BB28" i="61" s="1"/>
  <c r="BA28" i="61" s="1"/>
  <c r="I40" i="63"/>
  <c r="J40" i="63" s="1"/>
  <c r="I40" i="61"/>
  <c r="J40" i="61" s="1"/>
  <c r="AL40" i="63"/>
  <c r="AL41" i="63" s="1"/>
  <c r="AM41" i="63" s="1"/>
  <c r="AN41" i="63" s="1"/>
  <c r="O90" i="60" s="1"/>
  <c r="K54" i="64" s="1"/>
  <c r="K54" i="73" s="1"/>
  <c r="AL40" i="61"/>
  <c r="AL41" i="61" s="1"/>
  <c r="AM41" i="61" s="1"/>
  <c r="AN41" i="61" s="1"/>
  <c r="J90" i="60" s="1"/>
  <c r="BO39" i="112"/>
  <c r="BT39" i="112" s="1"/>
  <c r="BX39" i="112" s="1"/>
  <c r="K40" i="112"/>
  <c r="I40" i="112" s="1"/>
  <c r="AJ40" i="112"/>
  <c r="AJ41" i="112" s="1"/>
  <c r="AK41" i="112" s="1"/>
  <c r="M39" i="112"/>
  <c r="Q39" i="112" s="1"/>
  <c r="AL39" i="112"/>
  <c r="CC36" i="61"/>
  <c r="AR36" i="61"/>
  <c r="AY36" i="61" s="1"/>
  <c r="CC37" i="111"/>
  <c r="AR37" i="111"/>
  <c r="AY37" i="111" s="1"/>
  <c r="CC37" i="112"/>
  <c r="AR37" i="112"/>
  <c r="AY37" i="112" s="1"/>
  <c r="CC36" i="63"/>
  <c r="AR36" i="63"/>
  <c r="AY36" i="63" s="1"/>
  <c r="CC25" i="63"/>
  <c r="AR25" i="63"/>
  <c r="AY25" i="63" s="1"/>
  <c r="CC25" i="61"/>
  <c r="AR25" i="61"/>
  <c r="AY25" i="61" s="1"/>
  <c r="AR27" i="111"/>
  <c r="AY27" i="111" s="1"/>
  <c r="CC26" i="111"/>
  <c r="AR26" i="111"/>
  <c r="AY26" i="111" s="1"/>
  <c r="CB37" i="63"/>
  <c r="CC27" i="111"/>
  <c r="CB38" i="111"/>
  <c r="CB37" i="61"/>
  <c r="I94" i="79"/>
  <c r="K53" i="107"/>
  <c r="K53" i="64"/>
  <c r="AM41" i="111"/>
  <c r="AN41" i="111" s="1"/>
  <c r="CC26" i="112"/>
  <c r="BT39" i="111"/>
  <c r="BX39" i="111" s="1"/>
  <c r="BY39" i="111"/>
  <c r="B63" i="114"/>
  <c r="D63" i="114" s="1"/>
  <c r="I95" i="8"/>
  <c r="I96" i="8" s="1"/>
  <c r="CB26" i="63"/>
  <c r="E40" i="35"/>
  <c r="D38" i="35"/>
  <c r="F41" i="35"/>
  <c r="BO39" i="61"/>
  <c r="J39" i="61"/>
  <c r="BT38" i="63"/>
  <c r="BX38" i="63" s="1"/>
  <c r="BY38" i="63"/>
  <c r="I90" i="8"/>
  <c r="I133" i="80"/>
  <c r="I134" i="80" s="1"/>
  <c r="I87" i="80" s="1"/>
  <c r="J39" i="63"/>
  <c r="BO39" i="63"/>
  <c r="CC27" i="112"/>
  <c r="A41" i="35"/>
  <c r="C40" i="35"/>
  <c r="BT38" i="61"/>
  <c r="BX38" i="61" s="1"/>
  <c r="BY38" i="61"/>
  <c r="BT40" i="111"/>
  <c r="BX40" i="111" s="1"/>
  <c r="BY40" i="111"/>
  <c r="CB26" i="61"/>
  <c r="I90" i="1" l="1"/>
  <c r="I95" i="1"/>
  <c r="I96" i="1" s="1"/>
  <c r="I126" i="1" s="1"/>
  <c r="I127" i="1" s="1"/>
  <c r="I129" i="1" s="1"/>
  <c r="I130" i="1" s="1"/>
  <c r="B130" i="1" s="1"/>
  <c r="C33" i="51" s="1"/>
  <c r="I19" i="4"/>
  <c r="N18" i="73"/>
  <c r="F28" i="102"/>
  <c r="X28" i="102" s="1"/>
  <c r="U28" i="102" s="1"/>
  <c r="N28" i="102" s="1"/>
  <c r="N17" i="73"/>
  <c r="F27" i="102"/>
  <c r="X27" i="102" s="1"/>
  <c r="N16" i="73"/>
  <c r="F26" i="102"/>
  <c r="X26" i="102" s="1"/>
  <c r="N14" i="73"/>
  <c r="F24" i="102"/>
  <c r="T15" i="63"/>
  <c r="N88" i="60" s="1"/>
  <c r="J52" i="64" s="1"/>
  <c r="M25" i="99"/>
  <c r="AD25" i="99" s="1"/>
  <c r="AD25" i="102"/>
  <c r="U25" i="102" s="1"/>
  <c r="N25" i="102" s="1"/>
  <c r="M26" i="99"/>
  <c r="AD26" i="99" s="1"/>
  <c r="AD26" i="102"/>
  <c r="M27" i="99"/>
  <c r="AD27" i="99" s="1"/>
  <c r="AD27" i="102"/>
  <c r="U27" i="102" s="1"/>
  <c r="N27" i="102" s="1"/>
  <c r="M24" i="99"/>
  <c r="AD24" i="99" s="1"/>
  <c r="AY28" i="112"/>
  <c r="AZ21" i="112" s="1"/>
  <c r="T21" i="112" s="1"/>
  <c r="AR26" i="63"/>
  <c r="AY26" i="63" s="1"/>
  <c r="AR26" i="61"/>
  <c r="AY26" i="61" s="1"/>
  <c r="T11" i="61"/>
  <c r="G22" i="73" s="1"/>
  <c r="Q22" i="73" s="1"/>
  <c r="AD32" i="99"/>
  <c r="U32" i="99" s="1"/>
  <c r="T9" i="61"/>
  <c r="G20" i="73" s="1"/>
  <c r="Q20" i="73" s="1"/>
  <c r="AD30" i="99"/>
  <c r="U30" i="99" s="1"/>
  <c r="T8" i="61"/>
  <c r="G19" i="73" s="1"/>
  <c r="Q19" i="73" s="1"/>
  <c r="AD29" i="99"/>
  <c r="U29" i="99" s="1"/>
  <c r="T7" i="61"/>
  <c r="AD28" i="99"/>
  <c r="T13" i="61"/>
  <c r="G24" i="73" s="1"/>
  <c r="Q24" i="73" s="1"/>
  <c r="AD34" i="99"/>
  <c r="U34" i="99" s="1"/>
  <c r="T5" i="61"/>
  <c r="T12" i="61"/>
  <c r="G23" i="73" s="1"/>
  <c r="Q23" i="73" s="1"/>
  <c r="AD33" i="99"/>
  <c r="U33" i="99" s="1"/>
  <c r="T10" i="61"/>
  <c r="G21" i="73" s="1"/>
  <c r="Q21" i="73" s="1"/>
  <c r="AD31" i="99"/>
  <c r="U31" i="99" s="1"/>
  <c r="T4" i="61"/>
  <c r="T14" i="61"/>
  <c r="G25" i="73" s="1"/>
  <c r="Q25" i="73" s="1"/>
  <c r="AD35" i="99"/>
  <c r="U35" i="99" s="1"/>
  <c r="T6" i="61"/>
  <c r="T3" i="61"/>
  <c r="T15" i="112"/>
  <c r="BO40" i="63"/>
  <c r="BT40" i="63" s="1"/>
  <c r="BX40" i="63" s="1"/>
  <c r="BO40" i="61"/>
  <c r="BT40" i="61" s="1"/>
  <c r="BX40" i="61" s="1"/>
  <c r="BY39" i="112"/>
  <c r="CB39" i="112" s="1"/>
  <c r="BO40" i="112"/>
  <c r="J40" i="112"/>
  <c r="AL40" i="112"/>
  <c r="AL41" i="112" s="1"/>
  <c r="AM41" i="112" s="1"/>
  <c r="AN41" i="112" s="1"/>
  <c r="M40" i="112"/>
  <c r="Q40" i="112" s="1"/>
  <c r="AY28" i="111"/>
  <c r="AR38" i="112"/>
  <c r="AY38" i="112" s="1"/>
  <c r="CC37" i="61"/>
  <c r="AR37" i="61"/>
  <c r="AY37" i="61" s="1"/>
  <c r="AR38" i="111"/>
  <c r="AY38" i="111" s="1"/>
  <c r="CC37" i="63"/>
  <c r="AR37" i="63"/>
  <c r="AY37" i="63" s="1"/>
  <c r="CC27" i="61"/>
  <c r="AR27" i="61"/>
  <c r="AY27" i="61" s="1"/>
  <c r="CC27" i="63"/>
  <c r="AR27" i="63"/>
  <c r="AY27" i="63" s="1"/>
  <c r="I92" i="1"/>
  <c r="Z2" i="56" s="1"/>
  <c r="Z5" i="56" s="1"/>
  <c r="Z4" i="56" s="1"/>
  <c r="Z7" i="56" s="1"/>
  <c r="Z8" i="56" s="1"/>
  <c r="Z9" i="56" s="1"/>
  <c r="Z10" i="56" s="1"/>
  <c r="Z11" i="56" s="1"/>
  <c r="Z12" i="56" s="1"/>
  <c r="Z13" i="56" s="1"/>
  <c r="Z14" i="56" s="1"/>
  <c r="Z15" i="56" s="1"/>
  <c r="Z16" i="56" s="1"/>
  <c r="Z17" i="56" s="1"/>
  <c r="Z18" i="56" s="1"/>
  <c r="L34" i="33"/>
  <c r="F35" i="33" s="1"/>
  <c r="K54" i="107"/>
  <c r="CC38" i="112"/>
  <c r="CB38" i="63"/>
  <c r="CC38" i="111"/>
  <c r="CB40" i="111"/>
  <c r="CB38" i="61"/>
  <c r="CB39" i="111"/>
  <c r="A71" i="114"/>
  <c r="H66" i="114"/>
  <c r="L69" i="114"/>
  <c r="F66" i="114"/>
  <c r="H67" i="114"/>
  <c r="I64" i="114"/>
  <c r="E41" i="35"/>
  <c r="D39" i="35"/>
  <c r="F42" i="35"/>
  <c r="A42" i="35"/>
  <c r="C41" i="35"/>
  <c r="BT39" i="61"/>
  <c r="BX39" i="61" s="1"/>
  <c r="BY39" i="61"/>
  <c r="G54" i="64"/>
  <c r="D54" i="73" s="1"/>
  <c r="G54" i="107"/>
  <c r="B64" i="114"/>
  <c r="D64" i="114"/>
  <c r="CC26" i="63"/>
  <c r="B87" i="80"/>
  <c r="I138" i="80"/>
  <c r="I140" i="80" s="1"/>
  <c r="I93" i="80" s="1"/>
  <c r="B93" i="80" s="1"/>
  <c r="I92" i="80"/>
  <c r="CC26" i="61"/>
  <c r="BT39" i="63"/>
  <c r="BX39" i="63" s="1"/>
  <c r="BY39" i="63"/>
  <c r="AI19" i="4"/>
  <c r="I126" i="8"/>
  <c r="I127" i="8" s="1"/>
  <c r="I129" i="8" s="1"/>
  <c r="I130" i="8" s="1"/>
  <c r="U26" i="102" l="1"/>
  <c r="N26" i="102" s="1"/>
  <c r="G18" i="73"/>
  <c r="Q18" i="73" s="1"/>
  <c r="F28" i="99"/>
  <c r="X28" i="99" s="1"/>
  <c r="U28" i="99" s="1"/>
  <c r="N28" i="99" s="1"/>
  <c r="N26" i="73"/>
  <c r="F26" i="99"/>
  <c r="X26" i="99" s="1"/>
  <c r="U26" i="99" s="1"/>
  <c r="N26" i="99" s="1"/>
  <c r="AZ23" i="112"/>
  <c r="T23" i="112" s="1"/>
  <c r="AZ24" i="112"/>
  <c r="T24" i="112" s="1"/>
  <c r="F52" i="107"/>
  <c r="I22" i="71"/>
  <c r="AY28" i="61"/>
  <c r="AZ19" i="61" s="1"/>
  <c r="T19" i="61" s="1"/>
  <c r="G31" i="73" s="1"/>
  <c r="F27" i="99"/>
  <c r="X27" i="99" s="1"/>
  <c r="U27" i="99" s="1"/>
  <c r="N27" i="99" s="1"/>
  <c r="AZ20" i="112"/>
  <c r="T20" i="112" s="1"/>
  <c r="AZ17" i="112"/>
  <c r="T17" i="112" s="1"/>
  <c r="AZ27" i="112"/>
  <c r="T27" i="112" s="1"/>
  <c r="AZ18" i="112"/>
  <c r="T18" i="112" s="1"/>
  <c r="AY28" i="63"/>
  <c r="AZ16" i="63" s="1"/>
  <c r="AZ26" i="112"/>
  <c r="T26" i="112" s="1"/>
  <c r="AZ19" i="112"/>
  <c r="T19" i="112" s="1"/>
  <c r="AZ25" i="112"/>
  <c r="T25" i="112" s="1"/>
  <c r="AD24" i="102"/>
  <c r="M36" i="102"/>
  <c r="AZ16" i="112"/>
  <c r="T16" i="112" s="1"/>
  <c r="BB41" i="112"/>
  <c r="BA41" i="112" s="1"/>
  <c r="AR39" i="112"/>
  <c r="AY39" i="112" s="1"/>
  <c r="AZ22" i="112"/>
  <c r="T22" i="112" s="1"/>
  <c r="G17" i="73"/>
  <c r="Q17" i="73" s="1"/>
  <c r="AZ17" i="111"/>
  <c r="T17" i="111" s="1"/>
  <c r="AZ18" i="111"/>
  <c r="T18" i="111" s="1"/>
  <c r="AZ19" i="111"/>
  <c r="T19" i="111" s="1"/>
  <c r="AZ20" i="111"/>
  <c r="T20" i="111" s="1"/>
  <c r="AZ21" i="111"/>
  <c r="T21" i="111" s="1"/>
  <c r="AZ22" i="111"/>
  <c r="T22" i="111" s="1"/>
  <c r="AZ23" i="111"/>
  <c r="T23" i="111" s="1"/>
  <c r="AZ24" i="111"/>
  <c r="T24" i="111" s="1"/>
  <c r="AZ25" i="111"/>
  <c r="T25" i="111" s="1"/>
  <c r="AZ26" i="111"/>
  <c r="T26" i="111" s="1"/>
  <c r="AZ27" i="111"/>
  <c r="T27" i="111" s="1"/>
  <c r="BB41" i="111"/>
  <c r="BA41" i="111" s="1"/>
  <c r="AZ16" i="111"/>
  <c r="T16" i="111" s="1"/>
  <c r="G15" i="73"/>
  <c r="Q15" i="73" s="1"/>
  <c r="F25" i="99"/>
  <c r="X25" i="99" s="1"/>
  <c r="U25" i="99" s="1"/>
  <c r="N25" i="99" s="1"/>
  <c r="G14" i="73"/>
  <c r="Q14" i="73" s="1"/>
  <c r="F24" i="99"/>
  <c r="X24" i="99" s="1"/>
  <c r="U24" i="99" s="1"/>
  <c r="N24" i="99" s="1"/>
  <c r="T15" i="61"/>
  <c r="I88" i="60" s="1"/>
  <c r="F52" i="64" s="1"/>
  <c r="G22" i="71" s="1"/>
  <c r="G16" i="73"/>
  <c r="Q16" i="73" s="1"/>
  <c r="M36" i="99"/>
  <c r="M38" i="99" s="1"/>
  <c r="BY40" i="61"/>
  <c r="CB40" i="61" s="1"/>
  <c r="BY40" i="63"/>
  <c r="CB40" i="63" s="1"/>
  <c r="BY40" i="112"/>
  <c r="BT40" i="112"/>
  <c r="BX40" i="112" s="1"/>
  <c r="CC38" i="63"/>
  <c r="AR38" i="63"/>
  <c r="AY38" i="63" s="1"/>
  <c r="CC38" i="61"/>
  <c r="AR38" i="61"/>
  <c r="AY38" i="61" s="1"/>
  <c r="CC40" i="111"/>
  <c r="AR40" i="111"/>
  <c r="AY40" i="111" s="1"/>
  <c r="CC39" i="111"/>
  <c r="AR39" i="111"/>
  <c r="AY39" i="111" s="1"/>
  <c r="F20" i="4"/>
  <c r="F21" i="4" s="1"/>
  <c r="I94" i="80"/>
  <c r="I92" i="8"/>
  <c r="H20" i="4" s="1"/>
  <c r="H21" i="4" s="1"/>
  <c r="B130" i="8"/>
  <c r="A43" i="35"/>
  <c r="F64" i="114"/>
  <c r="K64" i="114"/>
  <c r="L64" i="114"/>
  <c r="J64" i="114"/>
  <c r="M69" i="114" s="1"/>
  <c r="N69" i="114" s="1"/>
  <c r="O69" i="114" s="1"/>
  <c r="CB39" i="63"/>
  <c r="B65" i="114"/>
  <c r="D65" i="114"/>
  <c r="E64" i="114" s="1"/>
  <c r="CB39" i="61"/>
  <c r="F43" i="35"/>
  <c r="E42" i="35"/>
  <c r="D40" i="35"/>
  <c r="CC39" i="112"/>
  <c r="AZ23" i="61" l="1"/>
  <c r="T23" i="61" s="1"/>
  <c r="G35" i="73" s="1"/>
  <c r="BB41" i="61"/>
  <c r="BA41" i="61" s="1"/>
  <c r="AZ27" i="61"/>
  <c r="T27" i="61" s="1"/>
  <c r="G39" i="73" s="1"/>
  <c r="AZ24" i="61"/>
  <c r="T24" i="61" s="1"/>
  <c r="G36" i="73" s="1"/>
  <c r="AZ22" i="61"/>
  <c r="T22" i="61" s="1"/>
  <c r="G34" i="73" s="1"/>
  <c r="AZ18" i="61"/>
  <c r="T18" i="61" s="1"/>
  <c r="G30" i="73" s="1"/>
  <c r="T16" i="63"/>
  <c r="N28" i="73" s="1"/>
  <c r="M24" i="103"/>
  <c r="AZ21" i="61"/>
  <c r="T21" i="61" s="1"/>
  <c r="G33" i="73" s="1"/>
  <c r="AZ16" i="61"/>
  <c r="M24" i="100" s="1"/>
  <c r="AZ17" i="61"/>
  <c r="K22" i="71"/>
  <c r="O22" i="71" s="1"/>
  <c r="P22" i="71" s="1"/>
  <c r="BB41" i="63"/>
  <c r="BA41" i="63" s="1"/>
  <c r="AZ27" i="63"/>
  <c r="T27" i="63" s="1"/>
  <c r="N39" i="73" s="1"/>
  <c r="AZ26" i="63"/>
  <c r="T26" i="63" s="1"/>
  <c r="N38" i="73" s="1"/>
  <c r="AZ26" i="61"/>
  <c r="T26" i="61" s="1"/>
  <c r="G38" i="73" s="1"/>
  <c r="AZ17" i="63"/>
  <c r="AZ25" i="63"/>
  <c r="T25" i="63" s="1"/>
  <c r="N37" i="73" s="1"/>
  <c r="AZ25" i="61"/>
  <c r="T25" i="61" s="1"/>
  <c r="G37" i="73" s="1"/>
  <c r="T28" i="112"/>
  <c r="AZ22" i="63"/>
  <c r="T22" i="63" s="1"/>
  <c r="N34" i="73" s="1"/>
  <c r="AZ21" i="63"/>
  <c r="T21" i="63" s="1"/>
  <c r="N33" i="73" s="1"/>
  <c r="AZ20" i="63"/>
  <c r="T20" i="63" s="1"/>
  <c r="N32" i="73" s="1"/>
  <c r="AZ20" i="61"/>
  <c r="T20" i="61" s="1"/>
  <c r="G32" i="73" s="1"/>
  <c r="X24" i="102"/>
  <c r="U24" i="102" s="1"/>
  <c r="N24" i="102" s="1"/>
  <c r="N36" i="102" s="1"/>
  <c r="F36" i="102"/>
  <c r="AZ24" i="63"/>
  <c r="T24" i="63" s="1"/>
  <c r="N36" i="73" s="1"/>
  <c r="AZ18" i="63"/>
  <c r="T18" i="63" s="1"/>
  <c r="N30" i="73" s="1"/>
  <c r="AZ23" i="63"/>
  <c r="T23" i="63" s="1"/>
  <c r="N35" i="73" s="1"/>
  <c r="AZ19" i="63"/>
  <c r="T19" i="63" s="1"/>
  <c r="N31" i="73" s="1"/>
  <c r="Q31" i="73" s="1"/>
  <c r="M38" i="102"/>
  <c r="M37" i="102"/>
  <c r="AR39" i="63"/>
  <c r="AY39" i="63" s="1"/>
  <c r="AR40" i="63"/>
  <c r="AY40" i="63" s="1"/>
  <c r="AR40" i="61"/>
  <c r="AY40" i="61" s="1"/>
  <c r="AR39" i="61"/>
  <c r="AY39" i="61" s="1"/>
  <c r="T28" i="111"/>
  <c r="M37" i="99"/>
  <c r="Q26" i="73"/>
  <c r="G26" i="73"/>
  <c r="N36" i="99"/>
  <c r="F36" i="99"/>
  <c r="Q88" i="60"/>
  <c r="L52" i="64" s="1"/>
  <c r="T18" i="82" s="1"/>
  <c r="J52" i="107"/>
  <c r="L52" i="107" s="1"/>
  <c r="CB40" i="112"/>
  <c r="AY41" i="111"/>
  <c r="A44" i="35"/>
  <c r="B66" i="114"/>
  <c r="D66" i="114" s="1"/>
  <c r="CC39" i="63"/>
  <c r="L35" i="33"/>
  <c r="H35" i="33" s="1"/>
  <c r="C34" i="51"/>
  <c r="G64" i="114"/>
  <c r="H64" i="114" s="1"/>
  <c r="D69" i="114" s="1"/>
  <c r="CC39" i="61"/>
  <c r="CC40" i="63"/>
  <c r="I20" i="4"/>
  <c r="I21" i="4" s="1"/>
  <c r="CC40" i="61"/>
  <c r="C42" i="35"/>
  <c r="Q36" i="73" l="1"/>
  <c r="Q39" i="73"/>
  <c r="Q35" i="73"/>
  <c r="T16" i="61"/>
  <c r="G28" i="73" s="1"/>
  <c r="Q28" i="73" s="1"/>
  <c r="T17" i="61"/>
  <c r="M25" i="100"/>
  <c r="AD25" i="100" s="1"/>
  <c r="T17" i="63"/>
  <c r="T28" i="63" s="1"/>
  <c r="N89" i="60" s="1"/>
  <c r="J53" i="64" s="1"/>
  <c r="F53" i="107" s="1"/>
  <c r="M25" i="103"/>
  <c r="AD25" i="103" s="1"/>
  <c r="Q34" i="73"/>
  <c r="Q30" i="73"/>
  <c r="AD24" i="100"/>
  <c r="F24" i="103"/>
  <c r="Q33" i="73"/>
  <c r="Q37" i="73"/>
  <c r="Q32" i="73"/>
  <c r="Q38" i="73"/>
  <c r="AD24" i="103"/>
  <c r="AY41" i="61"/>
  <c r="AZ33" i="61" s="1"/>
  <c r="T33" i="61" s="1"/>
  <c r="G46" i="73" s="1"/>
  <c r="AY41" i="63"/>
  <c r="U88" i="60"/>
  <c r="AZ30" i="111"/>
  <c r="T30" i="111" s="1"/>
  <c r="AZ31" i="111"/>
  <c r="T31" i="111" s="1"/>
  <c r="AZ32" i="111"/>
  <c r="T32" i="111" s="1"/>
  <c r="AZ33" i="111"/>
  <c r="T33" i="111" s="1"/>
  <c r="AZ34" i="111"/>
  <c r="T34" i="111" s="1"/>
  <c r="AZ35" i="111"/>
  <c r="T35" i="111" s="1"/>
  <c r="AZ36" i="111"/>
  <c r="T36" i="111" s="1"/>
  <c r="AZ37" i="111"/>
  <c r="T37" i="111" s="1"/>
  <c r="AZ38" i="111"/>
  <c r="T38" i="111" s="1"/>
  <c r="AZ39" i="111"/>
  <c r="T39" i="111" s="1"/>
  <c r="AZ40" i="111"/>
  <c r="T40" i="111" s="1"/>
  <c r="AZ29" i="111"/>
  <c r="T29" i="111" s="1"/>
  <c r="AD25" i="105"/>
  <c r="U25" i="105" s="1"/>
  <c r="N25" i="105" s="1"/>
  <c r="CC40" i="112"/>
  <c r="AR40" i="112"/>
  <c r="AY40" i="112" s="1"/>
  <c r="AY41" i="112" s="1"/>
  <c r="F44" i="35"/>
  <c r="D41" i="35"/>
  <c r="E43" i="35"/>
  <c r="C44" i="35"/>
  <c r="A45" i="35"/>
  <c r="E66" i="114"/>
  <c r="E67" i="114" s="1"/>
  <c r="D67" i="114" s="1"/>
  <c r="B67" i="114"/>
  <c r="B68" i="114" s="1"/>
  <c r="B69" i="114" s="1"/>
  <c r="B70" i="114" s="1"/>
  <c r="B71" i="114" s="1"/>
  <c r="C43" i="35"/>
  <c r="M36" i="100" l="1"/>
  <c r="M37" i="100" s="1"/>
  <c r="F24" i="100"/>
  <c r="X24" i="100" s="1"/>
  <c r="U24" i="100" s="1"/>
  <c r="N24" i="100" s="1"/>
  <c r="T28" i="61"/>
  <c r="I89" i="60" s="1"/>
  <c r="F53" i="64" s="1"/>
  <c r="G23" i="71" s="1"/>
  <c r="M36" i="103"/>
  <c r="N29" i="73"/>
  <c r="N40" i="73" s="1"/>
  <c r="F25" i="103"/>
  <c r="X25" i="103" s="1"/>
  <c r="U25" i="103" s="1"/>
  <c r="N25" i="103" s="1"/>
  <c r="G29" i="73"/>
  <c r="F25" i="100"/>
  <c r="X25" i="100" s="1"/>
  <c r="U25" i="100" s="1"/>
  <c r="N25" i="100" s="1"/>
  <c r="AZ40" i="63"/>
  <c r="T40" i="63" s="1"/>
  <c r="N53" i="73" s="1"/>
  <c r="AZ31" i="63"/>
  <c r="T31" i="63" s="1"/>
  <c r="N44" i="73" s="1"/>
  <c r="X24" i="103"/>
  <c r="U24" i="103" s="1"/>
  <c r="N24" i="103" s="1"/>
  <c r="AZ30" i="63"/>
  <c r="T30" i="63" s="1"/>
  <c r="N43" i="73" s="1"/>
  <c r="AZ34" i="63"/>
  <c r="T34" i="63" s="1"/>
  <c r="N47" i="73" s="1"/>
  <c r="AZ33" i="63"/>
  <c r="T33" i="63" s="1"/>
  <c r="N46" i="73" s="1"/>
  <c r="Q46" i="73" s="1"/>
  <c r="AZ40" i="61"/>
  <c r="T40" i="61" s="1"/>
  <c r="G53" i="73" s="1"/>
  <c r="AZ32" i="63"/>
  <c r="T32" i="63" s="1"/>
  <c r="N45" i="73" s="1"/>
  <c r="I23" i="71"/>
  <c r="AZ38" i="63"/>
  <c r="T38" i="63" s="1"/>
  <c r="N51" i="73" s="1"/>
  <c r="AZ38" i="61"/>
  <c r="T38" i="61" s="1"/>
  <c r="G51" i="73" s="1"/>
  <c r="AZ36" i="63"/>
  <c r="T36" i="63" s="1"/>
  <c r="N49" i="73" s="1"/>
  <c r="AZ37" i="61"/>
  <c r="T37" i="61" s="1"/>
  <c r="G50" i="73" s="1"/>
  <c r="AZ39" i="63"/>
  <c r="T39" i="63" s="1"/>
  <c r="N52" i="73" s="1"/>
  <c r="AZ39" i="61"/>
  <c r="T39" i="61" s="1"/>
  <c r="G52" i="73" s="1"/>
  <c r="AZ37" i="63"/>
  <c r="T37" i="63" s="1"/>
  <c r="N50" i="73" s="1"/>
  <c r="AZ35" i="63"/>
  <c r="T35" i="63" s="1"/>
  <c r="N48" i="73" s="1"/>
  <c r="AZ31" i="61"/>
  <c r="T31" i="61" s="1"/>
  <c r="G44" i="73" s="1"/>
  <c r="AZ30" i="61"/>
  <c r="T30" i="61" s="1"/>
  <c r="G43" i="73" s="1"/>
  <c r="AZ34" i="61"/>
  <c r="T34" i="61" s="1"/>
  <c r="G47" i="73" s="1"/>
  <c r="AZ29" i="63"/>
  <c r="AZ36" i="61"/>
  <c r="T36" i="61" s="1"/>
  <c r="G49" i="73" s="1"/>
  <c r="AZ35" i="61"/>
  <c r="T35" i="61" s="1"/>
  <c r="G48" i="73" s="1"/>
  <c r="AZ29" i="61"/>
  <c r="AZ32" i="61"/>
  <c r="T32" i="61" s="1"/>
  <c r="G45" i="73" s="1"/>
  <c r="T41" i="111"/>
  <c r="AZ29" i="112"/>
  <c r="T29" i="112" s="1"/>
  <c r="AZ40" i="112"/>
  <c r="T40" i="112" s="1"/>
  <c r="AZ30" i="112"/>
  <c r="T30" i="112" s="1"/>
  <c r="AZ31" i="112"/>
  <c r="T31" i="112" s="1"/>
  <c r="AZ32" i="112"/>
  <c r="T32" i="112" s="1"/>
  <c r="AZ33" i="112"/>
  <c r="T33" i="112" s="1"/>
  <c r="AZ34" i="112"/>
  <c r="T34" i="112" s="1"/>
  <c r="AZ35" i="112"/>
  <c r="T35" i="112" s="1"/>
  <c r="AZ36" i="112"/>
  <c r="T36" i="112" s="1"/>
  <c r="AZ37" i="112"/>
  <c r="T37" i="112" s="1"/>
  <c r="AZ38" i="112"/>
  <c r="T38" i="112" s="1"/>
  <c r="AZ39" i="112"/>
  <c r="T39" i="112" s="1"/>
  <c r="B72" i="114"/>
  <c r="D72" i="114"/>
  <c r="E45" i="35"/>
  <c r="F46" i="35"/>
  <c r="D43" i="35"/>
  <c r="F45" i="35"/>
  <c r="D42" i="35"/>
  <c r="E44" i="35"/>
  <c r="A46" i="35"/>
  <c r="M38" i="100" l="1"/>
  <c r="J53" i="107"/>
  <c r="L53" i="107" s="1"/>
  <c r="K23" i="71"/>
  <c r="O23" i="71" s="1"/>
  <c r="P23" i="71" s="1"/>
  <c r="Q89" i="60"/>
  <c r="L53" i="64" s="1"/>
  <c r="T19" i="82" s="1"/>
  <c r="N36" i="103"/>
  <c r="N36" i="100"/>
  <c r="Q53" i="73"/>
  <c r="M38" i="103"/>
  <c r="M37" i="103"/>
  <c r="Q29" i="73"/>
  <c r="Q40" i="73" s="1"/>
  <c r="G40" i="73"/>
  <c r="F36" i="103"/>
  <c r="F36" i="100"/>
  <c r="Q44" i="73"/>
  <c r="T29" i="63"/>
  <c r="T41" i="63" s="1"/>
  <c r="N90" i="60" s="1"/>
  <c r="N94" i="60" s="1"/>
  <c r="J58" i="107" s="1"/>
  <c r="M24" i="105"/>
  <c r="M36" i="105" s="1"/>
  <c r="M38" i="105" s="1"/>
  <c r="Q43" i="73"/>
  <c r="Q51" i="73"/>
  <c r="T29" i="61"/>
  <c r="G42" i="73" s="1"/>
  <c r="G54" i="73" s="1"/>
  <c r="M24" i="101"/>
  <c r="M36" i="101" s="1"/>
  <c r="Q50" i="73"/>
  <c r="Q45" i="73"/>
  <c r="Q52" i="73"/>
  <c r="Q47" i="73"/>
  <c r="Q49" i="73"/>
  <c r="Q48" i="73"/>
  <c r="T41" i="112"/>
  <c r="A47" i="35"/>
  <c r="C46" i="35"/>
  <c r="C45" i="35"/>
  <c r="F75" i="114"/>
  <c r="A80" i="114"/>
  <c r="I73" i="114"/>
  <c r="H75" i="114"/>
  <c r="L78" i="114"/>
  <c r="H76" i="114"/>
  <c r="B73" i="114"/>
  <c r="D73" i="114" s="1"/>
  <c r="G56" i="73" l="1"/>
  <c r="U89" i="60"/>
  <c r="AD24" i="101"/>
  <c r="M37" i="105"/>
  <c r="N42" i="73"/>
  <c r="N54" i="73" s="1"/>
  <c r="N56" i="73" s="1"/>
  <c r="F24" i="105"/>
  <c r="X24" i="105" s="1"/>
  <c r="AD24" i="105"/>
  <c r="J54" i="64"/>
  <c r="F54" i="107" s="1"/>
  <c r="T41" i="61"/>
  <c r="I90" i="60" s="1"/>
  <c r="F54" i="64" s="1"/>
  <c r="J54" i="107" s="1"/>
  <c r="F24" i="101"/>
  <c r="M38" i="101"/>
  <c r="M37" i="101"/>
  <c r="J58" i="64"/>
  <c r="Q42" i="73"/>
  <c r="Q54" i="73" s="1"/>
  <c r="Q56" i="73" s="1"/>
  <c r="D44" i="35"/>
  <c r="E46" i="35"/>
  <c r="F47" i="35"/>
  <c r="B74" i="114"/>
  <c r="F48" i="35"/>
  <c r="E47" i="35"/>
  <c r="D45" i="35"/>
  <c r="A48" i="35"/>
  <c r="C47" i="35"/>
  <c r="F73" i="114"/>
  <c r="K73" i="114"/>
  <c r="L73" i="114"/>
  <c r="J73" i="114"/>
  <c r="M78" i="114" s="1"/>
  <c r="N78" i="114" s="1"/>
  <c r="O78" i="114" s="1"/>
  <c r="F36" i="105" l="1"/>
  <c r="Q90" i="60"/>
  <c r="L54" i="64" s="1"/>
  <c r="T20" i="82" s="1"/>
  <c r="I94" i="60"/>
  <c r="F58" i="107" s="1"/>
  <c r="G24" i="71"/>
  <c r="L54" i="107"/>
  <c r="L58" i="107" s="1"/>
  <c r="U24" i="105"/>
  <c r="N24" i="105" s="1"/>
  <c r="N36" i="105" s="1"/>
  <c r="I24" i="71"/>
  <c r="F36" i="101"/>
  <c r="X24" i="101"/>
  <c r="U24" i="101" s="1"/>
  <c r="N24" i="101" s="1"/>
  <c r="N36" i="101" s="1"/>
  <c r="Q94" i="60"/>
  <c r="L58" i="64" s="1"/>
  <c r="G73" i="114"/>
  <c r="H73" i="114" s="1"/>
  <c r="D78" i="114" s="1"/>
  <c r="B75" i="114"/>
  <c r="D75" i="114"/>
  <c r="D74" i="114"/>
  <c r="E73" i="114" s="1"/>
  <c r="D46" i="35"/>
  <c r="F49" i="35"/>
  <c r="E48" i="35"/>
  <c r="A49" i="35"/>
  <c r="U90" i="60" l="1"/>
  <c r="U93" i="60" s="1"/>
  <c r="Q95" i="60" s="1"/>
  <c r="L59" i="107" s="1"/>
  <c r="F58" i="64"/>
  <c r="K24" i="71"/>
  <c r="O24" i="71" s="1"/>
  <c r="P24" i="71" s="1"/>
  <c r="P25" i="71" s="1"/>
  <c r="K18" i="71" s="1"/>
  <c r="E75" i="114"/>
  <c r="E76" i="114" s="1"/>
  <c r="D76" i="114" s="1"/>
  <c r="B76" i="114"/>
  <c r="B77" i="114" s="1"/>
  <c r="B78" i="114" s="1"/>
  <c r="B79" i="114" s="1"/>
  <c r="B80" i="114" s="1"/>
  <c r="A50" i="35"/>
  <c r="C49" i="35"/>
  <c r="C48" i="35"/>
  <c r="K26" i="71" l="1"/>
  <c r="L59" i="64"/>
  <c r="K28" i="71"/>
  <c r="E49" i="35"/>
  <c r="D47" i="35"/>
  <c r="F50" i="35"/>
  <c r="A51" i="35"/>
  <c r="E50" i="35"/>
  <c r="F51" i="35"/>
  <c r="D48" i="35"/>
  <c r="B81" i="114"/>
  <c r="D81" i="114"/>
  <c r="A52" i="35" l="1"/>
  <c r="C51" i="35" s="1"/>
  <c r="C50" i="35"/>
  <c r="I82" i="114"/>
  <c r="A89" i="114"/>
  <c r="L87" i="114"/>
  <c r="H84" i="114"/>
  <c r="F84" i="114"/>
  <c r="H85" i="114"/>
  <c r="B82" i="114"/>
  <c r="D82" i="114"/>
  <c r="D50" i="35" l="1"/>
  <c r="F53" i="35"/>
  <c r="E52" i="35"/>
  <c r="D49" i="35"/>
  <c r="E51" i="35"/>
  <c r="F52" i="35"/>
  <c r="B83" i="114"/>
  <c r="L82" i="114"/>
  <c r="K82" i="114"/>
  <c r="F82" i="114"/>
  <c r="J82" i="114"/>
  <c r="M87" i="114" s="1"/>
  <c r="N87" i="114" s="1"/>
  <c r="O87" i="114" s="1"/>
  <c r="A53" i="35"/>
  <c r="A54" i="35" l="1"/>
  <c r="C53" i="35" s="1"/>
  <c r="G82" i="114"/>
  <c r="H82" i="114" s="1"/>
  <c r="D87" i="114" s="1"/>
  <c r="B84" i="114"/>
  <c r="D84" i="114" s="1"/>
  <c r="C52" i="35"/>
  <c r="D83" i="114"/>
  <c r="E82" i="114" s="1"/>
  <c r="E54" i="35" l="1"/>
  <c r="D52" i="35"/>
  <c r="F55" i="35"/>
  <c r="F54" i="35"/>
  <c r="E53" i="35"/>
  <c r="D51" i="35"/>
  <c r="E84" i="114"/>
  <c r="E85" i="114" s="1"/>
  <c r="D85" i="114" s="1"/>
  <c r="B85" i="114"/>
  <c r="B86" i="114" s="1"/>
  <c r="B87" i="114" s="1"/>
  <c r="B88" i="114" s="1"/>
  <c r="B89" i="114" s="1"/>
  <c r="A55" i="35"/>
  <c r="C54" i="35"/>
  <c r="B90" i="114" l="1"/>
  <c r="D53" i="35"/>
  <c r="E55" i="35"/>
  <c r="F56" i="35"/>
  <c r="A56" i="35"/>
  <c r="C55" i="35" s="1"/>
  <c r="F57" i="35" l="1"/>
  <c r="D54" i="35"/>
  <c r="E56" i="35"/>
  <c r="B91" i="114"/>
  <c r="D91" i="114" s="1"/>
  <c r="A57" i="35"/>
  <c r="D90" i="114"/>
  <c r="A58" i="35" l="1"/>
  <c r="C57" i="35" s="1"/>
  <c r="F93" i="114"/>
  <c r="A98" i="114"/>
  <c r="I91" i="114"/>
  <c r="H93" i="114"/>
  <c r="H94" i="114"/>
  <c r="L96" i="114"/>
  <c r="C56" i="35"/>
  <c r="B92" i="114"/>
  <c r="D92" i="114"/>
  <c r="E91" i="114" s="1"/>
  <c r="D56" i="35" l="1"/>
  <c r="E58" i="35"/>
  <c r="F59" i="35"/>
  <c r="B93" i="114"/>
  <c r="D93" i="114" s="1"/>
  <c r="F91" i="114"/>
  <c r="G91" i="114" s="1"/>
  <c r="H91" i="114" s="1"/>
  <c r="D96" i="114" s="1"/>
  <c r="K91" i="114"/>
  <c r="L91" i="114"/>
  <c r="J91" i="114"/>
  <c r="M96" i="114" s="1"/>
  <c r="N96" i="114" s="1"/>
  <c r="O96" i="114" s="1"/>
  <c r="E57" i="35"/>
  <c r="D55" i="35"/>
  <c r="F58" i="35"/>
  <c r="A59" i="35"/>
  <c r="C58" i="35"/>
  <c r="F60" i="35" l="1"/>
  <c r="D57" i="35"/>
  <c r="E59" i="35"/>
  <c r="A60" i="35"/>
  <c r="B94" i="114"/>
  <c r="B95" i="114" s="1"/>
  <c r="B96" i="114" s="1"/>
  <c r="B97" i="114" s="1"/>
  <c r="B98" i="114" s="1"/>
  <c r="E93" i="114"/>
  <c r="E94" i="114" s="1"/>
  <c r="D94" i="114" s="1"/>
  <c r="B99" i="114" l="1"/>
  <c r="D99" i="114"/>
  <c r="A61" i="35"/>
  <c r="C60" i="35"/>
  <c r="C59" i="35"/>
  <c r="F62" i="35" l="1"/>
  <c r="D59" i="35"/>
  <c r="E61" i="35"/>
  <c r="H102" i="114"/>
  <c r="F102" i="114"/>
  <c r="H103" i="114"/>
  <c r="I100" i="114"/>
  <c r="A107" i="114"/>
  <c r="L105" i="114"/>
  <c r="E60" i="35"/>
  <c r="D58" i="35"/>
  <c r="F61" i="35"/>
  <c r="A62" i="35"/>
  <c r="C61" i="35"/>
  <c r="B100" i="114"/>
  <c r="F100" i="114" l="1"/>
  <c r="L100" i="114"/>
  <c r="K100" i="114"/>
  <c r="J100" i="114"/>
  <c r="M105" i="114" s="1"/>
  <c r="N105" i="114" s="1"/>
  <c r="O105" i="114" s="1"/>
  <c r="A63" i="35"/>
  <c r="C62" i="35"/>
  <c r="D101" i="114"/>
  <c r="E100" i="114" s="1"/>
  <c r="B101" i="114"/>
  <c r="D100" i="114"/>
  <c r="E62" i="35"/>
  <c r="D60" i="35"/>
  <c r="F63" i="35"/>
  <c r="E63" i="35" l="1"/>
  <c r="F64" i="35"/>
  <c r="D61" i="35"/>
  <c r="A64" i="35"/>
  <c r="G100" i="114"/>
  <c r="H100" i="114" s="1"/>
  <c r="D105" i="114" s="1"/>
  <c r="B102" i="114"/>
  <c r="D102" i="114" s="1"/>
  <c r="B103" i="114" l="1"/>
  <c r="B104" i="114" s="1"/>
  <c r="B105" i="114" s="1"/>
  <c r="B106" i="114" s="1"/>
  <c r="B107" i="114" s="1"/>
  <c r="E102" i="114"/>
  <c r="E103" i="114" s="1"/>
  <c r="D103" i="114" s="1"/>
  <c r="A65" i="35"/>
  <c r="C64" i="35"/>
  <c r="C63" i="35"/>
  <c r="D63" i="35" l="1"/>
  <c r="E65" i="35"/>
  <c r="F66" i="35"/>
  <c r="A66" i="35"/>
  <c r="E64" i="35"/>
  <c r="F65" i="35"/>
  <c r="D62" i="35"/>
  <c r="B108" i="114"/>
  <c r="D108" i="114" s="1"/>
  <c r="H112" i="114" l="1"/>
  <c r="I109" i="114"/>
  <c r="H111" i="114"/>
  <c r="F111" i="114"/>
  <c r="A116" i="114"/>
  <c r="L114" i="114"/>
  <c r="B109" i="114"/>
  <c r="D109" i="114" s="1"/>
  <c r="A67" i="35"/>
  <c r="C66" i="35" s="1"/>
  <c r="C65" i="35"/>
  <c r="F68" i="35" l="1"/>
  <c r="D65" i="35"/>
  <c r="E67" i="35"/>
  <c r="F67" i="35"/>
  <c r="E66" i="35"/>
  <c r="D64" i="35"/>
  <c r="J109" i="114"/>
  <c r="M114" i="114" s="1"/>
  <c r="N114" i="114" s="1"/>
  <c r="O114" i="114" s="1"/>
  <c r="L109" i="114"/>
  <c r="F109" i="114"/>
  <c r="K109" i="114"/>
  <c r="B110" i="114"/>
  <c r="D110" i="114"/>
  <c r="E109" i="114" s="1"/>
  <c r="A68" i="35"/>
  <c r="C67" i="35"/>
  <c r="B111" i="114" l="1"/>
  <c r="D66" i="35"/>
  <c r="F69" i="35"/>
  <c r="E68" i="35"/>
  <c r="A69" i="35"/>
  <c r="C68" i="35" s="1"/>
  <c r="G109" i="114"/>
  <c r="H109" i="114" s="1"/>
  <c r="D114" i="114" s="1"/>
  <c r="E69" i="35" l="1"/>
  <c r="D67" i="35"/>
  <c r="F70" i="35"/>
  <c r="B112" i="114"/>
  <c r="B113" i="114" s="1"/>
  <c r="B114" i="114" s="1"/>
  <c r="B115" i="114" s="1"/>
  <c r="B116" i="114" s="1"/>
  <c r="E111" i="114"/>
  <c r="E112" i="114" s="1"/>
  <c r="A70" i="35"/>
  <c r="C69" i="35"/>
  <c r="D111" i="114"/>
  <c r="D112" i="114" l="1"/>
  <c r="F71" i="35"/>
  <c r="D68" i="35"/>
  <c r="E70" i="35"/>
  <c r="A71" i="35"/>
  <c r="B117" i="114"/>
  <c r="D117" i="114" s="1"/>
  <c r="L123" i="114" l="1"/>
  <c r="A125" i="114"/>
  <c r="I118" i="114"/>
  <c r="H121" i="114"/>
  <c r="H120" i="114"/>
  <c r="F120" i="114"/>
  <c r="B118" i="114"/>
  <c r="D118" i="114"/>
  <c r="A72" i="35"/>
  <c r="C70" i="35"/>
  <c r="D119" i="114" l="1"/>
  <c r="E118" i="114" s="1"/>
  <c r="B119" i="114"/>
  <c r="D69" i="35"/>
  <c r="E71" i="35"/>
  <c r="F72" i="35"/>
  <c r="F118" i="114"/>
  <c r="J118" i="114"/>
  <c r="M123" i="114" s="1"/>
  <c r="N123" i="114" s="1"/>
  <c r="O123" i="114" s="1"/>
  <c r="K118" i="114"/>
  <c r="L118" i="114"/>
  <c r="A73" i="35"/>
  <c r="C71" i="35"/>
  <c r="G118" i="114" l="1"/>
  <c r="H118" i="114" s="1"/>
  <c r="D123" i="114" s="1"/>
  <c r="F73" i="35"/>
  <c r="E72" i="35"/>
  <c r="D70" i="35"/>
  <c r="A74" i="35"/>
  <c r="C72" i="35"/>
  <c r="B120" i="114"/>
  <c r="E120" i="114" l="1"/>
  <c r="E121" i="114" s="1"/>
  <c r="B121" i="114"/>
  <c r="B122" i="114" s="1"/>
  <c r="B123" i="114" s="1"/>
  <c r="B124" i="114" s="1"/>
  <c r="B125" i="114" s="1"/>
  <c r="E73" i="35"/>
  <c r="D71" i="35"/>
  <c r="F74" i="35"/>
  <c r="D120" i="114"/>
  <c r="A75" i="35"/>
  <c r="C73" i="35"/>
  <c r="A76" i="35" l="1"/>
  <c r="C75" i="35" s="1"/>
  <c r="C74" i="35"/>
  <c r="B126" i="114"/>
  <c r="E74" i="35"/>
  <c r="D72" i="35"/>
  <c r="F75" i="35"/>
  <c r="D121" i="114"/>
  <c r="D74" i="35" l="1"/>
  <c r="E76" i="35"/>
  <c r="F77" i="35"/>
  <c r="B127" i="114"/>
  <c r="E75" i="35"/>
  <c r="F76" i="35"/>
  <c r="D73" i="35"/>
  <c r="D126" i="114"/>
  <c r="A77" i="35"/>
  <c r="C76" i="35"/>
  <c r="D75" i="35" l="1"/>
  <c r="E77" i="35"/>
  <c r="F78" i="35"/>
  <c r="B128" i="114"/>
  <c r="A78" i="35"/>
  <c r="C77" i="35"/>
  <c r="D127" i="114"/>
  <c r="I127" i="114"/>
  <c r="H129" i="114"/>
  <c r="H130" i="114"/>
  <c r="F129" i="114"/>
  <c r="L132" i="114"/>
  <c r="A134" i="114"/>
  <c r="C78" i="35" l="1"/>
  <c r="A79" i="35"/>
  <c r="B129" i="114"/>
  <c r="D129" i="114"/>
  <c r="D76" i="35"/>
  <c r="E78" i="35"/>
  <c r="F79" i="35"/>
  <c r="D128" i="114"/>
  <c r="E127" i="114" s="1"/>
  <c r="J127" i="114"/>
  <c r="M132" i="114" s="1"/>
  <c r="N132" i="114" s="1"/>
  <c r="O132" i="114" s="1"/>
  <c r="L127" i="114"/>
  <c r="F127" i="114"/>
  <c r="G127" i="114" s="1"/>
  <c r="H127" i="114" s="1"/>
  <c r="D132" i="114" s="1"/>
  <c r="K127" i="114"/>
  <c r="E129" i="114" l="1"/>
  <c r="E130" i="114" s="1"/>
  <c r="D130" i="114" s="1"/>
  <c r="B130" i="114"/>
  <c r="B131" i="114" s="1"/>
  <c r="B132" i="114" s="1"/>
  <c r="B133" i="114" s="1"/>
  <c r="B134" i="114" s="1"/>
  <c r="A80" i="35"/>
  <c r="C79" i="35" s="1"/>
  <c r="D77" i="35"/>
  <c r="F80" i="35"/>
  <c r="E79" i="35"/>
  <c r="F81" i="35" l="1"/>
  <c r="D78" i="35"/>
  <c r="E80" i="35"/>
  <c r="B135" i="114"/>
  <c r="A81" i="35"/>
  <c r="A82" i="35" l="1"/>
  <c r="C81" i="35" s="1"/>
  <c r="B136" i="114"/>
  <c r="C80" i="35"/>
  <c r="D135" i="114"/>
  <c r="F83" i="35" l="1"/>
  <c r="E82" i="35"/>
  <c r="D80" i="35"/>
  <c r="F82" i="35"/>
  <c r="D79" i="35"/>
  <c r="E81" i="35"/>
  <c r="L141" i="114"/>
  <c r="I136" i="114"/>
  <c r="F138" i="114"/>
  <c r="H138" i="114"/>
  <c r="A143" i="114"/>
  <c r="H139" i="114"/>
  <c r="B137" i="114"/>
  <c r="D137" i="114"/>
  <c r="E136" i="114" s="1"/>
  <c r="D136" i="114"/>
  <c r="A83" i="35"/>
  <c r="C83" i="35" l="1"/>
  <c r="A84" i="35"/>
  <c r="K136" i="114"/>
  <c r="J136" i="114"/>
  <c r="M141" i="114" s="1"/>
  <c r="N141" i="114" s="1"/>
  <c r="O141" i="114" s="1"/>
  <c r="F136" i="114"/>
  <c r="G136" i="114" s="1"/>
  <c r="H136" i="114" s="1"/>
  <c r="D141" i="114" s="1"/>
  <c r="L136" i="114"/>
  <c r="B138" i="114"/>
  <c r="C82" i="35"/>
  <c r="B139" i="114" l="1"/>
  <c r="B140" i="114" s="1"/>
  <c r="B141" i="114" s="1"/>
  <c r="B142" i="114" s="1"/>
  <c r="B143" i="114" s="1"/>
  <c r="E138" i="114"/>
  <c r="E139" i="114" s="1"/>
  <c r="F84" i="35"/>
  <c r="E83" i="35"/>
  <c r="D81" i="35"/>
  <c r="A85" i="35"/>
  <c r="D138" i="114"/>
  <c r="D82" i="35"/>
  <c r="F85" i="35"/>
  <c r="E84" i="35"/>
  <c r="A86" i="35" l="1"/>
  <c r="C85" i="35" s="1"/>
  <c r="C84" i="35"/>
  <c r="D139" i="114"/>
  <c r="B144" i="114"/>
  <c r="D84" i="35" l="1"/>
  <c r="F87" i="35"/>
  <c r="E86" i="35"/>
  <c r="B145" i="114"/>
  <c r="D144" i="114"/>
  <c r="F86" i="35"/>
  <c r="E85" i="35"/>
  <c r="D83" i="35"/>
  <c r="A87" i="35"/>
  <c r="B146" i="114" l="1"/>
  <c r="D146" i="114" s="1"/>
  <c r="E145" i="114" s="1"/>
  <c r="A152" i="114"/>
  <c r="F147" i="114"/>
  <c r="H147" i="114"/>
  <c r="H148" i="114"/>
  <c r="I145" i="114"/>
  <c r="L150" i="114"/>
  <c r="A88" i="35"/>
  <c r="C87" i="35" s="1"/>
  <c r="C86" i="35"/>
  <c r="D145" i="114"/>
  <c r="F89" i="35" l="1"/>
  <c r="E88" i="35"/>
  <c r="D86" i="35"/>
  <c r="L145" i="114"/>
  <c r="K145" i="114"/>
  <c r="F145" i="114"/>
  <c r="G145" i="114" s="1"/>
  <c r="H145" i="114" s="1"/>
  <c r="D150" i="114" s="1"/>
  <c r="J145" i="114"/>
  <c r="M150" i="114" s="1"/>
  <c r="N150" i="114" s="1"/>
  <c r="O150" i="114" s="1"/>
  <c r="F88" i="35"/>
  <c r="D85" i="35"/>
  <c r="E87" i="35"/>
  <c r="A89" i="35"/>
  <c r="B147" i="114"/>
  <c r="D147" i="114" s="1"/>
  <c r="A90" i="35" l="1"/>
  <c r="C89" i="35" s="1"/>
  <c r="C88" i="35"/>
  <c r="B148" i="114"/>
  <c r="B149" i="114" s="1"/>
  <c r="B150" i="114" s="1"/>
  <c r="B151" i="114" s="1"/>
  <c r="B152" i="114" s="1"/>
  <c r="E147" i="114"/>
  <c r="E148" i="114" s="1"/>
  <c r="D148" i="114" s="1"/>
  <c r="E90" i="35" l="1"/>
  <c r="D88" i="35"/>
  <c r="F91" i="35"/>
  <c r="F90" i="35"/>
  <c r="D87" i="35"/>
  <c r="E89" i="35"/>
  <c r="B153" i="114"/>
  <c r="D153" i="114" s="1"/>
  <c r="A91" i="35"/>
  <c r="C90" i="35" s="1"/>
  <c r="F92" i="35" l="1"/>
  <c r="D89" i="35"/>
  <c r="E91" i="35"/>
  <c r="I154" i="114"/>
  <c r="H156" i="114"/>
  <c r="L159" i="114"/>
  <c r="H157" i="114"/>
  <c r="A161" i="114"/>
  <c r="F156" i="114"/>
  <c r="B154" i="114"/>
  <c r="D154" i="114"/>
  <c r="A92" i="35"/>
  <c r="C91" i="35" s="1"/>
  <c r="E92" i="35" l="1"/>
  <c r="D90" i="35"/>
  <c r="F93" i="35"/>
  <c r="F154" i="114"/>
  <c r="J154" i="114"/>
  <c r="M159" i="114" s="1"/>
  <c r="N159" i="114" s="1"/>
  <c r="O159" i="114" s="1"/>
  <c r="L154" i="114"/>
  <c r="K154" i="114"/>
  <c r="B155" i="114"/>
  <c r="D155" i="114"/>
  <c r="E154" i="114" s="1"/>
  <c r="A93" i="35"/>
  <c r="G154" i="114" l="1"/>
  <c r="H154" i="114" s="1"/>
  <c r="D159" i="114" s="1"/>
  <c r="A94" i="35"/>
  <c r="C92" i="35"/>
  <c r="B156" i="114"/>
  <c r="D156" i="114"/>
  <c r="F94" i="35" l="1"/>
  <c r="E93" i="35"/>
  <c r="D91" i="35"/>
  <c r="A95" i="35"/>
  <c r="C93" i="35"/>
  <c r="E156" i="114"/>
  <c r="E157" i="114" s="1"/>
  <c r="D157" i="114" s="1"/>
  <c r="B157" i="114"/>
  <c r="B158" i="114" s="1"/>
  <c r="B159" i="114" s="1"/>
  <c r="B160" i="114" s="1"/>
  <c r="B161" i="114" s="1"/>
  <c r="D92" i="35" l="1"/>
  <c r="F95" i="35"/>
  <c r="E94" i="35"/>
  <c r="B162" i="114"/>
  <c r="A96" i="35"/>
  <c r="C94" i="35"/>
  <c r="A97" i="35" l="1"/>
  <c r="C96" i="35" s="1"/>
  <c r="B163" i="114"/>
  <c r="D163" i="114"/>
  <c r="D93" i="35"/>
  <c r="F96" i="35"/>
  <c r="E95" i="35"/>
  <c r="C95" i="35"/>
  <c r="D162" i="114"/>
  <c r="D95" i="35" l="1"/>
  <c r="E97" i="35"/>
  <c r="F98" i="35"/>
  <c r="F97" i="35"/>
  <c r="D94" i="35"/>
  <c r="E96" i="35"/>
  <c r="B164" i="114"/>
  <c r="D164" i="114"/>
  <c r="E163" i="114" s="1"/>
  <c r="A170" i="114"/>
  <c r="L168" i="114"/>
  <c r="F165" i="114"/>
  <c r="H166" i="114"/>
  <c r="H165" i="114"/>
  <c r="I163" i="114"/>
  <c r="A98" i="35"/>
  <c r="C98" i="35" l="1"/>
  <c r="A99" i="35"/>
  <c r="B165" i="114"/>
  <c r="D165" i="114"/>
  <c r="C97" i="35"/>
  <c r="K163" i="114"/>
  <c r="L163" i="114"/>
  <c r="F163" i="114"/>
  <c r="J163" i="114"/>
  <c r="M168" i="114" s="1"/>
  <c r="N168" i="114" s="1"/>
  <c r="O168" i="114" s="1"/>
  <c r="G163" i="114" l="1"/>
  <c r="H163" i="114" s="1"/>
  <c r="D168" i="114" s="1"/>
  <c r="F99" i="35"/>
  <c r="D96" i="35"/>
  <c r="E98" i="35"/>
  <c r="E165" i="114"/>
  <c r="E166" i="114" s="1"/>
  <c r="D166" i="114" s="1"/>
  <c r="B166" i="114"/>
  <c r="B167" i="114" s="1"/>
  <c r="B168" i="114" s="1"/>
  <c r="B169" i="114" s="1"/>
  <c r="B170" i="114" s="1"/>
  <c r="A100" i="35"/>
  <c r="E99" i="35"/>
  <c r="F100" i="35"/>
  <c r="D97" i="35"/>
  <c r="C100" i="35" l="1"/>
  <c r="A101" i="35"/>
  <c r="B171" i="114"/>
  <c r="D171" i="114"/>
  <c r="C99" i="35"/>
  <c r="D98" i="35" l="1"/>
  <c r="F101" i="35"/>
  <c r="E100" i="35"/>
  <c r="L177" i="114"/>
  <c r="H175" i="114"/>
  <c r="A179" i="114"/>
  <c r="I172" i="114"/>
  <c r="F174" i="114"/>
  <c r="H174" i="114"/>
  <c r="B172" i="114"/>
  <c r="A102" i="35"/>
  <c r="F102" i="35"/>
  <c r="E101" i="35"/>
  <c r="D99" i="35"/>
  <c r="L172" i="114" l="1"/>
  <c r="F172" i="114"/>
  <c r="K172" i="114"/>
  <c r="J172" i="114"/>
  <c r="M177" i="114" s="1"/>
  <c r="N177" i="114" s="1"/>
  <c r="O177" i="114" s="1"/>
  <c r="A103" i="35"/>
  <c r="C102" i="35"/>
  <c r="B173" i="114"/>
  <c r="D173" i="114"/>
  <c r="E172" i="114" s="1"/>
  <c r="D172" i="114"/>
  <c r="C101" i="35"/>
  <c r="E103" i="35" l="1"/>
  <c r="D101" i="35"/>
  <c r="F104" i="35"/>
  <c r="A104" i="35"/>
  <c r="D100" i="35"/>
  <c r="E102" i="35"/>
  <c r="F103" i="35"/>
  <c r="B174" i="114"/>
  <c r="G172" i="114"/>
  <c r="H172" i="114" s="1"/>
  <c r="D177" i="114" s="1"/>
  <c r="C104" i="35" l="1"/>
  <c r="A105" i="35"/>
  <c r="E174" i="114"/>
  <c r="E175" i="114" s="1"/>
  <c r="B175" i="114"/>
  <c r="B176" i="114" s="1"/>
  <c r="B177" i="114" s="1"/>
  <c r="B178" i="114" s="1"/>
  <c r="B179" i="114" s="1"/>
  <c r="C103" i="35"/>
  <c r="D174" i="114"/>
  <c r="F105" i="35" l="1"/>
  <c r="E104" i="35"/>
  <c r="D102" i="35"/>
  <c r="B180" i="114"/>
  <c r="D180" i="114"/>
  <c r="D175" i="114"/>
  <c r="A106" i="35"/>
  <c r="C105" i="35" s="1"/>
  <c r="F106" i="35"/>
  <c r="E105" i="35"/>
  <c r="D103" i="35"/>
  <c r="E106" i="35" l="1"/>
  <c r="F107" i="35"/>
  <c r="D104" i="35"/>
  <c r="H183" i="114"/>
  <c r="H184" i="114"/>
  <c r="A188" i="114"/>
  <c r="L186" i="114"/>
  <c r="I181" i="114"/>
  <c r="F183" i="114"/>
  <c r="B181" i="114"/>
  <c r="A107" i="35"/>
  <c r="C106" i="35" s="1"/>
  <c r="F108" i="35" l="1"/>
  <c r="E107" i="35"/>
  <c r="D105" i="35"/>
  <c r="L181" i="114"/>
  <c r="K181" i="114"/>
  <c r="J181" i="114"/>
  <c r="M186" i="114" s="1"/>
  <c r="N186" i="114" s="1"/>
  <c r="O186" i="114" s="1"/>
  <c r="F181" i="114"/>
  <c r="C107" i="35"/>
  <c r="A108" i="35"/>
  <c r="B182" i="114"/>
  <c r="D182" i="114"/>
  <c r="E181" i="114" s="1"/>
  <c r="D181" i="114"/>
  <c r="G181" i="114" l="1"/>
  <c r="H181" i="114" s="1"/>
  <c r="D186" i="114" s="1"/>
  <c r="E108" i="35"/>
  <c r="F109" i="35"/>
  <c r="D106" i="35"/>
  <c r="B183" i="114"/>
  <c r="A109" i="35"/>
  <c r="A110" i="35" l="1"/>
  <c r="C109" i="35" s="1"/>
  <c r="C108" i="35"/>
  <c r="E183" i="114"/>
  <c r="E184" i="114" s="1"/>
  <c r="B184" i="114"/>
  <c r="B185" i="114" s="1"/>
  <c r="B186" i="114" s="1"/>
  <c r="B187" i="114" s="1"/>
  <c r="B188" i="114" s="1"/>
  <c r="D183" i="114"/>
  <c r="F111" i="35" l="1"/>
  <c r="D108" i="35"/>
  <c r="E110" i="35"/>
  <c r="E109" i="35"/>
  <c r="D107" i="35"/>
  <c r="F110" i="35"/>
  <c r="D184" i="114"/>
  <c r="D189" i="114"/>
  <c r="B189" i="114"/>
  <c r="A111" i="35"/>
  <c r="C110" i="35"/>
  <c r="D109" i="35" l="1"/>
  <c r="E111" i="35"/>
  <c r="F112" i="35"/>
  <c r="A112" i="35"/>
  <c r="C111" i="35" s="1"/>
  <c r="H192" i="114"/>
  <c r="A197" i="114"/>
  <c r="I190" i="114"/>
  <c r="F192" i="114"/>
  <c r="L195" i="114"/>
  <c r="H193" i="114"/>
  <c r="B190" i="114"/>
  <c r="F113" i="35" l="1"/>
  <c r="D110" i="35"/>
  <c r="E112" i="35"/>
  <c r="K190" i="114"/>
  <c r="J190" i="114"/>
  <c r="M195" i="114" s="1"/>
  <c r="N195" i="114" s="1"/>
  <c r="O195" i="114" s="1"/>
  <c r="L190" i="114"/>
  <c r="F190" i="114"/>
  <c r="G190" i="114" s="1"/>
  <c r="H190" i="114" s="1"/>
  <c r="D195" i="114" s="1"/>
  <c r="D191" i="114"/>
  <c r="E190" i="114" s="1"/>
  <c r="B191" i="114"/>
  <c r="A113" i="35"/>
  <c r="C112" i="35"/>
  <c r="D190" i="114"/>
  <c r="F114" i="35" l="1"/>
  <c r="E113" i="35"/>
  <c r="D111" i="35"/>
  <c r="A114" i="35"/>
  <c r="B192" i="114"/>
  <c r="B193" i="114" l="1"/>
  <c r="B194" i="114" s="1"/>
  <c r="B195" i="114" s="1"/>
  <c r="B196" i="114" s="1"/>
  <c r="B197" i="114" s="1"/>
  <c r="E192" i="114"/>
  <c r="E193" i="114" s="1"/>
  <c r="A115" i="35"/>
  <c r="D192" i="114"/>
  <c r="C113" i="35"/>
  <c r="C115" i="35" l="1"/>
  <c r="A116" i="35"/>
  <c r="F115" i="35"/>
  <c r="D112" i="35"/>
  <c r="E114" i="35"/>
  <c r="C114" i="35"/>
  <c r="D193" i="114"/>
  <c r="B198" i="114"/>
  <c r="B199" i="114" l="1"/>
  <c r="D199" i="114" s="1"/>
  <c r="D198" i="114"/>
  <c r="E115" i="35"/>
  <c r="F116" i="35"/>
  <c r="D113" i="35"/>
  <c r="A117" i="35"/>
  <c r="D114" i="35"/>
  <c r="E116" i="35"/>
  <c r="F117" i="35"/>
  <c r="A118" i="35" l="1"/>
  <c r="C117" i="35" s="1"/>
  <c r="C116" i="35"/>
  <c r="I199" i="114"/>
  <c r="F201" i="114"/>
  <c r="L204" i="114"/>
  <c r="H201" i="114"/>
  <c r="H202" i="114"/>
  <c r="B200" i="114"/>
  <c r="E118" i="35" l="1"/>
  <c r="D116" i="35"/>
  <c r="F119" i="35"/>
  <c r="D201" i="114"/>
  <c r="B201" i="114"/>
  <c r="L199" i="114"/>
  <c r="J199" i="114"/>
  <c r="M204" i="114" s="1"/>
  <c r="N204" i="114" s="1"/>
  <c r="K199" i="114"/>
  <c r="F199" i="114"/>
  <c r="AB50" i="114"/>
  <c r="AA39" i="114" s="1"/>
  <c r="AB39" i="114" s="1"/>
  <c r="AB44" i="114"/>
  <c r="AA33" i="114" s="1"/>
  <c r="AB33" i="114" s="1"/>
  <c r="AB48" i="114"/>
  <c r="AA37" i="114" s="1"/>
  <c r="AB37" i="114" s="1"/>
  <c r="AB49" i="114"/>
  <c r="AA38" i="114" s="1"/>
  <c r="AB38" i="114" s="1"/>
  <c r="AB46" i="114"/>
  <c r="AA35" i="114" s="1"/>
  <c r="AB35" i="114" s="1"/>
  <c r="AB45" i="114"/>
  <c r="AA34" i="114" s="1"/>
  <c r="AB34" i="114" s="1"/>
  <c r="AB42" i="114"/>
  <c r="AA31" i="114" s="1"/>
  <c r="AB31" i="114" s="1"/>
  <c r="AB43" i="114"/>
  <c r="AA32" i="114" s="1"/>
  <c r="AB32" i="114" s="1"/>
  <c r="AB47" i="114"/>
  <c r="AA36" i="114" s="1"/>
  <c r="AB36" i="114" s="1"/>
  <c r="F118" i="35"/>
  <c r="D115" i="35"/>
  <c r="E117" i="35"/>
  <c r="D200" i="114"/>
  <c r="E199" i="114" s="1"/>
  <c r="A119" i="35"/>
  <c r="C118" i="35"/>
  <c r="F120" i="35" l="1"/>
  <c r="D117" i="35"/>
  <c r="E119" i="35"/>
  <c r="O204" i="114"/>
  <c r="AA69" i="114"/>
  <c r="AA61" i="114"/>
  <c r="AA66" i="114"/>
  <c r="AA59" i="114"/>
  <c r="AA73" i="114"/>
  <c r="AA58" i="114"/>
  <c r="AA60" i="114"/>
  <c r="AA57" i="114"/>
  <c r="AA63" i="114"/>
  <c r="AA65" i="114"/>
  <c r="AA71" i="114"/>
  <c r="AA68" i="114"/>
  <c r="AA54" i="114"/>
  <c r="AA64" i="114"/>
  <c r="AA53" i="114"/>
  <c r="AA52" i="114"/>
  <c r="AA67" i="114"/>
  <c r="AA62" i="114"/>
  <c r="AA56" i="114"/>
  <c r="AA72" i="114"/>
  <c r="AA55" i="114"/>
  <c r="AA70" i="114"/>
  <c r="B202" i="114"/>
  <c r="B203" i="114" s="1"/>
  <c r="B204" i="114" s="1"/>
  <c r="E201" i="114"/>
  <c r="E202" i="114" s="1"/>
  <c r="D202" i="114" s="1"/>
  <c r="A120" i="35"/>
  <c r="C119" i="35"/>
  <c r="G199" i="114"/>
  <c r="H199" i="114" s="1"/>
  <c r="D204" i="114" s="1"/>
  <c r="AC59" i="114" l="1"/>
  <c r="AB59" i="114"/>
  <c r="Y59" i="114" s="1"/>
  <c r="AC62" i="114"/>
  <c r="AB62" i="114"/>
  <c r="Y62" i="114" s="1"/>
  <c r="AC61" i="114"/>
  <c r="AB61" i="114"/>
  <c r="Y61" i="114" s="1"/>
  <c r="A121" i="35"/>
  <c r="C120" i="35"/>
  <c r="AC67" i="114"/>
  <c r="AB67" i="114"/>
  <c r="Y67" i="114" s="1"/>
  <c r="AC63" i="114"/>
  <c r="AB63" i="114"/>
  <c r="Y63" i="114" s="1"/>
  <c r="AC69" i="114"/>
  <c r="AB69" i="114"/>
  <c r="Y69" i="114" s="1"/>
  <c r="AB68" i="114"/>
  <c r="Y68" i="114" s="1"/>
  <c r="AC68" i="114"/>
  <c r="AB71" i="114"/>
  <c r="Y71" i="114" s="1"/>
  <c r="AC71" i="114"/>
  <c r="AC65" i="114"/>
  <c r="AB65" i="114"/>
  <c r="Y65" i="114" s="1"/>
  <c r="AC57" i="114"/>
  <c r="AB57" i="114"/>
  <c r="Y57" i="114" s="1"/>
  <c r="AB53" i="114"/>
  <c r="Y53" i="114" s="1"/>
  <c r="AC53" i="114"/>
  <c r="AC60" i="114"/>
  <c r="AB60" i="114"/>
  <c r="Y60" i="114" s="1"/>
  <c r="AB56" i="114"/>
  <c r="Y56" i="114" s="1"/>
  <c r="AC56" i="114"/>
  <c r="D118" i="35"/>
  <c r="E120" i="35"/>
  <c r="F121" i="35"/>
  <c r="AC52" i="114"/>
  <c r="AB52" i="114"/>
  <c r="AB70" i="114"/>
  <c r="Y70" i="114" s="1"/>
  <c r="AC70" i="114"/>
  <c r="AC64" i="114"/>
  <c r="AB64" i="114"/>
  <c r="Y64" i="114" s="1"/>
  <c r="AB58" i="114"/>
  <c r="Y58" i="114" s="1"/>
  <c r="AC58" i="114"/>
  <c r="AB72" i="114"/>
  <c r="Y72" i="114" s="1"/>
  <c r="AC72" i="114"/>
  <c r="AC66" i="114"/>
  <c r="AB66" i="114"/>
  <c r="Y66" i="114" s="1"/>
  <c r="AB55" i="114"/>
  <c r="Y55" i="114" s="1"/>
  <c r="AC55" i="114"/>
  <c r="AC54" i="114"/>
  <c r="AB54" i="114"/>
  <c r="Y54" i="114" s="1"/>
  <c r="AC73" i="114"/>
  <c r="AB73" i="114"/>
  <c r="Y73" i="114" s="1"/>
  <c r="AF73" i="114" l="1"/>
  <c r="AI73" i="114"/>
  <c r="AH73" i="114"/>
  <c r="AE73" i="114"/>
  <c r="AD73" i="114"/>
  <c r="AJ73" i="114"/>
  <c r="AG73" i="114"/>
  <c r="AJ68" i="114"/>
  <c r="AE68" i="114"/>
  <c r="AI68" i="114"/>
  <c r="AF68" i="114"/>
  <c r="AH68" i="114"/>
  <c r="AG68" i="114"/>
  <c r="AD68" i="114"/>
  <c r="AE54" i="114"/>
  <c r="AH54" i="114"/>
  <c r="AI54" i="114"/>
  <c r="AD54" i="114"/>
  <c r="AG54" i="114"/>
  <c r="AJ54" i="114"/>
  <c r="AF54" i="114"/>
  <c r="AE57" i="114"/>
  <c r="AF57" i="114"/>
  <c r="AG57" i="114"/>
  <c r="AH57" i="114"/>
  <c r="AD57" i="114"/>
  <c r="AI57" i="114"/>
  <c r="AJ57" i="114"/>
  <c r="AD64" i="114"/>
  <c r="AG64" i="114"/>
  <c r="AJ64" i="114"/>
  <c r="AF64" i="114"/>
  <c r="AH64" i="114"/>
  <c r="AI64" i="114"/>
  <c r="AE64" i="114"/>
  <c r="AI56" i="114"/>
  <c r="AH56" i="114"/>
  <c r="AE56" i="114"/>
  <c r="AJ56" i="114"/>
  <c r="AG56" i="114"/>
  <c r="AF56" i="114"/>
  <c r="AD56" i="114"/>
  <c r="F122" i="35"/>
  <c r="E121" i="35"/>
  <c r="D119" i="35"/>
  <c r="AG69" i="114"/>
  <c r="AJ69" i="114"/>
  <c r="AF69" i="114"/>
  <c r="AH69" i="114"/>
  <c r="AE69" i="114"/>
  <c r="AI69" i="114"/>
  <c r="AD69" i="114"/>
  <c r="AF70" i="114"/>
  <c r="AE70" i="114"/>
  <c r="AJ70" i="114"/>
  <c r="AD70" i="114"/>
  <c r="AG70" i="114"/>
  <c r="AI70" i="114"/>
  <c r="AH70" i="114"/>
  <c r="AE65" i="114"/>
  <c r="AI65" i="114"/>
  <c r="AD65" i="114"/>
  <c r="AG65" i="114"/>
  <c r="AH65" i="114"/>
  <c r="AJ65" i="114"/>
  <c r="AF65" i="114"/>
  <c r="AG63" i="114"/>
  <c r="AD63" i="114"/>
  <c r="AH63" i="114"/>
  <c r="AI63" i="114"/>
  <c r="AE63" i="114"/>
  <c r="AF63" i="114"/>
  <c r="AJ63" i="114"/>
  <c r="AG62" i="114"/>
  <c r="AJ62" i="114"/>
  <c r="AI62" i="114"/>
  <c r="AD62" i="114"/>
  <c r="AF62" i="114"/>
  <c r="AE62" i="114"/>
  <c r="AH62" i="114"/>
  <c r="AH52" i="114"/>
  <c r="AF52" i="114"/>
  <c r="AD52" i="114"/>
  <c r="AE52" i="114"/>
  <c r="AJ52" i="114"/>
  <c r="AG52" i="114"/>
  <c r="AI52" i="114"/>
  <c r="AI66" i="114"/>
  <c r="AJ66" i="114"/>
  <c r="AE66" i="114"/>
  <c r="AD66" i="114"/>
  <c r="AF66" i="114"/>
  <c r="AG66" i="114"/>
  <c r="AH66" i="114"/>
  <c r="AF71" i="114"/>
  <c r="AI71" i="114"/>
  <c r="AJ71" i="114"/>
  <c r="AH71" i="114"/>
  <c r="AD71" i="114"/>
  <c r="AE71" i="114"/>
  <c r="AG71" i="114"/>
  <c r="AJ53" i="114"/>
  <c r="AF53" i="114"/>
  <c r="AE53" i="114"/>
  <c r="AI53" i="114"/>
  <c r="AD53" i="114"/>
  <c r="AH53" i="114"/>
  <c r="AG53" i="114"/>
  <c r="AF58" i="114"/>
  <c r="AJ58" i="114"/>
  <c r="AD58" i="114"/>
  <c r="AE58" i="114"/>
  <c r="AH58" i="114"/>
  <c r="AI58" i="114"/>
  <c r="AG58" i="114"/>
  <c r="A122" i="35"/>
  <c r="C121" i="35" s="1"/>
  <c r="AD55" i="114"/>
  <c r="AJ55" i="114"/>
  <c r="AI55" i="114"/>
  <c r="AH55" i="114"/>
  <c r="AG55" i="114"/>
  <c r="AE55" i="114"/>
  <c r="AF55" i="114"/>
  <c r="AG61" i="114"/>
  <c r="AH61" i="114"/>
  <c r="AD61" i="114"/>
  <c r="AI61" i="114"/>
  <c r="AF61" i="114"/>
  <c r="AE61" i="114"/>
  <c r="AJ61" i="114"/>
  <c r="AI72" i="114"/>
  <c r="AG72" i="114"/>
  <c r="AD72" i="114"/>
  <c r="AJ72" i="114"/>
  <c r="AE72" i="114"/>
  <c r="AF72" i="114"/>
  <c r="AH72" i="114"/>
  <c r="Y52" i="114"/>
  <c r="E2" i="114" s="1"/>
  <c r="I3" i="114"/>
  <c r="AJ60" i="114"/>
  <c r="AE60" i="114"/>
  <c r="AI60" i="114"/>
  <c r="AD60" i="114"/>
  <c r="AG60" i="114"/>
  <c r="AH60" i="114"/>
  <c r="AF60" i="114"/>
  <c r="AD67" i="114"/>
  <c r="AG67" i="114"/>
  <c r="AE67" i="114"/>
  <c r="AI67" i="114"/>
  <c r="AJ67" i="114"/>
  <c r="AH67" i="114"/>
  <c r="AF67" i="114"/>
  <c r="AF59" i="114"/>
  <c r="AH59" i="114"/>
  <c r="AI59" i="114"/>
  <c r="AE59" i="114"/>
  <c r="AD59" i="114"/>
  <c r="AG59" i="114"/>
  <c r="AJ59" i="114"/>
  <c r="F123" i="35" l="1"/>
  <c r="E122" i="35"/>
  <c r="D120" i="35"/>
  <c r="AH50" i="114"/>
  <c r="AH51" i="114" s="1"/>
  <c r="AI50" i="114"/>
  <c r="AI51" i="114" s="1"/>
  <c r="AG50" i="114"/>
  <c r="AG51" i="114" s="1"/>
  <c r="AJ50" i="114"/>
  <c r="AJ51" i="114" s="1"/>
  <c r="C122" i="35"/>
  <c r="A123" i="35"/>
  <c r="AE50" i="114"/>
  <c r="AE51" i="114" s="1"/>
  <c r="AD50" i="114"/>
  <c r="AD51" i="114" s="1"/>
  <c r="AF50" i="114"/>
  <c r="AF51" i="114" s="1"/>
  <c r="E123" i="35" l="1"/>
  <c r="F124" i="35"/>
  <c r="D121" i="35"/>
  <c r="A124" i="35"/>
  <c r="A125" i="35" l="1"/>
  <c r="C123" i="35"/>
  <c r="A126" i="35" l="1"/>
  <c r="C125" i="35" s="1"/>
  <c r="F125" i="35"/>
  <c r="D122" i="35"/>
  <c r="E124" i="35"/>
  <c r="C124" i="35"/>
  <c r="F127" i="35" l="1"/>
  <c r="E126" i="35"/>
  <c r="D124" i="35"/>
  <c r="F126" i="35"/>
  <c r="D123" i="35"/>
  <c r="E125" i="35"/>
  <c r="A127" i="35"/>
  <c r="C126" i="35" s="1"/>
  <c r="D125" i="35" l="1"/>
  <c r="E127" i="35"/>
  <c r="F128" i="35"/>
  <c r="A128" i="35"/>
  <c r="C127" i="35"/>
  <c r="F129" i="35" l="1"/>
  <c r="E128" i="35"/>
  <c r="D126" i="35"/>
  <c r="A129" i="35"/>
  <c r="A130" i="35" l="1"/>
  <c r="C128" i="35"/>
  <c r="A131" i="35" l="1"/>
  <c r="C130" i="35" s="1"/>
  <c r="F130" i="35"/>
  <c r="D127" i="35"/>
  <c r="E129" i="35"/>
  <c r="C129" i="35"/>
  <c r="E131" i="35" l="1"/>
  <c r="F132" i="35"/>
  <c r="D129" i="35"/>
  <c r="F131" i="35"/>
  <c r="E130" i="35"/>
  <c r="D128" i="35"/>
  <c r="A132" i="35"/>
  <c r="C131" i="35" s="1"/>
  <c r="D130" i="35" l="1"/>
  <c r="F133" i="35"/>
  <c r="E132" i="35"/>
  <c r="A133" i="35"/>
  <c r="A134" i="35" l="1"/>
  <c r="C132" i="35"/>
  <c r="A135" i="35" l="1"/>
  <c r="C134" i="35" s="1"/>
  <c r="E133" i="35"/>
  <c r="D131" i="35"/>
  <c r="F134" i="35"/>
  <c r="C133" i="35"/>
  <c r="D133" i="35" l="1"/>
  <c r="F136" i="35"/>
  <c r="E135" i="35"/>
  <c r="E134" i="35"/>
  <c r="F135" i="35"/>
  <c r="D132" i="35"/>
  <c r="A136" i="35"/>
  <c r="C135" i="35" s="1"/>
  <c r="E136" i="35" l="1"/>
  <c r="F137" i="35"/>
  <c r="D134" i="35"/>
  <c r="A137" i="35"/>
  <c r="C136" i="35" s="1"/>
  <c r="F138" i="35" l="1"/>
  <c r="E137" i="35"/>
  <c r="D135" i="35"/>
  <c r="A138" i="35"/>
  <c r="C137" i="35" s="1"/>
  <c r="F139" i="35" l="1"/>
  <c r="D136" i="35"/>
  <c r="E138" i="35"/>
  <c r="A139" i="35"/>
  <c r="A140" i="35" l="1"/>
  <c r="C139" i="35" s="1"/>
  <c r="C138" i="35"/>
  <c r="E140" i="35" l="1"/>
  <c r="F141" i="35"/>
  <c r="D138" i="35"/>
  <c r="F140" i="35"/>
  <c r="E139" i="35"/>
  <c r="D137" i="35"/>
  <c r="A141" i="35"/>
  <c r="C140" i="35" s="1"/>
  <c r="E141" i="35" l="1"/>
  <c r="F142" i="35"/>
  <c r="D139" i="35"/>
  <c r="A142" i="35"/>
  <c r="C141" i="35"/>
  <c r="E142" i="35" l="1"/>
  <c r="F143" i="35"/>
  <c r="D140" i="35"/>
  <c r="A143" i="35"/>
  <c r="C142" i="35"/>
  <c r="E143" i="35" l="1"/>
  <c r="F144" i="35"/>
  <c r="D141" i="35"/>
  <c r="A144" i="35"/>
  <c r="A145" i="35" l="1"/>
  <c r="C143" i="35"/>
  <c r="A146" i="35" l="1"/>
  <c r="C145" i="35" s="1"/>
  <c r="E144" i="35"/>
  <c r="F145" i="35"/>
  <c r="D142" i="35"/>
  <c r="C144" i="35"/>
  <c r="D144" i="35" l="1"/>
  <c r="E146" i="35"/>
  <c r="F147" i="35"/>
  <c r="E145" i="35"/>
  <c r="D143" i="35"/>
  <c r="F146" i="35"/>
  <c r="A147" i="35"/>
  <c r="A148" i="35" l="1"/>
  <c r="C146" i="35"/>
  <c r="A149" i="35" l="1"/>
  <c r="F148" i="35"/>
  <c r="D145" i="35"/>
  <c r="E147" i="35"/>
  <c r="C147" i="35"/>
  <c r="A150" i="35" l="1"/>
  <c r="C149" i="35" s="1"/>
  <c r="E148" i="35"/>
  <c r="D146" i="35"/>
  <c r="F149" i="35"/>
  <c r="C148" i="35"/>
  <c r="F151" i="35" l="1"/>
  <c r="D148" i="35"/>
  <c r="E150" i="35"/>
  <c r="F150" i="35"/>
  <c r="D147" i="35"/>
  <c r="E149" i="35"/>
  <c r="A151" i="35"/>
  <c r="C150" i="35"/>
  <c r="E151" i="35" l="1"/>
  <c r="D149" i="35"/>
  <c r="F152" i="35"/>
  <c r="A152" i="35"/>
  <c r="A153" i="35" l="1"/>
  <c r="C151" i="35"/>
  <c r="A154" i="35" l="1"/>
  <c r="C153" i="35" s="1"/>
  <c r="D150" i="35"/>
  <c r="E152" i="35"/>
  <c r="F153" i="35"/>
  <c r="C152" i="35"/>
  <c r="D152" i="35" l="1"/>
  <c r="E154" i="35"/>
  <c r="F155" i="35"/>
  <c r="F154" i="35"/>
  <c r="D151" i="35"/>
  <c r="E153" i="35"/>
  <c r="A155" i="35"/>
  <c r="C154" i="35" s="1"/>
  <c r="D153" i="35" l="1"/>
  <c r="E155" i="35"/>
  <c r="F156" i="35"/>
  <c r="A156" i="35"/>
  <c r="C155" i="35"/>
  <c r="E156" i="35" l="1"/>
  <c r="D154" i="35"/>
  <c r="F157" i="35"/>
  <c r="A157" i="35"/>
  <c r="A158" i="35" l="1"/>
  <c r="C157" i="35" s="1"/>
  <c r="C156" i="35"/>
  <c r="D156" i="35" l="1"/>
  <c r="E158" i="35"/>
  <c r="F159" i="35"/>
  <c r="F158" i="35"/>
  <c r="D155" i="35"/>
  <c r="E157" i="35"/>
  <c r="A159" i="35"/>
  <c r="A160" i="35" l="1"/>
  <c r="C159" i="35"/>
  <c r="C158" i="35"/>
  <c r="E160" i="35" l="1"/>
  <c r="D158" i="35"/>
  <c r="F161" i="35"/>
  <c r="D157" i="35"/>
  <c r="F160" i="35"/>
  <c r="E159" i="35"/>
  <c r="A161" i="35"/>
  <c r="C160" i="35" s="1"/>
  <c r="F162" i="35" l="1"/>
  <c r="E161" i="35"/>
  <c r="D159" i="35"/>
  <c r="A162" i="35"/>
  <c r="A163" i="35" l="1"/>
  <c r="C161" i="35"/>
  <c r="A164" i="35" l="1"/>
  <c r="F163" i="35"/>
  <c r="E162" i="35"/>
  <c r="D160" i="35"/>
  <c r="C162" i="35"/>
  <c r="C164" i="35" l="1"/>
  <c r="A165" i="35"/>
  <c r="D161" i="35"/>
  <c r="F164" i="35"/>
  <c r="E163" i="35"/>
  <c r="C163" i="35"/>
  <c r="E164" i="35" l="1"/>
  <c r="F165" i="35"/>
  <c r="D162" i="35"/>
  <c r="A166" i="35"/>
  <c r="C165" i="35"/>
  <c r="F166" i="35"/>
  <c r="D163" i="35"/>
  <c r="E165" i="35"/>
  <c r="E166" i="35" l="1"/>
  <c r="F167" i="35"/>
  <c r="D164" i="35"/>
  <c r="A167" i="35"/>
  <c r="C166" i="35"/>
  <c r="F168" i="35" l="1"/>
  <c r="D165" i="35"/>
  <c r="E167" i="35"/>
  <c r="A168" i="35"/>
  <c r="A169" i="35" l="1"/>
  <c r="C167" i="35"/>
  <c r="A170" i="35" l="1"/>
  <c r="F169" i="35"/>
  <c r="D166" i="35"/>
  <c r="E168" i="35"/>
  <c r="C168" i="35"/>
  <c r="A171" i="35" l="1"/>
  <c r="E169" i="35"/>
  <c r="F170" i="35"/>
  <c r="D167" i="35"/>
  <c r="C169" i="35"/>
  <c r="A172" i="35" l="1"/>
  <c r="C171" i="35" s="1"/>
  <c r="D168" i="35"/>
  <c r="E170" i="35"/>
  <c r="F171" i="35"/>
  <c r="C170" i="35"/>
  <c r="F173" i="35" l="1"/>
  <c r="D170" i="35"/>
  <c r="E172" i="35"/>
  <c r="F172" i="35"/>
  <c r="D169" i="35"/>
  <c r="E171" i="35"/>
  <c r="A173" i="35"/>
  <c r="C172" i="35" s="1"/>
  <c r="F174" i="35" l="1"/>
  <c r="E173" i="35"/>
  <c r="D171" i="35"/>
  <c r="A174" i="35"/>
  <c r="C173" i="35"/>
  <c r="E174" i="35" l="1"/>
  <c r="F175" i="35"/>
  <c r="D172" i="35"/>
  <c r="A175" i="35"/>
  <c r="A176" i="35" l="1"/>
  <c r="C174" i="35"/>
  <c r="C176" i="35" l="1"/>
  <c r="A177" i="35"/>
  <c r="F176" i="35"/>
  <c r="E175" i="35"/>
  <c r="D173" i="35"/>
  <c r="C175" i="35"/>
  <c r="E176" i="35" l="1"/>
  <c r="F177" i="35"/>
  <c r="D174" i="35"/>
  <c r="A178" i="35"/>
  <c r="C177" i="35" s="1"/>
  <c r="F178" i="35"/>
  <c r="D175" i="35"/>
  <c r="E177" i="35"/>
  <c r="D176" i="35" l="1"/>
  <c r="F179" i="35"/>
  <c r="E178" i="35"/>
  <c r="A179" i="35"/>
  <c r="C178" i="35" s="1"/>
  <c r="F180" i="35" l="1"/>
  <c r="E179" i="35"/>
  <c r="D177" i="35"/>
  <c r="A180" i="35"/>
  <c r="C179" i="35" s="1"/>
  <c r="F181" i="35" l="1"/>
  <c r="E180" i="35"/>
  <c r="D178" i="35"/>
  <c r="A181" i="35"/>
  <c r="A182" i="35" l="1"/>
  <c r="C181" i="35" s="1"/>
  <c r="C180" i="35"/>
  <c r="F183" i="35" l="1"/>
  <c r="E182" i="35"/>
  <c r="D180" i="35"/>
  <c r="E181" i="35"/>
  <c r="F182" i="35"/>
  <c r="D179" i="35"/>
  <c r="A183" i="35"/>
  <c r="C182" i="35" s="1"/>
  <c r="F184" i="35" l="1"/>
  <c r="D181" i="35"/>
  <c r="E183" i="35"/>
  <c r="A184" i="35"/>
  <c r="C184" i="35" l="1"/>
  <c r="A185" i="35"/>
  <c r="C183" i="35"/>
  <c r="F186" i="35" l="1"/>
  <c r="E185" i="35"/>
  <c r="D183" i="35"/>
  <c r="D182" i="35"/>
  <c r="F185" i="35"/>
  <c r="E184" i="35"/>
  <c r="A186" i="35"/>
  <c r="C185" i="35"/>
  <c r="E186" i="35" l="1"/>
  <c r="F187" i="35"/>
  <c r="D184" i="35"/>
  <c r="A187" i="35"/>
  <c r="A188" i="35" l="1"/>
  <c r="C187" i="35" s="1"/>
  <c r="C186" i="35"/>
  <c r="F189" i="35" l="1"/>
  <c r="D186" i="35"/>
  <c r="E188" i="35"/>
  <c r="E187" i="35"/>
  <c r="D185" i="35"/>
  <c r="F188" i="35"/>
  <c r="A189" i="35"/>
  <c r="A190" i="35" l="1"/>
  <c r="C188" i="35"/>
  <c r="C190" i="35" l="1"/>
  <c r="A191" i="35"/>
  <c r="D187" i="35"/>
  <c r="E189" i="35"/>
  <c r="F190" i="35"/>
  <c r="C189" i="35"/>
  <c r="F191" i="35" l="1"/>
  <c r="E190" i="35"/>
  <c r="D188" i="35"/>
  <c r="A192" i="35"/>
  <c r="C191" i="35"/>
  <c r="D189" i="35"/>
  <c r="E191" i="35"/>
  <c r="F192" i="35"/>
  <c r="F193" i="35" l="1"/>
  <c r="D190" i="35"/>
  <c r="E192" i="35"/>
  <c r="A193" i="35"/>
  <c r="A194" i="35" l="1"/>
  <c r="C192" i="35"/>
  <c r="A195" i="35" l="1"/>
  <c r="C194" i="35" s="1"/>
  <c r="F194" i="35"/>
  <c r="D191" i="35"/>
  <c r="E193" i="35"/>
  <c r="C193" i="35"/>
  <c r="D193" i="35" l="1"/>
  <c r="E195" i="35"/>
  <c r="F196" i="35"/>
  <c r="D192" i="35"/>
  <c r="E194" i="35"/>
  <c r="F195" i="35"/>
  <c r="A196" i="35"/>
  <c r="A197" i="35" l="1"/>
  <c r="C195" i="35"/>
  <c r="A198" i="35" l="1"/>
  <c r="F197" i="35"/>
  <c r="E196" i="35"/>
  <c r="D194" i="35"/>
  <c r="C196" i="35"/>
  <c r="C198" i="35" l="1"/>
  <c r="A199" i="35"/>
  <c r="D195" i="35"/>
  <c r="E197" i="35"/>
  <c r="F198" i="35"/>
  <c r="C197" i="35"/>
  <c r="E198" i="35" l="1"/>
  <c r="D196" i="35"/>
  <c r="F199" i="35"/>
  <c r="A200" i="35"/>
  <c r="C200" i="35" s="1"/>
  <c r="C199" i="35"/>
  <c r="E199" i="35"/>
  <c r="F200" i="35"/>
  <c r="D197" i="35"/>
  <c r="I16" i="35" l="1"/>
  <c r="J16" i="35" s="1"/>
  <c r="I34" i="35" s="1"/>
  <c r="I37" i="35" s="1"/>
  <c r="I4" i="35" s="1"/>
  <c r="D198" i="35"/>
  <c r="E200" i="35"/>
  <c r="D199" i="35"/>
  <c r="I15" i="35"/>
  <c r="J15" i="3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<sst xmlns="http://schemas.openxmlformats.org/spreadsheetml/2006/main" count="6822" uniqueCount="3049">
  <si>
    <t>Neither Calcurate Ltd nor any supplier of the Calcurate package can accept any liability for any loss sustained through use or misuse of Calcurate.</t>
  </si>
  <si>
    <t>The Memory folder is in your "Documents" or "My Documents" folder</t>
  </si>
  <si>
    <t>DEFAULT MEMORY BANK</t>
  </si>
  <si>
    <t>Calcurate 2023 v 2.4a</t>
  </si>
  <si>
    <t>bugfix - adv retail relief</t>
  </si>
  <si>
    <t>Name of Folder is -      Documents/</t>
  </si>
  <si>
    <t>calcurate memory</t>
  </si>
  <si>
    <t>calcuratememory.xls</t>
  </si>
  <si>
    <t>CUSTOM MEMORY BANK</t>
  </si>
  <si>
    <t>Custom Folder -        Documents/</t>
  </si>
  <si>
    <t>Custom File Name</t>
  </si>
  <si>
    <t>customcalcuratememory.xls</t>
  </si>
  <si>
    <t>ef d = sol?</t>
  </si>
  <si>
    <t>adv gocode</t>
  </si>
  <si>
    <t>sbr</t>
  </si>
  <si>
    <t>The individual assessments listed below will be MERGED</t>
  </si>
  <si>
    <t>into ONE assessment of RV…</t>
  </si>
  <si>
    <t>Small Business Rate Relief?</t>
  </si>
  <si>
    <t>'Pre Merge' Properties</t>
  </si>
  <si>
    <t>Include this liability in Savings Report?</t>
  </si>
  <si>
    <t>text detector</t>
  </si>
  <si>
    <t>Calculate</t>
  </si>
  <si>
    <t>&lt;button text</t>
  </si>
  <si>
    <r>
      <t xml:space="preserve">This </t>
    </r>
    <r>
      <rPr>
        <b/>
        <sz val="12"/>
        <rFont val="Arial"/>
        <family val="2"/>
      </rPr>
      <t>FOLDER</t>
    </r>
    <r>
      <rPr>
        <sz val="12"/>
        <rFont val="Arial"/>
        <family val="2"/>
      </rPr>
      <t xml:space="preserve"> will be used</t>
    </r>
  </si>
  <si>
    <r>
      <t xml:space="preserve">This </t>
    </r>
    <r>
      <rPr>
        <b/>
        <sz val="12"/>
        <rFont val="Arial"/>
        <family val="2"/>
      </rPr>
      <t>FILE</t>
    </r>
    <r>
      <rPr>
        <sz val="12"/>
        <rFont val="Arial"/>
        <family val="2"/>
      </rPr>
      <t xml:space="preserve"> will be used</t>
    </r>
  </si>
  <si>
    <t>&lt; You can enter your own folder name</t>
  </si>
  <si>
    <t>&lt; You can enter your own file name</t>
  </si>
  <si>
    <t>nl&gt;bl?</t>
  </si>
  <si>
    <t>The Appropriate Fraction (AF) to determine the upper or lower transitional limit (TL)</t>
  </si>
  <si>
    <t>Category</t>
  </si>
  <si>
    <t>Factor (X)</t>
  </si>
  <si>
    <t>Inflation (Q)</t>
  </si>
  <si>
    <t>AF (X x Q / 100)</t>
  </si>
  <si>
    <t>Large Winner</t>
  </si>
  <si>
    <t>Medium Winner</t>
  </si>
  <si>
    <t>Small Winner</t>
  </si>
  <si>
    <t>Large Loser</t>
  </si>
  <si>
    <t>Medium Loser</t>
  </si>
  <si>
    <t>Small Loser</t>
  </si>
  <si>
    <t>ta</t>
  </si>
  <si>
    <t>Notional Liability (NL)</t>
  </si>
  <si>
    <t>Transitional Limit (TL)</t>
  </si>
  <si>
    <t>Transition Applies?</t>
  </si>
  <si>
    <t>pl rv</t>
  </si>
  <si>
    <t>pl mult</t>
  </si>
  <si>
    <t>calcd bl</t>
  </si>
  <si>
    <t>input bl</t>
  </si>
  <si>
    <t>sbndrm</t>
  </si>
  <si>
    <t>nl</t>
  </si>
  <si>
    <t>bl to use</t>
  </si>
  <si>
    <t>gtr or less</t>
  </si>
  <si>
    <t>t limits</t>
  </si>
  <si>
    <t>sml</t>
  </si>
  <si>
    <t>s</t>
  </si>
  <si>
    <t>m</t>
  </si>
  <si>
    <t>smltext</t>
  </si>
  <si>
    <t>sm thresh</t>
  </si>
  <si>
    <t>pyear</t>
  </si>
  <si>
    <t>af</t>
  </si>
  <si>
    <t>abv belw</t>
  </si>
  <si>
    <t>The Transitional Limit (TL) is determined by multiplying the BL x AF which gives a figure of:</t>
  </si>
  <si>
    <t>transanalysisorghome</t>
  </si>
  <si>
    <t>ta analysis original yr1</t>
  </si>
  <si>
    <t>range for copy</t>
  </si>
  <si>
    <t>copymap</t>
  </si>
  <si>
    <t>row</t>
  </si>
  <si>
    <t>col</t>
  </si>
  <si>
    <t>overpayments</t>
  </si>
  <si>
    <t>System Use Only</t>
  </si>
  <si>
    <t>Top Left</t>
  </si>
  <si>
    <t>cells for text on copy</t>
  </si>
  <si>
    <t>col nos &gt;</t>
  </si>
  <si>
    <t>check foldername for illegal caracters</t>
  </si>
  <si>
    <t>Sorry, you can't use a slash (  /  ) in the folder name.</t>
  </si>
  <si>
    <t>Sorry, you can't use a backslash ( \ ) in the folder name.</t>
  </si>
  <si>
    <t>Sorry, you can't use a colon ( : ) in the folder name.</t>
  </si>
  <si>
    <t>Sorry, you can't use an asterisk ( * ) in the folder name.</t>
  </si>
  <si>
    <t>Sorry, you can't use a question mark ( ? ) in the folder name.</t>
  </si>
  <si>
    <t>Sorry, you can't use a speech/quote mark ( " ) in the folder name.</t>
  </si>
  <si>
    <t>Sorry, you can't use the less than symbol ( &lt; ) in the folder name.</t>
  </si>
  <si>
    <t>Sorry, you can't use the greater than symbol ( &gt; ) in the folder name.</t>
  </si>
  <si>
    <t>Sorry, you can't use the vertical bar or pipe character ( | ) in the folder name.</t>
  </si>
  <si>
    <t>Sorry, you can't use the tilde character ( ~ ) in the folder name.</t>
  </si>
  <si>
    <t>Sorry, you can't use the hash character ( # ) in the folder name.</t>
  </si>
  <si>
    <t>Sorry, you can't use the percent character ( % ) in the folder name.</t>
  </si>
  <si>
    <t>Sorry, you can't use the ampersand character ( &amp; ) in the folder name.</t>
  </si>
  <si>
    <t>Sorry, you can't use the brace character ( } ) in the folder name.</t>
  </si>
  <si>
    <t>Sorry, you can't use the brace character ( { ) in the folder name.</t>
  </si>
  <si>
    <t>Sorry, you can't use an underscore as the first character ( _ ) in the folder name.</t>
  </si>
  <si>
    <t>&lt;blank message for all ok</t>
  </si>
  <si>
    <t>true means there is an error</t>
  </si>
  <si>
    <t>Folder Name</t>
  </si>
  <si>
    <t>R x J / S Calculation</t>
  </si>
  <si>
    <t>ef ef date</t>
  </si>
  <si>
    <t>act ef dt</t>
  </si>
  <si>
    <t>Ref</t>
  </si>
  <si>
    <t>ef yr as num</t>
  </si>
  <si>
    <t>Location:</t>
  </si>
  <si>
    <t>effective date&gt;</t>
  </si>
  <si>
    <t>small thresh</t>
  </si>
  <si>
    <t>R</t>
  </si>
  <si>
    <t>empty er</t>
  </si>
  <si>
    <t>empty err</t>
  </si>
  <si>
    <t>ch an sm</t>
  </si>
  <si>
    <t>S</t>
  </si>
  <si>
    <t>messge</t>
  </si>
  <si>
    <t>R x J / S</t>
  </si>
  <si>
    <t>Click button below to Calculate R and S</t>
  </si>
  <si>
    <t>adv clr cancelled</t>
  </si>
  <si>
    <t>eff date is start of list</t>
  </si>
  <si>
    <t>Effective Date of Split</t>
  </si>
  <si>
    <t>SBRR?</t>
  </si>
  <si>
    <t>Empty?</t>
  </si>
  <si>
    <t>Charity?</t>
  </si>
  <si>
    <t>Retail?</t>
  </si>
  <si>
    <t>SBRR</t>
  </si>
  <si>
    <t>sb errors</t>
  </si>
  <si>
    <t>New RV's</t>
  </si>
  <si>
    <t>lim error</t>
  </si>
  <si>
    <t>sb limit</t>
  </si>
  <si>
    <t>rv too high</t>
  </si>
  <si>
    <t>ch &amp; sb</t>
  </si>
  <si>
    <t>mssg</t>
  </si>
  <si>
    <t>vac &amp; sb or Ch</t>
  </si>
  <si>
    <t>messg</t>
  </si>
  <si>
    <t>RV of New Property 1</t>
  </si>
  <si>
    <t>RV of New Property 2</t>
  </si>
  <si>
    <t>RV of New Property 3</t>
  </si>
  <si>
    <t>data validation for d13 to d17</t>
  </si>
  <si>
    <t>RV of New Property 4</t>
  </si>
  <si>
    <t>RV of New Property 5</t>
  </si>
  <si>
    <t>true false</t>
  </si>
  <si>
    <t>Error: The BRS is Greater London but the Location is England</t>
  </si>
  <si>
    <t>Licence Expired or Advanced Features Not Activated or Trial Over - Contact Calcurate</t>
  </si>
  <si>
    <t>Please Enter the Effective Date</t>
  </si>
  <si>
    <t>Please Enter at Least One New RV</t>
  </si>
  <si>
    <t>SBRR and Charitable Relief can't both apply (New RV Section)</t>
  </si>
  <si>
    <t>Empty can't apply with Retail, SBRR or Charity (New RV Section)</t>
  </si>
  <si>
    <t>SBRR and Charitable Relief can't both apply (Original RV Section)</t>
  </si>
  <si>
    <t>sched 2 but  cert entered</t>
  </si>
  <si>
    <t>Row</t>
  </si>
  <si>
    <t>reg flag</t>
  </si>
  <si>
    <t>sbrr5</t>
  </si>
  <si>
    <t>TC1</t>
  </si>
  <si>
    <t>TC2</t>
  </si>
  <si>
    <t>TC3</t>
  </si>
  <si>
    <t>TC4</t>
  </si>
  <si>
    <t>TC5</t>
  </si>
  <si>
    <t>RV1</t>
  </si>
  <si>
    <t>RV2</t>
  </si>
  <si>
    <t>RV3</t>
  </si>
  <si>
    <t>RV4</t>
  </si>
  <si>
    <t>RV5</t>
  </si>
  <si>
    <t>charity1</t>
  </si>
  <si>
    <t>charity2</t>
  </si>
  <si>
    <t>charity3</t>
  </si>
  <si>
    <t>charity4</t>
  </si>
  <si>
    <t>Enter the date, and the RV's of the 'parent' properties</t>
  </si>
  <si>
    <t>charity5</t>
  </si>
  <si>
    <t>retail1</t>
  </si>
  <si>
    <t>retail2</t>
  </si>
  <si>
    <t>retail3</t>
  </si>
  <si>
    <t>retail4</t>
  </si>
  <si>
    <t>retail5</t>
  </si>
  <si>
    <t>undo del</t>
  </si>
  <si>
    <t>Prior List RV or 0 if none</t>
  </si>
  <si>
    <t>RV at Start of List or 0 if none</t>
  </si>
  <si>
    <t>RV on Day Before Recon (MUST be entered and greater than 0)</t>
  </si>
  <si>
    <t xml:space="preserve">R = </t>
  </si>
  <si>
    <t xml:space="preserve">S = </t>
  </si>
  <si>
    <t>Use buttons above to</t>
  </si>
  <si>
    <t>Build - Autumn Statement / Draft List</t>
  </si>
  <si>
    <t>Build - Basic Only, Initial Testing</t>
  </si>
  <si>
    <t>Send values to be</t>
  </si>
  <si>
    <t>used in R x J / S</t>
  </si>
  <si>
    <t>rjs</t>
  </si>
  <si>
    <t>rjshome</t>
  </si>
  <si>
    <t>Calcurate Saved Calculations</t>
  </si>
  <si>
    <t>Copy as Excel or Copy as PDF - The 'Saved Calculations' Folder</t>
  </si>
  <si>
    <t>Section 44a Calculator</t>
  </si>
  <si>
    <t>round+</t>
  </si>
  <si>
    <t>round-</t>
  </si>
  <si>
    <t>adj o</t>
  </si>
  <si>
    <t>adj r</t>
  </si>
  <si>
    <t>advanced client report</t>
  </si>
  <si>
    <t>&lt; basic only</t>
  </si>
  <si>
    <t>Adv OK</t>
  </si>
  <si>
    <t>This creates a copy of the sheet (with all formulas removed) so that you can store the calculation</t>
  </si>
  <si>
    <t>relief input</t>
  </si>
  <si>
    <t>localbasico1</t>
  </si>
  <si>
    <t>localbasico2</t>
  </si>
  <si>
    <t>localbasico3</t>
  </si>
  <si>
    <t>localbasico4</t>
  </si>
  <si>
    <t>localbasico5</t>
  </si>
  <si>
    <t>localbasicr1</t>
  </si>
  <si>
    <t>Multi-Recon / RJS fix (rev side) / Merge fix (rjs sol) / fldr settings</t>
  </si>
  <si>
    <t>localbasicr2</t>
  </si>
  <si>
    <t>localbasicr3</t>
  </si>
  <si>
    <t>localbasicr4</t>
  </si>
  <si>
    <t>localbasicr5</t>
  </si>
  <si>
    <t>calc1</t>
  </si>
  <si>
    <t>calc2</t>
  </si>
  <si>
    <t>localbasicdesc</t>
  </si>
  <si>
    <t>or attach the sheet to email - all you need to do to create the copy is click the button</t>
  </si>
  <si>
    <t>By default, the files will be saved in your 'Documents' folder in the folder named below,</t>
  </si>
  <si>
    <t>however if you want to save a series of calculations in a specific folder e.g. client name or date actioned,</t>
  </si>
  <si>
    <t>you can change the folder name below.  This will still be in your 'Documents' folder on your PC</t>
  </si>
  <si>
    <t>yes</t>
  </si>
  <si>
    <t>When you create a PDF, you can choose the folder each time.  Do you want to do this?</t>
  </si>
  <si>
    <t>When you create a PDF, you can open the PDF after saving.  Do you want to do this?</t>
  </si>
  <si>
    <t>foldersettingshome</t>
  </si>
  <si>
    <t>folder settings</t>
  </si>
  <si>
    <r>
      <t xml:space="preserve">Many pages in </t>
    </r>
    <r>
      <rPr>
        <b/>
        <sz val="12"/>
        <color indexed="10"/>
        <rFont val="Arial"/>
        <family val="2"/>
      </rPr>
      <t>Calcurate</t>
    </r>
    <r>
      <rPr>
        <sz val="12"/>
        <color indexed="8"/>
        <rFont val="Calibri"/>
        <family val="2"/>
      </rPr>
      <t xml:space="preserve"> have a button marked </t>
    </r>
    <r>
      <rPr>
        <b/>
        <sz val="12"/>
        <color indexed="18"/>
        <rFont val="Arial"/>
        <family val="2"/>
      </rPr>
      <t>'Copy as Excel</t>
    </r>
    <r>
      <rPr>
        <sz val="12"/>
        <color indexed="18"/>
        <rFont val="Arial"/>
        <family val="2"/>
      </rPr>
      <t xml:space="preserve">' </t>
    </r>
    <r>
      <rPr>
        <sz val="12"/>
        <color indexed="8"/>
        <rFont val="Calibri"/>
        <family val="2"/>
      </rPr>
      <t xml:space="preserve">and </t>
    </r>
    <r>
      <rPr>
        <b/>
        <sz val="12"/>
        <color indexed="18"/>
        <rFont val="Arial"/>
        <family val="2"/>
      </rPr>
      <t>'Copy as PDF</t>
    </r>
    <r>
      <rPr>
        <sz val="12"/>
        <color indexed="8"/>
        <rFont val="Calibri"/>
        <family val="2"/>
      </rPr>
      <t>'</t>
    </r>
  </si>
  <si>
    <t>foldererrormessage</t>
  </si>
  <si>
    <t>foldererrorindicator</t>
  </si>
  <si>
    <t>confirm import</t>
  </si>
  <si>
    <t>basicconfirmimport</t>
  </si>
  <si>
    <t>Saved Calculations Settings</t>
  </si>
  <si>
    <t>openaftersaving</t>
  </si>
  <si>
    <t>selectownfolder</t>
  </si>
  <si>
    <t>from relief page</t>
  </si>
  <si>
    <t>retail indicator</t>
  </si>
  <si>
    <t>pub indicator</t>
  </si>
  <si>
    <t>eml to</t>
  </si>
  <si>
    <t xml:space="preserve">cc to </t>
  </si>
  <si>
    <t>First Word</t>
  </si>
  <si>
    <t>Dear</t>
  </si>
  <si>
    <t>e.g. Hi, Hello, Dear</t>
  </si>
  <si>
    <t>Second Word</t>
  </si>
  <si>
    <t>***</t>
  </si>
  <si>
    <t>Chris, Miss Jones, Mr Smith, Sir / Madam</t>
  </si>
  <si>
    <t>Subject Intro</t>
  </si>
  <si>
    <t>Business Rates</t>
  </si>
  <si>
    <t>(followed by the client name and address)</t>
  </si>
  <si>
    <t xml:space="preserve">Paragraph1 </t>
  </si>
  <si>
    <t>Please find attached our business rates report.</t>
  </si>
  <si>
    <t>Paragraph2</t>
  </si>
  <si>
    <t>rev tc</t>
  </si>
  <si>
    <t>show o</t>
  </si>
  <si>
    <t>show r</t>
  </si>
  <si>
    <t>e.g. If you have any queries please call</t>
  </si>
  <si>
    <t>Close 1</t>
  </si>
  <si>
    <t>Regards</t>
  </si>
  <si>
    <t>e.g. Regards, Kind Regards, Best Wishes</t>
  </si>
  <si>
    <t>Close 2</t>
  </si>
  <si>
    <t>e.g. and thanks, have a good day</t>
  </si>
  <si>
    <t>Year 1</t>
  </si>
  <si>
    <t>Year 4</t>
  </si>
  <si>
    <t>Year 3</t>
  </si>
  <si>
    <t>Year 2</t>
  </si>
  <si>
    <t>ta analysis</t>
  </si>
  <si>
    <t>soy</t>
  </si>
  <si>
    <t>phasing check 4</t>
  </si>
  <si>
    <t>check 2 or 3 is true?</t>
  </si>
  <si>
    <t>phasing check 5</t>
  </si>
  <si>
    <t>phasing in prev yr?</t>
  </si>
  <si>
    <t>phasing check 6</t>
  </si>
  <si>
    <t>phasing check 7</t>
  </si>
  <si>
    <t>phasing check 8</t>
  </si>
  <si>
    <t>X &lt;&gt; 0</t>
  </si>
  <si>
    <t>prv &gt; 0</t>
  </si>
  <si>
    <t>crv &gt; 0</t>
  </si>
  <si>
    <t>RPI or B</t>
  </si>
  <si>
    <t>Calcurate 2023 v 0</t>
  </si>
  <si>
    <t>Applies after TA and SBRR</t>
  </si>
  <si>
    <t>from 2024 no supp on Empty or Charity where RV &lt; 51,000 | Analyse Import new BA's</t>
  </si>
  <si>
    <t>Applies after TA, SBRR, and Retail</t>
  </si>
  <si>
    <t>eoy</t>
  </si>
  <si>
    <t>tyear</t>
  </si>
  <si>
    <t>year</t>
  </si>
  <si>
    <t>number</t>
  </si>
  <si>
    <t>no</t>
  </si>
  <si>
    <t>RV</t>
  </si>
  <si>
    <t>clew</t>
  </si>
  <si>
    <t>e</t>
  </si>
  <si>
    <t>SBNDRM</t>
  </si>
  <si>
    <t>NL</t>
  </si>
  <si>
    <t>Win/Lose</t>
  </si>
  <si>
    <t>Large/Medium/Small</t>
  </si>
  <si>
    <t>cat</t>
  </si>
  <si>
    <t>AF</t>
  </si>
  <si>
    <t>TL</t>
  </si>
  <si>
    <t>win lose change?</t>
  </si>
  <si>
    <t>phasing?</t>
  </si>
  <si>
    <t>VALUE of X</t>
  </si>
  <si>
    <t>wl</t>
  </si>
  <si>
    <t>wm</t>
  </si>
  <si>
    <t>ws</t>
  </si>
  <si>
    <t>ll</t>
  </si>
  <si>
    <t>lm</t>
  </si>
  <si>
    <t>ls</t>
  </si>
  <si>
    <t>DIY</t>
  </si>
  <si>
    <t>Transition Thresholds</t>
  </si>
  <si>
    <t>l</t>
  </si>
  <si>
    <t>c</t>
  </si>
  <si>
    <t>SBRR Thresholds</t>
  </si>
  <si>
    <t>100% &lt;=</t>
  </si>
  <si>
    <t>sbndrm &lt;</t>
  </si>
  <si>
    <t>Empty Threshold</t>
  </si>
  <si>
    <t>exempt if &lt;</t>
  </si>
  <si>
    <t>SB Lower Threshold &lt;=</t>
  </si>
  <si>
    <t>SB Upper Threshold &lt;</t>
  </si>
  <si>
    <t>SB Multiplier Threshold &lt;</t>
  </si>
  <si>
    <t>yr no</t>
  </si>
  <si>
    <t>TR Small Threshold &lt;=</t>
  </si>
  <si>
    <t>TR Medium Threshold &lt;=</t>
  </si>
  <si>
    <t>formula&gt;</t>
  </si>
  <si>
    <t>PLRV</t>
  </si>
  <si>
    <t>rv</t>
  </si>
  <si>
    <t>PYMultiplier</t>
  </si>
  <si>
    <t>sup</t>
  </si>
  <si>
    <t>BL (PL x PYM)</t>
  </si>
  <si>
    <t>BL to Use</t>
  </si>
  <si>
    <t>X</t>
  </si>
  <si>
    <t>Q</t>
  </si>
  <si>
    <t>SBNDRM &amp; Q</t>
  </si>
  <si>
    <t>annual charge exc sup</t>
  </si>
  <si>
    <t>empty</t>
  </si>
  <si>
    <t>charity</t>
  </si>
  <si>
    <t>small</t>
  </si>
  <si>
    <t>city sup</t>
  </si>
  <si>
    <t>xrail</t>
  </si>
  <si>
    <t>xrail threshold &gt;</t>
  </si>
  <si>
    <t>xrail thresh</t>
  </si>
  <si>
    <t>Days</t>
  </si>
  <si>
    <t>calc of e  (sbupper-sblower)/(rv-sblower)</t>
  </si>
  <si>
    <t>if 5 in fourth add</t>
  </si>
  <si>
    <t>e value to be used</t>
  </si>
  <si>
    <t>sbrr applies - ticked?</t>
  </si>
  <si>
    <t>sbrr applies - below threshold?</t>
  </si>
  <si>
    <t>sbrr applies - not empty?</t>
  </si>
  <si>
    <t>sbrr applies - not charity?</t>
  </si>
  <si>
    <t>sbrr applies - yes?</t>
  </si>
  <si>
    <t>TICKS</t>
  </si>
  <si>
    <t>empty ticked</t>
  </si>
  <si>
    <t>Charity ticked</t>
  </si>
  <si>
    <t>SB ticked</t>
  </si>
  <si>
    <t>ok</t>
  </si>
  <si>
    <t>qcal</t>
  </si>
  <si>
    <t>5?</t>
  </si>
  <si>
    <t xml:space="preserve">if 5 </t>
  </si>
  <si>
    <t>Chargeable Days</t>
  </si>
  <si>
    <t>Start Date</t>
  </si>
  <si>
    <t>End Date</t>
  </si>
  <si>
    <t>start date in this year?</t>
  </si>
  <si>
    <t>end date in this year?</t>
  </si>
  <si>
    <t>Liability in Year?</t>
  </si>
  <si>
    <t>&lt;allow tick?</t>
  </si>
  <si>
    <t>&lt;rv or tc ok for ssbr?</t>
  </si>
  <si>
    <t>&lt;tc chk for ssbr</t>
  </si>
  <si>
    <t>is not empty</t>
  </si>
  <si>
    <t>is not charity</t>
  </si>
  <si>
    <t>for supp</t>
  </si>
  <si>
    <t>row 66</t>
  </si>
  <si>
    <t>Start</t>
  </si>
  <si>
    <t>End</t>
  </si>
  <si>
    <t>Charitable Relief</t>
  </si>
  <si>
    <t>Relief5</t>
  </si>
  <si>
    <t>Relief6</t>
  </si>
  <si>
    <t>name</t>
  </si>
  <si>
    <t>BL Entered</t>
  </si>
  <si>
    <t>YEAR1</t>
  </si>
  <si>
    <t>YEAR2</t>
  </si>
  <si>
    <t>YEAR3</t>
  </si>
  <si>
    <t>YEAR4</t>
  </si>
  <si>
    <t>-</t>
  </si>
  <si>
    <t>|&lt; -----------------------------------------------------------------------------------------------------------</t>
  </si>
  <si>
    <t>----------------------------------------------------------------------</t>
  </si>
  <si>
    <t>-------------------&gt;|</t>
  </si>
  <si>
    <t>total original</t>
  </si>
  <si>
    <t>merge report</t>
  </si>
  <si>
    <t>YEAR5</t>
  </si>
  <si>
    <t>YEAR6</t>
  </si>
  <si>
    <t>used in lookup</t>
  </si>
  <si>
    <t>Description</t>
  </si>
  <si>
    <t>daily charge</t>
  </si>
  <si>
    <t>Charge for Days</t>
  </si>
  <si>
    <t>annual charge with Supps, TR/TP and SBRR</t>
  </si>
  <si>
    <t>TOTAL Annual Charge</t>
  </si>
  <si>
    <t>retail</t>
  </si>
  <si>
    <t>Relief1 retail</t>
  </si>
  <si>
    <t>Annual Charge</t>
  </si>
  <si>
    <t>amount of relief</t>
  </si>
  <si>
    <t xml:space="preserve">&lt; </t>
  </si>
  <si>
    <t>Retail Relief Threshold</t>
  </si>
  <si>
    <t>threshold ok</t>
  </si>
  <si>
    <t>ticked</t>
  </si>
  <si>
    <t>calculated annual charge</t>
  </si>
  <si>
    <t>SBRR (must be false)</t>
  </si>
  <si>
    <t>Error Message</t>
  </si>
  <si>
    <t>e f p c</t>
  </si>
  <si>
    <t>f</t>
  </si>
  <si>
    <t>p</t>
  </si>
  <si>
    <t>Estimated</t>
  </si>
  <si>
    <t>Forecast</t>
  </si>
  <si>
    <t>Provisional</t>
  </si>
  <si>
    <t>Confirmed</t>
  </si>
  <si>
    <t>estimated, forecast, provisional, confirmed</t>
  </si>
  <si>
    <t>Previous RPI &amp; CPI</t>
  </si>
  <si>
    <t>cal inf</t>
  </si>
  <si>
    <t>B</t>
  </si>
  <si>
    <t>Reliefs and Exemptions Annual</t>
  </si>
  <si>
    <t>Relief7</t>
  </si>
  <si>
    <t>Exemption from Empty Rates Charge</t>
  </si>
  <si>
    <t>threshold &lt;</t>
  </si>
  <si>
    <t>below threshold?</t>
  </si>
  <si>
    <t>amount of exemption</t>
  </si>
  <si>
    <t>No Tick Conflict (retail and empty)</t>
  </si>
  <si>
    <t>Retail Relief</t>
  </si>
  <si>
    <t>No Tick Conflict (Charity and Small or Empty)</t>
  </si>
  <si>
    <t>Empty Exemption</t>
  </si>
  <si>
    <t>Retail Relief can't apply on an Empty Property</t>
  </si>
  <si>
    <t>Charitable Relief can't apply with SBRR, or on an Empty Property</t>
  </si>
  <si>
    <t>Error - Ch &amp; SBRR</t>
  </si>
  <si>
    <t>Error - Retail and Empty</t>
  </si>
  <si>
    <t>This will be displayed</t>
  </si>
  <si>
    <t>yrno</t>
  </si>
  <si>
    <t>In Licence</t>
  </si>
  <si>
    <t>error</t>
  </si>
  <si>
    <t>message</t>
  </si>
  <si>
    <t>Licence Expired</t>
  </si>
  <si>
    <t>annual</t>
  </si>
  <si>
    <t>Enter the Actual Figures When Known</t>
  </si>
  <si>
    <t>CPI</t>
  </si>
  <si>
    <t>est?</t>
  </si>
  <si>
    <t>Value of 'B' to be Used</t>
  </si>
  <si>
    <t>n</t>
  </si>
  <si>
    <t>A          x</t>
  </si>
  <si>
    <t>/   C =</t>
  </si>
  <si>
    <t>unrounded</t>
  </si>
  <si>
    <t>for rate year</t>
  </si>
  <si>
    <t>Supplement</t>
  </si>
  <si>
    <t>City Supp</t>
  </si>
  <si>
    <t>Crossrail</t>
  </si>
  <si>
    <t>Threshold (&gt;)</t>
  </si>
  <si>
    <t>For Rate Year</t>
  </si>
  <si>
    <t>est</t>
  </si>
  <si>
    <t>r</t>
  </si>
  <si>
    <t>plo</t>
  </si>
  <si>
    <t>plr</t>
  </si>
  <si>
    <t>rvo</t>
  </si>
  <si>
    <t>rvr</t>
  </si>
  <si>
    <t>Advanced Original No Certs</t>
  </si>
  <si>
    <t>Advanced Original CL Certs</t>
  </si>
  <si>
    <t>sheet</t>
  </si>
  <si>
    <t>It shows the Row and Column numbers for a particular cell on a particular sheet</t>
  </si>
  <si>
    <t>the row and column  numbers below will automatically change</t>
  </si>
  <si>
    <t>If (on the particular sheet) the cell ref changes, eg because of inserted rows or columns, or if it's moved</t>
  </si>
  <si>
    <t>Therefore, when referencing the particular cell ina MACRO, you should use THESE cells to get the numbers</t>
  </si>
  <si>
    <t>basic</t>
  </si>
  <si>
    <t>used in mod</t>
  </si>
  <si>
    <t>variable</t>
  </si>
  <si>
    <t>plrvfrombasic</t>
  </si>
  <si>
    <t>Calcurate 2023 v 1.0</t>
  </si>
  <si>
    <t>75%</t>
  </si>
  <si>
    <t>Cap</t>
  </si>
  <si>
    <t>cap</t>
  </si>
  <si>
    <t>Retail Relief to Use</t>
  </si>
  <si>
    <t>for days</t>
  </si>
  <si>
    <t>amount to use</t>
  </si>
  <si>
    <t>capped?</t>
  </si>
  <si>
    <t>end of prevlist</t>
  </si>
  <si>
    <t xml:space="preserve"> </t>
  </si>
  <si>
    <t>Relief1 retail - don’t use this line</t>
  </si>
  <si>
    <t>Calcurate is a collection of Microsoft Excel Workbooks. Users should</t>
  </si>
  <si>
    <t>have an understanding of how to use Microsoft Excel before using Calcurate</t>
  </si>
  <si>
    <t>Users should make full use of the trial period available to satisfy themselves</t>
  </si>
  <si>
    <t>of the accuracy and reliability of Calcurate.</t>
  </si>
  <si>
    <t>Neither Calcurate Ltd nor any supplier of the Calcurate package can accept</t>
  </si>
  <si>
    <t>any liability for any loss sustained through use or misuse of Calcurate.</t>
  </si>
  <si>
    <t>Calcurate was devised and created by Richard Knox for Calcurate Ltd</t>
  </si>
  <si>
    <t>multi recon name</t>
  </si>
  <si>
    <t>Calcurate 2023 v 2.4</t>
  </si>
  <si>
    <t>Richard Knox</t>
  </si>
  <si>
    <t>* Please note, there are certain circumstances in which the calculation of liability may not agree exactly with</t>
  </si>
  <si>
    <t>a manual calculation, however, in extensive testing we have not found a discrepancy of more than 2p per year.</t>
  </si>
  <si>
    <t>The "copy this" col automatically creates the line to use in the macro</t>
  </si>
  <si>
    <t>copy this &gt;</t>
  </si>
  <si>
    <t>value</t>
  </si>
  <si>
    <t>col number&gt;</t>
  </si>
  <si>
    <t>or this&gt;</t>
  </si>
  <si>
    <t>Advanced Original PL Certs</t>
  </si>
  <si>
    <t>Advanced Original CL and PL Certs</t>
  </si>
  <si>
    <t>Advanced Revised CL Certs</t>
  </si>
  <si>
    <t>Advanced Revised No Certs</t>
  </si>
  <si>
    <t>Advanced Revised PL Certs</t>
  </si>
  <si>
    <t>Advanced Revised CL and PL Certs</t>
  </si>
  <si>
    <t>supp1</t>
  </si>
  <si>
    <t>supp2</t>
  </si>
  <si>
    <t>supp3</t>
  </si>
  <si>
    <t>supp4</t>
  </si>
  <si>
    <t>supp5</t>
  </si>
  <si>
    <t>supp6</t>
  </si>
  <si>
    <t>supp7</t>
  </si>
  <si>
    <t>RV limit</t>
  </si>
  <si>
    <t>Do not include Crossrail - this is already included</t>
  </si>
  <si>
    <t>&lt;lookup</t>
  </si>
  <si>
    <t>Prior List RV or zero if none</t>
  </si>
  <si>
    <t>user_bl_advanced_o_tick</t>
  </si>
  <si>
    <t>user_bl_advanced_r_tick</t>
  </si>
  <si>
    <t>user_bl_advanced_r_value</t>
  </si>
  <si>
    <t>user_bl_advanced_o_value</t>
  </si>
  <si>
    <t>Regs</t>
  </si>
  <si>
    <t>for 1/4/-- DOS</t>
  </si>
  <si>
    <t>for 31/3/--</t>
  </si>
  <si>
    <t>Date Certificate has Effect</t>
  </si>
  <si>
    <t>Where the property is vacant and the RV is below the Empty Property Rate threshold*, the liability will be nil</t>
  </si>
  <si>
    <t>Thresholds:</t>
  </si>
  <si>
    <t>Messages</t>
  </si>
  <si>
    <t>filter (this is all)</t>
  </si>
  <si>
    <t>filter out blanks</t>
  </si>
  <si>
    <t>greatest date on text sheet</t>
  </si>
  <si>
    <t>the date the prior list cert has effect</t>
  </si>
  <si>
    <t>the date the start of list cert has effect</t>
  </si>
  <si>
    <t>this is a date after the end of this list</t>
  </si>
  <si>
    <t>from date section</t>
  </si>
  <si>
    <t>nn</t>
  </si>
  <si>
    <t>nc</t>
  </si>
  <si>
    <t>bn</t>
  </si>
  <si>
    <t>bc</t>
  </si>
  <si>
    <t>means no certs</t>
  </si>
  <si>
    <t>Adv Trial &gt;</t>
  </si>
  <si>
    <t>Full Licence?</t>
  </si>
  <si>
    <t>Transition Category</t>
  </si>
  <si>
    <t>means current list cert only</t>
  </si>
  <si>
    <t>means BL cert only</t>
  </si>
  <si>
    <t>means BL and Current certs</t>
  </si>
  <si>
    <t>diy</t>
  </si>
  <si>
    <t>start of year</t>
  </si>
  <si>
    <t>end of year</t>
  </si>
  <si>
    <t>days in year</t>
  </si>
  <si>
    <t>31/3 cert</t>
  </si>
  <si>
    <t>1/4 cert</t>
  </si>
  <si>
    <t>cert val</t>
  </si>
  <si>
    <t>tr cat</t>
  </si>
  <si>
    <t>start of list 0</t>
  </si>
  <si>
    <t>Initialisms</t>
  </si>
  <si>
    <t>sort into order</t>
  </si>
  <si>
    <t>filter out duplicates</t>
  </si>
  <si>
    <t>charity?</t>
  </si>
  <si>
    <t>threshold</t>
  </si>
  <si>
    <t>sb sup</t>
  </si>
  <si>
    <t>sb low</t>
  </si>
  <si>
    <t>Calcurate 2023 v 3.2</t>
  </si>
  <si>
    <t>Autumn Statement</t>
  </si>
  <si>
    <t>std</t>
  </si>
  <si>
    <t>Calcurate 2023 v 0.1</t>
  </si>
  <si>
    <t>sb high</t>
  </si>
  <si>
    <t>Retail</t>
  </si>
  <si>
    <t>adj</t>
  </si>
  <si>
    <t>start</t>
  </si>
  <si>
    <t>from</t>
  </si>
  <si>
    <t>left inp ok</t>
  </si>
  <si>
    <t>right inp ok</t>
  </si>
  <si>
    <t>left</t>
  </si>
  <si>
    <t>right</t>
  </si>
  <si>
    <t>chrty</t>
  </si>
  <si>
    <t>ret</t>
  </si>
  <si>
    <t>small tic</t>
  </si>
  <si>
    <t>effctive year</t>
  </si>
  <si>
    <t>show saving&gt;</t>
  </si>
  <si>
    <t>message - true/phased/RxJ/S</t>
  </si>
  <si>
    <t>address not entered</t>
  </si>
  <si>
    <t>days</t>
  </si>
  <si>
    <t>daily</t>
  </si>
  <si>
    <t>j</t>
  </si>
  <si>
    <t>up or down</t>
  </si>
  <si>
    <t>if down or same</t>
  </si>
  <si>
    <t>if up</t>
  </si>
  <si>
    <t>mult</t>
  </si>
  <si>
    <t>tot</t>
  </si>
  <si>
    <t>yrtot</t>
  </si>
  <si>
    <t>sbsup</t>
  </si>
  <si>
    <t>yr &gt;</t>
  </si>
  <si>
    <t>&lt; used in offset</t>
  </si>
  <si>
    <t>this</t>
  </si>
  <si>
    <t>next</t>
  </si>
  <si>
    <t>prev</t>
  </si>
  <si>
    <t>Calcurate 2023 v 2.4b</t>
  </si>
  <si>
    <t>Advanced Detail added</t>
  </si>
  <si>
    <t>sb sup rate</t>
  </si>
  <si>
    <t>city supp</t>
  </si>
  <si>
    <t>brs sup</t>
  </si>
  <si>
    <t>brs thresh</t>
  </si>
  <si>
    <t>vac</t>
  </si>
  <si>
    <t>count/max</t>
  </si>
  <si>
    <t>phased?</t>
  </si>
  <si>
    <t>phind</t>
  </si>
  <si>
    <t>n/j p+t ind</t>
  </si>
  <si>
    <t>zero</t>
  </si>
  <si>
    <t>is or has been zero</t>
  </si>
  <si>
    <t>rv&lt;rd thresh</t>
  </si>
  <si>
    <t>ticked?</t>
  </si>
  <si>
    <t>occupied?</t>
  </si>
  <si>
    <t>qualifying charge</t>
  </si>
  <si>
    <t>relief</t>
  </si>
  <si>
    <t>thresh</t>
  </si>
  <si>
    <t>yr1?</t>
  </si>
  <si>
    <t>yr2?</t>
  </si>
  <si>
    <t>yr3?</t>
  </si>
  <si>
    <t>https://www.legislation.gov.uk/uksi/2022/1403/contents/made</t>
  </si>
  <si>
    <t>SMR</t>
  </si>
  <si>
    <t>Reg 20</t>
  </si>
  <si>
    <t>yr4?</t>
  </si>
  <si>
    <t>yr5?</t>
  </si>
  <si>
    <t>yr6?</t>
  </si>
  <si>
    <t>max</t>
  </si>
  <si>
    <t>count yr1</t>
  </si>
  <si>
    <t>yr1 date</t>
  </si>
  <si>
    <t>yr1 rv</t>
  </si>
  <si>
    <t>yr1 perc</t>
  </si>
  <si>
    <t>yr1vac?</t>
  </si>
  <si>
    <t>count yr2</t>
  </si>
  <si>
    <t>yr2 date</t>
  </si>
  <si>
    <t>yr2 rv</t>
  </si>
  <si>
    <t>yr2 perc</t>
  </si>
  <si>
    <t>yr2vac?</t>
  </si>
  <si>
    <t>count yr3</t>
  </si>
  <si>
    <t>yr3 date</t>
  </si>
  <si>
    <t>yr3 rv</t>
  </si>
  <si>
    <t>yr3 perc</t>
  </si>
  <si>
    <t>yr3vac?</t>
  </si>
  <si>
    <t>count yr4</t>
  </si>
  <si>
    <t>yr4 date</t>
  </si>
  <si>
    <t>yr4 rv</t>
  </si>
  <si>
    <t>yr4 perc</t>
  </si>
  <si>
    <t>yr4vac?</t>
  </si>
  <si>
    <t>count yr5</t>
  </si>
  <si>
    <t>yr5 date</t>
  </si>
  <si>
    <t>yr5 rv</t>
  </si>
  <si>
    <t>yr5 perc</t>
  </si>
  <si>
    <t>yr5vac?</t>
  </si>
  <si>
    <t>count yr6</t>
  </si>
  <si>
    <t>yr6 date</t>
  </si>
  <si>
    <t>yr6 rv</t>
  </si>
  <si>
    <t>yr6 perc</t>
  </si>
  <si>
    <t>yr6vac?</t>
  </si>
  <si>
    <t>(if the RV is greater than this, the supplement will be charged)</t>
  </si>
  <si>
    <t>supplement multiplier</t>
  </si>
  <si>
    <t>Threshold</t>
  </si>
  <si>
    <t>charge the sup? (true or false)</t>
  </si>
  <si>
    <t>annual sup amount (RV x sup mult x true or false)</t>
  </si>
  <si>
    <t>city sup multiplier</t>
  </si>
  <si>
    <t>charge city supp? True or false</t>
  </si>
  <si>
    <t>annual city sup amt (RV x sup mult x true or false)</t>
  </si>
  <si>
    <t>xrail sup mult</t>
  </si>
  <si>
    <t>charge xrail? (true or false)</t>
  </si>
  <si>
    <t>OK to Show (from Codes - i.e. in licence or trial)</t>
  </si>
  <si>
    <t>BRS sup mult</t>
  </si>
  <si>
    <t>BRS threshold &gt;</t>
  </si>
  <si>
    <t>charge BRS? (true or false)</t>
  </si>
  <si>
    <t>annual BRS charge (RV x BRS sup x true or false)</t>
  </si>
  <si>
    <t>annual xrail charge (RV x xrail sup x true or false)</t>
  </si>
  <si>
    <t>BRS Authority</t>
  </si>
  <si>
    <t>Enter Levying Authority</t>
  </si>
  <si>
    <t>text</t>
  </si>
  <si>
    <t>date</t>
  </si>
  <si>
    <t>perc</t>
  </si>
  <si>
    <t>Advanced Input Original</t>
  </si>
  <si>
    <t>in date order</t>
  </si>
  <si>
    <t>yr</t>
  </si>
  <si>
    <t>yr1</t>
  </si>
  <si>
    <t>Details</t>
  </si>
  <si>
    <t>Prepared For:</t>
  </si>
  <si>
    <t>Prepared By:</t>
  </si>
  <si>
    <t>Reference:</t>
  </si>
  <si>
    <t>Client / Ratepayer:</t>
  </si>
  <si>
    <t>Address:</t>
  </si>
  <si>
    <t>Town:</t>
  </si>
  <si>
    <t>Postcode:</t>
  </si>
  <si>
    <t>menu</t>
  </si>
  <si>
    <t>menuhomecell</t>
  </si>
  <si>
    <t>goto cells</t>
  </si>
  <si>
    <t>concat text for VALUE</t>
  </si>
  <si>
    <t>concat text for LOCATION</t>
  </si>
  <si>
    <t>detailshomecell</t>
  </si>
  <si>
    <t>details</t>
  </si>
  <si>
    <t>blank</t>
  </si>
  <si>
    <t>Version:</t>
  </si>
  <si>
    <t>today</t>
  </si>
  <si>
    <t>days left</t>
  </si>
  <si>
    <t>ok to go</t>
  </si>
  <si>
    <t>new build</t>
  </si>
  <si>
    <t>licence end</t>
  </si>
  <si>
    <t>buffer</t>
  </si>
  <si>
    <t>switch off date</t>
  </si>
  <si>
    <t>days to switch off</t>
  </si>
  <si>
    <t>description</t>
  </si>
  <si>
    <t>version number</t>
  </si>
  <si>
    <t>released</t>
  </si>
  <si>
    <t>advancedhomecell</t>
  </si>
  <si>
    <t>advanced</t>
  </si>
  <si>
    <t>Basic</t>
  </si>
  <si>
    <t>Advanced</t>
  </si>
  <si>
    <t>Split</t>
  </si>
  <si>
    <t>Merge</t>
  </si>
  <si>
    <t>Recon (R x J/S)</t>
  </si>
  <si>
    <t>Portfolio Calculator</t>
  </si>
  <si>
    <t>Multi-Recon Calculator</t>
  </si>
  <si>
    <t>Enter your own Estimates</t>
  </si>
  <si>
    <t>Riverlake Settings</t>
  </si>
  <si>
    <t>Multipliers and More</t>
  </si>
  <si>
    <t>Enter the Client / Ratepayer and Property Details</t>
  </si>
  <si>
    <t>Conditions of Use</t>
  </si>
  <si>
    <t>Licenced to:</t>
  </si>
  <si>
    <t>Renewal Due:</t>
  </si>
  <si>
    <t>msg 1</t>
  </si>
  <si>
    <t>Intermittent Occupation Planner</t>
  </si>
  <si>
    <t>nagflag</t>
  </si>
  <si>
    <t>codes</t>
  </si>
  <si>
    <t>nagmessage</t>
  </si>
  <si>
    <t>nag message&gt;</t>
  </si>
  <si>
    <t>Message from Calcurate</t>
  </si>
  <si>
    <t>mfc</t>
  </si>
  <si>
    <t>Version History</t>
  </si>
  <si>
    <t>thisworkbookname</t>
  </si>
  <si>
    <t>&lt; previous wb</t>
  </si>
  <si>
    <t>&lt; current wb</t>
  </si>
  <si>
    <t>&lt; used in macros</t>
  </si>
  <si>
    <t>&lt; next wb</t>
  </si>
  <si>
    <t>notice</t>
  </si>
  <si>
    <t>today&gt;</t>
  </si>
  <si>
    <t>calcurateversion</t>
  </si>
  <si>
    <t>licencedto</t>
  </si>
  <si>
    <t>form</t>
  </si>
  <si>
    <t>expirydate</t>
  </si>
  <si>
    <t>annual relief</t>
  </si>
  <si>
    <t>Supporting Small Business Relief</t>
  </si>
  <si>
    <t>annual charge without ssbr</t>
  </si>
  <si>
    <t>for display</t>
  </si>
  <si>
    <t>Interest Rate for Refunds | SSBR</t>
  </si>
  <si>
    <t>Interest Calculator</t>
  </si>
  <si>
    <t>copyrightnotice</t>
  </si>
  <si>
    <t>&lt;adv trial message</t>
  </si>
  <si>
    <t>basichomecell</t>
  </si>
  <si>
    <t>versionhistoryhomecell</t>
  </si>
  <si>
    <t>version history</t>
  </si>
  <si>
    <t>Business Rates Information Letters</t>
  </si>
  <si>
    <t>cpi inflation</t>
  </si>
  <si>
    <t>Inflation %</t>
  </si>
  <si>
    <t>voa</t>
  </si>
  <si>
    <t>brils</t>
  </si>
  <si>
    <t>lgfa</t>
  </si>
  <si>
    <t>regs</t>
  </si>
  <si>
    <t>https://www.gov.uk/government/collections/business-rates-information-letters</t>
  </si>
  <si>
    <t>https://www.tax.service.gov.uk/business-rates-find/search</t>
  </si>
  <si>
    <t>r =</t>
  </si>
  <si>
    <t>Local Government Finance Act 1988</t>
  </si>
  <si>
    <t>Unoccupied Property Regulations</t>
  </si>
  <si>
    <t>authoritieshomecell</t>
  </si>
  <si>
    <t>authorities</t>
  </si>
  <si>
    <t>update</t>
  </si>
  <si>
    <t>estimateshome</t>
  </si>
  <si>
    <t>plistwbook</t>
  </si>
  <si>
    <t>pwbname</t>
  </si>
  <si>
    <t>nextlistwb</t>
  </si>
  <si>
    <t>nwbname</t>
  </si>
  <si>
    <t>analyse</t>
  </si>
  <si>
    <t>This is the links list - do NOT insert or delete any rows or columns</t>
  </si>
  <si>
    <t>random number</t>
  </si>
  <si>
    <t>import</t>
  </si>
  <si>
    <t>Reg 18</t>
  </si>
  <si>
    <t>Reg 19</t>
  </si>
  <si>
    <t>Reg 16</t>
  </si>
  <si>
    <t>We suggest that River Lake users use the following settings to ensure that liabilities on River Lake match Calcurate</t>
  </si>
  <si>
    <t>ENGLAND &amp; GREATER LONDON</t>
  </si>
  <si>
    <t>small business rate</t>
  </si>
  <si>
    <t>large business rate</t>
  </si>
  <si>
    <t>small hered supplement</t>
  </si>
  <si>
    <t>small inf rate</t>
  </si>
  <si>
    <t>large inf rate</t>
  </si>
  <si>
    <t>estimate</t>
  </si>
  <si>
    <t>s44a (Adv EE launch)</t>
  </si>
  <si>
    <t>City of London - Rating Authorities / City of London: Local Rates / Supplementary Rate</t>
  </si>
  <si>
    <t>large</t>
  </si>
  <si>
    <t>Supplementary Rate</t>
  </si>
  <si>
    <t>riverlakehome</t>
  </si>
  <si>
    <t>riverlake</t>
  </si>
  <si>
    <t>Enter the CPI inflation Estimate, CPI RPI and 'B' Values, SBRR Supplement, Crossrail and City of London Supplements</t>
  </si>
  <si>
    <t>https://www.ons.gov.uk/economy/inflationandpriceindices/datasets/consumerpriceinflation</t>
  </si>
  <si>
    <t>cpi</t>
  </si>
  <si>
    <t>B Search</t>
  </si>
  <si>
    <t>search</t>
  </si>
  <si>
    <t>Changes will only have effect in this session. If you wish to use your own estimates permanently please contact us</t>
  </si>
  <si>
    <t>contact</t>
  </si>
  <si>
    <t>intocplannername</t>
  </si>
  <si>
    <t>Calcurate Ltd</t>
  </si>
  <si>
    <t>orvfrombasic</t>
  </si>
  <si>
    <t>rrvfrombasic</t>
  </si>
  <si>
    <t>plrvonadvanced</t>
  </si>
  <si>
    <t>orvonadvanced</t>
  </si>
  <si>
    <t>rrvonadvanced</t>
  </si>
  <si>
    <t>Desc</t>
  </si>
  <si>
    <t>selected</t>
  </si>
  <si>
    <t>selection</t>
  </si>
  <si>
    <t>City of London</t>
  </si>
  <si>
    <t>Greater London</t>
  </si>
  <si>
    <t>England</t>
  </si>
  <si>
    <t>Business Rate Supplement</t>
  </si>
  <si>
    <t>location london?</t>
  </si>
  <si>
    <t>Levying Authority</t>
  </si>
  <si>
    <t>index no.</t>
  </si>
  <si>
    <t>Multipliers</t>
  </si>
  <si>
    <t>Small</t>
  </si>
  <si>
    <t>Large</t>
  </si>
  <si>
    <t>Small Business Rate Relief</t>
  </si>
  <si>
    <t>100% Relief</t>
  </si>
  <si>
    <t>Value of E to give effect to SBRR</t>
  </si>
  <si>
    <t>E = 5,000,000</t>
  </si>
  <si>
    <t>E = 1</t>
  </si>
  <si>
    <t>SBRR does not apply</t>
  </si>
  <si>
    <t>tapered &lt;=</t>
  </si>
  <si>
    <t>Tapered Relief</t>
  </si>
  <si>
    <t>No Relief but Small Multiplier</t>
  </si>
  <si>
    <t>No Relief</t>
  </si>
  <si>
    <t>Transitional Arrangements</t>
  </si>
  <si>
    <t>Value of 'X'</t>
  </si>
  <si>
    <t>Winner Large</t>
  </si>
  <si>
    <t>Winner Medium</t>
  </si>
  <si>
    <t>Winner Small</t>
  </si>
  <si>
    <t>Loser Large</t>
  </si>
  <si>
    <t>Loser Medium</t>
  </si>
  <si>
    <t>Loser Small</t>
  </si>
  <si>
    <t>Value of Q</t>
  </si>
  <si>
    <t>Medium</t>
  </si>
  <si>
    <t>Thresholds</t>
  </si>
  <si>
    <t>Greater London &amp; City of London</t>
  </si>
  <si>
    <t>Appropriate Fraction</t>
  </si>
  <si>
    <t>infohomecell</t>
  </si>
  <si>
    <t>info sheet</t>
  </si>
  <si>
    <t>Location</t>
  </si>
  <si>
    <t>Year</t>
  </si>
  <si>
    <t>display</t>
  </si>
  <si>
    <t>Effective Date</t>
  </si>
  <si>
    <t>Base Liability (BL)</t>
  </si>
  <si>
    <t>TOTALS</t>
  </si>
  <si>
    <t/>
  </si>
  <si>
    <t>&lt; all ok</t>
  </si>
  <si>
    <t>&lt; location</t>
  </si>
  <si>
    <t>Saving</t>
  </si>
  <si>
    <t>BRS</t>
  </si>
  <si>
    <t>default location</t>
  </si>
  <si>
    <t>zoom</t>
  </si>
  <si>
    <t>basicaddresscell</t>
  </si>
  <si>
    <t>clewcode</t>
  </si>
  <si>
    <t>global</t>
  </si>
  <si>
    <t>brscode</t>
  </si>
  <si>
    <t>default</t>
  </si>
  <si>
    <t>defaultclewcode</t>
  </si>
  <si>
    <t>sol</t>
  </si>
  <si>
    <t>eol</t>
  </si>
  <si>
    <t>basicstartdate</t>
  </si>
  <si>
    <t>basicenddate</t>
  </si>
  <si>
    <t>basictickempty</t>
  </si>
  <si>
    <t>basictickcharity</t>
  </si>
  <si>
    <t>basicticksmall</t>
  </si>
  <si>
    <t>Calcurate 2023 v 1.1</t>
  </si>
  <si>
    <t>basictickretail</t>
  </si>
  <si>
    <t>basictickuserbl</t>
  </si>
  <si>
    <t>basicuserblvalue</t>
  </si>
  <si>
    <t>default selected</t>
  </si>
  <si>
    <t>possible sbrr</t>
  </si>
  <si>
    <t>date ok</t>
  </si>
  <si>
    <t>First Day of Liability is not within this Rating List</t>
  </si>
  <si>
    <t>Last Day of Liability is not within this Rating List</t>
  </si>
  <si>
    <t>Search</t>
  </si>
  <si>
    <t>Find RV, perc, vac at 31/3 cert date</t>
  </si>
  <si>
    <t>Find RV, perc, vac at 1/4 cert date</t>
  </si>
  <si>
    <t>possible retail</t>
  </si>
  <si>
    <t>all ok</t>
  </si>
  <si>
    <t>go</t>
  </si>
  <si>
    <t>this colour means error indicators, they should all be in list</t>
  </si>
  <si>
    <t xml:space="preserve"> Hypothetical?</t>
  </si>
  <si>
    <t>Calculation Number</t>
  </si>
  <si>
    <t>&lt; smr code here</t>
  </si>
  <si>
    <t>all OK</t>
  </si>
  <si>
    <t>go code</t>
  </si>
  <si>
    <t>calc number control</t>
  </si>
  <si>
    <t>&lt; sheet name here</t>
  </si>
  <si>
    <t>text to use</t>
  </si>
  <si>
    <t>text if true</t>
  </si>
  <si>
    <t>orig</t>
  </si>
  <si>
    <t>rev</t>
  </si>
  <si>
    <t>hypothetical tick ctrl</t>
  </si>
  <si>
    <t>&lt; multimerge</t>
  </si>
  <si>
    <t>pub</t>
  </si>
  <si>
    <t>Reports</t>
  </si>
  <si>
    <t>numeric</t>
  </si>
  <si>
    <t xml:space="preserve">S S B R | </t>
  </si>
  <si>
    <t>sup sb</t>
  </si>
  <si>
    <t>Start of List (sol)</t>
  </si>
  <si>
    <t xml:space="preserve">LDRR | </t>
  </si>
  <si>
    <t>ldrr</t>
  </si>
  <si>
    <t>End of List (eol)</t>
  </si>
  <si>
    <t xml:space="preserve">Charity | </t>
  </si>
  <si>
    <t>charty</t>
  </si>
  <si>
    <t>super &gt;</t>
  </si>
  <si>
    <t>e small &lt;=</t>
  </si>
  <si>
    <t>l small &lt;=</t>
  </si>
  <si>
    <t>c small &lt;=</t>
  </si>
  <si>
    <t xml:space="preserve">Pub </t>
  </si>
  <si>
    <t>RV less than</t>
  </si>
  <si>
    <t>mth</t>
  </si>
  <si>
    <t>final yr</t>
  </si>
  <si>
    <t>note for above</t>
  </si>
  <si>
    <t>the year for instalments will</t>
  </si>
  <si>
    <t>be the current year, but in March it will be the next year</t>
  </si>
  <si>
    <t>if it’s the final year, it will always be the current year</t>
  </si>
  <si>
    <t>Reliefs</t>
  </si>
  <si>
    <t>Show?</t>
  </si>
  <si>
    <t>To:</t>
  </si>
  <si>
    <t>File Ref</t>
  </si>
  <si>
    <t>Your Ref</t>
  </si>
  <si>
    <t>From:</t>
  </si>
  <si>
    <t>BL</t>
  </si>
  <si>
    <t>% Payable</t>
  </si>
  <si>
    <t>payable</t>
  </si>
  <si>
    <t>orig oc/ vac</t>
  </si>
  <si>
    <t>rev oc/vac</t>
  </si>
  <si>
    <t>phased / true</t>
  </si>
  <si>
    <t>prepared by:</t>
  </si>
  <si>
    <t>advanced_report_home</t>
  </si>
  <si>
    <t>closed</t>
  </si>
  <si>
    <t>Input Relief - name and amounts from form</t>
  </si>
  <si>
    <t>used on analysis &gt;</t>
  </si>
  <si>
    <t>Bottom Right</t>
  </si>
  <si>
    <t>Charge without this relief</t>
  </si>
  <si>
    <t>&lt;</t>
  </si>
  <si>
    <t xml:space="preserve">Retail | </t>
  </si>
  <si>
    <t>revised</t>
  </si>
  <si>
    <t xml:space="preserve">SBRR | </t>
  </si>
  <si>
    <t>sbrr</t>
  </si>
  <si>
    <t>show? &gt;</t>
  </si>
  <si>
    <t>error&gt;</t>
  </si>
  <si>
    <t>Actions - SBRR, TC's, Retail</t>
  </si>
  <si>
    <t>sbrr?</t>
  </si>
  <si>
    <t>error?</t>
  </si>
  <si>
    <t>?error</t>
  </si>
  <si>
    <t>Charity Tick Ctrl</t>
  </si>
  <si>
    <t>Retail Tick Ctrl</t>
  </si>
  <si>
    <t>Does Small Business Rate Relief Apply?</t>
  </si>
  <si>
    <t>msg shown</t>
  </si>
  <si>
    <t>sbr on any?</t>
  </si>
  <si>
    <t>sbr on none</t>
  </si>
  <si>
    <t>TC panel open or closed</t>
  </si>
  <si>
    <t>text if open</t>
  </si>
  <si>
    <t>text if closed</t>
  </si>
  <si>
    <t>Do any Transitional Certificates apply? - if not leave blank</t>
  </si>
  <si>
    <t>Clear and Close the TC Input Panel</t>
  </si>
  <si>
    <t>Open the Transitional Certificates Input Panel</t>
  </si>
  <si>
    <t>Original Cert (DOS or MCC)</t>
  </si>
  <si>
    <t>Revised Cert (DOS or MCC)</t>
  </si>
  <si>
    <t>&lt; text on buttons</t>
  </si>
  <si>
    <t>&lt; text selected by formula</t>
  </si>
  <si>
    <t>return cell</t>
  </si>
  <si>
    <t>Control (by macro) MCC cert</t>
  </si>
  <si>
    <t>dos cert</t>
  </si>
  <si>
    <t>mcc cert</t>
  </si>
  <si>
    <t>&lt; these are changed by macro</t>
  </si>
  <si>
    <t>errcheck certval with no date orig</t>
  </si>
  <si>
    <t>errcheck certval with no date rev</t>
  </si>
  <si>
    <t>one of the texts below will be used at D42</t>
  </si>
  <si>
    <t>one of the texts below will be used at L42</t>
  </si>
  <si>
    <t>check that dates are in sequence</t>
  </si>
  <si>
    <t>seq check on?</t>
  </si>
  <si>
    <t>&lt; this is changed by macro (mod17)</t>
  </si>
  <si>
    <t>original in seq (or seq check disabled)</t>
  </si>
  <si>
    <t>&lt; revised in seq (or seq check disabled)</t>
  </si>
  <si>
    <t>Advanced | RJS | Split</t>
  </si>
  <si>
    <t>&lt; adv trial</t>
  </si>
  <si>
    <t>Calcurate 2023 'Early Edition' - Not all features are available.</t>
  </si>
  <si>
    <t>Advanced Features not Available - (Basic Only)</t>
  </si>
  <si>
    <t>text used on button &gt;</t>
  </si>
  <si>
    <t>Enter the 'Original' Details Below</t>
  </si>
  <si>
    <t>Enter the 'Revised' Details Below</t>
  </si>
  <si>
    <t>From Date</t>
  </si>
  <si>
    <t>% payable</t>
  </si>
  <si>
    <t>vacant</t>
  </si>
  <si>
    <t>vacant       Certify</t>
  </si>
  <si>
    <t>thrsh</t>
  </si>
  <si>
    <t>vac &amp; under</t>
  </si>
  <si>
    <t>any tru?</t>
  </si>
  <si>
    <t>check for cert eff date in date section</t>
  </si>
  <si>
    <t>ctrl cells for tick boxes</t>
  </si>
  <si>
    <t>orig dates are in sequence</t>
  </si>
  <si>
    <t>r seq?</t>
  </si>
  <si>
    <t>orig date</t>
  </si>
  <si>
    <t>rev date</t>
  </si>
  <si>
    <t>orig cert date</t>
  </si>
  <si>
    <t>rev cert date</t>
  </si>
  <si>
    <t>cert ticked</t>
  </si>
  <si>
    <t>&lt;shade line because of sbrr date?</t>
  </si>
  <si>
    <t>Rate Year</t>
  </si>
  <si>
    <t>phased/true</t>
  </si>
  <si>
    <t>Original Liability</t>
  </si>
  <si>
    <t>Revised Liability</t>
  </si>
  <si>
    <t>true/false</t>
  </si>
  <si>
    <t>returnrow</t>
  </si>
  <si>
    <t>returncol</t>
  </si>
  <si>
    <t>increase?</t>
  </si>
  <si>
    <t>plrevisedrvonadvanced</t>
  </si>
  <si>
    <t>advancedfirstdate</t>
  </si>
  <si>
    <t>advancedtopperc</t>
  </si>
  <si>
    <t>advancedtopvac</t>
  </si>
  <si>
    <t>advancedtoppercrevised</t>
  </si>
  <si>
    <t>advancedtopvacrevised</t>
  </si>
  <si>
    <t>http://www.calcurate.co.uk/contact/</t>
  </si>
  <si>
    <t>http://www.legislation.gov.uk/ukpga/1988/41/contents</t>
  </si>
  <si>
    <t>This is the MACROMAP - do NOT insert or delete any rows or columns or sort into a different order</t>
  </si>
  <si>
    <t>advancedcalcnumber</t>
  </si>
  <si>
    <t>intermittent planner 2023.xlsm</t>
  </si>
  <si>
    <t>advancedhypo</t>
  </si>
  <si>
    <t>Help SBRR</t>
  </si>
  <si>
    <t>Small Business Rate Relief (SBRR)</t>
  </si>
  <si>
    <t>When assessing the number of properties occupied, additional properties that are occupied</t>
  </si>
  <si>
    <t>liab in yr</t>
  </si>
  <si>
    <t>nag on buttons?&gt;</t>
  </si>
  <si>
    <t>hidden</t>
  </si>
  <si>
    <t>This shows the figures from the "Advanced" sheet.</t>
  </si>
  <si>
    <t>Total Saving</t>
  </si>
  <si>
    <t>basic only?</t>
  </si>
  <si>
    <t>y</t>
  </si>
  <si>
    <t>AND the sum total of ALL occupied RV's (main and additional) is below 20,000 (28,000 in London)</t>
  </si>
  <si>
    <t>header&gt;</t>
  </si>
  <si>
    <t>msg</t>
  </si>
  <si>
    <t>using the SMALL multiplier.  SBRR does not apply to EMPTY properties or Charities.</t>
  </si>
  <si>
    <t>DISPLAY</t>
  </si>
  <si>
    <t>show savings</t>
  </si>
  <si>
    <t>To qualify for SBRR, the ratepayer must occupy only ONE property in England,</t>
  </si>
  <si>
    <t>advanced_sbrr_orig1</t>
  </si>
  <si>
    <t>advanced_sbrr_orig2</t>
  </si>
  <si>
    <t>Year 5</t>
  </si>
  <si>
    <t>advanced_sbrr_orig3</t>
  </si>
  <si>
    <t>advanced_sbrr_orig4</t>
  </si>
  <si>
    <t>advanced_sbrr_revised1</t>
  </si>
  <si>
    <t>s44home</t>
  </si>
  <si>
    <t>advanced_sbrr_revised2</t>
  </si>
  <si>
    <t>advanced_sbrr_revised3</t>
  </si>
  <si>
    <t>advanced_sbrr_revised4</t>
  </si>
  <si>
    <t>sbrr panel open or closed (macro)</t>
  </si>
  <si>
    <t>sbrr_panel_open_or_closed</t>
  </si>
  <si>
    <t>sbrrtoprow</t>
  </si>
  <si>
    <t>sbrrbottomrow</t>
  </si>
  <si>
    <t>tctoprow</t>
  </si>
  <si>
    <t>tcbottonrow</t>
  </si>
  <si>
    <t>solcertdateorig</t>
  </si>
  <si>
    <t>solcertvalorig</t>
  </si>
  <si>
    <t>plcertvalorig</t>
  </si>
  <si>
    <t>plcertdateorig</t>
  </si>
  <si>
    <t>solcertvalrev</t>
  </si>
  <si>
    <t>solcertdaterev</t>
  </si>
  <si>
    <t>plcertvalrev</t>
  </si>
  <si>
    <t>plcertdaterev</t>
  </si>
  <si>
    <t>origcertickstop</t>
  </si>
  <si>
    <t>origcerticksbottom</t>
  </si>
  <si>
    <t>revcertickstop</t>
  </si>
  <si>
    <t>revcerticksbottom</t>
  </si>
  <si>
    <t>macro_truefalse_1</t>
  </si>
  <si>
    <t>macro_truefalse_2</t>
  </si>
  <si>
    <t>macro_truefalse_3</t>
  </si>
  <si>
    <t>macro_truefalse_4</t>
  </si>
  <si>
    <t>calcurate</t>
  </si>
  <si>
    <t>Relief4</t>
  </si>
  <si>
    <t>Relief8 - Manual Input</t>
  </si>
  <si>
    <t>&lt;input relief entered</t>
  </si>
  <si>
    <t>Greater London Billing Authorities</t>
  </si>
  <si>
    <t>tc_panel_open_or_closed</t>
  </si>
  <si>
    <t>tc_panel_top</t>
  </si>
  <si>
    <t>tc_panel_bottom</t>
  </si>
  <si>
    <t>tc_button_text</t>
  </si>
  <si>
    <t>user bl ticked orig/revised</t>
  </si>
  <si>
    <t>rrvadvanced</t>
  </si>
  <si>
    <t>text_yr1</t>
  </si>
  <si>
    <t>Basic TC</t>
  </si>
  <si>
    <t>bl entered t or f &gt;</t>
  </si>
  <si>
    <t>phasing check 1</t>
  </si>
  <si>
    <t>phasing check 2</t>
  </si>
  <si>
    <t>phasing check 3</t>
  </si>
  <si>
    <t>Sorry, you can't use a dot / full stop ( . ) in the folder name.</t>
  </si>
  <si>
    <t>nl &gt; bl and tl</t>
  </si>
  <si>
    <t>nl &lt; bl and tl</t>
  </si>
  <si>
    <t>text_yr2</t>
  </si>
  <si>
    <t>text_yr3</t>
  </si>
  <si>
    <t>text_yr4</t>
  </si>
  <si>
    <t>text_yr5</t>
  </si>
  <si>
    <t>form instalments</t>
  </si>
  <si>
    <t>Instalments</t>
  </si>
  <si>
    <t>advanced_retail_ticko</t>
  </si>
  <si>
    <t>advanced_retail_tickr</t>
  </si>
  <si>
    <t>advanced_pub_ticko</t>
  </si>
  <si>
    <t>advanced_pub_tickr</t>
  </si>
  <si>
    <t>Please Select or Reset the BRS / Crossrail</t>
  </si>
  <si>
    <t>The Date that the Certificate has Effect, must also be in the Dates Section</t>
  </si>
  <si>
    <t>A Certified Value has been entered but no Date (Row 42 Col G)</t>
  </si>
  <si>
    <t>A Certified Value has been entered but no Date (Row 42 Col K)</t>
  </si>
  <si>
    <t>Error in Top Section: BRS is Greater London but Location is England</t>
  </si>
  <si>
    <t>Charity and SSBR Can't both apply!</t>
  </si>
  <si>
    <t>R x J/S</t>
  </si>
  <si>
    <t>nl or tl (annual charge by phasing calc)</t>
  </si>
  <si>
    <t>prv &gt; 0 (set as true)</t>
  </si>
  <si>
    <t>ticked no phasing (set as false)</t>
  </si>
  <si>
    <t>brs?</t>
  </si>
  <si>
    <t>Calcurate 2023 v 2.0</t>
  </si>
  <si>
    <t>Charity and 'Supporting Small Business' both selected (Revised)</t>
  </si>
  <si>
    <t>total errors</t>
  </si>
  <si>
    <t>&lt; All OK?</t>
  </si>
  <si>
    <t>original</t>
  </si>
  <si>
    <t>sbrr yr 1?</t>
  </si>
  <si>
    <t>sbrr yr 2?</t>
  </si>
  <si>
    <t>empty thres</t>
  </si>
  <si>
    <t>sbrr yr 3?</t>
  </si>
  <si>
    <t>sbrr yr 4?</t>
  </si>
  <si>
    <t>val</t>
  </si>
  <si>
    <t>target col</t>
  </si>
  <si>
    <t>hypo</t>
  </si>
  <si>
    <t>calcno</t>
  </si>
  <si>
    <t>perco</t>
  </si>
  <si>
    <t>percr</t>
  </si>
  <si>
    <t>Calcurate 2023 v 3.3a</t>
  </si>
  <si>
    <t>minor update - copy - chrs dot to dash</t>
  </si>
  <si>
    <t>vaco</t>
  </si>
  <si>
    <t>vacr</t>
  </si>
  <si>
    <t>ldrr flago</t>
  </si>
  <si>
    <t>ldrr flagr</t>
  </si>
  <si>
    <t>sbpanopen</t>
  </si>
  <si>
    <t>tcpanel</t>
  </si>
  <si>
    <t>sbrr1</t>
  </si>
  <si>
    <t>sbrr2</t>
  </si>
  <si>
    <t>sbrr3</t>
  </si>
  <si>
    <t>sbrr4</t>
  </si>
  <si>
    <t>tc1</t>
  </si>
  <si>
    <t>tcdat</t>
  </si>
  <si>
    <t>tc2</t>
  </si>
  <si>
    <t>tcp1</t>
  </si>
  <si>
    <t>tcpdat</t>
  </si>
  <si>
    <t>tcp2</t>
  </si>
  <si>
    <t>ticko1</t>
  </si>
  <si>
    <t>ticko2</t>
  </si>
  <si>
    <t>ticko3</t>
  </si>
  <si>
    <t>ticko4</t>
  </si>
  <si>
    <t>ticko5</t>
  </si>
  <si>
    <t>ticko6</t>
  </si>
  <si>
    <t>ticko7</t>
  </si>
  <si>
    <t>ticko8</t>
  </si>
  <si>
    <t>ticko9</t>
  </si>
  <si>
    <t>ticko10</t>
  </si>
  <si>
    <t>ticko11</t>
  </si>
  <si>
    <t>tickr1</t>
  </si>
  <si>
    <t>tickr2</t>
  </si>
  <si>
    <t>tickr3</t>
  </si>
  <si>
    <t>tickr4</t>
  </si>
  <si>
    <t>tickr5</t>
  </si>
  <si>
    <t>tickr6</t>
  </si>
  <si>
    <t>tickr7</t>
  </si>
  <si>
    <t>tickr8</t>
  </si>
  <si>
    <t>tickr9</t>
  </si>
  <si>
    <t>tickr10</t>
  </si>
  <si>
    <t>tickr11</t>
  </si>
  <si>
    <t>date3</t>
  </si>
  <si>
    <t>date4</t>
  </si>
  <si>
    <t>date5</t>
  </si>
  <si>
    <t>date6</t>
  </si>
  <si>
    <t>date7</t>
  </si>
  <si>
    <t>date8</t>
  </si>
  <si>
    <t>date9</t>
  </si>
  <si>
    <t>date10</t>
  </si>
  <si>
    <t>date11</t>
  </si>
  <si>
    <t>rv1</t>
  </si>
  <si>
    <t>rv2</t>
  </si>
  <si>
    <t>rv3</t>
  </si>
  <si>
    <t>rv4</t>
  </si>
  <si>
    <t>rv5</t>
  </si>
  <si>
    <t>rv6</t>
  </si>
  <si>
    <t>rv7</t>
  </si>
  <si>
    <t>rv8</t>
  </si>
  <si>
    <t>rv9</t>
  </si>
  <si>
    <t>rv10</t>
  </si>
  <si>
    <t>rv11</t>
  </si>
  <si>
    <t>perc1</t>
  </si>
  <si>
    <t>perc2</t>
  </si>
  <si>
    <t>perc3</t>
  </si>
  <si>
    <t>perc4</t>
  </si>
  <si>
    <t>perc5</t>
  </si>
  <si>
    <t>perc6</t>
  </si>
  <si>
    <t>perc7</t>
  </si>
  <si>
    <t>perc8</t>
  </si>
  <si>
    <t>perc9</t>
  </si>
  <si>
    <t>perc10</t>
  </si>
  <si>
    <t>perc11</t>
  </si>
  <si>
    <t>vac1</t>
  </si>
  <si>
    <t>vac2</t>
  </si>
  <si>
    <t>vac3</t>
  </si>
  <si>
    <t>vac4</t>
  </si>
  <si>
    <t>vac5</t>
  </si>
  <si>
    <t>vac6</t>
  </si>
  <si>
    <t>vac7</t>
  </si>
  <si>
    <t>vac8</t>
  </si>
  <si>
    <t>vac9</t>
  </si>
  <si>
    <t>vac10</t>
  </si>
  <si>
    <t>vac11</t>
  </si>
  <si>
    <t>anyorder</t>
  </si>
  <si>
    <t>local1</t>
  </si>
  <si>
    <t>local2</t>
  </si>
  <si>
    <t>local3</t>
  </si>
  <si>
    <t>local4</t>
  </si>
  <si>
    <t>Calcurate 2023 v 3.0</t>
  </si>
  <si>
    <t>local5</t>
  </si>
  <si>
    <t>local6</t>
  </si>
  <si>
    <t>local7</t>
  </si>
  <si>
    <t>local8</t>
  </si>
  <si>
    <t>client</t>
  </si>
  <si>
    <t>ref</t>
  </si>
  <si>
    <t>add</t>
  </si>
  <si>
    <t>town</t>
  </si>
  <si>
    <t>pcode</t>
  </si>
  <si>
    <t>pack</t>
  </si>
  <si>
    <t>sh</t>
  </si>
  <si>
    <t>&lt; show nag message if true</t>
  </si>
  <si>
    <t>start of list</t>
  </si>
  <si>
    <t>end of list</t>
  </si>
  <si>
    <t>&lt;     &gt;</t>
  </si>
  <si>
    <t>&lt; text</t>
  </si>
  <si>
    <t>prv</t>
  </si>
  <si>
    <t>orv</t>
  </si>
  <si>
    <t>rrv</t>
  </si>
  <si>
    <t>ticks ok</t>
  </si>
  <si>
    <t>Please Enter the RV's Where Indicated Above</t>
  </si>
  <si>
    <t>Barking and Dagenham London Borough Council</t>
  </si>
  <si>
    <t>Barnet London Borough Council</t>
  </si>
  <si>
    <t>Bexley London Borough Council</t>
  </si>
  <si>
    <t>Brent London Borough Council</t>
  </si>
  <si>
    <t>Bromley London Borough Council</t>
  </si>
  <si>
    <t>Camden London Borough Council</t>
  </si>
  <si>
    <t>Croydon London Borough Council</t>
  </si>
  <si>
    <t>Ealing London Borough Council</t>
  </si>
  <si>
    <t>Enfield London Borough Council</t>
  </si>
  <si>
    <t>Greenwich London Borough Council</t>
  </si>
  <si>
    <t>Hackney London Borough Council</t>
  </si>
  <si>
    <t>Hammersmith and Fulham London Borough Council</t>
  </si>
  <si>
    <t>Haringey London Borough Council</t>
  </si>
  <si>
    <t>Harrow London Borough Council</t>
  </si>
  <si>
    <t>Havering London Borough Council</t>
  </si>
  <si>
    <t>Hillingdon London Borough Council</t>
  </si>
  <si>
    <t>Hounslow London Borough Council</t>
  </si>
  <si>
    <t>Islington London Borough Council</t>
  </si>
  <si>
    <t>Kensington and Chelsea Royal Borough Council</t>
  </si>
  <si>
    <t>Lambeth London Borough Council</t>
  </si>
  <si>
    <t>Lewisham London Borough Council</t>
  </si>
  <si>
    <t>Merton London Borough Council</t>
  </si>
  <si>
    <t>Newham London Borough Council</t>
  </si>
  <si>
    <t>Redbridge London Borough Council</t>
  </si>
  <si>
    <t>Richmond upon Thames London Borough Council</t>
  </si>
  <si>
    <t>Royal Borough of Kingston upon Thames</t>
  </si>
  <si>
    <t>Southwark London Borough Council</t>
  </si>
  <si>
    <t>Sutton London Borough Council</t>
  </si>
  <si>
    <t>Tower Hamlets London Borough Council</t>
  </si>
  <si>
    <t>Waltham Forest London Borough</t>
  </si>
  <si>
    <t>Wandsworth Borough Council</t>
  </si>
  <si>
    <t>Westminster City Council</t>
  </si>
  <si>
    <t>What is the Calcurate Memory Bank?</t>
  </si>
  <si>
    <t>Calcurate Memory Bank is a separate spreadsheet which allows you to store the</t>
  </si>
  <si>
    <t>tc?</t>
  </si>
  <si>
    <t>text&gt;</t>
  </si>
  <si>
    <t xml:space="preserve">The Base Liability is the Prior List RV ( </t>
  </si>
  <si>
    <t xml:space="preserve">The Base Liability is the TC Value ( </t>
  </si>
  <si>
    <t>Calcurate 2023 v 1.0a</t>
  </si>
  <si>
    <t>sys only - mod txt ta r, mod go to p l</t>
  </si>
  <si>
    <t>inputs and selections from a calculation so that they can be recalled at a later date</t>
  </si>
  <si>
    <t>You can use the 'default' Memory Bank or create several 'custom' Memory Banks</t>
  </si>
  <si>
    <t>for specific clients or projects.  For more details go to the Calcurate website</t>
  </si>
  <si>
    <t>s67 (dates)</t>
  </si>
  <si>
    <t>http://www.legislation.gov.uk/ukpga/1988/41/section/67</t>
  </si>
  <si>
    <t>Prepared by:</t>
  </si>
  <si>
    <t>Reference</t>
  </si>
  <si>
    <t>For:</t>
  </si>
  <si>
    <t>Date</t>
  </si>
  <si>
    <t>Transition Basis</t>
  </si>
  <si>
    <t>Calcurate 2023 v 1.2</t>
  </si>
  <si>
    <t>Go to the VOA website</t>
  </si>
  <si>
    <t>sys</t>
  </si>
  <si>
    <t>04</t>
  </si>
  <si>
    <t>eff date</t>
  </si>
  <si>
    <t>eff</t>
  </si>
  <si>
    <t>eff this yr</t>
  </si>
  <si>
    <t>rep this yr</t>
  </si>
  <si>
    <t>vac this yr</t>
  </si>
  <si>
    <t>in int period</t>
  </si>
  <si>
    <t>and from</t>
  </si>
  <si>
    <t>and to</t>
  </si>
  <si>
    <t>first</t>
  </si>
  <si>
    <t>second</t>
  </si>
  <si>
    <t>end</t>
  </si>
  <si>
    <t>05</t>
  </si>
  <si>
    <t>rep date</t>
  </si>
  <si>
    <t>06</t>
  </si>
  <si>
    <t>op</t>
  </si>
  <si>
    <t>07</t>
  </si>
  <si>
    <t>File Ref:</t>
  </si>
  <si>
    <t>08</t>
  </si>
  <si>
    <t>09</t>
  </si>
  <si>
    <t>Date:</t>
  </si>
  <si>
    <t>10</t>
  </si>
  <si>
    <t>11</t>
  </si>
  <si>
    <t>12</t>
  </si>
  <si>
    <t>01</t>
  </si>
  <si>
    <t>02</t>
  </si>
  <si>
    <t>repyear</t>
  </si>
  <si>
    <t>total</t>
  </si>
  <si>
    <t>03</t>
  </si>
  <si>
    <t>Effective Date:</t>
  </si>
  <si>
    <t>repay date</t>
  </si>
  <si>
    <t>basic op</t>
  </si>
  <si>
    <t>advanced op</t>
  </si>
  <si>
    <t>split</t>
  </si>
  <si>
    <t>split op</t>
  </si>
  <si>
    <t>merge</t>
  </si>
  <si>
    <t>merge op</t>
  </si>
  <si>
    <t>rjs op</t>
  </si>
  <si>
    <t>text date</t>
  </si>
  <si>
    <t>Rate of Tax:</t>
  </si>
  <si>
    <t>text mth</t>
  </si>
  <si>
    <t>Has Liability Ceased ?:</t>
  </si>
  <si>
    <t>anliab</t>
  </si>
  <si>
    <t>1st</t>
  </si>
  <si>
    <t>Interest is Payable?</t>
  </si>
  <si>
    <t>Overpayment</t>
  </si>
  <si>
    <t>Gross</t>
  </si>
  <si>
    <t xml:space="preserve">Tax </t>
  </si>
  <si>
    <t>Net</t>
  </si>
  <si>
    <t>subs</t>
  </si>
  <si>
    <t>ok?</t>
  </si>
  <si>
    <t>op after rep</t>
  </si>
  <si>
    <t>op after Ld</t>
  </si>
  <si>
    <t>op prior to ed</t>
  </si>
  <si>
    <t>basic o/p</t>
  </si>
  <si>
    <t>Interest</t>
  </si>
  <si>
    <t>Repayment Date</t>
  </si>
  <si>
    <t>Rateable Value (RV)</t>
  </si>
  <si>
    <t>effective date</t>
  </si>
  <si>
    <t>Liability and Saving</t>
  </si>
  <si>
    <t>Base Liability</t>
  </si>
  <si>
    <t>Original</t>
  </si>
  <si>
    <t>Revised</t>
  </si>
  <si>
    <t>inc?</t>
  </si>
  <si>
    <t>TOTAL</t>
  </si>
  <si>
    <t>prepared by</t>
  </si>
  <si>
    <t>basicoutputhome</t>
  </si>
  <si>
    <t>basic output</t>
  </si>
  <si>
    <t>System use only</t>
  </si>
  <si>
    <t>Please Wait</t>
  </si>
  <si>
    <t>Please Enter the Base Liability or Untick the Box (row 9)</t>
  </si>
  <si>
    <t>basicsbrrtick</t>
  </si>
  <si>
    <t>basicsbrqualifier</t>
  </si>
  <si>
    <t>&lt;brs selection error</t>
  </si>
  <si>
    <t>basicretailtick</t>
  </si>
  <si>
    <t>basicretailqualifier</t>
  </si>
  <si>
    <t>the RELIEF amount is the liability divided by this figure</t>
  </si>
  <si>
    <t>yr2</t>
  </si>
  <si>
    <t>yr3</t>
  </si>
  <si>
    <t>yr4</t>
  </si>
  <si>
    <t>yr5</t>
  </si>
  <si>
    <t>discretionary - yes</t>
  </si>
  <si>
    <t>yr6</t>
  </si>
  <si>
    <t>memory data</t>
  </si>
  <si>
    <t>field</t>
  </si>
  <si>
    <t>memorybank column</t>
  </si>
  <si>
    <t>wb</t>
  </si>
  <si>
    <t>brs</t>
  </si>
  <si>
    <t>usr bl value</t>
  </si>
  <si>
    <t>date1</t>
  </si>
  <si>
    <t>date2</t>
  </si>
  <si>
    <t>user bl tick</t>
  </si>
  <si>
    <t>calc selector&gt;</t>
  </si>
  <si>
    <t>BA_CODE</t>
  </si>
  <si>
    <t>shortname</t>
  </si>
  <si>
    <t>clews</t>
  </si>
  <si>
    <t>3805</t>
  </si>
  <si>
    <t>Adur District Council</t>
  </si>
  <si>
    <t>Adur</t>
  </si>
  <si>
    <t>0905</t>
  </si>
  <si>
    <t>Allerdale Borough Council</t>
  </si>
  <si>
    <t>Allerdale</t>
  </si>
  <si>
    <t>system use only</t>
  </si>
  <si>
    <t>1005</t>
  </si>
  <si>
    <t>Amber Valley Borough Council</t>
  </si>
  <si>
    <t>Amber Valley</t>
  </si>
  <si>
    <t>3810</t>
  </si>
  <si>
    <t>Arun District Council</t>
  </si>
  <si>
    <t>Arun</t>
  </si>
  <si>
    <t>3005</t>
  </si>
  <si>
    <t>Ashfield District Council</t>
  </si>
  <si>
    <t>Ashfield</t>
  </si>
  <si>
    <t>Calcurate 2023 v 2.2</t>
  </si>
  <si>
    <t>2205</t>
  </si>
  <si>
    <t>Ashford Borough Council</t>
  </si>
  <si>
    <t>Ashford</t>
  </si>
  <si>
    <t>0405</t>
  </si>
  <si>
    <t>Aylesbury Vale District Council</t>
  </si>
  <si>
    <t>Aylesbury Vale</t>
  </si>
  <si>
    <t>3505</t>
  </si>
  <si>
    <t>Babergh District Council</t>
  </si>
  <si>
    <t>Babergh</t>
  </si>
  <si>
    <t>plistrv</t>
  </si>
  <si>
    <t>4405</t>
  </si>
  <si>
    <t>Barnsley</t>
  </si>
  <si>
    <t>0910</t>
  </si>
  <si>
    <t>Barrow Borough Council</t>
  </si>
  <si>
    <t>Barrow</t>
  </si>
  <si>
    <t>1505</t>
  </si>
  <si>
    <t>Basildon District Council</t>
  </si>
  <si>
    <t>Basildon</t>
  </si>
  <si>
    <t>1705</t>
  </si>
  <si>
    <t>Basingstoke &amp; Deane Bc</t>
  </si>
  <si>
    <t>Basingstoke &amp; Deane</t>
  </si>
  <si>
    <t>&lt; this is the number of RV's</t>
  </si>
  <si>
    <t>0114</t>
  </si>
  <si>
    <t>Bath &amp; N. E. Somerset</t>
  </si>
  <si>
    <t>Bath</t>
  </si>
  <si>
    <t>0235</t>
  </si>
  <si>
    <t>Bedford Borough Council</t>
  </si>
  <si>
    <t>Bedford</t>
  </si>
  <si>
    <t>1010</t>
  </si>
  <si>
    <t>Bolsover District Council</t>
  </si>
  <si>
    <t>Bolsover</t>
  </si>
  <si>
    <t>1250</t>
  </si>
  <si>
    <t>Bournemouth  Borough Council</t>
  </si>
  <si>
    <t>Bournemouth</t>
  </si>
  <si>
    <t>0335</t>
  </si>
  <si>
    <t>Bracknell Forest Borough Council</t>
  </si>
  <si>
    <t>Bracknell Forest</t>
  </si>
  <si>
    <t>1510</t>
  </si>
  <si>
    <t>Braintree District Council</t>
  </si>
  <si>
    <t>Braintree</t>
  </si>
  <si>
    <t>1515</t>
  </si>
  <si>
    <t>Brentwood Borough Council</t>
  </si>
  <si>
    <t>Brentwood</t>
  </si>
  <si>
    <t>1445</t>
  </si>
  <si>
    <t>Brighton &amp; Hove Council</t>
  </si>
  <si>
    <t>Brighton</t>
  </si>
  <si>
    <t>0116</t>
  </si>
  <si>
    <t>Bristol City Council</t>
  </si>
  <si>
    <t>Bristol</t>
  </si>
  <si>
    <t>1805</t>
  </si>
  <si>
    <t>Bromsgrove District Council</t>
  </si>
  <si>
    <t>Bromsgrove</t>
  </si>
  <si>
    <t>0505</t>
  </si>
  <si>
    <t>Cambridge City Council</t>
  </si>
  <si>
    <t>Cambridge</t>
  </si>
  <si>
    <t>0915</t>
  </si>
  <si>
    <t>Carlisle City Council</t>
  </si>
  <si>
    <t>Carlisle</t>
  </si>
  <si>
    <t>1520</t>
  </si>
  <si>
    <t>Castle Point Borough Council</t>
  </si>
  <si>
    <t>Castle Point</t>
  </si>
  <si>
    <t>0240</t>
  </si>
  <si>
    <t>Central Bedfordshire Council</t>
  </si>
  <si>
    <t>Central Bedfordshire</t>
  </si>
  <si>
    <t>rvs=1</t>
  </si>
  <si>
    <t>1525</t>
  </si>
  <si>
    <t>Chelmsford Borough Council</t>
  </si>
  <si>
    <t>Chelmsford</t>
  </si>
  <si>
    <t>soy&gt;0</t>
  </si>
  <si>
    <t>1605</t>
  </si>
  <si>
    <t>Cheltenham Borough Council</t>
  </si>
  <si>
    <t>Cheltenham</t>
  </si>
  <si>
    <t>rvs=2 but both 1/4/17</t>
  </si>
  <si>
    <t>0660</t>
  </si>
  <si>
    <t>Cheshire East Council</t>
  </si>
  <si>
    <t>Cheshire East</t>
  </si>
  <si>
    <t>0665</t>
  </si>
  <si>
    <t>Cheshire West And Chester Council</t>
  </si>
  <si>
    <t>Cheshire West And Chester</t>
  </si>
  <si>
    <t>basic?</t>
  </si>
  <si>
    <t>1015</t>
  </si>
  <si>
    <t>Chesterfield Borough Council</t>
  </si>
  <si>
    <t>Chesterfield</t>
  </si>
  <si>
    <t>0415</t>
  </si>
  <si>
    <t>Chiltern District Council</t>
  </si>
  <si>
    <t>Chiltern</t>
  </si>
  <si>
    <t>1210</t>
  </si>
  <si>
    <t>Christchurch Borough Council</t>
  </si>
  <si>
    <t>Christchurch</t>
  </si>
  <si>
    <t>1530</t>
  </si>
  <si>
    <t>Colchester Borough Council</t>
  </si>
  <si>
    <t>Colchester</t>
  </si>
  <si>
    <t>0920</t>
  </si>
  <si>
    <t>Copeland Borough Council</t>
  </si>
  <si>
    <t>Copeland</t>
  </si>
  <si>
    <t>0840</t>
  </si>
  <si>
    <t>Cornwall County Council</t>
  </si>
  <si>
    <t>Cornwall</t>
  </si>
  <si>
    <t>1610</t>
  </si>
  <si>
    <t>Cotswold District Council</t>
  </si>
  <si>
    <t>Cotswold</t>
  </si>
  <si>
    <t>1350</t>
  </si>
  <si>
    <t>Darlington Borough Council</t>
  </si>
  <si>
    <t>Darlington</t>
  </si>
  <si>
    <t>1055</t>
  </si>
  <si>
    <t>Derby</t>
  </si>
  <si>
    <t>1045</t>
  </si>
  <si>
    <t>Derbyshire Dales</t>
  </si>
  <si>
    <t>1355</t>
  </si>
  <si>
    <t>Durham County Council</t>
  </si>
  <si>
    <t>Durham County</t>
  </si>
  <si>
    <t>0510</t>
  </si>
  <si>
    <t>East Cambridgeshire</t>
  </si>
  <si>
    <t>1105</t>
  </si>
  <si>
    <t>East Devon District Council</t>
  </si>
  <si>
    <t>East Devon</t>
  </si>
  <si>
    <t>1240</t>
  </si>
  <si>
    <t>East Dorset District Council</t>
  </si>
  <si>
    <t>East Dorset</t>
  </si>
  <si>
    <t>1710</t>
  </si>
  <si>
    <t>East Hampshire District Council</t>
  </si>
  <si>
    <t>East Hampshire</t>
  </si>
  <si>
    <t>1410</t>
  </si>
  <si>
    <t>Eastbourne Borough Council</t>
  </si>
  <si>
    <t>Eastbourne</t>
  </si>
  <si>
    <t>1715</t>
  </si>
  <si>
    <t>Eastleigh Borough Council</t>
  </si>
  <si>
    <t>Eastleigh</t>
  </si>
  <si>
    <t>0925</t>
  </si>
  <si>
    <t>Eden District Council</t>
  </si>
  <si>
    <t>Eden</t>
  </si>
  <si>
    <t>1535</t>
  </si>
  <si>
    <t>Epping Forest District Council</t>
  </si>
  <si>
    <t>Epping Forest</t>
  </si>
  <si>
    <t>1025</t>
  </si>
  <si>
    <t>Erewash Borough Council</t>
  </si>
  <si>
    <t>Erewash</t>
  </si>
  <si>
    <t>1110</t>
  </si>
  <si>
    <t>Exeter City Council</t>
  </si>
  <si>
    <t>Exeter</t>
  </si>
  <si>
    <t>1720</t>
  </si>
  <si>
    <t>Fareham Borough Council</t>
  </si>
  <si>
    <t>Fareham</t>
  </si>
  <si>
    <t>0515</t>
  </si>
  <si>
    <t>Fenland District Council</t>
  </si>
  <si>
    <t>Fenland</t>
  </si>
  <si>
    <t>1615</t>
  </si>
  <si>
    <t>Forest Of Dean District Council</t>
  </si>
  <si>
    <t>Forest Of Dean</t>
  </si>
  <si>
    <t>1620</t>
  </si>
  <si>
    <t>Gloucester City Council</t>
  </si>
  <si>
    <t>rcalc</t>
  </si>
  <si>
    <t>Gloucester</t>
  </si>
  <si>
    <t>1725</t>
  </si>
  <si>
    <t>Gosport Borough Council</t>
  </si>
  <si>
    <t>Gosport</t>
  </si>
  <si>
    <t>0650</t>
  </si>
  <si>
    <t>Halton Borough Council</t>
  </si>
  <si>
    <t>Halton</t>
  </si>
  <si>
    <t>1730</t>
  </si>
  <si>
    <t>Hart District Council</t>
  </si>
  <si>
    <t>Hart</t>
  </si>
  <si>
    <t>0724</t>
  </si>
  <si>
    <t>Hartlepool Bc</t>
  </si>
  <si>
    <t>Hartlepool</t>
  </si>
  <si>
    <t>1415</t>
  </si>
  <si>
    <t>Hastings Borough Council</t>
  </si>
  <si>
    <t>mergehome</t>
  </si>
  <si>
    <t>Hastings</t>
  </si>
  <si>
    <t>1735</t>
  </si>
  <si>
    <t>Havant Borough Council</t>
  </si>
  <si>
    <t>Havant</t>
  </si>
  <si>
    <t>1030</t>
  </si>
  <si>
    <t>High Peak Borough Council</t>
  </si>
  <si>
    <t>High Peak</t>
  </si>
  <si>
    <t>0520</t>
  </si>
  <si>
    <t>Huntingdonshire District Council</t>
  </si>
  <si>
    <t>Huntingdonshire</t>
  </si>
  <si>
    <t>0835</t>
  </si>
  <si>
    <t>Isles Of Scilly</t>
  </si>
  <si>
    <t>1425</t>
  </si>
  <si>
    <t>Lewes District Council</t>
  </si>
  <si>
    <t>Lewes</t>
  </si>
  <si>
    <t>0230</t>
  </si>
  <si>
    <t>Luton Borough Council</t>
  </si>
  <si>
    <t>Luton</t>
  </si>
  <si>
    <t>1545</t>
  </si>
  <si>
    <t>Maldon District Council</t>
  </si>
  <si>
    <t>Maldon</t>
  </si>
  <si>
    <t>1135</t>
  </si>
  <si>
    <t>Mid Devon District Council</t>
  </si>
  <si>
    <t>Mid Devon</t>
  </si>
  <si>
    <t>0734</t>
  </si>
  <si>
    <t>Middlesborough Borough Council</t>
  </si>
  <si>
    <t>Middlesbrough</t>
  </si>
  <si>
    <t>0435</t>
  </si>
  <si>
    <t>Milton Keynes Council</t>
  </si>
  <si>
    <t>Milton Keynes</t>
  </si>
  <si>
    <t>1740</t>
  </si>
  <si>
    <t>New Forest District Council</t>
  </si>
  <si>
    <t>New Forest</t>
  </si>
  <si>
    <t>1115</t>
  </si>
  <si>
    <t>North Devon District Council</t>
  </si>
  <si>
    <t>North Devon</t>
  </si>
  <si>
    <t>1215</t>
  </si>
  <si>
    <t>North Dorset District Council</t>
  </si>
  <si>
    <t>North Dorset</t>
  </si>
  <si>
    <t>1035</t>
  </si>
  <si>
    <t>North East Derbyshire District Council</t>
  </si>
  <si>
    <t>North East Derbyshire</t>
  </si>
  <si>
    <t>0121</t>
  </si>
  <si>
    <t>North Somerset Council</t>
  </si>
  <si>
    <t>North Somerset</t>
  </si>
  <si>
    <t>0540</t>
  </si>
  <si>
    <t>Peterborough City Council</t>
  </si>
  <si>
    <t>Peterborough</t>
  </si>
  <si>
    <t>1160</t>
  </si>
  <si>
    <t>Plymouth City Council</t>
  </si>
  <si>
    <t>Calcurate 2023 v 1.1a</t>
  </si>
  <si>
    <t>Crossrail Threshold Update</t>
  </si>
  <si>
    <t>When Full Version is available, change Pioneer to False</t>
  </si>
  <si>
    <t>Plymouth</t>
  </si>
  <si>
    <t>1255</t>
  </si>
  <si>
    <t>Poole Borough Council</t>
  </si>
  <si>
    <t>Poole</t>
  </si>
  <si>
    <t>1775</t>
  </si>
  <si>
    <t>Portsmouth City Council</t>
  </si>
  <si>
    <t>Portsmouth</t>
  </si>
  <si>
    <t>1225</t>
  </si>
  <si>
    <t>Purbeck District Council</t>
  </si>
  <si>
    <t>Purbeck</t>
  </si>
  <si>
    <t>0345</t>
  </si>
  <si>
    <t>Reading Borough Council</t>
  </si>
  <si>
    <t>Reading</t>
  </si>
  <si>
    <t>0728</t>
  </si>
  <si>
    <t>Redcar &amp; Cleveland Bc</t>
  </si>
  <si>
    <t>Redcar &amp; Cleveland</t>
  </si>
  <si>
    <t>1825</t>
  </si>
  <si>
    <t>Redditch Borough Council</t>
  </si>
  <si>
    <t>Redditch</t>
  </si>
  <si>
    <t>1550</t>
  </si>
  <si>
    <t>Rochford District Council</t>
  </si>
  <si>
    <t>Rochford</t>
  </si>
  <si>
    <t>1430</t>
  </si>
  <si>
    <t>Rother District Council</t>
  </si>
  <si>
    <t>Rother</t>
  </si>
  <si>
    <t>0355</t>
  </si>
  <si>
    <t>Royal Borough Of Windsor &amp; Maidenhead</t>
  </si>
  <si>
    <t>Windsor &amp; Maidenhead</t>
  </si>
  <si>
    <t>1750</t>
  </si>
  <si>
    <t>Rushmoor Borough Council</t>
  </si>
  <si>
    <t>Rushmoor</t>
  </si>
  <si>
    <t>0350</t>
  </si>
  <si>
    <t>Slough Borough Council</t>
  </si>
  <si>
    <t>Slough</t>
  </si>
  <si>
    <t>0410</t>
  </si>
  <si>
    <t>South Bucks District Council</t>
  </si>
  <si>
    <t>South Bucks</t>
  </si>
  <si>
    <t>0530</t>
  </si>
  <si>
    <t>South Cambridgeshire Dc</t>
  </si>
  <si>
    <t>South Cambridgeshire</t>
  </si>
  <si>
    <t>1040</t>
  </si>
  <si>
    <t>South Derbyshire District Council</t>
  </si>
  <si>
    <t>South Derbyshire</t>
  </si>
  <si>
    <t>0119</t>
  </si>
  <si>
    <t>South Gloucestershire</t>
  </si>
  <si>
    <t>1125</t>
  </si>
  <si>
    <t>South Hams District Council</t>
  </si>
  <si>
    <t>South Hams</t>
  </si>
  <si>
    <t>0930</t>
  </si>
  <si>
    <t>South Lakeland District Council</t>
  </si>
  <si>
    <t>South Lakeland</t>
  </si>
  <si>
    <t>1780</t>
  </si>
  <si>
    <t>Southampton City Council</t>
  </si>
  <si>
    <t>Southampton</t>
  </si>
  <si>
    <t>1590</t>
  </si>
  <si>
    <t>Southend On Sea Borough Council</t>
  </si>
  <si>
    <t>Southend</t>
  </si>
  <si>
    <t>0738</t>
  </si>
  <si>
    <t>Stockton On Tees</t>
  </si>
  <si>
    <t>Stockton</t>
  </si>
  <si>
    <t>1625</t>
  </si>
  <si>
    <t>Stroud District Council</t>
  </si>
  <si>
    <t>Stroud</t>
  </si>
  <si>
    <t>1130</t>
  </si>
  <si>
    <t>Teignbridge District Council</t>
  </si>
  <si>
    <t>Teignbridge</t>
  </si>
  <si>
    <t>1560</t>
  </si>
  <si>
    <t>Tendring District Council</t>
  </si>
  <si>
    <t>Tendring</t>
  </si>
  <si>
    <t>1760</t>
  </si>
  <si>
    <t>Test Valley Borough Council</t>
  </si>
  <si>
    <t>Test Valley</t>
  </si>
  <si>
    <t>1630</t>
  </si>
  <si>
    <t>Tewkesbury Borough Council</t>
  </si>
  <si>
    <t>Tewkesbury</t>
  </si>
  <si>
    <t>advanced_address</t>
  </si>
  <si>
    <t>all true?</t>
  </si>
  <si>
    <t>Max Relief</t>
  </si>
  <si>
    <t>the RELIEF amount is (up to) this figure</t>
  </si>
  <si>
    <t>Charge Before Relief</t>
  </si>
  <si>
    <t>Relief</t>
  </si>
  <si>
    <t>Charge before this relief</t>
  </si>
  <si>
    <t>Relief3 - Pub</t>
  </si>
  <si>
    <t>Pub Relief can't apply on an Empty Property</t>
  </si>
  <si>
    <t>basicpubtick</t>
  </si>
  <si>
    <t>for 1/4/-- MCC</t>
  </si>
  <si>
    <t>certs</t>
  </si>
  <si>
    <t>Interest Rate for</t>
  </si>
  <si>
    <t>Refunds</t>
  </si>
  <si>
    <t>SSBR</t>
  </si>
  <si>
    <t>max increase</t>
  </si>
  <si>
    <t>prev rv</t>
  </si>
  <si>
    <t>prev mult</t>
  </si>
  <si>
    <t>prev e</t>
  </si>
  <si>
    <t>ssbr base liability</t>
  </si>
  <si>
    <t>charge without ssbr</t>
  </si>
  <si>
    <t>max charge</t>
  </si>
  <si>
    <t>The RV in the previous list qualified the ratepayer for SBRR</t>
  </si>
  <si>
    <t>The *Ratepayer received SBRR on 31/3/17 (tick box on 'basic')</t>
  </si>
  <si>
    <t>The liability this year (without this scheme) would exceed the cap</t>
  </si>
  <si>
    <t>relief applies?</t>
  </si>
  <si>
    <t>ssbr</t>
  </si>
  <si>
    <t>Help - Advanced</t>
  </si>
  <si>
    <t>The Advanced Calculator calculates the rate liability on two different scenarios and shows the difference as a Saving or Increase</t>
  </si>
  <si>
    <t>The Calculator has TWO sides.  You can call them, Original and Revised, or Before and After, or just Left and Right</t>
  </si>
  <si>
    <t>Therefore, to show how liability will be effected by an 'event', you should enter all the DATES and RV's and Certificates (if any) that existed BEFORE the event on the LEFT</t>
  </si>
  <si>
    <t>And enter all the DATES and RV's and Certificates (if any) that existed AFTER the event on the RIGHT</t>
  </si>
  <si>
    <t>The liability shown on the LEFT will be calculated using the RV's and Dates on the LEFT. The liability shown on the RIGHT will be calculated using the RV's and Dates on the RIGHT</t>
  </si>
  <si>
    <t>advanced_sequence_check</t>
  </si>
  <si>
    <t>1595</t>
  </si>
  <si>
    <t>Thurrock Borough Council</t>
  </si>
  <si>
    <t>Thurrock</t>
  </si>
  <si>
    <t>1165</t>
  </si>
  <si>
    <t>Torbay Council</t>
  </si>
  <si>
    <t>Torbay</t>
  </si>
  <si>
    <t>1145</t>
  </si>
  <si>
    <t>Calcurate 2023 v 2.3</t>
  </si>
  <si>
    <t>Torridge District Council</t>
  </si>
  <si>
    <t>Torridge</t>
  </si>
  <si>
    <t>1570</t>
  </si>
  <si>
    <t>Uttlesford District Council</t>
  </si>
  <si>
    <t>Uttlesford</t>
  </si>
  <si>
    <t>0655</t>
  </si>
  <si>
    <t>Warrington Borough Council</t>
  </si>
  <si>
    <t>Your ref</t>
  </si>
  <si>
    <t>bl</t>
  </si>
  <si>
    <t>|&lt; --------------------------------------------------------------------------------------</t>
  </si>
  <si>
    <t>REVISED</t>
  </si>
  <si>
    <t>----------------------------------------------------------------------------------------&gt;|</t>
  </si>
  <si>
    <t>Property 1</t>
  </si>
  <si>
    <t>Property 2</t>
  </si>
  <si>
    <t>Property 3</t>
  </si>
  <si>
    <t>Property 4</t>
  </si>
  <si>
    <t>Property 5</t>
  </si>
  <si>
    <t>total revised</t>
  </si>
  <si>
    <t>saving</t>
  </si>
  <si>
    <t>split report</t>
  </si>
  <si>
    <t>obl</t>
  </si>
  <si>
    <t>oplrv</t>
  </si>
  <si>
    <t>crv</t>
  </si>
  <si>
    <t>omess</t>
  </si>
  <si>
    <t>ophindicatoryr1</t>
  </si>
  <si>
    <t>ophindicatoryr2</t>
  </si>
  <si>
    <t>ophindicatoryr3</t>
  </si>
  <si>
    <t>oliabyr1</t>
  </si>
  <si>
    <t>oliabyr2</t>
  </si>
  <si>
    <t>oliabyr3</t>
  </si>
  <si>
    <t>liabprop1yr1</t>
  </si>
  <si>
    <t>liabprop1yr2</t>
  </si>
  <si>
    <t>liabprop1yr3</t>
  </si>
  <si>
    <t>prop1phindicator1</t>
  </si>
  <si>
    <t>prop1phindicator2</t>
  </si>
  <si>
    <t>prop1phindicator3</t>
  </si>
  <si>
    <t>prop1mess</t>
  </si>
  <si>
    <t>liabprop2yr2</t>
  </si>
  <si>
    <t>liabprop2yr3</t>
  </si>
  <si>
    <t>prop2phindicator1</t>
  </si>
  <si>
    <t>prop2phindicator2</t>
  </si>
  <si>
    <t>prop2phindicator3</t>
  </si>
  <si>
    <t>prop2mess</t>
  </si>
  <si>
    <t>liabprop2yr1</t>
  </si>
  <si>
    <t>liabprop3yr2</t>
  </si>
  <si>
    <t>liabprop3yr3</t>
  </si>
  <si>
    <t>prop3phindicator1</t>
  </si>
  <si>
    <t>prop3phindicator2</t>
  </si>
  <si>
    <t>prop3phindicator3</t>
  </si>
  <si>
    <t>prop3mess</t>
  </si>
  <si>
    <t>liabprop3yr1</t>
  </si>
  <si>
    <t>liabprop4yr2</t>
  </si>
  <si>
    <t>liabprop4yr3</t>
  </si>
  <si>
    <t>prop4phindicator1</t>
  </si>
  <si>
    <t>prop4phindicator2</t>
  </si>
  <si>
    <t>prop4phindicator3</t>
  </si>
  <si>
    <t>prop4mess</t>
  </si>
  <si>
    <t>liabprop4yr1</t>
  </si>
  <si>
    <t>liabprop5yr2</t>
  </si>
  <si>
    <t>liabprop5yr3</t>
  </si>
  <si>
    <t>prop5phindicator1</t>
  </si>
  <si>
    <t>prop5phindicator2</t>
  </si>
  <si>
    <t>prop5phindicator3</t>
  </si>
  <si>
    <t>prop5mess</t>
  </si>
  <si>
    <t>liabprop5yr1</t>
  </si>
  <si>
    <t>prop1bl</t>
  </si>
  <si>
    <t>prop2bl</t>
  </si>
  <si>
    <t>prop1rv</t>
  </si>
  <si>
    <t>prop2rv</t>
  </si>
  <si>
    <t>prop3bl</t>
  </si>
  <si>
    <t>prop3rv</t>
  </si>
  <si>
    <t>prop4bl</t>
  </si>
  <si>
    <t>prop4rv</t>
  </si>
  <si>
    <t>pro5bl</t>
  </si>
  <si>
    <t>prop5rv</t>
  </si>
  <si>
    <t>prop1pl</t>
  </si>
  <si>
    <t>prop2pl</t>
  </si>
  <si>
    <t>prop3pl</t>
  </si>
  <si>
    <t>prop4pl</t>
  </si>
  <si>
    <t>prop5pl</t>
  </si>
  <si>
    <t>Warrington</t>
  </si>
  <si>
    <t>1435</t>
  </si>
  <si>
    <t>Wealdon District Council</t>
  </si>
  <si>
    <t>Wealdon</t>
  </si>
  <si>
    <t>0340</t>
  </si>
  <si>
    <t>West Berkshire District Council</t>
  </si>
  <si>
    <t>West Berkshire</t>
  </si>
  <si>
    <t>1150</t>
  </si>
  <si>
    <t>West Devon Borough Council</t>
  </si>
  <si>
    <t>West Devon</t>
  </si>
  <si>
    <t>1230</t>
  </si>
  <si>
    <t>West Dorset District Council</t>
  </si>
  <si>
    <t>West Dorset</t>
  </si>
  <si>
    <t>1235</t>
  </si>
  <si>
    <t>Calcurate 2023 v 3.1</t>
  </si>
  <si>
    <t>September CPI</t>
  </si>
  <si>
    <t>Weymouth &amp; Portland Borough Council</t>
  </si>
  <si>
    <t>Weymouth &amp; Portland</t>
  </si>
  <si>
    <t>1765</t>
  </si>
  <si>
    <t>Winchester City Council</t>
  </si>
  <si>
    <t>Winchester</t>
  </si>
  <si>
    <t>0360</t>
  </si>
  <si>
    <t>Wokingham District Council</t>
  </si>
  <si>
    <t>Wokingham</t>
  </si>
  <si>
    <t>1835</t>
  </si>
  <si>
    <t>Worcester City Council</t>
  </si>
  <si>
    <t>Worcester</t>
  </si>
  <si>
    <t>0425</t>
  </si>
  <si>
    <t>Wycombe District Council</t>
  </si>
  <si>
    <t>Wycombe</t>
  </si>
  <si>
    <t>5060</t>
  </si>
  <si>
    <t>Barking &amp; Dagenham</t>
  </si>
  <si>
    <t>Days in Year</t>
  </si>
  <si>
    <t>From</t>
  </si>
  <si>
    <t>To</t>
  </si>
  <si>
    <t>Small Business Non Domestic Rating Multiplier (SBNDRM)</t>
  </si>
  <si>
    <t>Business Rates Supplement</t>
  </si>
  <si>
    <t>Total (Excludes Reliefs)</t>
  </si>
  <si>
    <t>Reliefs and Exemptions</t>
  </si>
  <si>
    <t>Exempt or Discretionary</t>
  </si>
  <si>
    <t>Charitable Relief 80%</t>
  </si>
  <si>
    <t>Charge</t>
  </si>
  <si>
    <t>5090</t>
  </si>
  <si>
    <t>London Borough Of Barnet</t>
  </si>
  <si>
    <t>Barnet</t>
  </si>
  <si>
    <t>5120</t>
  </si>
  <si>
    <t>splithome</t>
  </si>
  <si>
    <t>London Borough Of Bexley</t>
  </si>
  <si>
    <t>Bexley</t>
  </si>
  <si>
    <t>5150</t>
  </si>
  <si>
    <t>London Borough Of Brent</t>
  </si>
  <si>
    <t>Brent</t>
  </si>
  <si>
    <t>5180</t>
  </si>
  <si>
    <t>London Borough Of Bromley</t>
  </si>
  <si>
    <t>Bromley</t>
  </si>
  <si>
    <t>5210</t>
  </si>
  <si>
    <t>London Borough Of Camden</t>
  </si>
  <si>
    <t>Camden</t>
  </si>
  <si>
    <t>5240</t>
  </si>
  <si>
    <t>London Borough Of Croydon</t>
  </si>
  <si>
    <t>Croydon</t>
  </si>
  <si>
    <t>5270</t>
  </si>
  <si>
    <t>London Borough Of Ealing</t>
  </si>
  <si>
    <t>Ealing</t>
  </si>
  <si>
    <t>5300</t>
  </si>
  <si>
    <t>London Borough Of Enfield</t>
  </si>
  <si>
    <t>Enfield</t>
  </si>
  <si>
    <t>5330</t>
  </si>
  <si>
    <t>London Borough Of Greenwich</t>
  </si>
  <si>
    <t>Greenwich</t>
  </si>
  <si>
    <t>5360</t>
  </si>
  <si>
    <t>London Borough Of Hackney</t>
  </si>
  <si>
    <t>Hackney</t>
  </si>
  <si>
    <t>5420</t>
  </si>
  <si>
    <t>London Borough Of Haringey</t>
  </si>
  <si>
    <t>Haringey</t>
  </si>
  <si>
    <t>1540</t>
  </si>
  <si>
    <t>Harlow</t>
  </si>
  <si>
    <t>5450</t>
  </si>
  <si>
    <t>London Borough Of Harrow</t>
  </si>
  <si>
    <t>Harrow</t>
  </si>
  <si>
    <t>5480</t>
  </si>
  <si>
    <t>London Borough Of Havering</t>
  </si>
  <si>
    <t>Havering</t>
  </si>
  <si>
    <t>5510</t>
  </si>
  <si>
    <t>London Borough Of Hillingdon</t>
  </si>
  <si>
    <t>Hillingdon</t>
  </si>
  <si>
    <t>5540</t>
  </si>
  <si>
    <t>London Borough Of Hounslow</t>
  </si>
  <si>
    <t>Hounslow</t>
  </si>
  <si>
    <t>5570</t>
  </si>
  <si>
    <t>London Borough Of Islington</t>
  </si>
  <si>
    <t>Islington</t>
  </si>
  <si>
    <t>5690</t>
  </si>
  <si>
    <t>London Borough Of Lewisham</t>
  </si>
  <si>
    <t>Lewisham</t>
  </si>
  <si>
    <t>5720</t>
  </si>
  <si>
    <t>London Borough Of Merton</t>
  </si>
  <si>
    <t>Merton</t>
  </si>
  <si>
    <t>5750</t>
  </si>
  <si>
    <t>London Borough Of Newham</t>
  </si>
  <si>
    <t>Newham</t>
  </si>
  <si>
    <t>5780</t>
  </si>
  <si>
    <t>London Borough Of Redbridge</t>
  </si>
  <si>
    <t>Redbridge</t>
  </si>
  <si>
    <t>5810</t>
  </si>
  <si>
    <t>London Borough Of Richmond Upon Thames</t>
  </si>
  <si>
    <t>Richmond</t>
  </si>
  <si>
    <t>5840</t>
  </si>
  <si>
    <t>London Borough Of Southwark</t>
  </si>
  <si>
    <t>Southwark</t>
  </si>
  <si>
    <t>5870</t>
  </si>
  <si>
    <t>London Borough Of Sutton</t>
  </si>
  <si>
    <t>Sutton</t>
  </si>
  <si>
    <t>5900</t>
  </si>
  <si>
    <t>London Borough Of Tower  Hamlets</t>
  </si>
  <si>
    <t>Tower Hamlets</t>
  </si>
  <si>
    <t>5930</t>
  </si>
  <si>
    <t>London Borough Of Waltham Forest</t>
  </si>
  <si>
    <t>Waltham Forest</t>
  </si>
  <si>
    <t>5960</t>
  </si>
  <si>
    <t>London Borough Of Wandsworth</t>
  </si>
  <si>
    <t>next list&gt;</t>
  </si>
  <si>
    <t>empty thresh</t>
  </si>
  <si>
    <t>sbrr limit</t>
  </si>
  <si>
    <t>tr sb sups %</t>
  </si>
  <si>
    <t>exc these &gt; reliefs</t>
  </si>
  <si>
    <t>Pub Relief</t>
  </si>
  <si>
    <t>sbrr y?</t>
  </si>
  <si>
    <t>crossrail</t>
  </si>
  <si>
    <t>supp</t>
  </si>
  <si>
    <t>adv_o_charitytick</t>
  </si>
  <si>
    <t>adv_o_perc</t>
  </si>
  <si>
    <t>adv_r_charitytick</t>
  </si>
  <si>
    <t>adv_r_perc</t>
  </si>
  <si>
    <t>Wandsworth</t>
  </si>
  <si>
    <t>6910</t>
  </si>
  <si>
    <t>Blaenau Gwent County Bc</t>
  </si>
  <si>
    <t>Blaenau Gwent</t>
  </si>
  <si>
    <t>w</t>
  </si>
  <si>
    <t>6915</t>
  </si>
  <si>
    <t>Bridgend  Borough Council</t>
  </si>
  <si>
    <t>Bridgend</t>
  </si>
  <si>
    <t>6805</t>
  </si>
  <si>
    <t>Cyngnor  Sir Ynys Mon (Anglesey)</t>
  </si>
  <si>
    <t>Isle of Anglesey</t>
  </si>
  <si>
    <t>6810</t>
  </si>
  <si>
    <t>Cyngnor Gwynedd</t>
  </si>
  <si>
    <t>6930</t>
  </si>
  <si>
    <t>Neath &amp; Port Talbot Borough Council</t>
  </si>
  <si>
    <t>Neath &amp; Port Talbot</t>
  </si>
  <si>
    <t>6935</t>
  </si>
  <si>
    <t>Newport Borough Council</t>
  </si>
  <si>
    <t>Newport</t>
  </si>
  <si>
    <t>6850</t>
  </si>
  <si>
    <t>Powys County Council 1</t>
  </si>
  <si>
    <t>Powys</t>
  </si>
  <si>
    <t>6853</t>
  </si>
  <si>
    <t>new</t>
  </si>
  <si>
    <t>prop1</t>
  </si>
  <si>
    <t>prop2</t>
  </si>
  <si>
    <t>prop3</t>
  </si>
  <si>
    <t>prop4</t>
  </si>
  <si>
    <t>prop5</t>
  </si>
  <si>
    <t>sb&amp;chrty</t>
  </si>
  <si>
    <t>sbthres</t>
  </si>
  <si>
    <t>sb &lt; thresh</t>
  </si>
  <si>
    <t>tick</t>
  </si>
  <si>
    <t>sb&amp;empty</t>
  </si>
  <si>
    <t>date in list?</t>
  </si>
  <si>
    <t>tc in error</t>
  </si>
  <si>
    <t>txt? &gt;</t>
  </si>
  <si>
    <t>errchk</t>
  </si>
  <si>
    <t>Please enter the new RV</t>
  </si>
  <si>
    <t>Please enter the Effective Date</t>
  </si>
  <si>
    <t>Please enter at least one Pre Merge RV</t>
  </si>
  <si>
    <t>Please Delete the TC Value</t>
  </si>
  <si>
    <t>The Effective Date must be within this List</t>
  </si>
  <si>
    <t>Can't have SBRR and Charity</t>
  </si>
  <si>
    <t>Can't have SBRR, Charity, or Retail with Empty</t>
  </si>
  <si>
    <t>Can't have SBRR and Empty</t>
  </si>
  <si>
    <t>&lt;must be 0 to be all ok</t>
  </si>
  <si>
    <t>no of old</t>
  </si>
  <si>
    <t>tc</t>
  </si>
  <si>
    <t>tcbl</t>
  </si>
  <si>
    <t>mergdrv</t>
  </si>
  <si>
    <t>rphind1</t>
  </si>
  <si>
    <t>rphind2</t>
  </si>
  <si>
    <t>rphind3</t>
  </si>
  <si>
    <t>rmess</t>
  </si>
  <si>
    <t>ophin1-1</t>
  </si>
  <si>
    <t>ophin1-2</t>
  </si>
  <si>
    <t>ophin1-3</t>
  </si>
  <si>
    <t>o1mess</t>
  </si>
  <si>
    <t>ophin2-1</t>
  </si>
  <si>
    <t>ophin2-2</t>
  </si>
  <si>
    <t>ophin2-3</t>
  </si>
  <si>
    <t>o2mess</t>
  </si>
  <si>
    <t>ophin3-1</t>
  </si>
  <si>
    <t>ophin3-2</t>
  </si>
  <si>
    <t>ophin3-3</t>
  </si>
  <si>
    <t>o3mess</t>
  </si>
  <si>
    <t>ophim4-1</t>
  </si>
  <si>
    <t>ophim4-2</t>
  </si>
  <si>
    <t>ophim4-3</t>
  </si>
  <si>
    <t>o4mess</t>
  </si>
  <si>
    <t>ophin5-1</t>
  </si>
  <si>
    <t>ophin5-2</t>
  </si>
  <si>
    <t>ophin5-3</t>
  </si>
  <si>
    <t>o5mess</t>
  </si>
  <si>
    <t>plrv1</t>
  </si>
  <si>
    <t>plrv2</t>
  </si>
  <si>
    <t>pl</t>
  </si>
  <si>
    <t>day before</t>
  </si>
  <si>
    <t>rrv1</t>
  </si>
  <si>
    <t>rrv2</t>
  </si>
  <si>
    <t>rrv3</t>
  </si>
  <si>
    <t>rrv4</t>
  </si>
  <si>
    <t>rrv5</t>
  </si>
  <si>
    <t>Calcurate 2023 v 2.1</t>
  </si>
  <si>
    <t>date is sol</t>
  </si>
  <si>
    <t>xxx</t>
  </si>
  <si>
    <t>Powys County Council 2</t>
  </si>
  <si>
    <t>6854</t>
  </si>
  <si>
    <t>Powys County Council 3</t>
  </si>
  <si>
    <t>6940</t>
  </si>
  <si>
    <t>Rhondda, Cynon, Taff County Borough Council</t>
  </si>
  <si>
    <t>Rhondda, Cynon, Taff County</t>
  </si>
  <si>
    <t>3010</t>
  </si>
  <si>
    <t>Bassetlaw District Council</t>
  </si>
  <si>
    <t>Bassetlaw</t>
  </si>
  <si>
    <t>4605</t>
  </si>
  <si>
    <t>Birmingham City Council</t>
  </si>
  <si>
    <t>Birmingham</t>
  </si>
  <si>
    <t>2405</t>
  </si>
  <si>
    <t>Blaby District Council</t>
  </si>
  <si>
    <t>Blaby</t>
  </si>
  <si>
    <t>2372</t>
  </si>
  <si>
    <t>Blackburn With Darwen Borough Council</t>
  </si>
  <si>
    <t>Blackburn</t>
  </si>
  <si>
    <t>2373</t>
  </si>
  <si>
    <t>Blackpool Borough Council</t>
  </si>
  <si>
    <t>Blackpool</t>
  </si>
  <si>
    <t>4205</t>
  </si>
  <si>
    <t>Bolton Metro</t>
  </si>
  <si>
    <t>Bolton</t>
  </si>
  <si>
    <t>2505</t>
  </si>
  <si>
    <t>what year?</t>
  </si>
  <si>
    <t>year1</t>
  </si>
  <si>
    <t>year2</t>
  </si>
  <si>
    <t>year3</t>
  </si>
  <si>
    <t>year4</t>
  </si>
  <si>
    <t>year5</t>
  </si>
  <si>
    <t>year6</t>
  </si>
  <si>
    <t>year7</t>
  </si>
  <si>
    <t>New List Setup - Input Required</t>
  </si>
  <si>
    <t>required</t>
  </si>
  <si>
    <t>data</t>
  </si>
  <si>
    <t>enter new details in yellow cells</t>
  </si>
  <si>
    <t>start new version history</t>
  </si>
  <si>
    <t>reliefs</t>
  </si>
  <si>
    <t>links</t>
  </si>
  <si>
    <t>check the yellow, green, and blue cells</t>
  </si>
  <si>
    <t>Liability Details (from Advanced Savings)</t>
  </si>
  <si>
    <t>Rate Liability Details</t>
  </si>
  <si>
    <t>Basis</t>
  </si>
  <si>
    <t>advanced detail</t>
  </si>
  <si>
    <t>advanced report</t>
  </si>
  <si>
    <t>&lt; ok to go</t>
  </si>
  <si>
    <t>&lt;nag</t>
  </si>
  <si>
    <t xml:space="preserve">check </t>
  </si>
  <si>
    <t>yellow cells</t>
  </si>
  <si>
    <t>https://www.legislation.gov.uk/uksi/2008/386/made</t>
  </si>
  <si>
    <t>https://www.calcurate.co.uk/</t>
  </si>
  <si>
    <t>image for list showing year</t>
  </si>
  <si>
    <t>Version / User</t>
  </si>
  <si>
    <t>|</t>
  </si>
  <si>
    <t>don’t change these cols</t>
  </si>
  <si>
    <t>instalments</t>
  </si>
  <si>
    <t>1st Payment</t>
  </si>
  <si>
    <t>2nd Payment</t>
  </si>
  <si>
    <t>3rd Payment</t>
  </si>
  <si>
    <t>4th Payment</t>
  </si>
  <si>
    <t>5th Payment</t>
  </si>
  <si>
    <t>6th Payment</t>
  </si>
  <si>
    <t>7th Payment</t>
  </si>
  <si>
    <t>8th Payment</t>
  </si>
  <si>
    <t>9th Payment</t>
  </si>
  <si>
    <t>10th Payment</t>
  </si>
  <si>
    <t>11th Payment</t>
  </si>
  <si>
    <t>12th Payment</t>
  </si>
  <si>
    <t>send back to</t>
  </si>
  <si>
    <t>column</t>
  </si>
  <si>
    <t>brscheck</t>
  </si>
  <si>
    <t>Please Select a Levying Authority</t>
  </si>
  <si>
    <t>Boston Borough District Council</t>
  </si>
  <si>
    <t>Boston</t>
  </si>
  <si>
    <t>4705</t>
  </si>
  <si>
    <t>Bradford Metropolitan District Council</t>
  </si>
  <si>
    <t>Bradford</t>
  </si>
  <si>
    <t>2605</t>
  </si>
  <si>
    <t>Breckland District Council</t>
  </si>
  <si>
    <t>Breckland</t>
  </si>
  <si>
    <t>2610</t>
  </si>
  <si>
    <t>Broadland District Council</t>
  </si>
  <si>
    <t>Broadland</t>
  </si>
  <si>
    <t>1905</t>
  </si>
  <si>
    <t>Broxbourne</t>
  </si>
  <si>
    <t>3015</t>
  </si>
  <si>
    <t>Broxtowe Borough Council</t>
  </si>
  <si>
    <t>Broxtowe</t>
  </si>
  <si>
    <t>2315</t>
  </si>
  <si>
    <t>Your Licence is 'Basic Only'. To activate the Advanced features please upgrade. Go to www.calcurate.co.uk</t>
  </si>
  <si>
    <t>Pioneer?</t>
  </si>
  <si>
    <t>Burnley Borough Council</t>
  </si>
  <si>
    <t>Burnley</t>
  </si>
  <si>
    <t>4210</t>
  </si>
  <si>
    <t>Burymetro</t>
  </si>
  <si>
    <t>Bury</t>
  </si>
  <si>
    <t>6920</t>
  </si>
  <si>
    <t>Caerphilly County Borough Council</t>
  </si>
  <si>
    <t>Caerphilly</t>
  </si>
  <si>
    <t>4710</t>
  </si>
  <si>
    <t>Calderdale Metropolitan Borough Council</t>
  </si>
  <si>
    <t>Calderdale</t>
  </si>
  <si>
    <t>3405</t>
  </si>
  <si>
    <t>Cannock Chase District Council</t>
  </si>
  <si>
    <t>Cannock Chase</t>
  </si>
  <si>
    <t>2210</t>
  </si>
  <si>
    <t>Canterbury City Council</t>
  </si>
  <si>
    <t>Canterbury</t>
  </si>
  <si>
    <t>6815</t>
  </si>
  <si>
    <t>Cardiff County Council</t>
  </si>
  <si>
    <t>Cardiff</t>
  </si>
  <si>
    <t>6825</t>
  </si>
  <si>
    <t>Carmarthenshire County Council (1)</t>
  </si>
  <si>
    <t>Carmarthenshire</t>
  </si>
  <si>
    <t>6828</t>
  </si>
  <si>
    <t>Carmarthenshire County Council (2)</t>
  </si>
  <si>
    <t>6829</t>
  </si>
  <si>
    <t>Carmarthenshire County Council (3)</t>
  </si>
  <si>
    <t>6820</t>
  </si>
  <si>
    <t>Ceredigion County Council</t>
  </si>
  <si>
    <t>Ceredigion</t>
  </si>
  <si>
    <t>2410</t>
  </si>
  <si>
    <t>ta header (only need yr1)</t>
  </si>
  <si>
    <t>+Supp</t>
  </si>
  <si>
    <t>= Large</t>
  </si>
  <si>
    <t>text_yr6</t>
  </si>
  <si>
    <t>show this yr</t>
  </si>
  <si>
    <t>relrow</t>
  </si>
  <si>
    <t>phasing check 9</t>
  </si>
  <si>
    <t>ticked no phasing</t>
  </si>
  <si>
    <t>no phasing ticked</t>
  </si>
  <si>
    <t>Charnwood Borough Council</t>
  </si>
  <si>
    <t>Charnwood</t>
  </si>
  <si>
    <t>3105</t>
  </si>
  <si>
    <t>Cherwell District Council</t>
  </si>
  <si>
    <t>Cherwell</t>
  </si>
  <si>
    <t>3815</t>
  </si>
  <si>
    <t>find max</t>
  </si>
  <si>
    <t>min inst</t>
  </si>
  <si>
    <t>min liab</t>
  </si>
  <si>
    <t>phasing</t>
  </si>
  <si>
    <t>as input</t>
  </si>
  <si>
    <t>&gt;=min?</t>
  </si>
  <si>
    <t>Chichester District Council</t>
  </si>
  <si>
    <t>Chichester</t>
  </si>
  <si>
    <t>2320</t>
  </si>
  <si>
    <t>Chorley Borough Council</t>
  </si>
  <si>
    <t>Chorley</t>
  </si>
  <si>
    <t>2741</t>
  </si>
  <si>
    <t>City &amp; County Of York</t>
  </si>
  <si>
    <t>York</t>
  </si>
  <si>
    <t>5030</t>
  </si>
  <si>
    <t>City Of London</t>
  </si>
  <si>
    <t>3060</t>
  </si>
  <si>
    <t>City Of Nottingham</t>
  </si>
  <si>
    <t>Nottingham</t>
  </si>
  <si>
    <t>6905</t>
  </si>
  <si>
    <t>Conwy Borough Council</t>
  </si>
  <si>
    <t>Conwy</t>
  </si>
  <si>
    <t>2805</t>
  </si>
  <si>
    <t>Corby Borough Council</t>
  </si>
  <si>
    <t>Corby</t>
  </si>
  <si>
    <t>4610</t>
  </si>
  <si>
    <t>Coventry City Council</t>
  </si>
  <si>
    <t>Coventry</t>
  </si>
  <si>
    <t>2705</t>
  </si>
  <si>
    <t>Craven District Council</t>
  </si>
  <si>
    <t>Craven</t>
  </si>
  <si>
    <t>3820</t>
  </si>
  <si>
    <t>Crawley District Council</t>
  </si>
  <si>
    <t>Crawley</t>
  </si>
  <si>
    <t>1910</t>
  </si>
  <si>
    <t>Dacorum Borough Council</t>
  </si>
  <si>
    <t>Dacorum</t>
  </si>
  <si>
    <t>2215</t>
  </si>
  <si>
    <t>Dartford Borough Council</t>
  </si>
  <si>
    <t>Dartford</t>
  </si>
  <si>
    <t>2810</t>
  </si>
  <si>
    <t>Daventry District Council</t>
  </si>
  <si>
    <t>Daventry</t>
  </si>
  <si>
    <t>6830</t>
  </si>
  <si>
    <t>Denbighshire County Council</t>
  </si>
  <si>
    <t>Denbighshire</t>
  </si>
  <si>
    <t>4410</t>
  </si>
  <si>
    <t>Doncaster</t>
  </si>
  <si>
    <t>2220</t>
  </si>
  <si>
    <t>Dover District Council</t>
  </si>
  <si>
    <t>Dover</t>
  </si>
  <si>
    <t>4615</t>
  </si>
  <si>
    <t>Dudley</t>
  </si>
  <si>
    <t>1915</t>
  </si>
  <si>
    <t>Launch Ready (basic only)</t>
  </si>
  <si>
    <t>East Herts District Council</t>
  </si>
  <si>
    <t>East Herts</t>
  </si>
  <si>
    <t>2510</t>
  </si>
  <si>
    <t>East Lindsey District Council</t>
  </si>
  <si>
    <t>East Lindsey</t>
  </si>
  <si>
    <t>2815</t>
  </si>
  <si>
    <t>East Northamptonshire Council</t>
  </si>
  <si>
    <t>East Northamptonshire</t>
  </si>
  <si>
    <t>2001</t>
  </si>
  <si>
    <t>East Riding Of Yorkshire Council</t>
  </si>
  <si>
    <t>East Riding</t>
  </si>
  <si>
    <t>3410</t>
  </si>
  <si>
    <t>East Staffordshire Borough Council</t>
  </si>
  <si>
    <t>East Staffordshire</t>
  </si>
  <si>
    <t>3605</t>
  </si>
  <si>
    <t>Elmbridge Borough Council</t>
  </si>
  <si>
    <t>Elmbridge</t>
  </si>
  <si>
    <t>3610</t>
  </si>
  <si>
    <t>Epsom &amp; Ewell Borough Council</t>
  </si>
  <si>
    <t>Epsom</t>
  </si>
  <si>
    <t>6835</t>
  </si>
  <si>
    <t>Flintshire County Council</t>
  </si>
  <si>
    <t>Flintshire</t>
  </si>
  <si>
    <t>3510</t>
  </si>
  <si>
    <t>Forest Heath District Council</t>
  </si>
  <si>
    <t>Forest Heath</t>
  </si>
  <si>
    <t>2325</t>
  </si>
  <si>
    <t>Fylde Borough Council</t>
  </si>
  <si>
    <t>Fylde</t>
  </si>
  <si>
    <t>4505</t>
  </si>
  <si>
    <t>Gateshead Metropolitan Borough Council</t>
  </si>
  <si>
    <t>Gateshead</t>
  </si>
  <si>
    <t>3020</t>
  </si>
  <si>
    <t>Gedling Borough Council</t>
  </si>
  <si>
    <t>Gedling</t>
  </si>
  <si>
    <t>2230</t>
  </si>
  <si>
    <t>Gravesham Borough Council</t>
  </si>
  <si>
    <t>Gravesham</t>
  </si>
  <si>
    <t>2615</t>
  </si>
  <si>
    <t>Great Yarmouth District Council</t>
  </si>
  <si>
    <t>Great Yarmouth</t>
  </si>
  <si>
    <t>3615</t>
  </si>
  <si>
    <t>Guildford Borough Council</t>
  </si>
  <si>
    <t>Guildford</t>
  </si>
  <si>
    <t>2710</t>
  </si>
  <si>
    <t>Hambleton District Council</t>
  </si>
  <si>
    <t>Hambleton</t>
  </si>
  <si>
    <t>2415</t>
  </si>
  <si>
    <t>Harborough District Council</t>
  </si>
  <si>
    <t>Harborough</t>
  </si>
  <si>
    <t>2715</t>
  </si>
  <si>
    <t>Harrogate Borough Council</t>
  </si>
  <si>
    <t>Harrogate</t>
  </si>
  <si>
    <t>1850</t>
  </si>
  <si>
    <t>Herefordshire District Council</t>
  </si>
  <si>
    <t>Herefordshire</t>
  </si>
  <si>
    <t>1920</t>
  </si>
  <si>
    <t>Hertsmere Borough Council</t>
  </si>
  <si>
    <t>Hertsmere</t>
  </si>
  <si>
    <t>2420</t>
  </si>
  <si>
    <t>Hinckley &amp; Bosworth Borough Council</t>
  </si>
  <si>
    <t>Hinckley &amp; Bosworth</t>
  </si>
  <si>
    <t>3825</t>
  </si>
  <si>
    <t>Horsham District Council</t>
  </si>
  <si>
    <t>Horsham</t>
  </si>
  <si>
    <t>2330</t>
  </si>
  <si>
    <t>Hyndburn Borough Council</t>
  </si>
  <si>
    <t>Hyndburn</t>
  </si>
  <si>
    <t>3515</t>
  </si>
  <si>
    <t>Ipswich Borough Council</t>
  </si>
  <si>
    <t>Ipswich</t>
  </si>
  <si>
    <t>2100</t>
  </si>
  <si>
    <t>Isle Of Wight Council</t>
  </si>
  <si>
    <t>Isle Of Wight</t>
  </si>
  <si>
    <t>2820</t>
  </si>
  <si>
    <t>Kettering Borough Council</t>
  </si>
  <si>
    <t>Kettering</t>
  </si>
  <si>
    <t>2635</t>
  </si>
  <si>
    <t>Kings Lynn &amp; West Norfolk</t>
  </si>
  <si>
    <t>2004</t>
  </si>
  <si>
    <t>Kingston Upon Hull City Council</t>
  </si>
  <si>
    <t>Hull</t>
  </si>
  <si>
    <t>Schedule</t>
  </si>
  <si>
    <t>smr sched</t>
  </si>
  <si>
    <t>https://www.legislation.gov.uk/uksi/2022/1403/schedule/made</t>
  </si>
  <si>
    <t>smr cert</t>
  </si>
  <si>
    <t>https://www.legislation.gov.uk/uksi/2022/1403/regulation/20/made</t>
  </si>
  <si>
    <t>split reg</t>
  </si>
  <si>
    <t>merge reg</t>
  </si>
  <si>
    <t>split on sol</t>
  </si>
  <si>
    <t>Reg 2 applies</t>
  </si>
  <si>
    <t>split after sol</t>
  </si>
  <si>
    <t>Reg 4 applies</t>
  </si>
  <si>
    <t>merge on sol</t>
  </si>
  <si>
    <t>merge after sol</t>
  </si>
  <si>
    <t>Regulation 20</t>
  </si>
  <si>
    <t>reg 20 but no cert</t>
  </si>
  <si>
    <t>Empty</t>
  </si>
  <si>
    <t>chrt</t>
  </si>
  <si>
    <t>reta</t>
  </si>
  <si>
    <t>sum</t>
  </si>
  <si>
    <t>Empty can't apply with Retail, SBRR or Charity (Original RV Section)</t>
  </si>
  <si>
    <t>no of props</t>
  </si>
  <si>
    <t>&lt; eff yr as no</t>
  </si>
  <si>
    <t>4715</t>
  </si>
  <si>
    <t>Kirklees Metropolitan Council</t>
  </si>
  <si>
    <t>Kirklees</t>
  </si>
  <si>
    <t>4305</t>
  </si>
  <si>
    <t>Knowsley Borough Council</t>
  </si>
  <si>
    <t>Knowsley</t>
  </si>
  <si>
    <t>5660</t>
  </si>
  <si>
    <t>Lambeth</t>
  </si>
  <si>
    <t>2335</t>
  </si>
  <si>
    <t>Lancaster Cty Council</t>
  </si>
  <si>
    <t>Lancaster</t>
  </si>
  <si>
    <t>4720</t>
  </si>
  <si>
    <t>Leeds City Council</t>
  </si>
  <si>
    <t>Leeds</t>
  </si>
  <si>
    <t>2465</t>
  </si>
  <si>
    <t>Leicester City Council</t>
  </si>
  <si>
    <t>Leicester</t>
  </si>
  <si>
    <t>3415</t>
  </si>
  <si>
    <t>Lichfield District Council</t>
  </si>
  <si>
    <t>Lichfield</t>
  </si>
  <si>
    <t>2515</t>
  </si>
  <si>
    <t>Lincoln City Council</t>
  </si>
  <si>
    <t>Lincoln</t>
  </si>
  <si>
    <t>4310</t>
  </si>
  <si>
    <t>Liverpool City Council</t>
  </si>
  <si>
    <t>Liverpool</t>
  </si>
  <si>
    <t>2235</t>
  </si>
  <si>
    <t>Maidstone Borough Council</t>
  </si>
  <si>
    <t>Maidstone</t>
  </si>
  <si>
    <t>basicclientreporthome</t>
  </si>
  <si>
    <t>Charitable Relief at 80% Applies</t>
  </si>
  <si>
    <t>Small Business Rate Relief applies on the 'Original' Liability</t>
  </si>
  <si>
    <t>Small Business Rate Relief applies on the 'Revised' Liability</t>
  </si>
  <si>
    <t>Retail Relief applies on the 'Revised' Liability</t>
  </si>
  <si>
    <t>Retail Relief applies on the 'Original' Liability</t>
  </si>
  <si>
    <t>customfolder</t>
  </si>
  <si>
    <t>Select a Memory Bank</t>
  </si>
  <si>
    <t>Calcurate Memory Folder Setup and Info</t>
  </si>
  <si>
    <t>Default Folder and File</t>
  </si>
  <si>
    <t>2023START</t>
  </si>
  <si>
    <t>Custom Folder and File</t>
  </si>
  <si>
    <t>basicallOK</t>
  </si>
  <si>
    <t>from macro</t>
  </si>
  <si>
    <t>Section 44a Savings Calculator</t>
  </si>
  <si>
    <t>&lt;rv entered</t>
  </si>
  <si>
    <t>&lt;pl and rv</t>
  </si>
  <si>
    <t>Industrial</t>
  </si>
  <si>
    <t>Actual RV on the day</t>
  </si>
  <si>
    <t>s44a Vacant Value on the Day</t>
  </si>
  <si>
    <t>&lt;date ok</t>
  </si>
  <si>
    <t>First Day that s44a Applies</t>
  </si>
  <si>
    <t>Last Day that s44a Applies</t>
  </si>
  <si>
    <t>err row</t>
  </si>
  <si>
    <t>Please enter the RV or a zero</t>
  </si>
  <si>
    <t>three mths</t>
  </si>
  <si>
    <t>Please enter the RV</t>
  </si>
  <si>
    <t>plus Crossrail if Greater London</t>
  </si>
  <si>
    <t>e oyear</t>
  </si>
  <si>
    <t xml:space="preserve">as input </t>
  </si>
  <si>
    <t>Please Check the Occupied Value, Vacant can not be zero</t>
  </si>
  <si>
    <t>condform</t>
  </si>
  <si>
    <t>S44a Relief</t>
  </si>
  <si>
    <t>Saving on Crossrail (if any)</t>
  </si>
  <si>
    <r>
      <t xml:space="preserve">s44a </t>
    </r>
    <r>
      <rPr>
        <b/>
        <u/>
        <sz val="10"/>
        <rFont val="Arial"/>
        <family val="2"/>
      </rPr>
      <t>Occupied</t>
    </r>
    <r>
      <rPr>
        <sz val="10"/>
        <rFont val="Arial"/>
        <family val="2"/>
      </rPr>
      <t xml:space="preserve"> Value on the Day</t>
    </r>
  </si>
  <si>
    <t>s44a</t>
  </si>
  <si>
    <t>basicerrormessage</t>
  </si>
  <si>
    <t>x</t>
  </si>
  <si>
    <t>Notional Liability</t>
  </si>
  <si>
    <t>City of London Supplement</t>
  </si>
  <si>
    <t>Transitional Adjustment</t>
  </si>
  <si>
    <t>annual charge without SBRR</t>
  </si>
  <si>
    <t>annual charge with SBRR</t>
  </si>
  <si>
    <t>SBRR for Analysis (not used in calc above)</t>
  </si>
  <si>
    <t>annual amount of SBRR</t>
  </si>
  <si>
    <t>https://www.legislation.gov.uk/uksi/2022/1403/part/3/made</t>
  </si>
  <si>
    <t>Transition for Analysis (not used in calc above)</t>
  </si>
  <si>
    <t xml:space="preserve">adjustment </t>
  </si>
  <si>
    <t>basicanalysisorighome</t>
  </si>
  <si>
    <t>basic analysis original</t>
  </si>
  <si>
    <t>Total</t>
  </si>
  <si>
    <t>used in analysys</t>
  </si>
  <si>
    <t>basicanalysisrevisedhome</t>
  </si>
  <si>
    <t>basic analysis revised</t>
  </si>
  <si>
    <t>basic analysis</t>
  </si>
  <si>
    <t>Liability and Overpayments</t>
  </si>
  <si>
    <t>Liability</t>
  </si>
  <si>
    <t>Payments</t>
  </si>
  <si>
    <t>Balance</t>
  </si>
  <si>
    <t>pop</t>
  </si>
  <si>
    <t>home</t>
  </si>
  <si>
    <t>Repayment or Account Date</t>
  </si>
  <si>
    <t>Calcurate - Payments</t>
  </si>
  <si>
    <t>Amount Outstanding</t>
  </si>
  <si>
    <t>Months Payable</t>
  </si>
  <si>
    <t>1st Month</t>
  </si>
  <si>
    <t>2nd Month</t>
  </si>
  <si>
    <t>lookup</t>
  </si>
  <si>
    <t>repay year</t>
  </si>
  <si>
    <t>show</t>
  </si>
  <si>
    <t>payments</t>
  </si>
  <si>
    <t>1860</t>
  </si>
  <si>
    <t>Malvern Hills District Council</t>
  </si>
  <si>
    <t>Malvern Hills</t>
  </si>
  <si>
    <t>4215</t>
  </si>
  <si>
    <t>Manchester City Council</t>
  </si>
  <si>
    <t>Manchester</t>
  </si>
  <si>
    <t>3025</t>
  </si>
  <si>
    <t>Mansfield District Council</t>
  </si>
  <si>
    <t>Mansfield</t>
  </si>
  <si>
    <t>2280</t>
  </si>
  <si>
    <t>Medway Council</t>
  </si>
  <si>
    <t>Medway</t>
  </si>
  <si>
    <t>2430</t>
  </si>
  <si>
    <t>Melton Borough Council</t>
  </si>
  <si>
    <t>Melton</t>
  </si>
  <si>
    <t>3305</t>
  </si>
  <si>
    <t>Mendip District Council</t>
  </si>
  <si>
    <t>Mendip</t>
  </si>
  <si>
    <t>6925</t>
  </si>
  <si>
    <t>Merthyr Tydfil Borough Council</t>
  </si>
  <si>
    <t>Merthyr Tydfil</t>
  </si>
  <si>
    <t>3520</t>
  </si>
  <si>
    <t>Mid Suffolk District Council</t>
  </si>
  <si>
    <t>Mid Suffolk</t>
  </si>
  <si>
    <t>3830</t>
  </si>
  <si>
    <t>Mid Sussex District Council</t>
  </si>
  <si>
    <t>Mid Sussex</t>
  </si>
  <si>
    <t>3620</t>
  </si>
  <si>
    <t>Mole Valley District Council</t>
  </si>
  <si>
    <t>Mole Valley</t>
  </si>
  <si>
    <t>6840</t>
  </si>
  <si>
    <t>Monmouthshire County Council</t>
  </si>
  <si>
    <t>Monmouthshire</t>
  </si>
  <si>
    <t>3030</t>
  </si>
  <si>
    <t>Newark &amp; Sherwood District Council</t>
  </si>
  <si>
    <t>Newark</t>
  </si>
  <si>
    <t>4510</t>
  </si>
  <si>
    <t>Newcastle Upon Tyne</t>
  </si>
  <si>
    <t>Newcastle</t>
  </si>
  <si>
    <t>3420</t>
  </si>
  <si>
    <t>Newcastle-Under-Lyme Borough</t>
  </si>
  <si>
    <t>Newcastle under Lyme</t>
  </si>
  <si>
    <t>2002</t>
  </si>
  <si>
    <t>North East Lincolnshire Council</t>
  </si>
  <si>
    <t>North East Lincolnshire</t>
  </si>
  <si>
    <t>1925</t>
  </si>
  <si>
    <t>North Herts District Council</t>
  </si>
  <si>
    <t>North Herts</t>
  </si>
  <si>
    <t>2520</t>
  </si>
  <si>
    <t>North Kesteven District Council</t>
  </si>
  <si>
    <t>North Kesteven</t>
  </si>
  <si>
    <t>2003</t>
  </si>
  <si>
    <t>North Lincolnshire Council</t>
  </si>
  <si>
    <t>North Lincolnshire</t>
  </si>
  <si>
    <t>2620</t>
  </si>
  <si>
    <t>North Norfolk District Council</t>
  </si>
  <si>
    <t>North Norfolk</t>
  </si>
  <si>
    <t>4515</t>
  </si>
  <si>
    <t>North Tyneside</t>
  </si>
  <si>
    <t>3705</t>
  </si>
  <si>
    <t>North Warwickshire Borough Council</t>
  </si>
  <si>
    <t>North Warwickshire</t>
  </si>
  <si>
    <t>2435</t>
  </si>
  <si>
    <t>North West Leicestershire District Council</t>
  </si>
  <si>
    <t>North West Leicestershire</t>
  </si>
  <si>
    <t>2825</t>
  </si>
  <si>
    <t>Northampton Borough Council</t>
  </si>
  <si>
    <t>Northampton</t>
  </si>
  <si>
    <t>2935</t>
  </si>
  <si>
    <t>Northumberland County Council</t>
  </si>
  <si>
    <t>Calcurate 2023 v 3.3</t>
  </si>
  <si>
    <t>bugfix - adv cert 31/3 lookup</t>
  </si>
  <si>
    <t>Northumberland</t>
  </si>
  <si>
    <t>2625</t>
  </si>
  <si>
    <t>Norwich City Council</t>
  </si>
  <si>
    <t>Norwich</t>
  </si>
  <si>
    <t>3710</t>
  </si>
  <si>
    <t>Nuneaton &amp; Bedworth Borough Council</t>
  </si>
  <si>
    <t>Nuneaton &amp; Bedworth</t>
  </si>
  <si>
    <t>2440</t>
  </si>
  <si>
    <t>Oadby &amp; Wigston Borough Council</t>
  </si>
  <si>
    <t>Oadby &amp; Wigston</t>
  </si>
  <si>
    <t>4220</t>
  </si>
  <si>
    <t>Oldham Borough Council</t>
  </si>
  <si>
    <t>Oldham</t>
  </si>
  <si>
    <t>3110</t>
  </si>
  <si>
    <t>Oxford City Council</t>
  </si>
  <si>
    <t>Oxford</t>
  </si>
  <si>
    <t>6845</t>
  </si>
  <si>
    <t>Pembrokeshire County Council</t>
  </si>
  <si>
    <t>Pembrokeshire</t>
  </si>
  <si>
    <t>2340</t>
  </si>
  <si>
    <t>Pendle Borough Council</t>
  </si>
  <si>
    <t>Pendle</t>
  </si>
  <si>
    <t>2345</t>
  </si>
  <si>
    <t>Preston Borough Council</t>
  </si>
  <si>
    <t>Preston</t>
  </si>
  <si>
    <t>3625</t>
  </si>
  <si>
    <t>Reigate &amp; Banstead Borough Council</t>
  </si>
  <si>
    <t>Reigate &amp; Banstead</t>
  </si>
  <si>
    <t>2350</t>
  </si>
  <si>
    <t>Ribble Valley Borough Council</t>
  </si>
  <si>
    <t>Ribble Valley</t>
  </si>
  <si>
    <t>2720</t>
  </si>
  <si>
    <t>Richmondshire District Council</t>
  </si>
  <si>
    <t>Richmondshire</t>
  </si>
  <si>
    <t>4225</t>
  </si>
  <si>
    <t>Rochdale Metropolitan Borough Council</t>
  </si>
  <si>
    <t>Rochdale</t>
  </si>
  <si>
    <t>2355</t>
  </si>
  <si>
    <t>advanced detail report</t>
  </si>
  <si>
    <t>Rossendale Borough Council</t>
  </si>
  <si>
    <t>Annualised amount</t>
  </si>
  <si>
    <t>Rossendale</t>
  </si>
  <si>
    <t>4415</t>
  </si>
  <si>
    <t>Rotherham Mbc</t>
  </si>
  <si>
    <t>Rotherham</t>
  </si>
  <si>
    <t>5630</t>
  </si>
  <si>
    <t>Royal Borough Of Kingston Upon Thames</t>
  </si>
  <si>
    <t>Kingston Upon Thames</t>
  </si>
  <si>
    <t>3715</t>
  </si>
  <si>
    <t>Rugby Borough Council</t>
  </si>
  <si>
    <t>Rugby</t>
  </si>
  <si>
    <t>3630</t>
  </si>
  <si>
    <t>Runnymeade Borough Council</t>
  </si>
  <si>
    <t>Runnymeade</t>
  </si>
  <si>
    <t>3040</t>
  </si>
  <si>
    <t>Rushcliffe Borough Council</t>
  </si>
  <si>
    <t>Rushcliffe</t>
  </si>
  <si>
    <t>2470</t>
  </si>
  <si>
    <t>Rutland County Council</t>
  </si>
  <si>
    <t>Rutland</t>
  </si>
  <si>
    <t>2725</t>
  </si>
  <si>
    <t>Ryedale District Council</t>
  </si>
  <si>
    <t>Ryedale</t>
  </si>
  <si>
    <t>4230</t>
  </si>
  <si>
    <t>Salford</t>
  </si>
  <si>
    <t>4620</t>
  </si>
  <si>
    <t>Sandwell Metropolitan Borough Council</t>
  </si>
  <si>
    <t>Sandwell</t>
  </si>
  <si>
    <t>2730</t>
  </si>
  <si>
    <t>Scarborough Borough Council</t>
  </si>
  <si>
    <t>Scarborough</t>
  </si>
  <si>
    <t>3310</t>
  </si>
  <si>
    <t>Sedgemoor District Council</t>
  </si>
  <si>
    <t>Sedgemoor</t>
  </si>
  <si>
    <t>4320</t>
  </si>
  <si>
    <t>Sefton</t>
  </si>
  <si>
    <t>2735</t>
  </si>
  <si>
    <t>Selby District Council</t>
  </si>
  <si>
    <t>Selby</t>
  </si>
  <si>
    <t>2245</t>
  </si>
  <si>
    <t>Sevenoaks District Council</t>
  </si>
  <si>
    <t>Sevenoaks</t>
  </si>
  <si>
    <t>4420</t>
  </si>
  <si>
    <t>Sheffield City Council</t>
  </si>
  <si>
    <t>Sheffield</t>
  </si>
  <si>
    <t>2250</t>
  </si>
  <si>
    <t>Shepway District Council</t>
  </si>
  <si>
    <t>Shepway</t>
  </si>
  <si>
    <t>3245</t>
  </si>
  <si>
    <t>Shropshire County Council</t>
  </si>
  <si>
    <t>Shropshire</t>
  </si>
  <si>
    <t>4625</t>
  </si>
  <si>
    <t>Solihull Metropolitan Borough</t>
  </si>
  <si>
    <t>Solihull</t>
  </si>
  <si>
    <t>2525</t>
  </si>
  <si>
    <t>South Holland District Council</t>
  </si>
  <si>
    <t>South Holland</t>
  </si>
  <si>
    <t>2530</t>
  </si>
  <si>
    <t>South Kesteven District Council</t>
  </si>
  <si>
    <t>South Kesteven</t>
  </si>
  <si>
    <t>2630</t>
  </si>
  <si>
    <t>South Norfolk District Council</t>
  </si>
  <si>
    <t>South Norfolk</t>
  </si>
  <si>
    <t>2830</t>
  </si>
  <si>
    <t>South Northamptonshire Council</t>
  </si>
  <si>
    <t>South Northamptonshire</t>
  </si>
  <si>
    <t>3115</t>
  </si>
  <si>
    <t>South Oxfordshire District Council</t>
  </si>
  <si>
    <t>South Oxfordshire</t>
  </si>
  <si>
    <t>2360</t>
  </si>
  <si>
    <t>South Ribble Borough Council</t>
  </si>
  <si>
    <t>South Ribble</t>
  </si>
  <si>
    <t>3325</t>
  </si>
  <si>
    <t>South Somerset District Council</t>
  </si>
  <si>
    <t>South Somerset</t>
  </si>
  <si>
    <t>3430</t>
  </si>
  <si>
    <t>South Stafforshire District Council</t>
  </si>
  <si>
    <t>South Stafforshire</t>
  </si>
  <si>
    <t>4520</t>
  </si>
  <si>
    <t>South Tyneside Metropolitan Borough Council</t>
  </si>
  <si>
    <t>South Tyneside</t>
  </si>
  <si>
    <t>3635</t>
  </si>
  <si>
    <t>Spelthorne Borough Council</t>
  </si>
  <si>
    <t>Spelthorne</t>
  </si>
  <si>
    <t>1930</t>
  </si>
  <si>
    <t>St Albans District Council</t>
  </si>
  <si>
    <t>St Albans</t>
  </si>
  <si>
    <t>3525</t>
  </si>
  <si>
    <t>St Edmundsbury Borough Council</t>
  </si>
  <si>
    <t>St Edmundsbury</t>
  </si>
  <si>
    <t>4315</t>
  </si>
  <si>
    <t>St Helens Metropolitan Borough Council</t>
  </si>
  <si>
    <t>St Helens</t>
  </si>
  <si>
    <t>3425</t>
  </si>
  <si>
    <t>Stafford Borough Council</t>
  </si>
  <si>
    <t>Stafford</t>
  </si>
  <si>
    <t>3435</t>
  </si>
  <si>
    <t>Staffordshire Moorlands</t>
  </si>
  <si>
    <t>1935</t>
  </si>
  <si>
    <t>Stevenage Borough Council</t>
  </si>
  <si>
    <t>Stevenage</t>
  </si>
  <si>
    <t>4235</t>
  </si>
  <si>
    <t>Stockport Metropolitan Borough Council</t>
  </si>
  <si>
    <t>Stockport</t>
  </si>
  <si>
    <t>3455</t>
  </si>
  <si>
    <t>Stoke-On-Trent</t>
  </si>
  <si>
    <t>Stoke on Trent</t>
  </si>
  <si>
    <t>3720</t>
  </si>
  <si>
    <t>Stratford-Upon-Avon</t>
  </si>
  <si>
    <t>Stratford upon Avon</t>
  </si>
  <si>
    <t>Client Report</t>
  </si>
  <si>
    <t>This shows the figures from the "Basic Output" sheet. The RV's will also be shown if this box is ticked</t>
  </si>
  <si>
    <t>show rv's</t>
  </si>
  <si>
    <t>Rate Period</t>
  </si>
  <si>
    <t>to</t>
  </si>
  <si>
    <t>Prepared by</t>
  </si>
  <si>
    <t>2017</t>
  </si>
  <si>
    <t>basic client report</t>
  </si>
  <si>
    <t>3530</t>
  </si>
  <si>
    <t>Suffolk Coastal District Council</t>
  </si>
  <si>
    <t>Suffolk Coastal</t>
  </si>
  <si>
    <t>4525</t>
  </si>
  <si>
    <t>Sunderland City Council</t>
  </si>
  <si>
    <t>Sunderland</t>
  </si>
  <si>
    <t>3640</t>
  </si>
  <si>
    <t>Surrey Heath Borough Council</t>
  </si>
  <si>
    <t>Surrey Heath</t>
  </si>
  <si>
    <t>2255</t>
  </si>
  <si>
    <t>Swale Borough Council</t>
  </si>
  <si>
    <t>Swale</t>
  </si>
  <si>
    <t>6855</t>
  </si>
  <si>
    <t>Swansea</t>
  </si>
  <si>
    <t>3935</t>
  </si>
  <si>
    <t>Swindon Borough Council</t>
  </si>
  <si>
    <t>Swindon</t>
  </si>
  <si>
    <t>4240</t>
  </si>
  <si>
    <t>Tameside Metropolitan Borough Council</t>
  </si>
  <si>
    <t>Tameside</t>
  </si>
  <si>
    <t>3445</t>
  </si>
  <si>
    <t>Tamworth Borough Council</t>
  </si>
  <si>
    <t>Tamworth</t>
  </si>
  <si>
    <t>3645</t>
  </si>
  <si>
    <t>Tandridge District Council</t>
  </si>
  <si>
    <t>came from&gt;</t>
  </si>
  <si>
    <t>Tandridge</t>
  </si>
  <si>
    <t>3315</t>
  </si>
  <si>
    <t>Taunton Deane Borough Council</t>
  </si>
  <si>
    <t>Taunton Deane</t>
  </si>
  <si>
    <t>3240</t>
  </si>
  <si>
    <t>Telford &amp; Wrekin District Council</t>
  </si>
  <si>
    <t>Telford &amp; Wrekin</t>
  </si>
  <si>
    <t>2260</t>
  </si>
  <si>
    <t>Thanet District Council</t>
  </si>
  <si>
    <t>Thanet</t>
  </si>
  <si>
    <t>5390</t>
  </si>
  <si>
    <t>The London Borough Of Hammersmith &amp; Fulham</t>
  </si>
  <si>
    <t>Hammersmith &amp; Fulham</t>
  </si>
  <si>
    <t>5600</t>
  </si>
  <si>
    <t>The Royal Borough Of Kensington &amp; Chelsea</t>
  </si>
  <si>
    <t>Kensington &amp; Chelsea</t>
  </si>
  <si>
    <t>1940</t>
  </si>
  <si>
    <t>Three Rivers District Council</t>
  </si>
  <si>
    <t>Three Rivers</t>
  </si>
  <si>
    <t>2265</t>
  </si>
  <si>
    <t>Tonbridge &amp; Malling Borough Council</t>
  </si>
  <si>
    <t>Tonbridge &amp; Malling</t>
  </si>
  <si>
    <t>6945</t>
  </si>
  <si>
    <t>Torfaen County Borough Council</t>
  </si>
  <si>
    <t>Torfaen</t>
  </si>
  <si>
    <t>4245</t>
  </si>
  <si>
    <t>Trafford Borough Council</t>
  </si>
  <si>
    <t>Trafford</t>
  </si>
  <si>
    <t>2270</t>
  </si>
  <si>
    <t>Tunbridge Wells Borough Council</t>
  </si>
  <si>
    <t>Tunbridge Wells</t>
  </si>
  <si>
    <t>6950</t>
  </si>
  <si>
    <t>Vale Of Glamorgan Council</t>
  </si>
  <si>
    <t>Vale Of Glamorgan</t>
  </si>
  <si>
    <t>3120</t>
  </si>
  <si>
    <t>Vale Of White Horse District Council</t>
  </si>
  <si>
    <t>Vale Of White Horse</t>
  </si>
  <si>
    <t>4725</t>
  </si>
  <si>
    <t>Wakefield Mbc</t>
  </si>
  <si>
    <t>Wakefield</t>
  </si>
  <si>
    <t>4630</t>
  </si>
  <si>
    <t>Walsall Metropolitan Borough Council</t>
  </si>
  <si>
    <t>Walsall</t>
  </si>
  <si>
    <t>3725</t>
  </si>
  <si>
    <t>Warwick District Council</t>
  </si>
  <si>
    <t>Warwick</t>
  </si>
  <si>
    <t>1945</t>
  </si>
  <si>
    <t>Watford Borough Council</t>
  </si>
  <si>
    <t>Watford</t>
  </si>
  <si>
    <t>3535</t>
  </si>
  <si>
    <t>Waveney Borough Council</t>
  </si>
  <si>
    <t>Waveney</t>
  </si>
  <si>
    <t>3650</t>
  </si>
  <si>
    <t>Waverley Borough Council</t>
  </si>
  <si>
    <t>Waverley</t>
  </si>
  <si>
    <t>2835</t>
  </si>
  <si>
    <t>Wellingborough</t>
  </si>
  <si>
    <t>1950</t>
  </si>
  <si>
    <t>Welwyn Hatfield District Council</t>
  </si>
  <si>
    <t>Welwyn Hatfield</t>
  </si>
  <si>
    <t>2365</t>
  </si>
  <si>
    <t>West Lancashire District Council</t>
  </si>
  <si>
    <t>West Lancs</t>
  </si>
  <si>
    <t>2535</t>
  </si>
  <si>
    <t>West Lindsey District Council</t>
  </si>
  <si>
    <t>West Lindsey</t>
  </si>
  <si>
    <t>3125</t>
  </si>
  <si>
    <t>West Oxfordshire District Council</t>
  </si>
  <si>
    <t>West Oxfordshire</t>
  </si>
  <si>
    <t>3320</t>
  </si>
  <si>
    <t>West Somerset District Council</t>
  </si>
  <si>
    <t>West Somerset</t>
  </si>
  <si>
    <t>5990</t>
  </si>
  <si>
    <t>Westminster</t>
  </si>
  <si>
    <t>4250</t>
  </si>
  <si>
    <t>Wigan Metropolitan Borough Council</t>
  </si>
  <si>
    <t>Wigan</t>
  </si>
  <si>
    <t>3940</t>
  </si>
  <si>
    <t>Wiltshire Council</t>
  </si>
  <si>
    <t>Wiltshire</t>
  </si>
  <si>
    <t>interest</t>
  </si>
  <si>
    <t>4325</t>
  </si>
  <si>
    <t>Wirral Borough Council</t>
  </si>
  <si>
    <t>Wirral</t>
  </si>
  <si>
    <t>3655</t>
  </si>
  <si>
    <t>Woking Borough Council</t>
  </si>
  <si>
    <t>Woking</t>
  </si>
  <si>
    <t>4635</t>
  </si>
  <si>
    <t>Wolverhampton Metropolitan Borough Council</t>
  </si>
  <si>
    <t>Wolverhampton</t>
  </si>
  <si>
    <t>3835</t>
  </si>
  <si>
    <t>Worthing Borough Council</t>
  </si>
  <si>
    <t>Worthing</t>
  </si>
  <si>
    <t>6955</t>
  </si>
  <si>
    <t>Wrexham County Borough Council</t>
  </si>
  <si>
    <t>Wrexham</t>
  </si>
  <si>
    <t>1840</t>
  </si>
  <si>
    <t>Wychavon District Council</t>
  </si>
  <si>
    <t>Wychavon</t>
  </si>
  <si>
    <t>2370</t>
  </si>
  <si>
    <t>Wyre Borough Council</t>
  </si>
  <si>
    <t>Wyre</t>
  </si>
  <si>
    <t>1845</t>
  </si>
  <si>
    <t>Wyre Forest District Council</t>
  </si>
  <si>
    <t>Wyre Forest</t>
  </si>
  <si>
    <t>analyse filter</t>
  </si>
  <si>
    <t>&lt;&lt; change this when ready</t>
  </si>
  <si>
    <t>&lt;&lt; this is the plist year&amp;START</t>
  </si>
  <si>
    <t>2017START</t>
  </si>
  <si>
    <t>&lt;&lt; this is the currentlist year&amp;START</t>
  </si>
  <si>
    <t>For more information go to www.calcurate.co.uk</t>
  </si>
  <si>
    <t>Calcurate is a collection of Microsoft Excel Workbooks. Users should have an understanding of how to use Microsoft Excel before using Calcurate.</t>
  </si>
  <si>
    <t>Users should make full use of the trial period available to satisfy themselves of the accuracy and reliability of Calcurate.</t>
  </si>
  <si>
    <t>Calcurate 2023 v 3.3b</t>
  </si>
  <si>
    <t>2024 estimate indicator removed</t>
  </si>
  <si>
    <t>Business Rates Liability and Payments</t>
  </si>
  <si>
    <t>advanced payments</t>
  </si>
  <si>
    <t>Calcurate 2023 v 3.3c</t>
  </si>
  <si>
    <t>2024 estimate indicator removed | Adv Payments</t>
  </si>
  <si>
    <t>Calcurate 2023 v 3.3d</t>
  </si>
  <si>
    <t>City of London Supplement 2024</t>
  </si>
  <si>
    <t>small city supp</t>
  </si>
  <si>
    <t>small city of london  supp</t>
  </si>
  <si>
    <t>Calcurate 2023 v 3.3e</t>
  </si>
  <si>
    <t>City of London (small) Supplement 2024</t>
  </si>
  <si>
    <t>small city adj</t>
  </si>
  <si>
    <t>sm city adj</t>
  </si>
  <si>
    <t>&lt; thresh?</t>
  </si>
  <si>
    <t>diff (used in wkgs1 and 2)</t>
  </si>
  <si>
    <t>standard</t>
  </si>
  <si>
    <t>England8.xlsm</t>
  </si>
  <si>
    <t>&lt;del?</t>
  </si>
  <si>
    <t>&lt; tax</t>
  </si>
  <si>
    <t>&lt;compare</t>
  </si>
  <si>
    <t>&lt; messge</t>
  </si>
  <si>
    <t>liab date+1</t>
  </si>
  <si>
    <t>deletion</t>
  </si>
  <si>
    <t>Calcurate 2023 v 3.4</t>
  </si>
  <si>
    <t>amended interest for deletions</t>
  </si>
  <si>
    <t>Calcurate 2023 v 3.5</t>
  </si>
  <si>
    <t>fix advanced rhl  |  ssbr prompt</t>
  </si>
  <si>
    <t>&lt; possible ssbr?</t>
  </si>
  <si>
    <t>Certified Value</t>
  </si>
  <si>
    <t>Improvement Relief Certificates</t>
  </si>
  <si>
    <t>improvement_top</t>
  </si>
  <si>
    <t>improvement_bottom</t>
  </si>
  <si>
    <t>improvement_open_or_closed</t>
  </si>
  <si>
    <t>imp panel open or closed</t>
  </si>
  <si>
    <t>https://www.legislation.gov.uk/uksi/2023/1357/contents/made</t>
  </si>
  <si>
    <t>imp relief</t>
  </si>
  <si>
    <t>o st dt in date seq</t>
  </si>
  <si>
    <t>o end dt in date seq</t>
  </si>
  <si>
    <t>imp rel schem start</t>
  </si>
  <si>
    <t>Improvement Relief Scheme Start Date</t>
  </si>
  <si>
    <t>o start in list</t>
  </si>
  <si>
    <t>o end in list</t>
  </si>
  <si>
    <t>o st in dt sect</t>
  </si>
  <si>
    <t>o end in dt sect</t>
  </si>
  <si>
    <t>error type</t>
  </si>
  <si>
    <t>error messg</t>
  </si>
  <si>
    <t>Date Section</t>
  </si>
  <si>
    <t>r start in list</t>
  </si>
  <si>
    <t>r end in list</t>
  </si>
  <si>
    <t>r st dt in date seq</t>
  </si>
  <si>
    <t>r end dt in date seq</t>
  </si>
  <si>
    <t>rst in dt sect</t>
  </si>
  <si>
    <t>r end in dt sect</t>
  </si>
  <si>
    <t>! End Dates not in sequence or End Date is not after the Start Date</t>
  </si>
  <si>
    <t>! Please enter the Start Date in the main Date Section below</t>
  </si>
  <si>
    <t>! Please enter the date of the day AFTER the End Date in the main Date Section below</t>
  </si>
  <si>
    <t>Cert Value</t>
  </si>
  <si>
    <t>adv_all_ok</t>
  </si>
  <si>
    <t>adv_error_message</t>
  </si>
  <si>
    <t>imp rel error</t>
  </si>
  <si>
    <t>imp err?</t>
  </si>
  <si>
    <t>Cert Val</t>
  </si>
  <si>
    <t>01/04/2024</t>
  </si>
  <si>
    <t>Calcurate 2023 v 3.6</t>
  </si>
  <si>
    <t>Improvement Relief</t>
  </si>
  <si>
    <t>imp o?</t>
  </si>
  <si>
    <t>imp r?</t>
  </si>
  <si>
    <t>Imp Rel</t>
  </si>
  <si>
    <t xml:space="preserve">Improvement | </t>
  </si>
  <si>
    <t>40%</t>
  </si>
  <si>
    <t>September CPI | Budget 2024</t>
  </si>
  <si>
    <t>Calcurate 2023 v 4.0</t>
  </si>
  <si>
    <t>three year cap</t>
  </si>
  <si>
    <t>Three yr cap</t>
  </si>
  <si>
    <t>cap that applies in this year</t>
  </si>
  <si>
    <t>warning level</t>
  </si>
  <si>
    <t>if eng</t>
  </si>
  <si>
    <t>if gl</t>
  </si>
  <si>
    <t>warning</t>
  </si>
  <si>
    <t>plist final yr mltplirs</t>
  </si>
  <si>
    <t>city</t>
  </si>
  <si>
    <t>xr</t>
  </si>
  <si>
    <t>ba</t>
  </si>
  <si>
    <t>ad</t>
  </si>
  <si>
    <t>mltpir</t>
  </si>
  <si>
    <t>rel</t>
  </si>
  <si>
    <t>act rel</t>
  </si>
  <si>
    <t>3 yr warn thresh</t>
  </si>
  <si>
    <t>warn?</t>
  </si>
  <si>
    <t>&lt;rhl alert</t>
  </si>
  <si>
    <t>calc rel</t>
  </si>
  <si>
    <t>user input rel</t>
  </si>
  <si>
    <t>user y or n</t>
  </si>
  <si>
    <t>rhl button text</t>
  </si>
  <si>
    <t>rhl entrd</t>
  </si>
  <si>
    <t>plrv rhl</t>
  </si>
  <si>
    <t>plrv chnged?</t>
  </si>
  <si>
    <t>trigger</t>
  </si>
  <si>
    <t>RHL Message</t>
  </si>
  <si>
    <t>3 yr cap warn</t>
  </si>
  <si>
    <t>https://www.helixdynamic.com/</t>
  </si>
  <si>
    <t>2022inpt</t>
  </si>
  <si>
    <t>&lt; cumalitive</t>
  </si>
  <si>
    <t>3yrcap</t>
  </si>
  <si>
    <t>1yrcap</t>
  </si>
  <si>
    <t>actual cap</t>
  </si>
  <si>
    <t>rhl 3 yr cap o</t>
  </si>
  <si>
    <t>rhl 3 yr cap r</t>
  </si>
  <si>
    <t>usr input</t>
  </si>
  <si>
    <t>y / n</t>
  </si>
  <si>
    <t>to use</t>
  </si>
  <si>
    <t>warn</t>
  </si>
  <si>
    <t>&lt; 2022 rhl</t>
  </si>
  <si>
    <t>2022 calc</t>
  </si>
  <si>
    <t>2022inpty</t>
  </si>
  <si>
    <t>plrv</t>
  </si>
  <si>
    <t>adv_rhlinput_orig</t>
  </si>
  <si>
    <t>adv_rhlinputy_orig</t>
  </si>
  <si>
    <t>adv_rhlinput_rev</t>
  </si>
  <si>
    <t>adv_rhlinputy_rev</t>
  </si>
  <si>
    <t>rhl caps</t>
  </si>
  <si>
    <t>rel to use</t>
  </si>
  <si>
    <t>2022 RHL figure is no longer required, click 'clr' to clear</t>
  </si>
  <si>
    <t>inp</t>
  </si>
  <si>
    <t>text for analysis</t>
  </si>
  <si>
    <t>pl e</t>
  </si>
  <si>
    <t>plubr</t>
  </si>
  <si>
    <t>plrv&lt;thresh</t>
  </si>
  <si>
    <t>ssbr ticked</t>
  </si>
  <si>
    <t>cur liab</t>
  </si>
  <si>
    <t>trcap</t>
  </si>
  <si>
    <t>cash cap</t>
  </si>
  <si>
    <t>higher</t>
  </si>
  <si>
    <t>exceeds cap?</t>
  </si>
  <si>
    <t>not charity</t>
  </si>
  <si>
    <t>occ?</t>
  </si>
  <si>
    <t>never empty?</t>
  </si>
  <si>
    <t>ssbr applies?</t>
  </si>
  <si>
    <t>ann relief</t>
  </si>
  <si>
    <t>this rel</t>
  </si>
  <si>
    <t>ssbr for detail</t>
  </si>
  <si>
    <t>supporting small business relief</t>
  </si>
  <si>
    <t>not used</t>
  </si>
  <si>
    <t>plist sb thresh</t>
  </si>
  <si>
    <t>final for bl</t>
  </si>
  <si>
    <t>ssbr prev</t>
  </si>
  <si>
    <t>ssbr in 22/23?</t>
  </si>
  <si>
    <t>Improvement Relief |RHL 3 yr cap | ssbr check for 22/23 | ssbr added to adv</t>
  </si>
  <si>
    <t>ssbr in prev list?</t>
  </si>
  <si>
    <t>adv_ssbr_prevo</t>
  </si>
  <si>
    <t>adv_ssbr_prevr</t>
  </si>
  <si>
    <t>adv_ssbr_o</t>
  </si>
  <si>
    <t>adv_ssbr_r</t>
  </si>
  <si>
    <t>ssbr in prev lst</t>
  </si>
  <si>
    <t>Calcurate 2023 v 4.0a</t>
  </si>
  <si>
    <t>fix copypaste advanced</t>
  </si>
  <si>
    <t>Calcurate 2023 v 4.0b</t>
  </si>
  <si>
    <t>City of London 2025 | Int Rate for Refunds</t>
  </si>
  <si>
    <t>&lt; len</t>
  </si>
  <si>
    <t>&lt; len header</t>
  </si>
  <si>
    <t>&lt; chrs</t>
  </si>
  <si>
    <t>force EW</t>
  </si>
  <si>
    <t>"EW",</t>
  </si>
  <si>
    <t>force "assessno"</t>
  </si>
  <si>
    <t>add1</t>
  </si>
  <si>
    <t>add2</t>
  </si>
  <si>
    <t>add3</t>
  </si>
  <si>
    <t>add4</t>
  </si>
  <si>
    <t>ba ref</t>
  </si>
  <si>
    <t>ba code</t>
  </si>
  <si>
    <t>list</t>
  </si>
  <si>
    <t>alt date</t>
  </si>
  <si>
    <t>Calcurate 2023 v 4.1</t>
  </si>
  <si>
    <t>Helix import</t>
  </si>
  <si>
    <t>2029</t>
  </si>
  <si>
    <t>2026</t>
  </si>
  <si>
    <t>2023</t>
  </si>
  <si>
    <t>2010</t>
  </si>
  <si>
    <t>2005</t>
  </si>
  <si>
    <t>2000</t>
  </si>
  <si>
    <t>1995</t>
  </si>
  <si>
    <t>1990</t>
  </si>
  <si>
    <t>curr text</t>
  </si>
  <si>
    <t>&lt; len of address</t>
  </si>
  <si>
    <t>&lt;len of aa3</t>
  </si>
  <si>
    <t>&lt; first speech mark</t>
  </si>
  <si>
    <t>&lt; second speech mark (end of address)</t>
  </si>
  <si>
    <t>len</t>
  </si>
  <si>
    <t>no of fields</t>
  </si>
  <si>
    <t>no of fields &gt;</t>
  </si>
  <si>
    <t>if&gt;</t>
  </si>
  <si>
    <t>string</t>
  </si>
  <si>
    <t>count</t>
  </si>
  <si>
    <t>2nd</t>
  </si>
  <si>
    <t>3rd</t>
  </si>
  <si>
    <t>4th</t>
  </si>
  <si>
    <t>5th</t>
  </si>
  <si>
    <t>6th</t>
  </si>
  <si>
    <t>7th</t>
  </si>
  <si>
    <t>8th</t>
  </si>
  <si>
    <t>9th</t>
  </si>
  <si>
    <t>10th</t>
  </si>
  <si>
    <t>"xxxxxxxxxxx",</t>
  </si>
  <si>
    <t>"xxxxxx",</t>
  </si>
  <si>
    <t xml:space="preserve"> 7 is ""</t>
  </si>
  <si>
    <t>6 is postcode</t>
  </si>
  <si>
    <t>5 is county</t>
  </si>
  <si>
    <t>4 is town</t>
  </si>
  <si>
    <t>3 is area/suburb</t>
  </si>
  <si>
    <t>2 is street</t>
  </si>
  <si>
    <t>1 is number/name</t>
  </si>
  <si>
    <t>prev list</t>
  </si>
  <si>
    <t>seq</t>
  </si>
  <si>
    <t>yr&amp;seq</t>
  </si>
  <si>
    <t>start?</t>
  </si>
  <si>
    <t>string forAnalyse Filter&gt;</t>
  </si>
  <si>
    <t>this sheet converts Helix output to the Analyse format</t>
  </si>
  <si>
    <t>(yr mth day)</t>
  </si>
  <si>
    <t>convert to number</t>
  </si>
  <si>
    <t>&lt; if true, not this list</t>
  </si>
  <si>
    <t>not helix</t>
  </si>
  <si>
    <t>as txt</t>
  </si>
  <si>
    <t>1</t>
  </si>
  <si>
    <t>&lt; in list?</t>
  </si>
  <si>
    <t>Calcurate 2023 v 4.2</t>
  </si>
  <si>
    <t>ssbr adv fix</t>
  </si>
  <si>
    <t>s2017.xlsm</t>
  </si>
  <si>
    <t>England7.xlsm</t>
  </si>
  <si>
    <t>multi-recon23.xlsm</t>
  </si>
  <si>
    <t>RHL</t>
  </si>
  <si>
    <t>Calcurate 2023 v 4.2b</t>
  </si>
  <si>
    <t>adv instalments fix</t>
  </si>
  <si>
    <t>Calcurate 2023 v 4.3</t>
  </si>
  <si>
    <t>fix - adv ssbr with retail</t>
  </si>
  <si>
    <t xml:space="preserve">s s b r </t>
  </si>
  <si>
    <t>Charity and SBRR/SSBR are both Selected (Original)</t>
  </si>
  <si>
    <t>Charity and SBRR/SSBR are both Selected (Revised)</t>
  </si>
  <si>
    <t>Calcurate 2023 v 4.3a</t>
  </si>
  <si>
    <t>sys only - licence tempmem</t>
  </si>
  <si>
    <t>Calcurate 2023 v 5.0 xlms</t>
  </si>
  <si>
    <t>converted to xlms</t>
  </si>
  <si>
    <t>h</t>
  </si>
  <si>
    <t>Calcurate 2023 v 5.1 xlms</t>
  </si>
  <si>
    <t>sys only - fix basic payments</t>
  </si>
  <si>
    <t>qual days</t>
  </si>
  <si>
    <t>tot /qdays x days</t>
  </si>
  <si>
    <t>Calcurate 2023 v 5.2 xlms</t>
  </si>
  <si>
    <t>adv details rhl</t>
  </si>
  <si>
    <t>CBRE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</si>
</sst>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quot;£&quot;#,##0_);[Red]\(&quot;£&quot;#,##0\)"/>
    <numFmt numFmtId="165" formatCode="_(* #,##0.00_);_(* \(#,##0.00\);_(* &quot;-&quot;??_);_(@_)"/>
    <numFmt numFmtId="166" formatCode="#,##0.0000"/>
    <numFmt numFmtId="167" formatCode="0.000"/>
    <numFmt numFmtId="168" formatCode="0.0%"/>
    <numFmt numFmtId="169" formatCode="0.0000"/>
    <numFmt numFmtId="170" formatCode="dd/mm/yy;@"/>
    <numFmt numFmtId="171" formatCode="#,##0.00_ ;\-#,##0.00\ "/>
    <numFmt numFmtId="172" formatCode="#,##0.00_ ;[Red]\-#,##0.00\ "/>
    <numFmt numFmtId="173" formatCode="#,##0.00;[Red]\(#,##0.00\)"/>
    <numFmt numFmtId="174" formatCode="#,##0.00_ ;[Red]\(#,##0.00\ \)"/>
    <numFmt numFmtId="175" formatCode="#,##0_ ;[Red]\-#,##0\ "/>
    <numFmt numFmtId="176" formatCode="d/m/yy;@"/>
    <numFmt numFmtId="177" formatCode="dd/mm/yy"/>
    <numFmt numFmtId="178" formatCode="&quot;£&quot;#,##0.00"/>
    <numFmt numFmtId="179" formatCode="#,##0.000"/>
  </numFmts>
  <fonts count="185" x14ac:knownFonts="1">
    <font>
      <sz val="11"/>
      <color theme="1"/>
      <name val="Calibri"/>
      <family val="2"/>
      <scheme val="minor"/>
    </font>
    <font>
      <sz val="11"/>
      <color indexed="8"/>
      <name val="Calibri"/>
      <family val="2"/>
    </font>
    <font>
      <sz val="12"/>
      <name val="Arial"/>
      <family val="2"/>
    </font>
    <font>
      <b/>
      <sz val="12"/>
      <name val="Arial"/>
      <family val="2"/>
    </font>
    <font>
      <b/>
      <sz val="10"/>
      <name val="Arial"/>
      <family val="2"/>
    </font>
    <font>
      <sz val="10"/>
      <color indexed="8"/>
      <name val="Arial"/>
      <family val="2"/>
    </font>
    <font>
      <sz val="10"/>
      <name val="Arial"/>
      <family val="2"/>
    </font>
    <font>
      <b/>
      <sz val="10"/>
      <color indexed="18"/>
      <name val="Arial"/>
      <family val="2"/>
    </font>
    <font>
      <sz val="10"/>
      <name val="Arial"/>
      <family val="2"/>
    </font>
    <font>
      <u/>
      <sz val="10"/>
      <color indexed="12"/>
      <name val="Arial"/>
      <family val="2"/>
    </font>
    <font>
      <sz val="10"/>
      <name val="Arial"/>
      <family val="2"/>
    </font>
    <font>
      <sz val="10"/>
      <color indexed="61"/>
      <name val="Arial"/>
      <family val="2"/>
    </font>
    <font>
      <b/>
      <sz val="10"/>
      <color indexed="16"/>
      <name val="Arial"/>
      <family val="2"/>
    </font>
    <font>
      <sz val="10"/>
      <color indexed="16"/>
      <name val="Arial"/>
      <family val="2"/>
    </font>
    <font>
      <b/>
      <sz val="12"/>
      <color indexed="16"/>
      <name val="Arial"/>
      <family val="2"/>
    </font>
    <font>
      <b/>
      <sz val="12"/>
      <color indexed="10"/>
      <name val="Arial"/>
      <family val="2"/>
    </font>
    <font>
      <sz val="11"/>
      <color indexed="8"/>
      <name val="Calibri"/>
      <family val="2"/>
    </font>
    <font>
      <b/>
      <sz val="11"/>
      <color indexed="8"/>
      <name val="Calibri"/>
      <family val="2"/>
    </font>
    <font>
      <sz val="11"/>
      <color indexed="10"/>
      <name val="Calibri"/>
      <family val="2"/>
    </font>
    <font>
      <sz val="11"/>
      <name val="Calibri"/>
      <family val="2"/>
    </font>
    <font>
      <sz val="11"/>
      <color indexed="8"/>
      <name val="Arial"/>
      <family val="2"/>
    </font>
    <font>
      <b/>
      <sz val="11"/>
      <color indexed="8"/>
      <name val="Arial"/>
      <family val="2"/>
    </font>
    <font>
      <b/>
      <sz val="12"/>
      <color indexed="8"/>
      <name val="Arial"/>
      <family val="2"/>
    </font>
    <font>
      <b/>
      <sz val="11"/>
      <color indexed="12"/>
      <name val="Arial"/>
      <family val="2"/>
    </font>
    <font>
      <sz val="11"/>
      <color indexed="12"/>
      <name val="Calibri"/>
      <family val="2"/>
    </font>
    <font>
      <b/>
      <sz val="11"/>
      <color indexed="12"/>
      <name val="Calibri"/>
      <family val="2"/>
    </font>
    <font>
      <sz val="10"/>
      <name val="Arial"/>
      <family val="2"/>
    </font>
    <font>
      <sz val="8"/>
      <name val="Arial"/>
      <family val="2"/>
    </font>
    <font>
      <u/>
      <sz val="8"/>
      <color indexed="12"/>
      <name val="Arial"/>
      <family val="2"/>
    </font>
    <font>
      <sz val="9"/>
      <color indexed="8"/>
      <name val="Arial"/>
      <family val="2"/>
    </font>
    <font>
      <sz val="10"/>
      <name val="Arial"/>
      <family val="2"/>
    </font>
    <font>
      <b/>
      <sz val="10"/>
      <color indexed="12"/>
      <name val="Arial"/>
      <family val="2"/>
    </font>
    <font>
      <sz val="10"/>
      <color indexed="12"/>
      <name val="Arial"/>
      <family val="2"/>
    </font>
    <font>
      <sz val="10"/>
      <color indexed="20"/>
      <name val="Arial"/>
      <family val="2"/>
    </font>
    <font>
      <b/>
      <sz val="11"/>
      <color indexed="9"/>
      <name val="Arial"/>
      <family val="2"/>
    </font>
    <font>
      <b/>
      <sz val="10"/>
      <color indexed="8"/>
      <name val="Arial"/>
      <family val="2"/>
    </font>
    <font>
      <sz val="10"/>
      <color indexed="8"/>
      <name val="Arial"/>
      <family val="2"/>
    </font>
    <font>
      <b/>
      <sz val="12"/>
      <color indexed="8"/>
      <name val="Arial"/>
      <family val="2"/>
    </font>
    <font>
      <sz val="14"/>
      <color indexed="8"/>
      <name val="Arial"/>
      <family val="2"/>
    </font>
    <font>
      <sz val="12"/>
      <color indexed="8"/>
      <name val="Arial"/>
      <family val="2"/>
    </font>
    <font>
      <b/>
      <sz val="14"/>
      <color indexed="9"/>
      <name val="Arial"/>
      <family val="2"/>
    </font>
    <font>
      <b/>
      <sz val="10"/>
      <color indexed="9"/>
      <name val="Arial"/>
      <family val="2"/>
    </font>
    <font>
      <b/>
      <sz val="10"/>
      <color indexed="10"/>
      <name val="Arial"/>
      <family val="2"/>
    </font>
    <font>
      <b/>
      <sz val="14"/>
      <color indexed="62"/>
      <name val="Arial"/>
      <family val="2"/>
    </font>
    <font>
      <b/>
      <sz val="12"/>
      <color indexed="12"/>
      <name val="Arial"/>
      <family val="2"/>
    </font>
    <font>
      <b/>
      <sz val="14"/>
      <name val="Arial"/>
      <family val="2"/>
    </font>
    <font>
      <b/>
      <sz val="10"/>
      <color indexed="20"/>
      <name val="Arial"/>
      <family val="2"/>
    </font>
    <font>
      <b/>
      <sz val="10"/>
      <color indexed="37"/>
      <name val="Arial"/>
      <family val="2"/>
    </font>
    <font>
      <b/>
      <i/>
      <sz val="10"/>
      <color indexed="12"/>
      <name val="Arial"/>
      <family val="2"/>
    </font>
    <font>
      <sz val="10"/>
      <color indexed="10"/>
      <name val="Arial"/>
      <family val="2"/>
    </font>
    <font>
      <i/>
      <sz val="10"/>
      <name val="Arial"/>
      <family val="2"/>
    </font>
    <font>
      <b/>
      <sz val="8"/>
      <color indexed="56"/>
      <name val="Arial"/>
      <family val="2"/>
    </font>
    <font>
      <sz val="8"/>
      <color indexed="10"/>
      <name val="Arial"/>
      <family val="2"/>
    </font>
    <font>
      <sz val="8"/>
      <color indexed="16"/>
      <name val="Arial"/>
      <family val="2"/>
    </font>
    <font>
      <b/>
      <i/>
      <sz val="10"/>
      <color indexed="10"/>
      <name val="Arial"/>
      <family val="2"/>
    </font>
    <font>
      <i/>
      <sz val="10"/>
      <color indexed="10"/>
      <name val="Arial"/>
      <family val="2"/>
    </font>
    <font>
      <i/>
      <sz val="8"/>
      <name val="Arial"/>
      <family val="2"/>
    </font>
    <font>
      <i/>
      <sz val="8"/>
      <color indexed="8"/>
      <name val="Arial"/>
      <family val="2"/>
    </font>
    <font>
      <sz val="10"/>
      <color indexed="60"/>
      <name val="Arial"/>
      <family val="2"/>
    </font>
    <font>
      <sz val="8"/>
      <color indexed="60"/>
      <name val="Arial"/>
      <family val="2"/>
    </font>
    <font>
      <sz val="14"/>
      <name val="Arial"/>
      <family val="2"/>
    </font>
    <font>
      <i/>
      <sz val="8"/>
      <color indexed="60"/>
      <name val="Arial"/>
      <family val="2"/>
    </font>
    <font>
      <b/>
      <sz val="12"/>
      <color indexed="18"/>
      <name val="Arial"/>
      <family val="2"/>
    </font>
    <font>
      <sz val="10"/>
      <name val="Arial"/>
      <family val="2"/>
    </font>
    <font>
      <sz val="10"/>
      <name val="MS Sans Serif"/>
      <family val="2"/>
    </font>
    <font>
      <sz val="10"/>
      <name val="Arial"/>
      <family val="2"/>
    </font>
    <font>
      <b/>
      <sz val="11"/>
      <name val="Calibri"/>
      <family val="2"/>
    </font>
    <font>
      <b/>
      <sz val="12"/>
      <name val="Calibri"/>
      <family val="2"/>
    </font>
    <font>
      <b/>
      <sz val="14"/>
      <color indexed="10"/>
      <name val="Arial"/>
      <family val="2"/>
    </font>
    <font>
      <sz val="16"/>
      <name val="Arial"/>
      <family val="2"/>
    </font>
    <font>
      <sz val="12"/>
      <color indexed="8"/>
      <name val="Calibri"/>
      <family val="2"/>
    </font>
    <font>
      <sz val="12"/>
      <color indexed="18"/>
      <name val="Arial"/>
      <family val="2"/>
    </font>
    <font>
      <b/>
      <sz val="11"/>
      <color indexed="8"/>
      <name val="Calibri"/>
      <family val="2"/>
    </font>
    <font>
      <sz val="10"/>
      <color indexed="8"/>
      <name val="Calibri"/>
      <family val="2"/>
    </font>
    <font>
      <sz val="10"/>
      <color indexed="10"/>
      <name val="Arial"/>
      <family val="2"/>
    </font>
    <font>
      <sz val="14"/>
      <color indexed="8"/>
      <name val="Arial"/>
      <family val="2"/>
    </font>
    <font>
      <sz val="12"/>
      <color indexed="8"/>
      <name val="Calibri"/>
      <family val="2"/>
    </font>
    <font>
      <b/>
      <sz val="14"/>
      <color indexed="10"/>
      <name val="Calibri"/>
      <family val="2"/>
    </font>
    <font>
      <sz val="10"/>
      <color indexed="12"/>
      <name val="Arial"/>
      <family val="2"/>
    </font>
    <font>
      <b/>
      <sz val="11"/>
      <color indexed="8"/>
      <name val="Arial"/>
      <family val="2"/>
    </font>
    <font>
      <sz val="10"/>
      <name val="Arial"/>
      <family val="2"/>
    </font>
    <font>
      <i/>
      <sz val="14"/>
      <color indexed="10"/>
      <name val="Arial"/>
      <family val="2"/>
    </font>
    <font>
      <sz val="18"/>
      <name val="Arial"/>
      <family val="2"/>
    </font>
    <font>
      <i/>
      <sz val="14"/>
      <name val="Arial"/>
      <family val="2"/>
    </font>
    <font>
      <b/>
      <i/>
      <sz val="14"/>
      <name val="Arial"/>
      <family val="2"/>
    </font>
    <font>
      <b/>
      <i/>
      <sz val="10"/>
      <name val="Arial"/>
      <family val="2"/>
    </font>
    <font>
      <sz val="10"/>
      <name val="Arial"/>
      <family val="2"/>
    </font>
    <font>
      <b/>
      <sz val="11"/>
      <color indexed="8"/>
      <name val="Calibri"/>
      <family val="2"/>
    </font>
    <font>
      <sz val="18"/>
      <color indexed="9"/>
      <name val="Arial"/>
      <family val="2"/>
    </font>
    <font>
      <sz val="10"/>
      <name val="Arial"/>
      <family val="2"/>
    </font>
    <font>
      <b/>
      <sz val="10"/>
      <color indexed="13"/>
      <name val="Arial"/>
      <family val="2"/>
    </font>
    <font>
      <b/>
      <sz val="8"/>
      <name val="Arial"/>
      <family val="2"/>
    </font>
    <font>
      <sz val="9"/>
      <name val="Arial"/>
      <family val="2"/>
    </font>
    <font>
      <b/>
      <sz val="10"/>
      <color indexed="63"/>
      <name val="Arial"/>
      <family val="2"/>
    </font>
    <font>
      <b/>
      <sz val="12"/>
      <color indexed="9"/>
      <name val="Arial"/>
      <family val="2"/>
    </font>
    <font>
      <sz val="10"/>
      <color indexed="13"/>
      <name val="Arial"/>
      <family val="2"/>
    </font>
    <font>
      <sz val="10"/>
      <color indexed="9"/>
      <name val="Arial"/>
      <family val="2"/>
    </font>
    <font>
      <b/>
      <sz val="8"/>
      <color indexed="9"/>
      <name val="Arial"/>
      <family val="2"/>
    </font>
    <font>
      <sz val="9"/>
      <color indexed="12"/>
      <name val="Arial"/>
      <family val="2"/>
    </font>
    <font>
      <b/>
      <sz val="8"/>
      <color indexed="10"/>
      <name val="Arial"/>
      <family val="2"/>
    </font>
    <font>
      <b/>
      <sz val="10"/>
      <color indexed="61"/>
      <name val="Arial"/>
      <family val="2"/>
    </font>
    <font>
      <sz val="10"/>
      <color indexed="62"/>
      <name val="Arial"/>
      <family val="2"/>
    </font>
    <font>
      <b/>
      <sz val="11"/>
      <color indexed="8"/>
      <name val="Calibri"/>
      <family val="2"/>
    </font>
    <font>
      <b/>
      <sz val="11"/>
      <color indexed="10"/>
      <name val="Calibri"/>
      <family val="2"/>
    </font>
    <font>
      <sz val="12"/>
      <color indexed="8"/>
      <name val="Arial"/>
      <family val="2"/>
    </font>
    <font>
      <sz val="10"/>
      <name val="Arial"/>
      <family val="2"/>
    </font>
    <font>
      <b/>
      <sz val="16"/>
      <color indexed="8"/>
      <name val="Calibri"/>
      <family val="2"/>
    </font>
    <font>
      <b/>
      <sz val="11"/>
      <color indexed="8"/>
      <name val="Calibri"/>
      <family val="2"/>
    </font>
    <font>
      <i/>
      <sz val="10"/>
      <color indexed="8"/>
      <name val="Arial"/>
      <family val="2"/>
    </font>
    <font>
      <sz val="10"/>
      <name val="Arial"/>
      <family val="2"/>
    </font>
    <font>
      <sz val="8"/>
      <color indexed="51"/>
      <name val="Arial"/>
      <family val="2"/>
    </font>
    <font>
      <sz val="10"/>
      <color indexed="51"/>
      <name val="Arial"/>
      <family val="2"/>
    </font>
    <font>
      <sz val="8"/>
      <color indexed="12"/>
      <name val="Arial"/>
      <family val="2"/>
    </font>
    <font>
      <sz val="8"/>
      <color indexed="61"/>
      <name val="Arial"/>
      <family val="2"/>
    </font>
    <font>
      <sz val="6"/>
      <color indexed="12"/>
      <name val="Arial"/>
      <family val="2"/>
    </font>
    <font>
      <sz val="6"/>
      <color indexed="61"/>
      <name val="Arial"/>
      <family val="2"/>
    </font>
    <font>
      <b/>
      <sz val="10"/>
      <color indexed="60"/>
      <name val="Arial"/>
      <family val="2"/>
    </font>
    <font>
      <b/>
      <sz val="8"/>
      <color indexed="48"/>
      <name val="Arial"/>
      <family val="2"/>
    </font>
    <font>
      <b/>
      <sz val="11"/>
      <color indexed="8"/>
      <name val="Arial"/>
      <family val="2"/>
    </font>
    <font>
      <sz val="12"/>
      <color indexed="43"/>
      <name val="Arial"/>
      <family val="2"/>
    </font>
    <font>
      <b/>
      <sz val="14"/>
      <color indexed="8"/>
      <name val="Calibri"/>
      <family val="2"/>
    </font>
    <font>
      <b/>
      <sz val="11"/>
      <name val="Arial"/>
      <family val="2"/>
    </font>
    <font>
      <sz val="10"/>
      <name val="Calibri"/>
      <family val="2"/>
    </font>
    <font>
      <b/>
      <sz val="11"/>
      <color indexed="10"/>
      <name val="Arial"/>
      <family val="2"/>
    </font>
    <font>
      <sz val="10"/>
      <name val="Arial"/>
      <family val="2"/>
    </font>
    <font>
      <i/>
      <sz val="8"/>
      <color indexed="12"/>
      <name val="Arial"/>
      <family val="2"/>
    </font>
    <font>
      <b/>
      <sz val="20"/>
      <color indexed="10"/>
      <name val="Calibri"/>
      <family val="2"/>
    </font>
    <font>
      <i/>
      <sz val="11"/>
      <color indexed="8"/>
      <name val="Calibri"/>
      <family val="2"/>
    </font>
    <font>
      <sz val="10"/>
      <color indexed="56"/>
      <name val="Arial"/>
      <family val="2"/>
    </font>
    <font>
      <b/>
      <i/>
      <sz val="12"/>
      <color indexed="61"/>
      <name val="Arial"/>
      <family val="2"/>
    </font>
    <font>
      <b/>
      <i/>
      <sz val="12"/>
      <name val="Arial"/>
      <family val="2"/>
    </font>
    <font>
      <sz val="11"/>
      <name val="Arial"/>
      <family val="2"/>
    </font>
    <font>
      <u/>
      <sz val="10"/>
      <name val="Arial"/>
      <family val="2"/>
    </font>
    <font>
      <b/>
      <sz val="10"/>
      <color indexed="53"/>
      <name val="Arial"/>
      <family val="2"/>
    </font>
    <font>
      <sz val="14"/>
      <color indexed="14"/>
      <name val="Arial"/>
      <family val="2"/>
    </font>
    <font>
      <i/>
      <sz val="10"/>
      <color indexed="12"/>
      <name val="Arial"/>
      <family val="2"/>
    </font>
    <font>
      <sz val="6"/>
      <name val="Arial"/>
      <family val="2"/>
    </font>
    <font>
      <i/>
      <sz val="8"/>
      <color indexed="55"/>
      <name val="Arial"/>
      <family val="2"/>
    </font>
    <font>
      <b/>
      <i/>
      <sz val="8"/>
      <name val="Arial"/>
      <family val="2"/>
    </font>
    <font>
      <b/>
      <i/>
      <sz val="8"/>
      <color indexed="16"/>
      <name val="Arial"/>
      <family val="2"/>
    </font>
    <font>
      <b/>
      <u/>
      <sz val="10"/>
      <name val="Arial"/>
      <family val="2"/>
    </font>
    <font>
      <b/>
      <sz val="14"/>
      <color indexed="57"/>
      <name val="Calibri"/>
      <family val="2"/>
    </font>
    <font>
      <sz val="8"/>
      <name val="Calibri"/>
      <family val="2"/>
    </font>
    <font>
      <sz val="11"/>
      <color rgb="FF3F3F76"/>
      <name val="Calibri"/>
      <family val="2"/>
      <scheme val="minor"/>
    </font>
    <font>
      <b/>
      <i/>
      <sz val="10"/>
      <color rgb="FF0000FF"/>
      <name val="Arial"/>
      <family val="2"/>
    </font>
    <font>
      <i/>
      <sz val="10"/>
      <color rgb="FF0000FF"/>
      <name val="Arial"/>
      <family val="2"/>
    </font>
    <font>
      <b/>
      <sz val="10"/>
      <color rgb="FFFF0000"/>
      <name val="Arial"/>
      <family val="2"/>
    </font>
    <font>
      <sz val="11"/>
      <name val="Calibri"/>
      <family val="2"/>
      <scheme val="minor"/>
    </font>
    <font>
      <sz val="10"/>
      <color rgb="FFFF0000"/>
      <name val="Arial"/>
      <family val="2"/>
    </font>
    <font>
      <sz val="10"/>
      <color rgb="FF000000"/>
      <name val="Calibri"/>
      <family val="2"/>
    </font>
    <font>
      <b/>
      <sz val="12"/>
      <color rgb="FF008000"/>
      <name val="Arial"/>
      <family val="2"/>
    </font>
    <font>
      <sz val="12"/>
      <color rgb="FF000080"/>
      <name val="Arial"/>
      <family val="2"/>
    </font>
    <font>
      <b/>
      <sz val="12"/>
      <color rgb="FF800000"/>
      <name val="Arial"/>
      <family val="2"/>
    </font>
    <font>
      <b/>
      <sz val="12"/>
      <color rgb="FFFF0000"/>
      <name val="Arial"/>
      <family val="2"/>
    </font>
    <font>
      <b/>
      <sz val="12"/>
      <color rgb="FF000080"/>
      <name val="Arial"/>
      <family val="2"/>
    </font>
    <font>
      <b/>
      <sz val="11"/>
      <color rgb="FF000080"/>
      <name val="Calibri"/>
      <family val="2"/>
    </font>
    <font>
      <b/>
      <sz val="11"/>
      <color rgb="FF0000FF"/>
      <name val="Calibri"/>
      <family val="2"/>
    </font>
    <font>
      <b/>
      <sz val="10"/>
      <color rgb="FF0000FF"/>
      <name val="Arial"/>
      <family val="2"/>
    </font>
    <font>
      <sz val="10"/>
      <color rgb="FF000000"/>
      <name val="Arial"/>
      <family val="2"/>
    </font>
    <font>
      <b/>
      <sz val="12"/>
      <color rgb="FF0000FF"/>
      <name val="Arial"/>
      <family val="2"/>
    </font>
    <font>
      <b/>
      <sz val="10"/>
      <color rgb="FF000080"/>
      <name val="Arial"/>
      <family val="2"/>
    </font>
    <font>
      <sz val="8"/>
      <color rgb="FF000000"/>
      <name val="Tahoma"/>
      <family val="2"/>
    </font>
    <font>
      <sz val="11"/>
      <color rgb="FF000000"/>
      <name val="Calibri"/>
      <family val="2"/>
    </font>
    <font>
      <sz val="10"/>
      <color rgb="FF0000FF"/>
      <name val="Arial"/>
      <family val="2"/>
    </font>
    <font>
      <sz val="10"/>
      <color rgb="FF800080"/>
      <name val="Arial"/>
      <family val="2"/>
    </font>
    <font>
      <sz val="18"/>
      <color rgb="FF000000"/>
      <name val="Wingdings"/>
      <charset val="2"/>
    </font>
    <font>
      <b/>
      <sz val="8"/>
      <color rgb="FF0000FF"/>
      <name val="Arial"/>
      <family val="2"/>
    </font>
    <font>
      <sz val="11"/>
      <color rgb="FF0000FF"/>
      <name val="Calibri"/>
      <family val="2"/>
    </font>
    <font>
      <b/>
      <sz val="10"/>
      <color rgb="FF993366"/>
      <name val="Arial"/>
      <family val="2"/>
    </font>
    <font>
      <sz val="10"/>
      <color rgb="FF993366"/>
      <name val="Arial"/>
      <family val="2"/>
    </font>
    <font>
      <b/>
      <sz val="11"/>
      <color rgb="FFFF0000"/>
      <name val="Calibri"/>
      <family val="2"/>
    </font>
    <font>
      <sz val="10"/>
      <color rgb="FF000080"/>
      <name val="Arial"/>
      <family val="2"/>
    </font>
    <font>
      <b/>
      <sz val="14"/>
      <color rgb="FF0000FF"/>
      <name val="Calibri"/>
      <family val="2"/>
    </font>
    <font>
      <sz val="12"/>
      <color rgb="FF000000"/>
      <name val="Arial"/>
      <family val="2"/>
    </font>
    <font>
      <b/>
      <sz val="10"/>
      <color rgb="FF339966"/>
      <name val="Arial"/>
      <family val="2"/>
    </font>
    <font>
      <sz val="8"/>
      <color rgb="FF000000"/>
      <name val="Arial"/>
      <family val="2"/>
    </font>
    <font>
      <b/>
      <sz val="10"/>
      <color rgb="FF000000"/>
      <name val="Arial"/>
      <family val="2"/>
    </font>
    <font>
      <sz val="10"/>
      <color rgb="FF333399"/>
      <name val="Arial"/>
      <family val="2"/>
    </font>
    <font>
      <b/>
      <sz val="9"/>
      <color rgb="FF000000"/>
      <name val="Arial"/>
      <family val="2"/>
    </font>
    <font>
      <b/>
      <sz val="11"/>
      <color rgb="FF0000FF"/>
      <name val="Arial"/>
      <family val="2"/>
    </font>
    <font>
      <sz val="8"/>
      <color rgb="FF000000"/>
      <name val="Segoe UI"/>
      <family val="2"/>
    </font>
    <font>
      <b/>
      <sz val="10"/>
      <color rgb="FF008080"/>
      <name val="Arial"/>
      <family val="2"/>
    </font>
    <font>
      <sz val="8"/>
      <color rgb="FFFF0000"/>
      <name val="Arial"/>
      <family val="2"/>
    </font>
    <font>
      <b/>
      <sz val="10"/>
      <color rgb="FF800000"/>
      <name val="Arial"/>
      <family val="2"/>
    </font>
    <font>
      <b/>
      <sz val="12"/>
      <color rgb="FF000000"/>
      <name val="Arial"/>
      <family val="2"/>
    </font>
  </fonts>
  <fills count="42">
    <fill>
      <patternFill patternType="none"/>
    </fill>
    <fill>
      <patternFill patternType="gray125"/>
    </fill>
    <fill>
      <patternFill patternType="solid">
        <fgColor indexed="13"/>
        <bgColor indexed="64"/>
      </patternFill>
    </fill>
    <fill>
      <patternFill patternType="solid">
        <fgColor indexed="42"/>
        <bgColor indexed="64"/>
      </patternFill>
    </fill>
    <fill>
      <patternFill patternType="solid">
        <fgColor indexed="22"/>
        <bgColor indexed="64"/>
      </patternFill>
    </fill>
    <fill>
      <patternFill patternType="solid">
        <fgColor indexed="41"/>
        <bgColor indexed="64"/>
      </patternFill>
    </fill>
    <fill>
      <patternFill patternType="solid">
        <fgColor indexed="9"/>
        <bgColor indexed="64"/>
      </patternFill>
    </fill>
    <fill>
      <patternFill patternType="solid">
        <fgColor indexed="45"/>
        <bgColor indexed="64"/>
      </patternFill>
    </fill>
    <fill>
      <patternFill patternType="solid">
        <fgColor indexed="60"/>
        <bgColor indexed="64"/>
      </patternFill>
    </fill>
    <fill>
      <patternFill patternType="solid">
        <fgColor indexed="44"/>
        <bgColor indexed="64"/>
      </patternFill>
    </fill>
    <fill>
      <patternFill patternType="solid">
        <fgColor indexed="55"/>
        <bgColor indexed="64"/>
      </patternFill>
    </fill>
    <fill>
      <patternFill patternType="solid">
        <fgColor indexed="47"/>
        <bgColor indexed="64"/>
      </patternFill>
    </fill>
    <fill>
      <patternFill patternType="solid">
        <fgColor indexed="43"/>
        <bgColor indexed="64"/>
      </patternFill>
    </fill>
    <fill>
      <patternFill patternType="solid">
        <fgColor indexed="56"/>
        <bgColor indexed="64"/>
      </patternFill>
    </fill>
    <fill>
      <patternFill patternType="solid">
        <fgColor indexed="51"/>
        <bgColor indexed="64"/>
      </patternFill>
    </fill>
    <fill>
      <patternFill patternType="solid">
        <fgColor indexed="27"/>
        <bgColor indexed="64"/>
      </patternFill>
    </fill>
    <fill>
      <patternFill patternType="solid">
        <fgColor indexed="26"/>
        <bgColor indexed="64"/>
      </patternFill>
    </fill>
    <fill>
      <patternFill patternType="solid">
        <fgColor indexed="49"/>
        <bgColor indexed="64"/>
      </patternFill>
    </fill>
    <fill>
      <patternFill patternType="solid">
        <fgColor indexed="50"/>
        <bgColor indexed="64"/>
      </patternFill>
    </fill>
    <fill>
      <patternFill patternType="solid">
        <fgColor indexed="16"/>
        <bgColor indexed="64"/>
      </patternFill>
    </fill>
    <fill>
      <patternFill patternType="solid">
        <fgColor indexed="10"/>
        <bgColor indexed="64"/>
      </patternFill>
    </fill>
    <fill>
      <patternFill patternType="solid">
        <fgColor indexed="52"/>
        <bgColor indexed="64"/>
      </patternFill>
    </fill>
    <fill>
      <patternFill patternType="solid">
        <fgColor indexed="62"/>
        <bgColor indexed="64"/>
      </patternFill>
    </fill>
    <fill>
      <patternFill patternType="solid">
        <fgColor indexed="14"/>
        <bgColor indexed="64"/>
      </patternFill>
    </fill>
    <fill>
      <patternFill patternType="solid">
        <fgColor indexed="23"/>
        <bgColor indexed="64"/>
      </patternFill>
    </fill>
    <fill>
      <patternFill patternType="solid">
        <fgColor indexed="46"/>
        <bgColor indexed="64"/>
      </patternFill>
    </fill>
    <fill>
      <patternFill patternType="solid">
        <fgColor indexed="18"/>
        <bgColor indexed="64"/>
      </patternFill>
    </fill>
    <fill>
      <patternFill patternType="solid">
        <fgColor indexed="54"/>
        <bgColor indexed="64"/>
      </patternFill>
    </fill>
    <fill>
      <patternFill patternType="solid">
        <fgColor indexed="61"/>
        <bgColor indexed="64"/>
      </patternFill>
    </fill>
    <fill>
      <patternFill patternType="solid">
        <fgColor rgb="FFFFCC99"/>
      </patternFill>
    </fill>
    <fill>
      <patternFill patternType="solid">
        <fgColor rgb="FFFFFF99"/>
        <bgColor indexed="64"/>
      </patternFill>
    </fill>
    <fill>
      <patternFill patternType="solid">
        <fgColor rgb="FFCCFFCC"/>
        <bgColor indexed="64"/>
      </patternFill>
    </fill>
    <fill>
      <patternFill patternType="solid">
        <fgColor rgb="FFCCFF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CCFF"/>
        <bgColor indexed="64"/>
      </patternFill>
    </fill>
    <fill>
      <patternFill patternType="solid">
        <fgColor theme="0"/>
        <bgColor indexed="64"/>
      </patternFill>
    </fill>
    <fill>
      <patternFill patternType="solid">
        <fgColor rgb="FFFF99CC"/>
        <bgColor indexed="64"/>
      </patternFill>
    </fill>
    <fill>
      <patternFill patternType="solid">
        <fgColor rgb="FFFFCCCC"/>
        <bgColor indexed="64"/>
      </patternFill>
    </fill>
    <fill>
      <patternFill patternType="solid">
        <fgColor rgb="FFFFFFCC"/>
        <bgColor indexed="64"/>
      </patternFill>
    </fill>
    <fill>
      <patternFill patternType="solid">
        <fgColor rgb="FFEAEAEA"/>
        <bgColor indexed="64"/>
      </patternFill>
    </fill>
    <fill>
      <patternFill patternType="solid">
        <fgColor rgb="FFFFCCFF"/>
        <bgColor indexed="64"/>
      </patternFill>
    </fill>
  </fills>
  <borders count="6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9"/>
      </left>
      <right/>
      <top style="medium">
        <color indexed="9"/>
      </top>
      <bottom/>
      <diagonal/>
    </border>
    <border>
      <left/>
      <right/>
      <top style="medium">
        <color indexed="9"/>
      </top>
      <bottom/>
      <diagonal/>
    </border>
    <border>
      <left/>
      <right style="medium">
        <color indexed="9"/>
      </right>
      <top style="medium">
        <color indexed="9"/>
      </top>
      <bottom/>
      <diagonal/>
    </border>
    <border>
      <left style="medium">
        <color indexed="9"/>
      </left>
      <right/>
      <top/>
      <bottom/>
      <diagonal/>
    </border>
    <border>
      <left/>
      <right style="medium">
        <color indexed="9"/>
      </right>
      <top/>
      <bottom/>
      <diagonal/>
    </border>
    <border>
      <left style="medium">
        <color indexed="9"/>
      </left>
      <right/>
      <top/>
      <bottom style="medium">
        <color indexed="9"/>
      </bottom>
      <diagonal/>
    </border>
    <border>
      <left/>
      <right/>
      <top/>
      <bottom style="medium">
        <color indexed="9"/>
      </bottom>
      <diagonal/>
    </border>
    <border>
      <left/>
      <right style="medium">
        <color indexed="9"/>
      </right>
      <top/>
      <bottom style="medium">
        <color indexed="9"/>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ck">
        <color indexed="23"/>
      </left>
      <right/>
      <top style="thick">
        <color indexed="23"/>
      </top>
      <bottom/>
      <diagonal/>
    </border>
    <border>
      <left/>
      <right/>
      <top style="thick">
        <color indexed="23"/>
      </top>
      <bottom/>
      <diagonal/>
    </border>
    <border>
      <left/>
      <right style="thick">
        <color indexed="23"/>
      </right>
      <top style="thick">
        <color indexed="23"/>
      </top>
      <bottom/>
      <diagonal/>
    </border>
    <border>
      <left style="thick">
        <color indexed="23"/>
      </left>
      <right/>
      <top/>
      <bottom/>
      <diagonal/>
    </border>
    <border>
      <left/>
      <right style="thick">
        <color indexed="23"/>
      </right>
      <top/>
      <bottom/>
      <diagonal/>
    </border>
    <border>
      <left style="thick">
        <color indexed="23"/>
      </left>
      <right/>
      <top/>
      <bottom style="thick">
        <color indexed="23"/>
      </bottom>
      <diagonal/>
    </border>
    <border>
      <left/>
      <right/>
      <top/>
      <bottom style="thick">
        <color indexed="23"/>
      </bottom>
      <diagonal/>
    </border>
    <border>
      <left/>
      <right style="thick">
        <color indexed="23"/>
      </right>
      <top/>
      <bottom style="thick">
        <color indexed="23"/>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double">
        <color indexed="64"/>
      </bottom>
      <diagonal/>
    </border>
    <border>
      <left/>
      <right/>
      <top style="thick">
        <color indexed="23"/>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uble">
        <color indexed="64"/>
      </bottom>
      <diagonal/>
    </border>
    <border>
      <left style="thin">
        <color indexed="53"/>
      </left>
      <right style="thin">
        <color indexed="53"/>
      </right>
      <top style="thin">
        <color indexed="53"/>
      </top>
      <bottom style="thin">
        <color indexed="53"/>
      </bottom>
      <diagonal/>
    </border>
    <border>
      <left style="thin">
        <color indexed="17"/>
      </left>
      <right style="thin">
        <color indexed="17"/>
      </right>
      <top style="thin">
        <color indexed="17"/>
      </top>
      <bottom style="thin">
        <color indexed="17"/>
      </bottom>
      <diagonal/>
    </border>
    <border>
      <left style="thin">
        <color indexed="10"/>
      </left>
      <right style="thin">
        <color indexed="10"/>
      </right>
      <top/>
      <bottom style="thin">
        <color indexed="10"/>
      </bottom>
      <diagonal/>
    </border>
    <border>
      <left style="thin">
        <color indexed="8"/>
      </left>
      <right/>
      <top/>
      <bottom/>
      <diagonal/>
    </border>
    <border>
      <left style="thin">
        <color rgb="FF7F7F7F"/>
      </left>
      <right style="thin">
        <color rgb="FF7F7F7F"/>
      </right>
      <top style="thin">
        <color rgb="FF7F7F7F"/>
      </top>
      <bottom style="thin">
        <color rgb="FF7F7F7F"/>
      </bottom>
      <diagonal/>
    </border>
  </borders>
  <cellStyleXfs count="35">
    <xf numFmtId="0" fontId="0" fillId="0" borderId="0"/>
    <xf numFmtId="165" fontId="16" fillId="0" borderId="0" applyFont="0" applyFill="0" applyBorder="0" applyAlignment="0" applyProtection="0"/>
    <xf numFmtId="165" fontId="6" fillId="0" borderId="0" applyFont="0" applyFill="0" applyBorder="0" applyAlignment="0" applyProtection="0"/>
    <xf numFmtId="165" fontId="124" fillId="0" borderId="0" applyFont="0" applyFill="0" applyBorder="0" applyAlignment="0" applyProtection="0"/>
    <xf numFmtId="40" fontId="124" fillId="0" borderId="0" applyFont="0" applyFill="0" applyBorder="0" applyProtection="0">
      <alignment horizontal="center"/>
    </xf>
    <xf numFmtId="0" fontId="9" fillId="0" borderId="0" applyNumberFormat="0" applyFill="0" applyBorder="0" applyAlignment="0" applyProtection="0">
      <alignment vertical="top"/>
      <protection locked="0"/>
    </xf>
    <xf numFmtId="0" fontId="143" fillId="29" borderId="63" applyNumberFormat="0" applyAlignment="0" applyProtection="0"/>
    <xf numFmtId="0" fontId="124" fillId="0" borderId="0"/>
    <xf numFmtId="0" fontId="6" fillId="0" borderId="0"/>
    <xf numFmtId="0" fontId="10" fillId="0" borderId="0"/>
    <xf numFmtId="0" fontId="26" fillId="0" borderId="0"/>
    <xf numFmtId="0" fontId="30" fillId="0" borderId="0"/>
    <xf numFmtId="0" fontId="63" fillId="0" borderId="0"/>
    <xf numFmtId="0" fontId="65" fillId="0" borderId="0"/>
    <xf numFmtId="0" fontId="105" fillId="0" borderId="0"/>
    <xf numFmtId="0" fontId="109" fillId="0" borderId="0"/>
    <xf numFmtId="0" fontId="6" fillId="0" borderId="0"/>
    <xf numFmtId="0" fontId="1" fillId="0" borderId="0"/>
    <xf numFmtId="0" fontId="86" fillId="0" borderId="0"/>
    <xf numFmtId="0" fontId="124" fillId="0" borderId="0"/>
    <xf numFmtId="2" fontId="10" fillId="0" borderId="0">
      <alignment horizontal="center"/>
    </xf>
    <xf numFmtId="2" fontId="124" fillId="0" borderId="0">
      <alignment horizontal="center"/>
    </xf>
    <xf numFmtId="0" fontId="89" fillId="0" borderId="0"/>
    <xf numFmtId="0" fontId="124" fillId="0" borderId="0"/>
    <xf numFmtId="0" fontId="5" fillId="0" borderId="0"/>
    <xf numFmtId="0" fontId="124" fillId="0" borderId="0"/>
    <xf numFmtId="2" fontId="105" fillId="0" borderId="0">
      <alignment horizontal="center"/>
    </xf>
    <xf numFmtId="2" fontId="6" fillId="0" borderId="0">
      <alignment horizontal="center"/>
    </xf>
    <xf numFmtId="2" fontId="124" fillId="0" borderId="0">
      <alignment horizontal="center"/>
    </xf>
    <xf numFmtId="2" fontId="80" fillId="0" borderId="0">
      <alignment horizontal="center"/>
    </xf>
    <xf numFmtId="2" fontId="124" fillId="0" borderId="0">
      <alignment horizontal="center"/>
    </xf>
    <xf numFmtId="9" fontId="16" fillId="0" borderId="0" applyFont="0" applyFill="0" applyBorder="0" applyAlignment="0" applyProtection="0"/>
    <xf numFmtId="9" fontId="6" fillId="0" borderId="0" applyFont="0" applyFill="0" applyBorder="0" applyAlignment="0" applyProtection="0"/>
    <xf numFmtId="9" fontId="109" fillId="0" borderId="0" applyFont="0" applyFill="0" applyBorder="0" applyAlignment="0" applyProtection="0"/>
    <xf numFmtId="9" fontId="124" fillId="0" borderId="0" applyFont="0" applyFill="0" applyBorder="0" applyAlignment="0" applyProtection="0"/>
  </cellStyleXfs>
  <cellXfs count="2450">
    <xf numFmtId="0" fontId="0" fillId="0" borderId="0" xfId="0"/>
    <xf numFmtId="14" fontId="0" fillId="0" borderId="0" xfId="0" applyNumberFormat="1"/>
    <xf numFmtId="0" fontId="2" fillId="0" borderId="0" xfId="0" applyFont="1"/>
    <xf numFmtId="14" fontId="2" fillId="0" borderId="0" xfId="6" applyNumberFormat="1" applyFont="1" applyFill="1" applyBorder="1"/>
    <xf numFmtId="14" fontId="2" fillId="0" borderId="0" xfId="0" applyNumberFormat="1" applyFont="1"/>
    <xf numFmtId="0" fontId="0" fillId="0" borderId="0" xfId="0" applyAlignment="1">
      <alignment horizontal="center"/>
    </xf>
    <xf numFmtId="14" fontId="0" fillId="0" borderId="2" xfId="0" applyNumberFormat="1" applyBorder="1"/>
    <xf numFmtId="0" fontId="0" fillId="0" borderId="2" xfId="0" applyBorder="1" applyAlignment="1">
      <alignment horizontal="center"/>
    </xf>
    <xf numFmtId="0" fontId="0" fillId="2" borderId="2" xfId="0" applyFill="1" applyBorder="1" applyAlignment="1">
      <alignment horizontal="center"/>
    </xf>
    <xf numFmtId="0" fontId="17" fillId="0" borderId="0" xfId="0" applyFont="1"/>
    <xf numFmtId="0" fontId="17" fillId="0" borderId="2" xfId="0" applyFont="1" applyBorder="1"/>
    <xf numFmtId="14" fontId="17" fillId="0" borderId="0" xfId="0" applyNumberFormat="1" applyFont="1"/>
    <xf numFmtId="0" fontId="0" fillId="2" borderId="0" xfId="0" applyFill="1" applyAlignment="1">
      <alignment horizontal="center"/>
    </xf>
    <xf numFmtId="14" fontId="0" fillId="0" borderId="0" xfId="0" applyNumberFormat="1" applyAlignment="1">
      <alignment horizontal="center"/>
    </xf>
    <xf numFmtId="166" fontId="0" fillId="0" borderId="0" xfId="0" applyNumberFormat="1" applyAlignment="1">
      <alignment horizontal="center"/>
    </xf>
    <xf numFmtId="4" fontId="0" fillId="0" borderId="0" xfId="0" applyNumberFormat="1" applyAlignment="1">
      <alignment horizontal="center"/>
    </xf>
    <xf numFmtId="14" fontId="0" fillId="2" borderId="2" xfId="0" applyNumberFormat="1" applyFill="1" applyBorder="1"/>
    <xf numFmtId="167" fontId="0" fillId="0" borderId="0" xfId="0" applyNumberFormat="1" applyAlignment="1">
      <alignment horizontal="center"/>
    </xf>
    <xf numFmtId="0" fontId="17" fillId="0" borderId="0" xfId="0" applyFont="1" applyAlignment="1">
      <alignment horizontal="center"/>
    </xf>
    <xf numFmtId="0" fontId="3" fillId="0" borderId="0" xfId="0" applyFont="1"/>
    <xf numFmtId="0" fontId="2" fillId="3" borderId="0" xfId="0" applyFont="1" applyFill="1"/>
    <xf numFmtId="167" fontId="0" fillId="2" borderId="0" xfId="0" applyNumberFormat="1" applyFill="1" applyAlignment="1">
      <alignment horizontal="center"/>
    </xf>
    <xf numFmtId="0" fontId="0" fillId="3" borderId="2" xfId="0" applyFill="1" applyBorder="1" applyAlignment="1" applyProtection="1">
      <alignment horizontal="center"/>
      <protection locked="0"/>
    </xf>
    <xf numFmtId="0" fontId="0" fillId="4" borderId="0" xfId="0" applyFill="1" applyAlignment="1">
      <alignment horizontal="center"/>
    </xf>
    <xf numFmtId="0" fontId="0" fillId="4" borderId="0" xfId="0" applyFill="1"/>
    <xf numFmtId="0" fontId="4" fillId="0" borderId="0" xfId="0" applyFont="1"/>
    <xf numFmtId="0" fontId="5" fillId="0" borderId="1" xfId="24" applyBorder="1" applyAlignment="1">
      <alignment wrapText="1"/>
    </xf>
    <xf numFmtId="3"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6" fillId="0" borderId="0" xfId="8"/>
    <xf numFmtId="49" fontId="6" fillId="5" borderId="2" xfId="8" applyNumberFormat="1" applyFill="1" applyBorder="1" applyProtection="1">
      <protection locked="0"/>
    </xf>
    <xf numFmtId="0" fontId="8" fillId="0" borderId="0" xfId="0" quotePrefix="1" applyFont="1"/>
    <xf numFmtId="0" fontId="0" fillId="0" borderId="0" xfId="0" quotePrefix="1"/>
    <xf numFmtId="0" fontId="4" fillId="0" borderId="2" xfId="0" applyFont="1" applyBorder="1" applyProtection="1">
      <protection hidden="1"/>
    </xf>
    <xf numFmtId="0" fontId="19" fillId="0" borderId="0" xfId="0" applyFont="1"/>
    <xf numFmtId="0" fontId="19" fillId="0" borderId="2" xfId="0" applyFont="1" applyBorder="1" applyAlignment="1">
      <alignment horizontal="center"/>
    </xf>
    <xf numFmtId="0" fontId="19" fillId="0" borderId="0" xfId="0" applyFont="1" applyProtection="1">
      <protection hidden="1"/>
    </xf>
    <xf numFmtId="14" fontId="19" fillId="0" borderId="2" xfId="0" applyNumberFormat="1" applyFont="1" applyBorder="1" applyAlignment="1" applyProtection="1">
      <alignment horizontal="center"/>
      <protection hidden="1"/>
    </xf>
    <xf numFmtId="14" fontId="19" fillId="0" borderId="0" xfId="0" applyNumberFormat="1" applyFont="1" applyProtection="1">
      <protection hidden="1"/>
    </xf>
    <xf numFmtId="0" fontId="19" fillId="0" borderId="0" xfId="0" applyFont="1" applyAlignment="1">
      <alignment horizontal="center"/>
    </xf>
    <xf numFmtId="0" fontId="19" fillId="0" borderId="2" xfId="0" applyFont="1" applyBorder="1" applyProtection="1">
      <protection hidden="1"/>
    </xf>
    <xf numFmtId="0" fontId="19" fillId="0" borderId="2" xfId="0" applyFont="1" applyBorder="1"/>
    <xf numFmtId="0" fontId="19" fillId="0" borderId="0" xfId="0" applyFont="1" applyAlignment="1" applyProtection="1">
      <alignment horizontal="center"/>
      <protection hidden="1"/>
    </xf>
    <xf numFmtId="0" fontId="19" fillId="0" borderId="2" xfId="0" applyFont="1" applyBorder="1" applyAlignment="1" applyProtection="1">
      <alignment horizontal="center"/>
      <protection hidden="1"/>
    </xf>
    <xf numFmtId="14" fontId="19" fillId="0" borderId="0" xfId="0" applyNumberFormat="1" applyFont="1" applyAlignment="1">
      <alignment horizontal="center"/>
    </xf>
    <xf numFmtId="14" fontId="19" fillId="0" borderId="2" xfId="0" applyNumberFormat="1" applyFont="1" applyBorder="1" applyAlignment="1">
      <alignment horizontal="center"/>
    </xf>
    <xf numFmtId="0" fontId="20" fillId="0" borderId="0" xfId="0" applyFont="1"/>
    <xf numFmtId="0" fontId="20" fillId="6" borderId="0" xfId="0" applyFont="1" applyFill="1"/>
    <xf numFmtId="0" fontId="20" fillId="6" borderId="0" xfId="0" applyFont="1" applyFill="1" applyAlignment="1">
      <alignment vertical="center"/>
    </xf>
    <xf numFmtId="0" fontId="20" fillId="0" borderId="0" xfId="0" applyFont="1" applyAlignment="1">
      <alignment vertical="center"/>
    </xf>
    <xf numFmtId="2" fontId="10" fillId="4" borderId="0" xfId="20" applyFill="1">
      <alignment horizontal="center"/>
    </xf>
    <xf numFmtId="2" fontId="10" fillId="0" borderId="0" xfId="20">
      <alignment horizontal="center"/>
    </xf>
    <xf numFmtId="0" fontId="11" fillId="6" borderId="3" xfId="9" applyFont="1" applyFill="1" applyBorder="1" applyAlignment="1">
      <alignment horizontal="center"/>
    </xf>
    <xf numFmtId="0" fontId="11" fillId="6" borderId="4" xfId="9" applyFont="1" applyFill="1" applyBorder="1" applyAlignment="1">
      <alignment horizontal="center"/>
    </xf>
    <xf numFmtId="0" fontId="11" fillId="6" borderId="5" xfId="9" applyFont="1" applyFill="1" applyBorder="1" applyAlignment="1">
      <alignment horizontal="center"/>
    </xf>
    <xf numFmtId="0" fontId="11" fillId="6" borderId="6" xfId="9" applyFont="1" applyFill="1" applyBorder="1" applyAlignment="1">
      <alignment horizontal="center"/>
    </xf>
    <xf numFmtId="0" fontId="12" fillId="6" borderId="0" xfId="9" applyFont="1" applyFill="1"/>
    <xf numFmtId="0" fontId="13" fillId="6" borderId="7" xfId="9" applyFont="1" applyFill="1" applyBorder="1"/>
    <xf numFmtId="2" fontId="10" fillId="4" borderId="0" xfId="20" applyFill="1" applyAlignment="1"/>
    <xf numFmtId="0" fontId="13" fillId="6" borderId="0" xfId="9" applyFont="1" applyFill="1"/>
    <xf numFmtId="0" fontId="13" fillId="6" borderId="0" xfId="9" applyFont="1" applyFill="1" applyProtection="1">
      <protection hidden="1"/>
    </xf>
    <xf numFmtId="0" fontId="11" fillId="6" borderId="7" xfId="9" applyFont="1" applyFill="1" applyBorder="1"/>
    <xf numFmtId="0" fontId="11" fillId="6" borderId="7" xfId="9" applyFont="1" applyFill="1" applyBorder="1" applyAlignment="1">
      <alignment horizontal="center"/>
    </xf>
    <xf numFmtId="0" fontId="11" fillId="6" borderId="8" xfId="9" applyFont="1" applyFill="1" applyBorder="1" applyAlignment="1">
      <alignment horizontal="center"/>
    </xf>
    <xf numFmtId="0" fontId="11" fillId="6" borderId="9" xfId="9" applyFont="1" applyFill="1" applyBorder="1" applyAlignment="1">
      <alignment horizontal="center"/>
    </xf>
    <xf numFmtId="0" fontId="11" fillId="6" borderId="10" xfId="9" applyFont="1" applyFill="1" applyBorder="1" applyAlignment="1">
      <alignment horizontal="center"/>
    </xf>
    <xf numFmtId="0" fontId="13" fillId="4" borderId="0" xfId="9" applyFont="1" applyFill="1"/>
    <xf numFmtId="2" fontId="13" fillId="4" borderId="0" xfId="20" applyFont="1" applyFill="1">
      <alignment horizontal="center"/>
    </xf>
    <xf numFmtId="14" fontId="2" fillId="0" borderId="0" xfId="0" applyNumberFormat="1" applyFont="1" applyAlignment="1">
      <alignment horizontal="left"/>
    </xf>
    <xf numFmtId="0" fontId="20" fillId="6" borderId="11" xfId="0" applyFont="1" applyFill="1" applyBorder="1"/>
    <xf numFmtId="0" fontId="0" fillId="7" borderId="0" xfId="0" applyFill="1" applyProtection="1">
      <protection hidden="1"/>
    </xf>
    <xf numFmtId="0" fontId="9" fillId="0" borderId="0" xfId="5" applyAlignment="1" applyProtection="1"/>
    <xf numFmtId="0" fontId="0" fillId="2" borderId="0" xfId="0" applyFill="1"/>
    <xf numFmtId="0" fontId="21" fillId="6" borderId="0" xfId="0" applyFont="1" applyFill="1"/>
    <xf numFmtId="0" fontId="21" fillId="6" borderId="0" xfId="0" applyFont="1" applyFill="1" applyAlignment="1">
      <alignment vertical="center"/>
    </xf>
    <xf numFmtId="0" fontId="23" fillId="6" borderId="0" xfId="0" applyFont="1" applyFill="1" applyAlignment="1">
      <alignment vertical="center"/>
    </xf>
    <xf numFmtId="0" fontId="20" fillId="8" borderId="12" xfId="0" applyFont="1" applyFill="1" applyBorder="1"/>
    <xf numFmtId="0" fontId="20" fillId="8" borderId="13" xfId="0" applyFont="1" applyFill="1" applyBorder="1"/>
    <xf numFmtId="0" fontId="20" fillId="8" borderId="14" xfId="0" applyFont="1" applyFill="1" applyBorder="1"/>
    <xf numFmtId="0" fontId="20" fillId="8" borderId="15" xfId="0" applyFont="1" applyFill="1" applyBorder="1"/>
    <xf numFmtId="0" fontId="20" fillId="8" borderId="16" xfId="0" applyFont="1" applyFill="1" applyBorder="1"/>
    <xf numFmtId="0" fontId="20" fillId="8" borderId="15" xfId="0" applyFont="1" applyFill="1" applyBorder="1" applyAlignment="1">
      <alignment vertical="center"/>
    </xf>
    <xf numFmtId="0" fontId="20" fillId="8" borderId="17" xfId="0" applyFont="1" applyFill="1" applyBorder="1"/>
    <xf numFmtId="0" fontId="20" fillId="8" borderId="18" xfId="0" applyFont="1" applyFill="1" applyBorder="1"/>
    <xf numFmtId="0" fontId="20" fillId="8" borderId="19" xfId="0" applyFont="1" applyFill="1" applyBorder="1"/>
    <xf numFmtId="0" fontId="5" fillId="6" borderId="0" xfId="0" applyFont="1" applyFill="1"/>
    <xf numFmtId="0" fontId="26" fillId="9" borderId="0" xfId="10" applyFill="1"/>
    <xf numFmtId="0" fontId="3" fillId="9" borderId="0" xfId="10" applyFont="1" applyFill="1"/>
    <xf numFmtId="0" fontId="26" fillId="0" borderId="0" xfId="10"/>
    <xf numFmtId="0" fontId="4" fillId="4" borderId="3" xfId="10" applyFont="1" applyFill="1" applyBorder="1"/>
    <xf numFmtId="0" fontId="26" fillId="4" borderId="4" xfId="10" applyFill="1" applyBorder="1"/>
    <xf numFmtId="0" fontId="26" fillId="4" borderId="5" xfId="10" applyFill="1" applyBorder="1"/>
    <xf numFmtId="0" fontId="4" fillId="4" borderId="6" xfId="10" applyFont="1" applyFill="1" applyBorder="1"/>
    <xf numFmtId="0" fontId="27" fillId="4" borderId="0" xfId="10" applyFont="1" applyFill="1" applyAlignment="1">
      <alignment horizontal="left"/>
    </xf>
    <xf numFmtId="0" fontId="27" fillId="4" borderId="0" xfId="10" applyFont="1" applyFill="1" applyAlignment="1">
      <alignment horizontal="center"/>
    </xf>
    <xf numFmtId="0" fontId="28" fillId="4" borderId="0" xfId="5" applyFont="1" applyFill="1" applyBorder="1" applyAlignment="1" applyProtection="1">
      <alignment horizontal="center"/>
    </xf>
    <xf numFmtId="0" fontId="26" fillId="4" borderId="7" xfId="10" applyFill="1" applyBorder="1"/>
    <xf numFmtId="0" fontId="26" fillId="4" borderId="6" xfId="10" applyFill="1" applyBorder="1"/>
    <xf numFmtId="0" fontId="26" fillId="4" borderId="0" xfId="10" applyFill="1" applyAlignment="1">
      <alignment horizontal="center"/>
    </xf>
    <xf numFmtId="0" fontId="4" fillId="4" borderId="6" xfId="10" applyFont="1" applyFill="1" applyBorder="1" applyAlignment="1">
      <alignment horizontal="center"/>
    </xf>
    <xf numFmtId="169" fontId="26" fillId="0" borderId="2" xfId="10" applyNumberFormat="1" applyBorder="1" applyAlignment="1">
      <alignment horizontal="center"/>
    </xf>
    <xf numFmtId="0" fontId="26" fillId="9" borderId="2" xfId="10" applyFill="1" applyBorder="1" applyAlignment="1">
      <alignment horizontal="center"/>
    </xf>
    <xf numFmtId="167" fontId="26" fillId="0" borderId="2" xfId="10" applyNumberFormat="1" applyBorder="1" applyAlignment="1">
      <alignment horizontal="center"/>
    </xf>
    <xf numFmtId="0" fontId="26" fillId="0" borderId="2" xfId="10" applyBorder="1" applyAlignment="1">
      <alignment horizontal="center"/>
    </xf>
    <xf numFmtId="169" fontId="26" fillId="10" borderId="2" xfId="10" applyNumberFormat="1" applyFill="1" applyBorder="1" applyAlignment="1">
      <alignment horizontal="center"/>
    </xf>
    <xf numFmtId="0" fontId="26" fillId="10" borderId="2" xfId="10" applyFill="1" applyBorder="1" applyAlignment="1">
      <alignment horizontal="center"/>
    </xf>
    <xf numFmtId="0" fontId="26" fillId="4" borderId="8" xfId="10" applyFill="1" applyBorder="1"/>
    <xf numFmtId="0" fontId="26" fillId="4" borderId="9" xfId="10" applyFill="1" applyBorder="1"/>
    <xf numFmtId="0" fontId="26" fillId="4" borderId="10" xfId="10" applyFill="1" applyBorder="1"/>
    <xf numFmtId="167" fontId="26" fillId="4" borderId="0" xfId="10" applyNumberFormat="1" applyFill="1" applyAlignment="1">
      <alignment horizontal="center"/>
    </xf>
    <xf numFmtId="0" fontId="34" fillId="0" borderId="0" xfId="0" applyFont="1"/>
    <xf numFmtId="0" fontId="29" fillId="6" borderId="0" xfId="0" applyFont="1" applyFill="1"/>
    <xf numFmtId="14" fontId="29" fillId="6" borderId="0" xfId="0" applyNumberFormat="1" applyFont="1" applyFill="1"/>
    <xf numFmtId="0" fontId="30" fillId="0" borderId="20" xfId="11" applyBorder="1"/>
    <xf numFmtId="0" fontId="30" fillId="0" borderId="21" xfId="11" applyBorder="1"/>
    <xf numFmtId="0" fontId="30" fillId="0" borderId="22" xfId="11" applyBorder="1"/>
    <xf numFmtId="0" fontId="30" fillId="0" borderId="0" xfId="11"/>
    <xf numFmtId="0" fontId="30" fillId="0" borderId="23" xfId="11" applyBorder="1"/>
    <xf numFmtId="0" fontId="30" fillId="2" borderId="0" xfId="11" applyFill="1"/>
    <xf numFmtId="0" fontId="31" fillId="2" borderId="0" xfId="11" applyFont="1" applyFill="1"/>
    <xf numFmtId="0" fontId="30" fillId="0" borderId="24" xfId="11" applyBorder="1"/>
    <xf numFmtId="0" fontId="4" fillId="0" borderId="0" xfId="11" applyFont="1"/>
    <xf numFmtId="0" fontId="30" fillId="3" borderId="0" xfId="11" applyFill="1" applyProtection="1">
      <protection locked="0"/>
    </xf>
    <xf numFmtId="0" fontId="30" fillId="2" borderId="0" xfId="11" applyFill="1" applyAlignment="1">
      <alignment horizontal="center"/>
    </xf>
    <xf numFmtId="0" fontId="30" fillId="0" borderId="25" xfId="11" applyBorder="1"/>
    <xf numFmtId="0" fontId="30" fillId="0" borderId="11" xfId="11" applyBorder="1"/>
    <xf numFmtId="0" fontId="30" fillId="0" borderId="26" xfId="11" applyBorder="1"/>
    <xf numFmtId="0" fontId="30" fillId="2" borderId="20" xfId="11" applyFill="1" applyBorder="1"/>
    <xf numFmtId="0" fontId="30" fillId="2" borderId="21" xfId="11" applyFill="1" applyBorder="1"/>
    <xf numFmtId="0" fontId="6" fillId="11" borderId="0" xfId="8" applyFill="1"/>
    <xf numFmtId="0" fontId="35" fillId="0" borderId="0" xfId="0" applyFont="1"/>
    <xf numFmtId="0" fontId="36" fillId="0" borderId="0" xfId="0" applyFont="1"/>
    <xf numFmtId="0" fontId="36" fillId="0" borderId="2" xfId="0" applyFont="1" applyBorder="1"/>
    <xf numFmtId="0" fontId="36" fillId="0" borderId="2" xfId="0" applyFont="1" applyBorder="1" applyAlignment="1">
      <alignment horizontal="center"/>
    </xf>
    <xf numFmtId="0" fontId="4" fillId="11" borderId="2" xfId="8" applyFont="1" applyFill="1" applyBorder="1" applyAlignment="1">
      <alignment horizontal="center"/>
    </xf>
    <xf numFmtId="167" fontId="36" fillId="0" borderId="2" xfId="0" applyNumberFormat="1" applyFont="1" applyBorder="1" applyAlignment="1">
      <alignment horizontal="center"/>
    </xf>
    <xf numFmtId="0" fontId="4" fillId="11" borderId="27" xfId="0" applyFont="1" applyFill="1" applyBorder="1" applyProtection="1">
      <protection hidden="1"/>
    </xf>
    <xf numFmtId="0" fontId="4" fillId="11" borderId="2" xfId="8" applyFont="1" applyFill="1" applyBorder="1"/>
    <xf numFmtId="0" fontId="4" fillId="0" borderId="27" xfId="0" applyFont="1" applyBorder="1" applyProtection="1">
      <protection hidden="1"/>
    </xf>
    <xf numFmtId="0" fontId="35" fillId="0" borderId="27" xfId="0" applyFont="1" applyBorder="1"/>
    <xf numFmtId="0" fontId="36" fillId="0" borderId="28" xfId="0" applyFont="1" applyBorder="1"/>
    <xf numFmtId="0" fontId="36" fillId="0" borderId="27" xfId="0" applyFont="1" applyBorder="1"/>
    <xf numFmtId="0" fontId="4" fillId="11" borderId="29" xfId="0" applyFont="1" applyFill="1" applyBorder="1" applyProtection="1">
      <protection hidden="1"/>
    </xf>
    <xf numFmtId="0" fontId="4" fillId="11" borderId="28" xfId="0" applyFont="1" applyFill="1" applyBorder="1" applyProtection="1">
      <protection hidden="1"/>
    </xf>
    <xf numFmtId="0" fontId="37" fillId="0" borderId="0" xfId="0" applyFont="1"/>
    <xf numFmtId="0" fontId="36" fillId="0" borderId="29" xfId="0" applyFont="1" applyBorder="1"/>
    <xf numFmtId="0" fontId="4" fillId="11" borderId="2" xfId="0" applyFont="1" applyFill="1" applyBorder="1" applyAlignment="1" applyProtection="1">
      <alignment horizontal="center" wrapText="1"/>
      <protection hidden="1"/>
    </xf>
    <xf numFmtId="0" fontId="4" fillId="12" borderId="2" xfId="0" applyFont="1" applyFill="1" applyBorder="1" applyAlignment="1" applyProtection="1">
      <alignment horizontal="center" wrapText="1"/>
      <protection hidden="1"/>
    </xf>
    <xf numFmtId="0" fontId="0" fillId="0" borderId="0" xfId="0" applyProtection="1">
      <protection hidden="1"/>
    </xf>
    <xf numFmtId="0" fontId="36" fillId="0" borderId="11" xfId="0" applyFont="1" applyBorder="1"/>
    <xf numFmtId="0" fontId="4" fillId="11" borderId="27" xfId="8" applyFont="1" applyFill="1" applyBorder="1"/>
    <xf numFmtId="0" fontId="4" fillId="11" borderId="28" xfId="8" applyFont="1" applyFill="1" applyBorder="1"/>
    <xf numFmtId="0" fontId="36" fillId="0" borderId="28" xfId="0" applyFont="1" applyBorder="1" applyAlignment="1">
      <alignment horizontal="center"/>
    </xf>
    <xf numFmtId="0" fontId="4" fillId="11" borderId="29" xfId="8" applyFont="1" applyFill="1" applyBorder="1"/>
    <xf numFmtId="0" fontId="36" fillId="0" borderId="2" xfId="0" applyFont="1" applyBorder="1" applyAlignment="1" applyProtection="1">
      <alignment horizontal="center"/>
      <protection hidden="1"/>
    </xf>
    <xf numFmtId="170" fontId="36" fillId="0" borderId="2" xfId="0" applyNumberFormat="1" applyFont="1" applyBorder="1" applyProtection="1">
      <protection hidden="1"/>
    </xf>
    <xf numFmtId="0" fontId="4" fillId="11" borderId="2" xfId="0" applyFont="1" applyFill="1" applyBorder="1" applyAlignment="1" applyProtection="1">
      <alignment wrapText="1"/>
      <protection hidden="1"/>
    </xf>
    <xf numFmtId="0" fontId="36" fillId="0" borderId="27" xfId="0" applyFont="1" applyBorder="1" applyProtection="1">
      <protection hidden="1"/>
    </xf>
    <xf numFmtId="3" fontId="36" fillId="0" borderId="27" xfId="0" applyNumberFormat="1" applyFont="1" applyBorder="1" applyAlignment="1" applyProtection="1">
      <alignment horizontal="left"/>
      <protection hidden="1"/>
    </xf>
    <xf numFmtId="0" fontId="38" fillId="0" borderId="0" xfId="0" applyFont="1"/>
    <xf numFmtId="0" fontId="36" fillId="0" borderId="21" xfId="0" applyFont="1" applyBorder="1"/>
    <xf numFmtId="0" fontId="39" fillId="0" borderId="0" xfId="0" applyFont="1"/>
    <xf numFmtId="0" fontId="4" fillId="0" borderId="0" xfId="0" applyFont="1" applyProtection="1">
      <protection hidden="1"/>
    </xf>
    <xf numFmtId="0" fontId="39" fillId="3" borderId="0" xfId="0" applyFont="1" applyFill="1" applyAlignment="1" applyProtection="1">
      <alignment horizontal="left"/>
      <protection locked="0"/>
    </xf>
    <xf numFmtId="0" fontId="39" fillId="4" borderId="30" xfId="0" applyFont="1" applyFill="1" applyBorder="1"/>
    <xf numFmtId="0" fontId="39" fillId="4" borderId="31" xfId="0" applyFont="1" applyFill="1" applyBorder="1"/>
    <xf numFmtId="0" fontId="39" fillId="4" borderId="32" xfId="0" applyFont="1" applyFill="1" applyBorder="1"/>
    <xf numFmtId="0" fontId="39" fillId="11" borderId="3" xfId="0" applyFont="1" applyFill="1" applyBorder="1"/>
    <xf numFmtId="0" fontId="39" fillId="11" borderId="4" xfId="0" applyFont="1" applyFill="1" applyBorder="1"/>
    <xf numFmtId="0" fontId="39" fillId="11" borderId="5" xfId="0" applyFont="1" applyFill="1" applyBorder="1"/>
    <xf numFmtId="0" fontId="39" fillId="11" borderId="6" xfId="0" applyFont="1" applyFill="1" applyBorder="1"/>
    <xf numFmtId="0" fontId="39" fillId="11" borderId="0" xfId="0" applyFont="1" applyFill="1"/>
    <xf numFmtId="0" fontId="39" fillId="11" borderId="7" xfId="0" applyFont="1" applyFill="1" applyBorder="1"/>
    <xf numFmtId="0" fontId="39" fillId="11" borderId="8" xfId="0" applyFont="1" applyFill="1" applyBorder="1"/>
    <xf numFmtId="0" fontId="39" fillId="11" borderId="9" xfId="0" applyFont="1" applyFill="1" applyBorder="1"/>
    <xf numFmtId="0" fontId="39" fillId="11" borderId="10" xfId="0" applyFont="1" applyFill="1" applyBorder="1"/>
    <xf numFmtId="0" fontId="39" fillId="3" borderId="2" xfId="0" applyFont="1" applyFill="1" applyBorder="1" applyProtection="1">
      <protection locked="0"/>
    </xf>
    <xf numFmtId="0" fontId="4" fillId="9" borderId="27" xfId="0" applyFont="1" applyFill="1" applyBorder="1" applyAlignment="1" applyProtection="1">
      <alignment horizontal="center" vertical="center"/>
      <protection hidden="1"/>
    </xf>
    <xf numFmtId="0" fontId="4" fillId="9" borderId="29" xfId="0" applyFont="1" applyFill="1" applyBorder="1" applyAlignment="1" applyProtection="1">
      <alignment horizontal="center" vertical="center"/>
      <protection hidden="1"/>
    </xf>
    <xf numFmtId="0" fontId="4" fillId="9" borderId="28" xfId="0" applyFont="1" applyFill="1" applyBorder="1" applyAlignment="1" applyProtection="1">
      <alignment horizontal="center" vertical="center"/>
      <protection hidden="1"/>
    </xf>
    <xf numFmtId="0" fontId="36" fillId="11" borderId="0" xfId="0" applyFont="1" applyFill="1" applyAlignment="1">
      <alignment horizontal="center"/>
    </xf>
    <xf numFmtId="0" fontId="6" fillId="0" borderId="0" xfId="11" applyFont="1"/>
    <xf numFmtId="0" fontId="39" fillId="6" borderId="33" xfId="0" applyFont="1" applyFill="1" applyBorder="1"/>
    <xf numFmtId="0" fontId="39" fillId="6" borderId="34" xfId="0" applyFont="1" applyFill="1" applyBorder="1"/>
    <xf numFmtId="0" fontId="39" fillId="6" borderId="35" xfId="0" applyFont="1" applyFill="1" applyBorder="1"/>
    <xf numFmtId="0" fontId="39" fillId="6" borderId="36" xfId="0" applyFont="1" applyFill="1" applyBorder="1"/>
    <xf numFmtId="0" fontId="39" fillId="6" borderId="0" xfId="0" applyFont="1" applyFill="1"/>
    <xf numFmtId="0" fontId="39" fillId="6" borderId="37" xfId="0" applyFont="1" applyFill="1" applyBorder="1"/>
    <xf numFmtId="165" fontId="39" fillId="6" borderId="37" xfId="0" applyNumberFormat="1" applyFont="1" applyFill="1" applyBorder="1"/>
    <xf numFmtId="0" fontId="39" fillId="6" borderId="38" xfId="0" applyFont="1" applyFill="1" applyBorder="1"/>
    <xf numFmtId="0" fontId="35" fillId="6" borderId="39" xfId="0" applyFont="1" applyFill="1" applyBorder="1"/>
    <xf numFmtId="0" fontId="39" fillId="6" borderId="40" xfId="0" applyFont="1" applyFill="1" applyBorder="1"/>
    <xf numFmtId="0" fontId="40" fillId="0" borderId="0" xfId="0" applyFont="1" applyProtection="1">
      <protection hidden="1"/>
    </xf>
    <xf numFmtId="0" fontId="4" fillId="6" borderId="0" xfId="0" applyFont="1" applyFill="1" applyProtection="1">
      <protection hidden="1"/>
    </xf>
    <xf numFmtId="0" fontId="20" fillId="6" borderId="0" xfId="0" applyFont="1" applyFill="1" applyProtection="1">
      <protection locked="0"/>
    </xf>
    <xf numFmtId="0" fontId="20" fillId="6" borderId="41" xfId="0" applyFont="1" applyFill="1" applyBorder="1" applyAlignment="1">
      <alignment horizontal="center"/>
    </xf>
    <xf numFmtId="0" fontId="39" fillId="6" borderId="2" xfId="0" applyFont="1" applyFill="1" applyBorder="1"/>
    <xf numFmtId="0" fontId="39" fillId="6" borderId="42" xfId="0" applyFont="1" applyFill="1" applyBorder="1" applyAlignment="1">
      <alignment horizontal="center"/>
    </xf>
    <xf numFmtId="0" fontId="39" fillId="6" borderId="2" xfId="0" quotePrefix="1" applyFont="1" applyFill="1" applyBorder="1"/>
    <xf numFmtId="0" fontId="39" fillId="6" borderId="0" xfId="0" applyFont="1" applyFill="1" applyAlignment="1">
      <alignment horizontal="left"/>
    </xf>
    <xf numFmtId="14" fontId="4" fillId="6" borderId="0" xfId="0" applyNumberFormat="1" applyFont="1" applyFill="1" applyProtection="1">
      <protection hidden="1"/>
    </xf>
    <xf numFmtId="0" fontId="39" fillId="6" borderId="2" xfId="0" applyFont="1" applyFill="1" applyBorder="1" applyAlignment="1">
      <alignment horizontal="left"/>
    </xf>
    <xf numFmtId="0" fontId="41" fillId="13" borderId="0" xfId="0" applyFont="1" applyFill="1"/>
    <xf numFmtId="0" fontId="20" fillId="3" borderId="43" xfId="0" applyFont="1" applyFill="1" applyBorder="1" applyAlignment="1" applyProtection="1">
      <alignment horizontal="center"/>
      <protection locked="0"/>
    </xf>
    <xf numFmtId="0" fontId="39" fillId="3" borderId="0" xfId="0" applyFont="1" applyFill="1"/>
    <xf numFmtId="0" fontId="41" fillId="0" borderId="0" xfId="0" applyFont="1" applyProtection="1">
      <protection hidden="1"/>
    </xf>
    <xf numFmtId="0" fontId="39" fillId="14" borderId="29" xfId="0" applyFont="1" applyFill="1" applyBorder="1"/>
    <xf numFmtId="0" fontId="36" fillId="11" borderId="0" xfId="0" applyFont="1" applyFill="1"/>
    <xf numFmtId="0" fontId="35" fillId="11" borderId="2" xfId="0" applyFont="1" applyFill="1" applyBorder="1" applyProtection="1">
      <protection hidden="1"/>
    </xf>
    <xf numFmtId="0" fontId="35" fillId="11" borderId="2" xfId="0" applyFont="1" applyFill="1" applyBorder="1" applyAlignment="1" applyProtection="1">
      <alignment horizontal="center"/>
      <protection hidden="1"/>
    </xf>
    <xf numFmtId="0" fontId="5" fillId="6" borderId="29" xfId="0" applyFont="1" applyFill="1" applyBorder="1"/>
    <xf numFmtId="0" fontId="35" fillId="6" borderId="29" xfId="0" applyFont="1" applyFill="1" applyBorder="1" applyAlignment="1">
      <alignment horizontal="right"/>
    </xf>
    <xf numFmtId="3" fontId="5" fillId="15" borderId="2" xfId="0" applyNumberFormat="1" applyFont="1" applyFill="1" applyBorder="1" applyAlignment="1" applyProtection="1">
      <alignment horizontal="center"/>
      <protection locked="0"/>
    </xf>
    <xf numFmtId="0" fontId="5" fillId="4" borderId="27" xfId="0" applyFont="1" applyFill="1" applyBorder="1"/>
    <xf numFmtId="0" fontId="5" fillId="4" borderId="29" xfId="0" applyFont="1" applyFill="1" applyBorder="1"/>
    <xf numFmtId="14" fontId="35" fillId="4" borderId="2" xfId="0" applyNumberFormat="1" applyFont="1" applyFill="1" applyBorder="1" applyAlignment="1" applyProtection="1">
      <alignment horizontal="center"/>
      <protection hidden="1"/>
    </xf>
    <xf numFmtId="4" fontId="5" fillId="6" borderId="0" xfId="1" applyNumberFormat="1" applyFont="1" applyFill="1" applyBorder="1" applyAlignment="1" applyProtection="1">
      <alignment horizontal="center"/>
      <protection locked="0"/>
    </xf>
    <xf numFmtId="4" fontId="5" fillId="6" borderId="2" xfId="1" applyNumberFormat="1" applyFont="1" applyFill="1" applyBorder="1" applyAlignment="1">
      <alignment horizontal="center"/>
    </xf>
    <xf numFmtId="0" fontId="5" fillId="6" borderId="28" xfId="0" applyFont="1" applyFill="1" applyBorder="1"/>
    <xf numFmtId="0" fontId="5" fillId="6" borderId="2" xfId="0" applyFont="1" applyFill="1" applyBorder="1" applyAlignment="1" applyProtection="1">
      <alignment vertical="center"/>
      <protection hidden="1"/>
    </xf>
    <xf numFmtId="0" fontId="5" fillId="6" borderId="2" xfId="0" applyFont="1" applyFill="1" applyBorder="1" applyAlignment="1" applyProtection="1">
      <alignment horizontal="center"/>
      <protection hidden="1"/>
    </xf>
    <xf numFmtId="4" fontId="5" fillId="6" borderId="2" xfId="1" applyNumberFormat="1" applyFont="1" applyFill="1" applyBorder="1" applyAlignment="1" applyProtection="1">
      <alignment horizontal="center" vertical="center"/>
      <protection hidden="1"/>
    </xf>
    <xf numFmtId="172" fontId="5" fillId="6" borderId="2" xfId="0" applyNumberFormat="1" applyFont="1" applyFill="1" applyBorder="1" applyAlignment="1" applyProtection="1">
      <alignment horizontal="center" vertical="center"/>
      <protection hidden="1"/>
    </xf>
    <xf numFmtId="0" fontId="35" fillId="6" borderId="44" xfId="0" applyFont="1" applyFill="1" applyBorder="1" applyProtection="1">
      <protection hidden="1"/>
    </xf>
    <xf numFmtId="0" fontId="35" fillId="6" borderId="44" xfId="0" applyFont="1" applyFill="1" applyBorder="1" applyAlignment="1" applyProtection="1">
      <alignment horizontal="center"/>
      <protection hidden="1"/>
    </xf>
    <xf numFmtId="4" fontId="35" fillId="6" borderId="44" xfId="0" applyNumberFormat="1" applyFont="1" applyFill="1" applyBorder="1" applyAlignment="1" applyProtection="1">
      <alignment horizontal="center"/>
      <protection hidden="1"/>
    </xf>
    <xf numFmtId="172" fontId="35" fillId="6" borderId="44" xfId="0" applyNumberFormat="1" applyFont="1" applyFill="1" applyBorder="1" applyAlignment="1" applyProtection="1">
      <alignment horizontal="center"/>
      <protection hidden="1"/>
    </xf>
    <xf numFmtId="0" fontId="43" fillId="6" borderId="34" xfId="0" applyFont="1" applyFill="1" applyBorder="1"/>
    <xf numFmtId="0" fontId="35" fillId="14" borderId="27" xfId="0" applyFont="1" applyFill="1" applyBorder="1" applyAlignment="1">
      <alignment vertical="center"/>
    </xf>
    <xf numFmtId="0" fontId="42" fillId="6" borderId="0" xfId="0" applyFont="1" applyFill="1"/>
    <xf numFmtId="0" fontId="35" fillId="6" borderId="0" xfId="0" applyFont="1" applyFill="1"/>
    <xf numFmtId="0" fontId="35" fillId="6" borderId="29" xfId="0" applyFont="1" applyFill="1" applyBorder="1" applyAlignment="1">
      <alignment horizontal="right" vertical="center"/>
    </xf>
    <xf numFmtId="0" fontId="5" fillId="16" borderId="2" xfId="0" applyFont="1" applyFill="1" applyBorder="1" applyAlignment="1">
      <alignment horizontal="right"/>
    </xf>
    <xf numFmtId="14" fontId="5" fillId="3" borderId="2" xfId="0" applyNumberFormat="1" applyFont="1" applyFill="1" applyBorder="1" applyAlignment="1" applyProtection="1">
      <alignment horizontal="center"/>
      <protection locked="0"/>
    </xf>
    <xf numFmtId="0" fontId="73" fillId="13" borderId="0" xfId="0" applyFont="1" applyFill="1"/>
    <xf numFmtId="0" fontId="5" fillId="6" borderId="39" xfId="0" applyFont="1" applyFill="1" applyBorder="1"/>
    <xf numFmtId="0" fontId="39" fillId="11" borderId="45" xfId="0" applyFont="1" applyFill="1" applyBorder="1"/>
    <xf numFmtId="0" fontId="36" fillId="11" borderId="45" xfId="0" applyFont="1" applyFill="1" applyBorder="1" applyAlignment="1">
      <alignment horizontal="left"/>
    </xf>
    <xf numFmtId="0" fontId="3" fillId="0" borderId="0" xfId="8" applyFont="1"/>
    <xf numFmtId="0" fontId="2" fillId="0" borderId="0" xfId="8" applyFont="1"/>
    <xf numFmtId="0" fontId="6" fillId="0" borderId="0" xfId="8" applyProtection="1">
      <protection locked="0"/>
    </xf>
    <xf numFmtId="0" fontId="45" fillId="0" borderId="0" xfId="8" applyFont="1"/>
    <xf numFmtId="0" fontId="6" fillId="17" borderId="0" xfId="8" applyFill="1"/>
    <xf numFmtId="0" fontId="41" fillId="17" borderId="0" xfId="8" applyFont="1" applyFill="1"/>
    <xf numFmtId="2" fontId="2" fillId="17" borderId="0" xfId="27" applyFont="1" applyFill="1" applyProtection="1">
      <alignment horizontal="center"/>
      <protection hidden="1"/>
    </xf>
    <xf numFmtId="2" fontId="3" fillId="17" borderId="0" xfId="27" applyFont="1" applyFill="1" applyProtection="1">
      <alignment horizontal="center"/>
      <protection hidden="1"/>
    </xf>
    <xf numFmtId="2" fontId="6" fillId="17" borderId="0" xfId="27" applyFill="1" applyProtection="1">
      <alignment horizontal="center"/>
      <protection hidden="1"/>
    </xf>
    <xf numFmtId="2" fontId="46" fillId="17" borderId="0" xfId="27" applyFont="1" applyFill="1" applyProtection="1">
      <alignment horizontal="center"/>
      <protection hidden="1"/>
    </xf>
    <xf numFmtId="2" fontId="6" fillId="0" borderId="0" xfId="27" applyProtection="1">
      <alignment horizontal="center"/>
      <protection hidden="1"/>
    </xf>
    <xf numFmtId="2" fontId="9" fillId="17" borderId="0" xfId="5" applyNumberFormat="1" applyFill="1" applyAlignment="1" applyProtection="1">
      <alignment horizontal="center"/>
      <protection hidden="1"/>
    </xf>
    <xf numFmtId="168" fontId="6" fillId="0" borderId="0" xfId="32" applyNumberFormat="1" applyFill="1" applyProtection="1">
      <protection locked="0" hidden="1"/>
    </xf>
    <xf numFmtId="0" fontId="3" fillId="0" borderId="0" xfId="8" applyFont="1" applyAlignment="1" applyProtection="1">
      <alignment horizontal="centerContinuous"/>
      <protection locked="0" hidden="1"/>
    </xf>
    <xf numFmtId="0" fontId="6" fillId="0" borderId="0" xfId="8" applyProtection="1">
      <protection locked="0" hidden="1"/>
    </xf>
    <xf numFmtId="0" fontId="4" fillId="0" borderId="0" xfId="8" applyFont="1" applyProtection="1">
      <protection locked="0" hidden="1"/>
    </xf>
    <xf numFmtId="168" fontId="4" fillId="0" borderId="0" xfId="32" applyNumberFormat="1" applyFont="1" applyFill="1" applyProtection="1">
      <protection locked="0" hidden="1"/>
    </xf>
    <xf numFmtId="0" fontId="6" fillId="0" borderId="0" xfId="8" applyProtection="1">
      <protection hidden="1"/>
    </xf>
    <xf numFmtId="0" fontId="6" fillId="0" borderId="0" xfId="8" applyAlignment="1" applyProtection="1">
      <alignment horizontal="left"/>
      <protection hidden="1"/>
    </xf>
    <xf numFmtId="49" fontId="6" fillId="0" borderId="0" xfId="8" applyNumberFormat="1" applyAlignment="1" applyProtection="1">
      <alignment horizontal="left"/>
      <protection locked="0" hidden="1"/>
    </xf>
    <xf numFmtId="0" fontId="6" fillId="0" borderId="0" xfId="8" applyAlignment="1" applyProtection="1">
      <alignment horizontal="left"/>
      <protection locked="0" hidden="1"/>
    </xf>
    <xf numFmtId="14" fontId="6" fillId="0" borderId="0" xfId="8" applyNumberFormat="1" applyAlignment="1" applyProtection="1">
      <alignment horizontal="left"/>
      <protection locked="0" hidden="1"/>
    </xf>
    <xf numFmtId="168" fontId="6" fillId="0" borderId="11" xfId="32" applyNumberFormat="1" applyFill="1" applyBorder="1" applyProtection="1">
      <protection locked="0" hidden="1"/>
    </xf>
    <xf numFmtId="0" fontId="6" fillId="0" borderId="11" xfId="8" applyBorder="1" applyProtection="1">
      <protection locked="0" hidden="1"/>
    </xf>
    <xf numFmtId="0" fontId="4" fillId="0" borderId="0" xfId="32" applyNumberFormat="1" applyFont="1" applyFill="1" applyProtection="1">
      <protection locked="0" hidden="1"/>
    </xf>
    <xf numFmtId="49" fontId="6" fillId="0" borderId="0" xfId="8" applyNumberFormat="1" applyProtection="1">
      <protection locked="0" hidden="1"/>
    </xf>
    <xf numFmtId="14" fontId="6" fillId="0" borderId="0" xfId="8" applyNumberFormat="1" applyProtection="1">
      <protection locked="0" hidden="1"/>
    </xf>
    <xf numFmtId="0" fontId="6" fillId="0" borderId="11" xfId="32" applyNumberFormat="1" applyFont="1" applyFill="1" applyBorder="1" applyAlignment="1" applyProtection="1">
      <protection locked="0" hidden="1"/>
    </xf>
    <xf numFmtId="0" fontId="6" fillId="0" borderId="0" xfId="32" applyNumberFormat="1" applyFont="1" applyFill="1" applyBorder="1" applyAlignment="1" applyProtection="1">
      <protection hidden="1"/>
    </xf>
    <xf numFmtId="172" fontId="6" fillId="0" borderId="0" xfId="8" applyNumberFormat="1" applyAlignment="1" applyProtection="1">
      <alignment horizontal="center"/>
      <protection locked="0" hidden="1"/>
    </xf>
    <xf numFmtId="168" fontId="27" fillId="0" borderId="0" xfId="8" applyNumberFormat="1" applyFont="1" applyAlignment="1" applyProtection="1">
      <alignment horizontal="left"/>
      <protection hidden="1"/>
    </xf>
    <xf numFmtId="0" fontId="42" fillId="0" borderId="0" xfId="8" applyFont="1" applyProtection="1">
      <protection locked="0" hidden="1"/>
    </xf>
    <xf numFmtId="0" fontId="47" fillId="0" borderId="0" xfId="8" applyFont="1" applyProtection="1">
      <protection locked="0" hidden="1"/>
    </xf>
    <xf numFmtId="0" fontId="4" fillId="0" borderId="0" xfId="8" applyFont="1" applyAlignment="1" applyProtection="1">
      <alignment horizontal="left"/>
      <protection hidden="1"/>
    </xf>
    <xf numFmtId="0" fontId="6" fillId="0" borderId="0" xfId="8" applyAlignment="1" applyProtection="1">
      <alignment horizontal="center"/>
      <protection hidden="1"/>
    </xf>
    <xf numFmtId="0" fontId="48" fillId="0" borderId="0" xfId="8" applyFont="1" applyAlignment="1" applyProtection="1">
      <alignment horizontal="left"/>
      <protection hidden="1"/>
    </xf>
    <xf numFmtId="3" fontId="48" fillId="0" borderId="0" xfId="8" applyNumberFormat="1" applyFont="1" applyAlignment="1" applyProtection="1">
      <alignment horizontal="left"/>
      <protection hidden="1"/>
    </xf>
    <xf numFmtId="3" fontId="6" fillId="0" borderId="0" xfId="8" applyNumberFormat="1" applyAlignment="1" applyProtection="1">
      <alignment horizontal="center"/>
      <protection hidden="1"/>
    </xf>
    <xf numFmtId="0" fontId="42" fillId="0" borderId="0" xfId="8" applyFont="1" applyProtection="1">
      <protection hidden="1"/>
    </xf>
    <xf numFmtId="38" fontId="6" fillId="0" borderId="43" xfId="2" applyNumberFormat="1" applyFont="1" applyFill="1" applyBorder="1" applyAlignment="1" applyProtection="1">
      <alignment horizontal="center"/>
      <protection hidden="1"/>
    </xf>
    <xf numFmtId="168" fontId="49" fillId="0" borderId="0" xfId="32" applyNumberFormat="1" applyFont="1" applyFill="1" applyProtection="1">
      <protection locked="0" hidden="1"/>
    </xf>
    <xf numFmtId="0" fontId="6" fillId="0" borderId="41" xfId="8" applyBorder="1" applyAlignment="1" applyProtection="1">
      <alignment horizontal="center"/>
      <protection hidden="1"/>
    </xf>
    <xf numFmtId="0" fontId="42" fillId="0" borderId="0" xfId="8" applyFont="1" applyAlignment="1" applyProtection="1">
      <alignment horizontal="left"/>
      <protection hidden="1"/>
    </xf>
    <xf numFmtId="171" fontId="6" fillId="0" borderId="42" xfId="8" applyNumberFormat="1" applyBorder="1" applyAlignment="1" applyProtection="1">
      <alignment horizontal="center"/>
      <protection hidden="1"/>
    </xf>
    <xf numFmtId="0" fontId="6" fillId="0" borderId="11" xfId="8" applyBorder="1" applyProtection="1">
      <protection hidden="1"/>
    </xf>
    <xf numFmtId="0" fontId="50" fillId="0" borderId="0" xfId="8" applyFont="1" applyProtection="1">
      <protection hidden="1"/>
    </xf>
    <xf numFmtId="0" fontId="50" fillId="0" borderId="0" xfId="8" applyFont="1" applyAlignment="1" applyProtection="1">
      <alignment horizontal="center"/>
      <protection hidden="1"/>
    </xf>
    <xf numFmtId="0" fontId="6" fillId="0" borderId="0" xfId="8" applyAlignment="1" applyProtection="1">
      <alignment horizontal="center"/>
      <protection locked="0" hidden="1"/>
    </xf>
    <xf numFmtId="0" fontId="42" fillId="0" borderId="0" xfId="8" applyFont="1" applyAlignment="1" applyProtection="1">
      <alignment horizontal="left"/>
      <protection locked="0" hidden="1"/>
    </xf>
    <xf numFmtId="0" fontId="51" fillId="0" borderId="0" xfId="8" applyFont="1" applyAlignment="1" applyProtection="1">
      <alignment horizontal="center"/>
      <protection hidden="1"/>
    </xf>
    <xf numFmtId="0" fontId="13" fillId="0" borderId="0" xfId="8" applyFont="1" applyProtection="1">
      <protection hidden="1"/>
    </xf>
    <xf numFmtId="0" fontId="32" fillId="0" borderId="0" xfId="8" applyFont="1" applyAlignment="1" applyProtection="1">
      <alignment horizontal="center"/>
      <protection locked="0" hidden="1"/>
    </xf>
    <xf numFmtId="0" fontId="4" fillId="0" borderId="0" xfId="8" applyFont="1" applyProtection="1">
      <protection hidden="1"/>
    </xf>
    <xf numFmtId="0" fontId="13" fillId="0" borderId="0" xfId="8" applyFont="1" applyAlignment="1" applyProtection="1">
      <alignment horizontal="center"/>
      <protection hidden="1"/>
    </xf>
    <xf numFmtId="0" fontId="52" fillId="0" borderId="0" xfId="8" applyFont="1" applyAlignment="1" applyProtection="1">
      <alignment horizontal="center"/>
      <protection locked="0" hidden="1"/>
    </xf>
    <xf numFmtId="168" fontId="42" fillId="0" borderId="0" xfId="32" applyNumberFormat="1" applyFont="1" applyFill="1" applyAlignment="1" applyProtection="1">
      <alignment horizontal="right"/>
      <protection locked="0" hidden="1"/>
    </xf>
    <xf numFmtId="0" fontId="27" fillId="0" borderId="0" xfId="8" applyFont="1" applyAlignment="1" applyProtection="1">
      <alignment horizontal="left"/>
      <protection hidden="1"/>
    </xf>
    <xf numFmtId="0" fontId="6" fillId="0" borderId="0" xfId="8" applyAlignment="1" applyProtection="1">
      <alignment horizontal="centerContinuous"/>
      <protection hidden="1"/>
    </xf>
    <xf numFmtId="38" fontId="6" fillId="0" borderId="2" xfId="2" applyNumberFormat="1" applyFont="1" applyFill="1" applyBorder="1" applyAlignment="1" applyProtection="1">
      <alignment horizontal="center"/>
      <protection hidden="1"/>
    </xf>
    <xf numFmtId="0" fontId="53" fillId="0" borderId="0" xfId="8" applyFont="1" applyProtection="1">
      <protection hidden="1"/>
    </xf>
    <xf numFmtId="38" fontId="13" fillId="0" borderId="2" xfId="2" applyNumberFormat="1" applyFont="1" applyFill="1" applyBorder="1" applyAlignment="1" applyProtection="1">
      <alignment horizontal="center"/>
      <protection hidden="1"/>
    </xf>
    <xf numFmtId="0" fontId="54" fillId="0" borderId="0" xfId="8" applyFont="1" applyProtection="1">
      <protection hidden="1"/>
    </xf>
    <xf numFmtId="0" fontId="54" fillId="0" borderId="0" xfId="8" applyFont="1" applyProtection="1">
      <protection locked="0" hidden="1"/>
    </xf>
    <xf numFmtId="14" fontId="6" fillId="0" borderId="2" xfId="8" applyNumberFormat="1" applyBorder="1" applyAlignment="1" applyProtection="1">
      <alignment horizontal="center"/>
      <protection hidden="1"/>
    </xf>
    <xf numFmtId="0" fontId="13" fillId="0" borderId="0" xfId="8" applyFont="1" applyAlignment="1" applyProtection="1">
      <alignment horizontal="left"/>
      <protection hidden="1"/>
    </xf>
    <xf numFmtId="14" fontId="13" fillId="0" borderId="2" xfId="8" applyNumberFormat="1" applyFont="1" applyBorder="1" applyAlignment="1" applyProtection="1">
      <alignment horizontal="center"/>
      <protection hidden="1"/>
    </xf>
    <xf numFmtId="14" fontId="6" fillId="0" borderId="0" xfId="8" applyNumberFormat="1" applyAlignment="1" applyProtection="1">
      <alignment horizontal="center"/>
      <protection hidden="1"/>
    </xf>
    <xf numFmtId="14" fontId="42" fillId="0" borderId="0" xfId="8" applyNumberFormat="1" applyFont="1" applyAlignment="1" applyProtection="1">
      <alignment horizontal="center"/>
      <protection hidden="1"/>
    </xf>
    <xf numFmtId="2" fontId="49" fillId="0" borderId="0" xfId="27" applyFont="1" applyProtection="1">
      <alignment horizontal="center"/>
      <protection hidden="1"/>
    </xf>
    <xf numFmtId="0" fontId="6" fillId="0" borderId="11" xfId="8" applyBorder="1" applyAlignment="1" applyProtection="1">
      <alignment horizontal="left"/>
      <protection hidden="1"/>
    </xf>
    <xf numFmtId="0" fontId="6" fillId="0" borderId="11" xfId="8" applyBorder="1" applyAlignment="1" applyProtection="1">
      <alignment horizontal="centerContinuous"/>
      <protection hidden="1"/>
    </xf>
    <xf numFmtId="14" fontId="6" fillId="0" borderId="11" xfId="8" applyNumberFormat="1" applyBorder="1" applyAlignment="1" applyProtection="1">
      <alignment horizontal="center"/>
      <protection hidden="1"/>
    </xf>
    <xf numFmtId="14" fontId="42" fillId="0" borderId="11" xfId="8" applyNumberFormat="1" applyFont="1" applyBorder="1" applyAlignment="1" applyProtection="1">
      <alignment horizontal="center"/>
      <protection hidden="1"/>
    </xf>
    <xf numFmtId="2" fontId="49" fillId="0" borderId="11" xfId="27" applyFont="1" applyBorder="1" applyProtection="1">
      <alignment horizontal="center"/>
      <protection hidden="1"/>
    </xf>
    <xf numFmtId="0" fontId="42" fillId="0" borderId="11" xfId="8" applyFont="1" applyBorder="1" applyProtection="1">
      <protection hidden="1"/>
    </xf>
    <xf numFmtId="0" fontId="55" fillId="0" borderId="0" xfId="8" applyFont="1" applyAlignment="1" applyProtection="1">
      <alignment horizontal="center"/>
      <protection hidden="1"/>
    </xf>
    <xf numFmtId="0" fontId="50" fillId="0" borderId="0" xfId="8" applyFont="1" applyAlignment="1" applyProtection="1">
      <alignment horizontal="left"/>
      <protection hidden="1"/>
    </xf>
    <xf numFmtId="4" fontId="56" fillId="0" borderId="0" xfId="2" applyNumberFormat="1" applyFont="1" applyFill="1" applyBorder="1" applyAlignment="1" applyProtection="1">
      <alignment horizontal="centerContinuous"/>
      <protection hidden="1"/>
    </xf>
    <xf numFmtId="2" fontId="6" fillId="0" borderId="0" xfId="27" applyAlignment="1" applyProtection="1">
      <alignment horizontal="centerContinuous"/>
      <protection hidden="1"/>
    </xf>
    <xf numFmtId="4" fontId="57" fillId="0" borderId="0" xfId="2" applyNumberFormat="1" applyFont="1" applyFill="1" applyBorder="1" applyAlignment="1" applyProtection="1">
      <alignment horizontal="centerContinuous"/>
      <protection hidden="1"/>
    </xf>
    <xf numFmtId="0" fontId="4" fillId="0" borderId="0" xfId="8" applyFont="1" applyAlignment="1" applyProtection="1">
      <alignment horizontal="centerContinuous"/>
      <protection hidden="1"/>
    </xf>
    <xf numFmtId="0" fontId="12" fillId="0" borderId="0" xfId="8" applyFont="1" applyAlignment="1" applyProtection="1">
      <alignment horizontal="centerContinuous"/>
      <protection hidden="1"/>
    </xf>
    <xf numFmtId="0" fontId="31" fillId="0" borderId="0" xfId="8" applyFont="1" applyAlignment="1" applyProtection="1">
      <alignment horizontal="center"/>
      <protection hidden="1"/>
    </xf>
    <xf numFmtId="0" fontId="27" fillId="0" borderId="0" xfId="8" applyFont="1" applyAlignment="1" applyProtection="1">
      <alignment horizontal="centerContinuous"/>
      <protection hidden="1"/>
    </xf>
    <xf numFmtId="2" fontId="27" fillId="0" borderId="0" xfId="27" applyFont="1" applyAlignment="1" applyProtection="1">
      <alignment horizontal="centerContinuous"/>
      <protection hidden="1"/>
    </xf>
    <xf numFmtId="0" fontId="55" fillId="0" borderId="0" xfId="8" applyFont="1" applyAlignment="1" applyProtection="1">
      <alignment horizontal="centerContinuous"/>
      <protection hidden="1"/>
    </xf>
    <xf numFmtId="0" fontId="54" fillId="0" borderId="0" xfId="8" applyFont="1" applyAlignment="1" applyProtection="1">
      <alignment horizontal="left"/>
      <protection hidden="1"/>
    </xf>
    <xf numFmtId="0" fontId="54" fillId="0" borderId="0" xfId="8" applyFont="1" applyAlignment="1" applyProtection="1">
      <alignment horizontal="center"/>
      <protection locked="0" hidden="1"/>
    </xf>
    <xf numFmtId="0" fontId="6" fillId="0" borderId="0" xfId="8" quotePrefix="1" applyProtection="1">
      <protection hidden="1"/>
    </xf>
    <xf numFmtId="1" fontId="58" fillId="0" borderId="0" xfId="8" applyNumberFormat="1" applyFont="1" applyAlignment="1" applyProtection="1">
      <alignment horizontal="left"/>
      <protection hidden="1"/>
    </xf>
    <xf numFmtId="0" fontId="6" fillId="0" borderId="23" xfId="8" applyBorder="1" applyAlignment="1" applyProtection="1">
      <alignment horizontal="center"/>
      <protection hidden="1"/>
    </xf>
    <xf numFmtId="4" fontId="6" fillId="0" borderId="0" xfId="2" applyNumberFormat="1" applyFont="1" applyFill="1" applyAlignment="1" applyProtection="1">
      <alignment horizontal="center"/>
      <protection hidden="1"/>
    </xf>
    <xf numFmtId="173" fontId="32" fillId="0" borderId="23" xfId="2" applyNumberFormat="1" applyFont="1" applyFill="1" applyBorder="1" applyAlignment="1" applyProtection="1">
      <alignment horizontal="center"/>
      <protection hidden="1"/>
    </xf>
    <xf numFmtId="173" fontId="32" fillId="0" borderId="0" xfId="2" applyNumberFormat="1" applyFont="1" applyFill="1" applyAlignment="1" applyProtection="1">
      <alignment horizontal="center"/>
      <protection locked="0" hidden="1"/>
    </xf>
    <xf numFmtId="1" fontId="58" fillId="0" borderId="0" xfId="8" applyNumberFormat="1" applyFont="1" applyAlignment="1" applyProtection="1">
      <alignment horizontal="center"/>
      <protection hidden="1"/>
    </xf>
    <xf numFmtId="168" fontId="6" fillId="0" borderId="11" xfId="32" quotePrefix="1" applyNumberFormat="1" applyFont="1" applyFill="1" applyBorder="1" applyProtection="1">
      <protection hidden="1"/>
    </xf>
    <xf numFmtId="0" fontId="6" fillId="0" borderId="11" xfId="8" applyBorder="1" applyAlignment="1" applyProtection="1">
      <alignment horizontal="center"/>
      <protection hidden="1"/>
    </xf>
    <xf numFmtId="168" fontId="6" fillId="0" borderId="44" xfId="32" applyNumberFormat="1" applyFont="1" applyFill="1" applyBorder="1" applyAlignment="1" applyProtection="1">
      <alignment vertical="center"/>
      <protection hidden="1"/>
    </xf>
    <xf numFmtId="0" fontId="6" fillId="0" borderId="44" xfId="8" applyBorder="1" applyAlignment="1" applyProtection="1">
      <alignment horizontal="center" vertical="center"/>
      <protection hidden="1"/>
    </xf>
    <xf numFmtId="4" fontId="4" fillId="0" borderId="44" xfId="2" applyNumberFormat="1" applyFont="1" applyFill="1" applyBorder="1" applyAlignment="1" applyProtection="1">
      <alignment horizontal="center" vertical="center"/>
      <protection hidden="1"/>
    </xf>
    <xf numFmtId="173" fontId="31" fillId="0" borderId="44" xfId="8" applyNumberFormat="1" applyFont="1" applyBorder="1" applyAlignment="1" applyProtection="1">
      <alignment horizontal="center" vertical="center"/>
      <protection hidden="1"/>
    </xf>
    <xf numFmtId="173" fontId="32" fillId="0" borderId="0" xfId="8" applyNumberFormat="1" applyFont="1" applyAlignment="1" applyProtection="1">
      <alignment horizontal="center"/>
      <protection locked="0" hidden="1"/>
    </xf>
    <xf numFmtId="1" fontId="59" fillId="0" borderId="0" xfId="8" applyNumberFormat="1" applyFont="1" applyAlignment="1" applyProtection="1">
      <alignment horizontal="left"/>
      <protection hidden="1"/>
    </xf>
    <xf numFmtId="14" fontId="31" fillId="0" borderId="0" xfId="8" applyNumberFormat="1" applyFont="1" applyAlignment="1" applyProtection="1">
      <alignment horizontal="center"/>
      <protection hidden="1"/>
    </xf>
    <xf numFmtId="0" fontId="52" fillId="0" borderId="0" xfId="8" applyFont="1" applyAlignment="1" applyProtection="1">
      <alignment horizontal="right"/>
      <protection hidden="1"/>
    </xf>
    <xf numFmtId="168" fontId="50" fillId="0" borderId="0" xfId="8" applyNumberFormat="1" applyFont="1" applyProtection="1">
      <protection hidden="1"/>
    </xf>
    <xf numFmtId="0" fontId="12" fillId="0" borderId="0" xfId="8" applyFont="1" applyAlignment="1" applyProtection="1">
      <alignment horizontal="center"/>
      <protection hidden="1"/>
    </xf>
    <xf numFmtId="2" fontId="4" fillId="0" borderId="0" xfId="27" applyFont="1" applyAlignment="1" applyProtection="1">
      <alignment horizontal="left"/>
      <protection hidden="1"/>
    </xf>
    <xf numFmtId="0" fontId="6" fillId="0" borderId="0" xfId="8" applyAlignment="1" applyProtection="1">
      <alignment horizontal="centerContinuous" wrapText="1"/>
      <protection hidden="1"/>
    </xf>
    <xf numFmtId="168" fontId="3" fillId="0" borderId="0" xfId="32" applyNumberFormat="1" applyFont="1" applyFill="1" applyAlignment="1" applyProtection="1">
      <alignment horizontal="left"/>
      <protection hidden="1"/>
    </xf>
    <xf numFmtId="168" fontId="4" fillId="17" borderId="0" xfId="32" applyNumberFormat="1" applyFont="1" applyFill="1" applyAlignment="1" applyProtection="1">
      <alignment horizontal="left"/>
      <protection hidden="1"/>
    </xf>
    <xf numFmtId="2" fontId="50" fillId="17" borderId="0" xfId="27" applyFont="1" applyFill="1" applyAlignment="1" applyProtection="1">
      <alignment horizontal="left"/>
      <protection hidden="1"/>
    </xf>
    <xf numFmtId="2" fontId="6" fillId="17" borderId="0" xfId="27" applyFill="1" applyAlignment="1" applyProtection="1">
      <alignment horizontal="left"/>
      <protection hidden="1"/>
    </xf>
    <xf numFmtId="2" fontId="54" fillId="17" borderId="0" xfId="27" applyFont="1" applyFill="1" applyAlignment="1" applyProtection="1">
      <alignment horizontal="centerContinuous" wrapText="1"/>
      <protection hidden="1"/>
    </xf>
    <xf numFmtId="2" fontId="6" fillId="17" borderId="0" xfId="27" applyFill="1" applyAlignment="1" applyProtection="1">
      <alignment horizontal="centerContinuous" wrapText="1"/>
      <protection hidden="1"/>
    </xf>
    <xf numFmtId="168" fontId="60" fillId="0" borderId="0" xfId="32" applyNumberFormat="1" applyFont="1" applyFill="1" applyAlignment="1" applyProtection="1">
      <protection locked="0" hidden="1"/>
    </xf>
    <xf numFmtId="2" fontId="0" fillId="0" borderId="0" xfId="0" applyNumberFormat="1" applyAlignment="1">
      <alignment horizontal="center"/>
    </xf>
    <xf numFmtId="0" fontId="61" fillId="0" borderId="0" xfId="8" applyFont="1" applyProtection="1">
      <protection hidden="1"/>
    </xf>
    <xf numFmtId="0" fontId="55" fillId="6" borderId="0" xfId="0" applyFont="1" applyFill="1" applyAlignment="1">
      <alignment horizontal="center"/>
    </xf>
    <xf numFmtId="0" fontId="63" fillId="0" borderId="0" xfId="12" applyProtection="1">
      <protection locked="0"/>
    </xf>
    <xf numFmtId="0" fontId="63" fillId="0" borderId="0" xfId="12"/>
    <xf numFmtId="0" fontId="42" fillId="2" borderId="0" xfId="12" applyFont="1" applyFill="1"/>
    <xf numFmtId="0" fontId="63" fillId="2" borderId="0" xfId="12" applyFill="1"/>
    <xf numFmtId="0" fontId="63" fillId="0" borderId="0" xfId="12" quotePrefix="1"/>
    <xf numFmtId="0" fontId="64" fillId="0" borderId="0" xfId="12" applyFont="1"/>
    <xf numFmtId="0" fontId="64" fillId="0" borderId="0" xfId="12" applyFont="1" applyAlignment="1">
      <alignment horizontal="center"/>
    </xf>
    <xf numFmtId="0" fontId="63" fillId="0" borderId="3" xfId="12" applyBorder="1"/>
    <xf numFmtId="0" fontId="63" fillId="0" borderId="4" xfId="12" applyBorder="1"/>
    <xf numFmtId="0" fontId="63" fillId="0" borderId="5" xfId="12" applyBorder="1"/>
    <xf numFmtId="0" fontId="6" fillId="0" borderId="0" xfId="12" applyFont="1"/>
    <xf numFmtId="0" fontId="63" fillId="0" borderId="6" xfId="12" applyBorder="1"/>
    <xf numFmtId="0" fontId="63" fillId="0" borderId="7" xfId="12" applyBorder="1"/>
    <xf numFmtId="0" fontId="63" fillId="0" borderId="8" xfId="12" applyBorder="1"/>
    <xf numFmtId="0" fontId="63" fillId="0" borderId="9" xfId="12" applyBorder="1"/>
    <xf numFmtId="0" fontId="63" fillId="0" borderId="10" xfId="12" applyBorder="1"/>
    <xf numFmtId="0" fontId="6" fillId="11" borderId="0" xfId="8" applyFill="1" applyProtection="1">
      <protection hidden="1"/>
    </xf>
    <xf numFmtId="0" fontId="6" fillId="0" borderId="3" xfId="8" applyBorder="1" applyProtection="1">
      <protection hidden="1"/>
    </xf>
    <xf numFmtId="0" fontId="6" fillId="0" borderId="4" xfId="8" applyBorder="1" applyProtection="1">
      <protection hidden="1"/>
    </xf>
    <xf numFmtId="0" fontId="6" fillId="0" borderId="5" xfId="8" applyBorder="1" applyProtection="1">
      <protection hidden="1"/>
    </xf>
    <xf numFmtId="0" fontId="6" fillId="0" borderId="6" xfId="8" applyBorder="1" applyProtection="1">
      <protection hidden="1"/>
    </xf>
    <xf numFmtId="0" fontId="6" fillId="0" borderId="7" xfId="8" applyBorder="1" applyProtection="1">
      <protection hidden="1"/>
    </xf>
    <xf numFmtId="0" fontId="4" fillId="0" borderId="2" xfId="8" applyFont="1" applyBorder="1" applyProtection="1">
      <protection hidden="1"/>
    </xf>
    <xf numFmtId="0" fontId="6" fillId="12" borderId="0" xfId="8" applyFill="1" applyProtection="1">
      <protection hidden="1"/>
    </xf>
    <xf numFmtId="0" fontId="6" fillId="3" borderId="0" xfId="8" applyFill="1" applyProtection="1">
      <protection hidden="1"/>
    </xf>
    <xf numFmtId="0" fontId="6" fillId="0" borderId="8" xfId="8" applyBorder="1" applyProtection="1">
      <protection hidden="1"/>
    </xf>
    <xf numFmtId="0" fontId="6" fillId="0" borderId="9" xfId="8" applyBorder="1" applyProtection="1">
      <protection hidden="1"/>
    </xf>
    <xf numFmtId="0" fontId="6" fillId="0" borderId="10" xfId="8" applyBorder="1" applyProtection="1">
      <protection hidden="1"/>
    </xf>
    <xf numFmtId="0" fontId="8" fillId="11" borderId="0" xfId="8" applyFont="1" applyFill="1" applyAlignment="1" applyProtection="1">
      <alignment horizontal="center"/>
      <protection hidden="1"/>
    </xf>
    <xf numFmtId="0" fontId="0" fillId="0" borderId="0" xfId="0" applyProtection="1">
      <protection locked="0" hidden="1"/>
    </xf>
    <xf numFmtId="0" fontId="3" fillId="6" borderId="30" xfId="8" applyFont="1" applyFill="1" applyBorder="1" applyAlignment="1" applyProtection="1">
      <alignment horizontal="center"/>
      <protection hidden="1"/>
    </xf>
    <xf numFmtId="0" fontId="6" fillId="6" borderId="31" xfId="8" applyFill="1" applyBorder="1" applyProtection="1">
      <protection hidden="1"/>
    </xf>
    <xf numFmtId="0" fontId="8" fillId="6" borderId="32" xfId="8" applyFont="1" applyFill="1" applyBorder="1" applyAlignment="1" applyProtection="1">
      <alignment horizontal="center"/>
      <protection hidden="1"/>
    </xf>
    <xf numFmtId="0" fontId="4" fillId="6" borderId="2" xfId="0" applyFont="1" applyFill="1" applyBorder="1" applyProtection="1">
      <protection locked="0"/>
    </xf>
    <xf numFmtId="0" fontId="4" fillId="6" borderId="2" xfId="0" applyFont="1" applyFill="1" applyBorder="1" applyProtection="1">
      <protection hidden="1"/>
    </xf>
    <xf numFmtId="0" fontId="39" fillId="11" borderId="6" xfId="0" applyFont="1" applyFill="1" applyBorder="1" applyAlignment="1">
      <alignment horizontal="right"/>
    </xf>
    <xf numFmtId="0" fontId="2" fillId="2" borderId="0" xfId="0" quotePrefix="1" applyFont="1" applyFill="1"/>
    <xf numFmtId="0" fontId="2" fillId="2" borderId="0" xfId="0" applyFont="1" applyFill="1"/>
    <xf numFmtId="3" fontId="39" fillId="6" borderId="2" xfId="0" applyNumberFormat="1" applyFont="1" applyFill="1" applyBorder="1"/>
    <xf numFmtId="4" fontId="39" fillId="6" borderId="2" xfId="0" applyNumberFormat="1" applyFont="1" applyFill="1" applyBorder="1"/>
    <xf numFmtId="14" fontId="39" fillId="6" borderId="2" xfId="0" applyNumberFormat="1" applyFont="1" applyFill="1" applyBorder="1"/>
    <xf numFmtId="0" fontId="39" fillId="6" borderId="0" xfId="0" applyFont="1" applyFill="1" applyAlignment="1">
      <alignment horizontal="center"/>
    </xf>
    <xf numFmtId="0" fontId="39" fillId="6" borderId="2" xfId="0" applyFont="1" applyFill="1" applyBorder="1" applyAlignment="1">
      <alignment horizontal="center"/>
    </xf>
    <xf numFmtId="0" fontId="65" fillId="0" borderId="0" xfId="13"/>
    <xf numFmtId="0" fontId="65" fillId="2" borderId="0" xfId="13" applyFill="1" applyAlignment="1">
      <alignment horizontal="right"/>
    </xf>
    <xf numFmtId="0" fontId="65" fillId="2" borderId="0" xfId="13" applyFill="1"/>
    <xf numFmtId="0" fontId="65" fillId="0" borderId="0" xfId="13" quotePrefix="1"/>
    <xf numFmtId="0" fontId="64" fillId="0" borderId="0" xfId="13" applyFont="1"/>
    <xf numFmtId="0" fontId="64" fillId="0" borderId="0" xfId="13" applyFont="1" applyAlignment="1">
      <alignment horizontal="center"/>
    </xf>
    <xf numFmtId="0" fontId="6" fillId="0" borderId="0" xfId="13" applyFont="1"/>
    <xf numFmtId="0" fontId="65" fillId="18" borderId="0" xfId="13" applyFill="1" applyProtection="1">
      <protection locked="0"/>
    </xf>
    <xf numFmtId="49" fontId="65" fillId="18" borderId="0" xfId="13" applyNumberFormat="1" applyFill="1" applyProtection="1">
      <protection locked="0"/>
    </xf>
    <xf numFmtId="170" fontId="65" fillId="0" borderId="0" xfId="13" applyNumberFormat="1"/>
    <xf numFmtId="49" fontId="65" fillId="0" borderId="0" xfId="13" applyNumberFormat="1"/>
    <xf numFmtId="0" fontId="6" fillId="2" borderId="0" xfId="13" applyFont="1" applyFill="1"/>
    <xf numFmtId="0" fontId="6" fillId="2" borderId="0" xfId="13" applyFont="1" applyFill="1" applyAlignment="1">
      <alignment horizontal="right"/>
    </xf>
    <xf numFmtId="10" fontId="0" fillId="15" borderId="2" xfId="0" applyNumberFormat="1" applyFill="1" applyBorder="1" applyAlignment="1" applyProtection="1">
      <alignment horizontal="center"/>
      <protection locked="0"/>
    </xf>
    <xf numFmtId="0" fontId="0" fillId="15" borderId="2" xfId="0" applyFill="1" applyBorder="1" applyAlignment="1" applyProtection="1">
      <alignment horizontal="center"/>
      <protection locked="0"/>
    </xf>
    <xf numFmtId="0" fontId="0" fillId="0" borderId="0" xfId="0" applyAlignment="1" applyProtection="1">
      <alignment horizontal="center"/>
      <protection hidden="1"/>
    </xf>
    <xf numFmtId="0" fontId="0" fillId="11" borderId="20" xfId="0" applyFill="1" applyBorder="1" applyProtection="1">
      <protection hidden="1"/>
    </xf>
    <xf numFmtId="0" fontId="25" fillId="11" borderId="21" xfId="0" applyFont="1" applyFill="1" applyBorder="1" applyProtection="1">
      <protection hidden="1"/>
    </xf>
    <xf numFmtId="0" fontId="0" fillId="11" borderId="21" xfId="0" applyFill="1" applyBorder="1" applyAlignment="1" applyProtection="1">
      <alignment horizontal="center"/>
      <protection hidden="1"/>
    </xf>
    <xf numFmtId="0" fontId="17" fillId="11" borderId="21" xfId="0" applyFont="1" applyFill="1" applyBorder="1" applyAlignment="1" applyProtection="1">
      <alignment wrapText="1"/>
      <protection hidden="1"/>
    </xf>
    <xf numFmtId="0" fontId="66" fillId="11" borderId="21" xfId="0" applyFont="1" applyFill="1" applyBorder="1" applyAlignment="1" applyProtection="1">
      <alignment horizontal="center"/>
      <protection hidden="1"/>
    </xf>
    <xf numFmtId="0" fontId="67" fillId="11" borderId="22" xfId="0" applyFont="1" applyFill="1" applyBorder="1" applyAlignment="1" applyProtection="1">
      <alignment wrapText="1"/>
      <protection hidden="1"/>
    </xf>
    <xf numFmtId="0" fontId="0" fillId="11" borderId="25" xfId="0" applyFill="1" applyBorder="1" applyProtection="1">
      <protection hidden="1"/>
    </xf>
    <xf numFmtId="0" fontId="25" fillId="11" borderId="11" xfId="0" applyFont="1" applyFill="1" applyBorder="1" applyAlignment="1" applyProtection="1">
      <alignment horizontal="center"/>
      <protection hidden="1"/>
    </xf>
    <xf numFmtId="0" fontId="0" fillId="11" borderId="11" xfId="0" applyFill="1" applyBorder="1" applyAlignment="1" applyProtection="1">
      <alignment horizontal="center"/>
      <protection hidden="1"/>
    </xf>
    <xf numFmtId="0" fontId="0" fillId="6" borderId="2" xfId="0" applyFill="1" applyBorder="1" applyAlignment="1" applyProtection="1">
      <alignment horizontal="center"/>
      <protection hidden="1"/>
    </xf>
    <xf numFmtId="0" fontId="0" fillId="0" borderId="2" xfId="0" applyBorder="1" applyProtection="1">
      <protection hidden="1"/>
    </xf>
    <xf numFmtId="0" fontId="0" fillId="0" borderId="2" xfId="0" applyBorder="1" applyAlignment="1" applyProtection="1">
      <alignment horizontal="center"/>
      <protection hidden="1"/>
    </xf>
    <xf numFmtId="10" fontId="0" fillId="0" borderId="2" xfId="0" applyNumberFormat="1" applyBorder="1" applyProtection="1">
      <protection hidden="1"/>
    </xf>
    <xf numFmtId="10" fontId="0" fillId="0" borderId="0" xfId="0" applyNumberFormat="1" applyAlignment="1" applyProtection="1">
      <alignment horizontal="center"/>
      <protection hidden="1"/>
    </xf>
    <xf numFmtId="0" fontId="17" fillId="11" borderId="2" xfId="0" applyFont="1" applyFill="1" applyBorder="1" applyProtection="1">
      <protection hidden="1"/>
    </xf>
    <xf numFmtId="0" fontId="17" fillId="11" borderId="2" xfId="0" applyFont="1" applyFill="1" applyBorder="1" applyAlignment="1" applyProtection="1">
      <alignment horizontal="right"/>
      <protection hidden="1"/>
    </xf>
    <xf numFmtId="0" fontId="17" fillId="11" borderId="2" xfId="0" applyFont="1" applyFill="1" applyBorder="1" applyAlignment="1" applyProtection="1">
      <alignment horizontal="center"/>
      <protection hidden="1"/>
    </xf>
    <xf numFmtId="0" fontId="17" fillId="11" borderId="2" xfId="0" applyFont="1" applyFill="1" applyBorder="1" applyAlignment="1" applyProtection="1">
      <alignment horizontal="center" wrapText="1"/>
      <protection hidden="1"/>
    </xf>
    <xf numFmtId="0" fontId="24" fillId="11" borderId="2" xfId="0" applyFont="1" applyFill="1" applyBorder="1" applyAlignment="1" applyProtection="1">
      <alignment horizontal="center"/>
      <protection hidden="1"/>
    </xf>
    <xf numFmtId="0" fontId="18" fillId="11" borderId="2" xfId="0" applyFont="1" applyFill="1" applyBorder="1" applyAlignment="1" applyProtection="1">
      <alignment horizontal="center"/>
      <protection hidden="1"/>
    </xf>
    <xf numFmtId="0" fontId="17" fillId="0" borderId="0" xfId="0" applyFont="1" applyAlignment="1" applyProtection="1">
      <alignment horizontal="center"/>
      <protection hidden="1"/>
    </xf>
    <xf numFmtId="167" fontId="0" fillId="0" borderId="2" xfId="0" applyNumberFormat="1" applyBorder="1" applyAlignment="1" applyProtection="1">
      <alignment horizontal="center"/>
      <protection hidden="1"/>
    </xf>
    <xf numFmtId="167" fontId="0" fillId="0" borderId="0" xfId="0" applyNumberFormat="1" applyAlignment="1" applyProtection="1">
      <alignment horizontal="center"/>
      <protection hidden="1"/>
    </xf>
    <xf numFmtId="0" fontId="0" fillId="0" borderId="2" xfId="0" applyBorder="1" applyAlignment="1" applyProtection="1">
      <alignment horizontal="center"/>
      <protection locked="0"/>
    </xf>
    <xf numFmtId="0" fontId="0" fillId="2" borderId="2" xfId="0" applyFill="1" applyBorder="1" applyAlignment="1" applyProtection="1">
      <alignment horizontal="center"/>
      <protection locked="0"/>
    </xf>
    <xf numFmtId="0" fontId="0" fillId="0" borderId="20" xfId="0" applyBorder="1" applyProtection="1">
      <protection hidden="1"/>
    </xf>
    <xf numFmtId="0" fontId="0" fillId="0" borderId="21" xfId="0" applyBorder="1" applyProtection="1">
      <protection hidden="1"/>
    </xf>
    <xf numFmtId="0" fontId="3" fillId="0" borderId="21" xfId="0" applyFont="1" applyBorder="1" applyProtection="1">
      <protection hidden="1"/>
    </xf>
    <xf numFmtId="0" fontId="0" fillId="0" borderId="22" xfId="0" applyBorder="1" applyProtection="1">
      <protection hidden="1"/>
    </xf>
    <xf numFmtId="0" fontId="0" fillId="0" borderId="23" xfId="0" applyBorder="1" applyProtection="1">
      <protection hidden="1"/>
    </xf>
    <xf numFmtId="0" fontId="0" fillId="0" borderId="24" xfId="0" applyBorder="1" applyAlignment="1" applyProtection="1">
      <alignment horizontal="center"/>
      <protection hidden="1"/>
    </xf>
    <xf numFmtId="0" fontId="0" fillId="0" borderId="24" xfId="0" applyBorder="1" applyProtection="1">
      <protection hidden="1"/>
    </xf>
    <xf numFmtId="0" fontId="17" fillId="0" borderId="24" xfId="0" applyFont="1" applyBorder="1" applyAlignment="1" applyProtection="1">
      <alignment horizontal="center"/>
      <protection hidden="1"/>
    </xf>
    <xf numFmtId="167" fontId="0" fillId="0" borderId="24" xfId="0" applyNumberFormat="1" applyBorder="1" applyAlignment="1" applyProtection="1">
      <alignment horizontal="center"/>
      <protection hidden="1"/>
    </xf>
    <xf numFmtId="0" fontId="0" fillId="0" borderId="25" xfId="0" applyBorder="1" applyProtection="1">
      <protection hidden="1"/>
    </xf>
    <xf numFmtId="0" fontId="0" fillId="0" borderId="11" xfId="0" applyBorder="1" applyProtection="1">
      <protection hidden="1"/>
    </xf>
    <xf numFmtId="0" fontId="0" fillId="0" borderId="11" xfId="0" applyBorder="1" applyAlignment="1" applyProtection="1">
      <alignment horizontal="center"/>
      <protection hidden="1"/>
    </xf>
    <xf numFmtId="0" fontId="0" fillId="0" borderId="26" xfId="0" applyBorder="1" applyAlignment="1" applyProtection="1">
      <alignment horizontal="center"/>
      <protection hidden="1"/>
    </xf>
    <xf numFmtId="0" fontId="5" fillId="7" borderId="0" xfId="8" applyFont="1" applyFill="1"/>
    <xf numFmtId="0" fontId="5" fillId="0" borderId="0" xfId="8" applyFont="1"/>
    <xf numFmtId="0" fontId="2" fillId="0" borderId="0" xfId="8" applyFont="1" applyProtection="1">
      <protection locked="0"/>
    </xf>
    <xf numFmtId="0" fontId="68" fillId="0" borderId="23" xfId="8" applyFont="1" applyBorder="1" applyAlignment="1">
      <alignment horizontal="right"/>
    </xf>
    <xf numFmtId="0" fontId="6" fillId="0" borderId="23" xfId="8" applyBorder="1"/>
    <xf numFmtId="0" fontId="2" fillId="0" borderId="27" xfId="8" applyFont="1" applyBorder="1"/>
    <xf numFmtId="0" fontId="2" fillId="0" borderId="28" xfId="8" applyFont="1" applyBorder="1"/>
    <xf numFmtId="0" fontId="2" fillId="3" borderId="28" xfId="8" applyFont="1" applyFill="1" applyBorder="1" applyProtection="1">
      <protection locked="0"/>
    </xf>
    <xf numFmtId="0" fontId="6" fillId="0" borderId="28" xfId="8" applyBorder="1"/>
    <xf numFmtId="0" fontId="5" fillId="0" borderId="20" xfId="8" applyFont="1" applyBorder="1"/>
    <xf numFmtId="0" fontId="5" fillId="0" borderId="21" xfId="8" applyFont="1" applyBorder="1"/>
    <xf numFmtId="0" fontId="5" fillId="0" borderId="22" xfId="8" applyFont="1" applyBorder="1"/>
    <xf numFmtId="0" fontId="5" fillId="0" borderId="24" xfId="8" applyFont="1" applyBorder="1"/>
    <xf numFmtId="0" fontId="6" fillId="0" borderId="11" xfId="8" applyBorder="1"/>
    <xf numFmtId="0" fontId="5" fillId="0" borderId="11" xfId="8" applyFont="1" applyBorder="1"/>
    <xf numFmtId="0" fontId="5" fillId="0" borderId="26" xfId="8" applyFont="1" applyBorder="1"/>
    <xf numFmtId="0" fontId="6" fillId="0" borderId="25" xfId="8" applyBorder="1"/>
    <xf numFmtId="0" fontId="68" fillId="0" borderId="27" xfId="8" applyFont="1" applyBorder="1" applyAlignment="1">
      <alignment horizontal="right"/>
    </xf>
    <xf numFmtId="0" fontId="3" fillId="0" borderId="29" xfId="8" applyFont="1" applyBorder="1"/>
    <xf numFmtId="0" fontId="74" fillId="6" borderId="39" xfId="0" applyFont="1" applyFill="1" applyBorder="1" applyProtection="1">
      <protection locked="0"/>
    </xf>
    <xf numFmtId="172" fontId="6" fillId="0" borderId="0" xfId="8" applyNumberFormat="1" applyProtection="1">
      <protection hidden="1"/>
    </xf>
    <xf numFmtId="4" fontId="6" fillId="0" borderId="0" xfId="8" applyNumberFormat="1" applyAlignment="1" applyProtection="1">
      <alignment horizontal="center"/>
      <protection hidden="1"/>
    </xf>
    <xf numFmtId="0" fontId="4" fillId="0" borderId="0" xfId="8" applyFont="1" applyAlignment="1" applyProtection="1">
      <alignment horizontal="center"/>
      <protection hidden="1"/>
    </xf>
    <xf numFmtId="0" fontId="42" fillId="0" borderId="0" xfId="8" applyFont="1" applyAlignment="1" applyProtection="1">
      <alignment horizontal="right"/>
      <protection hidden="1"/>
    </xf>
    <xf numFmtId="0" fontId="6" fillId="0" borderId="2" xfId="8" applyBorder="1" applyProtection="1">
      <protection hidden="1"/>
    </xf>
    <xf numFmtId="0" fontId="6" fillId="0" borderId="2" xfId="8" applyBorder="1" applyAlignment="1" applyProtection="1">
      <alignment horizontal="center"/>
      <protection hidden="1"/>
    </xf>
    <xf numFmtId="172" fontId="6" fillId="0" borderId="0" xfId="8" applyNumberFormat="1" applyAlignment="1" applyProtection="1">
      <alignment horizontal="center"/>
      <protection hidden="1"/>
    </xf>
    <xf numFmtId="0" fontId="6" fillId="0" borderId="27" xfId="8" applyBorder="1" applyProtection="1">
      <protection hidden="1"/>
    </xf>
    <xf numFmtId="0" fontId="6" fillId="0" borderId="28" xfId="8" applyBorder="1" applyAlignment="1" applyProtection="1">
      <alignment horizontal="center"/>
      <protection hidden="1"/>
    </xf>
    <xf numFmtId="172" fontId="6" fillId="0" borderId="2" xfId="8" applyNumberFormat="1" applyBorder="1" applyAlignment="1" applyProtection="1">
      <alignment horizontal="right"/>
      <protection hidden="1"/>
    </xf>
    <xf numFmtId="172" fontId="6" fillId="0" borderId="2" xfId="8" applyNumberFormat="1" applyBorder="1" applyAlignment="1" applyProtection="1">
      <alignment horizontal="center"/>
      <protection hidden="1"/>
    </xf>
    <xf numFmtId="172" fontId="6" fillId="0" borderId="0" xfId="8" applyNumberFormat="1" applyAlignment="1" applyProtection="1">
      <alignment horizontal="right"/>
      <protection hidden="1"/>
    </xf>
    <xf numFmtId="172" fontId="6" fillId="0" borderId="11" xfId="8" applyNumberFormat="1" applyBorder="1" applyProtection="1">
      <protection hidden="1"/>
    </xf>
    <xf numFmtId="0" fontId="3" fillId="0" borderId="0" xfId="8" applyFont="1" applyProtection="1">
      <protection hidden="1"/>
    </xf>
    <xf numFmtId="0" fontId="4" fillId="0" borderId="11" xfId="8" applyFont="1" applyBorder="1" applyProtection="1">
      <protection hidden="1"/>
    </xf>
    <xf numFmtId="0" fontId="3" fillId="0" borderId="0" xfId="8" applyFont="1" applyAlignment="1" applyProtection="1">
      <alignment horizontal="center"/>
      <protection hidden="1"/>
    </xf>
    <xf numFmtId="172" fontId="3" fillId="0" borderId="0" xfId="8" applyNumberFormat="1" applyFont="1" applyAlignment="1" applyProtection="1">
      <alignment horizontal="center"/>
      <protection hidden="1"/>
    </xf>
    <xf numFmtId="0" fontId="6" fillId="19" borderId="0" xfId="8" applyFill="1" applyProtection="1">
      <protection hidden="1"/>
    </xf>
    <xf numFmtId="0" fontId="6" fillId="19" borderId="0" xfId="8" applyFill="1" applyAlignment="1" applyProtection="1">
      <alignment horizontal="center"/>
      <protection hidden="1"/>
    </xf>
    <xf numFmtId="172" fontId="6" fillId="19" borderId="0" xfId="8" applyNumberFormat="1" applyFill="1" applyProtection="1">
      <protection hidden="1"/>
    </xf>
    <xf numFmtId="3" fontId="6" fillId="0" borderId="2" xfId="8" applyNumberFormat="1" applyBorder="1" applyAlignment="1" applyProtection="1">
      <alignment horizontal="center"/>
      <protection hidden="1"/>
    </xf>
    <xf numFmtId="4" fontId="6" fillId="0" borderId="0" xfId="8" applyNumberFormat="1" applyProtection="1">
      <protection hidden="1"/>
    </xf>
    <xf numFmtId="4" fontId="6" fillId="0" borderId="2" xfId="8" applyNumberFormat="1" applyBorder="1" applyAlignment="1" applyProtection="1">
      <alignment horizontal="center"/>
      <protection hidden="1"/>
    </xf>
    <xf numFmtId="0" fontId="42" fillId="0" borderId="11" xfId="0" applyFont="1" applyBorder="1" applyProtection="1">
      <protection hidden="1"/>
    </xf>
    <xf numFmtId="0" fontId="6" fillId="0" borderId="2" xfId="0" applyFont="1" applyBorder="1" applyProtection="1">
      <protection locked="0"/>
    </xf>
    <xf numFmtId="0" fontId="6" fillId="0" borderId="0" xfId="0" applyFont="1"/>
    <xf numFmtId="0" fontId="6" fillId="2" borderId="2" xfId="0" applyFont="1" applyFill="1" applyBorder="1"/>
    <xf numFmtId="0" fontId="6" fillId="2" borderId="2" xfId="0" applyFont="1" applyFill="1" applyBorder="1" applyAlignment="1">
      <alignment horizontal="center"/>
    </xf>
    <xf numFmtId="0" fontId="0" fillId="0" borderId="2" xfId="0" applyBorder="1"/>
    <xf numFmtId="0" fontId="6" fillId="0" borderId="2" xfId="0" applyFont="1" applyBorder="1"/>
    <xf numFmtId="2" fontId="6" fillId="3" borderId="2" xfId="27" applyFill="1" applyBorder="1" applyAlignment="1" applyProtection="1">
      <alignment horizontal="centerContinuous" wrapText="1"/>
      <protection hidden="1"/>
    </xf>
    <xf numFmtId="0" fontId="75" fillId="2" borderId="0" xfId="0" applyFont="1" applyFill="1"/>
    <xf numFmtId="0" fontId="6" fillId="0" borderId="0" xfId="0" applyFont="1" applyProtection="1">
      <protection locked="0"/>
    </xf>
    <xf numFmtId="0" fontId="4" fillId="0" borderId="20" xfId="0" applyFont="1" applyBorder="1"/>
    <xf numFmtId="0" fontId="0" fillId="0" borderId="21" xfId="0" applyBorder="1"/>
    <xf numFmtId="0" fontId="0" fillId="0" borderId="22" xfId="0" applyBorder="1"/>
    <xf numFmtId="0" fontId="0" fillId="0" borderId="23" xfId="0" applyBorder="1"/>
    <xf numFmtId="0" fontId="6" fillId="0" borderId="2" xfId="0" applyFont="1" applyBorder="1" applyAlignment="1">
      <alignment horizontal="center"/>
    </xf>
    <xf numFmtId="0" fontId="6" fillId="0" borderId="0" xfId="0" quotePrefix="1" applyFont="1"/>
    <xf numFmtId="0" fontId="0" fillId="0" borderId="24" xfId="0" applyBorder="1"/>
    <xf numFmtId="0" fontId="0" fillId="0" borderId="25" xfId="0" applyBorder="1"/>
    <xf numFmtId="0" fontId="0" fillId="0" borderId="11" xfId="0" applyBorder="1"/>
    <xf numFmtId="0" fontId="0" fillId="0" borderId="26" xfId="0" applyBorder="1"/>
    <xf numFmtId="0" fontId="76" fillId="0" borderId="0" xfId="0" applyFont="1"/>
    <xf numFmtId="0" fontId="77" fillId="0" borderId="0" xfId="0" applyFont="1"/>
    <xf numFmtId="0" fontId="2" fillId="5" borderId="2" xfId="0" applyFont="1" applyFill="1" applyBorder="1" applyProtection="1">
      <protection locked="0"/>
    </xf>
    <xf numFmtId="0" fontId="72" fillId="0" borderId="0" xfId="0" applyFont="1"/>
    <xf numFmtId="0" fontId="6" fillId="3" borderId="2" xfId="0" applyFont="1" applyFill="1" applyBorder="1" applyAlignment="1" applyProtection="1">
      <alignment horizontal="center"/>
      <protection locked="0"/>
    </xf>
    <xf numFmtId="0" fontId="27" fillId="6" borderId="0" xfId="0" applyFont="1" applyFill="1" applyProtection="1">
      <protection hidden="1"/>
    </xf>
    <xf numFmtId="0" fontId="78" fillId="11" borderId="6" xfId="0" applyFont="1" applyFill="1" applyBorder="1" applyAlignment="1">
      <alignment horizontal="center"/>
    </xf>
    <xf numFmtId="0" fontId="39" fillId="0" borderId="33" xfId="0" applyFont="1" applyBorder="1"/>
    <xf numFmtId="0" fontId="43" fillId="0" borderId="34" xfId="0" applyFont="1" applyBorder="1"/>
    <xf numFmtId="0" fontId="39" fillId="0" borderId="34" xfId="0" applyFont="1" applyBorder="1"/>
    <xf numFmtId="0" fontId="39" fillId="0" borderId="35" xfId="0" applyFont="1" applyBorder="1"/>
    <xf numFmtId="0" fontId="39" fillId="0" borderId="36" xfId="0" applyFont="1" applyBorder="1"/>
    <xf numFmtId="0" fontId="35" fillId="0" borderId="27" xfId="0" applyFont="1" applyBorder="1" applyAlignment="1">
      <alignment vertical="center"/>
    </xf>
    <xf numFmtId="0" fontId="39" fillId="0" borderId="29" xfId="0" applyFont="1" applyBorder="1"/>
    <xf numFmtId="0" fontId="39" fillId="0" borderId="37" xfId="0" applyFont="1" applyBorder="1"/>
    <xf numFmtId="0" fontId="5" fillId="0" borderId="29" xfId="0" applyFont="1" applyBorder="1"/>
    <xf numFmtId="0" fontId="35" fillId="0" borderId="29" xfId="0" applyFont="1" applyBorder="1" applyAlignment="1">
      <alignment horizontal="right"/>
    </xf>
    <xf numFmtId="0" fontId="5" fillId="0" borderId="27" xfId="0" applyFont="1" applyBorder="1"/>
    <xf numFmtId="14" fontId="35" fillId="0" borderId="2" xfId="0" applyNumberFormat="1" applyFont="1" applyBorder="1" applyAlignment="1" applyProtection="1">
      <alignment horizontal="center"/>
      <protection hidden="1"/>
    </xf>
    <xf numFmtId="0" fontId="35" fillId="0" borderId="29" xfId="0" applyFont="1" applyBorder="1" applyAlignment="1">
      <alignment horizontal="right" vertical="center"/>
    </xf>
    <xf numFmtId="4" fontId="5" fillId="0" borderId="0" xfId="1" applyNumberFormat="1" applyFont="1" applyFill="1" applyBorder="1" applyAlignment="1" applyProtection="1">
      <alignment horizontal="center"/>
      <protection locked="0"/>
    </xf>
    <xf numFmtId="4" fontId="5" fillId="0" borderId="2" xfId="1" applyNumberFormat="1" applyFont="1" applyFill="1" applyBorder="1" applyAlignment="1">
      <alignment horizontal="center"/>
    </xf>
    <xf numFmtId="0" fontId="5" fillId="0" borderId="28" xfId="0" applyFont="1" applyBorder="1"/>
    <xf numFmtId="0" fontId="42" fillId="0" borderId="0" xfId="0" applyFont="1"/>
    <xf numFmtId="0" fontId="4" fillId="0" borderId="27" xfId="0" applyFont="1" applyBorder="1" applyAlignment="1" applyProtection="1">
      <alignment horizontal="center" vertical="center"/>
      <protection hidden="1"/>
    </xf>
    <xf numFmtId="0" fontId="4" fillId="0" borderId="29" xfId="0" applyFont="1" applyBorder="1" applyAlignment="1" applyProtection="1">
      <alignment horizontal="center" vertical="center"/>
      <protection hidden="1"/>
    </xf>
    <xf numFmtId="0" fontId="4" fillId="0" borderId="28" xfId="0" applyFont="1" applyBorder="1" applyAlignment="1" applyProtection="1">
      <alignment horizontal="center" vertical="center"/>
      <protection hidden="1"/>
    </xf>
    <xf numFmtId="0" fontId="35" fillId="0" borderId="2" xfId="0" applyFont="1" applyBorder="1" applyProtection="1">
      <protection hidden="1"/>
    </xf>
    <xf numFmtId="0" fontId="35" fillId="0" borderId="2" xfId="0" applyFont="1" applyBorder="1" applyAlignment="1" applyProtection="1">
      <alignment horizontal="center"/>
      <protection hidden="1"/>
    </xf>
    <xf numFmtId="0" fontId="5" fillId="0" borderId="2" xfId="0" applyFont="1" applyBorder="1" applyAlignment="1" applyProtection="1">
      <alignment vertical="center"/>
      <protection hidden="1"/>
    </xf>
    <xf numFmtId="0" fontId="5" fillId="0" borderId="2" xfId="0" applyFont="1" applyBorder="1" applyAlignment="1" applyProtection="1">
      <alignment horizontal="center"/>
      <protection hidden="1"/>
    </xf>
    <xf numFmtId="4" fontId="5" fillId="0" borderId="2" xfId="1" applyNumberFormat="1" applyFont="1" applyFill="1" applyBorder="1" applyAlignment="1" applyProtection="1">
      <alignment horizontal="center" vertical="center"/>
      <protection hidden="1"/>
    </xf>
    <xf numFmtId="172" fontId="5" fillId="0" borderId="2" xfId="0" applyNumberFormat="1" applyFont="1" applyBorder="1" applyAlignment="1" applyProtection="1">
      <alignment horizontal="center" vertical="center"/>
      <protection hidden="1"/>
    </xf>
    <xf numFmtId="165" fontId="39" fillId="0" borderId="37" xfId="0" applyNumberFormat="1" applyFont="1" applyBorder="1"/>
    <xf numFmtId="0" fontId="5" fillId="0" borderId="0" xfId="0" applyFont="1" applyProtection="1">
      <protection hidden="1"/>
    </xf>
    <xf numFmtId="0" fontId="5" fillId="0" borderId="0" xfId="0" applyFont="1" applyAlignment="1" applyProtection="1">
      <alignment horizontal="center"/>
      <protection hidden="1"/>
    </xf>
    <xf numFmtId="172" fontId="5" fillId="0" borderId="0" xfId="0" applyNumberFormat="1" applyFont="1" applyAlignment="1" applyProtection="1">
      <alignment horizontal="center"/>
      <protection hidden="1"/>
    </xf>
    <xf numFmtId="0" fontId="35" fillId="0" borderId="44" xfId="0" applyFont="1" applyBorder="1" applyProtection="1">
      <protection hidden="1"/>
    </xf>
    <xf numFmtId="0" fontId="35" fillId="0" borderId="44" xfId="0" applyFont="1" applyBorder="1" applyAlignment="1" applyProtection="1">
      <alignment horizontal="center"/>
      <protection hidden="1"/>
    </xf>
    <xf numFmtId="4" fontId="35" fillId="0" borderId="44" xfId="0" applyNumberFormat="1" applyFont="1" applyBorder="1" applyAlignment="1" applyProtection="1">
      <alignment horizontal="center"/>
      <protection hidden="1"/>
    </xf>
    <xf numFmtId="172" fontId="35" fillId="0" borderId="44" xfId="0" applyNumberFormat="1" applyFont="1" applyBorder="1" applyAlignment="1" applyProtection="1">
      <alignment horizontal="center"/>
      <protection hidden="1"/>
    </xf>
    <xf numFmtId="0" fontId="5" fillId="0" borderId="0" xfId="0" applyFont="1"/>
    <xf numFmtId="0" fontId="55" fillId="0" borderId="0" xfId="0" applyFont="1" applyAlignment="1">
      <alignment horizontal="center"/>
    </xf>
    <xf numFmtId="0" fontId="5" fillId="0" borderId="2" xfId="0" applyFont="1" applyBorder="1" applyAlignment="1">
      <alignment horizontal="right"/>
    </xf>
    <xf numFmtId="14" fontId="5" fillId="0" borderId="2" xfId="0" applyNumberFormat="1" applyFont="1" applyBorder="1" applyAlignment="1" applyProtection="1">
      <alignment horizontal="center"/>
      <protection locked="0"/>
    </xf>
    <xf numFmtId="0" fontId="41" fillId="0" borderId="0" xfId="0" applyFont="1"/>
    <xf numFmtId="0" fontId="73" fillId="0" borderId="0" xfId="0" applyFont="1"/>
    <xf numFmtId="0" fontId="39" fillId="0" borderId="38" xfId="0" applyFont="1" applyBorder="1"/>
    <xf numFmtId="0" fontId="5" fillId="0" borderId="39" xfId="0" applyFont="1" applyBorder="1"/>
    <xf numFmtId="0" fontId="35" fillId="0" borderId="39" xfId="0" applyFont="1" applyBorder="1"/>
    <xf numFmtId="0" fontId="39" fillId="0" borderId="40" xfId="0" applyFont="1" applyBorder="1"/>
    <xf numFmtId="0" fontId="39" fillId="3" borderId="0" xfId="0" applyFont="1" applyFill="1" applyAlignment="1">
      <alignment horizontal="right"/>
    </xf>
    <xf numFmtId="0" fontId="6" fillId="4" borderId="0" xfId="8" applyFill="1"/>
    <xf numFmtId="0" fontId="6" fillId="3" borderId="0" xfId="8" applyFill="1" applyProtection="1">
      <protection locked="0"/>
    </xf>
    <xf numFmtId="0" fontId="6" fillId="20" borderId="0" xfId="8" applyFill="1"/>
    <xf numFmtId="0" fontId="4" fillId="0" borderId="2" xfId="8" applyFont="1" applyBorder="1" applyAlignment="1">
      <alignment vertical="top"/>
    </xf>
    <xf numFmtId="0" fontId="9" fillId="3" borderId="2" xfId="5" applyFill="1" applyBorder="1" applyAlignment="1" applyProtection="1">
      <alignment vertical="top"/>
      <protection locked="0"/>
    </xf>
    <xf numFmtId="0" fontId="6" fillId="0" borderId="2" xfId="8" applyBorder="1"/>
    <xf numFmtId="0" fontId="6" fillId="3" borderId="2" xfId="8" applyFill="1" applyBorder="1" applyAlignment="1" applyProtection="1">
      <alignment vertical="top"/>
      <protection locked="0"/>
    </xf>
    <xf numFmtId="0" fontId="6" fillId="3" borderId="2" xfId="8" applyFill="1" applyBorder="1" applyAlignment="1" applyProtection="1">
      <alignment vertical="top" wrapText="1"/>
      <protection locked="0"/>
    </xf>
    <xf numFmtId="14" fontId="5" fillId="3" borderId="0" xfId="0" applyNumberFormat="1" applyFont="1" applyFill="1" applyProtection="1">
      <protection locked="0"/>
    </xf>
    <xf numFmtId="0" fontId="3" fillId="0" borderId="0" xfId="8" applyFont="1" applyAlignment="1" applyProtection="1">
      <alignment horizontal="right"/>
      <protection hidden="1"/>
    </xf>
    <xf numFmtId="0" fontId="0" fillId="21" borderId="0" xfId="0" applyFill="1"/>
    <xf numFmtId="0" fontId="6" fillId="21" borderId="0" xfId="8" applyFill="1" applyProtection="1">
      <protection hidden="1"/>
    </xf>
    <xf numFmtId="0" fontId="6" fillId="21" borderId="0" xfId="8" applyFill="1" applyAlignment="1" applyProtection="1">
      <alignment horizontal="center"/>
      <protection hidden="1"/>
    </xf>
    <xf numFmtId="172" fontId="6" fillId="21" borderId="0" xfId="8" applyNumberFormat="1" applyFill="1" applyProtection="1">
      <protection hidden="1"/>
    </xf>
    <xf numFmtId="0" fontId="0" fillId="21" borderId="0" xfId="0" applyFill="1" applyProtection="1">
      <protection hidden="1"/>
    </xf>
    <xf numFmtId="0" fontId="6" fillId="3" borderId="0" xfId="8" applyFill="1" applyAlignment="1" applyProtection="1">
      <alignment horizontal="center"/>
      <protection hidden="1"/>
    </xf>
    <xf numFmtId="172" fontId="6" fillId="3" borderId="0" xfId="8" applyNumberFormat="1" applyFill="1" applyProtection="1">
      <protection hidden="1"/>
    </xf>
    <xf numFmtId="14" fontId="6" fillId="3" borderId="0" xfId="8" applyNumberFormat="1" applyFill="1" applyAlignment="1" applyProtection="1">
      <alignment horizontal="center"/>
      <protection hidden="1"/>
    </xf>
    <xf numFmtId="3" fontId="6" fillId="3" borderId="0" xfId="8" applyNumberFormat="1" applyFill="1" applyAlignment="1" applyProtection="1">
      <alignment horizontal="center"/>
      <protection hidden="1"/>
    </xf>
    <xf numFmtId="4" fontId="6" fillId="3" borderId="0" xfId="8" applyNumberFormat="1" applyFill="1" applyAlignment="1" applyProtection="1">
      <alignment horizontal="center"/>
      <protection hidden="1"/>
    </xf>
    <xf numFmtId="172" fontId="6" fillId="3" borderId="0" xfId="8" applyNumberFormat="1" applyFill="1" applyAlignment="1" applyProtection="1">
      <alignment horizontal="center"/>
      <protection hidden="1"/>
    </xf>
    <xf numFmtId="0" fontId="0" fillId="3" borderId="0" xfId="0" applyFill="1" applyProtection="1">
      <protection hidden="1"/>
    </xf>
    <xf numFmtId="0" fontId="6" fillId="3" borderId="0" xfId="8" applyFill="1" applyAlignment="1" applyProtection="1">
      <alignment horizontal="left"/>
      <protection hidden="1"/>
    </xf>
    <xf numFmtId="2" fontId="4" fillId="0" borderId="0" xfId="27" applyFont="1" applyAlignment="1" applyProtection="1">
      <protection hidden="1"/>
    </xf>
    <xf numFmtId="38" fontId="4" fillId="0" borderId="2" xfId="2" applyNumberFormat="1" applyFont="1" applyFill="1" applyBorder="1" applyAlignment="1" applyProtection="1">
      <alignment horizontal="center"/>
      <protection hidden="1"/>
    </xf>
    <xf numFmtId="2" fontId="6" fillId="2" borderId="0" xfId="27" applyFill="1" applyProtection="1">
      <alignment horizontal="center"/>
      <protection hidden="1"/>
    </xf>
    <xf numFmtId="0" fontId="79" fillId="6" borderId="0" xfId="5" applyFont="1" applyFill="1" applyBorder="1" applyAlignment="1" applyProtection="1">
      <alignment vertical="center"/>
    </xf>
    <xf numFmtId="2" fontId="6" fillId="0" borderId="0" xfId="27" applyAlignment="1" applyProtection="1">
      <protection hidden="1"/>
    </xf>
    <xf numFmtId="2" fontId="80" fillId="17" borderId="0" xfId="29" applyFill="1">
      <alignment horizontal="center"/>
    </xf>
    <xf numFmtId="2" fontId="41" fillId="17" borderId="0" xfId="29" applyFont="1" applyFill="1" applyAlignment="1" applyProtection="1">
      <alignment horizontal="left" vertical="top"/>
      <protection locked="0"/>
    </xf>
    <xf numFmtId="2" fontId="80" fillId="0" borderId="0" xfId="29">
      <alignment horizontal="center"/>
    </xf>
    <xf numFmtId="2" fontId="9" fillId="17" borderId="0" xfId="5" applyNumberFormat="1" applyFill="1" applyAlignment="1" applyProtection="1">
      <alignment horizontal="center"/>
    </xf>
    <xf numFmtId="2" fontId="81" fillId="2" borderId="27" xfId="29" applyFont="1" applyFill="1" applyBorder="1" applyAlignment="1">
      <alignment horizontal="left" vertical="center"/>
    </xf>
    <xf numFmtId="2" fontId="80" fillId="2" borderId="29" xfId="29" applyFill="1" applyBorder="1">
      <alignment horizontal="center"/>
    </xf>
    <xf numFmtId="2" fontId="32" fillId="2" borderId="29" xfId="29" applyFont="1" applyFill="1" applyBorder="1" applyAlignment="1">
      <alignment horizontal="centerContinuous" wrapText="1"/>
    </xf>
    <xf numFmtId="2" fontId="80" fillId="2" borderId="29" xfId="29" applyFill="1" applyBorder="1" applyAlignment="1">
      <alignment horizontal="centerContinuous" wrapText="1"/>
    </xf>
    <xf numFmtId="2" fontId="80" fillId="2" borderId="28" xfId="29" applyFill="1" applyBorder="1" applyAlignment="1">
      <alignment horizontal="centerContinuous" wrapText="1"/>
    </xf>
    <xf numFmtId="2" fontId="56" fillId="0" borderId="0" xfId="29" applyFont="1" applyAlignment="1">
      <alignment horizontal="right"/>
    </xf>
    <xf numFmtId="2" fontId="50" fillId="0" borderId="0" xfId="29" applyFont="1" applyAlignment="1">
      <alignment horizontal="right"/>
    </xf>
    <xf numFmtId="2" fontId="82" fillId="0" borderId="0" xfId="29" applyFont="1" applyAlignment="1">
      <alignment horizontal="centerContinuous"/>
    </xf>
    <xf numFmtId="2" fontId="69" fillId="0" borderId="0" xfId="29" applyFont="1" applyAlignment="1">
      <alignment horizontal="centerContinuous"/>
    </xf>
    <xf numFmtId="2" fontId="60" fillId="0" borderId="0" xfId="29" applyFont="1" applyAlignment="1" applyProtection="1">
      <alignment horizontal="centerContinuous"/>
      <protection locked="0"/>
    </xf>
    <xf numFmtId="2" fontId="83" fillId="0" borderId="0" xfId="29" applyFont="1" applyProtection="1">
      <alignment horizontal="center"/>
      <protection locked="0"/>
    </xf>
    <xf numFmtId="2" fontId="80" fillId="0" borderId="0" xfId="29" applyProtection="1">
      <alignment horizontal="center"/>
      <protection locked="0"/>
    </xf>
    <xf numFmtId="2" fontId="80" fillId="0" borderId="0" xfId="29" applyAlignment="1" applyProtection="1">
      <alignment horizontal="centerContinuous"/>
      <protection locked="0"/>
    </xf>
    <xf numFmtId="2" fontId="31" fillId="0" borderId="0" xfId="29" applyFont="1" applyAlignment="1">
      <alignment horizontal="centerContinuous"/>
    </xf>
    <xf numFmtId="2" fontId="80" fillId="0" borderId="0" xfId="29" applyAlignment="1">
      <alignment horizontal="centerContinuous"/>
    </xf>
    <xf numFmtId="2" fontId="80" fillId="0" borderId="11" xfId="29" applyBorder="1">
      <alignment horizontal="center"/>
    </xf>
    <xf numFmtId="2" fontId="80" fillId="17" borderId="0" xfId="29" applyFill="1" applyAlignment="1">
      <alignment horizontal="center" vertical="center"/>
    </xf>
    <xf numFmtId="2" fontId="80" fillId="0" borderId="0" xfId="29" applyAlignment="1">
      <alignment horizontal="center" vertical="center"/>
    </xf>
    <xf numFmtId="2" fontId="80" fillId="0" borderId="20" xfId="29" applyBorder="1" applyAlignment="1" applyProtection="1">
      <alignment horizontal="centerContinuous" vertical="center"/>
      <protection hidden="1"/>
    </xf>
    <xf numFmtId="2" fontId="80" fillId="0" borderId="21" xfId="29" applyBorder="1" applyAlignment="1" applyProtection="1">
      <alignment horizontal="centerContinuous" vertical="center"/>
      <protection hidden="1"/>
    </xf>
    <xf numFmtId="2" fontId="80" fillId="0" borderId="22" xfId="29" applyBorder="1" applyAlignment="1" applyProtection="1">
      <alignment vertical="center"/>
      <protection hidden="1"/>
    </xf>
    <xf numFmtId="2" fontId="80" fillId="0" borderId="20" xfId="29" applyBorder="1" applyAlignment="1" applyProtection="1">
      <alignment horizontal="centerContinuous" wrapText="1"/>
      <protection hidden="1"/>
    </xf>
    <xf numFmtId="2" fontId="80" fillId="0" borderId="22" xfId="29" applyBorder="1" applyAlignment="1" applyProtection="1">
      <alignment horizontal="centerContinuous"/>
      <protection hidden="1"/>
    </xf>
    <xf numFmtId="2" fontId="80" fillId="0" borderId="20" xfId="29" applyBorder="1" applyAlignment="1" applyProtection="1">
      <alignment horizontal="centerContinuous"/>
      <protection hidden="1"/>
    </xf>
    <xf numFmtId="2" fontId="80" fillId="0" borderId="0" xfId="29" applyAlignment="1">
      <alignment vertical="center"/>
    </xf>
    <xf numFmtId="2" fontId="80" fillId="0" borderId="23" xfId="29" applyBorder="1" applyProtection="1">
      <alignment horizontal="center"/>
      <protection hidden="1"/>
    </xf>
    <xf numFmtId="2" fontId="80" fillId="0" borderId="0" xfId="29" applyProtection="1">
      <alignment horizontal="center"/>
      <protection hidden="1"/>
    </xf>
    <xf numFmtId="2" fontId="80" fillId="0" borderId="24" xfId="29" applyBorder="1" applyProtection="1">
      <alignment horizontal="center"/>
      <protection hidden="1"/>
    </xf>
    <xf numFmtId="3" fontId="80" fillId="0" borderId="23" xfId="29" applyNumberFormat="1" applyBorder="1" applyAlignment="1" applyProtection="1">
      <alignment horizontal="centerContinuous"/>
      <protection hidden="1"/>
    </xf>
    <xf numFmtId="2" fontId="80" fillId="0" borderId="24" xfId="29" applyBorder="1" applyAlignment="1" applyProtection="1">
      <alignment horizontal="centerContinuous"/>
      <protection hidden="1"/>
    </xf>
    <xf numFmtId="2" fontId="80" fillId="0" borderId="23" xfId="29" applyBorder="1" applyAlignment="1" applyProtection="1">
      <alignment horizontal="centerContinuous"/>
      <protection hidden="1"/>
    </xf>
    <xf numFmtId="2" fontId="80" fillId="0" borderId="25" xfId="29" applyBorder="1" applyProtection="1">
      <alignment horizontal="center"/>
      <protection hidden="1"/>
    </xf>
    <xf numFmtId="2" fontId="80" fillId="0" borderId="11" xfId="29" applyBorder="1" applyProtection="1">
      <alignment horizontal="center"/>
      <protection hidden="1"/>
    </xf>
    <xf numFmtId="2" fontId="80" fillId="0" borderId="26" xfId="29" applyBorder="1" applyProtection="1">
      <alignment horizontal="center"/>
      <protection hidden="1"/>
    </xf>
    <xf numFmtId="3" fontId="80" fillId="0" borderId="25" xfId="29" applyNumberFormat="1" applyBorder="1" applyAlignment="1" applyProtection="1">
      <alignment horizontal="centerContinuous"/>
      <protection hidden="1"/>
    </xf>
    <xf numFmtId="2" fontId="80" fillId="0" borderId="26" xfId="29" applyBorder="1" applyAlignment="1" applyProtection="1">
      <alignment horizontal="centerContinuous"/>
      <protection hidden="1"/>
    </xf>
    <xf numFmtId="14" fontId="80" fillId="0" borderId="25" xfId="29" applyNumberFormat="1" applyBorder="1" applyAlignment="1" applyProtection="1">
      <alignment horizontal="centerContinuous"/>
      <protection hidden="1"/>
    </xf>
    <xf numFmtId="14" fontId="80" fillId="0" borderId="23" xfId="29" applyNumberFormat="1" applyBorder="1" applyProtection="1">
      <alignment horizontal="center"/>
      <protection hidden="1"/>
    </xf>
    <xf numFmtId="14" fontId="80" fillId="0" borderId="0" xfId="29" applyNumberFormat="1" applyProtection="1">
      <alignment horizontal="center"/>
      <protection hidden="1"/>
    </xf>
    <xf numFmtId="4" fontId="80" fillId="0" borderId="20" xfId="29" applyNumberFormat="1" applyBorder="1" applyAlignment="1" applyProtection="1">
      <protection hidden="1"/>
    </xf>
    <xf numFmtId="4" fontId="80" fillId="0" borderId="22" xfId="29" applyNumberFormat="1" applyBorder="1" applyProtection="1">
      <alignment horizontal="center"/>
      <protection hidden="1"/>
    </xf>
    <xf numFmtId="4" fontId="80" fillId="0" borderId="21" xfId="29" applyNumberFormat="1" applyBorder="1" applyProtection="1">
      <alignment horizontal="center"/>
      <protection hidden="1"/>
    </xf>
    <xf numFmtId="173" fontId="80" fillId="0" borderId="20" xfId="29" applyNumberFormat="1" applyBorder="1" applyAlignment="1" applyProtection="1">
      <protection hidden="1"/>
    </xf>
    <xf numFmtId="2" fontId="80" fillId="0" borderId="0" xfId="29" quotePrefix="1">
      <alignment horizontal="center"/>
    </xf>
    <xf numFmtId="4" fontId="80" fillId="0" borderId="23" xfId="29" applyNumberFormat="1" applyBorder="1" applyAlignment="1" applyProtection="1">
      <protection hidden="1"/>
    </xf>
    <xf numFmtId="4" fontId="80" fillId="0" borderId="24" xfId="29" applyNumberFormat="1" applyBorder="1" applyProtection="1">
      <alignment horizontal="center"/>
      <protection hidden="1"/>
    </xf>
    <xf numFmtId="4" fontId="80" fillId="0" borderId="0" xfId="29" applyNumberFormat="1" applyProtection="1">
      <alignment horizontal="center"/>
      <protection hidden="1"/>
    </xf>
    <xf numFmtId="173" fontId="80" fillId="0" borderId="23" xfId="29" applyNumberFormat="1" applyBorder="1" applyAlignment="1" applyProtection="1">
      <protection hidden="1"/>
    </xf>
    <xf numFmtId="4" fontId="80" fillId="0" borderId="25" xfId="29" applyNumberFormat="1" applyBorder="1" applyProtection="1">
      <alignment horizontal="center"/>
      <protection hidden="1"/>
    </xf>
    <xf numFmtId="4" fontId="80" fillId="0" borderId="26" xfId="29" applyNumberFormat="1" applyBorder="1" applyProtection="1">
      <alignment horizontal="center"/>
      <protection hidden="1"/>
    </xf>
    <xf numFmtId="4" fontId="80" fillId="0" borderId="11" xfId="29" applyNumberFormat="1" applyBorder="1" applyProtection="1">
      <alignment horizontal="center"/>
      <protection hidden="1"/>
    </xf>
    <xf numFmtId="173" fontId="80" fillId="0" borderId="25" xfId="29" applyNumberFormat="1" applyBorder="1" applyAlignment="1" applyProtection="1">
      <protection hidden="1"/>
    </xf>
    <xf numFmtId="2" fontId="4" fillId="0" borderId="23" xfId="29" applyFont="1" applyBorder="1" applyAlignment="1" applyProtection="1">
      <protection hidden="1"/>
    </xf>
    <xf numFmtId="173" fontId="4" fillId="0" borderId="0" xfId="29" applyNumberFormat="1" applyFont="1" applyAlignment="1" applyProtection="1">
      <protection hidden="1"/>
    </xf>
    <xf numFmtId="2" fontId="50" fillId="0" borderId="46" xfId="29" applyFont="1" applyBorder="1" applyAlignment="1" applyProtection="1">
      <alignment horizontal="left"/>
      <protection hidden="1"/>
    </xf>
    <xf numFmtId="2" fontId="80" fillId="0" borderId="47" xfId="29" applyBorder="1" applyProtection="1">
      <alignment horizontal="center"/>
      <protection hidden="1"/>
    </xf>
    <xf numFmtId="2" fontId="80" fillId="0" borderId="48" xfId="29" applyBorder="1" applyProtection="1">
      <alignment horizontal="center"/>
      <protection hidden="1"/>
    </xf>
    <xf numFmtId="2" fontId="4" fillId="0" borderId="0" xfId="29" applyFont="1" applyAlignment="1">
      <alignment horizontal="right"/>
    </xf>
    <xf numFmtId="168" fontId="50" fillId="0" borderId="0" xfId="29" applyNumberFormat="1" applyFont="1">
      <alignment horizontal="center"/>
    </xf>
    <xf numFmtId="2" fontId="56" fillId="0" borderId="0" xfId="29" applyFont="1" applyAlignment="1" applyProtection="1">
      <alignment horizontal="left"/>
      <protection hidden="1"/>
    </xf>
    <xf numFmtId="2" fontId="4" fillId="0" borderId="0" xfId="29" applyFont="1" applyAlignment="1">
      <alignment horizontal="left"/>
    </xf>
    <xf numFmtId="2" fontId="4" fillId="0" borderId="0" xfId="29" applyFont="1">
      <alignment horizontal="center"/>
    </xf>
    <xf numFmtId="4" fontId="4" fillId="0" borderId="0" xfId="29" applyNumberFormat="1" applyFont="1">
      <alignment horizontal="center"/>
    </xf>
    <xf numFmtId="2" fontId="50" fillId="0" borderId="0" xfId="29" applyFont="1">
      <alignment horizontal="center"/>
    </xf>
    <xf numFmtId="2" fontId="4" fillId="0" borderId="0" xfId="29" applyFont="1" applyAlignment="1"/>
    <xf numFmtId="2" fontId="50" fillId="0" borderId="0" xfId="29" applyFont="1" applyAlignment="1">
      <alignment horizontal="left"/>
    </xf>
    <xf numFmtId="2" fontId="84" fillId="0" borderId="0" xfId="29" applyFont="1" applyAlignment="1" applyProtection="1">
      <alignment horizontal="left"/>
      <protection hidden="1"/>
    </xf>
    <xf numFmtId="14" fontId="50" fillId="0" borderId="0" xfId="29" applyNumberFormat="1" applyFont="1">
      <alignment horizontal="center"/>
    </xf>
    <xf numFmtId="2" fontId="56" fillId="0" borderId="0" xfId="29" applyFont="1" applyAlignment="1"/>
    <xf numFmtId="0" fontId="6" fillId="0" borderId="3" xfId="8" applyBorder="1"/>
    <xf numFmtId="0" fontId="6" fillId="0" borderId="4" xfId="8" applyBorder="1"/>
    <xf numFmtId="0" fontId="6" fillId="0" borderId="5" xfId="8" applyBorder="1"/>
    <xf numFmtId="0" fontId="6" fillId="0" borderId="6" xfId="8" applyBorder="1"/>
    <xf numFmtId="0" fontId="6" fillId="0" borderId="7" xfId="8" applyBorder="1"/>
    <xf numFmtId="0" fontId="6" fillId="0" borderId="8" xfId="8" applyBorder="1"/>
    <xf numFmtId="0" fontId="6" fillId="0" borderId="9" xfId="8" applyBorder="1"/>
    <xf numFmtId="0" fontId="6" fillId="0" borderId="10" xfId="8" applyBorder="1"/>
    <xf numFmtId="0" fontId="68" fillId="0" borderId="0" xfId="8" applyFont="1" applyAlignment="1">
      <alignment horizontal="right"/>
    </xf>
    <xf numFmtId="0" fontId="69" fillId="0" borderId="0" xfId="8" applyFont="1"/>
    <xf numFmtId="0" fontId="2" fillId="11" borderId="27" xfId="8" applyFont="1" applyFill="1" applyBorder="1"/>
    <xf numFmtId="0" fontId="2" fillId="11" borderId="28" xfId="8" applyFont="1" applyFill="1" applyBorder="1"/>
    <xf numFmtId="0" fontId="69" fillId="0" borderId="27" xfId="8" applyFont="1" applyBorder="1"/>
    <xf numFmtId="0" fontId="2" fillId="0" borderId="0" xfId="8" applyFont="1" applyAlignment="1">
      <alignment horizontal="right"/>
    </xf>
    <xf numFmtId="0" fontId="5" fillId="0" borderId="0" xfId="8" applyFont="1" applyProtection="1">
      <protection locked="0"/>
    </xf>
    <xf numFmtId="0" fontId="5" fillId="0" borderId="3" xfId="8" applyFont="1" applyBorder="1"/>
    <xf numFmtId="0" fontId="5" fillId="0" borderId="4" xfId="8" applyFont="1" applyBorder="1"/>
    <xf numFmtId="0" fontId="5" fillId="0" borderId="5" xfId="8" applyFont="1" applyBorder="1"/>
    <xf numFmtId="0" fontId="5" fillId="0" borderId="6" xfId="8" applyFont="1" applyBorder="1"/>
    <xf numFmtId="0" fontId="2" fillId="0" borderId="7" xfId="8" applyFont="1" applyBorder="1"/>
    <xf numFmtId="0" fontId="0" fillId="0" borderId="7" xfId="0" applyBorder="1"/>
    <xf numFmtId="0" fontId="5" fillId="0" borderId="8" xfId="8" applyFont="1" applyBorder="1"/>
    <xf numFmtId="0" fontId="2" fillId="0" borderId="9" xfId="8" applyFont="1" applyBorder="1"/>
    <xf numFmtId="0" fontId="2" fillId="0" borderId="10" xfId="8" applyFont="1" applyBorder="1"/>
    <xf numFmtId="0" fontId="6" fillId="19" borderId="0" xfId="8" applyFill="1"/>
    <xf numFmtId="0" fontId="6" fillId="19" borderId="0" xfId="8" applyFill="1" applyAlignment="1">
      <alignment horizontal="center"/>
    </xf>
    <xf numFmtId="172" fontId="6" fillId="19" borderId="0" xfId="8" applyNumberFormat="1" applyFill="1"/>
    <xf numFmtId="0" fontId="6" fillId="0" borderId="0" xfId="8" applyAlignment="1">
      <alignment horizontal="center"/>
    </xf>
    <xf numFmtId="172" fontId="6" fillId="0" borderId="0" xfId="8" applyNumberFormat="1"/>
    <xf numFmtId="0" fontId="85" fillId="0" borderId="0" xfId="8" applyFont="1" applyAlignment="1" applyProtection="1">
      <alignment horizontal="left"/>
      <protection hidden="1"/>
    </xf>
    <xf numFmtId="4" fontId="6" fillId="0" borderId="0" xfId="8" applyNumberFormat="1" applyAlignment="1" applyProtection="1">
      <alignment horizontal="left"/>
      <protection hidden="1"/>
    </xf>
    <xf numFmtId="0" fontId="4" fillId="0" borderId="44" xfId="8" applyFont="1" applyBorder="1" applyProtection="1">
      <protection hidden="1"/>
    </xf>
    <xf numFmtId="0" fontId="4" fillId="0" borderId="44" xfId="8" applyFont="1" applyBorder="1" applyAlignment="1" applyProtection="1">
      <alignment horizontal="center"/>
      <protection hidden="1"/>
    </xf>
    <xf numFmtId="172" fontId="4" fillId="0" borderId="44" xfId="8" applyNumberFormat="1" applyFont="1" applyBorder="1" applyProtection="1">
      <protection hidden="1"/>
    </xf>
    <xf numFmtId="0" fontId="6" fillId="21" borderId="0" xfId="8" applyFill="1"/>
    <xf numFmtId="0" fontId="6" fillId="21" borderId="0" xfId="8" applyFill="1" applyAlignment="1">
      <alignment horizontal="center"/>
    </xf>
    <xf numFmtId="172" fontId="6" fillId="21" borderId="0" xfId="8" applyNumberFormat="1" applyFill="1"/>
    <xf numFmtId="0" fontId="6" fillId="3" borderId="0" xfId="8" applyFill="1"/>
    <xf numFmtId="0" fontId="6" fillId="3" borderId="0" xfId="8" applyFill="1" applyAlignment="1">
      <alignment horizontal="center"/>
    </xf>
    <xf numFmtId="172" fontId="6" fillId="3" borderId="0" xfId="8" applyNumberFormat="1" applyFill="1"/>
    <xf numFmtId="0" fontId="40" fillId="22" borderId="0" xfId="0" applyFont="1" applyFill="1" applyProtection="1">
      <protection hidden="1"/>
    </xf>
    <xf numFmtId="0" fontId="4" fillId="22" borderId="0" xfId="0" applyFont="1" applyFill="1" applyProtection="1">
      <protection hidden="1"/>
    </xf>
    <xf numFmtId="0" fontId="39" fillId="22" borderId="0" xfId="0" applyFont="1" applyFill="1"/>
    <xf numFmtId="0" fontId="41" fillId="22" borderId="0" xfId="0" applyFont="1" applyFill="1" applyProtection="1">
      <protection hidden="1"/>
    </xf>
    <xf numFmtId="4" fontId="5" fillId="3" borderId="2" xfId="1" applyNumberFormat="1" applyFont="1" applyFill="1" applyBorder="1" applyAlignment="1" applyProtection="1">
      <alignment horizontal="center" vertical="center"/>
      <protection locked="0"/>
    </xf>
    <xf numFmtId="3" fontId="5" fillId="0" borderId="2" xfId="0" applyNumberFormat="1" applyFont="1" applyBorder="1" applyAlignment="1">
      <alignment horizontal="center"/>
    </xf>
    <xf numFmtId="0" fontId="5" fillId="6" borderId="27" xfId="0" applyFont="1" applyFill="1" applyBorder="1"/>
    <xf numFmtId="0" fontId="52" fillId="11" borderId="0" xfId="0" applyFont="1" applyFill="1" applyAlignment="1" applyProtection="1">
      <alignment horizontal="left"/>
      <protection hidden="1"/>
    </xf>
    <xf numFmtId="0" fontId="4" fillId="9" borderId="2" xfId="0" applyFont="1" applyFill="1" applyBorder="1" applyAlignment="1" applyProtection="1">
      <alignment horizontal="center" vertical="center"/>
      <protection hidden="1"/>
    </xf>
    <xf numFmtId="4" fontId="0" fillId="0" borderId="2" xfId="0" applyNumberFormat="1" applyBorder="1" applyAlignment="1" applyProtection="1">
      <alignment horizontal="center"/>
      <protection hidden="1"/>
    </xf>
    <xf numFmtId="0" fontId="4" fillId="0" borderId="2" xfId="0" applyFont="1" applyBorder="1" applyAlignment="1" applyProtection="1">
      <alignment horizontal="center"/>
      <protection locked="0"/>
    </xf>
    <xf numFmtId="178" fontId="0" fillId="0" borderId="2" xfId="0" applyNumberFormat="1" applyBorder="1" applyAlignment="1" applyProtection="1">
      <alignment horizontal="center"/>
      <protection hidden="1"/>
    </xf>
    <xf numFmtId="0" fontId="0" fillId="0" borderId="0" xfId="0" applyAlignment="1" applyProtection="1">
      <alignment horizontal="center"/>
      <protection locked="0"/>
    </xf>
    <xf numFmtId="0" fontId="4" fillId="3" borderId="0" xfId="0" applyFont="1" applyFill="1" applyProtection="1">
      <protection hidden="1"/>
    </xf>
    <xf numFmtId="0" fontId="40" fillId="3" borderId="0" xfId="0" applyFont="1" applyFill="1" applyProtection="1">
      <protection hidden="1"/>
    </xf>
    <xf numFmtId="0" fontId="3" fillId="0" borderId="28" xfId="0" applyFont="1" applyBorder="1" applyAlignment="1">
      <alignment horizontal="center"/>
    </xf>
    <xf numFmtId="0" fontId="4" fillId="0" borderId="2" xfId="0" applyFont="1" applyBorder="1" applyAlignment="1" applyProtection="1">
      <alignment horizontal="center" vertical="center"/>
      <protection hidden="1"/>
    </xf>
    <xf numFmtId="4" fontId="5" fillId="0" borderId="2" xfId="1" applyNumberFormat="1" applyFont="1" applyFill="1" applyBorder="1" applyAlignment="1" applyProtection="1">
      <alignment horizontal="center" vertical="center"/>
      <protection locked="0"/>
    </xf>
    <xf numFmtId="0" fontId="49" fillId="0" borderId="39" xfId="0" applyFont="1" applyBorder="1" applyProtection="1">
      <protection locked="0"/>
    </xf>
    <xf numFmtId="0" fontId="5" fillId="3" borderId="0" xfId="0" applyFont="1" applyFill="1" applyAlignment="1">
      <alignment horizontal="center"/>
    </xf>
    <xf numFmtId="0" fontId="52" fillId="3" borderId="0" xfId="0" applyFont="1" applyFill="1" applyAlignment="1" applyProtection="1">
      <alignment horizontal="left"/>
      <protection hidden="1"/>
    </xf>
    <xf numFmtId="0" fontId="41" fillId="3" borderId="0" xfId="0" applyFont="1" applyFill="1" applyProtection="1">
      <protection hidden="1"/>
    </xf>
    <xf numFmtId="0" fontId="32" fillId="3" borderId="0" xfId="0" applyFont="1" applyFill="1" applyAlignment="1">
      <alignment horizontal="center"/>
    </xf>
    <xf numFmtId="0" fontId="39" fillId="3" borderId="34" xfId="0" applyFont="1" applyFill="1" applyBorder="1"/>
    <xf numFmtId="0" fontId="5" fillId="3" borderId="34" xfId="0" applyFont="1" applyFill="1" applyBorder="1" applyAlignment="1">
      <alignment horizontal="left"/>
    </xf>
    <xf numFmtId="0" fontId="86" fillId="0" borderId="0" xfId="18"/>
    <xf numFmtId="0" fontId="86" fillId="0" borderId="0" xfId="18" applyAlignment="1">
      <alignment horizontal="center"/>
    </xf>
    <xf numFmtId="0" fontId="0" fillId="0" borderId="20" xfId="0" applyBorder="1"/>
    <xf numFmtId="14" fontId="0" fillId="0" borderId="23" xfId="0" applyNumberFormat="1" applyBorder="1"/>
    <xf numFmtId="14" fontId="0" fillId="0" borderId="11" xfId="0" applyNumberFormat="1" applyBorder="1"/>
    <xf numFmtId="0" fontId="19" fillId="3" borderId="2" xfId="0" applyFont="1" applyFill="1" applyBorder="1"/>
    <xf numFmtId="14" fontId="19" fillId="3" borderId="2" xfId="0" applyNumberFormat="1" applyFont="1" applyFill="1" applyBorder="1"/>
    <xf numFmtId="0" fontId="0" fillId="0" borderId="3" xfId="0" applyBorder="1"/>
    <xf numFmtId="0" fontId="0" fillId="0" borderId="4" xfId="0" applyBorder="1"/>
    <xf numFmtId="0" fontId="0" fillId="0" borderId="5" xfId="0" applyBorder="1"/>
    <xf numFmtId="0" fontId="0" fillId="0" borderId="6" xfId="0" applyBorder="1"/>
    <xf numFmtId="0" fontId="87" fillId="2" borderId="0" xfId="0" applyFont="1" applyFill="1"/>
    <xf numFmtId="0" fontId="87" fillId="0" borderId="0" xfId="0" applyFont="1"/>
    <xf numFmtId="0" fontId="4" fillId="0" borderId="6" xfId="0" applyFont="1" applyBorder="1"/>
    <xf numFmtId="0" fontId="8" fillId="0" borderId="6" xfId="0" applyFont="1" applyBorder="1"/>
    <xf numFmtId="0" fontId="0" fillId="0" borderId="8" xfId="0" applyBorder="1"/>
    <xf numFmtId="0" fontId="0" fillId="0" borderId="9" xfId="0" applyBorder="1"/>
    <xf numFmtId="0" fontId="0" fillId="0" borderId="10" xfId="0" applyBorder="1"/>
    <xf numFmtId="14" fontId="19" fillId="15" borderId="2" xfId="0" applyNumberFormat="1" applyFont="1" applyFill="1" applyBorder="1" applyAlignment="1" applyProtection="1">
      <alignment horizontal="left"/>
      <protection hidden="1"/>
    </xf>
    <xf numFmtId="14" fontId="4" fillId="0" borderId="2" xfId="0" applyNumberFormat="1" applyFont="1" applyBorder="1" applyProtection="1">
      <protection hidden="1"/>
    </xf>
    <xf numFmtId="0" fontId="88" fillId="19" borderId="0" xfId="8" applyFont="1" applyFill="1" applyProtection="1">
      <protection hidden="1"/>
    </xf>
    <xf numFmtId="0" fontId="39" fillId="0" borderId="0" xfId="0" applyFont="1" applyProtection="1">
      <protection locked="0"/>
    </xf>
    <xf numFmtId="0" fontId="2" fillId="0" borderId="2" xfId="18" applyFont="1" applyBorder="1" applyAlignment="1" applyProtection="1">
      <alignment horizontal="center"/>
      <protection hidden="1"/>
    </xf>
    <xf numFmtId="0" fontId="39" fillId="3" borderId="0" xfId="0" applyFont="1" applyFill="1" applyProtection="1">
      <protection locked="0"/>
    </xf>
    <xf numFmtId="0" fontId="39" fillId="0" borderId="28" xfId="0" applyFont="1" applyBorder="1" applyProtection="1">
      <protection locked="0"/>
    </xf>
    <xf numFmtId="0" fontId="2" fillId="0" borderId="2" xfId="18" applyFont="1" applyBorder="1" applyAlignment="1" applyProtection="1">
      <alignment horizontal="center"/>
      <protection locked="0"/>
    </xf>
    <xf numFmtId="178" fontId="2" fillId="0" borderId="2" xfId="18" applyNumberFormat="1" applyFont="1" applyBorder="1" applyAlignment="1" applyProtection="1">
      <alignment horizontal="center"/>
      <protection locked="0"/>
    </xf>
    <xf numFmtId="0" fontId="86" fillId="0" borderId="0" xfId="18" applyProtection="1">
      <protection locked="0"/>
    </xf>
    <xf numFmtId="0" fontId="86" fillId="0" borderId="0" xfId="18" applyAlignment="1" applyProtection="1">
      <alignment horizontal="center"/>
      <protection locked="0"/>
    </xf>
    <xf numFmtId="178" fontId="3" fillId="0" borderId="28" xfId="18" applyNumberFormat="1" applyFont="1" applyBorder="1" applyAlignment="1" applyProtection="1">
      <alignment horizontal="center"/>
      <protection locked="0"/>
    </xf>
    <xf numFmtId="0" fontId="5" fillId="0" borderId="20" xfId="0" applyFont="1" applyBorder="1" applyProtection="1">
      <protection locked="0"/>
    </xf>
    <xf numFmtId="0" fontId="39" fillId="0" borderId="21" xfId="0" applyFont="1" applyBorder="1" applyProtection="1">
      <protection locked="0"/>
    </xf>
    <xf numFmtId="0" fontId="3" fillId="0" borderId="28" xfId="18" applyFont="1" applyBorder="1" applyAlignment="1" applyProtection="1">
      <alignment horizontal="center"/>
      <protection locked="0"/>
    </xf>
    <xf numFmtId="0" fontId="2" fillId="0" borderId="42" xfId="18" applyFont="1" applyBorder="1" applyAlignment="1" applyProtection="1">
      <alignment horizontal="center"/>
      <protection locked="0"/>
    </xf>
    <xf numFmtId="0" fontId="3" fillId="0" borderId="28" xfId="18" applyFont="1" applyBorder="1" applyAlignment="1" applyProtection="1">
      <alignment horizontal="center" wrapText="1"/>
      <protection locked="0"/>
    </xf>
    <xf numFmtId="0" fontId="2" fillId="0" borderId="42" xfId="18" applyFont="1" applyBorder="1" applyAlignment="1" applyProtection="1">
      <alignment horizontal="center"/>
      <protection hidden="1"/>
    </xf>
    <xf numFmtId="0" fontId="3" fillId="0" borderId="28" xfId="18" applyFont="1" applyBorder="1" applyAlignment="1" applyProtection="1">
      <alignment horizontal="center" wrapText="1"/>
      <protection hidden="1"/>
    </xf>
    <xf numFmtId="0" fontId="3" fillId="0" borderId="27" xfId="18" applyFont="1" applyBorder="1" applyProtection="1">
      <protection locked="0"/>
    </xf>
    <xf numFmtId="0" fontId="5" fillId="0" borderId="3" xfId="0" applyFont="1" applyBorder="1"/>
    <xf numFmtId="0" fontId="39" fillId="0" borderId="4" xfId="0" applyFont="1" applyBorder="1"/>
    <xf numFmtId="0" fontId="39" fillId="0" borderId="49" xfId="0" applyFont="1" applyBorder="1"/>
    <xf numFmtId="0" fontId="3" fillId="0" borderId="50" xfId="18" applyFont="1" applyBorder="1" applyAlignment="1" applyProtection="1">
      <alignment horizontal="left"/>
      <protection hidden="1"/>
    </xf>
    <xf numFmtId="178" fontId="3" fillId="5" borderId="51" xfId="18" applyNumberFormat="1" applyFont="1" applyFill="1" applyBorder="1" applyAlignment="1" applyProtection="1">
      <alignment horizontal="center"/>
      <protection locked="0"/>
    </xf>
    <xf numFmtId="0" fontId="3" fillId="5" borderId="51" xfId="18" applyFont="1" applyFill="1" applyBorder="1" applyAlignment="1" applyProtection="1">
      <alignment horizontal="center"/>
      <protection locked="0"/>
    </xf>
    <xf numFmtId="0" fontId="2" fillId="0" borderId="52" xfId="18" applyFont="1" applyBorder="1" applyAlignment="1" applyProtection="1">
      <alignment horizontal="center"/>
      <protection hidden="1"/>
    </xf>
    <xf numFmtId="178" fontId="2" fillId="0" borderId="53" xfId="18" applyNumberFormat="1" applyFont="1" applyBorder="1" applyAlignment="1" applyProtection="1">
      <alignment horizontal="center"/>
      <protection hidden="1"/>
    </xf>
    <xf numFmtId="0" fontId="2" fillId="0" borderId="54" xfId="18" applyFont="1" applyBorder="1" applyAlignment="1" applyProtection="1">
      <alignment horizontal="center"/>
      <protection hidden="1"/>
    </xf>
    <xf numFmtId="0" fontId="89" fillId="0" borderId="0" xfId="22" applyProtection="1">
      <protection hidden="1"/>
    </xf>
    <xf numFmtId="0" fontId="89" fillId="6" borderId="0" xfId="22" applyFill="1" applyProtection="1">
      <protection hidden="1"/>
    </xf>
    <xf numFmtId="0" fontId="89" fillId="23" borderId="0" xfId="22" applyFill="1" applyProtection="1">
      <protection locked="0" hidden="1"/>
    </xf>
    <xf numFmtId="0" fontId="89" fillId="23" borderId="0" xfId="22" applyFill="1" applyProtection="1">
      <protection hidden="1"/>
    </xf>
    <xf numFmtId="0" fontId="3" fillId="3" borderId="20" xfId="22" applyFont="1" applyFill="1" applyBorder="1" applyAlignment="1" applyProtection="1">
      <alignment vertical="center"/>
      <protection hidden="1"/>
    </xf>
    <xf numFmtId="0" fontId="89" fillId="3" borderId="21" xfId="22" applyFill="1" applyBorder="1" applyAlignment="1" applyProtection="1">
      <alignment vertical="center"/>
      <protection hidden="1"/>
    </xf>
    <xf numFmtId="0" fontId="3" fillId="3" borderId="21" xfId="22" applyFont="1" applyFill="1" applyBorder="1" applyAlignment="1" applyProtection="1">
      <alignment vertical="center"/>
      <protection hidden="1"/>
    </xf>
    <xf numFmtId="0" fontId="89" fillId="3" borderId="22" xfId="22" applyFill="1" applyBorder="1" applyAlignment="1" applyProtection="1">
      <alignment vertical="center"/>
      <protection hidden="1"/>
    </xf>
    <xf numFmtId="0" fontId="89" fillId="6" borderId="0" xfId="22" applyFill="1"/>
    <xf numFmtId="0" fontId="89" fillId="6" borderId="2" xfId="22" applyFill="1" applyBorder="1" applyProtection="1">
      <protection locked="0"/>
    </xf>
    <xf numFmtId="0" fontId="89" fillId="2" borderId="2" xfId="22" applyFill="1" applyBorder="1"/>
    <xf numFmtId="0" fontId="89" fillId="6" borderId="43" xfId="22" applyFill="1" applyBorder="1" applyAlignment="1" applyProtection="1">
      <alignment horizontal="center"/>
      <protection hidden="1"/>
    </xf>
    <xf numFmtId="0" fontId="89" fillId="6" borderId="20" xfId="22" applyFill="1" applyBorder="1" applyProtection="1">
      <protection hidden="1"/>
    </xf>
    <xf numFmtId="0" fontId="89" fillId="6" borderId="21" xfId="22" applyFill="1" applyBorder="1" applyProtection="1">
      <protection hidden="1"/>
    </xf>
    <xf numFmtId="0" fontId="49" fillId="6" borderId="21" xfId="22" applyFont="1" applyFill="1" applyBorder="1" applyProtection="1">
      <protection hidden="1"/>
    </xf>
    <xf numFmtId="0" fontId="89" fillId="6" borderId="22" xfId="22" applyFill="1" applyBorder="1" applyProtection="1">
      <protection hidden="1"/>
    </xf>
    <xf numFmtId="0" fontId="6" fillId="6" borderId="2" xfId="22" applyFont="1" applyFill="1" applyBorder="1" applyProtection="1">
      <protection hidden="1"/>
    </xf>
    <xf numFmtId="0" fontId="89" fillId="6" borderId="2" xfId="22" applyFill="1" applyBorder="1" applyAlignment="1" applyProtection="1">
      <alignment horizontal="center"/>
      <protection locked="0"/>
    </xf>
    <xf numFmtId="0" fontId="89" fillId="6" borderId="42" xfId="22" applyFill="1" applyBorder="1" applyAlignment="1" applyProtection="1">
      <alignment horizontal="center"/>
      <protection hidden="1"/>
    </xf>
    <xf numFmtId="0" fontId="6" fillId="16" borderId="0" xfId="22" applyFont="1" applyFill="1" applyProtection="1">
      <protection hidden="1"/>
    </xf>
    <xf numFmtId="0" fontId="89" fillId="6" borderId="2" xfId="22" applyFill="1" applyBorder="1" applyProtection="1">
      <protection hidden="1"/>
    </xf>
    <xf numFmtId="0" fontId="4" fillId="6" borderId="43" xfId="22" applyFont="1" applyFill="1" applyBorder="1" applyAlignment="1" applyProtection="1">
      <alignment horizontal="center"/>
      <protection hidden="1"/>
    </xf>
    <xf numFmtId="0" fontId="89" fillId="6" borderId="23" xfId="22" applyFill="1" applyBorder="1" applyProtection="1">
      <protection hidden="1"/>
    </xf>
    <xf numFmtId="0" fontId="4" fillId="2" borderId="27" xfId="22" applyFont="1" applyFill="1" applyBorder="1" applyProtection="1">
      <protection hidden="1"/>
    </xf>
    <xf numFmtId="0" fontId="89" fillId="2" borderId="29" xfId="22" applyFill="1" applyBorder="1" applyProtection="1">
      <protection hidden="1"/>
    </xf>
    <xf numFmtId="0" fontId="89" fillId="2" borderId="28" xfId="22" applyFill="1" applyBorder="1" applyProtection="1">
      <protection hidden="1"/>
    </xf>
    <xf numFmtId="0" fontId="3" fillId="6" borderId="0" xfId="22" applyFont="1" applyFill="1" applyAlignment="1" applyProtection="1">
      <alignment horizontal="right"/>
      <protection hidden="1"/>
    </xf>
    <xf numFmtId="0" fontId="3" fillId="6" borderId="0" xfId="22" applyFont="1" applyFill="1" applyProtection="1">
      <protection hidden="1"/>
    </xf>
    <xf numFmtId="0" fontId="2" fillId="6" borderId="0" xfId="22" applyFont="1" applyFill="1" applyProtection="1">
      <protection hidden="1"/>
    </xf>
    <xf numFmtId="0" fontId="89" fillId="6" borderId="24" xfId="22" applyFill="1" applyBorder="1" applyProtection="1">
      <protection hidden="1"/>
    </xf>
    <xf numFmtId="0" fontId="89" fillId="6" borderId="2" xfId="22" applyFill="1" applyBorder="1" applyProtection="1">
      <protection locked="0" hidden="1"/>
    </xf>
    <xf numFmtId="0" fontId="89" fillId="6" borderId="41" xfId="22" applyFill="1" applyBorder="1" applyProtection="1">
      <protection hidden="1"/>
    </xf>
    <xf numFmtId="0" fontId="89" fillId="19" borderId="0" xfId="22" applyFill="1" applyProtection="1">
      <protection hidden="1"/>
    </xf>
    <xf numFmtId="0" fontId="4" fillId="6" borderId="0" xfId="22" applyFont="1" applyFill="1" applyProtection="1">
      <protection hidden="1"/>
    </xf>
    <xf numFmtId="0" fontId="89" fillId="24" borderId="3" xfId="22" applyFill="1" applyBorder="1" applyProtection="1">
      <protection hidden="1"/>
    </xf>
    <xf numFmtId="0" fontId="41" fillId="24" borderId="5" xfId="22" applyFont="1" applyFill="1" applyBorder="1" applyProtection="1">
      <protection hidden="1"/>
    </xf>
    <xf numFmtId="0" fontId="6" fillId="6" borderId="0" xfId="22" applyFont="1" applyFill="1" applyProtection="1">
      <protection hidden="1"/>
    </xf>
    <xf numFmtId="0" fontId="3" fillId="12" borderId="2" xfId="22" applyFont="1" applyFill="1" applyBorder="1" applyProtection="1">
      <protection hidden="1"/>
    </xf>
    <xf numFmtId="0" fontId="3" fillId="7" borderId="2" xfId="22" applyFont="1" applyFill="1" applyBorder="1" applyProtection="1">
      <protection hidden="1"/>
    </xf>
    <xf numFmtId="0" fontId="89" fillId="24" borderId="6" xfId="22" applyFill="1" applyBorder="1" applyProtection="1">
      <protection hidden="1"/>
    </xf>
    <xf numFmtId="0" fontId="89" fillId="24" borderId="7" xfId="22" applyFill="1" applyBorder="1" applyProtection="1">
      <protection hidden="1"/>
    </xf>
    <xf numFmtId="14" fontId="89" fillId="6" borderId="2" xfId="22" applyNumberFormat="1" applyFill="1" applyBorder="1" applyProtection="1">
      <protection hidden="1"/>
    </xf>
    <xf numFmtId="0" fontId="89" fillId="6" borderId="42" xfId="22" applyFill="1" applyBorder="1" applyProtection="1">
      <protection hidden="1"/>
    </xf>
    <xf numFmtId="0" fontId="89" fillId="6" borderId="2" xfId="22" applyFill="1" applyBorder="1" applyAlignment="1" applyProtection="1">
      <alignment horizontal="center"/>
      <protection hidden="1"/>
    </xf>
    <xf numFmtId="0" fontId="89" fillId="6" borderId="27" xfId="22" applyFill="1" applyBorder="1" applyProtection="1">
      <protection hidden="1"/>
    </xf>
    <xf numFmtId="0" fontId="4" fillId="0" borderId="0" xfId="22" applyFont="1" applyProtection="1">
      <protection hidden="1"/>
    </xf>
    <xf numFmtId="3" fontId="89" fillId="5" borderId="2" xfId="22" applyNumberFormat="1" applyFill="1" applyBorder="1" applyAlignment="1" applyProtection="1">
      <alignment horizontal="center"/>
      <protection locked="0"/>
    </xf>
    <xf numFmtId="0" fontId="42" fillId="6" borderId="0" xfId="22" applyFont="1" applyFill="1" applyAlignment="1" applyProtection="1">
      <alignment vertical="center"/>
      <protection hidden="1"/>
    </xf>
    <xf numFmtId="0" fontId="42" fillId="6" borderId="0" xfId="22" applyFont="1" applyFill="1" applyAlignment="1" applyProtection="1">
      <alignment horizontal="right" vertical="center"/>
      <protection hidden="1"/>
    </xf>
    <xf numFmtId="0" fontId="89" fillId="6" borderId="29" xfId="22" applyFill="1" applyBorder="1" applyProtection="1">
      <protection hidden="1"/>
    </xf>
    <xf numFmtId="0" fontId="89" fillId="6" borderId="28" xfId="22" applyFill="1" applyBorder="1" applyProtection="1">
      <protection hidden="1"/>
    </xf>
    <xf numFmtId="0" fontId="49" fillId="6" borderId="0" xfId="22" applyFont="1" applyFill="1" applyProtection="1">
      <protection hidden="1"/>
    </xf>
    <xf numFmtId="0" fontId="89" fillId="24" borderId="8" xfId="22" applyFill="1" applyBorder="1" applyProtection="1">
      <protection hidden="1"/>
    </xf>
    <xf numFmtId="0" fontId="89" fillId="24" borderId="10" xfId="22" applyFill="1" applyBorder="1" applyProtection="1">
      <protection hidden="1"/>
    </xf>
    <xf numFmtId="0" fontId="6" fillId="6" borderId="0" xfId="22" quotePrefix="1" applyFont="1" applyFill="1" applyProtection="1">
      <protection hidden="1"/>
    </xf>
    <xf numFmtId="0" fontId="27" fillId="6" borderId="0" xfId="22" quotePrefix="1" applyFont="1" applyFill="1" applyProtection="1">
      <protection hidden="1"/>
    </xf>
    <xf numFmtId="9" fontId="89" fillId="5" borderId="2" xfId="22" applyNumberFormat="1" applyFill="1" applyBorder="1" applyAlignment="1" applyProtection="1">
      <alignment horizontal="center"/>
      <protection locked="0"/>
    </xf>
    <xf numFmtId="0" fontId="90" fillId="24" borderId="7" xfId="22" applyFont="1" applyFill="1" applyBorder="1" applyProtection="1">
      <protection hidden="1"/>
    </xf>
    <xf numFmtId="0" fontId="27" fillId="6" borderId="0" xfId="22" applyFont="1" applyFill="1" applyProtection="1">
      <protection hidden="1"/>
    </xf>
    <xf numFmtId="0" fontId="89" fillId="5" borderId="2" xfId="22" applyFill="1" applyBorder="1" applyAlignment="1" applyProtection="1">
      <alignment horizontal="center"/>
      <protection locked="0"/>
    </xf>
    <xf numFmtId="0" fontId="89" fillId="12" borderId="2" xfId="22" applyFill="1" applyBorder="1" applyProtection="1">
      <protection hidden="1"/>
    </xf>
    <xf numFmtId="172" fontId="89" fillId="6" borderId="2" xfId="22" applyNumberFormat="1" applyFill="1" applyBorder="1" applyAlignment="1" applyProtection="1">
      <alignment horizontal="center"/>
      <protection hidden="1"/>
    </xf>
    <xf numFmtId="0" fontId="89" fillId="23" borderId="2" xfId="22" applyFill="1" applyBorder="1" applyProtection="1">
      <protection hidden="1"/>
    </xf>
    <xf numFmtId="0" fontId="89" fillId="2" borderId="2" xfId="22" applyFill="1" applyBorder="1" applyProtection="1">
      <protection hidden="1"/>
    </xf>
    <xf numFmtId="0" fontId="89" fillId="6" borderId="25" xfId="22" applyFill="1" applyBorder="1" applyProtection="1">
      <protection hidden="1"/>
    </xf>
    <xf numFmtId="0" fontId="89" fillId="6" borderId="11" xfId="22" applyFill="1" applyBorder="1" applyProtection="1">
      <protection hidden="1"/>
    </xf>
    <xf numFmtId="0" fontId="42" fillId="6" borderId="11" xfId="22" applyFont="1" applyFill="1" applyBorder="1" applyAlignment="1" applyProtection="1">
      <alignment horizontal="right"/>
      <protection hidden="1"/>
    </xf>
    <xf numFmtId="0" fontId="42" fillId="6" borderId="11" xfId="22" applyFont="1" applyFill="1" applyBorder="1" applyAlignment="1" applyProtection="1">
      <alignment horizontal="left"/>
      <protection hidden="1"/>
    </xf>
    <xf numFmtId="0" fontId="89" fillId="6" borderId="26" xfId="22" applyFill="1" applyBorder="1" applyProtection="1">
      <protection hidden="1"/>
    </xf>
    <xf numFmtId="0" fontId="89" fillId="12" borderId="8" xfId="22" applyFill="1" applyBorder="1" applyProtection="1">
      <protection hidden="1"/>
    </xf>
    <xf numFmtId="0" fontId="89" fillId="12" borderId="10" xfId="22" applyFill="1" applyBorder="1" applyProtection="1">
      <protection hidden="1"/>
    </xf>
    <xf numFmtId="0" fontId="89" fillId="16" borderId="0" xfId="22" applyFill="1" applyAlignment="1" applyProtection="1">
      <alignment horizontal="right"/>
      <protection hidden="1"/>
    </xf>
    <xf numFmtId="0" fontId="89" fillId="7" borderId="0" xfId="22" applyFill="1" applyProtection="1">
      <protection hidden="1"/>
    </xf>
    <xf numFmtId="0" fontId="49" fillId="19" borderId="0" xfId="22" applyFont="1" applyFill="1" applyProtection="1">
      <protection hidden="1"/>
    </xf>
    <xf numFmtId="0" fontId="42" fillId="6" borderId="21" xfId="22" applyFont="1" applyFill="1" applyBorder="1" applyProtection="1">
      <protection hidden="1"/>
    </xf>
    <xf numFmtId="0" fontId="89" fillId="6" borderId="0" xfId="22" applyFill="1" applyProtection="1">
      <protection locked="0"/>
    </xf>
    <xf numFmtId="0" fontId="42" fillId="6" borderId="0" xfId="22" applyFont="1" applyFill="1" applyProtection="1">
      <protection hidden="1"/>
    </xf>
    <xf numFmtId="0" fontId="4" fillId="12" borderId="2" xfId="22" applyFont="1" applyFill="1" applyBorder="1" applyAlignment="1" applyProtection="1">
      <alignment horizontal="center"/>
      <protection hidden="1"/>
    </xf>
    <xf numFmtId="0" fontId="4" fillId="7" borderId="2" xfId="22" applyFont="1" applyFill="1" applyBorder="1" applyAlignment="1" applyProtection="1">
      <alignment horizontal="center"/>
      <protection hidden="1"/>
    </xf>
    <xf numFmtId="0" fontId="6" fillId="5" borderId="2" xfId="22" applyFont="1" applyFill="1" applyBorder="1" applyAlignment="1" applyProtection="1">
      <alignment horizontal="center"/>
      <protection locked="0"/>
    </xf>
    <xf numFmtId="0" fontId="89" fillId="6" borderId="0" xfId="22" applyFill="1" applyAlignment="1" applyProtection="1">
      <alignment horizontal="center"/>
      <protection hidden="1"/>
    </xf>
    <xf numFmtId="0" fontId="89" fillId="6" borderId="0" xfId="22" applyFill="1" applyAlignment="1">
      <alignment horizontal="center"/>
    </xf>
    <xf numFmtId="0" fontId="89" fillId="6" borderId="11" xfId="22" applyFill="1" applyBorder="1" applyAlignment="1" applyProtection="1">
      <alignment horizontal="center"/>
      <protection hidden="1"/>
    </xf>
    <xf numFmtId="0" fontId="89" fillId="19" borderId="0" xfId="22" applyFill="1" applyAlignment="1" applyProtection="1">
      <alignment horizontal="center"/>
      <protection hidden="1"/>
    </xf>
    <xf numFmtId="0" fontId="89" fillId="2" borderId="0" xfId="22" applyFill="1" applyProtection="1">
      <protection locked="0" hidden="1"/>
    </xf>
    <xf numFmtId="0" fontId="6" fillId="6" borderId="43" xfId="22" applyFont="1" applyFill="1" applyBorder="1" applyProtection="1">
      <protection hidden="1"/>
    </xf>
    <xf numFmtId="0" fontId="6" fillId="6" borderId="27" xfId="22" applyFont="1" applyFill="1" applyBorder="1" applyProtection="1">
      <protection hidden="1"/>
    </xf>
    <xf numFmtId="0" fontId="4" fillId="9" borderId="27" xfId="22" applyFont="1" applyFill="1" applyBorder="1" applyProtection="1">
      <protection hidden="1"/>
    </xf>
    <xf numFmtId="0" fontId="89" fillId="9" borderId="29" xfId="22" applyFill="1" applyBorder="1" applyProtection="1">
      <protection hidden="1"/>
    </xf>
    <xf numFmtId="0" fontId="89" fillId="9" borderId="28" xfId="22" applyFill="1" applyBorder="1" applyProtection="1">
      <protection hidden="1"/>
    </xf>
    <xf numFmtId="0" fontId="6" fillId="2" borderId="43" xfId="22" applyFont="1" applyFill="1" applyBorder="1" applyProtection="1">
      <protection hidden="1"/>
    </xf>
    <xf numFmtId="0" fontId="4" fillId="6" borderId="0" xfId="22" applyFont="1" applyFill="1" applyAlignment="1" applyProtection="1">
      <alignment horizontal="center"/>
      <protection hidden="1"/>
    </xf>
    <xf numFmtId="0" fontId="6" fillId="2" borderId="2" xfId="22" applyFont="1" applyFill="1" applyBorder="1" applyProtection="1">
      <protection hidden="1"/>
    </xf>
    <xf numFmtId="0" fontId="92" fillId="6" borderId="0" xfId="22" applyFont="1" applyFill="1" applyProtection="1">
      <protection hidden="1"/>
    </xf>
    <xf numFmtId="14" fontId="89" fillId="6" borderId="2" xfId="22" applyNumberFormat="1" applyFill="1" applyBorder="1" applyAlignment="1" applyProtection="1">
      <alignment horizontal="center"/>
      <protection locked="0"/>
    </xf>
    <xf numFmtId="0" fontId="4" fillId="6" borderId="0" xfId="22" applyFont="1" applyFill="1" applyAlignment="1" applyProtection="1">
      <alignment horizontal="right"/>
      <protection hidden="1"/>
    </xf>
    <xf numFmtId="0" fontId="6" fillId="2" borderId="27" xfId="22" applyFont="1" applyFill="1" applyBorder="1" applyProtection="1">
      <protection hidden="1"/>
    </xf>
    <xf numFmtId="0" fontId="4" fillId="3" borderId="27" xfId="22" applyFont="1" applyFill="1" applyBorder="1"/>
    <xf numFmtId="0" fontId="89" fillId="3" borderId="29" xfId="22" applyFill="1" applyBorder="1"/>
    <xf numFmtId="0" fontId="89" fillId="3" borderId="28" xfId="22" applyFill="1" applyBorder="1" applyProtection="1">
      <protection hidden="1"/>
    </xf>
    <xf numFmtId="0" fontId="4" fillId="12" borderId="2" xfId="22" applyFont="1" applyFill="1" applyBorder="1" applyAlignment="1">
      <alignment horizontal="center"/>
    </xf>
    <xf numFmtId="0" fontId="4" fillId="7" borderId="2" xfId="22" applyFont="1" applyFill="1" applyBorder="1" applyAlignment="1">
      <alignment horizontal="center"/>
    </xf>
    <xf numFmtId="0" fontId="32" fillId="6" borderId="0" xfId="22" applyFont="1" applyFill="1" applyProtection="1">
      <protection hidden="1"/>
    </xf>
    <xf numFmtId="3" fontId="89" fillId="3" borderId="2" xfId="22" applyNumberFormat="1" applyFill="1" applyBorder="1" applyAlignment="1" applyProtection="1">
      <alignment horizontal="center"/>
      <protection locked="0"/>
    </xf>
    <xf numFmtId="0" fontId="4" fillId="6" borderId="0" xfId="22" applyFont="1" applyFill="1" applyAlignment="1" applyProtection="1">
      <alignment horizontal="left"/>
      <protection hidden="1"/>
    </xf>
    <xf numFmtId="0" fontId="32" fillId="6" borderId="0" xfId="22" applyFont="1" applyFill="1" applyAlignment="1" applyProtection="1">
      <alignment horizontal="left"/>
      <protection hidden="1"/>
    </xf>
    <xf numFmtId="4" fontId="89" fillId="6" borderId="2" xfId="22" applyNumberFormat="1" applyFill="1" applyBorder="1" applyAlignment="1" applyProtection="1">
      <alignment horizontal="center"/>
      <protection hidden="1"/>
    </xf>
    <xf numFmtId="14" fontId="89" fillId="6" borderId="2" xfId="22" applyNumberFormat="1" applyFill="1" applyBorder="1" applyAlignment="1" applyProtection="1">
      <alignment horizontal="center"/>
      <protection hidden="1"/>
    </xf>
    <xf numFmtId="0" fontId="89" fillId="6" borderId="0" xfId="22" applyFill="1" applyAlignment="1" applyProtection="1">
      <alignment horizontal="right"/>
      <protection hidden="1"/>
    </xf>
    <xf numFmtId="0" fontId="42" fillId="6" borderId="11" xfId="22" applyFont="1" applyFill="1" applyBorder="1" applyProtection="1">
      <protection hidden="1"/>
    </xf>
    <xf numFmtId="0" fontId="42" fillId="6" borderId="11" xfId="22" applyFont="1" applyFill="1" applyBorder="1" applyAlignment="1" applyProtection="1">
      <alignment horizontal="center"/>
      <protection hidden="1"/>
    </xf>
    <xf numFmtId="0" fontId="93" fillId="19" borderId="0" xfId="22" applyFont="1" applyFill="1" applyProtection="1">
      <protection hidden="1"/>
    </xf>
    <xf numFmtId="0" fontId="93" fillId="0" borderId="0" xfId="22" applyFont="1" applyProtection="1">
      <protection hidden="1"/>
    </xf>
    <xf numFmtId="0" fontId="6" fillId="6" borderId="21" xfId="22" applyFont="1" applyFill="1" applyBorder="1" applyAlignment="1" applyProtection="1">
      <alignment horizontal="center"/>
      <protection hidden="1"/>
    </xf>
    <xf numFmtId="0" fontId="6" fillId="14" borderId="2" xfId="22" applyFont="1" applyFill="1" applyBorder="1" applyProtection="1">
      <protection hidden="1"/>
    </xf>
    <xf numFmtId="0" fontId="27" fillId="2" borderId="2" xfId="22" applyFont="1" applyFill="1" applyBorder="1" applyAlignment="1" applyProtection="1">
      <alignment wrapText="1"/>
      <protection hidden="1"/>
    </xf>
    <xf numFmtId="0" fontId="6" fillId="2" borderId="2" xfId="22" applyFont="1" applyFill="1" applyBorder="1" applyAlignment="1" applyProtection="1">
      <alignment horizontal="center"/>
      <protection locked="0"/>
    </xf>
    <xf numFmtId="0" fontId="4" fillId="2" borderId="27" xfId="22" applyFont="1" applyFill="1" applyBorder="1" applyAlignment="1" applyProtection="1">
      <alignment vertical="center"/>
      <protection hidden="1"/>
    </xf>
    <xf numFmtId="0" fontId="89" fillId="2" borderId="29" xfId="22" applyFill="1" applyBorder="1" applyAlignment="1" applyProtection="1">
      <alignment vertical="center"/>
      <protection hidden="1"/>
    </xf>
    <xf numFmtId="0" fontId="89" fillId="2" borderId="28" xfId="22" applyFill="1" applyBorder="1" applyAlignment="1" applyProtection="1">
      <alignment vertical="center"/>
      <protection hidden="1"/>
    </xf>
    <xf numFmtId="0" fontId="94" fillId="6" borderId="0" xfId="22" applyFont="1" applyFill="1" applyProtection="1">
      <protection hidden="1"/>
    </xf>
    <xf numFmtId="0" fontId="95" fillId="6" borderId="0" xfId="22" applyFont="1" applyFill="1" applyProtection="1">
      <protection hidden="1"/>
    </xf>
    <xf numFmtId="0" fontId="95" fillId="6" borderId="0" xfId="22" applyFont="1" applyFill="1" applyAlignment="1" applyProtection="1">
      <alignment horizontal="center"/>
      <protection hidden="1"/>
    </xf>
    <xf numFmtId="0" fontId="6" fillId="6" borderId="28" xfId="22" applyFont="1" applyFill="1" applyBorder="1" applyAlignment="1" applyProtection="1">
      <alignment horizontal="right"/>
      <protection hidden="1"/>
    </xf>
    <xf numFmtId="0" fontId="89" fillId="9" borderId="20" xfId="22" applyFill="1" applyBorder="1" applyProtection="1">
      <protection hidden="1"/>
    </xf>
    <xf numFmtId="0" fontId="89" fillId="9" borderId="21" xfId="22" applyFill="1" applyBorder="1" applyProtection="1">
      <protection hidden="1"/>
    </xf>
    <xf numFmtId="0" fontId="4" fillId="12" borderId="20" xfId="22" applyFont="1" applyFill="1" applyBorder="1" applyProtection="1">
      <protection hidden="1"/>
    </xf>
    <xf numFmtId="0" fontId="89" fillId="12" borderId="21" xfId="22" applyFill="1" applyBorder="1" applyProtection="1">
      <protection hidden="1"/>
    </xf>
    <xf numFmtId="0" fontId="89" fillId="12" borderId="22" xfId="22" applyFill="1" applyBorder="1" applyProtection="1">
      <protection hidden="1"/>
    </xf>
    <xf numFmtId="0" fontId="4" fillId="7" borderId="20" xfId="22" applyFont="1" applyFill="1" applyBorder="1" applyProtection="1">
      <protection hidden="1"/>
    </xf>
    <xf numFmtId="0" fontId="89" fillId="7" borderId="21" xfId="22" applyFill="1" applyBorder="1" applyProtection="1">
      <protection hidden="1"/>
    </xf>
    <xf numFmtId="0" fontId="89" fillId="7" borderId="22" xfId="22" applyFill="1" applyBorder="1" applyProtection="1">
      <protection hidden="1"/>
    </xf>
    <xf numFmtId="0" fontId="6" fillId="9" borderId="25" xfId="22" applyFont="1" applyFill="1" applyBorder="1" applyProtection="1">
      <protection hidden="1"/>
    </xf>
    <xf numFmtId="0" fontId="27" fillId="9" borderId="11" xfId="22" applyFont="1" applyFill="1" applyBorder="1" applyAlignment="1" applyProtection="1">
      <alignment horizontal="right"/>
      <protection hidden="1"/>
    </xf>
    <xf numFmtId="0" fontId="4" fillId="12" borderId="25" xfId="22" applyFont="1" applyFill="1" applyBorder="1" applyAlignment="1" applyProtection="1">
      <alignment horizontal="center"/>
      <protection hidden="1"/>
    </xf>
    <xf numFmtId="0" fontId="4" fillId="12" borderId="11" xfId="22" applyFont="1" applyFill="1" applyBorder="1" applyAlignment="1" applyProtection="1">
      <alignment horizontal="center"/>
      <protection hidden="1"/>
    </xf>
    <xf numFmtId="0" fontId="4" fillId="12" borderId="11" xfId="22" quotePrefix="1" applyFont="1" applyFill="1" applyBorder="1" applyAlignment="1" applyProtection="1">
      <alignment horizontal="center"/>
      <protection hidden="1"/>
    </xf>
    <xf numFmtId="0" fontId="4" fillId="12" borderId="26" xfId="22" applyFont="1" applyFill="1" applyBorder="1" applyAlignment="1" applyProtection="1">
      <alignment horizontal="center"/>
      <protection hidden="1"/>
    </xf>
    <xf numFmtId="0" fontId="4" fillId="7" borderId="25" xfId="22" applyFont="1" applyFill="1" applyBorder="1" applyAlignment="1" applyProtection="1">
      <alignment horizontal="center"/>
      <protection hidden="1"/>
    </xf>
    <xf numFmtId="0" fontId="4" fillId="7" borderId="11" xfId="22" applyFont="1" applyFill="1" applyBorder="1" applyAlignment="1" applyProtection="1">
      <alignment horizontal="center"/>
      <protection hidden="1"/>
    </xf>
    <xf numFmtId="0" fontId="4" fillId="7" borderId="11" xfId="22" quotePrefix="1" applyFont="1" applyFill="1" applyBorder="1" applyAlignment="1" applyProtection="1">
      <alignment horizontal="center"/>
      <protection hidden="1"/>
    </xf>
    <xf numFmtId="0" fontId="4" fillId="7" borderId="11" xfId="22" applyFont="1" applyFill="1" applyBorder="1" applyAlignment="1" applyProtection="1">
      <alignment horizontal="left"/>
      <protection hidden="1"/>
    </xf>
    <xf numFmtId="0" fontId="4" fillId="7" borderId="26" xfId="22" applyFont="1" applyFill="1" applyBorder="1" applyAlignment="1" applyProtection="1">
      <alignment horizontal="left"/>
      <protection hidden="1"/>
    </xf>
    <xf numFmtId="0" fontId="6" fillId="6" borderId="2" xfId="22" applyFont="1" applyFill="1" applyBorder="1" applyAlignment="1" applyProtection="1">
      <alignment horizontal="center"/>
      <protection hidden="1"/>
    </xf>
    <xf numFmtId="0" fontId="96" fillId="24" borderId="27" xfId="22" applyFont="1" applyFill="1" applyBorder="1" applyAlignment="1" applyProtection="1">
      <alignment horizontal="center" vertical="center"/>
      <protection hidden="1"/>
    </xf>
    <xf numFmtId="0" fontId="96" fillId="9" borderId="2" xfId="22" applyFont="1" applyFill="1" applyBorder="1" applyAlignment="1" applyProtection="1">
      <alignment horizontal="center" vertical="center"/>
      <protection hidden="1"/>
    </xf>
    <xf numFmtId="14" fontId="41" fillId="24" borderId="29" xfId="22" applyNumberFormat="1" applyFont="1" applyFill="1" applyBorder="1" applyAlignment="1" applyProtection="1">
      <alignment horizontal="center" vertical="center"/>
      <protection hidden="1"/>
    </xf>
    <xf numFmtId="175" fontId="41" fillId="24" borderId="29" xfId="22" applyNumberFormat="1" applyFont="1" applyFill="1" applyBorder="1" applyAlignment="1" applyProtection="1">
      <alignment horizontal="center" vertical="center"/>
      <protection hidden="1"/>
    </xf>
    <xf numFmtId="10" fontId="97" fillId="24" borderId="29" xfId="22" applyNumberFormat="1" applyFont="1" applyFill="1" applyBorder="1" applyAlignment="1" applyProtection="1">
      <alignment horizontal="center" vertical="center"/>
      <protection hidden="1"/>
    </xf>
    <xf numFmtId="0" fontId="41" fillId="24" borderId="28" xfId="22" applyFont="1" applyFill="1" applyBorder="1" applyAlignment="1" applyProtection="1">
      <alignment horizontal="center" vertical="center"/>
      <protection hidden="1"/>
    </xf>
    <xf numFmtId="0" fontId="89" fillId="6" borderId="0" xfId="22" applyFill="1" applyAlignment="1" applyProtection="1">
      <alignment vertical="center"/>
      <protection hidden="1"/>
    </xf>
    <xf numFmtId="14" fontId="41" fillId="24" borderId="27" xfId="22" applyNumberFormat="1" applyFont="1" applyFill="1" applyBorder="1" applyAlignment="1" applyProtection="1">
      <alignment horizontal="center" vertical="center"/>
      <protection hidden="1"/>
    </xf>
    <xf numFmtId="0" fontId="96" fillId="9" borderId="28" xfId="22" applyFont="1" applyFill="1" applyBorder="1" applyAlignment="1" applyProtection="1">
      <alignment horizontal="left" vertical="center"/>
      <protection hidden="1"/>
    </xf>
    <xf numFmtId="0" fontId="6" fillId="6" borderId="23" xfId="22" applyFont="1" applyFill="1" applyBorder="1" applyProtection="1">
      <protection hidden="1"/>
    </xf>
    <xf numFmtId="0" fontId="89" fillId="12" borderId="2" xfId="22" applyFill="1" applyBorder="1" applyAlignment="1" applyProtection="1">
      <alignment horizontal="center"/>
      <protection hidden="1"/>
    </xf>
    <xf numFmtId="0" fontId="89" fillId="9" borderId="2" xfId="22" applyFill="1" applyBorder="1" applyProtection="1">
      <protection hidden="1"/>
    </xf>
    <xf numFmtId="14" fontId="89" fillId="5" borderId="2" xfId="22" applyNumberFormat="1" applyFill="1" applyBorder="1" applyAlignment="1" applyProtection="1">
      <alignment horizontal="center"/>
      <protection locked="0"/>
    </xf>
    <xf numFmtId="175" fontId="89" fillId="5" borderId="2" xfId="22" applyNumberFormat="1" applyFill="1" applyBorder="1" applyAlignment="1" applyProtection="1">
      <alignment horizontal="center"/>
      <protection locked="0"/>
    </xf>
    <xf numFmtId="10" fontId="27" fillId="5" borderId="2" xfId="22" applyNumberFormat="1" applyFont="1" applyFill="1" applyBorder="1" applyAlignment="1" applyProtection="1">
      <alignment horizontal="center"/>
      <protection locked="0"/>
    </xf>
    <xf numFmtId="0" fontId="89" fillId="6" borderId="27" xfId="22" applyFill="1" applyBorder="1" applyAlignment="1" applyProtection="1">
      <alignment horizontal="center"/>
      <protection hidden="1"/>
    </xf>
    <xf numFmtId="0" fontId="89" fillId="9" borderId="2" xfId="22" applyFill="1" applyBorder="1" applyAlignment="1" applyProtection="1">
      <alignment horizontal="center"/>
      <protection hidden="1"/>
    </xf>
    <xf numFmtId="0" fontId="89" fillId="6" borderId="25" xfId="22" applyFill="1" applyBorder="1" applyAlignment="1" applyProtection="1">
      <alignment horizontal="center"/>
      <protection hidden="1"/>
    </xf>
    <xf numFmtId="0" fontId="89" fillId="6" borderId="26" xfId="22" applyFill="1" applyBorder="1" applyAlignment="1" applyProtection="1">
      <alignment horizontal="center"/>
      <protection hidden="1"/>
    </xf>
    <xf numFmtId="0" fontId="4" fillId="11" borderId="2" xfId="22" applyFont="1" applyFill="1" applyBorder="1" applyProtection="1">
      <protection hidden="1"/>
    </xf>
    <xf numFmtId="0" fontId="4" fillId="12" borderId="29" xfId="22" applyFont="1" applyFill="1" applyBorder="1" applyAlignment="1" applyProtection="1">
      <alignment horizontal="center"/>
      <protection hidden="1"/>
    </xf>
    <xf numFmtId="0" fontId="4" fillId="12" borderId="29" xfId="22" applyFont="1" applyFill="1" applyBorder="1" applyProtection="1">
      <protection hidden="1"/>
    </xf>
    <xf numFmtId="0" fontId="4" fillId="12" borderId="28" xfId="22" applyFont="1" applyFill="1" applyBorder="1" applyProtection="1">
      <protection hidden="1"/>
    </xf>
    <xf numFmtId="0" fontId="4" fillId="7" borderId="27" xfId="22" applyFont="1" applyFill="1" applyBorder="1" applyProtection="1">
      <protection hidden="1"/>
    </xf>
    <xf numFmtId="0" fontId="4" fillId="7" borderId="29" xfId="22" applyFont="1" applyFill="1" applyBorder="1" applyProtection="1">
      <protection hidden="1"/>
    </xf>
    <xf numFmtId="0" fontId="4" fillId="7" borderId="28" xfId="22" applyFont="1" applyFill="1" applyBorder="1" applyProtection="1">
      <protection hidden="1"/>
    </xf>
    <xf numFmtId="0" fontId="4" fillId="6" borderId="11" xfId="22" applyFont="1" applyFill="1" applyBorder="1" applyProtection="1">
      <protection hidden="1"/>
    </xf>
    <xf numFmtId="0" fontId="4" fillId="25" borderId="2" xfId="22" applyFont="1" applyFill="1" applyBorder="1" applyAlignment="1" applyProtection="1">
      <alignment horizontal="center"/>
      <protection hidden="1"/>
    </xf>
    <xf numFmtId="0" fontId="89" fillId="11" borderId="2" xfId="22" applyFill="1" applyBorder="1" applyProtection="1">
      <protection hidden="1"/>
    </xf>
    <xf numFmtId="172" fontId="98" fillId="6" borderId="0" xfId="22" applyNumberFormat="1" applyFont="1" applyFill="1" applyAlignment="1" applyProtection="1">
      <alignment horizontal="center"/>
      <protection hidden="1"/>
    </xf>
    <xf numFmtId="0" fontId="89" fillId="6" borderId="0" xfId="22" applyFill="1" applyAlignment="1" applyProtection="1">
      <alignment horizontal="left"/>
      <protection hidden="1"/>
    </xf>
    <xf numFmtId="172" fontId="89" fillId="6" borderId="0" xfId="22" applyNumberFormat="1" applyFill="1" applyProtection="1">
      <protection hidden="1"/>
    </xf>
    <xf numFmtId="174" fontId="89" fillId="6" borderId="0" xfId="22" applyNumberFormat="1" applyFill="1" applyAlignment="1" applyProtection="1">
      <alignment horizontal="right"/>
      <protection hidden="1"/>
    </xf>
    <xf numFmtId="0" fontId="89" fillId="24" borderId="2" xfId="22" applyFill="1" applyBorder="1" applyProtection="1">
      <protection hidden="1"/>
    </xf>
    <xf numFmtId="0" fontId="98" fillId="6" borderId="0" xfId="22" applyFont="1" applyFill="1" applyProtection="1">
      <protection hidden="1"/>
    </xf>
    <xf numFmtId="172" fontId="89" fillId="6" borderId="0" xfId="22" applyNumberFormat="1" applyFill="1" applyAlignment="1" applyProtection="1">
      <alignment horizontal="right"/>
      <protection hidden="1"/>
    </xf>
    <xf numFmtId="0" fontId="4" fillId="6" borderId="44" xfId="22" applyFont="1" applyFill="1" applyBorder="1" applyProtection="1">
      <protection hidden="1"/>
    </xf>
    <xf numFmtId="172" fontId="4" fillId="6" borderId="44" xfId="22" applyNumberFormat="1" applyFont="1" applyFill="1" applyBorder="1" applyProtection="1">
      <protection hidden="1"/>
    </xf>
    <xf numFmtId="174" fontId="4" fillId="6" borderId="44" xfId="22" applyNumberFormat="1" applyFont="1" applyFill="1" applyBorder="1" applyAlignment="1" applyProtection="1">
      <alignment horizontal="right"/>
      <protection hidden="1"/>
    </xf>
    <xf numFmtId="0" fontId="98" fillId="6" borderId="0" xfId="22" applyFont="1" applyFill="1" applyAlignment="1" applyProtection="1">
      <alignment horizontal="center"/>
      <protection hidden="1"/>
    </xf>
    <xf numFmtId="0" fontId="99" fillId="6" borderId="0" xfId="22" applyFont="1" applyFill="1" applyProtection="1">
      <protection hidden="1"/>
    </xf>
    <xf numFmtId="0" fontId="49" fillId="6" borderId="0" xfId="22" applyFont="1" applyFill="1" applyAlignment="1" applyProtection="1">
      <alignment horizontal="right"/>
      <protection hidden="1"/>
    </xf>
    <xf numFmtId="0" fontId="89" fillId="0" borderId="0" xfId="22" applyProtection="1">
      <protection locked="0"/>
    </xf>
    <xf numFmtId="0" fontId="100" fillId="0" borderId="0" xfId="22" applyFont="1" applyAlignment="1" applyProtection="1">
      <alignment horizontal="center"/>
      <protection hidden="1"/>
    </xf>
    <xf numFmtId="4" fontId="89" fillId="6" borderId="2" xfId="22" applyNumberFormat="1" applyFill="1" applyBorder="1" applyProtection="1">
      <protection hidden="1"/>
    </xf>
    <xf numFmtId="0" fontId="6" fillId="6" borderId="0" xfId="22" applyFont="1" applyFill="1" applyAlignment="1" applyProtection="1">
      <alignment horizontal="center"/>
      <protection hidden="1"/>
    </xf>
    <xf numFmtId="3" fontId="89" fillId="6" borderId="0" xfId="22" applyNumberFormat="1" applyFill="1" applyAlignment="1" applyProtection="1">
      <alignment horizontal="center"/>
      <protection hidden="1"/>
    </xf>
    <xf numFmtId="9" fontId="89" fillId="6" borderId="0" xfId="22" applyNumberFormat="1" applyFill="1" applyAlignment="1" applyProtection="1">
      <alignment horizontal="center"/>
      <protection hidden="1"/>
    </xf>
    <xf numFmtId="14" fontId="89" fillId="6" borderId="0" xfId="22" applyNumberFormat="1" applyFill="1" applyAlignment="1" applyProtection="1">
      <alignment horizontal="center"/>
      <protection hidden="1"/>
    </xf>
    <xf numFmtId="175" fontId="89" fillId="6" borderId="0" xfId="22" applyNumberFormat="1" applyFill="1" applyAlignment="1" applyProtection="1">
      <alignment horizontal="center"/>
      <protection hidden="1"/>
    </xf>
    <xf numFmtId="10" fontId="89" fillId="6" borderId="0" xfId="22" applyNumberFormat="1" applyFill="1" applyAlignment="1" applyProtection="1">
      <alignment horizontal="center"/>
      <protection hidden="1"/>
    </xf>
    <xf numFmtId="0" fontId="6" fillId="6" borderId="0" xfId="22" applyFont="1" applyFill="1" applyAlignment="1">
      <alignment horizontal="center"/>
    </xf>
    <xf numFmtId="0" fontId="19" fillId="2" borderId="2" xfId="0" applyFont="1" applyFill="1" applyBorder="1" applyAlignment="1" applyProtection="1">
      <alignment horizontal="center"/>
      <protection hidden="1"/>
    </xf>
    <xf numFmtId="0" fontId="2" fillId="2" borderId="0" xfId="0" applyFont="1" applyFill="1" applyAlignment="1">
      <alignment horizontal="center"/>
    </xf>
    <xf numFmtId="0" fontId="4" fillId="11" borderId="0" xfId="0" applyFont="1" applyFill="1"/>
    <xf numFmtId="0" fontId="4" fillId="11" borderId="0" xfId="0" applyFont="1" applyFill="1" applyAlignment="1">
      <alignment horizontal="center"/>
    </xf>
    <xf numFmtId="3" fontId="4" fillId="11" borderId="0" xfId="0" applyNumberFormat="1" applyFont="1" applyFill="1" applyAlignment="1">
      <alignment horizontal="center"/>
    </xf>
    <xf numFmtId="0" fontId="0" fillId="11" borderId="0" xfId="0" applyFill="1"/>
    <xf numFmtId="0" fontId="103" fillId="2" borderId="0" xfId="0" applyFont="1" applyFill="1"/>
    <xf numFmtId="0" fontId="6" fillId="0" borderId="2" xfId="11" applyFont="1" applyBorder="1"/>
    <xf numFmtId="0" fontId="30" fillId="3" borderId="2" xfId="11" applyFill="1" applyBorder="1" applyProtection="1">
      <protection locked="0"/>
    </xf>
    <xf numFmtId="0" fontId="30" fillId="0" borderId="2" xfId="11" applyBorder="1"/>
    <xf numFmtId="10" fontId="0" fillId="0" borderId="0" xfId="0" applyNumberFormat="1" applyAlignment="1">
      <alignment horizontal="center"/>
    </xf>
    <xf numFmtId="0" fontId="104" fillId="0" borderId="0" xfId="0" applyFont="1"/>
    <xf numFmtId="14" fontId="0" fillId="0" borderId="0" xfId="0" applyNumberFormat="1" applyAlignment="1">
      <alignment horizontal="left"/>
    </xf>
    <xf numFmtId="170" fontId="0" fillId="0" borderId="0" xfId="0" applyNumberFormat="1" applyAlignment="1">
      <alignment horizontal="center"/>
    </xf>
    <xf numFmtId="3" fontId="0" fillId="0" borderId="2" xfId="0" applyNumberFormat="1" applyBorder="1" applyAlignment="1">
      <alignment horizontal="center"/>
    </xf>
    <xf numFmtId="14" fontId="6" fillId="5" borderId="2" xfId="22" applyNumberFormat="1" applyFont="1" applyFill="1" applyBorder="1" applyAlignment="1" applyProtection="1">
      <alignment horizontal="center"/>
      <protection locked="0"/>
    </xf>
    <xf numFmtId="0" fontId="102" fillId="0" borderId="0" xfId="0" applyFont="1"/>
    <xf numFmtId="0" fontId="0" fillId="25" borderId="0" xfId="0" applyFill="1"/>
    <xf numFmtId="0" fontId="105" fillId="0" borderId="0" xfId="14"/>
    <xf numFmtId="0" fontId="105" fillId="12" borderId="2" xfId="14" applyFill="1" applyBorder="1"/>
    <xf numFmtId="0" fontId="105" fillId="14" borderId="0" xfId="14" applyFill="1" applyAlignment="1">
      <alignment horizontal="center"/>
    </xf>
    <xf numFmtId="0" fontId="6" fillId="0" borderId="0" xfId="14" applyFont="1"/>
    <xf numFmtId="3" fontId="105" fillId="0" borderId="0" xfId="14" applyNumberFormat="1"/>
    <xf numFmtId="0" fontId="105" fillId="0" borderId="0" xfId="14" applyAlignment="1">
      <alignment horizontal="center"/>
    </xf>
    <xf numFmtId="14" fontId="105" fillId="0" borderId="0" xfId="14" applyNumberFormat="1"/>
    <xf numFmtId="0" fontId="6" fillId="7" borderId="0" xfId="14" applyFont="1" applyFill="1"/>
    <xf numFmtId="0" fontId="6" fillId="7" borderId="0" xfId="14" applyFont="1" applyFill="1" applyAlignment="1">
      <alignment horizontal="center"/>
    </xf>
    <xf numFmtId="10" fontId="105" fillId="0" borderId="0" xfId="14" applyNumberFormat="1" applyAlignment="1">
      <alignment horizontal="center"/>
    </xf>
    <xf numFmtId="2" fontId="105" fillId="0" borderId="0" xfId="26" applyProtection="1">
      <alignment horizontal="center"/>
      <protection hidden="1"/>
    </xf>
    <xf numFmtId="0" fontId="100" fillId="0" borderId="0" xfId="14" applyFont="1" applyAlignment="1">
      <alignment horizontal="center"/>
    </xf>
    <xf numFmtId="0" fontId="105" fillId="2" borderId="0" xfId="14" applyFill="1"/>
    <xf numFmtId="0" fontId="105" fillId="14" borderId="0" xfId="14" applyFill="1"/>
    <xf numFmtId="0" fontId="102" fillId="11" borderId="0" xfId="0" applyFont="1" applyFill="1"/>
    <xf numFmtId="0" fontId="4" fillId="7" borderId="0" xfId="0" applyFont="1" applyFill="1" applyAlignment="1">
      <alignment horizontal="center"/>
    </xf>
    <xf numFmtId="0" fontId="4" fillId="25" borderId="0" xfId="0" applyFont="1" applyFill="1" applyAlignment="1">
      <alignment horizontal="center"/>
    </xf>
    <xf numFmtId="0" fontId="4" fillId="14" borderId="0" xfId="0" applyFont="1" applyFill="1" applyAlignment="1">
      <alignment horizontal="center"/>
    </xf>
    <xf numFmtId="0" fontId="4" fillId="21" borderId="0" xfId="0" applyFont="1" applyFill="1" applyAlignment="1">
      <alignment horizontal="center"/>
    </xf>
    <xf numFmtId="0" fontId="0" fillId="11" borderId="0" xfId="0" applyFill="1" applyAlignment="1">
      <alignment horizontal="center"/>
    </xf>
    <xf numFmtId="0" fontId="0" fillId="7" borderId="0" xfId="0" applyFill="1" applyAlignment="1">
      <alignment horizontal="center"/>
    </xf>
    <xf numFmtId="0" fontId="0" fillId="7" borderId="0" xfId="0" applyFill="1"/>
    <xf numFmtId="0" fontId="0" fillId="25" borderId="0" xfId="0" applyFill="1" applyAlignment="1">
      <alignment horizontal="center"/>
    </xf>
    <xf numFmtId="0" fontId="0" fillId="14" borderId="0" xfId="0" applyFill="1" applyAlignment="1">
      <alignment horizontal="center"/>
    </xf>
    <xf numFmtId="0" fontId="0" fillId="14" borderId="0" xfId="0" applyFill="1"/>
    <xf numFmtId="0" fontId="0" fillId="21" borderId="0" xfId="0" applyFill="1" applyAlignment="1">
      <alignment horizontal="center"/>
    </xf>
    <xf numFmtId="0" fontId="105" fillId="0" borderId="0" xfId="26" applyNumberFormat="1" applyProtection="1">
      <alignment horizontal="center"/>
      <protection hidden="1"/>
    </xf>
    <xf numFmtId="14" fontId="0" fillId="0" borderId="2" xfId="0" applyNumberFormat="1" applyBorder="1" applyAlignment="1">
      <alignment horizontal="center"/>
    </xf>
    <xf numFmtId="170" fontId="105" fillId="0" borderId="0" xfId="14" applyNumberFormat="1"/>
    <xf numFmtId="0" fontId="105" fillId="7" borderId="0" xfId="14" applyFill="1" applyAlignment="1">
      <alignment horizontal="center"/>
    </xf>
    <xf numFmtId="0" fontId="105" fillId="0" borderId="3" xfId="14" applyBorder="1"/>
    <xf numFmtId="0" fontId="105" fillId="0" borderId="4" xfId="14" applyBorder="1"/>
    <xf numFmtId="0" fontId="105" fillId="4" borderId="4" xfId="14" applyFill="1" applyBorder="1"/>
    <xf numFmtId="0" fontId="95" fillId="20" borderId="5" xfId="14" applyFont="1" applyFill="1" applyBorder="1"/>
    <xf numFmtId="14" fontId="105" fillId="0" borderId="6" xfId="14" applyNumberFormat="1" applyBorder="1"/>
    <xf numFmtId="167" fontId="105" fillId="0" borderId="0" xfId="14" applyNumberFormat="1"/>
    <xf numFmtId="4" fontId="105" fillId="4" borderId="0" xfId="14" applyNumberFormat="1" applyFill="1"/>
    <xf numFmtId="0" fontId="105" fillId="0" borderId="7" xfId="14" applyBorder="1"/>
    <xf numFmtId="0" fontId="105" fillId="4" borderId="0" xfId="14" applyFill="1"/>
    <xf numFmtId="0" fontId="105" fillId="0" borderId="6" xfId="14" applyBorder="1"/>
    <xf numFmtId="3" fontId="105" fillId="4" borderId="0" xfId="14" applyNumberFormat="1" applyFill="1"/>
    <xf numFmtId="0" fontId="105" fillId="7" borderId="0" xfId="14" applyFill="1"/>
    <xf numFmtId="0" fontId="105" fillId="0" borderId="8" xfId="14" applyBorder="1"/>
    <xf numFmtId="0" fontId="105" fillId="0" borderId="9" xfId="14" applyBorder="1"/>
    <xf numFmtId="0" fontId="105" fillId="0" borderId="10" xfId="14" applyBorder="1"/>
    <xf numFmtId="167" fontId="0" fillId="0" borderId="0" xfId="0" applyNumberFormat="1"/>
    <xf numFmtId="0" fontId="6" fillId="0" borderId="0" xfId="14" applyFont="1" applyAlignment="1">
      <alignment horizontal="center"/>
    </xf>
    <xf numFmtId="0" fontId="6" fillId="0" borderId="2" xfId="14" applyFont="1" applyBorder="1" applyAlignment="1">
      <alignment horizontal="center"/>
    </xf>
    <xf numFmtId="0" fontId="105" fillId="0" borderId="2" xfId="14" applyBorder="1" applyAlignment="1">
      <alignment horizontal="center"/>
    </xf>
    <xf numFmtId="0" fontId="4" fillId="0" borderId="0" xfId="22" applyFont="1" applyAlignment="1" applyProtection="1">
      <alignment horizontal="center"/>
      <protection hidden="1"/>
    </xf>
    <xf numFmtId="0" fontId="41" fillId="0" borderId="0" xfId="22" applyFont="1" applyProtection="1">
      <protection hidden="1"/>
    </xf>
    <xf numFmtId="0" fontId="4" fillId="0" borderId="0" xfId="22" applyFont="1" applyAlignment="1" applyProtection="1">
      <alignment horizontal="right"/>
      <protection hidden="1"/>
    </xf>
    <xf numFmtId="9" fontId="0" fillId="0" borderId="0" xfId="0" applyNumberFormat="1" applyAlignment="1">
      <alignment horizontal="center"/>
    </xf>
    <xf numFmtId="0" fontId="89" fillId="6" borderId="0" xfId="22" applyFill="1" applyProtection="1">
      <protection locked="0" hidden="1"/>
    </xf>
    <xf numFmtId="0" fontId="89" fillId="6" borderId="2" xfId="22" applyFill="1" applyBorder="1"/>
    <xf numFmtId="0" fontId="106" fillId="0" borderId="0" xfId="0" applyFont="1"/>
    <xf numFmtId="0" fontId="6" fillId="16" borderId="2" xfId="22" applyFont="1" applyFill="1" applyBorder="1" applyProtection="1">
      <protection locked="0" hidden="1"/>
    </xf>
    <xf numFmtId="4" fontId="0" fillId="6" borderId="0" xfId="0" applyNumberFormat="1" applyFill="1" applyAlignment="1" applyProtection="1">
      <alignment horizontal="center"/>
      <protection locked="0"/>
    </xf>
    <xf numFmtId="0" fontId="107" fillId="0" borderId="0" xfId="0" applyFont="1"/>
    <xf numFmtId="0" fontId="6" fillId="0" borderId="0" xfId="22" applyFont="1" applyProtection="1">
      <protection hidden="1"/>
    </xf>
    <xf numFmtId="0" fontId="0" fillId="6" borderId="0" xfId="0" applyFill="1"/>
    <xf numFmtId="0" fontId="4" fillId="6" borderId="0" xfId="22" applyFont="1" applyFill="1" applyAlignment="1" applyProtection="1">
      <alignment vertical="center"/>
      <protection hidden="1"/>
    </xf>
    <xf numFmtId="164" fontId="0" fillId="0" borderId="0" xfId="0" applyNumberFormat="1" applyAlignment="1">
      <alignment horizontal="center"/>
    </xf>
    <xf numFmtId="0" fontId="36" fillId="0" borderId="0" xfId="0" applyFont="1" applyAlignment="1">
      <alignment horizontal="center"/>
    </xf>
    <xf numFmtId="3" fontId="36" fillId="0" borderId="2" xfId="0" applyNumberFormat="1" applyFont="1" applyBorder="1" applyAlignment="1">
      <alignment horizontal="center"/>
    </xf>
    <xf numFmtId="164" fontId="36" fillId="0" borderId="2" xfId="0" applyNumberFormat="1" applyFont="1" applyBorder="1" applyAlignment="1">
      <alignment horizontal="center"/>
    </xf>
    <xf numFmtId="170" fontId="35" fillId="11" borderId="2" xfId="0" applyNumberFormat="1" applyFont="1" applyFill="1" applyBorder="1" applyAlignment="1">
      <alignment horizontal="center"/>
    </xf>
    <xf numFmtId="0" fontId="35" fillId="0" borderId="2" xfId="0" applyFont="1" applyBorder="1"/>
    <xf numFmtId="170" fontId="36" fillId="0" borderId="0" xfId="0" applyNumberFormat="1" applyFont="1" applyProtection="1">
      <protection hidden="1"/>
    </xf>
    <xf numFmtId="0" fontId="36" fillId="0" borderId="0" xfId="0" applyFont="1" applyAlignment="1" applyProtection="1">
      <alignment horizontal="center"/>
      <protection hidden="1"/>
    </xf>
    <xf numFmtId="170" fontId="5" fillId="0" borderId="0" xfId="0" applyNumberFormat="1" applyFont="1" applyProtection="1">
      <protection hidden="1"/>
    </xf>
    <xf numFmtId="170" fontId="35" fillId="0" borderId="0" xfId="0" applyNumberFormat="1" applyFont="1" applyProtection="1">
      <protection hidden="1"/>
    </xf>
    <xf numFmtId="3" fontId="36" fillId="0" borderId="2" xfId="0" applyNumberFormat="1" applyFont="1" applyBorder="1" applyAlignment="1" applyProtection="1">
      <alignment horizontal="center"/>
      <protection hidden="1"/>
    </xf>
    <xf numFmtId="3" fontId="36" fillId="0" borderId="0" xfId="0" applyNumberFormat="1" applyFont="1" applyAlignment="1">
      <alignment horizontal="center"/>
    </xf>
    <xf numFmtId="14" fontId="108" fillId="0" borderId="0" xfId="0" applyNumberFormat="1" applyFont="1" applyAlignment="1">
      <alignment horizontal="right"/>
    </xf>
    <xf numFmtId="14" fontId="35" fillId="0" borderId="0" xfId="0" applyNumberFormat="1" applyFont="1"/>
    <xf numFmtId="0" fontId="108" fillId="0" borderId="11" xfId="0" applyFont="1" applyBorder="1"/>
    <xf numFmtId="14" fontId="6" fillId="6" borderId="2" xfId="22" applyNumberFormat="1" applyFont="1" applyFill="1" applyBorder="1" applyAlignment="1" applyProtection="1">
      <alignment horizontal="center"/>
      <protection locked="0"/>
    </xf>
    <xf numFmtId="0" fontId="89" fillId="0" borderId="0" xfId="22" applyAlignment="1" applyProtection="1">
      <alignment horizontal="right"/>
      <protection hidden="1"/>
    </xf>
    <xf numFmtId="0" fontId="0" fillId="0" borderId="23" xfId="0" applyBorder="1" applyAlignment="1">
      <alignment horizontal="center"/>
    </xf>
    <xf numFmtId="0" fontId="118" fillId="6" borderId="0" xfId="5" applyFont="1" applyFill="1" applyBorder="1" applyAlignment="1" applyProtection="1">
      <alignment vertical="center"/>
    </xf>
    <xf numFmtId="0" fontId="12" fillId="0" borderId="0" xfId="8" applyFont="1" applyProtection="1">
      <protection hidden="1"/>
    </xf>
    <xf numFmtId="0" fontId="32" fillId="14" borderId="0" xfId="5" applyFont="1" applyFill="1" applyAlignment="1" applyProtection="1"/>
    <xf numFmtId="0" fontId="9" fillId="14" borderId="0" xfId="5" applyFill="1" applyAlignment="1" applyProtection="1"/>
    <xf numFmtId="0" fontId="109" fillId="14" borderId="0" xfId="15" applyFill="1"/>
    <xf numFmtId="0" fontId="27" fillId="14" borderId="0" xfId="15" applyFont="1" applyFill="1"/>
    <xf numFmtId="0" fontId="110" fillId="14" borderId="0" xfId="15" applyFont="1" applyFill="1" applyProtection="1">
      <protection locked="0"/>
    </xf>
    <xf numFmtId="0" fontId="109" fillId="0" borderId="0" xfId="15"/>
    <xf numFmtId="0" fontId="111" fillId="14" borderId="0" xfId="15" applyFont="1" applyFill="1" applyAlignment="1" applyProtection="1">
      <alignment horizontal="left"/>
      <protection locked="0"/>
    </xf>
    <xf numFmtId="0" fontId="109" fillId="0" borderId="20" xfId="15" applyBorder="1" applyProtection="1">
      <protection hidden="1"/>
    </xf>
    <xf numFmtId="0" fontId="109" fillId="0" borderId="21" xfId="15" applyBorder="1" applyProtection="1">
      <protection hidden="1"/>
    </xf>
    <xf numFmtId="0" fontId="4" fillId="0" borderId="21" xfId="15" applyFont="1" applyBorder="1" applyProtection="1">
      <protection hidden="1"/>
    </xf>
    <xf numFmtId="0" fontId="27" fillId="0" borderId="21" xfId="15" applyFont="1" applyBorder="1" applyAlignment="1" applyProtection="1">
      <alignment horizontal="left"/>
      <protection hidden="1"/>
    </xf>
    <xf numFmtId="0" fontId="109" fillId="0" borderId="22" xfId="15" applyBorder="1" applyProtection="1">
      <protection hidden="1"/>
    </xf>
    <xf numFmtId="0" fontId="28" fillId="14" borderId="0" xfId="5" applyFont="1" applyFill="1" applyAlignment="1" applyProtection="1"/>
    <xf numFmtId="0" fontId="109" fillId="0" borderId="23" xfId="15" applyBorder="1" applyProtection="1">
      <protection hidden="1"/>
    </xf>
    <xf numFmtId="168" fontId="69" fillId="0" borderId="0" xfId="33" applyNumberFormat="1" applyFont="1" applyFill="1" applyBorder="1" applyAlignment="1" applyProtection="1">
      <protection hidden="1"/>
    </xf>
    <xf numFmtId="0" fontId="109" fillId="0" borderId="0" xfId="15" applyProtection="1">
      <protection hidden="1"/>
    </xf>
    <xf numFmtId="0" fontId="109" fillId="0" borderId="24" xfId="15" applyBorder="1" applyProtection="1">
      <protection hidden="1"/>
    </xf>
    <xf numFmtId="0" fontId="109" fillId="2" borderId="0" xfId="15" applyFill="1" applyProtection="1">
      <protection locked="0"/>
    </xf>
    <xf numFmtId="0" fontId="4" fillId="0" borderId="0" xfId="15" applyFont="1" applyAlignment="1" applyProtection="1">
      <alignment vertical="top"/>
      <protection locked="0"/>
    </xf>
    <xf numFmtId="0" fontId="42" fillId="14" borderId="0" xfId="15" applyFont="1" applyFill="1" applyAlignment="1">
      <alignment horizontal="center"/>
    </xf>
    <xf numFmtId="168" fontId="4" fillId="0" borderId="0" xfId="33" applyNumberFormat="1" applyFont="1" applyFill="1" applyBorder="1" applyProtection="1">
      <protection hidden="1"/>
    </xf>
    <xf numFmtId="0" fontId="4" fillId="0" borderId="0" xfId="15" applyFont="1" applyProtection="1">
      <protection hidden="1"/>
    </xf>
    <xf numFmtId="0" fontId="109" fillId="0" borderId="0" xfId="15" applyAlignment="1" applyProtection="1">
      <alignment horizontal="left"/>
      <protection hidden="1"/>
    </xf>
    <xf numFmtId="0" fontId="109" fillId="5" borderId="0" xfId="15" applyFill="1" applyAlignment="1" applyProtection="1">
      <alignment horizontal="left"/>
      <protection locked="0"/>
    </xf>
    <xf numFmtId="14" fontId="109" fillId="0" borderId="0" xfId="15" applyNumberFormat="1" applyAlignment="1" applyProtection="1">
      <alignment horizontal="left"/>
      <protection hidden="1"/>
    </xf>
    <xf numFmtId="0" fontId="49" fillId="0" borderId="11" xfId="15" applyFont="1" applyBorder="1" applyProtection="1">
      <protection hidden="1"/>
    </xf>
    <xf numFmtId="0" fontId="109" fillId="0" borderId="11" xfId="15" applyBorder="1" applyProtection="1">
      <protection hidden="1"/>
    </xf>
    <xf numFmtId="0" fontId="4" fillId="0" borderId="0" xfId="33" applyNumberFormat="1" applyFont="1" applyFill="1" applyBorder="1" applyProtection="1">
      <protection hidden="1"/>
    </xf>
    <xf numFmtId="0" fontId="95" fillId="14" borderId="0" xfId="5" applyFont="1" applyFill="1" applyAlignment="1" applyProtection="1"/>
    <xf numFmtId="0" fontId="4" fillId="0" borderId="11" xfId="33" applyNumberFormat="1" applyFont="1" applyFill="1" applyBorder="1" applyProtection="1">
      <protection hidden="1"/>
    </xf>
    <xf numFmtId="0" fontId="49" fillId="0" borderId="0" xfId="15" applyFont="1"/>
    <xf numFmtId="0" fontId="95" fillId="11" borderId="0" xfId="5" applyNumberFormat="1" applyFont="1" applyFill="1" applyAlignment="1" applyProtection="1">
      <alignment horizontal="center"/>
    </xf>
    <xf numFmtId="0" fontId="112" fillId="0" borderId="0" xfId="15" applyFont="1" applyProtection="1">
      <protection hidden="1"/>
    </xf>
    <xf numFmtId="0" fontId="27" fillId="0" borderId="0" xfId="15" applyFont="1" applyProtection="1">
      <protection hidden="1"/>
    </xf>
    <xf numFmtId="0" fontId="32" fillId="0" borderId="0" xfId="15" applyFont="1" applyProtection="1">
      <protection hidden="1"/>
    </xf>
    <xf numFmtId="3" fontId="32" fillId="0" borderId="2" xfId="15" applyNumberFormat="1" applyFont="1" applyBorder="1" applyAlignment="1" applyProtection="1">
      <alignment horizontal="center"/>
      <protection hidden="1"/>
    </xf>
    <xf numFmtId="0" fontId="27" fillId="4" borderId="0" xfId="15" applyFont="1" applyFill="1" applyProtection="1">
      <protection hidden="1"/>
    </xf>
    <xf numFmtId="0" fontId="11" fillId="0" borderId="0" xfId="15" applyFont="1" applyProtection="1">
      <protection hidden="1"/>
    </xf>
    <xf numFmtId="3" fontId="11" fillId="0" borderId="2" xfId="15" applyNumberFormat="1" applyFont="1" applyBorder="1" applyAlignment="1" applyProtection="1">
      <alignment horizontal="center"/>
      <protection hidden="1"/>
    </xf>
    <xf numFmtId="0" fontId="109" fillId="11" borderId="0" xfId="15" applyFill="1"/>
    <xf numFmtId="170" fontId="32" fillId="0" borderId="2" xfId="15" applyNumberFormat="1" applyFont="1" applyBorder="1" applyAlignment="1" applyProtection="1">
      <alignment horizontal="center"/>
      <protection hidden="1"/>
    </xf>
    <xf numFmtId="170" fontId="112" fillId="0" borderId="0" xfId="15" applyNumberFormat="1" applyFont="1" applyAlignment="1" applyProtection="1">
      <alignment horizontal="left"/>
      <protection hidden="1"/>
    </xf>
    <xf numFmtId="170" fontId="11" fillId="0" borderId="2" xfId="15" applyNumberFormat="1" applyFont="1" applyBorder="1" applyAlignment="1" applyProtection="1">
      <alignment horizontal="center"/>
      <protection hidden="1"/>
    </xf>
    <xf numFmtId="170" fontId="113" fillId="0" borderId="0" xfId="15" applyNumberFormat="1" applyFont="1" applyAlignment="1" applyProtection="1">
      <alignment horizontal="center"/>
      <protection hidden="1"/>
    </xf>
    <xf numFmtId="3" fontId="32" fillId="0" borderId="2" xfId="15" applyNumberFormat="1" applyFont="1" applyBorder="1" applyAlignment="1">
      <alignment horizontal="center"/>
    </xf>
    <xf numFmtId="3" fontId="33" fillId="0" borderId="2" xfId="15" applyNumberFormat="1" applyFont="1" applyBorder="1" applyAlignment="1">
      <alignment horizontal="center"/>
    </xf>
    <xf numFmtId="170" fontId="32" fillId="0" borderId="2" xfId="15" applyNumberFormat="1" applyFont="1" applyBorder="1" applyAlignment="1">
      <alignment horizontal="center"/>
    </xf>
    <xf numFmtId="170" fontId="33" fillId="0" borderId="2" xfId="15" applyNumberFormat="1" applyFont="1" applyBorder="1" applyAlignment="1">
      <alignment horizontal="center"/>
    </xf>
    <xf numFmtId="0" fontId="95" fillId="14" borderId="0" xfId="5" applyNumberFormat="1" applyFont="1" applyFill="1" applyAlignment="1" applyProtection="1">
      <alignment horizontal="center"/>
    </xf>
    <xf numFmtId="170" fontId="31" fillId="0" borderId="0" xfId="15" applyNumberFormat="1" applyFont="1" applyAlignment="1">
      <alignment horizontal="center"/>
    </xf>
    <xf numFmtId="0" fontId="113" fillId="0" borderId="0" xfId="15" applyFont="1" applyProtection="1">
      <protection hidden="1"/>
    </xf>
    <xf numFmtId="3" fontId="113" fillId="0" borderId="0" xfId="15" applyNumberFormat="1" applyFont="1" applyAlignment="1" applyProtection="1">
      <alignment horizontal="center"/>
      <protection hidden="1"/>
    </xf>
    <xf numFmtId="14" fontId="53" fillId="14" borderId="0" xfId="5" applyNumberFormat="1" applyFont="1" applyFill="1" applyAlignment="1" applyProtection="1">
      <alignment horizontal="center"/>
    </xf>
    <xf numFmtId="0" fontId="6" fillId="0" borderId="0" xfId="15" applyFont="1" applyProtection="1">
      <protection hidden="1"/>
    </xf>
    <xf numFmtId="3" fontId="6" fillId="0" borderId="2" xfId="15" applyNumberFormat="1" applyFont="1" applyBorder="1" applyAlignment="1" applyProtection="1">
      <alignment horizontal="center"/>
      <protection hidden="1"/>
    </xf>
    <xf numFmtId="14" fontId="114" fillId="0" borderId="0" xfId="15" applyNumberFormat="1" applyFont="1" applyAlignment="1" applyProtection="1">
      <alignment horizontal="center"/>
      <protection hidden="1"/>
    </xf>
    <xf numFmtId="0" fontId="109" fillId="4" borderId="0" xfId="15" applyFill="1" applyProtection="1">
      <protection hidden="1"/>
    </xf>
    <xf numFmtId="14" fontId="115" fillId="0" borderId="0" xfId="15" applyNumberFormat="1" applyFont="1" applyAlignment="1" applyProtection="1">
      <alignment horizontal="center"/>
      <protection hidden="1"/>
    </xf>
    <xf numFmtId="4" fontId="109" fillId="0" borderId="2" xfId="15" applyNumberFormat="1" applyBorder="1" applyAlignment="1" applyProtection="1">
      <alignment horizontal="center"/>
      <protection hidden="1"/>
    </xf>
    <xf numFmtId="0" fontId="9" fillId="14" borderId="0" xfId="5" applyFill="1" applyAlignment="1" applyProtection="1">
      <alignment horizontal="center"/>
    </xf>
    <xf numFmtId="0" fontId="31" fillId="0" borderId="0" xfId="15" applyFont="1" applyProtection="1">
      <protection hidden="1"/>
    </xf>
    <xf numFmtId="3" fontId="109" fillId="0" borderId="2" xfId="15" applyNumberFormat="1" applyBorder="1" applyAlignment="1" applyProtection="1">
      <alignment horizontal="center"/>
      <protection hidden="1"/>
    </xf>
    <xf numFmtId="0" fontId="100" fillId="0" borderId="0" xfId="15" applyFont="1" applyProtection="1">
      <protection hidden="1"/>
    </xf>
    <xf numFmtId="0" fontId="109" fillId="14" borderId="0" xfId="15" applyFill="1" applyAlignment="1">
      <alignment horizontal="center"/>
    </xf>
    <xf numFmtId="10" fontId="27" fillId="0" borderId="2" xfId="15" applyNumberFormat="1" applyFont="1" applyBorder="1" applyAlignment="1" applyProtection="1">
      <alignment horizontal="center"/>
      <protection hidden="1"/>
    </xf>
    <xf numFmtId="0" fontId="49" fillId="0" borderId="0" xfId="15" applyFont="1" applyProtection="1">
      <protection hidden="1"/>
    </xf>
    <xf numFmtId="0" fontId="109" fillId="0" borderId="0" xfId="15" quotePrefix="1" applyProtection="1">
      <protection hidden="1"/>
    </xf>
    <xf numFmtId="0" fontId="112" fillId="0" borderId="11" xfId="15" applyFont="1" applyBorder="1" applyProtection="1">
      <protection hidden="1"/>
    </xf>
    <xf numFmtId="0" fontId="27" fillId="0" borderId="11" xfId="15" applyFont="1" applyBorder="1" applyProtection="1">
      <protection hidden="1"/>
    </xf>
    <xf numFmtId="3" fontId="112" fillId="0" borderId="29" xfId="15" applyNumberFormat="1" applyFont="1" applyBorder="1" applyAlignment="1" applyProtection="1">
      <alignment horizontal="center"/>
      <protection hidden="1"/>
    </xf>
    <xf numFmtId="14" fontId="112" fillId="0" borderId="11" xfId="15" applyNumberFormat="1" applyFont="1" applyBorder="1" applyProtection="1">
      <protection hidden="1"/>
    </xf>
    <xf numFmtId="0" fontId="27" fillId="4" borderId="11" xfId="15" applyFont="1" applyFill="1" applyBorder="1" applyProtection="1">
      <protection hidden="1"/>
    </xf>
    <xf numFmtId="0" fontId="113" fillId="0" borderId="11" xfId="15" applyFont="1" applyBorder="1" applyProtection="1">
      <protection hidden="1"/>
    </xf>
    <xf numFmtId="3" fontId="113" fillId="0" borderId="29" xfId="15" quotePrefix="1" applyNumberFormat="1" applyFont="1" applyBorder="1" applyAlignment="1" applyProtection="1">
      <alignment horizontal="center"/>
      <protection hidden="1"/>
    </xf>
    <xf numFmtId="14" fontId="113" fillId="0" borderId="11" xfId="15" applyNumberFormat="1" applyFont="1" applyBorder="1" applyAlignment="1" applyProtection="1">
      <alignment horizontal="center"/>
      <protection hidden="1"/>
    </xf>
    <xf numFmtId="0" fontId="52" fillId="0" borderId="11" xfId="15" applyFont="1" applyBorder="1" applyAlignment="1" applyProtection="1">
      <alignment horizontal="center"/>
      <protection hidden="1"/>
    </xf>
    <xf numFmtId="14" fontId="59" fillId="14" borderId="0" xfId="5" applyNumberFormat="1" applyFont="1" applyFill="1" applyAlignment="1" applyProtection="1">
      <alignment horizontal="center"/>
    </xf>
    <xf numFmtId="0" fontId="4" fillId="0" borderId="0" xfId="15" applyFont="1" applyAlignment="1" applyProtection="1">
      <alignment horizontal="left" vertical="center"/>
      <protection hidden="1"/>
    </xf>
    <xf numFmtId="9" fontId="27" fillId="0" borderId="0" xfId="15" applyNumberFormat="1" applyFont="1" applyAlignment="1" applyProtection="1">
      <alignment horizontal="center"/>
      <protection hidden="1"/>
    </xf>
    <xf numFmtId="0" fontId="32" fillId="14" borderId="0" xfId="15" applyFont="1" applyFill="1" applyAlignment="1">
      <alignment horizontal="center" wrapText="1"/>
    </xf>
    <xf numFmtId="0" fontId="91" fillId="0" borderId="0" xfId="15" applyFont="1" applyProtection="1">
      <protection hidden="1"/>
    </xf>
    <xf numFmtId="0" fontId="109" fillId="0" borderId="0" xfId="15" applyAlignment="1" applyProtection="1">
      <alignment horizontal="center"/>
      <protection hidden="1"/>
    </xf>
    <xf numFmtId="0" fontId="109" fillId="0" borderId="0" xfId="15" applyAlignment="1" applyProtection="1">
      <alignment horizontal="center" wrapText="1"/>
      <protection hidden="1"/>
    </xf>
    <xf numFmtId="0" fontId="49" fillId="0" borderId="23" xfId="15" applyFont="1" applyBorder="1" applyProtection="1">
      <protection hidden="1"/>
    </xf>
    <xf numFmtId="0" fontId="42" fillId="0" borderId="0" xfId="15" applyFont="1" applyAlignment="1" applyProtection="1">
      <alignment horizontal="center"/>
      <protection hidden="1"/>
    </xf>
    <xf numFmtId="14" fontId="109" fillId="0" borderId="2" xfId="15" applyNumberFormat="1" applyBorder="1" applyAlignment="1" applyProtection="1">
      <alignment horizontal="center"/>
      <protection hidden="1"/>
    </xf>
    <xf numFmtId="0" fontId="42" fillId="0" borderId="0" xfId="15" applyFont="1" applyAlignment="1" applyProtection="1">
      <alignment horizontal="left"/>
      <protection hidden="1"/>
    </xf>
    <xf numFmtId="0" fontId="49" fillId="0" borderId="24" xfId="15" applyFont="1" applyBorder="1" applyProtection="1">
      <protection hidden="1"/>
    </xf>
    <xf numFmtId="0" fontId="109" fillId="0" borderId="0" xfId="15" applyAlignment="1">
      <alignment horizontal="center"/>
    </xf>
    <xf numFmtId="0" fontId="109" fillId="0" borderId="25" xfId="15" applyBorder="1" applyProtection="1">
      <protection hidden="1"/>
    </xf>
    <xf numFmtId="3" fontId="109" fillId="0" borderId="11" xfId="15" applyNumberFormat="1" applyBorder="1" applyAlignment="1" applyProtection="1">
      <alignment horizontal="center"/>
      <protection hidden="1"/>
    </xf>
    <xf numFmtId="0" fontId="49" fillId="0" borderId="11" xfId="15" applyFont="1" applyBorder="1" applyAlignment="1" applyProtection="1">
      <alignment horizontal="center"/>
      <protection hidden="1"/>
    </xf>
    <xf numFmtId="0" fontId="109" fillId="0" borderId="26" xfId="15" applyBorder="1" applyProtection="1">
      <protection hidden="1"/>
    </xf>
    <xf numFmtId="14" fontId="27" fillId="14" borderId="0" xfId="15" applyNumberFormat="1" applyFont="1" applyFill="1"/>
    <xf numFmtId="0" fontId="109" fillId="14" borderId="0" xfId="15" applyFill="1" applyProtection="1">
      <protection hidden="1"/>
    </xf>
    <xf numFmtId="0" fontId="99" fillId="0" borderId="21" xfId="15" applyFont="1" applyBorder="1" applyProtection="1">
      <protection hidden="1"/>
    </xf>
    <xf numFmtId="0" fontId="59" fillId="14" borderId="0" xfId="5" applyFont="1" applyFill="1" applyAlignment="1" applyProtection="1">
      <alignment horizontal="center"/>
    </xf>
    <xf numFmtId="0" fontId="4" fillId="0" borderId="0" xfId="15" applyFont="1" applyAlignment="1" applyProtection="1">
      <alignment horizontal="center"/>
      <protection hidden="1"/>
    </xf>
    <xf numFmtId="0" fontId="4" fillId="0" borderId="24" xfId="15" applyFont="1" applyBorder="1" applyAlignment="1" applyProtection="1">
      <alignment horizontal="center"/>
      <protection hidden="1"/>
    </xf>
    <xf numFmtId="0" fontId="116" fillId="14" borderId="0" xfId="5" applyFont="1" applyFill="1" applyAlignment="1" applyProtection="1">
      <alignment horizontal="center"/>
    </xf>
    <xf numFmtId="0" fontId="117" fillId="0" borderId="0" xfId="15" applyFont="1" applyAlignment="1" applyProtection="1">
      <alignment horizontal="left"/>
      <protection hidden="1"/>
    </xf>
    <xf numFmtId="0" fontId="55" fillId="0" borderId="0" xfId="15" applyFont="1" applyProtection="1">
      <protection hidden="1"/>
    </xf>
    <xf numFmtId="0" fontId="55" fillId="0" borderId="0" xfId="15" applyFont="1" applyAlignment="1" applyProtection="1">
      <alignment horizontal="left"/>
      <protection hidden="1"/>
    </xf>
    <xf numFmtId="0" fontId="50" fillId="0" borderId="0" xfId="15" applyFont="1" applyAlignment="1" applyProtection="1">
      <alignment horizontal="left"/>
      <protection hidden="1"/>
    </xf>
    <xf numFmtId="172" fontId="109" fillId="0" borderId="0" xfId="15" applyNumberFormat="1" applyProtection="1">
      <protection hidden="1"/>
    </xf>
    <xf numFmtId="2" fontId="56" fillId="0" borderId="24" xfId="15" applyNumberFormat="1" applyFont="1" applyBorder="1" applyAlignment="1" applyProtection="1">
      <alignment horizontal="center"/>
      <protection hidden="1"/>
    </xf>
    <xf numFmtId="174" fontId="109" fillId="0" borderId="0" xfId="15" applyNumberFormat="1" applyProtection="1">
      <protection hidden="1"/>
    </xf>
    <xf numFmtId="0" fontId="109" fillId="0" borderId="44" xfId="15" applyBorder="1" applyProtection="1">
      <protection hidden="1"/>
    </xf>
    <xf numFmtId="172" fontId="4" fillId="0" borderId="44" xfId="15" applyNumberFormat="1" applyFont="1" applyBorder="1" applyProtection="1">
      <protection hidden="1"/>
    </xf>
    <xf numFmtId="0" fontId="4" fillId="0" borderId="44" xfId="15" applyFont="1" applyBorder="1" applyProtection="1">
      <protection hidden="1"/>
    </xf>
    <xf numFmtId="174" fontId="4" fillId="0" borderId="44" xfId="15" applyNumberFormat="1" applyFont="1" applyBorder="1" applyProtection="1">
      <protection hidden="1"/>
    </xf>
    <xf numFmtId="0" fontId="85" fillId="0" borderId="0" xfId="15" applyFont="1" applyProtection="1">
      <protection hidden="1"/>
    </xf>
    <xf numFmtId="0" fontId="49" fillId="0" borderId="0" xfId="15" applyFont="1" applyAlignment="1" applyProtection="1">
      <alignment horizontal="right"/>
      <protection hidden="1"/>
    </xf>
    <xf numFmtId="0" fontId="50" fillId="0" borderId="0" xfId="15" applyFont="1" applyProtection="1">
      <protection hidden="1"/>
    </xf>
    <xf numFmtId="0" fontId="50" fillId="0" borderId="11" xfId="15" applyFont="1" applyBorder="1" applyProtection="1">
      <protection hidden="1"/>
    </xf>
    <xf numFmtId="0" fontId="50" fillId="0" borderId="11" xfId="15" applyFont="1" applyBorder="1" applyAlignment="1" applyProtection="1">
      <alignment horizontal="left"/>
      <protection hidden="1"/>
    </xf>
    <xf numFmtId="168" fontId="3" fillId="0" borderId="11" xfId="33" applyNumberFormat="1" applyFont="1" applyFill="1" applyBorder="1" applyAlignment="1" applyProtection="1">
      <alignment horizontal="left"/>
      <protection hidden="1"/>
    </xf>
    <xf numFmtId="14" fontId="109" fillId="0" borderId="11" xfId="15" applyNumberFormat="1" applyBorder="1" applyProtection="1">
      <protection hidden="1"/>
    </xf>
    <xf numFmtId="0" fontId="49" fillId="2" borderId="0" xfId="15" applyFont="1" applyFill="1"/>
    <xf numFmtId="4" fontId="0" fillId="2" borderId="0" xfId="0" applyNumberFormat="1" applyFill="1" applyAlignment="1">
      <alignment horizontal="center"/>
    </xf>
    <xf numFmtId="0" fontId="0" fillId="0" borderId="2" xfId="0" applyBorder="1" applyProtection="1">
      <protection locked="0"/>
    </xf>
    <xf numFmtId="0" fontId="0" fillId="12" borderId="0" xfId="0" applyFill="1"/>
    <xf numFmtId="0" fontId="15" fillId="11" borderId="0" xfId="0" applyFont="1" applyFill="1" applyAlignment="1">
      <alignment vertical="center"/>
    </xf>
    <xf numFmtId="0" fontId="0" fillId="23" borderId="0" xfId="0" applyFill="1"/>
    <xf numFmtId="0" fontId="39" fillId="6" borderId="2" xfId="0" applyFont="1" applyFill="1" applyBorder="1" applyAlignment="1">
      <alignment horizontal="right"/>
    </xf>
    <xf numFmtId="0" fontId="39" fillId="2" borderId="2" xfId="0" applyFont="1" applyFill="1" applyBorder="1"/>
    <xf numFmtId="0" fontId="39" fillId="0" borderId="2" xfId="0" applyFont="1" applyBorder="1"/>
    <xf numFmtId="178" fontId="39" fillId="0" borderId="2" xfId="0" applyNumberFormat="1" applyFont="1" applyBorder="1"/>
    <xf numFmtId="0" fontId="39" fillId="12" borderId="0" xfId="0" applyFont="1" applyFill="1" applyProtection="1">
      <protection locked="0" hidden="1"/>
    </xf>
    <xf numFmtId="0" fontId="22" fillId="11" borderId="0" xfId="0" applyFont="1" applyFill="1"/>
    <xf numFmtId="0" fontId="0" fillId="3" borderId="0" xfId="0" applyFill="1" applyAlignment="1" applyProtection="1">
      <alignment horizontal="center"/>
      <protection locked="0"/>
    </xf>
    <xf numFmtId="0" fontId="39" fillId="3" borderId="0" xfId="0" applyFont="1" applyFill="1" applyAlignment="1" applyProtection="1">
      <alignment horizontal="center"/>
      <protection locked="0"/>
    </xf>
    <xf numFmtId="0" fontId="39" fillId="5" borderId="0" xfId="0" applyFont="1" applyFill="1" applyAlignment="1" applyProtection="1">
      <alignment horizontal="center"/>
      <protection locked="0"/>
    </xf>
    <xf numFmtId="0" fontId="15" fillId="11" borderId="0" xfId="0" applyFont="1" applyFill="1" applyProtection="1">
      <protection hidden="1"/>
    </xf>
    <xf numFmtId="0" fontId="22" fillId="0" borderId="55" xfId="0" applyFont="1" applyBorder="1" applyAlignment="1" applyProtection="1">
      <alignment horizontal="center"/>
      <protection hidden="1"/>
    </xf>
    <xf numFmtId="0" fontId="35" fillId="6" borderId="56" xfId="0" applyFont="1" applyFill="1" applyBorder="1" applyProtection="1">
      <protection hidden="1"/>
    </xf>
    <xf numFmtId="0" fontId="39" fillId="6" borderId="57" xfId="0" applyFont="1" applyFill="1" applyBorder="1" applyProtection="1">
      <protection hidden="1"/>
    </xf>
    <xf numFmtId="0" fontId="22" fillId="11" borderId="0" xfId="0" applyFont="1" applyFill="1" applyAlignment="1" applyProtection="1">
      <alignment horizontal="center"/>
      <protection hidden="1"/>
    </xf>
    <xf numFmtId="0" fontId="22" fillId="11" borderId="0" xfId="0" applyFont="1" applyFill="1" applyProtection="1">
      <protection hidden="1"/>
    </xf>
    <xf numFmtId="0" fontId="0" fillId="12" borderId="0" xfId="0" applyFill="1" applyAlignment="1">
      <alignment horizontal="center"/>
    </xf>
    <xf numFmtId="0" fontId="4" fillId="11" borderId="2" xfId="8" quotePrefix="1" applyFont="1" applyFill="1" applyBorder="1" applyAlignment="1">
      <alignment horizontal="center"/>
    </xf>
    <xf numFmtId="0" fontId="4" fillId="2" borderId="0" xfId="0" applyFont="1" applyFill="1" applyProtection="1">
      <protection locked="0"/>
    </xf>
    <xf numFmtId="0" fontId="42" fillId="6" borderId="29" xfId="0" applyFont="1" applyFill="1" applyBorder="1"/>
    <xf numFmtId="4" fontId="39" fillId="2" borderId="2" xfId="0" applyNumberFormat="1" applyFont="1" applyFill="1" applyBorder="1"/>
    <xf numFmtId="0" fontId="39" fillId="2" borderId="43" xfId="0" applyFont="1" applyFill="1" applyBorder="1"/>
    <xf numFmtId="0" fontId="35" fillId="12" borderId="27" xfId="0" applyFont="1" applyFill="1" applyBorder="1" applyAlignment="1">
      <alignment vertical="center"/>
    </xf>
    <xf numFmtId="0" fontId="39" fillId="12" borderId="29" xfId="0" applyFont="1" applyFill="1" applyBorder="1"/>
    <xf numFmtId="0" fontId="119" fillId="12" borderId="28" xfId="0" applyFont="1" applyFill="1" applyBorder="1" applyAlignment="1">
      <alignment horizontal="center"/>
    </xf>
    <xf numFmtId="4" fontId="39" fillId="5" borderId="2" xfId="0" applyNumberFormat="1" applyFont="1" applyFill="1" applyBorder="1" applyAlignment="1" applyProtection="1">
      <alignment horizontal="center"/>
      <protection locked="0"/>
    </xf>
    <xf numFmtId="0" fontId="5" fillId="6" borderId="29" xfId="0" applyFont="1" applyFill="1" applyBorder="1" applyAlignment="1">
      <alignment vertical="center"/>
    </xf>
    <xf numFmtId="4" fontId="5" fillId="6" borderId="0" xfId="1" applyNumberFormat="1" applyFont="1" applyFill="1" applyBorder="1" applyAlignment="1" applyProtection="1">
      <alignment horizontal="center" vertical="center"/>
      <protection locked="0"/>
    </xf>
    <xf numFmtId="0" fontId="1" fillId="11" borderId="0" xfId="17" applyFill="1"/>
    <xf numFmtId="0" fontId="1" fillId="0" borderId="0" xfId="17"/>
    <xf numFmtId="0" fontId="120" fillId="0" borderId="0" xfId="17" applyFont="1"/>
    <xf numFmtId="0" fontId="1" fillId="0" borderId="0" xfId="17" applyProtection="1">
      <protection locked="0"/>
    </xf>
    <xf numFmtId="3" fontId="6" fillId="0" borderId="41" xfId="8" applyNumberFormat="1" applyBorder="1" applyAlignment="1" applyProtection="1">
      <alignment horizontal="center"/>
      <protection hidden="1"/>
    </xf>
    <xf numFmtId="0" fontId="14" fillId="6" borderId="0" xfId="0" applyFont="1" applyFill="1"/>
    <xf numFmtId="0" fontId="19" fillId="15" borderId="2" xfId="0" applyFont="1" applyFill="1" applyBorder="1"/>
    <xf numFmtId="0" fontId="39" fillId="12" borderId="2" xfId="0" applyFont="1" applyFill="1" applyBorder="1"/>
    <xf numFmtId="0" fontId="39" fillId="2" borderId="2" xfId="0" applyFont="1" applyFill="1" applyBorder="1" applyProtection="1">
      <protection locked="0"/>
    </xf>
    <xf numFmtId="0" fontId="39" fillId="2" borderId="2" xfId="0" applyFont="1" applyFill="1" applyBorder="1" applyAlignment="1" applyProtection="1">
      <alignment horizontal="center"/>
      <protection locked="0"/>
    </xf>
    <xf numFmtId="0" fontId="2" fillId="0" borderId="33" xfId="0" applyFont="1" applyBorder="1"/>
    <xf numFmtId="0" fontId="45" fillId="0" borderId="34" xfId="0" applyFont="1" applyBorder="1"/>
    <xf numFmtId="0" fontId="2" fillId="0" borderId="34" xfId="0" applyFont="1" applyBorder="1"/>
    <xf numFmtId="0" fontId="2" fillId="0" borderId="35" xfId="0" applyFont="1" applyBorder="1"/>
    <xf numFmtId="0" fontId="2" fillId="0" borderId="36" xfId="0" applyFont="1" applyBorder="1"/>
    <xf numFmtId="0" fontId="4" fillId="0" borderId="27" xfId="0" applyFont="1" applyBorder="1" applyAlignment="1">
      <alignment vertical="center"/>
    </xf>
    <xf numFmtId="0" fontId="2" fillId="0" borderId="29" xfId="0" applyFont="1" applyBorder="1"/>
    <xf numFmtId="0" fontId="2" fillId="0" borderId="28" xfId="0" applyFont="1" applyBorder="1" applyAlignment="1">
      <alignment horizontal="center"/>
    </xf>
    <xf numFmtId="0" fontId="2" fillId="0" borderId="37" xfId="0" applyFont="1" applyBorder="1"/>
    <xf numFmtId="0" fontId="4" fillId="0" borderId="27" xfId="0" applyFont="1" applyBorder="1"/>
    <xf numFmtId="0" fontId="6" fillId="0" borderId="29" xfId="0" applyFont="1" applyBorder="1"/>
    <xf numFmtId="0" fontId="4" fillId="0" borderId="29" xfId="0" applyFont="1" applyBorder="1"/>
    <xf numFmtId="4" fontId="4" fillId="0" borderId="29" xfId="0" applyNumberFormat="1" applyFont="1" applyBorder="1" applyAlignment="1">
      <alignment horizontal="right"/>
    </xf>
    <xf numFmtId="3" fontId="6" fillId="0" borderId="2" xfId="0" applyNumberFormat="1" applyFont="1" applyBorder="1" applyAlignment="1" applyProtection="1">
      <alignment horizontal="center"/>
      <protection locked="0"/>
    </xf>
    <xf numFmtId="0" fontId="4" fillId="0" borderId="29" xfId="0" applyFont="1" applyBorder="1" applyAlignment="1">
      <alignment horizontal="right"/>
    </xf>
    <xf numFmtId="0" fontId="6" fillId="0" borderId="27" xfId="0" applyFont="1" applyBorder="1"/>
    <xf numFmtId="14" fontId="4" fillId="0" borderId="2" xfId="0" applyNumberFormat="1" applyFont="1" applyBorder="1" applyAlignment="1" applyProtection="1">
      <alignment horizontal="center"/>
      <protection hidden="1"/>
    </xf>
    <xf numFmtId="0" fontId="6" fillId="0" borderId="29" xfId="0" applyFont="1" applyBorder="1" applyAlignment="1">
      <alignment vertical="center"/>
    </xf>
    <xf numFmtId="0" fontId="4" fillId="0" borderId="29" xfId="0" applyFont="1" applyBorder="1" applyAlignment="1">
      <alignment horizontal="right" vertical="center"/>
    </xf>
    <xf numFmtId="4" fontId="6" fillId="0" borderId="0" xfId="1" applyNumberFormat="1" applyFont="1" applyFill="1" applyBorder="1" applyAlignment="1" applyProtection="1">
      <alignment horizontal="center" vertical="center"/>
      <protection locked="0"/>
    </xf>
    <xf numFmtId="4" fontId="6" fillId="0" borderId="2" xfId="1" applyNumberFormat="1" applyFont="1" applyFill="1" applyBorder="1" applyAlignment="1">
      <alignment horizontal="center" vertical="center"/>
    </xf>
    <xf numFmtId="0" fontId="6" fillId="0" borderId="28" xfId="0" applyFont="1" applyBorder="1"/>
    <xf numFmtId="0" fontId="4" fillId="0" borderId="2" xfId="0" applyFont="1" applyBorder="1" applyAlignment="1" applyProtection="1">
      <alignment horizontal="center"/>
      <protection hidden="1"/>
    </xf>
    <xf numFmtId="0" fontId="6" fillId="0" borderId="2" xfId="0" applyFont="1" applyBorder="1" applyAlignment="1" applyProtection="1">
      <alignment vertical="center"/>
      <protection hidden="1"/>
    </xf>
    <xf numFmtId="0" fontId="6" fillId="0" borderId="2" xfId="0" applyFont="1" applyBorder="1" applyAlignment="1" applyProtection="1">
      <alignment horizontal="center"/>
      <protection hidden="1"/>
    </xf>
    <xf numFmtId="4" fontId="6" fillId="0" borderId="2" xfId="1" applyNumberFormat="1" applyFont="1" applyFill="1" applyBorder="1" applyAlignment="1" applyProtection="1">
      <alignment horizontal="center" vertical="center"/>
      <protection hidden="1"/>
    </xf>
    <xf numFmtId="172" fontId="6" fillId="0" borderId="2" xfId="0" applyNumberFormat="1" applyFont="1" applyBorder="1" applyAlignment="1" applyProtection="1">
      <alignment horizontal="center" vertical="center"/>
      <protection hidden="1"/>
    </xf>
    <xf numFmtId="165" fontId="2" fillId="0" borderId="37" xfId="0" applyNumberFormat="1" applyFont="1" applyBorder="1"/>
    <xf numFmtId="0" fontId="4" fillId="0" borderId="44" xfId="0" applyFont="1" applyBorder="1" applyProtection="1">
      <protection hidden="1"/>
    </xf>
    <xf numFmtId="0" fontId="4" fillId="0" borderId="44" xfId="0" applyFont="1" applyBorder="1" applyAlignment="1" applyProtection="1">
      <alignment horizontal="center"/>
      <protection hidden="1"/>
    </xf>
    <xf numFmtId="4" fontId="4" fillId="0" borderId="44" xfId="0" applyNumberFormat="1" applyFont="1" applyBorder="1" applyAlignment="1" applyProtection="1">
      <alignment horizontal="center"/>
      <protection hidden="1"/>
    </xf>
    <xf numFmtId="172" fontId="4" fillId="0" borderId="44" xfId="0" applyNumberFormat="1" applyFont="1" applyBorder="1" applyAlignment="1" applyProtection="1">
      <alignment horizontal="center"/>
      <protection hidden="1"/>
    </xf>
    <xf numFmtId="0" fontId="50" fillId="0" borderId="0" xfId="0" applyFont="1" applyAlignment="1">
      <alignment horizontal="center"/>
    </xf>
    <xf numFmtId="0" fontId="6" fillId="0" borderId="2" xfId="0" applyFont="1" applyBorder="1" applyAlignment="1">
      <alignment horizontal="right"/>
    </xf>
    <xf numFmtId="14" fontId="6" fillId="0" borderId="2" xfId="0" applyNumberFormat="1" applyFont="1" applyBorder="1" applyAlignment="1" applyProtection="1">
      <alignment horizontal="center"/>
      <protection locked="0"/>
    </xf>
    <xf numFmtId="0" fontId="122" fillId="0" borderId="0" xfId="0" applyFont="1"/>
    <xf numFmtId="0" fontId="2" fillId="0" borderId="38" xfId="0" applyFont="1" applyBorder="1"/>
    <xf numFmtId="0" fontId="6" fillId="0" borderId="39" xfId="0" applyFont="1" applyBorder="1"/>
    <xf numFmtId="0" fontId="4" fillId="0" borderId="39" xfId="0" applyFont="1" applyBorder="1"/>
    <xf numFmtId="0" fontId="6" fillId="0" borderId="39" xfId="0" applyFont="1" applyBorder="1" applyProtection="1">
      <protection locked="0"/>
    </xf>
    <xf numFmtId="0" fontId="2" fillId="0" borderId="40" xfId="0" applyFont="1" applyBorder="1"/>
    <xf numFmtId="14" fontId="39" fillId="6" borderId="0" xfId="0" applyNumberFormat="1" applyFont="1" applyFill="1"/>
    <xf numFmtId="0" fontId="22" fillId="0" borderId="0" xfId="0" applyFont="1"/>
    <xf numFmtId="0" fontId="5" fillId="0" borderId="11" xfId="0" applyFont="1" applyBorder="1"/>
    <xf numFmtId="0" fontId="5" fillId="0" borderId="2" xfId="0" applyFont="1" applyBorder="1"/>
    <xf numFmtId="167" fontId="5" fillId="0" borderId="2" xfId="0" applyNumberFormat="1" applyFont="1" applyBorder="1" applyAlignment="1">
      <alignment horizontal="center"/>
    </xf>
    <xf numFmtId="0" fontId="5" fillId="0" borderId="2" xfId="0" applyFont="1" applyBorder="1" applyAlignment="1">
      <alignment horizontal="center"/>
    </xf>
    <xf numFmtId="0" fontId="5" fillId="0" borderId="27" xfId="0" applyFont="1" applyBorder="1" applyProtection="1">
      <protection hidden="1"/>
    </xf>
    <xf numFmtId="3" fontId="5" fillId="0" borderId="27" xfId="0" applyNumberFormat="1" applyFont="1" applyBorder="1" applyAlignment="1" applyProtection="1">
      <alignment horizontal="left"/>
      <protection hidden="1"/>
    </xf>
    <xf numFmtId="0" fontId="5" fillId="0" borderId="28" xfId="0" applyFont="1" applyBorder="1" applyAlignment="1">
      <alignment horizontal="center"/>
    </xf>
    <xf numFmtId="170" fontId="5" fillId="0" borderId="2" xfId="0" applyNumberFormat="1" applyFont="1" applyBorder="1" applyProtection="1">
      <protection hidden="1"/>
    </xf>
    <xf numFmtId="3" fontId="5" fillId="0" borderId="2" xfId="0" applyNumberFormat="1" applyFont="1" applyBorder="1" applyAlignment="1" applyProtection="1">
      <alignment horizontal="center"/>
      <protection hidden="1"/>
    </xf>
    <xf numFmtId="0" fontId="5" fillId="0" borderId="0" xfId="0" applyFont="1" applyAlignment="1">
      <alignment horizontal="center"/>
    </xf>
    <xf numFmtId="164" fontId="5" fillId="0" borderId="2" xfId="0" applyNumberFormat="1" applyFont="1" applyBorder="1" applyAlignment="1">
      <alignment horizontal="center"/>
    </xf>
    <xf numFmtId="3" fontId="5" fillId="0" borderId="0" xfId="0" applyNumberFormat="1" applyFont="1" applyAlignment="1">
      <alignment horizontal="center"/>
    </xf>
    <xf numFmtId="0" fontId="5" fillId="0" borderId="21" xfId="0" applyFont="1" applyBorder="1"/>
    <xf numFmtId="0" fontId="3" fillId="14" borderId="28" xfId="0" applyFont="1" applyFill="1" applyBorder="1" applyAlignment="1">
      <alignment horizontal="right"/>
    </xf>
    <xf numFmtId="0" fontId="6" fillId="6" borderId="0" xfId="22" applyFont="1" applyFill="1" applyAlignment="1" applyProtection="1">
      <alignment horizontal="center"/>
      <protection locked="0"/>
    </xf>
    <xf numFmtId="0" fontId="89" fillId="6" borderId="0" xfId="22" applyFill="1" applyAlignment="1" applyProtection="1">
      <alignment horizontal="center"/>
      <protection locked="0"/>
    </xf>
    <xf numFmtId="0" fontId="6" fillId="14" borderId="0" xfId="16" applyFill="1"/>
    <xf numFmtId="0" fontId="6" fillId="0" borderId="0" xfId="16"/>
    <xf numFmtId="0" fontId="6" fillId="0" borderId="20" xfId="16" applyBorder="1" applyProtection="1">
      <protection hidden="1"/>
    </xf>
    <xf numFmtId="0" fontId="6" fillId="0" borderId="21" xfId="16" applyBorder="1" applyProtection="1">
      <protection hidden="1"/>
    </xf>
    <xf numFmtId="0" fontId="4" fillId="0" borderId="21" xfId="16" applyFont="1" applyBorder="1" applyProtection="1">
      <protection hidden="1"/>
    </xf>
    <xf numFmtId="0" fontId="27" fillId="0" borderId="21" xfId="16" applyFont="1" applyBorder="1" applyAlignment="1" applyProtection="1">
      <alignment horizontal="left"/>
      <protection hidden="1"/>
    </xf>
    <xf numFmtId="0" fontId="6" fillId="0" borderId="22" xfId="16" applyBorder="1" applyProtection="1">
      <protection hidden="1"/>
    </xf>
    <xf numFmtId="0" fontId="6" fillId="0" borderId="23" xfId="16" applyBorder="1" applyProtection="1">
      <protection hidden="1"/>
    </xf>
    <xf numFmtId="0" fontId="6" fillId="0" borderId="0" xfId="16" applyProtection="1">
      <protection hidden="1"/>
    </xf>
    <xf numFmtId="0" fontId="6" fillId="0" borderId="24" xfId="16" applyBorder="1" applyProtection="1">
      <protection hidden="1"/>
    </xf>
    <xf numFmtId="0" fontId="4" fillId="0" borderId="0" xfId="16" applyFont="1" applyAlignment="1" applyProtection="1">
      <alignment vertical="top"/>
      <protection locked="0"/>
    </xf>
    <xf numFmtId="0" fontId="4" fillId="0" borderId="0" xfId="16" applyFont="1" applyProtection="1">
      <protection hidden="1"/>
    </xf>
    <xf numFmtId="0" fontId="6" fillId="0" borderId="0" xfId="16" applyAlignment="1" applyProtection="1">
      <alignment horizontal="left"/>
      <protection hidden="1"/>
    </xf>
    <xf numFmtId="14" fontId="6" fillId="0" borderId="0" xfId="16" applyNumberFormat="1" applyAlignment="1" applyProtection="1">
      <alignment horizontal="left"/>
      <protection hidden="1"/>
    </xf>
    <xf numFmtId="0" fontId="49" fillId="0" borderId="11" xfId="16" applyFont="1" applyBorder="1" applyProtection="1">
      <protection hidden="1"/>
    </xf>
    <xf numFmtId="0" fontId="6" fillId="0" borderId="11" xfId="16" applyBorder="1" applyProtection="1">
      <protection hidden="1"/>
    </xf>
    <xf numFmtId="0" fontId="112" fillId="0" borderId="0" xfId="16" applyFont="1" applyProtection="1">
      <protection hidden="1"/>
    </xf>
    <xf numFmtId="0" fontId="27" fillId="0" borderId="0" xfId="16" applyFont="1" applyProtection="1">
      <protection hidden="1"/>
    </xf>
    <xf numFmtId="0" fontId="32" fillId="0" borderId="0" xfId="16" applyFont="1" applyProtection="1">
      <protection hidden="1"/>
    </xf>
    <xf numFmtId="3" fontId="32" fillId="0" borderId="2" xfId="16" applyNumberFormat="1" applyFont="1" applyBorder="1" applyAlignment="1" applyProtection="1">
      <alignment horizontal="center"/>
      <protection hidden="1"/>
    </xf>
    <xf numFmtId="0" fontId="11" fillId="0" borderId="0" xfId="16" applyFont="1" applyProtection="1">
      <protection hidden="1"/>
    </xf>
    <xf numFmtId="3" fontId="11" fillId="0" borderId="2" xfId="16" applyNumberFormat="1" applyFont="1" applyBorder="1" applyAlignment="1" applyProtection="1">
      <alignment horizontal="center"/>
      <protection hidden="1"/>
    </xf>
    <xf numFmtId="170" fontId="32" fillId="0" borderId="2" xfId="16" applyNumberFormat="1" applyFont="1" applyBorder="1" applyAlignment="1" applyProtection="1">
      <alignment horizontal="center"/>
      <protection hidden="1"/>
    </xf>
    <xf numFmtId="170" fontId="112" fillId="0" borderId="0" xfId="16" applyNumberFormat="1" applyFont="1" applyAlignment="1" applyProtection="1">
      <alignment horizontal="left"/>
      <protection hidden="1"/>
    </xf>
    <xf numFmtId="170" fontId="11" fillId="0" borderId="2" xfId="16" applyNumberFormat="1" applyFont="1" applyBorder="1" applyAlignment="1" applyProtection="1">
      <alignment horizontal="center"/>
      <protection hidden="1"/>
    </xf>
    <xf numFmtId="170" fontId="113" fillId="0" borderId="0" xfId="16" applyNumberFormat="1" applyFont="1" applyAlignment="1" applyProtection="1">
      <alignment horizontal="center"/>
      <protection hidden="1"/>
    </xf>
    <xf numFmtId="3" fontId="32" fillId="0" borderId="2" xfId="16" applyNumberFormat="1" applyFont="1" applyBorder="1" applyAlignment="1">
      <alignment horizontal="center"/>
    </xf>
    <xf numFmtId="3" fontId="33" fillId="0" borderId="2" xfId="16" applyNumberFormat="1" applyFont="1" applyBorder="1" applyAlignment="1">
      <alignment horizontal="center"/>
    </xf>
    <xf numFmtId="170" fontId="32" fillId="0" borderId="2" xfId="16" applyNumberFormat="1" applyFont="1" applyBorder="1" applyAlignment="1">
      <alignment horizontal="center"/>
    </xf>
    <xf numFmtId="170" fontId="33" fillId="0" borderId="2" xfId="16" applyNumberFormat="1" applyFont="1" applyBorder="1" applyAlignment="1">
      <alignment horizontal="center"/>
    </xf>
    <xf numFmtId="170" fontId="31" fillId="0" borderId="0" xfId="16" applyNumberFormat="1" applyFont="1" applyAlignment="1">
      <alignment horizontal="center"/>
    </xf>
    <xf numFmtId="0" fontId="113" fillId="0" borderId="0" xfId="16" applyFont="1" applyProtection="1">
      <protection hidden="1"/>
    </xf>
    <xf numFmtId="3" fontId="113" fillId="0" borderId="0" xfId="16" applyNumberFormat="1" applyFont="1" applyAlignment="1" applyProtection="1">
      <alignment horizontal="center"/>
      <protection hidden="1"/>
    </xf>
    <xf numFmtId="3" fontId="6" fillId="0" borderId="2" xfId="16" applyNumberFormat="1" applyBorder="1" applyAlignment="1" applyProtection="1">
      <alignment horizontal="center"/>
      <protection hidden="1"/>
    </xf>
    <xf numFmtId="14" fontId="114" fillId="0" borderId="0" xfId="16" applyNumberFormat="1" applyFont="1" applyAlignment="1" applyProtection="1">
      <alignment horizontal="center"/>
      <protection hidden="1"/>
    </xf>
    <xf numFmtId="14" fontId="115" fillId="0" borderId="0" xfId="16" applyNumberFormat="1" applyFont="1" applyAlignment="1" applyProtection="1">
      <alignment horizontal="center"/>
      <protection hidden="1"/>
    </xf>
    <xf numFmtId="4" fontId="6" fillId="0" borderId="2" xfId="16" applyNumberFormat="1" applyBorder="1" applyAlignment="1" applyProtection="1">
      <alignment horizontal="center"/>
      <protection hidden="1"/>
    </xf>
    <xf numFmtId="0" fontId="31" fillId="0" borderId="0" xfId="16" applyFont="1" applyProtection="1">
      <protection hidden="1"/>
    </xf>
    <xf numFmtId="0" fontId="100" fillId="0" borderId="0" xfId="16" applyFont="1" applyProtection="1">
      <protection hidden="1"/>
    </xf>
    <xf numFmtId="10" fontId="27" fillId="0" borderId="2" xfId="16" applyNumberFormat="1" applyFont="1" applyBorder="1" applyAlignment="1" applyProtection="1">
      <alignment horizontal="center"/>
      <protection hidden="1"/>
    </xf>
    <xf numFmtId="0" fontId="49" fillId="0" borderId="0" xfId="16" applyFont="1" applyProtection="1">
      <protection hidden="1"/>
    </xf>
    <xf numFmtId="0" fontId="6" fillId="0" borderId="0" xfId="16" quotePrefix="1" applyProtection="1">
      <protection hidden="1"/>
    </xf>
    <xf numFmtId="0" fontId="112" fillId="0" borderId="11" xfId="16" applyFont="1" applyBorder="1" applyProtection="1">
      <protection hidden="1"/>
    </xf>
    <xf numFmtId="0" fontId="27" fillId="0" borderId="11" xfId="16" applyFont="1" applyBorder="1" applyProtection="1">
      <protection hidden="1"/>
    </xf>
    <xf numFmtId="3" fontId="112" fillId="0" borderId="29" xfId="16" applyNumberFormat="1" applyFont="1" applyBorder="1" applyAlignment="1" applyProtection="1">
      <alignment horizontal="center"/>
      <protection hidden="1"/>
    </xf>
    <xf numFmtId="14" fontId="112" fillId="0" borderId="11" xfId="16" applyNumberFormat="1" applyFont="1" applyBorder="1" applyProtection="1">
      <protection hidden="1"/>
    </xf>
    <xf numFmtId="0" fontId="113" fillId="0" borderId="11" xfId="16" applyFont="1" applyBorder="1" applyProtection="1">
      <protection hidden="1"/>
    </xf>
    <xf numFmtId="3" fontId="113" fillId="0" borderId="29" xfId="16" quotePrefix="1" applyNumberFormat="1" applyFont="1" applyBorder="1" applyAlignment="1" applyProtection="1">
      <alignment horizontal="center"/>
      <protection hidden="1"/>
    </xf>
    <xf numFmtId="14" fontId="113" fillId="0" borderId="11" xfId="16" applyNumberFormat="1" applyFont="1" applyBorder="1" applyAlignment="1" applyProtection="1">
      <alignment horizontal="center"/>
      <protection hidden="1"/>
    </xf>
    <xf numFmtId="0" fontId="52" fillId="0" borderId="11" xfId="16" applyFont="1" applyBorder="1" applyAlignment="1" applyProtection="1">
      <alignment horizontal="center"/>
      <protection hidden="1"/>
    </xf>
    <xf numFmtId="0" fontId="4" fillId="0" borderId="0" xfId="16" applyFont="1" applyAlignment="1" applyProtection="1">
      <alignment horizontal="left" vertical="center"/>
      <protection hidden="1"/>
    </xf>
    <xf numFmtId="9" fontId="27" fillId="0" borderId="0" xfId="16" applyNumberFormat="1" applyFont="1" applyAlignment="1" applyProtection="1">
      <alignment horizontal="center"/>
      <protection hidden="1"/>
    </xf>
    <xf numFmtId="0" fontId="91" fillId="0" borderId="0" xfId="16" applyFont="1" applyProtection="1">
      <protection hidden="1"/>
    </xf>
    <xf numFmtId="0" fontId="6" fillId="0" borderId="0" xfId="16" applyAlignment="1" applyProtection="1">
      <alignment horizontal="center"/>
      <protection hidden="1"/>
    </xf>
    <xf numFmtId="0" fontId="6" fillId="0" borderId="0" xfId="16" applyAlignment="1" applyProtection="1">
      <alignment horizontal="center" wrapText="1"/>
      <protection hidden="1"/>
    </xf>
    <xf numFmtId="0" fontId="49" fillId="0" borderId="23" xfId="16" applyFont="1" applyBorder="1" applyProtection="1">
      <protection hidden="1"/>
    </xf>
    <xf numFmtId="0" fontId="42" fillId="0" borderId="0" xfId="16" applyFont="1" applyAlignment="1" applyProtection="1">
      <alignment horizontal="center"/>
      <protection hidden="1"/>
    </xf>
    <xf numFmtId="14" fontId="6" fillId="0" borderId="2" xfId="16" applyNumberFormat="1" applyBorder="1" applyAlignment="1" applyProtection="1">
      <alignment horizontal="center"/>
      <protection hidden="1"/>
    </xf>
    <xf numFmtId="0" fontId="42" fillId="0" borderId="0" xfId="16" applyFont="1" applyAlignment="1" applyProtection="1">
      <alignment horizontal="left"/>
      <protection hidden="1"/>
    </xf>
    <xf numFmtId="0" fontId="49" fillId="0" borderId="24" xfId="16" applyFont="1" applyBorder="1" applyProtection="1">
      <protection hidden="1"/>
    </xf>
    <xf numFmtId="0" fontId="6" fillId="0" borderId="25" xfId="16" applyBorder="1" applyProtection="1">
      <protection hidden="1"/>
    </xf>
    <xf numFmtId="3" fontId="6" fillId="0" borderId="11" xfId="16" applyNumberFormat="1" applyBorder="1" applyAlignment="1" applyProtection="1">
      <alignment horizontal="center"/>
      <protection hidden="1"/>
    </xf>
    <xf numFmtId="0" fontId="49" fillId="0" borderId="11" xfId="16" applyFont="1" applyBorder="1" applyAlignment="1" applyProtection="1">
      <alignment horizontal="center"/>
      <protection hidden="1"/>
    </xf>
    <xf numFmtId="0" fontId="6" fillId="0" borderId="26" xfId="16" applyBorder="1" applyProtection="1">
      <protection hidden="1"/>
    </xf>
    <xf numFmtId="0" fontId="99" fillId="0" borderId="21" xfId="16" applyFont="1" applyBorder="1" applyProtection="1">
      <protection hidden="1"/>
    </xf>
    <xf numFmtId="0" fontId="4" fillId="0" borderId="0" xfId="16" applyFont="1" applyAlignment="1" applyProtection="1">
      <alignment horizontal="center"/>
      <protection hidden="1"/>
    </xf>
    <xf numFmtId="0" fontId="4" fillId="0" borderId="24" xfId="16" applyFont="1" applyBorder="1" applyAlignment="1" applyProtection="1">
      <alignment horizontal="center"/>
      <protection hidden="1"/>
    </xf>
    <xf numFmtId="0" fontId="117" fillId="0" borderId="0" xfId="16" applyFont="1" applyAlignment="1" applyProtection="1">
      <alignment horizontal="left"/>
      <protection hidden="1"/>
    </xf>
    <xf numFmtId="0" fontId="55" fillId="0" borderId="0" xfId="16" applyFont="1" applyProtection="1">
      <protection hidden="1"/>
    </xf>
    <xf numFmtId="0" fontId="55" fillId="0" borderId="0" xfId="16" applyFont="1" applyAlignment="1" applyProtection="1">
      <alignment horizontal="left"/>
      <protection hidden="1"/>
    </xf>
    <xf numFmtId="0" fontId="50" fillId="0" borderId="0" xfId="16" applyFont="1" applyAlignment="1" applyProtection="1">
      <alignment horizontal="left"/>
      <protection hidden="1"/>
    </xf>
    <xf numFmtId="172" fontId="6" fillId="0" borderId="0" xfId="16" applyNumberFormat="1" applyProtection="1">
      <protection hidden="1"/>
    </xf>
    <xf numFmtId="2" fontId="56" fillId="0" borderId="24" xfId="16" applyNumberFormat="1" applyFont="1" applyBorder="1" applyAlignment="1" applyProtection="1">
      <alignment horizontal="center"/>
      <protection hidden="1"/>
    </xf>
    <xf numFmtId="174" fontId="6" fillId="0" borderId="0" xfId="16" applyNumberFormat="1" applyProtection="1">
      <protection hidden="1"/>
    </xf>
    <xf numFmtId="0" fontId="6" fillId="0" borderId="44" xfId="16" applyBorder="1" applyProtection="1">
      <protection hidden="1"/>
    </xf>
    <xf numFmtId="172" fontId="4" fillId="0" borderId="44" xfId="16" applyNumberFormat="1" applyFont="1" applyBorder="1" applyProtection="1">
      <protection hidden="1"/>
    </xf>
    <xf numFmtId="0" fontId="4" fillId="0" borderId="44" xfId="16" applyFont="1" applyBorder="1" applyProtection="1">
      <protection hidden="1"/>
    </xf>
    <xf numFmtId="174" fontId="4" fillId="0" borderId="44" xfId="16" applyNumberFormat="1" applyFont="1" applyBorder="1" applyProtection="1">
      <protection hidden="1"/>
    </xf>
    <xf numFmtId="0" fontId="85" fillId="0" borderId="0" xfId="16" applyFont="1" applyProtection="1">
      <protection hidden="1"/>
    </xf>
    <xf numFmtId="0" fontId="49" fillId="0" borderId="0" xfId="16" applyFont="1" applyAlignment="1" applyProtection="1">
      <alignment horizontal="right"/>
      <protection hidden="1"/>
    </xf>
    <xf numFmtId="0" fontId="50" fillId="0" borderId="0" xfId="16" applyFont="1" applyProtection="1">
      <protection hidden="1"/>
    </xf>
    <xf numFmtId="0" fontId="50" fillId="0" borderId="11" xfId="16" applyFont="1" applyBorder="1" applyProtection="1">
      <protection hidden="1"/>
    </xf>
    <xf numFmtId="0" fontId="50" fillId="0" borderId="11" xfId="16" applyFont="1" applyBorder="1" applyAlignment="1" applyProtection="1">
      <alignment horizontal="left"/>
      <protection hidden="1"/>
    </xf>
    <xf numFmtId="14" fontId="6" fillId="0" borderId="11" xfId="16" applyNumberFormat="1" applyBorder="1" applyProtection="1">
      <protection hidden="1"/>
    </xf>
    <xf numFmtId="0" fontId="32" fillId="3" borderId="0" xfId="5" applyFont="1" applyFill="1" applyAlignment="1" applyProtection="1"/>
    <xf numFmtId="0" fontId="9" fillId="3" borderId="0" xfId="5" applyFill="1" applyAlignment="1" applyProtection="1"/>
    <xf numFmtId="0" fontId="28" fillId="3" borderId="0" xfId="5" applyFont="1" applyFill="1" applyAlignment="1" applyProtection="1"/>
    <xf numFmtId="0" fontId="95" fillId="3" borderId="0" xfId="5" applyFont="1" applyFill="1" applyAlignment="1" applyProtection="1"/>
    <xf numFmtId="0" fontId="95" fillId="3" borderId="0" xfId="5" applyNumberFormat="1" applyFont="1" applyFill="1" applyAlignment="1" applyProtection="1">
      <alignment horizontal="center"/>
    </xf>
    <xf numFmtId="14" fontId="53" fillId="3" borderId="0" xfId="5" applyNumberFormat="1" applyFont="1" applyFill="1" applyAlignment="1" applyProtection="1">
      <alignment horizontal="center"/>
    </xf>
    <xf numFmtId="0" fontId="9" fillId="3" borderId="0" xfId="5" applyFill="1" applyAlignment="1" applyProtection="1">
      <alignment horizontal="center"/>
    </xf>
    <xf numFmtId="0" fontId="6" fillId="3" borderId="0" xfId="16" applyFill="1" applyAlignment="1">
      <alignment horizontal="center"/>
    </xf>
    <xf numFmtId="14" fontId="59" fillId="3" borderId="0" xfId="5" applyNumberFormat="1" applyFont="1" applyFill="1" applyAlignment="1" applyProtection="1">
      <alignment horizontal="center"/>
    </xf>
    <xf numFmtId="0" fontId="32" fillId="3" borderId="0" xfId="16" applyFont="1" applyFill="1" applyAlignment="1">
      <alignment horizontal="center" wrapText="1"/>
    </xf>
    <xf numFmtId="0" fontId="6" fillId="3" borderId="0" xfId="16" applyFill="1"/>
    <xf numFmtId="14" fontId="27" fillId="3" borderId="0" xfId="16" applyNumberFormat="1" applyFont="1" applyFill="1"/>
    <xf numFmtId="0" fontId="27" fillId="3" borderId="0" xfId="16" applyFont="1" applyFill="1"/>
    <xf numFmtId="0" fontId="59" fillId="3" borderId="0" xfId="5" applyFont="1" applyFill="1" applyAlignment="1" applyProtection="1">
      <alignment horizontal="center"/>
    </xf>
    <xf numFmtId="0" fontId="116" fillId="3" borderId="0" xfId="5" applyFont="1" applyFill="1" applyAlignment="1" applyProtection="1">
      <alignment horizontal="center"/>
    </xf>
    <xf numFmtId="0" fontId="110" fillId="3" borderId="0" xfId="16" applyFont="1" applyFill="1" applyProtection="1">
      <protection locked="0"/>
    </xf>
    <xf numFmtId="0" fontId="111" fillId="3" borderId="0" xfId="16" applyFont="1" applyFill="1" applyAlignment="1" applyProtection="1">
      <alignment horizontal="left"/>
      <protection locked="0"/>
    </xf>
    <xf numFmtId="0" fontId="6" fillId="0" borderId="0" xfId="16" applyAlignment="1" applyProtection="1">
      <alignment horizontal="left"/>
      <protection locked="0"/>
    </xf>
    <xf numFmtId="0" fontId="6" fillId="3" borderId="0" xfId="16" applyFill="1" applyProtection="1">
      <protection hidden="1"/>
    </xf>
    <xf numFmtId="0" fontId="6" fillId="3" borderId="0" xfId="16" applyFill="1" applyProtection="1">
      <protection locked="0"/>
    </xf>
    <xf numFmtId="0" fontId="42" fillId="3" borderId="0" xfId="16" applyFont="1" applyFill="1" applyAlignment="1">
      <alignment horizontal="center"/>
    </xf>
    <xf numFmtId="0" fontId="49" fillId="3" borderId="0" xfId="16" applyFont="1" applyFill="1"/>
    <xf numFmtId="2" fontId="124" fillId="14" borderId="0" xfId="30" applyFill="1">
      <alignment horizontal="center"/>
    </xf>
    <xf numFmtId="2" fontId="41" fillId="14" borderId="0" xfId="30" applyFont="1" applyFill="1" applyAlignment="1" applyProtection="1">
      <alignment horizontal="left" vertical="top"/>
      <protection locked="0"/>
    </xf>
    <xf numFmtId="2" fontId="124" fillId="0" borderId="0" xfId="30">
      <alignment horizontal="center"/>
    </xf>
    <xf numFmtId="2" fontId="9" fillId="14" borderId="0" xfId="5" applyNumberFormat="1" applyFill="1" applyAlignment="1" applyProtection="1">
      <alignment horizontal="center"/>
    </xf>
    <xf numFmtId="2" fontId="81" fillId="2" borderId="27" xfId="30" applyFont="1" applyFill="1" applyBorder="1" applyAlignment="1">
      <alignment horizontal="left" vertical="center"/>
    </xf>
    <xf numFmtId="2" fontId="124" fillId="2" borderId="29" xfId="30" applyFill="1" applyBorder="1">
      <alignment horizontal="center"/>
    </xf>
    <xf numFmtId="2" fontId="32" fillId="2" borderId="29" xfId="30" applyFont="1" applyFill="1" applyBorder="1" applyAlignment="1">
      <alignment horizontal="centerContinuous" wrapText="1"/>
    </xf>
    <xf numFmtId="2" fontId="124" fillId="2" borderId="29" xfId="30" applyFill="1" applyBorder="1" applyAlignment="1">
      <alignment horizontal="centerContinuous" wrapText="1"/>
    </xf>
    <xf numFmtId="2" fontId="124" fillId="2" borderId="28" xfId="30" applyFill="1" applyBorder="1" applyAlignment="1">
      <alignment horizontal="centerContinuous" wrapText="1"/>
    </xf>
    <xf numFmtId="2" fontId="56" fillId="0" borderId="0" xfId="30" applyFont="1" applyAlignment="1">
      <alignment horizontal="right"/>
    </xf>
    <xf numFmtId="2" fontId="50" fillId="0" borderId="0" xfId="30" applyFont="1" applyAlignment="1">
      <alignment horizontal="right"/>
    </xf>
    <xf numFmtId="2" fontId="82" fillId="0" borderId="0" xfId="30" applyFont="1" applyAlignment="1">
      <alignment horizontal="centerContinuous"/>
    </xf>
    <xf numFmtId="2" fontId="69" fillId="0" borderId="0" xfId="30" applyFont="1" applyAlignment="1">
      <alignment horizontal="centerContinuous"/>
    </xf>
    <xf numFmtId="2" fontId="60" fillId="0" borderId="0" xfId="30" applyFont="1" applyAlignment="1" applyProtection="1">
      <alignment horizontal="centerContinuous"/>
      <protection locked="0"/>
    </xf>
    <xf numFmtId="2" fontId="83" fillId="0" borderId="0" xfId="30" applyFont="1" applyProtection="1">
      <alignment horizontal="center"/>
      <protection locked="0"/>
    </xf>
    <xf numFmtId="2" fontId="124" fillId="0" borderId="0" xfId="30" applyProtection="1">
      <alignment horizontal="center"/>
      <protection locked="0"/>
    </xf>
    <xf numFmtId="2" fontId="124" fillId="0" borderId="0" xfId="30" applyAlignment="1" applyProtection="1">
      <alignment horizontal="centerContinuous"/>
      <protection locked="0"/>
    </xf>
    <xf numFmtId="2" fontId="31" fillId="0" borderId="0" xfId="30" applyFont="1" applyAlignment="1">
      <alignment horizontal="centerContinuous"/>
    </xf>
    <xf numFmtId="2" fontId="124" fillId="0" borderId="0" xfId="30" applyAlignment="1">
      <alignment horizontal="centerContinuous"/>
    </xf>
    <xf numFmtId="2" fontId="42" fillId="14" borderId="0" xfId="30" applyFont="1" applyFill="1" applyAlignment="1">
      <alignment horizontal="left"/>
    </xf>
    <xf numFmtId="2" fontId="124" fillId="0" borderId="11" xfId="30" applyBorder="1">
      <alignment horizontal="center"/>
    </xf>
    <xf numFmtId="2" fontId="124" fillId="14" borderId="0" xfId="30" applyFill="1" applyAlignment="1">
      <alignment horizontal="center" vertical="center"/>
    </xf>
    <xf numFmtId="2" fontId="124" fillId="0" borderId="0" xfId="30" applyAlignment="1">
      <alignment horizontal="center" vertical="center"/>
    </xf>
    <xf numFmtId="2" fontId="124" fillId="0" borderId="20" xfId="30" applyBorder="1" applyAlignment="1" applyProtection="1">
      <alignment horizontal="centerContinuous" vertical="center"/>
      <protection hidden="1"/>
    </xf>
    <xf numFmtId="2" fontId="124" fillId="0" borderId="21" xfId="30" applyBorder="1" applyAlignment="1" applyProtection="1">
      <alignment horizontal="centerContinuous" vertical="center"/>
      <protection hidden="1"/>
    </xf>
    <xf numFmtId="2" fontId="124" fillId="0" borderId="22" xfId="30" applyBorder="1" applyAlignment="1" applyProtection="1">
      <alignment vertical="center"/>
      <protection hidden="1"/>
    </xf>
    <xf numFmtId="2" fontId="124" fillId="0" borderId="20" xfId="30" applyBorder="1" applyAlignment="1" applyProtection="1">
      <alignment horizontal="centerContinuous" wrapText="1"/>
      <protection hidden="1"/>
    </xf>
    <xf numFmtId="2" fontId="124" fillId="0" borderId="22" xfId="30" applyBorder="1" applyAlignment="1" applyProtection="1">
      <alignment horizontal="centerContinuous"/>
      <protection hidden="1"/>
    </xf>
    <xf numFmtId="2" fontId="124" fillId="0" borderId="20" xfId="30" applyBorder="1" applyAlignment="1" applyProtection="1">
      <alignment horizontal="centerContinuous"/>
      <protection hidden="1"/>
    </xf>
    <xf numFmtId="2" fontId="124" fillId="0" borderId="0" xfId="30" applyAlignment="1">
      <alignment vertical="center"/>
    </xf>
    <xf numFmtId="2" fontId="124" fillId="0" borderId="23" xfId="30" applyBorder="1" applyProtection="1">
      <alignment horizontal="center"/>
      <protection hidden="1"/>
    </xf>
    <xf numFmtId="2" fontId="124" fillId="0" borderId="0" xfId="30" applyProtection="1">
      <alignment horizontal="center"/>
      <protection hidden="1"/>
    </xf>
    <xf numFmtId="2" fontId="124" fillId="0" borderId="24" xfId="30" applyBorder="1" applyProtection="1">
      <alignment horizontal="center"/>
      <protection hidden="1"/>
    </xf>
    <xf numFmtId="3" fontId="124" fillId="0" borderId="23" xfId="30" applyNumberFormat="1" applyBorder="1" applyAlignment="1" applyProtection="1">
      <alignment horizontal="centerContinuous"/>
      <protection hidden="1"/>
    </xf>
    <xf numFmtId="2" fontId="124" fillId="0" borderId="24" xfId="30" applyBorder="1" applyAlignment="1" applyProtection="1">
      <alignment horizontal="centerContinuous"/>
      <protection hidden="1"/>
    </xf>
    <xf numFmtId="0" fontId="124" fillId="0" borderId="0" xfId="23" applyAlignment="1">
      <alignment horizontal="centerContinuous"/>
    </xf>
    <xf numFmtId="2" fontId="124" fillId="0" borderId="25" xfId="30" applyBorder="1" applyProtection="1">
      <alignment horizontal="center"/>
      <protection hidden="1"/>
    </xf>
    <xf numFmtId="2" fontId="124" fillId="0" borderId="11" xfId="30" applyBorder="1" applyProtection="1">
      <alignment horizontal="center"/>
      <protection hidden="1"/>
    </xf>
    <xf numFmtId="2" fontId="124" fillId="0" borderId="26" xfId="30" applyBorder="1" applyProtection="1">
      <alignment horizontal="center"/>
      <protection hidden="1"/>
    </xf>
    <xf numFmtId="14" fontId="124" fillId="0" borderId="23" xfId="30" applyNumberFormat="1" applyBorder="1" applyProtection="1">
      <alignment horizontal="center"/>
      <protection hidden="1"/>
    </xf>
    <xf numFmtId="14" fontId="124" fillId="0" borderId="0" xfId="30" applyNumberFormat="1" applyProtection="1">
      <alignment horizontal="center"/>
      <protection hidden="1"/>
    </xf>
    <xf numFmtId="4" fontId="124" fillId="0" borderId="20" xfId="30" applyNumberFormat="1" applyBorder="1" applyAlignment="1" applyProtection="1">
      <protection hidden="1"/>
    </xf>
    <xf numFmtId="4" fontId="124" fillId="0" borderId="22" xfId="30" applyNumberFormat="1" applyBorder="1" applyProtection="1">
      <alignment horizontal="center"/>
      <protection hidden="1"/>
    </xf>
    <xf numFmtId="4" fontId="124" fillId="0" borderId="21" xfId="30" applyNumberFormat="1" applyBorder="1" applyProtection="1">
      <alignment horizontal="center"/>
      <protection hidden="1"/>
    </xf>
    <xf numFmtId="173" fontId="124" fillId="0" borderId="20" xfId="30" applyNumberFormat="1" applyBorder="1" applyAlignment="1" applyProtection="1">
      <protection hidden="1"/>
    </xf>
    <xf numFmtId="2" fontId="124" fillId="0" borderId="0" xfId="30" quotePrefix="1">
      <alignment horizontal="center"/>
    </xf>
    <xf numFmtId="4" fontId="124" fillId="0" borderId="23" xfId="30" applyNumberFormat="1" applyBorder="1" applyAlignment="1" applyProtection="1">
      <protection hidden="1"/>
    </xf>
    <xf numFmtId="4" fontId="124" fillId="0" borderId="24" xfId="30" applyNumberFormat="1" applyBorder="1" applyProtection="1">
      <alignment horizontal="center"/>
      <protection hidden="1"/>
    </xf>
    <xf numFmtId="4" fontId="124" fillId="0" borderId="0" xfId="30" applyNumberFormat="1" applyProtection="1">
      <alignment horizontal="center"/>
      <protection hidden="1"/>
    </xf>
    <xf numFmtId="173" fontId="124" fillId="0" borderId="23" xfId="30" applyNumberFormat="1" applyBorder="1" applyAlignment="1" applyProtection="1">
      <protection hidden="1"/>
    </xf>
    <xf numFmtId="14" fontId="124" fillId="0" borderId="25" xfId="30" applyNumberFormat="1" applyBorder="1" applyProtection="1">
      <alignment horizontal="center"/>
      <protection hidden="1"/>
    </xf>
    <xf numFmtId="14" fontId="124" fillId="0" borderId="11" xfId="30" applyNumberFormat="1" applyBorder="1" applyProtection="1">
      <alignment horizontal="center"/>
      <protection hidden="1"/>
    </xf>
    <xf numFmtId="4" fontId="124" fillId="0" borderId="25" xfId="30" applyNumberFormat="1" applyBorder="1" applyAlignment="1" applyProtection="1">
      <protection hidden="1"/>
    </xf>
    <xf numFmtId="4" fontId="124" fillId="0" borderId="26" xfId="30" applyNumberFormat="1" applyBorder="1" applyProtection="1">
      <alignment horizontal="center"/>
      <protection hidden="1"/>
    </xf>
    <xf numFmtId="4" fontId="124" fillId="0" borderId="11" xfId="30" applyNumberFormat="1" applyBorder="1" applyProtection="1">
      <alignment horizontal="center"/>
      <protection hidden="1"/>
    </xf>
    <xf numFmtId="173" fontId="124" fillId="0" borderId="25" xfId="30" applyNumberFormat="1" applyBorder="1" applyAlignment="1" applyProtection="1">
      <protection hidden="1"/>
    </xf>
    <xf numFmtId="2" fontId="4" fillId="0" borderId="23" xfId="30" applyFont="1" applyBorder="1" applyAlignment="1" applyProtection="1">
      <protection hidden="1"/>
    </xf>
    <xf numFmtId="173" fontId="4" fillId="0" borderId="0" xfId="30" applyNumberFormat="1" applyFont="1" applyAlignment="1" applyProtection="1">
      <protection hidden="1"/>
    </xf>
    <xf numFmtId="2" fontId="50" fillId="0" borderId="46" xfId="30" applyFont="1" applyBorder="1" applyAlignment="1" applyProtection="1">
      <alignment horizontal="left"/>
      <protection hidden="1"/>
    </xf>
    <xf numFmtId="2" fontId="124" fillId="0" borderId="47" xfId="30" applyBorder="1" applyProtection="1">
      <alignment horizontal="center"/>
      <protection hidden="1"/>
    </xf>
    <xf numFmtId="2" fontId="124" fillId="0" borderId="48" xfId="30" applyBorder="1" applyProtection="1">
      <alignment horizontal="center"/>
      <protection hidden="1"/>
    </xf>
    <xf numFmtId="2" fontId="4" fillId="0" borderId="0" xfId="30" applyFont="1" applyAlignment="1">
      <alignment horizontal="right"/>
    </xf>
    <xf numFmtId="2" fontId="27" fillId="0" borderId="0" xfId="30" applyFont="1" applyAlignment="1">
      <alignment horizontal="left"/>
    </xf>
    <xf numFmtId="168" fontId="50" fillId="0" borderId="0" xfId="30" applyNumberFormat="1" applyFont="1">
      <alignment horizontal="center"/>
    </xf>
    <xf numFmtId="2" fontId="124" fillId="0" borderId="2" xfId="30" applyBorder="1">
      <alignment horizontal="center"/>
    </xf>
    <xf numFmtId="2" fontId="56" fillId="0" borderId="0" xfId="30" applyFont="1" applyAlignment="1" applyProtection="1">
      <alignment horizontal="left"/>
      <protection hidden="1"/>
    </xf>
    <xf numFmtId="2" fontId="4" fillId="0" borderId="0" xfId="30" applyFont="1" applyAlignment="1">
      <alignment horizontal="left"/>
    </xf>
    <xf numFmtId="2" fontId="4" fillId="0" borderId="0" xfId="30" applyFont="1">
      <alignment horizontal="center"/>
    </xf>
    <xf numFmtId="4" fontId="4" fillId="0" borderId="0" xfId="30" applyNumberFormat="1" applyFont="1">
      <alignment horizontal="center"/>
    </xf>
    <xf numFmtId="2" fontId="50" fillId="0" borderId="0" xfId="30" applyFont="1">
      <alignment horizontal="center"/>
    </xf>
    <xf numFmtId="2" fontId="124" fillId="25" borderId="0" xfId="30" applyFill="1">
      <alignment horizontal="center"/>
    </xf>
    <xf numFmtId="2" fontId="4" fillId="0" borderId="0" xfId="30" applyFont="1" applyAlignment="1"/>
    <xf numFmtId="2" fontId="50" fillId="0" borderId="0" xfId="30" applyFont="1" applyAlignment="1">
      <alignment horizontal="left"/>
    </xf>
    <xf numFmtId="2" fontId="84" fillId="0" borderId="0" xfId="30" applyFont="1" applyAlignment="1" applyProtection="1">
      <alignment horizontal="left"/>
      <protection hidden="1"/>
    </xf>
    <xf numFmtId="14" fontId="50" fillId="0" borderId="0" xfId="30" applyNumberFormat="1" applyFont="1">
      <alignment horizontal="center"/>
    </xf>
    <xf numFmtId="0" fontId="123" fillId="6" borderId="0" xfId="0" applyFont="1" applyFill="1" applyAlignment="1">
      <alignment horizontal="right"/>
    </xf>
    <xf numFmtId="0" fontId="19" fillId="12" borderId="0" xfId="0" applyFont="1" applyFill="1" applyProtection="1">
      <protection hidden="1"/>
    </xf>
    <xf numFmtId="2" fontId="124" fillId="3" borderId="0" xfId="30" applyFill="1">
      <alignment horizontal="center"/>
    </xf>
    <xf numFmtId="2" fontId="41" fillId="3" borderId="0" xfId="30" applyFont="1" applyFill="1" applyAlignment="1" applyProtection="1">
      <alignment horizontal="left" vertical="top"/>
      <protection locked="0"/>
    </xf>
    <xf numFmtId="2" fontId="9" fillId="3" borderId="0" xfId="5" applyNumberFormat="1" applyFill="1" applyBorder="1" applyAlignment="1" applyProtection="1">
      <alignment horizontal="center"/>
    </xf>
    <xf numFmtId="2" fontId="81" fillId="3" borderId="0" xfId="30" applyFont="1" applyFill="1" applyAlignment="1">
      <alignment horizontal="left" vertical="center"/>
    </xf>
    <xf numFmtId="2" fontId="32" fillId="3" borderId="0" xfId="30" applyFont="1" applyFill="1" applyAlignment="1">
      <alignment horizontal="centerContinuous" wrapText="1"/>
    </xf>
    <xf numFmtId="2" fontId="124" fillId="3" borderId="0" xfId="30" applyFill="1" applyAlignment="1">
      <alignment horizontal="centerContinuous" wrapText="1"/>
    </xf>
    <xf numFmtId="2" fontId="9" fillId="3" borderId="0" xfId="5" applyNumberFormat="1" applyFill="1" applyAlignment="1" applyProtection="1">
      <alignment horizontal="center"/>
    </xf>
    <xf numFmtId="2" fontId="124" fillId="3" borderId="0" xfId="30" applyFill="1" applyAlignment="1">
      <alignment horizontal="center" vertical="center"/>
    </xf>
    <xf numFmtId="2" fontId="42" fillId="3" borderId="0" xfId="30" applyFont="1" applyFill="1" applyAlignment="1">
      <alignment horizontal="left"/>
    </xf>
    <xf numFmtId="0" fontId="124" fillId="14" borderId="0" xfId="23" applyFill="1"/>
    <xf numFmtId="0" fontId="124" fillId="0" borderId="0" xfId="23" applyProtection="1">
      <protection locked="0"/>
    </xf>
    <xf numFmtId="0" fontId="124" fillId="0" borderId="0" xfId="23"/>
    <xf numFmtId="0" fontId="3" fillId="14" borderId="0" xfId="23" applyFont="1" applyFill="1"/>
    <xf numFmtId="14" fontId="3" fillId="0" borderId="0" xfId="30" applyNumberFormat="1" applyFont="1" applyAlignment="1" applyProtection="1">
      <protection hidden="1"/>
    </xf>
    <xf numFmtId="3" fontId="124" fillId="0" borderId="0" xfId="30" applyNumberFormat="1" applyProtection="1">
      <alignment horizontal="center"/>
      <protection hidden="1"/>
    </xf>
    <xf numFmtId="0" fontId="27" fillId="0" borderId="0" xfId="30" applyNumberFormat="1" applyFont="1" applyProtection="1">
      <alignment horizontal="center"/>
      <protection hidden="1"/>
    </xf>
    <xf numFmtId="9" fontId="27" fillId="0" borderId="0" xfId="30" applyNumberFormat="1" applyFont="1" applyProtection="1">
      <alignment horizontal="center"/>
      <protection hidden="1"/>
    </xf>
    <xf numFmtId="0" fontId="6" fillId="0" borderId="0" xfId="30" applyNumberFormat="1" applyFont="1" applyAlignment="1" applyProtection="1">
      <alignment horizontal="left"/>
      <protection hidden="1"/>
    </xf>
    <xf numFmtId="4" fontId="124" fillId="0" borderId="0" xfId="30" applyNumberFormat="1" applyAlignment="1" applyProtection="1">
      <protection hidden="1"/>
    </xf>
    <xf numFmtId="0" fontId="4" fillId="0" borderId="0" xfId="23" applyFont="1" applyProtection="1">
      <protection hidden="1"/>
    </xf>
    <xf numFmtId="14" fontId="124" fillId="0" borderId="0" xfId="30" applyNumberFormat="1" applyAlignment="1" applyProtection="1">
      <alignment horizontal="left"/>
      <protection hidden="1"/>
    </xf>
    <xf numFmtId="3" fontId="42" fillId="0" borderId="0" xfId="30" applyNumberFormat="1" applyFont="1" applyAlignment="1" applyProtection="1">
      <alignment horizontal="left"/>
      <protection hidden="1"/>
    </xf>
    <xf numFmtId="49" fontId="4" fillId="0" borderId="0" xfId="30" applyNumberFormat="1" applyFont="1" applyAlignment="1" applyProtection="1">
      <protection hidden="1"/>
    </xf>
    <xf numFmtId="14" fontId="113" fillId="0" borderId="0" xfId="30" applyNumberFormat="1" applyFont="1" applyAlignment="1" applyProtection="1">
      <alignment horizontal="left"/>
      <protection hidden="1"/>
    </xf>
    <xf numFmtId="0" fontId="31" fillId="0" borderId="0" xfId="30" applyNumberFormat="1" applyFont="1" applyProtection="1">
      <alignment horizontal="center"/>
      <protection hidden="1"/>
    </xf>
    <xf numFmtId="4" fontId="31" fillId="0" borderId="0" xfId="30" applyNumberFormat="1" applyFont="1" applyProtection="1">
      <alignment horizontal="center"/>
      <protection hidden="1"/>
    </xf>
    <xf numFmtId="49" fontId="4" fillId="0" borderId="23" xfId="30" applyNumberFormat="1" applyFont="1" applyBorder="1" applyAlignment="1" applyProtection="1">
      <protection hidden="1"/>
    </xf>
    <xf numFmtId="14" fontId="42" fillId="0" borderId="0" xfId="30" applyNumberFormat="1" applyFont="1" applyAlignment="1" applyProtection="1">
      <alignment horizontal="left"/>
      <protection hidden="1"/>
    </xf>
    <xf numFmtId="9" fontId="112" fillId="0" borderId="0" xfId="30" applyNumberFormat="1" applyFont="1" applyProtection="1">
      <alignment horizontal="center"/>
      <protection hidden="1"/>
    </xf>
    <xf numFmtId="3" fontId="125" fillId="0" borderId="0" xfId="30" applyNumberFormat="1" applyFont="1" applyProtection="1">
      <alignment horizontal="center"/>
      <protection hidden="1"/>
    </xf>
    <xf numFmtId="14" fontId="42" fillId="0" borderId="23" xfId="30" applyNumberFormat="1" applyFont="1" applyBorder="1" applyAlignment="1" applyProtection="1">
      <protection hidden="1"/>
    </xf>
    <xf numFmtId="14" fontId="91" fillId="0" borderId="0" xfId="30" applyNumberFormat="1" applyFont="1" applyProtection="1">
      <alignment horizontal="center"/>
      <protection hidden="1"/>
    </xf>
    <xf numFmtId="3" fontId="27" fillId="0" borderId="0" xfId="30" applyNumberFormat="1" applyFont="1" applyProtection="1">
      <alignment horizontal="center"/>
      <protection hidden="1"/>
    </xf>
    <xf numFmtId="9" fontId="56" fillId="0" borderId="0" xfId="30" applyNumberFormat="1" applyFont="1" applyAlignment="1" applyProtection="1">
      <protection hidden="1"/>
    </xf>
    <xf numFmtId="4" fontId="56" fillId="0" borderId="0" xfId="30" applyNumberFormat="1" applyFont="1" applyProtection="1">
      <alignment horizontal="center"/>
      <protection hidden="1"/>
    </xf>
    <xf numFmtId="2" fontId="27" fillId="0" borderId="24" xfId="30" applyFont="1" applyBorder="1" applyProtection="1">
      <alignment horizontal="center"/>
      <protection hidden="1"/>
    </xf>
    <xf numFmtId="4" fontId="56" fillId="0" borderId="24" xfId="30" applyNumberFormat="1" applyFont="1" applyBorder="1" applyProtection="1">
      <alignment horizontal="center"/>
      <protection hidden="1"/>
    </xf>
    <xf numFmtId="2" fontId="27" fillId="0" borderId="0" xfId="30" applyFont="1" applyProtection="1">
      <alignment horizontal="center"/>
      <protection hidden="1"/>
    </xf>
    <xf numFmtId="4" fontId="27" fillId="0" borderId="0" xfId="30" applyNumberFormat="1" applyFont="1" applyAlignment="1" applyProtection="1">
      <protection hidden="1"/>
    </xf>
    <xf numFmtId="14" fontId="27" fillId="0" borderId="0" xfId="30" applyNumberFormat="1" applyFont="1" applyAlignment="1" applyProtection="1">
      <protection hidden="1"/>
    </xf>
    <xf numFmtId="3" fontId="91" fillId="0" borderId="0" xfId="30" applyNumberFormat="1" applyFont="1" applyProtection="1">
      <alignment horizontal="center"/>
      <protection hidden="1"/>
    </xf>
    <xf numFmtId="0" fontId="91" fillId="0" borderId="0" xfId="30" applyNumberFormat="1" applyFont="1" applyProtection="1">
      <alignment horizontal="center"/>
      <protection hidden="1"/>
    </xf>
    <xf numFmtId="9" fontId="91" fillId="0" borderId="0" xfId="30" applyNumberFormat="1" applyFont="1" applyProtection="1">
      <alignment horizontal="center"/>
      <protection hidden="1"/>
    </xf>
    <xf numFmtId="4" fontId="91" fillId="0" borderId="0" xfId="30" applyNumberFormat="1" applyFont="1" applyProtection="1">
      <alignment horizontal="center"/>
      <protection hidden="1"/>
    </xf>
    <xf numFmtId="4" fontId="91" fillId="0" borderId="24" xfId="30" applyNumberFormat="1" applyFont="1" applyBorder="1" applyProtection="1">
      <alignment horizontal="center"/>
      <protection hidden="1"/>
    </xf>
    <xf numFmtId="2" fontId="111" fillId="14" borderId="0" xfId="30" applyFont="1" applyFill="1" applyProtection="1">
      <alignment horizontal="center"/>
      <protection hidden="1"/>
    </xf>
    <xf numFmtId="14" fontId="27" fillId="0" borderId="0" xfId="30" applyNumberFormat="1" applyFont="1" applyProtection="1">
      <alignment horizontal="center"/>
      <protection hidden="1"/>
    </xf>
    <xf numFmtId="4" fontId="27" fillId="0" borderId="0" xfId="30" applyNumberFormat="1" applyFont="1" applyProtection="1">
      <alignment horizontal="center"/>
      <protection hidden="1"/>
    </xf>
    <xf numFmtId="4" fontId="49" fillId="0" borderId="0" xfId="30" applyNumberFormat="1" applyFont="1" applyProtection="1">
      <alignment horizontal="center"/>
      <protection hidden="1"/>
    </xf>
    <xf numFmtId="2" fontId="32" fillId="0" borderId="24" xfId="30" applyFont="1" applyBorder="1" applyProtection="1">
      <alignment horizontal="center"/>
      <protection hidden="1"/>
    </xf>
    <xf numFmtId="4" fontId="32" fillId="0" borderId="24" xfId="30" applyNumberFormat="1" applyFont="1" applyBorder="1" applyProtection="1">
      <alignment horizontal="center"/>
      <protection hidden="1"/>
    </xf>
    <xf numFmtId="2" fontId="6" fillId="0" borderId="0" xfId="30" applyFont="1" applyProtection="1">
      <alignment horizontal="center"/>
      <protection locked="0"/>
    </xf>
    <xf numFmtId="2" fontId="6" fillId="0" borderId="0" xfId="30" applyFont="1" applyAlignment="1" applyProtection="1">
      <alignment horizontal="left"/>
      <protection hidden="1"/>
    </xf>
    <xf numFmtId="2" fontId="6" fillId="0" borderId="0" xfId="30" applyFont="1" applyProtection="1">
      <alignment horizontal="center"/>
      <protection hidden="1"/>
    </xf>
    <xf numFmtId="4" fontId="49" fillId="0" borderId="24" xfId="30" applyNumberFormat="1" applyFont="1" applyBorder="1" applyProtection="1">
      <alignment horizontal="center"/>
      <protection hidden="1"/>
    </xf>
    <xf numFmtId="4" fontId="91" fillId="0" borderId="29" xfId="30" applyNumberFormat="1" applyFont="1" applyBorder="1" applyProtection="1">
      <alignment horizontal="center"/>
      <protection hidden="1"/>
    </xf>
    <xf numFmtId="4" fontId="91" fillId="0" borderId="29" xfId="30" applyNumberFormat="1" applyFont="1" applyBorder="1" applyAlignment="1" applyProtection="1">
      <protection hidden="1"/>
    </xf>
    <xf numFmtId="14" fontId="124" fillId="0" borderId="0" xfId="30" applyNumberFormat="1">
      <alignment horizontal="center"/>
    </xf>
    <xf numFmtId="3" fontId="124" fillId="0" borderId="0" xfId="30" applyNumberFormat="1">
      <alignment horizontal="center"/>
    </xf>
    <xf numFmtId="0" fontId="27" fillId="0" borderId="0" xfId="30" applyNumberFormat="1" applyFont="1">
      <alignment horizontal="center"/>
    </xf>
    <xf numFmtId="9" fontId="27" fillId="0" borderId="0" xfId="30" applyNumberFormat="1" applyFont="1">
      <alignment horizontal="center"/>
    </xf>
    <xf numFmtId="4" fontId="124" fillId="0" borderId="0" xfId="30" applyNumberFormat="1">
      <alignment horizontal="center"/>
    </xf>
    <xf numFmtId="4" fontId="124" fillId="0" borderId="0" xfId="30" applyNumberFormat="1" applyAlignment="1"/>
    <xf numFmtId="49" fontId="0" fillId="0" borderId="0" xfId="0" applyNumberFormat="1"/>
    <xf numFmtId="14" fontId="91" fillId="0" borderId="0" xfId="30" applyNumberFormat="1" applyFont="1" applyAlignment="1" applyProtection="1">
      <protection hidden="1"/>
    </xf>
    <xf numFmtId="177" fontId="27" fillId="0" borderId="0" xfId="30" applyNumberFormat="1" applyFont="1" applyProtection="1">
      <alignment horizontal="center"/>
      <protection hidden="1"/>
    </xf>
    <xf numFmtId="0" fontId="124" fillId="3" borderId="0" xfId="23" applyFill="1"/>
    <xf numFmtId="2" fontId="111" fillId="3" borderId="0" xfId="30" applyFont="1" applyFill="1" applyProtection="1">
      <alignment horizontal="center"/>
      <protection hidden="1"/>
    </xf>
    <xf numFmtId="2" fontId="124" fillId="3" borderId="0" xfId="30" applyFill="1" applyProtection="1">
      <alignment horizontal="center"/>
      <protection locked="0"/>
    </xf>
    <xf numFmtId="2" fontId="6" fillId="3" borderId="0" xfId="30" applyFont="1" applyFill="1" applyProtection="1">
      <alignment horizontal="center"/>
      <protection locked="0"/>
    </xf>
    <xf numFmtId="2" fontId="6" fillId="3" borderId="0" xfId="30" applyFont="1" applyFill="1" applyAlignment="1" applyProtection="1">
      <alignment horizontal="left"/>
      <protection hidden="1"/>
    </xf>
    <xf numFmtId="2" fontId="6" fillId="3" borderId="0" xfId="30" applyFont="1" applyFill="1" applyProtection="1">
      <alignment horizontal="center"/>
      <protection hidden="1"/>
    </xf>
    <xf numFmtId="2" fontId="124" fillId="3" borderId="0" xfId="30" applyFill="1" applyAlignment="1" applyProtection="1">
      <protection locked="0"/>
    </xf>
    <xf numFmtId="2" fontId="6" fillId="3" borderId="0" xfId="30" applyFont="1" applyFill="1" applyAlignment="1" applyProtection="1">
      <protection locked="0"/>
    </xf>
    <xf numFmtId="0" fontId="0" fillId="0" borderId="0" xfId="0" quotePrefix="1" applyAlignment="1">
      <alignment horizontal="center"/>
    </xf>
    <xf numFmtId="0" fontId="126" fillId="12" borderId="0" xfId="0" applyFont="1" applyFill="1"/>
    <xf numFmtId="0" fontId="127" fillId="0" borderId="2" xfId="0" applyFont="1" applyBorder="1" applyAlignment="1" applyProtection="1">
      <alignment horizontal="center"/>
      <protection hidden="1"/>
    </xf>
    <xf numFmtId="167" fontId="17" fillId="0" borderId="2" xfId="0" applyNumberFormat="1" applyFont="1" applyBorder="1" applyAlignment="1" applyProtection="1">
      <alignment horizontal="center"/>
      <protection hidden="1"/>
    </xf>
    <xf numFmtId="2" fontId="9" fillId="11" borderId="0" xfId="5" applyNumberFormat="1" applyFill="1" applyAlignment="1" applyProtection="1">
      <alignment horizontal="center"/>
    </xf>
    <xf numFmtId="2" fontId="124" fillId="11" borderId="0" xfId="30" applyFill="1">
      <alignment horizontal="center"/>
    </xf>
    <xf numFmtId="0" fontId="124" fillId="11" borderId="0" xfId="23" applyFill="1"/>
    <xf numFmtId="2" fontId="69" fillId="0" borderId="0" xfId="30" applyFont="1" applyAlignment="1" applyProtection="1">
      <alignment horizontal="left"/>
      <protection locked="0"/>
    </xf>
    <xf numFmtId="0" fontId="124" fillId="0" borderId="2" xfId="23" applyBorder="1"/>
    <xf numFmtId="0" fontId="124" fillId="7" borderId="2" xfId="23" applyFill="1" applyBorder="1" applyProtection="1">
      <protection locked="0"/>
    </xf>
    <xf numFmtId="176" fontId="124" fillId="0" borderId="2" xfId="23" applyNumberFormat="1" applyBorder="1" applyAlignment="1">
      <alignment horizontal="center"/>
    </xf>
    <xf numFmtId="170" fontId="124" fillId="0" borderId="2" xfId="23" applyNumberFormat="1" applyBorder="1"/>
    <xf numFmtId="168" fontId="4" fillId="0" borderId="0" xfId="31" applyNumberFormat="1" applyFont="1" applyFill="1" applyProtection="1">
      <protection locked="0"/>
    </xf>
    <xf numFmtId="0" fontId="4" fillId="0" borderId="0" xfId="23" applyFont="1" applyAlignment="1" applyProtection="1">
      <alignment horizontal="left"/>
      <protection locked="0"/>
    </xf>
    <xf numFmtId="0" fontId="124" fillId="0" borderId="0" xfId="23" applyAlignment="1">
      <alignment horizontal="left"/>
    </xf>
    <xf numFmtId="0" fontId="124" fillId="0" borderId="2" xfId="23" applyBorder="1" applyAlignment="1">
      <alignment horizontal="center"/>
    </xf>
    <xf numFmtId="176" fontId="124" fillId="0" borderId="2" xfId="23" applyNumberFormat="1" applyBorder="1"/>
    <xf numFmtId="0" fontId="124" fillId="0" borderId="0" xfId="23" applyAlignment="1" applyProtection="1">
      <alignment horizontal="left"/>
      <protection locked="0"/>
    </xf>
    <xf numFmtId="14" fontId="124" fillId="0" borderId="0" xfId="23" applyNumberFormat="1"/>
    <xf numFmtId="14" fontId="124" fillId="0" borderId="0" xfId="23" applyNumberFormat="1" applyAlignment="1">
      <alignment horizontal="left"/>
    </xf>
    <xf numFmtId="0" fontId="4" fillId="0" borderId="0" xfId="31" applyNumberFormat="1" applyFont="1" applyFill="1" applyProtection="1"/>
    <xf numFmtId="0" fontId="124" fillId="0" borderId="2" xfId="23" applyBorder="1" applyProtection="1">
      <protection locked="0"/>
    </xf>
    <xf numFmtId="2" fontId="124" fillId="0" borderId="0" xfId="30" applyAlignment="1">
      <alignment horizontal="right"/>
    </xf>
    <xf numFmtId="2" fontId="96" fillId="0" borderId="0" xfId="30" applyFont="1">
      <alignment horizontal="center"/>
    </xf>
    <xf numFmtId="170" fontId="124" fillId="5" borderId="2" xfId="30" applyNumberFormat="1" applyFill="1" applyBorder="1" applyProtection="1">
      <alignment horizontal="center"/>
      <protection locked="0"/>
    </xf>
    <xf numFmtId="170" fontId="124" fillId="3" borderId="2" xfId="30" applyNumberFormat="1" applyFill="1" applyBorder="1" applyProtection="1">
      <alignment horizontal="center"/>
      <protection locked="0"/>
    </xf>
    <xf numFmtId="2" fontId="32" fillId="0" borderId="0" xfId="30" applyFont="1" applyAlignment="1"/>
    <xf numFmtId="2" fontId="49" fillId="0" borderId="11" xfId="30" applyFont="1" applyBorder="1" applyAlignment="1">
      <alignment horizontal="left"/>
    </xf>
    <xf numFmtId="2" fontId="49" fillId="0" borderId="11" xfId="30" applyFont="1" applyBorder="1">
      <alignment horizontal="center"/>
    </xf>
    <xf numFmtId="2" fontId="42" fillId="0" borderId="11" xfId="30" applyFont="1" applyBorder="1">
      <alignment horizontal="center"/>
    </xf>
    <xf numFmtId="2" fontId="124" fillId="0" borderId="0" xfId="30" applyAlignment="1">
      <alignment horizontal="left"/>
    </xf>
    <xf numFmtId="14" fontId="124" fillId="0" borderId="2" xfId="30" applyNumberFormat="1" applyBorder="1" applyProtection="1">
      <alignment horizontal="center"/>
      <protection hidden="1"/>
    </xf>
    <xf numFmtId="2" fontId="49" fillId="0" borderId="0" xfId="30" applyFont="1">
      <alignment horizontal="center"/>
    </xf>
    <xf numFmtId="2" fontId="49" fillId="0" borderId="0" xfId="30" applyFont="1" applyAlignment="1">
      <alignment horizontal="left"/>
    </xf>
    <xf numFmtId="4" fontId="124" fillId="5" borderId="2" xfId="30" applyNumberFormat="1" applyFill="1" applyBorder="1" applyProtection="1">
      <alignment horizontal="center"/>
      <protection locked="0"/>
    </xf>
    <xf numFmtId="0" fontId="6" fillId="0" borderId="2" xfId="23" applyFont="1" applyBorder="1"/>
    <xf numFmtId="3" fontId="124" fillId="5" borderId="2" xfId="30" applyNumberFormat="1" applyFill="1" applyBorder="1" applyProtection="1">
      <alignment horizontal="center"/>
      <protection locked="0"/>
    </xf>
    <xf numFmtId="4" fontId="128" fillId="0" borderId="0" xfId="30" applyNumberFormat="1" applyFont="1" applyProtection="1">
      <alignment horizontal="center"/>
      <protection hidden="1"/>
    </xf>
    <xf numFmtId="0" fontId="6" fillId="0" borderId="0" xfId="23" applyFont="1"/>
    <xf numFmtId="2" fontId="124" fillId="0" borderId="11" xfId="30" applyBorder="1" applyAlignment="1">
      <alignment horizontal="left"/>
    </xf>
    <xf numFmtId="2" fontId="54" fillId="0" borderId="0" xfId="30" applyFont="1" applyAlignment="1" applyProtection="1">
      <protection hidden="1"/>
    </xf>
    <xf numFmtId="0" fontId="124" fillId="0" borderId="0" xfId="23" applyAlignment="1">
      <alignment horizontal="center"/>
    </xf>
    <xf numFmtId="2" fontId="129" fillId="0" borderId="0" xfId="30" applyFont="1" applyProtection="1">
      <alignment horizontal="center"/>
      <protection hidden="1"/>
    </xf>
    <xf numFmtId="2" fontId="4" fillId="0" borderId="0" xfId="30" applyFont="1" applyAlignment="1" applyProtection="1">
      <alignment horizontal="left"/>
      <protection hidden="1"/>
    </xf>
    <xf numFmtId="2" fontId="4" fillId="0" borderId="0" xfId="30" applyFont="1" applyProtection="1">
      <alignment horizontal="center"/>
      <protection hidden="1"/>
    </xf>
    <xf numFmtId="2" fontId="13" fillId="0" borderId="0" xfId="30" applyFont="1" applyProtection="1">
      <alignment horizontal="center"/>
      <protection hidden="1"/>
    </xf>
    <xf numFmtId="2" fontId="12" fillId="0" borderId="0" xfId="30" applyFont="1" applyProtection="1">
      <alignment horizontal="center"/>
      <protection hidden="1"/>
    </xf>
    <xf numFmtId="2" fontId="31" fillId="0" borderId="0" xfId="30" applyFont="1" applyProtection="1">
      <alignment horizontal="center"/>
      <protection hidden="1"/>
    </xf>
    <xf numFmtId="2" fontId="124" fillId="0" borderId="0" xfId="30" quotePrefix="1" applyAlignment="1" applyProtection="1">
      <protection hidden="1"/>
    </xf>
    <xf numFmtId="4" fontId="13" fillId="0" borderId="0" xfId="30" applyNumberFormat="1" applyFont="1" applyProtection="1">
      <alignment horizontal="center"/>
      <protection hidden="1"/>
    </xf>
    <xf numFmtId="173" fontId="32" fillId="0" borderId="0" xfId="4" applyNumberFormat="1" applyFont="1" applyFill="1" applyProtection="1">
      <alignment horizontal="center"/>
      <protection hidden="1"/>
    </xf>
    <xf numFmtId="2" fontId="13" fillId="0" borderId="11" xfId="30" applyFont="1" applyBorder="1" applyProtection="1">
      <alignment horizontal="center"/>
      <protection hidden="1"/>
    </xf>
    <xf numFmtId="4" fontId="4" fillId="0" borderId="0" xfId="30" applyNumberFormat="1" applyFont="1" applyProtection="1">
      <alignment horizontal="center"/>
      <protection hidden="1"/>
    </xf>
    <xf numFmtId="4" fontId="12" fillId="0" borderId="0" xfId="30" applyNumberFormat="1" applyFont="1" applyProtection="1">
      <alignment horizontal="center"/>
      <protection hidden="1"/>
    </xf>
    <xf numFmtId="173" fontId="32" fillId="0" borderId="0" xfId="30" applyNumberFormat="1" applyFont="1" applyProtection="1">
      <alignment horizontal="center"/>
      <protection hidden="1"/>
    </xf>
    <xf numFmtId="2" fontId="49" fillId="0" borderId="0" xfId="30" applyFont="1" applyProtection="1">
      <alignment horizontal="center"/>
      <protection hidden="1"/>
    </xf>
    <xf numFmtId="2" fontId="50" fillId="0" borderId="0" xfId="30" applyFont="1" applyAlignment="1" applyProtection="1">
      <protection hidden="1"/>
    </xf>
    <xf numFmtId="168" fontId="50" fillId="0" borderId="0" xfId="30" applyNumberFormat="1" applyFont="1" applyProtection="1">
      <alignment horizontal="center"/>
      <protection hidden="1"/>
    </xf>
    <xf numFmtId="2" fontId="27" fillId="0" borderId="0" xfId="30" applyFont="1" applyAlignment="1" applyProtection="1">
      <alignment horizontal="left"/>
      <protection hidden="1"/>
    </xf>
    <xf numFmtId="2" fontId="50" fillId="0" borderId="0" xfId="30" applyFont="1" applyProtection="1">
      <alignment horizontal="center"/>
      <protection hidden="1"/>
    </xf>
    <xf numFmtId="2" fontId="130" fillId="0" borderId="0" xfId="30" applyFont="1" applyAlignment="1" applyProtection="1">
      <protection hidden="1"/>
    </xf>
    <xf numFmtId="14" fontId="124" fillId="0" borderId="0" xfId="23" applyNumberFormat="1" applyAlignment="1">
      <alignment horizontal="center"/>
    </xf>
    <xf numFmtId="2" fontId="44" fillId="12" borderId="27" xfId="5" applyNumberFormat="1" applyFont="1" applyFill="1" applyBorder="1" applyAlignment="1" applyProtection="1"/>
    <xf numFmtId="2" fontId="9" fillId="12" borderId="29" xfId="5" applyNumberFormat="1" applyFill="1" applyBorder="1" applyAlignment="1" applyProtection="1">
      <alignment horizontal="center"/>
    </xf>
    <xf numFmtId="2" fontId="9" fillId="12" borderId="28" xfId="5" applyNumberFormat="1" applyFill="1" applyBorder="1" applyAlignment="1" applyProtection="1">
      <alignment horizontal="center"/>
    </xf>
    <xf numFmtId="0" fontId="124" fillId="11" borderId="11" xfId="23" applyFill="1" applyBorder="1"/>
    <xf numFmtId="0" fontId="42" fillId="11" borderId="0" xfId="23" applyFont="1" applyFill="1"/>
    <xf numFmtId="2" fontId="9" fillId="0" borderId="0" xfId="5" applyNumberFormat="1" applyFill="1" applyAlignment="1" applyProtection="1">
      <alignment horizontal="center"/>
    </xf>
    <xf numFmtId="0" fontId="3" fillId="9" borderId="2" xfId="23" applyFont="1" applyFill="1" applyBorder="1"/>
    <xf numFmtId="14" fontId="131" fillId="5" borderId="2" xfId="23" applyNumberFormat="1" applyFont="1" applyFill="1" applyBorder="1" applyAlignment="1" applyProtection="1">
      <alignment horizontal="center"/>
      <protection locked="0"/>
    </xf>
    <xf numFmtId="0" fontId="124" fillId="9" borderId="21" xfId="23" applyFill="1" applyBorder="1"/>
    <xf numFmtId="0" fontId="42" fillId="9" borderId="29" xfId="23" applyFont="1" applyFill="1" applyBorder="1" applyProtection="1">
      <protection hidden="1"/>
    </xf>
    <xf numFmtId="0" fontId="124" fillId="9" borderId="28" xfId="23" applyFill="1" applyBorder="1"/>
    <xf numFmtId="0" fontId="42" fillId="11" borderId="29" xfId="23" applyFont="1" applyFill="1" applyBorder="1"/>
    <xf numFmtId="0" fontId="124" fillId="11" borderId="29" xfId="23" applyFill="1" applyBorder="1"/>
    <xf numFmtId="2" fontId="9" fillId="11" borderId="29" xfId="5" applyNumberFormat="1" applyFill="1" applyBorder="1" applyAlignment="1" applyProtection="1">
      <alignment horizontal="center"/>
    </xf>
    <xf numFmtId="14" fontId="124" fillId="5" borderId="2" xfId="23" applyNumberFormat="1" applyFill="1" applyBorder="1" applyAlignment="1" applyProtection="1">
      <alignment horizontal="center"/>
      <protection locked="0"/>
    </xf>
    <xf numFmtId="0" fontId="124" fillId="2" borderId="0" xfId="23" applyFill="1" applyProtection="1">
      <protection locked="0"/>
    </xf>
    <xf numFmtId="14" fontId="124" fillId="0" borderId="0" xfId="23" applyNumberFormat="1" applyProtection="1">
      <protection locked="0"/>
    </xf>
    <xf numFmtId="0" fontId="4" fillId="14" borderId="2" xfId="23" applyFont="1" applyFill="1" applyBorder="1" applyAlignment="1">
      <alignment wrapText="1"/>
    </xf>
    <xf numFmtId="0" fontId="4" fillId="25" borderId="42" xfId="23" applyFont="1" applyFill="1" applyBorder="1" applyAlignment="1">
      <alignment horizontal="center" wrapText="1"/>
    </xf>
    <xf numFmtId="2" fontId="9" fillId="4" borderId="6" xfId="5" applyNumberFormat="1" applyFill="1" applyBorder="1" applyAlignment="1" applyProtection="1">
      <alignment horizontal="center"/>
    </xf>
    <xf numFmtId="2" fontId="44" fillId="4" borderId="0" xfId="23" applyNumberFormat="1" applyFont="1" applyFill="1"/>
    <xf numFmtId="0" fontId="124" fillId="4" borderId="0" xfId="23" applyFill="1"/>
    <xf numFmtId="2" fontId="9" fillId="4" borderId="7" xfId="5" applyNumberFormat="1" applyFill="1" applyBorder="1" applyAlignment="1" applyProtection="1">
      <alignment horizontal="center"/>
    </xf>
    <xf numFmtId="0" fontId="124" fillId="21" borderId="0" xfId="23" applyFill="1" applyProtection="1">
      <protection locked="0"/>
    </xf>
    <xf numFmtId="0" fontId="124" fillId="14" borderId="0" xfId="23" applyFill="1" applyProtection="1">
      <protection locked="0"/>
    </xf>
    <xf numFmtId="0" fontId="124" fillId="14" borderId="0" xfId="23" applyFill="1" applyAlignment="1" applyProtection="1">
      <alignment wrapText="1"/>
      <protection locked="0"/>
    </xf>
    <xf numFmtId="0" fontId="6" fillId="14" borderId="0" xfId="23" applyFont="1" applyFill="1" applyAlignment="1" applyProtection="1">
      <alignment wrapText="1"/>
      <protection locked="0"/>
    </xf>
    <xf numFmtId="0" fontId="4" fillId="25" borderId="2" xfId="23" applyFont="1" applyFill="1" applyBorder="1" applyAlignment="1">
      <alignment horizontal="center" wrapText="1"/>
    </xf>
    <xf numFmtId="3" fontId="124" fillId="5" borderId="2" xfId="23" applyNumberFormat="1" applyFill="1" applyBorder="1" applyAlignment="1" applyProtection="1">
      <alignment horizontal="center"/>
      <protection locked="0"/>
    </xf>
    <xf numFmtId="3" fontId="6" fillId="3" borderId="2" xfId="23" applyNumberFormat="1" applyFont="1" applyFill="1" applyBorder="1" applyAlignment="1" applyProtection="1">
      <alignment horizontal="center"/>
      <protection locked="0"/>
    </xf>
    <xf numFmtId="4" fontId="124" fillId="0" borderId="2" xfId="23" applyNumberFormat="1" applyBorder="1" applyAlignment="1" applyProtection="1">
      <alignment horizontal="center"/>
      <protection hidden="1"/>
    </xf>
    <xf numFmtId="3" fontId="124" fillId="0" borderId="2" xfId="23" applyNumberFormat="1" applyBorder="1" applyAlignment="1" applyProtection="1">
      <alignment horizontal="center"/>
      <protection hidden="1"/>
    </xf>
    <xf numFmtId="0" fontId="3" fillId="0" borderId="2" xfId="23" applyFont="1" applyBorder="1"/>
    <xf numFmtId="4" fontId="3" fillId="0" borderId="2" xfId="23" applyNumberFormat="1" applyFont="1" applyBorder="1" applyProtection="1">
      <protection hidden="1"/>
    </xf>
    <xf numFmtId="0" fontId="124" fillId="3" borderId="0" xfId="23" applyFill="1" applyProtection="1">
      <protection locked="0"/>
    </xf>
    <xf numFmtId="2" fontId="9" fillId="0" borderId="0" xfId="5" applyNumberFormat="1" applyFill="1" applyAlignment="1" applyProtection="1">
      <alignment horizontal="center"/>
      <protection locked="0"/>
    </xf>
    <xf numFmtId="3" fontId="3" fillId="0" borderId="2" xfId="23" applyNumberFormat="1" applyFont="1" applyBorder="1" applyProtection="1">
      <protection hidden="1"/>
    </xf>
    <xf numFmtId="0" fontId="44" fillId="4" borderId="0" xfId="23" applyFont="1" applyFill="1"/>
    <xf numFmtId="0" fontId="124" fillId="12" borderId="20" xfId="23" applyFill="1" applyBorder="1"/>
    <xf numFmtId="0" fontId="124" fillId="12" borderId="22" xfId="23" applyFill="1" applyBorder="1"/>
    <xf numFmtId="0" fontId="44" fillId="12" borderId="23" xfId="23" applyFont="1" applyFill="1" applyBorder="1"/>
    <xf numFmtId="0" fontId="124" fillId="12" borderId="24" xfId="23" applyFill="1" applyBorder="1"/>
    <xf numFmtId="0" fontId="124" fillId="12" borderId="25" xfId="23" applyFill="1" applyBorder="1"/>
    <xf numFmtId="0" fontId="124" fillId="12" borderId="26" xfId="23" applyFill="1" applyBorder="1"/>
    <xf numFmtId="2" fontId="9" fillId="4" borderId="8" xfId="5" applyNumberFormat="1" applyFill="1" applyBorder="1" applyAlignment="1" applyProtection="1">
      <alignment horizontal="center"/>
    </xf>
    <xf numFmtId="0" fontId="124" fillId="4" borderId="9" xfId="23" applyFill="1" applyBorder="1"/>
    <xf numFmtId="2" fontId="9" fillId="4" borderId="10" xfId="5" applyNumberFormat="1" applyFill="1" applyBorder="1" applyAlignment="1" applyProtection="1">
      <alignment horizontal="center"/>
    </xf>
    <xf numFmtId="0" fontId="124" fillId="0" borderId="20" xfId="23" applyBorder="1"/>
    <xf numFmtId="0" fontId="124" fillId="0" borderId="21" xfId="23" applyBorder="1"/>
    <xf numFmtId="0" fontId="124" fillId="0" borderId="22" xfId="23" applyBorder="1"/>
    <xf numFmtId="2" fontId="3" fillId="0" borderId="25" xfId="23" applyNumberFormat="1" applyFont="1" applyBorder="1" applyProtection="1">
      <protection hidden="1"/>
    </xf>
    <xf numFmtId="0" fontId="124" fillId="0" borderId="11" xfId="23" applyBorder="1"/>
    <xf numFmtId="0" fontId="124" fillId="0" borderId="26" xfId="23" applyBorder="1"/>
    <xf numFmtId="2" fontId="44" fillId="3" borderId="27" xfId="5" applyNumberFormat="1" applyFont="1" applyFill="1" applyBorder="1" applyAlignment="1" applyProtection="1"/>
    <xf numFmtId="2" fontId="9" fillId="3" borderId="29" xfId="5" applyNumberFormat="1" applyFill="1" applyBorder="1" applyAlignment="1" applyProtection="1">
      <alignment horizontal="center"/>
    </xf>
    <xf numFmtId="2" fontId="9" fillId="3" borderId="28" xfId="5" applyNumberFormat="1" applyFill="1" applyBorder="1" applyAlignment="1" applyProtection="1">
      <alignment horizontal="center"/>
    </xf>
    <xf numFmtId="0" fontId="124" fillId="3" borderId="11" xfId="23" applyFill="1" applyBorder="1"/>
    <xf numFmtId="0" fontId="42" fillId="3" borderId="0" xfId="23" applyFont="1" applyFill="1"/>
    <xf numFmtId="0" fontId="42" fillId="3" borderId="29" xfId="23" applyFont="1" applyFill="1" applyBorder="1"/>
    <xf numFmtId="0" fontId="124" fillId="3" borderId="29" xfId="23" applyFill="1" applyBorder="1"/>
    <xf numFmtId="3" fontId="124" fillId="0" borderId="2" xfId="23" applyNumberFormat="1" applyBorder="1" applyAlignment="1" applyProtection="1">
      <alignment horizontal="center"/>
      <protection locked="0"/>
    </xf>
    <xf numFmtId="3" fontId="6" fillId="0" borderId="2" xfId="23" applyNumberFormat="1" applyFont="1" applyBorder="1" applyAlignment="1" applyProtection="1">
      <alignment horizontal="center"/>
      <protection locked="0"/>
    </xf>
    <xf numFmtId="0" fontId="4" fillId="0" borderId="2" xfId="23" applyFont="1" applyBorder="1" applyAlignment="1">
      <alignment wrapText="1"/>
    </xf>
    <xf numFmtId="0" fontId="4" fillId="0" borderId="42" xfId="23" applyFont="1" applyBorder="1" applyAlignment="1">
      <alignment horizontal="center" wrapText="1"/>
    </xf>
    <xf numFmtId="14" fontId="131" fillId="0" borderId="2" xfId="23" applyNumberFormat="1" applyFont="1" applyBorder="1" applyAlignment="1" applyProtection="1">
      <alignment horizontal="center"/>
      <protection locked="0"/>
    </xf>
    <xf numFmtId="0" fontId="42" fillId="0" borderId="29" xfId="23" applyFont="1" applyBorder="1" applyProtection="1">
      <protection hidden="1"/>
    </xf>
    <xf numFmtId="0" fontId="124" fillId="0" borderId="28" xfId="23" applyBorder="1"/>
    <xf numFmtId="2" fontId="9" fillId="0" borderId="6" xfId="5" applyNumberFormat="1" applyFill="1" applyBorder="1" applyAlignment="1" applyProtection="1">
      <alignment horizontal="center"/>
    </xf>
    <xf numFmtId="2" fontId="44" fillId="0" borderId="0" xfId="23" applyNumberFormat="1" applyFont="1"/>
    <xf numFmtId="2" fontId="9" fillId="0" borderId="7" xfId="5" applyNumberFormat="1" applyFill="1" applyBorder="1" applyAlignment="1" applyProtection="1">
      <alignment horizontal="center"/>
    </xf>
    <xf numFmtId="0" fontId="44" fillId="0" borderId="0" xfId="23" applyFont="1"/>
    <xf numFmtId="0" fontId="44" fillId="0" borderId="23" xfId="23" applyFont="1" applyBorder="1"/>
    <xf numFmtId="0" fontId="124" fillId="0" borderId="24" xfId="23" applyBorder="1"/>
    <xf numFmtId="0" fontId="124" fillId="0" borderId="25" xfId="23" applyBorder="1"/>
    <xf numFmtId="2" fontId="9" fillId="0" borderId="8" xfId="5" applyNumberFormat="1" applyFill="1" applyBorder="1" applyAlignment="1" applyProtection="1">
      <alignment horizontal="center"/>
    </xf>
    <xf numFmtId="0" fontId="124" fillId="0" borderId="9" xfId="23" applyBorder="1"/>
    <xf numFmtId="2" fontId="9" fillId="0" borderId="10" xfId="5" applyNumberFormat="1" applyFill="1" applyBorder="1" applyAlignment="1" applyProtection="1">
      <alignment horizontal="center"/>
    </xf>
    <xf numFmtId="2" fontId="132" fillId="3" borderId="0" xfId="5" applyNumberFormat="1" applyFont="1" applyFill="1" applyAlignment="1" applyProtection="1"/>
    <xf numFmtId="2" fontId="6" fillId="3" borderId="0" xfId="5" applyNumberFormat="1" applyFont="1" applyFill="1" applyAlignment="1" applyProtection="1"/>
    <xf numFmtId="2" fontId="9" fillId="3" borderId="0" xfId="5" applyNumberFormat="1" applyFill="1" applyAlignment="1" applyProtection="1">
      <alignment horizontal="left"/>
    </xf>
    <xf numFmtId="0" fontId="42" fillId="3" borderId="27" xfId="23" applyFont="1" applyFill="1" applyBorder="1"/>
    <xf numFmtId="0" fontId="124" fillId="0" borderId="0" xfId="23" applyAlignment="1">
      <alignment horizontal="right"/>
    </xf>
    <xf numFmtId="0" fontId="0" fillId="12" borderId="2" xfId="0" applyFill="1" applyBorder="1" applyProtection="1">
      <protection locked="0"/>
    </xf>
    <xf numFmtId="0" fontId="0" fillId="3" borderId="2" xfId="0" applyFill="1" applyBorder="1" applyProtection="1">
      <protection locked="0"/>
    </xf>
    <xf numFmtId="0" fontId="124" fillId="0" borderId="20" xfId="23" applyBorder="1" applyAlignment="1">
      <alignment horizontal="right"/>
    </xf>
    <xf numFmtId="3" fontId="124" fillId="0" borderId="21" xfId="23" applyNumberFormat="1" applyBorder="1" applyAlignment="1">
      <alignment horizontal="right"/>
    </xf>
    <xf numFmtId="0" fontId="124" fillId="0" borderId="21" xfId="23" applyBorder="1" applyAlignment="1">
      <alignment horizontal="right"/>
    </xf>
    <xf numFmtId="3" fontId="124" fillId="0" borderId="22" xfId="23" applyNumberFormat="1" applyBorder="1" applyAlignment="1">
      <alignment horizontal="right"/>
    </xf>
    <xf numFmtId="0" fontId="124" fillId="0" borderId="23" xfId="23" applyBorder="1" applyAlignment="1">
      <alignment horizontal="right"/>
    </xf>
    <xf numFmtId="0" fontId="124" fillId="9" borderId="0" xfId="23" applyFill="1" applyAlignment="1" applyProtection="1">
      <alignment horizontal="right"/>
      <protection locked="0"/>
    </xf>
    <xf numFmtId="0" fontId="124" fillId="9" borderId="24" xfId="23" applyFill="1" applyBorder="1" applyAlignment="1" applyProtection="1">
      <alignment horizontal="right"/>
      <protection locked="0"/>
    </xf>
    <xf numFmtId="0" fontId="0" fillId="0" borderId="25" xfId="0" applyBorder="1" applyAlignment="1">
      <alignment horizontal="right"/>
    </xf>
    <xf numFmtId="0" fontId="0" fillId="0" borderId="11" xfId="0" applyBorder="1" applyAlignment="1">
      <alignment horizontal="right"/>
    </xf>
    <xf numFmtId="0" fontId="0" fillId="0" borderId="26" xfId="0" applyBorder="1" applyAlignment="1">
      <alignment horizontal="right"/>
    </xf>
    <xf numFmtId="2" fontId="42" fillId="0" borderId="0" xfId="30" applyFont="1">
      <alignment horizontal="center"/>
    </xf>
    <xf numFmtId="2" fontId="133" fillId="0" borderId="0" xfId="30" applyFont="1" applyAlignment="1" applyProtection="1">
      <alignment horizontal="left"/>
      <protection hidden="1"/>
    </xf>
    <xf numFmtId="0" fontId="17" fillId="0" borderId="0" xfId="0" applyFont="1" applyProtection="1">
      <protection locked="0" hidden="1"/>
    </xf>
    <xf numFmtId="0" fontId="124" fillId="0" borderId="2" xfId="23" applyBorder="1" applyAlignment="1">
      <alignment horizontal="left"/>
    </xf>
    <xf numFmtId="169" fontId="26" fillId="4" borderId="2" xfId="10" applyNumberFormat="1" applyFill="1" applyBorder="1" applyAlignment="1">
      <alignment horizontal="center"/>
    </xf>
    <xf numFmtId="0" fontId="26" fillId="4" borderId="2" xfId="10" applyFill="1" applyBorder="1" applyAlignment="1">
      <alignment horizontal="center"/>
    </xf>
    <xf numFmtId="167" fontId="26" fillId="4" borderId="2" xfId="10" applyNumberFormat="1" applyFill="1" applyBorder="1" applyAlignment="1">
      <alignment horizontal="center"/>
    </xf>
    <xf numFmtId="2" fontId="9" fillId="4" borderId="0" xfId="5" applyNumberFormat="1" applyFill="1" applyAlignment="1" applyProtection="1">
      <alignment horizontal="center"/>
    </xf>
    <xf numFmtId="2" fontId="124" fillId="4" borderId="0" xfId="21" applyFill="1">
      <alignment horizontal="center"/>
    </xf>
    <xf numFmtId="2" fontId="124" fillId="0" borderId="0" xfId="21">
      <alignment horizontal="center"/>
    </xf>
    <xf numFmtId="0" fontId="11" fillId="6" borderId="3" xfId="23" applyFont="1" applyFill="1" applyBorder="1" applyAlignment="1">
      <alignment horizontal="center"/>
    </xf>
    <xf numFmtId="0" fontId="11" fillId="6" borderId="4" xfId="23" applyFont="1" applyFill="1" applyBorder="1" applyAlignment="1">
      <alignment horizontal="center"/>
    </xf>
    <xf numFmtId="0" fontId="11" fillId="6" borderId="5" xfId="23" applyFont="1" applyFill="1" applyBorder="1" applyAlignment="1">
      <alignment horizontal="center"/>
    </xf>
    <xf numFmtId="0" fontId="11" fillId="6" borderId="6" xfId="23" applyFont="1" applyFill="1" applyBorder="1" applyAlignment="1">
      <alignment horizontal="center"/>
    </xf>
    <xf numFmtId="0" fontId="12" fillId="6" borderId="0" xfId="23" applyFont="1" applyFill="1"/>
    <xf numFmtId="0" fontId="13" fillId="6" borderId="7" xfId="23" applyFont="1" applyFill="1" applyBorder="1"/>
    <xf numFmtId="2" fontId="124" fillId="4" borderId="0" xfId="21" applyFill="1" applyAlignment="1"/>
    <xf numFmtId="0" fontId="13" fillId="6" borderId="0" xfId="23" applyFont="1" applyFill="1"/>
    <xf numFmtId="0" fontId="11" fillId="6" borderId="0" xfId="23" applyFont="1" applyFill="1"/>
    <xf numFmtId="0" fontId="11" fillId="6" borderId="7" xfId="23" applyFont="1" applyFill="1" applyBorder="1"/>
    <xf numFmtId="0" fontId="11" fillId="6" borderId="7" xfId="23" applyFont="1" applyFill="1" applyBorder="1" applyAlignment="1">
      <alignment horizontal="center"/>
    </xf>
    <xf numFmtId="0" fontId="11" fillId="6" borderId="8" xfId="23" applyFont="1" applyFill="1" applyBorder="1" applyAlignment="1">
      <alignment horizontal="center"/>
    </xf>
    <xf numFmtId="0" fontId="11" fillId="6" borderId="9" xfId="23" applyFont="1" applyFill="1" applyBorder="1" applyAlignment="1">
      <alignment horizontal="center"/>
    </xf>
    <xf numFmtId="0" fontId="11" fillId="6" borderId="10" xfId="23" applyFont="1" applyFill="1" applyBorder="1" applyAlignment="1">
      <alignment horizontal="center"/>
    </xf>
    <xf numFmtId="0" fontId="13" fillId="4" borderId="0" xfId="23" applyFont="1" applyFill="1"/>
    <xf numFmtId="2" fontId="13" fillId="4" borderId="0" xfId="21" applyFont="1" applyFill="1">
      <alignment horizontal="center"/>
    </xf>
    <xf numFmtId="0" fontId="127" fillId="4" borderId="2" xfId="0" applyFont="1" applyFill="1" applyBorder="1" applyAlignment="1" applyProtection="1">
      <alignment horizontal="center"/>
      <protection hidden="1"/>
    </xf>
    <xf numFmtId="0" fontId="0" fillId="4" borderId="2" xfId="0" applyFill="1" applyBorder="1" applyAlignment="1" applyProtection="1">
      <alignment horizontal="center"/>
      <protection hidden="1"/>
    </xf>
    <xf numFmtId="14" fontId="35" fillId="3" borderId="2" xfId="0" applyNumberFormat="1" applyFont="1" applyFill="1" applyBorder="1" applyAlignment="1" applyProtection="1">
      <alignment horizontal="center"/>
      <protection locked="0"/>
    </xf>
    <xf numFmtId="0" fontId="19" fillId="12" borderId="2" xfId="0" applyFont="1" applyFill="1" applyBorder="1" applyAlignment="1">
      <alignment horizontal="left"/>
    </xf>
    <xf numFmtId="0" fontId="66" fillId="11" borderId="2" xfId="0" applyFont="1" applyFill="1" applyBorder="1"/>
    <xf numFmtId="0" fontId="19" fillId="3" borderId="2" xfId="0" applyFont="1" applyFill="1" applyBorder="1" applyAlignment="1">
      <alignment horizontal="left"/>
    </xf>
    <xf numFmtId="0" fontId="19" fillId="7" borderId="2" xfId="0" applyFont="1" applyFill="1" applyBorder="1" applyProtection="1">
      <protection hidden="1"/>
    </xf>
    <xf numFmtId="0" fontId="124" fillId="12" borderId="2" xfId="23" applyFill="1" applyBorder="1"/>
    <xf numFmtId="0" fontId="0" fillId="26" borderId="0" xfId="0" applyFill="1"/>
    <xf numFmtId="0" fontId="6" fillId="5" borderId="2" xfId="0" applyFont="1" applyFill="1" applyBorder="1" applyProtection="1">
      <protection locked="0"/>
    </xf>
    <xf numFmtId="0" fontId="43" fillId="6" borderId="34" xfId="0" applyFont="1" applyFill="1" applyBorder="1" applyProtection="1">
      <protection hidden="1"/>
    </xf>
    <xf numFmtId="0" fontId="35" fillId="6" borderId="27" xfId="0" applyFont="1" applyFill="1" applyBorder="1" applyProtection="1">
      <protection hidden="1"/>
    </xf>
    <xf numFmtId="0" fontId="35" fillId="6" borderId="29" xfId="0" applyFont="1" applyFill="1" applyBorder="1" applyAlignment="1" applyProtection="1">
      <alignment horizontal="right"/>
      <protection hidden="1"/>
    </xf>
    <xf numFmtId="0" fontId="42" fillId="6" borderId="29" xfId="0" applyFont="1" applyFill="1" applyBorder="1" applyAlignment="1" applyProtection="1">
      <alignment horizontal="right"/>
      <protection hidden="1"/>
    </xf>
    <xf numFmtId="0" fontId="42" fillId="6" borderId="27" xfId="0" applyFont="1" applyFill="1" applyBorder="1" applyAlignment="1" applyProtection="1">
      <alignment vertical="center"/>
      <protection hidden="1"/>
    </xf>
    <xf numFmtId="0" fontId="42" fillId="6" borderId="0" xfId="0" applyFont="1" applyFill="1" applyProtection="1">
      <protection hidden="1"/>
    </xf>
    <xf numFmtId="0" fontId="39" fillId="6" borderId="0" xfId="0" applyFont="1" applyFill="1" applyProtection="1">
      <protection hidden="1"/>
    </xf>
    <xf numFmtId="0" fontId="4" fillId="11" borderId="6" xfId="0" applyFont="1" applyFill="1" applyBorder="1" applyAlignment="1" applyProtection="1">
      <alignment horizontal="right" vertical="center"/>
      <protection hidden="1"/>
    </xf>
    <xf numFmtId="0" fontId="35" fillId="6" borderId="0" xfId="0" applyFont="1" applyFill="1" applyProtection="1">
      <protection hidden="1"/>
    </xf>
    <xf numFmtId="0" fontId="5" fillId="16" borderId="2" xfId="0" applyFont="1" applyFill="1" applyBorder="1" applyAlignment="1" applyProtection="1">
      <alignment horizontal="right"/>
      <protection hidden="1"/>
    </xf>
    <xf numFmtId="0" fontId="6" fillId="6" borderId="0" xfId="8" applyFill="1" applyProtection="1">
      <protection hidden="1"/>
    </xf>
    <xf numFmtId="0" fontId="6" fillId="6" borderId="2" xfId="8" applyFill="1" applyBorder="1" applyAlignment="1" applyProtection="1">
      <alignment horizontal="center"/>
      <protection hidden="1"/>
    </xf>
    <xf numFmtId="14" fontId="6" fillId="6" borderId="2" xfId="8" applyNumberFormat="1" applyFill="1" applyBorder="1" applyAlignment="1" applyProtection="1">
      <alignment horizontal="center"/>
      <protection hidden="1"/>
    </xf>
    <xf numFmtId="3" fontId="6" fillId="6" borderId="2" xfId="8" applyNumberFormat="1" applyFill="1" applyBorder="1" applyAlignment="1" applyProtection="1">
      <alignment horizontal="center"/>
      <protection hidden="1"/>
    </xf>
    <xf numFmtId="4" fontId="6" fillId="6" borderId="2" xfId="8" applyNumberFormat="1" applyFill="1" applyBorder="1" applyAlignment="1" applyProtection="1">
      <alignment horizontal="center"/>
      <protection hidden="1"/>
    </xf>
    <xf numFmtId="0" fontId="6" fillId="6" borderId="2" xfId="8" applyFill="1" applyBorder="1" applyProtection="1">
      <protection hidden="1"/>
    </xf>
    <xf numFmtId="172" fontId="6" fillId="6" borderId="2" xfId="8" applyNumberFormat="1" applyFill="1" applyBorder="1" applyAlignment="1" applyProtection="1">
      <alignment horizontal="center"/>
      <protection hidden="1"/>
    </xf>
    <xf numFmtId="14" fontId="19" fillId="7" borderId="0" xfId="0" applyNumberFormat="1" applyFont="1" applyFill="1" applyProtection="1">
      <protection hidden="1"/>
    </xf>
    <xf numFmtId="0" fontId="19" fillId="7" borderId="0" xfId="0" applyFont="1" applyFill="1" applyProtection="1">
      <protection hidden="1"/>
    </xf>
    <xf numFmtId="0" fontId="124" fillId="4" borderId="0" xfId="25" applyFill="1"/>
    <xf numFmtId="0" fontId="124" fillId="4" borderId="0" xfId="25" applyFill="1" applyProtection="1">
      <protection locked="0"/>
    </xf>
    <xf numFmtId="0" fontId="124" fillId="0" borderId="0" xfId="25" applyProtection="1">
      <protection hidden="1"/>
    </xf>
    <xf numFmtId="0" fontId="4" fillId="0" borderId="20" xfId="25" applyFont="1" applyBorder="1" applyProtection="1">
      <protection hidden="1"/>
    </xf>
    <xf numFmtId="0" fontId="124" fillId="0" borderId="22" xfId="25" applyBorder="1" applyProtection="1">
      <protection hidden="1"/>
    </xf>
    <xf numFmtId="2" fontId="6" fillId="0" borderId="0" xfId="28" applyFont="1" applyProtection="1">
      <alignment horizontal="center"/>
      <protection hidden="1"/>
    </xf>
    <xf numFmtId="0" fontId="124" fillId="0" borderId="0" xfId="25" applyAlignment="1" applyProtection="1">
      <alignment horizontal="center"/>
      <protection hidden="1"/>
    </xf>
    <xf numFmtId="0" fontId="124" fillId="0" borderId="0" xfId="7"/>
    <xf numFmtId="0" fontId="124" fillId="4" borderId="0" xfId="7" applyFill="1"/>
    <xf numFmtId="0" fontId="124" fillId="0" borderId="0" xfId="25"/>
    <xf numFmtId="0" fontId="124" fillId="4" borderId="0" xfId="25" applyFill="1" applyAlignment="1">
      <alignment horizontal="center"/>
    </xf>
    <xf numFmtId="0" fontId="124" fillId="4" borderId="2" xfId="25" applyFill="1" applyBorder="1" applyProtection="1">
      <protection hidden="1"/>
    </xf>
    <xf numFmtId="14" fontId="124" fillId="4" borderId="2" xfId="25" applyNumberFormat="1" applyFill="1" applyBorder="1" applyProtection="1">
      <protection hidden="1"/>
    </xf>
    <xf numFmtId="0" fontId="124" fillId="0" borderId="0" xfId="7" quotePrefix="1"/>
    <xf numFmtId="14" fontId="124" fillId="0" borderId="0" xfId="7" applyNumberFormat="1"/>
    <xf numFmtId="0" fontId="124" fillId="0" borderId="0" xfId="7" applyAlignment="1">
      <alignment horizontal="center"/>
    </xf>
    <xf numFmtId="0" fontId="9" fillId="4" borderId="0" xfId="5" applyFill="1" applyAlignment="1" applyProtection="1"/>
    <xf numFmtId="0" fontId="42" fillId="0" borderId="0" xfId="25" applyFont="1"/>
    <xf numFmtId="0" fontId="50" fillId="0" borderId="0" xfId="25" applyFont="1"/>
    <xf numFmtId="14" fontId="124" fillId="0" borderId="0" xfId="25" applyNumberFormat="1" applyProtection="1">
      <protection hidden="1"/>
    </xf>
    <xf numFmtId="0" fontId="4" fillId="0" borderId="0" xfId="25" applyFont="1" applyAlignment="1" applyProtection="1">
      <alignment horizontal="center"/>
      <protection hidden="1"/>
    </xf>
    <xf numFmtId="14" fontId="124" fillId="0" borderId="0" xfId="7" applyNumberFormat="1" applyAlignment="1">
      <alignment horizontal="center"/>
    </xf>
    <xf numFmtId="0" fontId="60" fillId="0" borderId="0" xfId="25" applyFont="1"/>
    <xf numFmtId="0" fontId="60" fillId="0" borderId="0" xfId="25" applyFont="1" applyAlignment="1">
      <alignment horizontal="centerContinuous"/>
    </xf>
    <xf numFmtId="0" fontId="134" fillId="0" borderId="0" xfId="25" applyFont="1" applyAlignment="1">
      <alignment horizontal="left"/>
    </xf>
    <xf numFmtId="0" fontId="27" fillId="0" borderId="0" xfId="25" applyFont="1" applyAlignment="1">
      <alignment horizontal="right"/>
    </xf>
    <xf numFmtId="2" fontId="27" fillId="0" borderId="0" xfId="25" applyNumberFormat="1" applyFont="1" applyAlignment="1">
      <alignment horizontal="left"/>
    </xf>
    <xf numFmtId="0" fontId="4" fillId="7" borderId="2" xfId="25" applyFont="1" applyFill="1" applyBorder="1" applyProtection="1">
      <protection hidden="1"/>
    </xf>
    <xf numFmtId="0" fontId="4" fillId="7" borderId="27" xfId="25" applyFont="1" applyFill="1" applyBorder="1" applyProtection="1">
      <protection hidden="1"/>
    </xf>
    <xf numFmtId="0" fontId="4" fillId="0" borderId="2" xfId="25" applyFont="1" applyBorder="1" applyProtection="1">
      <protection hidden="1"/>
    </xf>
    <xf numFmtId="0" fontId="4" fillId="0" borderId="2" xfId="25" applyFont="1" applyBorder="1" applyAlignment="1" applyProtection="1">
      <alignment horizontal="center"/>
      <protection hidden="1"/>
    </xf>
    <xf numFmtId="0" fontId="124" fillId="0" borderId="0" xfId="25" applyProtection="1">
      <protection locked="0"/>
    </xf>
    <xf numFmtId="14" fontId="124" fillId="0" borderId="2" xfId="25" applyNumberFormat="1" applyBorder="1" applyProtection="1">
      <protection hidden="1"/>
    </xf>
    <xf numFmtId="4" fontId="124" fillId="0" borderId="2" xfId="25" applyNumberFormat="1" applyBorder="1" applyAlignment="1" applyProtection="1">
      <alignment horizontal="center"/>
      <protection hidden="1"/>
    </xf>
    <xf numFmtId="0" fontId="124" fillId="0" borderId="0" xfId="7" applyAlignment="1">
      <alignment horizontal="left"/>
    </xf>
    <xf numFmtId="2" fontId="124" fillId="0" borderId="0" xfId="25" applyNumberFormat="1"/>
    <xf numFmtId="2" fontId="124" fillId="0" borderId="0" xfId="28">
      <alignment horizontal="center"/>
    </xf>
    <xf numFmtId="0" fontId="124" fillId="0" borderId="2" xfId="25" applyBorder="1" applyProtection="1">
      <protection hidden="1"/>
    </xf>
    <xf numFmtId="10" fontId="124" fillId="0" borderId="2" xfId="25" applyNumberFormat="1" applyBorder="1" applyProtection="1">
      <protection hidden="1"/>
    </xf>
    <xf numFmtId="172" fontId="124" fillId="0" borderId="2" xfId="7" applyNumberFormat="1" applyBorder="1"/>
    <xf numFmtId="0" fontId="124" fillId="10" borderId="2" xfId="25" applyFill="1" applyBorder="1" applyAlignment="1" applyProtection="1">
      <alignment horizontal="center"/>
      <protection hidden="1"/>
    </xf>
    <xf numFmtId="2" fontId="124" fillId="0" borderId="0" xfId="25" applyNumberFormat="1" applyAlignment="1">
      <alignment horizontal="left"/>
    </xf>
    <xf numFmtId="0" fontId="6" fillId="4" borderId="0" xfId="25" applyFont="1" applyFill="1"/>
    <xf numFmtId="14" fontId="124" fillId="10" borderId="2" xfId="25" applyNumberFormat="1" applyFill="1" applyBorder="1" applyAlignment="1" applyProtection="1">
      <alignment horizontal="center"/>
      <protection hidden="1"/>
    </xf>
    <xf numFmtId="14" fontId="124" fillId="10" borderId="2" xfId="19" applyNumberFormat="1" applyFill="1" applyBorder="1" applyAlignment="1" applyProtection="1">
      <alignment horizontal="center"/>
      <protection hidden="1"/>
    </xf>
    <xf numFmtId="14" fontId="124" fillId="0" borderId="0" xfId="25" applyNumberFormat="1" applyAlignment="1">
      <alignment horizontal="left"/>
    </xf>
    <xf numFmtId="0" fontId="124" fillId="0" borderId="11" xfId="25" applyBorder="1"/>
    <xf numFmtId="0" fontId="52" fillId="4" borderId="0" xfId="25" applyFont="1" applyFill="1" applyAlignment="1">
      <alignment horizontal="center"/>
    </xf>
    <xf numFmtId="0" fontId="4" fillId="0" borderId="0" xfId="34" applyNumberFormat="1" applyFont="1" applyFill="1" applyProtection="1">
      <protection locked="0"/>
    </xf>
    <xf numFmtId="0" fontId="4" fillId="0" borderId="0" xfId="25" applyFont="1"/>
    <xf numFmtId="2" fontId="124" fillId="0" borderId="0" xfId="28" applyAlignment="1"/>
    <xf numFmtId="0" fontId="124" fillId="0" borderId="2" xfId="25" applyBorder="1" applyAlignment="1" applyProtection="1">
      <alignment horizontal="center"/>
      <protection hidden="1"/>
    </xf>
    <xf numFmtId="172" fontId="124" fillId="0" borderId="0" xfId="7" quotePrefix="1" applyNumberFormat="1"/>
    <xf numFmtId="172" fontId="4" fillId="0" borderId="2" xfId="25" applyNumberFormat="1" applyFont="1" applyBorder="1" applyAlignment="1" applyProtection="1">
      <alignment horizontal="center"/>
      <protection hidden="1"/>
    </xf>
    <xf numFmtId="14" fontId="124" fillId="0" borderId="0" xfId="19" applyNumberFormat="1" applyProtection="1">
      <protection hidden="1"/>
    </xf>
    <xf numFmtId="0" fontId="124" fillId="0" borderId="11" xfId="25" applyBorder="1" applyProtection="1">
      <protection locked="0"/>
    </xf>
    <xf numFmtId="0" fontId="101" fillId="4" borderId="0" xfId="25" applyFont="1" applyFill="1"/>
    <xf numFmtId="0" fontId="27" fillId="11" borderId="0" xfId="25" applyFont="1" applyFill="1" applyProtection="1">
      <protection hidden="1"/>
    </xf>
    <xf numFmtId="14" fontId="124" fillId="5" borderId="0" xfId="25" applyNumberFormat="1" applyFill="1" applyAlignment="1" applyProtection="1">
      <alignment horizontal="center"/>
      <protection locked="0"/>
    </xf>
    <xf numFmtId="0" fontId="101" fillId="0" borderId="0" xfId="25" applyFont="1"/>
    <xf numFmtId="0" fontId="124" fillId="7" borderId="2" xfId="25" applyFill="1" applyBorder="1" applyProtection="1">
      <protection hidden="1"/>
    </xf>
    <xf numFmtId="14" fontId="124" fillId="7" borderId="27" xfId="25" applyNumberFormat="1" applyFill="1" applyBorder="1" applyProtection="1">
      <protection hidden="1"/>
    </xf>
    <xf numFmtId="14" fontId="124" fillId="11" borderId="2" xfId="25" applyNumberFormat="1" applyFill="1" applyBorder="1" applyProtection="1">
      <protection hidden="1"/>
    </xf>
    <xf numFmtId="14" fontId="4" fillId="0" borderId="2" xfId="25" applyNumberFormat="1" applyFont="1" applyBorder="1" applyProtection="1">
      <protection hidden="1"/>
    </xf>
    <xf numFmtId="9" fontId="124" fillId="2" borderId="0" xfId="25" applyNumberFormat="1" applyFill="1" applyAlignment="1">
      <alignment horizontal="center"/>
    </xf>
    <xf numFmtId="0" fontId="124" fillId="5" borderId="0" xfId="25" applyFill="1" applyAlignment="1" applyProtection="1">
      <alignment horizontal="center"/>
      <protection locked="0"/>
    </xf>
    <xf numFmtId="0" fontId="49" fillId="0" borderId="0" xfId="25" applyFont="1"/>
    <xf numFmtId="4" fontId="124" fillId="0" borderId="2" xfId="25" applyNumberFormat="1" applyBorder="1" applyProtection="1">
      <protection hidden="1"/>
    </xf>
    <xf numFmtId="14" fontId="124" fillId="0" borderId="0" xfId="25" applyNumberFormat="1" applyAlignment="1" applyProtection="1">
      <alignment horizontal="center"/>
      <protection locked="0"/>
    </xf>
    <xf numFmtId="0" fontId="42" fillId="0" borderId="0" xfId="25" applyFont="1" applyAlignment="1">
      <alignment horizontal="centerContinuous" wrapText="1"/>
    </xf>
    <xf numFmtId="0" fontId="4" fillId="0" borderId="0" xfId="25" applyFont="1" applyAlignment="1">
      <alignment horizontal="centerContinuous" wrapText="1"/>
    </xf>
    <xf numFmtId="0" fontId="4" fillId="0" borderId="0" xfId="25" applyFont="1" applyAlignment="1">
      <alignment horizontal="left"/>
    </xf>
    <xf numFmtId="0" fontId="4" fillId="0" borderId="0" xfId="25" applyFont="1" applyAlignment="1">
      <alignment horizontal="center"/>
    </xf>
    <xf numFmtId="0" fontId="31" fillId="4" borderId="0" xfId="25" applyFont="1" applyFill="1"/>
    <xf numFmtId="0" fontId="124" fillId="0" borderId="0" xfId="25" applyProtection="1">
      <protection locked="0" hidden="1"/>
    </xf>
    <xf numFmtId="0" fontId="124" fillId="2" borderId="2" xfId="25" applyFill="1" applyBorder="1" applyProtection="1">
      <protection hidden="1"/>
    </xf>
    <xf numFmtId="0" fontId="6" fillId="0" borderId="0" xfId="25" applyFont="1" applyProtection="1">
      <protection hidden="1"/>
    </xf>
    <xf numFmtId="0" fontId="124" fillId="0" borderId="0" xfId="25" applyAlignment="1">
      <alignment horizontal="center"/>
    </xf>
    <xf numFmtId="0" fontId="100" fillId="0" borderId="0" xfId="25" applyFont="1" applyAlignment="1">
      <alignment horizontal="left"/>
    </xf>
    <xf numFmtId="0" fontId="4" fillId="0" borderId="0" xfId="25" applyFont="1" applyProtection="1">
      <protection hidden="1"/>
    </xf>
    <xf numFmtId="0" fontId="35" fillId="0" borderId="0" xfId="24" applyFont="1" applyProtection="1">
      <protection hidden="1"/>
    </xf>
    <xf numFmtId="172" fontId="124" fillId="0" borderId="0" xfId="7" applyNumberFormat="1"/>
    <xf numFmtId="0" fontId="49" fillId="0" borderId="0" xfId="25" applyFont="1" applyAlignment="1">
      <alignment horizontal="center"/>
    </xf>
    <xf numFmtId="0" fontId="124" fillId="0" borderId="0" xfId="25" applyAlignment="1">
      <alignment horizontal="left"/>
    </xf>
    <xf numFmtId="10" fontId="27" fillId="0" borderId="0" xfId="25" applyNumberFormat="1" applyFont="1" applyAlignment="1">
      <alignment horizontal="center"/>
    </xf>
    <xf numFmtId="0" fontId="42" fillId="0" borderId="0" xfId="25" applyFont="1" applyAlignment="1" applyProtection="1">
      <alignment horizontal="center"/>
      <protection locked="0"/>
    </xf>
    <xf numFmtId="4" fontId="124" fillId="5" borderId="0" xfId="25" applyNumberFormat="1" applyFill="1" applyProtection="1">
      <protection locked="0"/>
    </xf>
    <xf numFmtId="4" fontId="124" fillId="0" borderId="0" xfId="25" applyNumberFormat="1" applyProtection="1">
      <protection hidden="1"/>
    </xf>
    <xf numFmtId="4" fontId="124" fillId="0" borderId="0" xfId="25" applyNumberFormat="1" applyAlignment="1" applyProtection="1">
      <alignment horizontal="center"/>
      <protection hidden="1"/>
    </xf>
    <xf numFmtId="0" fontId="5" fillId="0" borderId="0" xfId="24" applyProtection="1">
      <protection hidden="1"/>
    </xf>
    <xf numFmtId="0" fontId="124" fillId="0" borderId="0" xfId="25" quotePrefix="1"/>
    <xf numFmtId="4" fontId="124" fillId="0" borderId="0" xfId="25" applyNumberFormat="1"/>
    <xf numFmtId="0" fontId="124" fillId="0" borderId="44" xfId="25" applyBorder="1"/>
    <xf numFmtId="4" fontId="124" fillId="0" borderId="44" xfId="25" applyNumberFormat="1" applyBorder="1"/>
    <xf numFmtId="1" fontId="124" fillId="0" borderId="0" xfId="25" applyNumberFormat="1" applyProtection="1">
      <protection hidden="1"/>
    </xf>
    <xf numFmtId="1" fontId="124" fillId="0" borderId="0" xfId="25" applyNumberFormat="1" applyAlignment="1" applyProtection="1">
      <alignment horizontal="center"/>
      <protection hidden="1"/>
    </xf>
    <xf numFmtId="0" fontId="49" fillId="4" borderId="0" xfId="25" applyFont="1" applyFill="1"/>
    <xf numFmtId="0" fontId="27" fillId="0" borderId="0" xfId="25" applyFont="1" applyProtection="1">
      <protection locked="0"/>
    </xf>
    <xf numFmtId="0" fontId="124" fillId="0" borderId="11" xfId="25" quotePrefix="1" applyBorder="1"/>
    <xf numFmtId="4" fontId="124" fillId="0" borderId="11" xfId="25" applyNumberFormat="1" applyBorder="1"/>
    <xf numFmtId="4" fontId="124" fillId="0" borderId="0" xfId="25" applyNumberFormat="1" applyProtection="1">
      <protection locked="0"/>
    </xf>
    <xf numFmtId="0" fontId="32" fillId="4" borderId="0" xfId="25" applyFont="1" applyFill="1"/>
    <xf numFmtId="0" fontId="4" fillId="0" borderId="0" xfId="25" applyFont="1" applyProtection="1">
      <protection locked="0"/>
    </xf>
    <xf numFmtId="2" fontId="130" fillId="0" borderId="0" xfId="25" applyNumberFormat="1" applyFont="1"/>
    <xf numFmtId="2" fontId="32" fillId="4" borderId="0" xfId="28" applyFont="1" applyFill="1" applyAlignment="1">
      <alignment horizontal="left"/>
    </xf>
    <xf numFmtId="0" fontId="124" fillId="0" borderId="20" xfId="7" applyBorder="1"/>
    <xf numFmtId="0" fontId="124" fillId="0" borderId="21" xfId="7" applyBorder="1"/>
    <xf numFmtId="0" fontId="124" fillId="0" borderId="22" xfId="7" applyBorder="1"/>
    <xf numFmtId="0" fontId="124" fillId="0" borderId="23" xfId="7" applyBorder="1"/>
    <xf numFmtId="0" fontId="4" fillId="0" borderId="0" xfId="7" applyFont="1"/>
    <xf numFmtId="0" fontId="124" fillId="0" borderId="24" xfId="7" applyBorder="1"/>
    <xf numFmtId="0" fontId="27" fillId="0" borderId="0" xfId="7" applyFont="1"/>
    <xf numFmtId="0" fontId="4" fillId="11" borderId="2" xfId="7" applyFont="1" applyFill="1" applyBorder="1" applyAlignment="1" applyProtection="1">
      <alignment horizontal="center"/>
      <protection hidden="1"/>
    </xf>
    <xf numFmtId="0" fontId="4" fillId="0" borderId="0" xfId="7" applyFont="1" applyAlignment="1" applyProtection="1">
      <alignment horizontal="center"/>
      <protection hidden="1"/>
    </xf>
    <xf numFmtId="0" fontId="31" fillId="9" borderId="2" xfId="7" applyFont="1" applyFill="1" applyBorder="1" applyAlignment="1" applyProtection="1">
      <alignment horizontal="center"/>
      <protection hidden="1"/>
    </xf>
    <xf numFmtId="172" fontId="31" fillId="9" borderId="2" xfId="7" applyNumberFormat="1" applyFont="1" applyFill="1" applyBorder="1" applyProtection="1">
      <protection hidden="1"/>
    </xf>
    <xf numFmtId="172" fontId="124" fillId="0" borderId="0" xfId="7" applyNumberFormat="1" applyProtection="1">
      <protection hidden="1"/>
    </xf>
    <xf numFmtId="172" fontId="124" fillId="0" borderId="2" xfId="7" applyNumberFormat="1" applyBorder="1" applyProtection="1">
      <protection hidden="1"/>
    </xf>
    <xf numFmtId="172" fontId="124" fillId="24" borderId="2" xfId="7" applyNumberFormat="1" applyFill="1" applyBorder="1" applyProtection="1">
      <protection hidden="1"/>
    </xf>
    <xf numFmtId="0" fontId="4" fillId="0" borderId="2" xfId="7" applyFont="1" applyBorder="1" applyAlignment="1" applyProtection="1">
      <alignment horizontal="center"/>
      <protection hidden="1"/>
    </xf>
    <xf numFmtId="172" fontId="4" fillId="0" borderId="0" xfId="7" applyNumberFormat="1" applyFont="1" applyAlignment="1" applyProtection="1">
      <alignment horizontal="center"/>
      <protection hidden="1"/>
    </xf>
    <xf numFmtId="0" fontId="4" fillId="0" borderId="44" xfId="7" applyFont="1" applyBorder="1" applyAlignment="1" applyProtection="1">
      <alignment horizontal="center"/>
      <protection hidden="1"/>
    </xf>
    <xf numFmtId="172" fontId="124" fillId="0" borderId="44" xfId="7" applyNumberFormat="1" applyBorder="1" applyProtection="1">
      <protection hidden="1"/>
    </xf>
    <xf numFmtId="172" fontId="124" fillId="0" borderId="58" xfId="7" applyNumberFormat="1" applyBorder="1" applyProtection="1">
      <protection hidden="1"/>
    </xf>
    <xf numFmtId="0" fontId="124" fillId="0" borderId="25" xfId="7" applyBorder="1"/>
    <xf numFmtId="0" fontId="124" fillId="0" borderId="11" xfId="7" applyBorder="1"/>
    <xf numFmtId="0" fontId="124" fillId="0" borderId="26" xfId="7" applyBorder="1"/>
    <xf numFmtId="14" fontId="4" fillId="0" borderId="2" xfId="25" applyNumberFormat="1" applyFont="1" applyBorder="1" applyAlignment="1" applyProtection="1">
      <alignment horizontal="center"/>
      <protection hidden="1"/>
    </xf>
    <xf numFmtId="0" fontId="124" fillId="2" borderId="0" xfId="25" applyFill="1"/>
    <xf numFmtId="0" fontId="67" fillId="11" borderId="22" xfId="0" applyFont="1" applyFill="1" applyBorder="1" applyAlignment="1" applyProtection="1">
      <alignment vertical="top" wrapText="1"/>
      <protection hidden="1"/>
    </xf>
    <xf numFmtId="10" fontId="36" fillId="0" borderId="2" xfId="0" applyNumberFormat="1" applyFont="1" applyBorder="1" applyAlignment="1">
      <alignment horizontal="center"/>
    </xf>
    <xf numFmtId="2" fontId="6" fillId="12" borderId="0" xfId="27" applyFill="1" applyProtection="1">
      <alignment horizontal="center"/>
      <protection hidden="1"/>
    </xf>
    <xf numFmtId="0" fontId="121" fillId="6" borderId="0" xfId="5" applyFont="1" applyFill="1" applyBorder="1" applyAlignment="1" applyProtection="1">
      <alignment vertical="center"/>
    </xf>
    <xf numFmtId="0" fontId="39" fillId="12" borderId="2" xfId="0" applyFont="1" applyFill="1" applyBorder="1" applyAlignment="1">
      <alignment horizontal="center"/>
    </xf>
    <xf numFmtId="0" fontId="0" fillId="2" borderId="0" xfId="0" applyFill="1" applyProtection="1">
      <protection hidden="1"/>
    </xf>
    <xf numFmtId="9" fontId="124" fillId="0" borderId="0" xfId="25" applyNumberFormat="1" applyAlignment="1">
      <alignment horizontal="center"/>
    </xf>
    <xf numFmtId="0" fontId="124" fillId="0" borderId="0" xfId="25" applyAlignment="1" applyProtection="1">
      <alignment horizontal="center"/>
      <protection locked="0"/>
    </xf>
    <xf numFmtId="0" fontId="124" fillId="3" borderId="0" xfId="25" applyFill="1"/>
    <xf numFmtId="0" fontId="124" fillId="3" borderId="0" xfId="25" applyFill="1" applyProtection="1">
      <protection locked="0"/>
    </xf>
    <xf numFmtId="0" fontId="124" fillId="3" borderId="0" xfId="25" applyFill="1" applyAlignment="1">
      <alignment horizontal="center"/>
    </xf>
    <xf numFmtId="0" fontId="49" fillId="3" borderId="0" xfId="25" applyFont="1" applyFill="1"/>
    <xf numFmtId="0" fontId="6" fillId="3" borderId="0" xfId="25" applyFont="1" applyFill="1"/>
    <xf numFmtId="2" fontId="32" fillId="3" borderId="0" xfId="28" applyFont="1" applyFill="1" applyAlignment="1">
      <alignment horizontal="left"/>
    </xf>
    <xf numFmtId="0" fontId="52" fillId="3" borderId="0" xfId="25" applyFont="1" applyFill="1" applyAlignment="1">
      <alignment horizontal="center"/>
    </xf>
    <xf numFmtId="0" fontId="101" fillId="3" borderId="0" xfId="25" applyFont="1" applyFill="1"/>
    <xf numFmtId="0" fontId="31" fillId="3" borderId="0" xfId="25" applyFont="1" applyFill="1"/>
    <xf numFmtId="0" fontId="32" fillId="3" borderId="0" xfId="25" applyFont="1" applyFill="1"/>
    <xf numFmtId="0" fontId="39" fillId="9" borderId="0" xfId="0" applyFont="1" applyFill="1" applyProtection="1">
      <protection hidden="1"/>
    </xf>
    <xf numFmtId="14" fontId="19" fillId="5" borderId="2" xfId="0" applyNumberFormat="1" applyFont="1" applyFill="1" applyBorder="1" applyAlignment="1" applyProtection="1">
      <alignment horizontal="center"/>
      <protection hidden="1"/>
    </xf>
    <xf numFmtId="0" fontId="19" fillId="12" borderId="0" xfId="0" applyFont="1" applyFill="1" applyAlignment="1" applyProtection="1">
      <alignment horizontal="center"/>
      <protection hidden="1"/>
    </xf>
    <xf numFmtId="0" fontId="19" fillId="5" borderId="2" xfId="0" applyFont="1" applyFill="1" applyBorder="1" applyAlignment="1">
      <alignment horizontal="left"/>
    </xf>
    <xf numFmtId="0" fontId="123" fillId="6" borderId="0" xfId="0" applyFont="1" applyFill="1" applyProtection="1">
      <protection hidden="1"/>
    </xf>
    <xf numFmtId="0" fontId="19" fillId="12" borderId="2" xfId="0" applyFont="1" applyFill="1" applyBorder="1" applyProtection="1">
      <protection hidden="1"/>
    </xf>
    <xf numFmtId="170" fontId="124" fillId="0" borderId="2" xfId="30" applyNumberFormat="1" applyBorder="1" applyProtection="1">
      <alignment horizontal="center"/>
      <protection locked="0"/>
    </xf>
    <xf numFmtId="4" fontId="124" fillId="0" borderId="2" xfId="30" applyNumberFormat="1" applyBorder="1" applyProtection="1">
      <alignment horizontal="center"/>
      <protection locked="0"/>
    </xf>
    <xf numFmtId="3" fontId="124" fillId="0" borderId="2" xfId="30" applyNumberFormat="1" applyBorder="1" applyProtection="1">
      <alignment horizontal="center"/>
      <protection locked="0"/>
    </xf>
    <xf numFmtId="14" fontId="124" fillId="6" borderId="0" xfId="23" applyNumberFormat="1" applyFill="1"/>
    <xf numFmtId="0" fontId="124" fillId="6" borderId="0" xfId="23" applyFill="1"/>
    <xf numFmtId="0" fontId="42" fillId="6" borderId="0" xfId="23" applyFont="1" applyFill="1"/>
    <xf numFmtId="0" fontId="124" fillId="12" borderId="2" xfId="23" applyFill="1" applyBorder="1" applyProtection="1">
      <protection hidden="1"/>
    </xf>
    <xf numFmtId="0" fontId="124" fillId="7" borderId="2" xfId="23" applyFill="1" applyBorder="1"/>
    <xf numFmtId="0" fontId="3" fillId="6" borderId="0" xfId="23" applyFont="1" applyFill="1"/>
    <xf numFmtId="0" fontId="6" fillId="7" borderId="2" xfId="23" applyFont="1" applyFill="1" applyBorder="1" applyAlignment="1">
      <alignment horizontal="right"/>
    </xf>
    <xf numFmtId="0" fontId="4" fillId="6" borderId="0" xfId="23" applyFont="1" applyFill="1" applyAlignment="1">
      <alignment horizontal="right"/>
    </xf>
    <xf numFmtId="0" fontId="4" fillId="6" borderId="0" xfId="23" applyFont="1" applyFill="1"/>
    <xf numFmtId="0" fontId="49" fillId="6" borderId="0" xfId="23" applyFont="1" applyFill="1"/>
    <xf numFmtId="0" fontId="124" fillId="7" borderId="27" xfId="23" applyFill="1" applyBorder="1" applyAlignment="1">
      <alignment horizontal="center"/>
    </xf>
    <xf numFmtId="0" fontId="124" fillId="11" borderId="2" xfId="23" applyFill="1" applyBorder="1" applyAlignment="1">
      <alignment horizontal="center"/>
    </xf>
    <xf numFmtId="0" fontId="6" fillId="3" borderId="2" xfId="23" applyFont="1" applyFill="1" applyBorder="1" applyAlignment="1">
      <alignment horizontal="center"/>
    </xf>
    <xf numFmtId="0" fontId="6" fillId="12" borderId="2" xfId="23" applyFont="1" applyFill="1" applyBorder="1" applyAlignment="1">
      <alignment horizontal="center"/>
    </xf>
    <xf numFmtId="0" fontId="6" fillId="7" borderId="2" xfId="23" applyFont="1" applyFill="1" applyBorder="1" applyAlignment="1">
      <alignment horizontal="center"/>
    </xf>
    <xf numFmtId="3" fontId="124" fillId="3" borderId="2" xfId="23" applyNumberFormat="1" applyFill="1" applyBorder="1" applyAlignment="1" applyProtection="1">
      <alignment horizontal="center"/>
      <protection locked="0"/>
    </xf>
    <xf numFmtId="0" fontId="6" fillId="5" borderId="2" xfId="23" applyFont="1" applyFill="1" applyBorder="1" applyAlignment="1" applyProtection="1">
      <alignment horizontal="center"/>
      <protection locked="0"/>
    </xf>
    <xf numFmtId="0" fontId="42" fillId="0" borderId="0" xfId="23" applyFont="1"/>
    <xf numFmtId="3" fontId="124" fillId="0" borderId="11" xfId="23" applyNumberFormat="1" applyBorder="1" applyAlignment="1" applyProtection="1">
      <alignment horizontal="center"/>
      <protection locked="0"/>
    </xf>
    <xf numFmtId="0" fontId="42" fillId="0" borderId="11" xfId="23" applyFont="1" applyBorder="1" applyAlignment="1" applyProtection="1">
      <alignment horizontal="center"/>
      <protection locked="0"/>
    </xf>
    <xf numFmtId="0" fontId="6" fillId="0" borderId="2" xfId="23" applyFont="1" applyBorder="1" applyAlignment="1">
      <alignment horizontal="center"/>
    </xf>
    <xf numFmtId="0" fontId="124" fillId="3" borderId="2" xfId="23" applyFill="1" applyBorder="1" applyAlignment="1">
      <alignment horizontal="center"/>
    </xf>
    <xf numFmtId="0" fontId="124" fillId="12" borderId="2" xfId="23" applyFill="1" applyBorder="1" applyAlignment="1">
      <alignment horizontal="center"/>
    </xf>
    <xf numFmtId="0" fontId="124" fillId="7" borderId="2" xfId="23" applyFill="1" applyBorder="1" applyAlignment="1">
      <alignment horizontal="center"/>
    </xf>
    <xf numFmtId="0" fontId="6" fillId="7" borderId="2" xfId="23" applyFont="1" applyFill="1" applyBorder="1"/>
    <xf numFmtId="0" fontId="49" fillId="6" borderId="0" xfId="23" applyFont="1" applyFill="1" applyProtection="1">
      <protection hidden="1"/>
    </xf>
    <xf numFmtId="3" fontId="124" fillId="0" borderId="0" xfId="23" applyNumberFormat="1" applyAlignment="1" applyProtection="1">
      <alignment horizontal="center"/>
      <protection locked="0"/>
    </xf>
    <xf numFmtId="0" fontId="124" fillId="6" borderId="2" xfId="23" applyFill="1" applyBorder="1"/>
    <xf numFmtId="0" fontId="124" fillId="5" borderId="2" xfId="23" applyFill="1" applyBorder="1" applyAlignment="1" applyProtection="1">
      <alignment horizontal="center"/>
      <protection locked="0"/>
    </xf>
    <xf numFmtId="0" fontId="42" fillId="6" borderId="0" xfId="23" applyFont="1" applyFill="1" applyProtection="1">
      <protection hidden="1"/>
    </xf>
    <xf numFmtId="0" fontId="4" fillId="0" borderId="2" xfId="23" applyFont="1" applyBorder="1"/>
    <xf numFmtId="0" fontId="42" fillId="6" borderId="0" xfId="23" applyFont="1" applyFill="1" applyProtection="1">
      <protection locked="0"/>
    </xf>
    <xf numFmtId="49" fontId="124" fillId="0" borderId="0" xfId="23" applyNumberFormat="1" applyProtection="1">
      <protection locked="0"/>
    </xf>
    <xf numFmtId="172" fontId="124" fillId="0" borderId="0" xfId="23" applyNumberFormat="1" applyProtection="1">
      <protection locked="0"/>
    </xf>
    <xf numFmtId="0" fontId="124" fillId="0" borderId="41" xfId="23" applyBorder="1"/>
    <xf numFmtId="0" fontId="46" fillId="4" borderId="0" xfId="23" applyFont="1" applyFill="1" applyAlignment="1" applyProtection="1">
      <alignment horizontal="center"/>
      <protection hidden="1"/>
    </xf>
    <xf numFmtId="0" fontId="124" fillId="4" borderId="0" xfId="23" applyFill="1" applyProtection="1">
      <protection locked="0"/>
    </xf>
    <xf numFmtId="0" fontId="124" fillId="0" borderId="2" xfId="23" quotePrefix="1" applyBorder="1"/>
    <xf numFmtId="0" fontId="124" fillId="2" borderId="2" xfId="23" applyFill="1" applyBorder="1" applyAlignment="1">
      <alignment horizontal="center"/>
    </xf>
    <xf numFmtId="3" fontId="124" fillId="0" borderId="0" xfId="23" applyNumberFormat="1" applyAlignment="1">
      <alignment horizontal="center"/>
    </xf>
    <xf numFmtId="168" fontId="124" fillId="0" borderId="0" xfId="31" applyNumberFormat="1" applyFont="1" applyFill="1" applyProtection="1">
      <protection hidden="1"/>
    </xf>
    <xf numFmtId="168" fontId="69" fillId="0" borderId="0" xfId="31" applyNumberFormat="1" applyFont="1" applyFill="1" applyAlignment="1" applyProtection="1">
      <protection hidden="1"/>
    </xf>
    <xf numFmtId="0" fontId="3" fillId="0" borderId="0" xfId="23" applyFont="1" applyAlignment="1" applyProtection="1">
      <alignment horizontal="centerContinuous"/>
      <protection hidden="1"/>
    </xf>
    <xf numFmtId="0" fontId="124" fillId="0" borderId="0" xfId="23" applyProtection="1">
      <protection hidden="1"/>
    </xf>
    <xf numFmtId="168" fontId="4" fillId="0" borderId="0" xfId="31" applyNumberFormat="1" applyFont="1" applyFill="1" applyProtection="1">
      <protection hidden="1"/>
    </xf>
    <xf numFmtId="49" fontId="124" fillId="0" borderId="0" xfId="23" applyNumberFormat="1" applyAlignment="1" applyProtection="1">
      <alignment horizontal="left"/>
      <protection hidden="1"/>
    </xf>
    <xf numFmtId="0" fontId="124" fillId="0" borderId="0" xfId="23" applyAlignment="1" applyProtection="1">
      <alignment horizontal="left"/>
      <protection hidden="1"/>
    </xf>
    <xf numFmtId="14" fontId="124" fillId="0" borderId="0" xfId="23" applyNumberFormat="1" applyAlignment="1" applyProtection="1">
      <alignment horizontal="left"/>
      <protection hidden="1"/>
    </xf>
    <xf numFmtId="168" fontId="124" fillId="0" borderId="11" xfId="31" applyNumberFormat="1" applyFont="1" applyFill="1" applyBorder="1" applyProtection="1">
      <protection hidden="1"/>
    </xf>
    <xf numFmtId="0" fontId="124" fillId="0" borderId="11" xfId="23" applyBorder="1" applyProtection="1">
      <protection hidden="1"/>
    </xf>
    <xf numFmtId="0" fontId="4" fillId="0" borderId="0" xfId="31" applyNumberFormat="1" applyFont="1" applyFill="1" applyProtection="1">
      <protection hidden="1"/>
    </xf>
    <xf numFmtId="14" fontId="6" fillId="0" borderId="0" xfId="23" applyNumberFormat="1" applyFont="1" applyProtection="1">
      <protection hidden="1"/>
    </xf>
    <xf numFmtId="168" fontId="49" fillId="0" borderId="0" xfId="31" applyNumberFormat="1" applyFont="1" applyFill="1" applyProtection="1">
      <protection hidden="1"/>
    </xf>
    <xf numFmtId="0" fontId="42" fillId="0" borderId="0" xfId="23" applyFont="1" applyProtection="1">
      <protection hidden="1"/>
    </xf>
    <xf numFmtId="14" fontId="124" fillId="0" borderId="0" xfId="23" applyNumberFormat="1" applyAlignment="1" applyProtection="1">
      <alignment horizontal="center"/>
      <protection hidden="1"/>
    </xf>
    <xf numFmtId="0" fontId="6" fillId="0" borderId="11" xfId="23" applyFont="1" applyBorder="1" applyAlignment="1" applyProtection="1">
      <alignment horizontal="left"/>
      <protection hidden="1"/>
    </xf>
    <xf numFmtId="0" fontId="6" fillId="0" borderId="11" xfId="23" applyFont="1" applyBorder="1" applyAlignment="1" applyProtection="1">
      <alignment horizontal="centerContinuous"/>
      <protection hidden="1"/>
    </xf>
    <xf numFmtId="0" fontId="124" fillId="0" borderId="11" xfId="23" applyBorder="1" applyAlignment="1" applyProtection="1">
      <alignment horizontal="centerContinuous"/>
      <protection hidden="1"/>
    </xf>
    <xf numFmtId="0" fontId="42" fillId="0" borderId="11" xfId="23" applyFont="1" applyBorder="1" applyProtection="1">
      <protection hidden="1"/>
    </xf>
    <xf numFmtId="0" fontId="4" fillId="0" borderId="0" xfId="23" applyFont="1" applyAlignment="1" applyProtection="1">
      <alignment horizontal="left"/>
      <protection hidden="1"/>
    </xf>
    <xf numFmtId="0" fontId="6" fillId="0" borderId="0" xfId="23" applyFont="1" applyAlignment="1" applyProtection="1">
      <alignment horizontal="centerContinuous"/>
      <protection hidden="1"/>
    </xf>
    <xf numFmtId="0" fontId="124" fillId="0" borderId="0" xfId="23" applyAlignment="1" applyProtection="1">
      <alignment horizontal="centerContinuous"/>
      <protection hidden="1"/>
    </xf>
    <xf numFmtId="14" fontId="6" fillId="0" borderId="0" xfId="23" applyNumberFormat="1" applyFont="1" applyAlignment="1" applyProtection="1">
      <alignment horizontal="center"/>
      <protection hidden="1"/>
    </xf>
    <xf numFmtId="0" fontId="48" fillId="0" borderId="0" xfId="23" applyFont="1" applyAlignment="1" applyProtection="1">
      <alignment horizontal="left"/>
      <protection hidden="1"/>
    </xf>
    <xf numFmtId="0" fontId="85" fillId="0" borderId="0" xfId="23" applyFont="1" applyAlignment="1" applyProtection="1">
      <alignment horizontal="left"/>
      <protection hidden="1"/>
    </xf>
    <xf numFmtId="0" fontId="50" fillId="0" borderId="0" xfId="23" applyFont="1" applyAlignment="1" applyProtection="1">
      <alignment horizontal="left"/>
      <protection hidden="1"/>
    </xf>
    <xf numFmtId="4" fontId="56" fillId="0" borderId="0" xfId="1" applyNumberFormat="1" applyFont="1" applyFill="1" applyBorder="1" applyAlignment="1" applyProtection="1">
      <alignment horizontal="centerContinuous"/>
      <protection hidden="1"/>
    </xf>
    <xf numFmtId="2" fontId="124" fillId="0" borderId="0" xfId="30" applyAlignment="1" applyProtection="1">
      <alignment horizontal="centerContinuous"/>
      <protection hidden="1"/>
    </xf>
    <xf numFmtId="2" fontId="4" fillId="0" borderId="23" xfId="30" applyFont="1" applyBorder="1" applyAlignment="1" applyProtection="1">
      <alignment horizontal="left"/>
      <protection hidden="1"/>
    </xf>
    <xf numFmtId="0" fontId="31" fillId="0" borderId="41" xfId="23" applyFont="1" applyBorder="1" applyAlignment="1" applyProtection="1">
      <alignment horizontal="center"/>
      <protection hidden="1"/>
    </xf>
    <xf numFmtId="0" fontId="135" fillId="0" borderId="0" xfId="23" applyFont="1" applyAlignment="1" applyProtection="1">
      <alignment horizontal="left"/>
      <protection hidden="1"/>
    </xf>
    <xf numFmtId="0" fontId="42" fillId="0" borderId="41" xfId="23" applyFont="1" applyBorder="1" applyProtection="1">
      <protection hidden="1"/>
    </xf>
    <xf numFmtId="0" fontId="54" fillId="0" borderId="0" xfId="23" applyFont="1" applyAlignment="1" applyProtection="1">
      <alignment horizontal="left"/>
      <protection hidden="1"/>
    </xf>
    <xf numFmtId="4" fontId="136" fillId="0" borderId="23" xfId="1" applyNumberFormat="1" applyFont="1" applyFill="1" applyBorder="1" applyAlignment="1" applyProtection="1">
      <alignment horizontal="left"/>
      <protection hidden="1"/>
    </xf>
    <xf numFmtId="2" fontId="27" fillId="0" borderId="24" xfId="30" applyFont="1" applyBorder="1" applyProtection="1">
      <alignment horizontal="center"/>
      <protection locked="0"/>
    </xf>
    <xf numFmtId="2" fontId="124" fillId="0" borderId="41" xfId="30" applyBorder="1" applyAlignment="1" applyProtection="1">
      <protection hidden="1"/>
    </xf>
    <xf numFmtId="0" fontId="54" fillId="0" borderId="0" xfId="23" applyFont="1" applyAlignment="1" applyProtection="1">
      <alignment horizontal="center"/>
      <protection hidden="1"/>
    </xf>
    <xf numFmtId="0" fontId="124" fillId="0" borderId="0" xfId="23" quotePrefix="1" applyProtection="1">
      <protection hidden="1"/>
    </xf>
    <xf numFmtId="1" fontId="58" fillId="0" borderId="0" xfId="23" applyNumberFormat="1" applyFont="1" applyAlignment="1" applyProtection="1">
      <alignment horizontal="left"/>
      <protection hidden="1"/>
    </xf>
    <xf numFmtId="49" fontId="124" fillId="0" borderId="23" xfId="23" applyNumberFormat="1" applyBorder="1" applyProtection="1">
      <protection locked="0"/>
    </xf>
    <xf numFmtId="4" fontId="6" fillId="0" borderId="24" xfId="1" applyNumberFormat="1" applyFont="1" applyFill="1" applyBorder="1" applyAlignment="1" applyProtection="1">
      <protection locked="0"/>
    </xf>
    <xf numFmtId="4" fontId="6" fillId="0" borderId="0" xfId="1" applyNumberFormat="1" applyFont="1" applyFill="1" applyAlignment="1" applyProtection="1">
      <protection locked="0"/>
    </xf>
    <xf numFmtId="173" fontId="32" fillId="0" borderId="41" xfId="1" applyNumberFormat="1" applyFont="1" applyFill="1" applyBorder="1" applyAlignment="1" applyProtection="1">
      <protection hidden="1"/>
    </xf>
    <xf numFmtId="173" fontId="32" fillId="0" borderId="0" xfId="1" applyNumberFormat="1" applyFont="1" applyFill="1" applyAlignment="1" applyProtection="1">
      <alignment horizontal="center"/>
      <protection hidden="1"/>
    </xf>
    <xf numFmtId="168" fontId="124" fillId="0" borderId="44" xfId="31" applyNumberFormat="1" applyFont="1" applyFill="1" applyBorder="1" applyAlignment="1" applyProtection="1">
      <alignment vertical="center"/>
      <protection hidden="1"/>
    </xf>
    <xf numFmtId="0" fontId="124" fillId="0" borderId="44" xfId="23" applyBorder="1" applyAlignment="1" applyProtection="1">
      <alignment horizontal="center" vertical="center"/>
      <protection hidden="1"/>
    </xf>
    <xf numFmtId="4" fontId="4" fillId="0" borderId="44" xfId="1" applyNumberFormat="1" applyFont="1" applyFill="1" applyBorder="1" applyAlignment="1" applyProtection="1">
      <alignment vertical="center"/>
      <protection hidden="1"/>
    </xf>
    <xf numFmtId="173" fontId="32" fillId="0" borderId="0" xfId="23" applyNumberFormat="1" applyFont="1" applyAlignment="1" applyProtection="1">
      <alignment horizontal="center"/>
      <protection hidden="1"/>
    </xf>
    <xf numFmtId="0" fontId="124" fillId="0" borderId="0" xfId="23" applyAlignment="1" applyProtection="1">
      <alignment horizontal="center"/>
      <protection hidden="1"/>
    </xf>
    <xf numFmtId="14" fontId="31" fillId="0" borderId="0" xfId="23" applyNumberFormat="1" applyFont="1" applyAlignment="1" applyProtection="1">
      <alignment horizontal="center"/>
      <protection hidden="1"/>
    </xf>
    <xf numFmtId="0" fontId="52" fillId="0" borderId="0" xfId="23" applyFont="1" applyAlignment="1" applyProtection="1">
      <alignment horizontal="right"/>
      <protection hidden="1"/>
    </xf>
    <xf numFmtId="0" fontId="59" fillId="0" borderId="0" xfId="23" applyFont="1" applyProtection="1">
      <protection hidden="1"/>
    </xf>
    <xf numFmtId="0" fontId="50" fillId="0" borderId="0" xfId="23" applyFont="1" applyProtection="1">
      <protection hidden="1"/>
    </xf>
    <xf numFmtId="0" fontId="138" fillId="0" borderId="2" xfId="23" applyFont="1" applyBorder="1" applyProtection="1">
      <protection hidden="1"/>
    </xf>
    <xf numFmtId="0" fontId="138" fillId="0" borderId="2" xfId="23" applyFont="1" applyBorder="1" applyAlignment="1" applyProtection="1">
      <alignment horizontal="center"/>
      <protection hidden="1"/>
    </xf>
    <xf numFmtId="168" fontId="56" fillId="0" borderId="2" xfId="23" applyNumberFormat="1" applyFont="1" applyBorder="1" applyProtection="1">
      <protection hidden="1"/>
    </xf>
    <xf numFmtId="2" fontId="138" fillId="0" borderId="2" xfId="30" applyFont="1" applyBorder="1" applyProtection="1">
      <alignment horizontal="center"/>
      <protection hidden="1"/>
    </xf>
    <xf numFmtId="168" fontId="50" fillId="0" borderId="0" xfId="31" applyNumberFormat="1" applyFont="1" applyFill="1" applyProtection="1">
      <protection hidden="1"/>
    </xf>
    <xf numFmtId="4" fontId="56" fillId="0" borderId="2" xfId="23" applyNumberFormat="1" applyFont="1" applyBorder="1" applyAlignment="1" applyProtection="1">
      <alignment horizontal="right"/>
      <protection hidden="1"/>
    </xf>
    <xf numFmtId="0" fontId="139" fillId="0" borderId="2" xfId="23" applyFont="1" applyBorder="1" applyAlignment="1" applyProtection="1">
      <alignment horizontal="center"/>
      <protection hidden="1"/>
    </xf>
    <xf numFmtId="4" fontId="56" fillId="0" borderId="2" xfId="23" applyNumberFormat="1" applyFont="1" applyBorder="1" applyProtection="1">
      <protection hidden="1"/>
    </xf>
    <xf numFmtId="173" fontId="56" fillId="0" borderId="2" xfId="23" applyNumberFormat="1" applyFont="1" applyBorder="1" applyProtection="1">
      <protection hidden="1"/>
    </xf>
    <xf numFmtId="168" fontId="3" fillId="0" borderId="0" xfId="31" applyNumberFormat="1" applyFont="1" applyFill="1" applyAlignment="1" applyProtection="1">
      <alignment horizontal="left"/>
      <protection hidden="1"/>
    </xf>
    <xf numFmtId="0" fontId="124" fillId="4" borderId="0" xfId="23" applyFill="1" applyAlignment="1" applyProtection="1">
      <alignment horizontal="right" vertical="center"/>
      <protection hidden="1"/>
    </xf>
    <xf numFmtId="0" fontId="124" fillId="4" borderId="0" xfId="23" applyFill="1" applyProtection="1">
      <protection hidden="1"/>
    </xf>
    <xf numFmtId="0" fontId="124" fillId="4" borderId="0" xfId="23" applyFill="1" applyAlignment="1" applyProtection="1">
      <alignment vertical="center"/>
      <protection hidden="1"/>
    </xf>
    <xf numFmtId="2" fontId="2" fillId="4" borderId="0" xfId="30" applyFont="1" applyFill="1" applyProtection="1">
      <alignment horizontal="center"/>
      <protection hidden="1"/>
    </xf>
    <xf numFmtId="2" fontId="3" fillId="4" borderId="0" xfId="30" applyFont="1" applyFill="1" applyProtection="1">
      <alignment horizontal="center"/>
      <protection hidden="1"/>
    </xf>
    <xf numFmtId="4" fontId="6" fillId="4" borderId="0" xfId="1" applyNumberFormat="1" applyFont="1" applyFill="1" applyAlignment="1" applyProtection="1">
      <alignment horizontal="left"/>
      <protection hidden="1"/>
    </xf>
    <xf numFmtId="2" fontId="46" fillId="4" borderId="0" xfId="30" applyFont="1" applyFill="1" applyProtection="1">
      <alignment horizontal="center"/>
      <protection hidden="1"/>
    </xf>
    <xf numFmtId="2" fontId="124" fillId="4" borderId="0" xfId="30" applyFill="1" applyProtection="1">
      <alignment horizontal="center"/>
      <protection hidden="1"/>
    </xf>
    <xf numFmtId="2" fontId="9" fillId="4" borderId="0" xfId="5" applyNumberFormat="1" applyFill="1" applyAlignment="1" applyProtection="1">
      <alignment horizontal="left"/>
      <protection hidden="1"/>
    </xf>
    <xf numFmtId="2" fontId="9" fillId="4" borderId="0" xfId="5" applyNumberFormat="1" applyFill="1" applyAlignment="1" applyProtection="1">
      <alignment horizontal="center"/>
      <protection hidden="1"/>
    </xf>
    <xf numFmtId="0" fontId="124" fillId="5" borderId="0" xfId="23" applyFill="1" applyAlignment="1" applyProtection="1">
      <alignment horizontal="left"/>
      <protection locked="0"/>
    </xf>
    <xf numFmtId="49" fontId="124" fillId="0" borderId="0" xfId="23" applyNumberFormat="1" applyProtection="1">
      <protection hidden="1"/>
    </xf>
    <xf numFmtId="0" fontId="6" fillId="0" borderId="0" xfId="23" applyFont="1" applyProtection="1">
      <protection hidden="1"/>
    </xf>
    <xf numFmtId="14" fontId="27" fillId="0" borderId="0" xfId="23" applyNumberFormat="1" applyFont="1" applyProtection="1">
      <protection hidden="1"/>
    </xf>
    <xf numFmtId="2" fontId="56" fillId="0" borderId="0" xfId="30" applyFont="1" applyProtection="1">
      <alignment horizontal="center"/>
      <protection hidden="1"/>
    </xf>
    <xf numFmtId="2" fontId="100" fillId="0" borderId="0" xfId="30" applyFont="1" applyProtection="1">
      <alignment horizontal="center"/>
      <protection hidden="1"/>
    </xf>
    <xf numFmtId="0" fontId="100" fillId="0" borderId="0" xfId="23" applyFont="1" applyProtection="1">
      <protection hidden="1"/>
    </xf>
    <xf numFmtId="14" fontId="27" fillId="0" borderId="0" xfId="23" applyNumberFormat="1" applyFont="1" applyAlignment="1" applyProtection="1">
      <alignment horizontal="center"/>
      <protection hidden="1"/>
    </xf>
    <xf numFmtId="3" fontId="124" fillId="0" borderId="0" xfId="23" applyNumberFormat="1" applyAlignment="1" applyProtection="1">
      <alignment horizontal="center"/>
      <protection hidden="1"/>
    </xf>
    <xf numFmtId="14" fontId="6" fillId="0" borderId="11" xfId="23" applyNumberFormat="1" applyFont="1" applyBorder="1" applyAlignment="1" applyProtection="1">
      <alignment horizontal="center"/>
      <protection hidden="1"/>
    </xf>
    <xf numFmtId="14" fontId="42" fillId="0" borderId="11" xfId="23" applyNumberFormat="1" applyFont="1" applyBorder="1" applyAlignment="1" applyProtection="1">
      <alignment horizontal="center"/>
      <protection hidden="1"/>
    </xf>
    <xf numFmtId="0" fontId="55" fillId="0" borderId="0" xfId="23" applyFont="1" applyAlignment="1" applyProtection="1">
      <alignment horizontal="center"/>
      <protection hidden="1"/>
    </xf>
    <xf numFmtId="4" fontId="57" fillId="0" borderId="0" xfId="1" applyNumberFormat="1" applyFont="1" applyFill="1" applyBorder="1" applyAlignment="1" applyProtection="1">
      <alignment horizontal="centerContinuous"/>
      <protection hidden="1"/>
    </xf>
    <xf numFmtId="2" fontId="32" fillId="4" borderId="0" xfId="30" applyFont="1" applyFill="1" applyProtection="1">
      <alignment horizontal="center"/>
      <protection hidden="1"/>
    </xf>
    <xf numFmtId="2" fontId="11" fillId="0" borderId="0" xfId="30" applyFont="1" applyAlignment="1" applyProtection="1">
      <alignment horizontal="left"/>
      <protection hidden="1"/>
    </xf>
    <xf numFmtId="2" fontId="11" fillId="0" borderId="0" xfId="30" applyFont="1" applyAlignment="1" applyProtection="1">
      <alignment horizontal="centerContinuous"/>
      <protection hidden="1"/>
    </xf>
    <xf numFmtId="2" fontId="11" fillId="0" borderId="0" xfId="30" applyFont="1" applyProtection="1">
      <alignment horizontal="center"/>
      <protection hidden="1"/>
    </xf>
    <xf numFmtId="0" fontId="100" fillId="0" borderId="0" xfId="23" applyFont="1" applyAlignment="1" applyProtection="1">
      <alignment horizontal="center"/>
      <protection hidden="1"/>
    </xf>
    <xf numFmtId="2" fontId="100" fillId="0" borderId="0" xfId="30" applyFont="1" applyAlignment="1" applyProtection="1">
      <alignment horizontal="left"/>
      <protection hidden="1"/>
    </xf>
    <xf numFmtId="2" fontId="11" fillId="0" borderId="0" xfId="30" quotePrefix="1" applyFont="1" applyAlignment="1" applyProtection="1">
      <alignment horizontal="right"/>
      <protection hidden="1"/>
    </xf>
    <xf numFmtId="0" fontId="100" fillId="0" borderId="0" xfId="23" applyFont="1" applyAlignment="1" applyProtection="1">
      <alignment horizontal="centerContinuous"/>
      <protection hidden="1"/>
    </xf>
    <xf numFmtId="2" fontId="11" fillId="0" borderId="24" xfId="30" quotePrefix="1" applyFont="1" applyBorder="1" applyAlignment="1" applyProtection="1">
      <alignment horizontal="right"/>
      <protection hidden="1"/>
    </xf>
    <xf numFmtId="2" fontId="27" fillId="0" borderId="0" xfId="30" applyFont="1" applyAlignment="1" applyProtection="1">
      <alignment horizontal="centerContinuous"/>
      <protection hidden="1"/>
    </xf>
    <xf numFmtId="0" fontId="55" fillId="0" borderId="24" xfId="23" applyFont="1" applyBorder="1" applyAlignment="1" applyProtection="1">
      <alignment horizontal="centerContinuous"/>
      <protection hidden="1"/>
    </xf>
    <xf numFmtId="2" fontId="27" fillId="0" borderId="24" xfId="30" applyFont="1" applyBorder="1" applyAlignment="1" applyProtection="1">
      <alignment horizontal="centerContinuous"/>
      <protection locked="0"/>
    </xf>
    <xf numFmtId="4" fontId="136" fillId="0" borderId="0" xfId="1" applyNumberFormat="1" applyFont="1" applyFill="1" applyAlignment="1" applyProtection="1">
      <alignment horizontal="left"/>
      <protection hidden="1"/>
    </xf>
    <xf numFmtId="14" fontId="124" fillId="4" borderId="0" xfId="30" applyNumberFormat="1" applyFill="1" applyProtection="1">
      <alignment horizontal="center"/>
      <protection hidden="1"/>
    </xf>
    <xf numFmtId="2" fontId="137" fillId="4" borderId="0" xfId="30" applyFont="1" applyFill="1" applyProtection="1">
      <alignment horizontal="center"/>
      <protection hidden="1"/>
    </xf>
    <xf numFmtId="14" fontId="137" fillId="4" borderId="0" xfId="30" applyNumberFormat="1" applyFont="1" applyFill="1" applyProtection="1">
      <alignment horizontal="center"/>
      <protection hidden="1"/>
    </xf>
    <xf numFmtId="173" fontId="31" fillId="0" borderId="44" xfId="1" applyNumberFormat="1" applyFont="1" applyFill="1" applyBorder="1" applyAlignment="1" applyProtection="1">
      <alignment vertical="center"/>
      <protection hidden="1"/>
    </xf>
    <xf numFmtId="0" fontId="56" fillId="0" borderId="2" xfId="23" applyFont="1" applyBorder="1" applyProtection="1">
      <protection hidden="1"/>
    </xf>
    <xf numFmtId="0" fontId="124" fillId="0" borderId="0" xfId="23" applyAlignment="1" applyProtection="1">
      <alignment horizontal="centerContinuous" wrapText="1"/>
      <protection hidden="1"/>
    </xf>
    <xf numFmtId="0" fontId="138" fillId="0" borderId="2" xfId="23" applyFont="1" applyBorder="1" applyAlignment="1" applyProtection="1">
      <alignment horizontal="centerContinuous" wrapText="1"/>
      <protection hidden="1"/>
    </xf>
    <xf numFmtId="168" fontId="4" fillId="4" borderId="0" xfId="31" applyNumberFormat="1" applyFont="1" applyFill="1" applyAlignment="1" applyProtection="1">
      <alignment horizontal="left"/>
      <protection hidden="1"/>
    </xf>
    <xf numFmtId="2" fontId="50" fillId="4" borderId="0" xfId="30" applyFont="1" applyFill="1" applyAlignment="1" applyProtection="1">
      <alignment horizontal="left"/>
      <protection hidden="1"/>
    </xf>
    <xf numFmtId="2" fontId="124" fillId="4" borderId="0" xfId="30" applyFill="1" applyAlignment="1" applyProtection="1">
      <alignment horizontal="left"/>
      <protection hidden="1"/>
    </xf>
    <xf numFmtId="2" fontId="54" fillId="4" borderId="0" xfId="30" applyFont="1" applyFill="1" applyAlignment="1" applyProtection="1">
      <alignment horizontal="centerContinuous" wrapText="1"/>
      <protection hidden="1"/>
    </xf>
    <xf numFmtId="2" fontId="124" fillId="4" borderId="0" xfId="30" applyFill="1" applyAlignment="1" applyProtection="1">
      <alignment horizontal="centerContinuous" wrapText="1"/>
      <protection hidden="1"/>
    </xf>
    <xf numFmtId="4" fontId="42" fillId="6" borderId="29" xfId="0" applyNumberFormat="1" applyFont="1" applyFill="1" applyBorder="1" applyAlignment="1" applyProtection="1">
      <alignment horizontal="right"/>
      <protection hidden="1"/>
    </xf>
    <xf numFmtId="0" fontId="27" fillId="0" borderId="23" xfId="23" applyFont="1" applyBorder="1" applyAlignment="1" applyProtection="1">
      <alignment horizontal="centerContinuous"/>
      <protection hidden="1"/>
    </xf>
    <xf numFmtId="0" fontId="136" fillId="0" borderId="23" xfId="1" applyNumberFormat="1" applyFont="1" applyFill="1" applyBorder="1" applyAlignment="1" applyProtection="1">
      <alignment horizontal="left"/>
      <protection hidden="1"/>
    </xf>
    <xf numFmtId="0" fontId="124" fillId="0" borderId="23" xfId="23" applyBorder="1" applyProtection="1">
      <protection locked="0"/>
    </xf>
    <xf numFmtId="14" fontId="137" fillId="2" borderId="0" xfId="30" applyNumberFormat="1" applyFont="1" applyFill="1" applyProtection="1">
      <alignment horizontal="center"/>
      <protection hidden="1"/>
    </xf>
    <xf numFmtId="2" fontId="124" fillId="0" borderId="0" xfId="30" applyAlignment="1" applyProtection="1">
      <alignment horizontal="left"/>
      <protection locked="0"/>
    </xf>
    <xf numFmtId="3" fontId="124" fillId="0" borderId="0" xfId="30" applyNumberFormat="1" applyAlignment="1" applyProtection="1">
      <alignment horizontal="left"/>
      <protection locked="0"/>
    </xf>
    <xf numFmtId="3" fontId="124" fillId="0" borderId="2" xfId="30" applyNumberFormat="1" applyBorder="1" applyProtection="1">
      <alignment horizontal="center"/>
      <protection hidden="1"/>
    </xf>
    <xf numFmtId="2" fontId="124" fillId="0" borderId="23" xfId="23" applyNumberFormat="1" applyBorder="1" applyProtection="1">
      <protection hidden="1"/>
    </xf>
    <xf numFmtId="2" fontId="124" fillId="0" borderId="0" xfId="23" applyNumberFormat="1" applyProtection="1">
      <protection hidden="1"/>
    </xf>
    <xf numFmtId="49" fontId="124" fillId="0" borderId="23" xfId="23" applyNumberFormat="1" applyBorder="1" applyProtection="1">
      <protection hidden="1"/>
    </xf>
    <xf numFmtId="0" fontId="124" fillId="0" borderId="23" xfId="23" applyBorder="1" applyProtection="1">
      <protection hidden="1"/>
    </xf>
    <xf numFmtId="2" fontId="85" fillId="0" borderId="0" xfId="23" applyNumberFormat="1" applyFont="1" applyAlignment="1" applyProtection="1">
      <alignment horizontal="center"/>
      <protection hidden="1"/>
    </xf>
    <xf numFmtId="0" fontId="50" fillId="0" borderId="0" xfId="23" applyFont="1" applyAlignment="1" applyProtection="1">
      <alignment horizontal="right"/>
      <protection hidden="1"/>
    </xf>
    <xf numFmtId="0" fontId="124" fillId="3" borderId="2" xfId="23" applyFill="1" applyBorder="1" applyAlignment="1" applyProtection="1">
      <alignment horizontal="center"/>
      <protection locked="0"/>
    </xf>
    <xf numFmtId="0" fontId="124" fillId="2" borderId="0" xfId="23" applyFill="1" applyAlignment="1">
      <alignment horizontal="center"/>
    </xf>
    <xf numFmtId="0" fontId="4" fillId="0" borderId="28" xfId="23" applyFont="1" applyBorder="1"/>
    <xf numFmtId="0" fontId="0" fillId="3" borderId="2" xfId="0" applyFill="1" applyBorder="1" applyAlignment="1">
      <alignment horizontal="center"/>
    </xf>
    <xf numFmtId="0" fontId="6" fillId="0" borderId="0" xfId="23" applyFont="1" applyAlignment="1">
      <alignment horizontal="center"/>
    </xf>
    <xf numFmtId="0" fontId="124" fillId="4" borderId="28" xfId="23" applyFill="1" applyBorder="1"/>
    <xf numFmtId="0" fontId="0" fillId="3" borderId="0" xfId="0" applyFill="1" applyProtection="1">
      <protection locked="0"/>
    </xf>
    <xf numFmtId="2" fontId="42" fillId="0" borderId="11" xfId="30" applyFont="1" applyBorder="1" applyProtection="1">
      <alignment horizontal="center"/>
      <protection hidden="1"/>
    </xf>
    <xf numFmtId="4" fontId="85" fillId="0" borderId="2" xfId="23" applyNumberFormat="1" applyFont="1" applyBorder="1" applyProtection="1">
      <protection hidden="1"/>
    </xf>
    <xf numFmtId="0" fontId="50" fillId="0" borderId="2" xfId="23" applyFont="1" applyBorder="1" applyProtection="1">
      <protection hidden="1"/>
    </xf>
    <xf numFmtId="173" fontId="85" fillId="0" borderId="2" xfId="23" applyNumberFormat="1" applyFont="1" applyBorder="1" applyProtection="1">
      <protection hidden="1"/>
    </xf>
    <xf numFmtId="2" fontId="124" fillId="3" borderId="0" xfId="30" applyFill="1" applyAlignment="1" applyProtection="1">
      <alignment horizontal="left"/>
      <protection locked="0"/>
    </xf>
    <xf numFmtId="2" fontId="124" fillId="0" borderId="0" xfId="30" applyAlignment="1" applyProtection="1">
      <alignment horizontal="left"/>
      <protection hidden="1"/>
    </xf>
    <xf numFmtId="14" fontId="27" fillId="0" borderId="0" xfId="23" applyNumberFormat="1" applyFont="1" applyProtection="1">
      <protection locked="0"/>
    </xf>
    <xf numFmtId="0" fontId="19" fillId="12" borderId="2" xfId="0" applyFont="1" applyFill="1" applyBorder="1" applyAlignment="1" applyProtection="1">
      <alignment horizontal="left"/>
      <protection locked="0"/>
    </xf>
    <xf numFmtId="0" fontId="19" fillId="12" borderId="0" xfId="0" applyFont="1" applyFill="1"/>
    <xf numFmtId="0" fontId="124" fillId="27" borderId="0" xfId="23" applyFill="1"/>
    <xf numFmtId="0" fontId="124" fillId="0" borderId="23" xfId="23" applyBorder="1"/>
    <xf numFmtId="0" fontId="4" fillId="0" borderId="0" xfId="23" applyFont="1"/>
    <xf numFmtId="14" fontId="124" fillId="0" borderId="2" xfId="23" applyNumberFormat="1" applyBorder="1"/>
    <xf numFmtId="0" fontId="4" fillId="0" borderId="0" xfId="23" quotePrefix="1" applyFont="1"/>
    <xf numFmtId="0" fontId="7" fillId="0" borderId="0" xfId="23" applyFont="1" applyAlignment="1">
      <alignment horizontal="center"/>
    </xf>
    <xf numFmtId="0" fontId="27" fillId="0" borderId="0" xfId="23" applyFont="1" applyProtection="1">
      <protection hidden="1"/>
    </xf>
    <xf numFmtId="3" fontId="6" fillId="5" borderId="2" xfId="23" applyNumberFormat="1" applyFont="1" applyFill="1" applyBorder="1" applyAlignment="1" applyProtection="1">
      <alignment horizontal="center"/>
      <protection locked="0"/>
    </xf>
    <xf numFmtId="4" fontId="124" fillId="4" borderId="2" xfId="23" applyNumberFormat="1" applyFill="1" applyBorder="1" applyAlignment="1">
      <alignment horizontal="center"/>
    </xf>
    <xf numFmtId="0" fontId="31" fillId="11" borderId="0" xfId="23" applyFont="1" applyFill="1" applyProtection="1">
      <protection hidden="1"/>
    </xf>
    <xf numFmtId="0" fontId="124" fillId="12" borderId="59" xfId="23" applyFill="1" applyBorder="1"/>
    <xf numFmtId="0" fontId="42" fillId="3" borderId="60" xfId="23" applyFont="1" applyFill="1" applyBorder="1"/>
    <xf numFmtId="0" fontId="124" fillId="7" borderId="61" xfId="23" applyFill="1" applyBorder="1"/>
    <xf numFmtId="0" fontId="124" fillId="6" borderId="23" xfId="23" applyFill="1" applyBorder="1"/>
    <xf numFmtId="0" fontId="41" fillId="27" borderId="0" xfId="23" applyFont="1" applyFill="1" applyAlignment="1" applyProtection="1">
      <alignment horizontal="right"/>
      <protection hidden="1"/>
    </xf>
    <xf numFmtId="0" fontId="124" fillId="27" borderId="0" xfId="23" applyFill="1" applyProtection="1">
      <protection locked="0"/>
    </xf>
    <xf numFmtId="0" fontId="124" fillId="27" borderId="0" xfId="23" applyFill="1" applyAlignment="1" applyProtection="1">
      <alignment horizontal="right" vertical="center"/>
      <protection hidden="1"/>
    </xf>
    <xf numFmtId="0" fontId="124" fillId="27" borderId="0" xfId="23" applyFill="1" applyProtection="1">
      <protection hidden="1"/>
    </xf>
    <xf numFmtId="0" fontId="124" fillId="27" borderId="0" xfId="23" applyFill="1" applyAlignment="1" applyProtection="1">
      <alignment vertical="center"/>
      <protection hidden="1"/>
    </xf>
    <xf numFmtId="2" fontId="2" fillId="27" borderId="0" xfId="30" applyFont="1" applyFill="1" applyProtection="1">
      <alignment horizontal="center"/>
      <protection hidden="1"/>
    </xf>
    <xf numFmtId="2" fontId="3" fillId="27" borderId="0" xfId="30" applyFont="1" applyFill="1" applyProtection="1">
      <alignment horizontal="center"/>
      <protection hidden="1"/>
    </xf>
    <xf numFmtId="4" fontId="6" fillId="27" borderId="0" xfId="1" applyNumberFormat="1" applyFont="1" applyFill="1" applyAlignment="1" applyProtection="1">
      <alignment horizontal="left"/>
      <protection hidden="1"/>
    </xf>
    <xf numFmtId="2" fontId="46" fillId="27" borderId="0" xfId="30" applyFont="1" applyFill="1" applyProtection="1">
      <alignment horizontal="center"/>
      <protection hidden="1"/>
    </xf>
    <xf numFmtId="2" fontId="124" fillId="27" borderId="0" xfId="30" applyFill="1" applyProtection="1">
      <alignment horizontal="center"/>
      <protection hidden="1"/>
    </xf>
    <xf numFmtId="2" fontId="9" fillId="27" borderId="0" xfId="5" applyNumberFormat="1" applyFill="1" applyAlignment="1" applyProtection="1">
      <alignment horizontal="left"/>
      <protection hidden="1"/>
    </xf>
    <xf numFmtId="2" fontId="9" fillId="27" borderId="0" xfId="5" applyNumberFormat="1" applyFill="1" applyAlignment="1" applyProtection="1">
      <alignment horizontal="center"/>
      <protection hidden="1"/>
    </xf>
    <xf numFmtId="14" fontId="27" fillId="0" borderId="0" xfId="23" applyNumberFormat="1" applyFont="1" applyAlignment="1" applyProtection="1">
      <alignment horizontal="left"/>
      <protection hidden="1"/>
    </xf>
    <xf numFmtId="14" fontId="6" fillId="0" borderId="0" xfId="23" applyNumberFormat="1" applyFont="1" applyAlignment="1" applyProtection="1">
      <alignment horizontal="left"/>
      <protection hidden="1"/>
    </xf>
    <xf numFmtId="0" fontId="6" fillId="0" borderId="0" xfId="23" applyFont="1" applyAlignment="1" applyProtection="1">
      <alignment horizontal="left"/>
      <protection hidden="1"/>
    </xf>
    <xf numFmtId="3" fontId="42" fillId="0" borderId="0" xfId="30" applyNumberFormat="1" applyFont="1" applyProtection="1">
      <alignment horizontal="center"/>
      <protection hidden="1"/>
    </xf>
    <xf numFmtId="14" fontId="42" fillId="0" borderId="0" xfId="23" applyNumberFormat="1" applyFont="1" applyAlignment="1" applyProtection="1">
      <alignment horizontal="center"/>
      <protection hidden="1"/>
    </xf>
    <xf numFmtId="2" fontId="49" fillId="0" borderId="11" xfId="30" applyFont="1" applyBorder="1" applyProtection="1">
      <alignment horizontal="center"/>
      <protection hidden="1"/>
    </xf>
    <xf numFmtId="2" fontId="32" fillId="27" borderId="0" xfId="30" applyFont="1" applyFill="1" applyProtection="1">
      <alignment horizontal="center"/>
      <protection hidden="1"/>
    </xf>
    <xf numFmtId="0" fontId="4" fillId="0" borderId="0" xfId="23" applyFont="1" applyAlignment="1" applyProtection="1">
      <alignment horizontal="center"/>
      <protection hidden="1"/>
    </xf>
    <xf numFmtId="2" fontId="124" fillId="0" borderId="0" xfId="30" quotePrefix="1" applyAlignment="1" applyProtection="1">
      <alignment horizontal="left"/>
      <protection hidden="1"/>
    </xf>
    <xf numFmtId="2" fontId="124" fillId="0" borderId="0" xfId="30" quotePrefix="1" applyAlignment="1" applyProtection="1">
      <alignment horizontal="right"/>
      <protection hidden="1"/>
    </xf>
    <xf numFmtId="0" fontId="12" fillId="0" borderId="0" xfId="23" applyFont="1" applyAlignment="1" applyProtection="1">
      <alignment horizontal="centerContinuous"/>
      <protection hidden="1"/>
    </xf>
    <xf numFmtId="0" fontId="31" fillId="0" borderId="0" xfId="23" applyFont="1" applyAlignment="1" applyProtection="1">
      <alignment horizontal="center"/>
      <protection hidden="1"/>
    </xf>
    <xf numFmtId="0" fontId="27" fillId="0" borderId="0" xfId="23" applyFont="1" applyAlignment="1" applyProtection="1">
      <alignment horizontal="centerContinuous"/>
      <protection hidden="1"/>
    </xf>
    <xf numFmtId="0" fontId="55" fillId="0" borderId="0" xfId="23" applyFont="1" applyAlignment="1" applyProtection="1">
      <alignment horizontal="centerContinuous"/>
      <protection hidden="1"/>
    </xf>
    <xf numFmtId="14" fontId="124" fillId="27" borderId="0" xfId="30" applyNumberFormat="1" applyFill="1" applyProtection="1">
      <alignment horizontal="center"/>
      <protection hidden="1"/>
    </xf>
    <xf numFmtId="172" fontId="6" fillId="0" borderId="0" xfId="1" applyNumberFormat="1" applyFont="1" applyFill="1" applyAlignment="1" applyProtection="1">
      <protection locked="0"/>
    </xf>
    <xf numFmtId="173" fontId="32" fillId="0" borderId="23" xfId="1" applyNumberFormat="1" applyFont="1" applyFill="1" applyBorder="1" applyAlignment="1" applyProtection="1">
      <protection hidden="1"/>
    </xf>
    <xf numFmtId="2" fontId="137" fillId="27" borderId="0" xfId="30" applyFont="1" applyFill="1" applyProtection="1">
      <alignment horizontal="center"/>
      <protection hidden="1"/>
    </xf>
    <xf numFmtId="173" fontId="31" fillId="0" borderId="44" xfId="23" applyNumberFormat="1" applyFont="1" applyBorder="1" applyAlignment="1" applyProtection="1">
      <alignment vertical="center"/>
      <protection hidden="1"/>
    </xf>
    <xf numFmtId="174" fontId="56" fillId="0" borderId="2" xfId="23" applyNumberFormat="1" applyFont="1" applyBorder="1" applyProtection="1">
      <protection hidden="1"/>
    </xf>
    <xf numFmtId="4" fontId="138" fillId="0" borderId="2" xfId="23" applyNumberFormat="1" applyFont="1" applyBorder="1" applyProtection="1">
      <protection hidden="1"/>
    </xf>
    <xf numFmtId="174" fontId="138" fillId="0" borderId="2" xfId="23" applyNumberFormat="1" applyFont="1" applyBorder="1" applyProtection="1">
      <protection hidden="1"/>
    </xf>
    <xf numFmtId="168" fontId="4" fillId="27" borderId="0" xfId="31" applyNumberFormat="1" applyFont="1" applyFill="1" applyAlignment="1" applyProtection="1">
      <alignment horizontal="left"/>
      <protection hidden="1"/>
    </xf>
    <xf numFmtId="2" fontId="50" fillId="27" borderId="0" xfId="30" applyFont="1" applyFill="1" applyAlignment="1" applyProtection="1">
      <alignment horizontal="left"/>
      <protection hidden="1"/>
    </xf>
    <xf numFmtId="2" fontId="124" fillId="27" borderId="0" xfId="30" applyFill="1" applyAlignment="1" applyProtection="1">
      <alignment horizontal="left"/>
      <protection hidden="1"/>
    </xf>
    <xf numFmtId="2" fontId="54" fillId="27" borderId="0" xfId="30" applyFont="1" applyFill="1" applyAlignment="1" applyProtection="1">
      <alignment horizontal="centerContinuous" wrapText="1"/>
      <protection hidden="1"/>
    </xf>
    <xf numFmtId="2" fontId="124" fillId="27" borderId="0" xfId="30" applyFill="1" applyAlignment="1" applyProtection="1">
      <alignment horizontal="centerContinuous" wrapText="1"/>
      <protection hidden="1"/>
    </xf>
    <xf numFmtId="14" fontId="137" fillId="12" borderId="0" xfId="30" applyNumberFormat="1" applyFont="1" applyFill="1" applyProtection="1">
      <alignment horizontal="center"/>
      <protection hidden="1"/>
    </xf>
    <xf numFmtId="0" fontId="124" fillId="0" borderId="2" xfId="23" applyBorder="1" applyAlignment="1">
      <alignment horizontal="right"/>
    </xf>
    <xf numFmtId="0" fontId="124" fillId="3" borderId="2" xfId="23" applyFill="1" applyBorder="1" applyProtection="1">
      <protection locked="0"/>
    </xf>
    <xf numFmtId="3" fontId="124" fillId="0" borderId="2" xfId="23" applyNumberFormat="1" applyBorder="1" applyAlignment="1">
      <alignment horizontal="center"/>
    </xf>
    <xf numFmtId="0" fontId="124" fillId="12" borderId="0" xfId="23" applyFill="1" applyProtection="1">
      <protection locked="0"/>
    </xf>
    <xf numFmtId="0" fontId="42" fillId="0" borderId="0" xfId="23" applyFont="1" applyAlignment="1">
      <alignment horizontal="right" vertical="center"/>
    </xf>
    <xf numFmtId="2" fontId="124" fillId="5" borderId="0" xfId="30" applyFill="1" applyAlignment="1" applyProtection="1">
      <alignment horizontal="left"/>
      <protection locked="0"/>
    </xf>
    <xf numFmtId="2" fontId="42" fillId="0" borderId="0" xfId="30" applyFont="1" applyProtection="1">
      <alignment horizontal="center"/>
      <protection hidden="1"/>
    </xf>
    <xf numFmtId="2" fontId="6" fillId="0" borderId="23" xfId="1" applyNumberFormat="1" applyFont="1" applyFill="1" applyBorder="1" applyAlignment="1" applyProtection="1">
      <alignment horizontal="center"/>
      <protection hidden="1"/>
    </xf>
    <xf numFmtId="49" fontId="6" fillId="0" borderId="23" xfId="1" applyNumberFormat="1" applyFont="1" applyFill="1" applyBorder="1" applyAlignment="1" applyProtection="1">
      <alignment horizontal="center"/>
      <protection hidden="1"/>
    </xf>
    <xf numFmtId="14" fontId="27" fillId="0" borderId="0" xfId="23" applyNumberFormat="1" applyFont="1" applyAlignment="1" applyProtection="1">
      <alignment horizontal="left"/>
      <protection locked="0" hidden="1"/>
    </xf>
    <xf numFmtId="1" fontId="58" fillId="0" borderId="24" xfId="23" applyNumberFormat="1" applyFont="1" applyBorder="1" applyAlignment="1" applyProtection="1">
      <alignment horizontal="left"/>
      <protection hidden="1"/>
    </xf>
    <xf numFmtId="49" fontId="6" fillId="0" borderId="25" xfId="1" applyNumberFormat="1" applyFont="1" applyFill="1" applyBorder="1" applyAlignment="1" applyProtection="1">
      <alignment horizontal="center"/>
      <protection hidden="1"/>
    </xf>
    <xf numFmtId="49" fontId="6" fillId="0" borderId="62" xfId="1" applyNumberFormat="1" applyFont="1" applyFill="1" applyBorder="1" applyAlignment="1" applyProtection="1">
      <alignment horizontal="center"/>
      <protection hidden="1"/>
    </xf>
    <xf numFmtId="0" fontId="124" fillId="3" borderId="0" xfId="23" applyFill="1" applyAlignment="1" applyProtection="1">
      <alignment horizontal="right" vertical="center"/>
      <protection hidden="1"/>
    </xf>
    <xf numFmtId="0" fontId="124" fillId="3" borderId="0" xfId="23" applyFill="1" applyAlignment="1" applyProtection="1">
      <alignment horizontal="left" vertical="center"/>
      <protection hidden="1"/>
    </xf>
    <xf numFmtId="14" fontId="89" fillId="6" borderId="0" xfId="22" applyNumberFormat="1" applyFill="1" applyProtection="1">
      <protection hidden="1"/>
    </xf>
    <xf numFmtId="0" fontId="124" fillId="28" borderId="0" xfId="23" applyFill="1" applyProtection="1">
      <protection hidden="1"/>
    </xf>
    <xf numFmtId="0" fontId="6" fillId="0" borderId="0" xfId="23" applyFont="1" applyProtection="1">
      <protection locked="0" hidden="1"/>
    </xf>
    <xf numFmtId="0" fontId="3" fillId="0" borderId="11" xfId="23" applyFont="1" applyBorder="1" applyProtection="1">
      <protection hidden="1"/>
    </xf>
    <xf numFmtId="0" fontId="124" fillId="0" borderId="11" xfId="23" applyBorder="1" applyAlignment="1" applyProtection="1">
      <alignment horizontal="right"/>
      <protection hidden="1"/>
    </xf>
    <xf numFmtId="0" fontId="124" fillId="0" borderId="0" xfId="23" applyProtection="1">
      <protection locked="0" hidden="1"/>
    </xf>
    <xf numFmtId="0" fontId="4" fillId="0" borderId="0" xfId="31" applyNumberFormat="1" applyFont="1" applyFill="1" applyBorder="1" applyProtection="1">
      <protection hidden="1"/>
    </xf>
    <xf numFmtId="0" fontId="4" fillId="0" borderId="11" xfId="31" applyNumberFormat="1" applyFont="1" applyFill="1" applyBorder="1" applyProtection="1">
      <protection hidden="1"/>
    </xf>
    <xf numFmtId="3" fontId="124" fillId="5" borderId="2" xfId="23" applyNumberFormat="1" applyFill="1" applyBorder="1" applyAlignment="1" applyProtection="1">
      <alignment horizontal="center"/>
      <protection locked="0" hidden="1"/>
    </xf>
    <xf numFmtId="0" fontId="124" fillId="0" borderId="2" xfId="23" applyBorder="1" applyProtection="1">
      <protection hidden="1"/>
    </xf>
    <xf numFmtId="0" fontId="6" fillId="0" borderId="2" xfId="23" applyFont="1" applyBorder="1" applyProtection="1">
      <protection hidden="1"/>
    </xf>
    <xf numFmtId="16" fontId="124" fillId="0" borderId="0" xfId="23" applyNumberFormat="1" applyProtection="1">
      <protection hidden="1"/>
    </xf>
    <xf numFmtId="3" fontId="124" fillId="0" borderId="0" xfId="23" applyNumberFormat="1" applyProtection="1">
      <protection hidden="1"/>
    </xf>
    <xf numFmtId="14" fontId="124" fillId="0" borderId="0" xfId="23" applyNumberFormat="1" applyProtection="1">
      <protection hidden="1"/>
    </xf>
    <xf numFmtId="0" fontId="6" fillId="5" borderId="2" xfId="23" applyFont="1" applyFill="1" applyBorder="1" applyAlignment="1" applyProtection="1">
      <alignment horizontal="center"/>
      <protection locked="0" hidden="1"/>
    </xf>
    <xf numFmtId="3" fontId="124" fillId="3" borderId="2" xfId="23" applyNumberFormat="1" applyFill="1" applyBorder="1" applyAlignment="1" applyProtection="1">
      <alignment horizontal="center"/>
      <protection locked="0" hidden="1"/>
    </xf>
    <xf numFmtId="0" fontId="124" fillId="0" borderId="0" xfId="23" applyAlignment="1" applyProtection="1">
      <alignment wrapText="1"/>
      <protection hidden="1"/>
    </xf>
    <xf numFmtId="14" fontId="124" fillId="5" borderId="2" xfId="23" applyNumberFormat="1" applyFill="1" applyBorder="1" applyAlignment="1" applyProtection="1">
      <alignment horizontal="center"/>
      <protection locked="0" hidden="1"/>
    </xf>
    <xf numFmtId="14" fontId="6" fillId="3" borderId="2" xfId="23" applyNumberFormat="1" applyFont="1" applyFill="1" applyBorder="1" applyAlignment="1" applyProtection="1">
      <alignment horizontal="center"/>
      <protection locked="0" hidden="1"/>
    </xf>
    <xf numFmtId="14" fontId="124" fillId="0" borderId="2" xfId="23" applyNumberFormat="1" applyBorder="1" applyAlignment="1" applyProtection="1">
      <alignment horizontal="center"/>
      <protection hidden="1"/>
    </xf>
    <xf numFmtId="172" fontId="124" fillId="0" borderId="0" xfId="23" applyNumberFormat="1" applyAlignment="1" applyProtection="1">
      <alignment horizontal="center"/>
      <protection hidden="1"/>
    </xf>
    <xf numFmtId="172" fontId="124" fillId="0" borderId="29" xfId="23" applyNumberFormat="1" applyBorder="1" applyAlignment="1" applyProtection="1">
      <alignment horizontal="center"/>
      <protection hidden="1"/>
    </xf>
    <xf numFmtId="0" fontId="124" fillId="0" borderId="11" xfId="23" applyBorder="1" applyAlignment="1" applyProtection="1">
      <alignment horizontal="center"/>
      <protection hidden="1"/>
    </xf>
    <xf numFmtId="0" fontId="3" fillId="0" borderId="44" xfId="23" applyFont="1" applyBorder="1" applyProtection="1">
      <protection hidden="1"/>
    </xf>
    <xf numFmtId="172" fontId="3" fillId="0" borderId="44" xfId="23" applyNumberFormat="1" applyFont="1" applyBorder="1" applyAlignment="1" applyProtection="1">
      <alignment horizontal="center"/>
      <protection hidden="1"/>
    </xf>
    <xf numFmtId="0" fontId="121" fillId="0" borderId="0" xfId="23" applyFont="1" applyProtection="1">
      <protection hidden="1"/>
    </xf>
    <xf numFmtId="14" fontId="50" fillId="0" borderId="0" xfId="23" applyNumberFormat="1" applyFont="1" applyProtection="1">
      <protection hidden="1"/>
    </xf>
    <xf numFmtId="0" fontId="124" fillId="0" borderId="2" xfId="23" applyBorder="1" applyAlignment="1" applyProtection="1">
      <alignment horizontal="center"/>
      <protection hidden="1"/>
    </xf>
    <xf numFmtId="3" fontId="124" fillId="0" borderId="2" xfId="23" applyNumberFormat="1" applyBorder="1" applyAlignment="1" applyProtection="1">
      <alignment horizontal="center"/>
      <protection locked="0" hidden="1"/>
    </xf>
    <xf numFmtId="0" fontId="6" fillId="0" borderId="2" xfId="23" applyFont="1" applyBorder="1" applyAlignment="1" applyProtection="1">
      <alignment horizontal="center"/>
      <protection locked="0" hidden="1"/>
    </xf>
    <xf numFmtId="14" fontId="124" fillId="0" borderId="2" xfId="23" applyNumberFormat="1" applyBorder="1" applyAlignment="1" applyProtection="1">
      <alignment horizontal="center"/>
      <protection locked="0" hidden="1"/>
    </xf>
    <xf numFmtId="14" fontId="6" fillId="0" borderId="2" xfId="23" applyNumberFormat="1" applyFont="1" applyBorder="1" applyAlignment="1" applyProtection="1">
      <alignment horizontal="center"/>
      <protection locked="0" hidden="1"/>
    </xf>
    <xf numFmtId="0" fontId="124" fillId="3" borderId="0" xfId="23" applyFill="1" applyProtection="1">
      <protection hidden="1"/>
    </xf>
    <xf numFmtId="0" fontId="124" fillId="0" borderId="23" xfId="7" applyBorder="1" applyAlignment="1">
      <alignment horizontal="center"/>
    </xf>
    <xf numFmtId="0" fontId="141" fillId="0" borderId="0" xfId="0" applyFont="1" applyAlignment="1">
      <alignment horizontal="right"/>
    </xf>
    <xf numFmtId="0" fontId="39" fillId="0" borderId="0" xfId="0" applyFont="1" applyAlignment="1">
      <alignment horizontal="center"/>
    </xf>
    <xf numFmtId="0" fontId="0" fillId="5" borderId="0" xfId="0" applyFill="1" applyProtection="1">
      <protection locked="0"/>
    </xf>
    <xf numFmtId="0" fontId="0" fillId="0" borderId="0" xfId="0" applyProtection="1">
      <protection locked="0"/>
    </xf>
    <xf numFmtId="0" fontId="21" fillId="6" borderId="0" xfId="0" applyFont="1" applyFill="1" applyProtection="1">
      <protection hidden="1"/>
    </xf>
    <xf numFmtId="0" fontId="121" fillId="6" borderId="18" xfId="0" applyFont="1" applyFill="1" applyBorder="1" applyProtection="1">
      <protection hidden="1"/>
    </xf>
    <xf numFmtId="14" fontId="21" fillId="6" borderId="0" xfId="0" applyNumberFormat="1" applyFont="1" applyFill="1" applyProtection="1">
      <protection hidden="1"/>
    </xf>
    <xf numFmtId="0" fontId="123" fillId="6" borderId="0" xfId="0" applyFont="1" applyFill="1" applyAlignment="1" applyProtection="1">
      <alignment horizontal="right" vertical="center"/>
      <protection hidden="1"/>
    </xf>
    <xf numFmtId="0" fontId="20" fillId="6" borderId="0" xfId="0" applyFont="1" applyFill="1" applyAlignment="1" applyProtection="1">
      <alignment vertical="center"/>
      <protection hidden="1"/>
    </xf>
    <xf numFmtId="0" fontId="3" fillId="0" borderId="0" xfId="23" applyFont="1" applyProtection="1">
      <protection hidden="1"/>
    </xf>
    <xf numFmtId="0" fontId="4" fillId="14" borderId="0" xfId="23" applyFont="1" applyFill="1"/>
    <xf numFmtId="0" fontId="4" fillId="16" borderId="2" xfId="23" applyFont="1" applyFill="1" applyBorder="1" applyAlignment="1" applyProtection="1">
      <alignment horizontal="center" wrapText="1"/>
      <protection hidden="1"/>
    </xf>
    <xf numFmtId="0" fontId="91" fillId="16" borderId="2" xfId="23" applyFont="1" applyFill="1" applyBorder="1" applyAlignment="1" applyProtection="1">
      <alignment horizontal="center" wrapText="1"/>
      <protection hidden="1"/>
    </xf>
    <xf numFmtId="10" fontId="124" fillId="0" borderId="2" xfId="23" applyNumberFormat="1" applyBorder="1" applyAlignment="1" applyProtection="1">
      <alignment horizontal="center"/>
      <protection hidden="1"/>
    </xf>
    <xf numFmtId="4" fontId="4" fillId="0" borderId="2" xfId="23" applyNumberFormat="1" applyFont="1" applyBorder="1" applyAlignment="1" applyProtection="1">
      <alignment horizontal="center"/>
      <protection hidden="1"/>
    </xf>
    <xf numFmtId="179" fontId="124" fillId="0" borderId="0" xfId="23" applyNumberFormat="1" applyAlignment="1">
      <alignment horizontal="center"/>
    </xf>
    <xf numFmtId="4" fontId="4" fillId="0" borderId="44" xfId="23" applyNumberFormat="1" applyFont="1" applyBorder="1" applyAlignment="1" applyProtection="1">
      <alignment horizontal="center"/>
      <protection hidden="1"/>
    </xf>
    <xf numFmtId="4" fontId="124" fillId="0" borderId="0" xfId="23" applyNumberFormat="1" applyAlignment="1" applyProtection="1">
      <alignment horizontal="center"/>
      <protection hidden="1"/>
    </xf>
    <xf numFmtId="0" fontId="4" fillId="14" borderId="2" xfId="23" applyFont="1" applyFill="1" applyBorder="1" applyAlignment="1" applyProtection="1">
      <alignment horizontal="center" wrapText="1"/>
      <protection hidden="1"/>
    </xf>
    <xf numFmtId="0" fontId="4" fillId="9" borderId="2" xfId="23" applyFont="1" applyFill="1" applyBorder="1" applyAlignment="1" applyProtection="1">
      <alignment horizontal="center" wrapText="1"/>
      <protection hidden="1"/>
    </xf>
    <xf numFmtId="0" fontId="4" fillId="3" borderId="2" xfId="23" applyFont="1" applyFill="1" applyBorder="1" applyAlignment="1" applyProtection="1">
      <alignment horizontal="center" wrapText="1"/>
      <protection hidden="1"/>
    </xf>
    <xf numFmtId="0" fontId="4" fillId="7" borderId="2" xfId="23" applyFont="1" applyFill="1" applyBorder="1" applyAlignment="1" applyProtection="1">
      <alignment horizontal="center" wrapText="1"/>
      <protection hidden="1"/>
    </xf>
    <xf numFmtId="172" fontId="124" fillId="0" borderId="2" xfId="23" applyNumberFormat="1" applyBorder="1" applyAlignment="1" applyProtection="1">
      <alignment horizontal="center"/>
      <protection hidden="1"/>
    </xf>
    <xf numFmtId="179" fontId="124" fillId="0" borderId="2" xfId="23" applyNumberFormat="1" applyBorder="1" applyAlignment="1" applyProtection="1">
      <alignment horizontal="center"/>
      <protection hidden="1"/>
    </xf>
    <xf numFmtId="172" fontId="124" fillId="0" borderId="0" xfId="23" applyNumberFormat="1"/>
    <xf numFmtId="4" fontId="124" fillId="0" borderId="0" xfId="23" applyNumberFormat="1"/>
    <xf numFmtId="172" fontId="4" fillId="0" borderId="2" xfId="23" applyNumberFormat="1" applyFont="1" applyBorder="1" applyAlignment="1" applyProtection="1">
      <alignment horizontal="center"/>
      <protection hidden="1"/>
    </xf>
    <xf numFmtId="0" fontId="42" fillId="0" borderId="0" xfId="23" applyFont="1" applyAlignment="1">
      <alignment horizontal="center"/>
    </xf>
    <xf numFmtId="171" fontId="42" fillId="0" borderId="0" xfId="1" applyNumberFormat="1" applyFont="1" applyAlignment="1">
      <alignment horizontal="center"/>
    </xf>
    <xf numFmtId="0" fontId="124" fillId="12" borderId="0" xfId="23" applyFill="1"/>
    <xf numFmtId="0" fontId="124" fillId="12" borderId="0" xfId="23" applyFill="1" applyAlignment="1">
      <alignment horizontal="center"/>
    </xf>
    <xf numFmtId="0" fontId="124" fillId="7" borderId="0" xfId="23" applyFill="1"/>
    <xf numFmtId="0" fontId="4" fillId="7" borderId="0" xfId="23" applyFont="1" applyFill="1"/>
    <xf numFmtId="0" fontId="4" fillId="3" borderId="0" xfId="23" applyFont="1" applyFill="1"/>
    <xf numFmtId="0" fontId="124" fillId="3" borderId="0" xfId="23" applyFill="1" applyAlignment="1">
      <alignment horizontal="left"/>
    </xf>
    <xf numFmtId="4" fontId="65" fillId="0" borderId="0" xfId="13" applyNumberFormat="1" applyAlignment="1" applyProtection="1">
      <alignment wrapText="1"/>
      <protection locked="0"/>
    </xf>
    <xf numFmtId="0" fontId="0" fillId="3" borderId="2" xfId="0" applyFill="1" applyBorder="1" applyAlignment="1" applyProtection="1">
      <alignment horizontal="center"/>
      <protection hidden="1"/>
    </xf>
    <xf numFmtId="167" fontId="0" fillId="15" borderId="2" xfId="0" applyNumberFormat="1" applyFill="1" applyBorder="1" applyAlignment="1" applyProtection="1">
      <alignment horizontal="center"/>
      <protection locked="0"/>
    </xf>
    <xf numFmtId="14" fontId="0" fillId="12" borderId="0" xfId="0" applyNumberFormat="1" applyFill="1"/>
    <xf numFmtId="170" fontId="0" fillId="12" borderId="0" xfId="0" applyNumberFormat="1" applyFill="1" applyAlignment="1">
      <alignment horizontal="center"/>
    </xf>
    <xf numFmtId="0" fontId="105" fillId="12" borderId="0" xfId="26" applyNumberFormat="1" applyFill="1" applyProtection="1">
      <alignment horizontal="center"/>
      <protection hidden="1"/>
    </xf>
    <xf numFmtId="14" fontId="0" fillId="12" borderId="0" xfId="0" applyNumberFormat="1" applyFill="1" applyAlignment="1">
      <alignment horizontal="center"/>
    </xf>
    <xf numFmtId="10" fontId="0" fillId="12" borderId="0" xfId="0" applyNumberFormat="1" applyFill="1" applyAlignment="1">
      <alignment horizontal="center"/>
    </xf>
    <xf numFmtId="0" fontId="32" fillId="30" borderId="0" xfId="5" applyFont="1" applyFill="1" applyAlignment="1" applyProtection="1"/>
    <xf numFmtId="0" fontId="9" fillId="30" borderId="0" xfId="5" applyFill="1" applyAlignment="1" applyProtection="1"/>
    <xf numFmtId="0" fontId="28" fillId="30" borderId="0" xfId="5" applyFont="1" applyFill="1" applyAlignment="1" applyProtection="1"/>
    <xf numFmtId="0" fontId="95" fillId="30" borderId="0" xfId="5" applyFont="1" applyFill="1" applyAlignment="1" applyProtection="1"/>
    <xf numFmtId="0" fontId="95" fillId="30" borderId="0" xfId="5" applyNumberFormat="1" applyFont="1" applyFill="1" applyAlignment="1" applyProtection="1">
      <alignment horizontal="center"/>
    </xf>
    <xf numFmtId="14" fontId="53" fillId="30" borderId="0" xfId="5" applyNumberFormat="1" applyFont="1" applyFill="1" applyAlignment="1" applyProtection="1">
      <alignment horizontal="center"/>
    </xf>
    <xf numFmtId="0" fontId="9" fillId="30" borderId="0" xfId="5" applyFill="1" applyAlignment="1" applyProtection="1">
      <alignment horizontal="center"/>
    </xf>
    <xf numFmtId="0" fontId="109" fillId="30" borderId="0" xfId="15" applyFill="1" applyAlignment="1">
      <alignment horizontal="center"/>
    </xf>
    <xf numFmtId="14" fontId="59" fillId="30" borderId="0" xfId="5" applyNumberFormat="1" applyFont="1" applyFill="1" applyAlignment="1" applyProtection="1">
      <alignment horizontal="center"/>
    </xf>
    <xf numFmtId="0" fontId="32" fillId="30" borderId="0" xfId="15" applyFont="1" applyFill="1" applyAlignment="1">
      <alignment horizontal="center" wrapText="1"/>
    </xf>
    <xf numFmtId="0" fontId="109" fillId="30" borderId="0" xfId="15" applyFill="1"/>
    <xf numFmtId="14" fontId="27" fillId="30" borderId="0" xfId="15" applyNumberFormat="1" applyFont="1" applyFill="1"/>
    <xf numFmtId="0" fontId="27" fillId="30" borderId="0" xfId="15" applyFont="1" applyFill="1"/>
    <xf numFmtId="0" fontId="59" fillId="30" borderId="0" xfId="5" applyFont="1" applyFill="1" applyAlignment="1" applyProtection="1">
      <alignment horizontal="center"/>
    </xf>
    <xf numFmtId="0" fontId="116" fillId="30" borderId="0" xfId="5" applyFont="1" applyFill="1" applyAlignment="1" applyProtection="1">
      <alignment horizontal="center"/>
    </xf>
    <xf numFmtId="0" fontId="110" fillId="30" borderId="0" xfId="15" applyFont="1" applyFill="1" applyProtection="1">
      <protection locked="0"/>
    </xf>
    <xf numFmtId="0" fontId="111" fillId="30" borderId="0" xfId="15" applyFont="1" applyFill="1" applyAlignment="1" applyProtection="1">
      <alignment horizontal="left"/>
      <protection locked="0"/>
    </xf>
    <xf numFmtId="0" fontId="109" fillId="30" borderId="0" xfId="15" applyFill="1" applyProtection="1">
      <protection hidden="1"/>
    </xf>
    <xf numFmtId="0" fontId="42" fillId="30" borderId="0" xfId="15" applyFont="1" applyFill="1" applyAlignment="1">
      <alignment horizontal="center"/>
    </xf>
    <xf numFmtId="0" fontId="49" fillId="30" borderId="0" xfId="15" applyFont="1" applyFill="1"/>
    <xf numFmtId="0" fontId="32" fillId="31" borderId="0" xfId="5" applyFont="1" applyFill="1" applyAlignment="1" applyProtection="1"/>
    <xf numFmtId="0" fontId="9" fillId="31" borderId="0" xfId="5" applyFill="1" applyAlignment="1" applyProtection="1"/>
    <xf numFmtId="0" fontId="28" fillId="31" borderId="0" xfId="5" applyFont="1" applyFill="1" applyAlignment="1" applyProtection="1"/>
    <xf numFmtId="0" fontId="95" fillId="31" borderId="0" xfId="5" applyFont="1" applyFill="1" applyAlignment="1" applyProtection="1"/>
    <xf numFmtId="0" fontId="95" fillId="31" borderId="0" xfId="5" applyNumberFormat="1" applyFont="1" applyFill="1" applyAlignment="1" applyProtection="1">
      <alignment horizontal="center"/>
    </xf>
    <xf numFmtId="14" fontId="53" fillId="31" borderId="0" xfId="5" applyNumberFormat="1" applyFont="1" applyFill="1" applyAlignment="1" applyProtection="1">
      <alignment horizontal="center"/>
    </xf>
    <xf numFmtId="0" fontId="9" fillId="31" borderId="0" xfId="5" applyFill="1" applyAlignment="1" applyProtection="1">
      <alignment horizontal="center"/>
    </xf>
    <xf numFmtId="0" fontId="109" fillId="31" borderId="0" xfId="15" applyFill="1" applyAlignment="1">
      <alignment horizontal="center"/>
    </xf>
    <xf numFmtId="0" fontId="32" fillId="31" borderId="0" xfId="15" applyFont="1" applyFill="1" applyAlignment="1">
      <alignment horizontal="center" wrapText="1"/>
    </xf>
    <xf numFmtId="0" fontId="109" fillId="31" borderId="0" xfId="15" applyFill="1"/>
    <xf numFmtId="14" fontId="27" fillId="31" borderId="0" xfId="15" applyNumberFormat="1" applyFont="1" applyFill="1"/>
    <xf numFmtId="0" fontId="27" fillId="31" borderId="0" xfId="15" applyFont="1" applyFill="1"/>
    <xf numFmtId="0" fontId="59" fillId="31" borderId="0" xfId="5" applyFont="1" applyFill="1" applyAlignment="1" applyProtection="1">
      <alignment horizontal="center"/>
    </xf>
    <xf numFmtId="0" fontId="116" fillId="31" borderId="0" xfId="5" applyFont="1" applyFill="1" applyAlignment="1" applyProtection="1">
      <alignment horizontal="center"/>
    </xf>
    <xf numFmtId="0" fontId="109" fillId="31" borderId="0" xfId="15" applyFill="1" applyProtection="1">
      <protection hidden="1"/>
    </xf>
    <xf numFmtId="0" fontId="109" fillId="0" borderId="0" xfId="15" applyAlignment="1" applyProtection="1">
      <alignment horizontal="left"/>
      <protection locked="0"/>
    </xf>
    <xf numFmtId="172" fontId="109" fillId="32" borderId="0" xfId="15" applyNumberFormat="1" applyFill="1" applyProtection="1">
      <protection locked="0"/>
    </xf>
    <xf numFmtId="0" fontId="109" fillId="0" borderId="0" xfId="15" applyProtection="1">
      <protection locked="0"/>
    </xf>
    <xf numFmtId="0" fontId="109" fillId="33" borderId="0" xfId="15" applyFill="1" applyProtection="1">
      <protection locked="0"/>
    </xf>
    <xf numFmtId="0" fontId="144" fillId="0" borderId="2" xfId="0" applyFont="1" applyBorder="1"/>
    <xf numFmtId="167" fontId="145" fillId="0" borderId="2" xfId="0" applyNumberFormat="1" applyFont="1" applyBorder="1" applyAlignment="1">
      <alignment horizontal="center"/>
    </xf>
    <xf numFmtId="0" fontId="0" fillId="33" borderId="0" xfId="0" applyFill="1" applyAlignment="1">
      <alignment horizontal="center"/>
    </xf>
    <xf numFmtId="0" fontId="0" fillId="34" borderId="0" xfId="0" applyFill="1"/>
    <xf numFmtId="0" fontId="105" fillId="35" borderId="4" xfId="14" applyFill="1" applyBorder="1"/>
    <xf numFmtId="0" fontId="6" fillId="35" borderId="0" xfId="14" applyFont="1" applyFill="1"/>
    <xf numFmtId="0" fontId="105" fillId="35" borderId="0" xfId="14" applyFill="1"/>
    <xf numFmtId="0" fontId="6" fillId="4" borderId="0" xfId="10" applyFont="1" applyFill="1" applyAlignment="1">
      <alignment horizontal="center"/>
    </xf>
    <xf numFmtId="0" fontId="97" fillId="8" borderId="18" xfId="0" applyFont="1" applyFill="1" applyBorder="1" applyAlignment="1" applyProtection="1">
      <alignment horizontal="right"/>
      <protection hidden="1"/>
    </xf>
    <xf numFmtId="0" fontId="6" fillId="5" borderId="0" xfId="25" applyFont="1" applyFill="1" applyAlignment="1" applyProtection="1">
      <alignment horizontal="center"/>
      <protection locked="0"/>
    </xf>
    <xf numFmtId="0" fontId="6" fillId="0" borderId="0" xfId="7" applyFont="1"/>
    <xf numFmtId="0" fontId="6" fillId="0" borderId="0" xfId="7" applyFont="1" applyAlignment="1">
      <alignment horizontal="center"/>
    </xf>
    <xf numFmtId="0" fontId="146" fillId="6" borderId="0" xfId="0" applyFont="1" applyFill="1" applyAlignment="1" applyProtection="1">
      <alignment horizontal="right" vertical="center"/>
      <protection hidden="1"/>
    </xf>
    <xf numFmtId="0" fontId="89" fillId="36" borderId="0" xfId="22" applyFill="1" applyProtection="1">
      <protection hidden="1"/>
    </xf>
    <xf numFmtId="0" fontId="89" fillId="36" borderId="23" xfId="22" applyFill="1" applyBorder="1" applyProtection="1">
      <protection hidden="1"/>
    </xf>
    <xf numFmtId="0" fontId="89" fillId="36" borderId="24" xfId="22" applyFill="1" applyBorder="1" applyProtection="1">
      <protection hidden="1"/>
    </xf>
    <xf numFmtId="0" fontId="4" fillId="36" borderId="0" xfId="22" applyFont="1" applyFill="1" applyProtection="1">
      <protection hidden="1"/>
    </xf>
    <xf numFmtId="0" fontId="4" fillId="33" borderId="27" xfId="22" applyFont="1" applyFill="1" applyBorder="1" applyProtection="1">
      <protection hidden="1"/>
    </xf>
    <xf numFmtId="0" fontId="4" fillId="33" borderId="29" xfId="22" applyFont="1" applyFill="1" applyBorder="1" applyProtection="1">
      <protection hidden="1"/>
    </xf>
    <xf numFmtId="0" fontId="89" fillId="33" borderId="28" xfId="22" applyFill="1" applyBorder="1" applyProtection="1">
      <protection hidden="1"/>
    </xf>
    <xf numFmtId="0" fontId="3" fillId="30" borderId="27" xfId="22" applyFont="1" applyFill="1" applyBorder="1" applyAlignment="1">
      <alignment horizontal="centerContinuous"/>
    </xf>
    <xf numFmtId="0" fontId="4" fillId="30" borderId="28" xfId="22" applyFont="1" applyFill="1" applyBorder="1" applyAlignment="1">
      <alignment horizontal="centerContinuous"/>
    </xf>
    <xf numFmtId="0" fontId="3" fillId="37" borderId="27" xfId="22" applyFont="1" applyFill="1" applyBorder="1" applyAlignment="1">
      <alignment horizontal="centerContinuous"/>
    </xf>
    <xf numFmtId="0" fontId="4" fillId="37" borderId="28" xfId="22" applyFont="1" applyFill="1" applyBorder="1" applyAlignment="1">
      <alignment horizontal="centerContinuous"/>
    </xf>
    <xf numFmtId="0" fontId="4" fillId="30" borderId="42" xfId="22" applyFont="1" applyFill="1" applyBorder="1" applyAlignment="1" applyProtection="1">
      <alignment horizontal="center"/>
      <protection hidden="1"/>
    </xf>
    <xf numFmtId="0" fontId="4" fillId="37" borderId="42" xfId="22" applyFont="1" applyFill="1" applyBorder="1" applyAlignment="1" applyProtection="1">
      <alignment horizontal="center"/>
      <protection hidden="1"/>
    </xf>
    <xf numFmtId="0" fontId="3" fillId="30" borderId="29" xfId="22" applyFont="1" applyFill="1" applyBorder="1" applyAlignment="1">
      <alignment horizontal="centerContinuous"/>
    </xf>
    <xf numFmtId="0" fontId="4" fillId="37" borderId="29" xfId="22" applyFont="1" applyFill="1" applyBorder="1" applyAlignment="1">
      <alignment horizontal="centerContinuous"/>
    </xf>
    <xf numFmtId="0" fontId="89" fillId="36" borderId="20" xfId="22" applyFill="1" applyBorder="1" applyProtection="1">
      <protection hidden="1"/>
    </xf>
    <xf numFmtId="0" fontId="89" fillId="36" borderId="21" xfId="22" applyFill="1" applyBorder="1" applyProtection="1">
      <protection hidden="1"/>
    </xf>
    <xf numFmtId="0" fontId="89" fillId="36" borderId="22" xfId="22" applyFill="1" applyBorder="1" applyProtection="1">
      <protection hidden="1"/>
    </xf>
    <xf numFmtId="0" fontId="89" fillId="36" borderId="25" xfId="22" applyFill="1" applyBorder="1" applyProtection="1">
      <protection hidden="1"/>
    </xf>
    <xf numFmtId="0" fontId="89" fillId="36" borderId="11" xfId="22" applyFill="1" applyBorder="1" applyProtection="1">
      <protection hidden="1"/>
    </xf>
    <xf numFmtId="0" fontId="89" fillId="36" borderId="26" xfId="22" applyFill="1" applyBorder="1" applyProtection="1">
      <protection hidden="1"/>
    </xf>
    <xf numFmtId="14" fontId="89" fillId="36" borderId="0" xfId="22" applyNumberFormat="1" applyFill="1" applyAlignment="1" applyProtection="1">
      <alignment horizontal="center"/>
      <protection hidden="1"/>
    </xf>
    <xf numFmtId="3" fontId="89" fillId="36" borderId="0" xfId="22" applyNumberFormat="1" applyFill="1" applyAlignment="1" applyProtection="1">
      <alignment horizontal="center"/>
      <protection hidden="1"/>
    </xf>
    <xf numFmtId="0" fontId="6" fillId="32" borderId="2" xfId="22" applyFont="1" applyFill="1" applyBorder="1" applyProtection="1">
      <protection locked="0"/>
    </xf>
    <xf numFmtId="14" fontId="89" fillId="32" borderId="2" xfId="22" applyNumberFormat="1" applyFill="1" applyBorder="1" applyAlignment="1" applyProtection="1">
      <alignment horizontal="center"/>
      <protection locked="0"/>
    </xf>
    <xf numFmtId="3" fontId="89" fillId="32" borderId="2" xfId="22" applyNumberFormat="1" applyFill="1" applyBorder="1" applyAlignment="1" applyProtection="1">
      <alignment horizontal="center"/>
      <protection locked="0"/>
    </xf>
    <xf numFmtId="0" fontId="89" fillId="38" borderId="0" xfId="22" applyFill="1" applyProtection="1">
      <protection hidden="1"/>
    </xf>
    <xf numFmtId="0" fontId="6" fillId="38" borderId="0" xfId="22" applyFont="1" applyFill="1" applyProtection="1">
      <protection hidden="1"/>
    </xf>
    <xf numFmtId="14" fontId="89" fillId="38" borderId="0" xfId="22" applyNumberFormat="1" applyFill="1" applyAlignment="1" applyProtection="1">
      <alignment horizontal="center"/>
      <protection hidden="1"/>
    </xf>
    <xf numFmtId="0" fontId="146" fillId="6" borderId="21" xfId="22" applyFont="1" applyFill="1" applyBorder="1" applyProtection="1">
      <protection hidden="1"/>
    </xf>
    <xf numFmtId="0" fontId="89" fillId="36" borderId="0" xfId="22" applyFill="1" applyAlignment="1" applyProtection="1">
      <alignment horizontal="right"/>
      <protection hidden="1"/>
    </xf>
    <xf numFmtId="0" fontId="147" fillId="39" borderId="0" xfId="0" applyFont="1" applyFill="1"/>
    <xf numFmtId="0" fontId="0" fillId="39" borderId="0" xfId="0" applyFill="1"/>
    <xf numFmtId="3" fontId="0" fillId="39" borderId="0" xfId="0" applyNumberFormat="1" applyFill="1"/>
    <xf numFmtId="0" fontId="6" fillId="33" borderId="2" xfId="22" applyFont="1" applyFill="1" applyBorder="1" applyProtection="1">
      <protection hidden="1"/>
    </xf>
    <xf numFmtId="0" fontId="89" fillId="33" borderId="2" xfId="22" applyFill="1" applyBorder="1" applyAlignment="1" applyProtection="1">
      <alignment horizontal="center"/>
      <protection hidden="1"/>
    </xf>
    <xf numFmtId="0" fontId="89" fillId="33" borderId="0" xfId="22" applyFill="1" applyProtection="1">
      <protection hidden="1"/>
    </xf>
    <xf numFmtId="3" fontId="112" fillId="0" borderId="0" xfId="15" applyNumberFormat="1" applyFont="1" applyAlignment="1" applyProtection="1">
      <alignment horizontal="center"/>
      <protection hidden="1"/>
    </xf>
    <xf numFmtId="14" fontId="112" fillId="0" borderId="0" xfId="15" applyNumberFormat="1" applyFont="1" applyProtection="1">
      <protection hidden="1"/>
    </xf>
    <xf numFmtId="3" fontId="113" fillId="0" borderId="0" xfId="15" quotePrefix="1" applyNumberFormat="1" applyFont="1" applyAlignment="1" applyProtection="1">
      <alignment horizontal="center"/>
      <protection hidden="1"/>
    </xf>
    <xf numFmtId="14" fontId="113" fillId="0" borderId="0" xfId="15" applyNumberFormat="1" applyFont="1" applyAlignment="1" applyProtection="1">
      <alignment horizontal="center"/>
      <protection hidden="1"/>
    </xf>
    <xf numFmtId="0" fontId="52" fillId="0" borderId="0" xfId="15" applyFont="1" applyAlignment="1" applyProtection="1">
      <alignment horizontal="center"/>
      <protection hidden="1"/>
    </xf>
    <xf numFmtId="3" fontId="112" fillId="0" borderId="11" xfId="15" applyNumberFormat="1" applyFont="1" applyBorder="1" applyAlignment="1" applyProtection="1">
      <alignment horizontal="center"/>
      <protection hidden="1"/>
    </xf>
    <xf numFmtId="3" fontId="113" fillId="0" borderId="11" xfId="15" quotePrefix="1" applyNumberFormat="1" applyFont="1" applyBorder="1" applyAlignment="1" applyProtection="1">
      <alignment horizontal="center"/>
      <protection hidden="1"/>
    </xf>
    <xf numFmtId="0" fontId="6" fillId="4" borderId="0" xfId="15" applyFont="1" applyFill="1" applyProtection="1">
      <protection hidden="1"/>
    </xf>
    <xf numFmtId="3" fontId="6" fillId="0" borderId="0" xfId="15" applyNumberFormat="1" applyFont="1" applyAlignment="1" applyProtection="1">
      <alignment horizontal="center"/>
      <protection hidden="1"/>
    </xf>
    <xf numFmtId="14" fontId="6" fillId="0" borderId="0" xfId="15" applyNumberFormat="1" applyFont="1" applyProtection="1">
      <protection hidden="1"/>
    </xf>
    <xf numFmtId="14" fontId="6" fillId="32" borderId="2" xfId="22" applyNumberFormat="1" applyFont="1" applyFill="1" applyBorder="1" applyAlignment="1" applyProtection="1">
      <alignment horizontal="center"/>
      <protection locked="0"/>
    </xf>
    <xf numFmtId="3" fontId="4" fillId="0" borderId="0" xfId="15" applyNumberFormat="1" applyFont="1" applyAlignment="1" applyProtection="1">
      <alignment horizontal="center"/>
      <protection hidden="1"/>
    </xf>
    <xf numFmtId="14" fontId="4" fillId="0" borderId="0" xfId="15" applyNumberFormat="1" applyFont="1" applyAlignment="1" applyProtection="1">
      <alignment horizontal="center"/>
      <protection hidden="1"/>
    </xf>
    <xf numFmtId="0" fontId="4" fillId="0" borderId="0" xfId="15" applyFont="1" applyAlignment="1" applyProtection="1">
      <alignment horizontal="left"/>
      <protection hidden="1"/>
    </xf>
    <xf numFmtId="0" fontId="6" fillId="36" borderId="0" xfId="22" applyFont="1" applyFill="1" applyAlignment="1" applyProtection="1">
      <alignment horizontal="left"/>
      <protection hidden="1"/>
    </xf>
    <xf numFmtId="14" fontId="6" fillId="0" borderId="2" xfId="15" applyNumberFormat="1" applyFont="1" applyBorder="1" applyAlignment="1" applyProtection="1">
      <alignment horizontal="left"/>
      <protection hidden="1"/>
    </xf>
    <xf numFmtId="14" fontId="6" fillId="0" borderId="2" xfId="15" applyNumberFormat="1" applyFont="1" applyBorder="1" applyAlignment="1" applyProtection="1">
      <alignment horizontal="center"/>
      <protection hidden="1"/>
    </xf>
    <xf numFmtId="14" fontId="6" fillId="0" borderId="27" xfId="15" applyNumberFormat="1" applyFont="1" applyBorder="1" applyAlignment="1" applyProtection="1">
      <alignment horizontal="left"/>
      <protection hidden="1"/>
    </xf>
    <xf numFmtId="0" fontId="6" fillId="0" borderId="28" xfId="15" applyFont="1" applyBorder="1" applyAlignment="1" applyProtection="1">
      <alignment horizontal="right"/>
      <protection hidden="1"/>
    </xf>
    <xf numFmtId="0" fontId="6" fillId="2" borderId="0" xfId="15" applyFont="1" applyFill="1" applyProtection="1">
      <protection locked="0"/>
    </xf>
    <xf numFmtId="0" fontId="6" fillId="0" borderId="0" xfId="15" applyFont="1" applyProtection="1">
      <protection locked="0"/>
    </xf>
    <xf numFmtId="172" fontId="109" fillId="0" borderId="0" xfId="15" applyNumberFormat="1" applyProtection="1">
      <protection locked="0"/>
    </xf>
    <xf numFmtId="0" fontId="89" fillId="33" borderId="0" xfId="22" applyFill="1" applyAlignment="1" applyProtection="1">
      <alignment horizontal="center"/>
      <protection hidden="1"/>
    </xf>
    <xf numFmtId="0" fontId="146" fillId="0" borderId="0" xfId="15" applyFont="1" applyProtection="1">
      <protection hidden="1"/>
    </xf>
    <xf numFmtId="4" fontId="5" fillId="6" borderId="2" xfId="0" applyNumberFormat="1" applyFont="1" applyFill="1" applyBorder="1" applyAlignment="1">
      <alignment horizontal="center"/>
    </xf>
    <xf numFmtId="0" fontId="0" fillId="32" borderId="0" xfId="0" applyFill="1" applyAlignment="1" applyProtection="1">
      <alignment horizontal="center"/>
      <protection locked="0"/>
    </xf>
    <xf numFmtId="0" fontId="4" fillId="33" borderId="0" xfId="0" applyFont="1" applyFill="1" applyProtection="1">
      <protection hidden="1"/>
    </xf>
    <xf numFmtId="0" fontId="4" fillId="6" borderId="0" xfId="0" applyFont="1" applyFill="1" applyAlignment="1" applyProtection="1">
      <alignment horizontal="center"/>
      <protection hidden="1"/>
    </xf>
    <xf numFmtId="0" fontId="4" fillId="33" borderId="0" xfId="0" applyFont="1" applyFill="1" applyAlignment="1" applyProtection="1">
      <alignment horizontal="center"/>
      <protection locked="0"/>
    </xf>
    <xf numFmtId="0" fontId="0" fillId="33" borderId="0" xfId="0" applyFill="1" applyAlignment="1" applyProtection="1">
      <alignment horizontal="center"/>
      <protection locked="0"/>
    </xf>
    <xf numFmtId="0" fontId="105" fillId="33" borderId="0" xfId="14" applyFill="1"/>
    <xf numFmtId="4" fontId="105" fillId="0" borderId="0" xfId="14" applyNumberFormat="1"/>
    <xf numFmtId="4" fontId="105" fillId="0" borderId="0" xfId="14" applyNumberFormat="1" applyAlignment="1">
      <alignment horizontal="center"/>
    </xf>
    <xf numFmtId="4" fontId="6" fillId="0" borderId="0" xfId="14" applyNumberFormat="1" applyFont="1"/>
    <xf numFmtId="4" fontId="0" fillId="33" borderId="0" xfId="0" applyNumberFormat="1" applyFill="1" applyAlignment="1">
      <alignment horizontal="center"/>
    </xf>
    <xf numFmtId="4" fontId="0" fillId="0" borderId="0" xfId="0" applyNumberFormat="1"/>
    <xf numFmtId="4" fontId="6" fillId="7" borderId="0" xfId="14" applyNumberFormat="1" applyFont="1" applyFill="1"/>
    <xf numFmtId="4" fontId="89" fillId="32" borderId="2" xfId="22" applyNumberFormat="1" applyFill="1" applyBorder="1" applyAlignment="1" applyProtection="1">
      <alignment horizontal="center"/>
      <protection locked="0"/>
    </xf>
    <xf numFmtId="4" fontId="89" fillId="33" borderId="2" xfId="22" applyNumberFormat="1" applyFill="1" applyBorder="1" applyProtection="1">
      <protection hidden="1"/>
    </xf>
    <xf numFmtId="0" fontId="89" fillId="33" borderId="2" xfId="22" applyFill="1" applyBorder="1" applyProtection="1">
      <protection hidden="1"/>
    </xf>
    <xf numFmtId="4" fontId="6" fillId="32" borderId="2" xfId="22" applyNumberFormat="1" applyFont="1" applyFill="1" applyBorder="1" applyAlignment="1" applyProtection="1">
      <alignment horizontal="center"/>
      <protection locked="0"/>
    </xf>
    <xf numFmtId="4" fontId="6" fillId="33" borderId="0" xfId="14" applyNumberFormat="1" applyFont="1" applyFill="1" applyAlignment="1">
      <alignment horizontal="center"/>
    </xf>
    <xf numFmtId="4" fontId="105" fillId="33" borderId="0" xfId="14" applyNumberFormat="1" applyFill="1" applyAlignment="1">
      <alignment horizontal="center"/>
    </xf>
    <xf numFmtId="0" fontId="146" fillId="6" borderId="0" xfId="22" applyFont="1" applyFill="1" applyProtection="1">
      <protection hidden="1"/>
    </xf>
    <xf numFmtId="0" fontId="146" fillId="6" borderId="0" xfId="22" applyFont="1" applyFill="1"/>
    <xf numFmtId="0" fontId="146" fillId="6" borderId="0" xfId="22" applyFont="1" applyFill="1" applyAlignment="1" applyProtection="1">
      <alignment vertical="center"/>
      <protection hidden="1"/>
    </xf>
    <xf numFmtId="4" fontId="4" fillId="6" borderId="0" xfId="22" applyNumberFormat="1" applyFont="1" applyFill="1" applyAlignment="1" applyProtection="1">
      <alignment horizontal="center" vertical="center"/>
      <protection hidden="1"/>
    </xf>
    <xf numFmtId="0" fontId="0" fillId="33" borderId="0" xfId="0" applyFill="1"/>
    <xf numFmtId="0" fontId="0" fillId="33" borderId="0" xfId="0" applyFill="1" applyAlignment="1">
      <alignment horizontal="right"/>
    </xf>
    <xf numFmtId="0" fontId="105" fillId="40" borderId="0" xfId="14" applyFill="1"/>
    <xf numFmtId="14" fontId="105" fillId="40" borderId="0" xfId="14" applyNumberFormat="1" applyFill="1"/>
    <xf numFmtId="0" fontId="105" fillId="40" borderId="0" xfId="14" applyFill="1" applyAlignment="1">
      <alignment horizontal="center"/>
    </xf>
    <xf numFmtId="167" fontId="105" fillId="40" borderId="0" xfId="14" applyNumberFormat="1" applyFill="1"/>
    <xf numFmtId="10" fontId="105" fillId="40" borderId="0" xfId="14" applyNumberFormat="1" applyFill="1" applyAlignment="1">
      <alignment horizontal="center"/>
    </xf>
    <xf numFmtId="2" fontId="105" fillId="40" borderId="0" xfId="26" applyFill="1" applyProtection="1">
      <alignment horizontal="center"/>
      <protection hidden="1"/>
    </xf>
    <xf numFmtId="4" fontId="105" fillId="40" borderId="0" xfId="14" applyNumberFormat="1" applyFill="1"/>
    <xf numFmtId="0" fontId="0" fillId="40" borderId="0" xfId="0" applyFill="1" applyAlignment="1">
      <alignment horizontal="center"/>
    </xf>
    <xf numFmtId="0" fontId="0" fillId="40" borderId="0" xfId="0" applyFill="1"/>
    <xf numFmtId="3" fontId="105" fillId="40" borderId="0" xfId="14" applyNumberFormat="1" applyFill="1"/>
    <xf numFmtId="0" fontId="0" fillId="0" borderId="2" xfId="0" applyBorder="1" applyAlignment="1">
      <alignment horizontal="right"/>
    </xf>
    <xf numFmtId="4" fontId="146" fillId="6" borderId="0" xfId="0" applyNumberFormat="1" applyFont="1" applyFill="1" applyAlignment="1" applyProtection="1">
      <alignment horizontal="left" vertical="center"/>
      <protection hidden="1"/>
    </xf>
    <xf numFmtId="0" fontId="148" fillId="6" borderId="0" xfId="22" applyFont="1" applyFill="1" applyProtection="1">
      <protection hidden="1"/>
    </xf>
    <xf numFmtId="0" fontId="148" fillId="6" borderId="0" xfId="22" applyFont="1" applyFill="1"/>
    <xf numFmtId="4" fontId="148" fillId="6" borderId="0" xfId="0" applyNumberFormat="1" applyFont="1" applyFill="1" applyAlignment="1" applyProtection="1">
      <alignment horizontal="right"/>
      <protection locked="0"/>
    </xf>
    <xf numFmtId="0" fontId="0" fillId="0" borderId="0" xfId="0" applyAlignment="1" applyProtection="1">
      <alignment wrapText="1"/>
      <protection locked="0"/>
    </xf>
    <xf numFmtId="0" fontId="65" fillId="0" borderId="0" xfId="13" applyProtection="1">
      <protection locked="0"/>
    </xf>
    <xf numFmtId="0" fontId="65" fillId="33" borderId="3" xfId="13" applyFill="1" applyBorder="1"/>
    <xf numFmtId="0" fontId="65" fillId="33" borderId="4" xfId="13" applyFill="1" applyBorder="1"/>
    <xf numFmtId="0" fontId="65" fillId="33" borderId="5" xfId="13" applyFill="1" applyBorder="1"/>
    <xf numFmtId="0" fontId="65" fillId="33" borderId="6" xfId="13" applyFill="1" applyBorder="1"/>
    <xf numFmtId="0" fontId="65" fillId="33" borderId="0" xfId="13" applyFill="1"/>
    <xf numFmtId="0" fontId="65" fillId="33" borderId="7" xfId="13" applyFill="1" applyBorder="1"/>
    <xf numFmtId="0" fontId="6" fillId="33" borderId="0" xfId="13" applyFont="1" applyFill="1"/>
    <xf numFmtId="0" fontId="65" fillId="33" borderId="8" xfId="13" applyFill="1" applyBorder="1"/>
    <xf numFmtId="0" fontId="65" fillId="33" borderId="9" xfId="13" applyFill="1" applyBorder="1"/>
    <xf numFmtId="0" fontId="65" fillId="33" borderId="10" xfId="13" applyFill="1" applyBorder="1"/>
    <xf numFmtId="0" fontId="0" fillId="41" borderId="0" xfId="0" applyFill="1"/>
    <xf numFmtId="0" fontId="0" fillId="31" borderId="0" xfId="0" applyFill="1"/>
    <xf numFmtId="0" fontId="0" fillId="39" borderId="0" xfId="0" applyFill="1" applyAlignment="1">
      <alignment horizontal="right"/>
    </xf>
    <xf numFmtId="49" fontId="0" fillId="0" borderId="0" xfId="0" applyNumberFormat="1" applyAlignment="1">
      <alignment horizontal="center"/>
    </xf>
    <xf numFmtId="0" fontId="0" fillId="41" borderId="20" xfId="0" applyFill="1" applyBorder="1"/>
    <xf numFmtId="0" fontId="0" fillId="41" borderId="21" xfId="0" applyFill="1" applyBorder="1"/>
    <xf numFmtId="0" fontId="0" fillId="41" borderId="22" xfId="0" applyFill="1" applyBorder="1"/>
    <xf numFmtId="0" fontId="0" fillId="39" borderId="23" xfId="0" applyFill="1" applyBorder="1"/>
    <xf numFmtId="0" fontId="0" fillId="39" borderId="0" xfId="0" applyFill="1" applyAlignment="1">
      <alignment horizontal="center"/>
    </xf>
    <xf numFmtId="0" fontId="0" fillId="41" borderId="24" xfId="0" applyFill="1" applyBorder="1"/>
    <xf numFmtId="0" fontId="0" fillId="41" borderId="23" xfId="0" applyFill="1" applyBorder="1"/>
    <xf numFmtId="0" fontId="0" fillId="41" borderId="25" xfId="0" applyFill="1" applyBorder="1"/>
    <xf numFmtId="0" fontId="0" fillId="41" borderId="11" xfId="0" applyFill="1" applyBorder="1"/>
    <xf numFmtId="0" fontId="0" fillId="41" borderId="26" xfId="0" applyFill="1" applyBorder="1"/>
    <xf numFmtId="49" fontId="0" fillId="0" borderId="2" xfId="0" applyNumberFormat="1" applyBorder="1"/>
    <xf numFmtId="0" fontId="0" fillId="33" borderId="20" xfId="0" applyFill="1" applyBorder="1"/>
    <xf numFmtId="0" fontId="0" fillId="33" borderId="21" xfId="0" applyFill="1" applyBorder="1"/>
    <xf numFmtId="0" fontId="0" fillId="33" borderId="22" xfId="0" applyFill="1" applyBorder="1"/>
    <xf numFmtId="0" fontId="0" fillId="33" borderId="25" xfId="0" applyFill="1" applyBorder="1"/>
    <xf numFmtId="0" fontId="0" fillId="33" borderId="11" xfId="0" applyFill="1" applyBorder="1"/>
    <xf numFmtId="0" fontId="0" fillId="33" borderId="26" xfId="0" applyFill="1" applyBorder="1"/>
    <xf numFmtId="0" fontId="0" fillId="33" borderId="2" xfId="0" applyFill="1" applyBorder="1"/>
    <xf numFmtId="0" fontId="65" fillId="0" borderId="2" xfId="13" applyBorder="1"/>
    <xf numFmtId="0" fontId="65" fillId="0" borderId="2" xfId="13" applyBorder="1" applyAlignment="1">
      <alignment horizontal="center"/>
    </xf>
    <xf numFmtId="0" fontId="6" fillId="0" borderId="2" xfId="13" applyFont="1" applyBorder="1"/>
    <xf numFmtId="0" fontId="6" fillId="12" borderId="2" xfId="22" applyFont="1" applyFill="1" applyBorder="1" applyProtection="1">
      <protection hidden="1"/>
    </xf>
    <xf numFmtId="0" fontId="6" fillId="39" borderId="0" xfId="0" applyFont="1" applyFill="1"/>
    <xf numFmtId="0" fontId="105" fillId="39" borderId="0" xfId="14" applyFill="1"/>
    <xf numFmtId="0" fontId="6" fillId="39" borderId="0" xfId="14" applyFont="1" applyFill="1"/>
    <xf numFmtId="0" fontId="105" fillId="39" borderId="0" xfId="14" applyFill="1" applyAlignment="1">
      <alignment horizontal="center"/>
    </xf>
    <xf numFmtId="0" fontId="4" fillId="39" borderId="0" xfId="14" applyFont="1" applyFill="1"/>
    <xf numFmtId="0" fontId="4" fillId="0" borderId="2" xfId="0" applyFont="1" applyBorder="1" applyAlignment="1" applyProtection="1">
      <alignment horizontal="center" wrapText="1"/>
      <protection hidden="1"/>
    </xf>
    <xf numFmtId="0" fontId="36" fillId="0" borderId="27" xfId="0" applyFont="1" applyBorder="1" applyAlignment="1" applyProtection="1">
      <alignment wrapText="1"/>
      <protection hidden="1"/>
    </xf>
    <xf numFmtId="0" fontId="0" fillId="0" borderId="29" xfId="0" applyBorder="1" applyAlignment="1">
      <alignment wrapText="1"/>
    </xf>
    <xf numFmtId="0" fontId="5" fillId="0" borderId="27" xfId="0" applyFont="1" applyBorder="1" applyAlignment="1" applyProtection="1">
      <alignment wrapText="1"/>
      <protection hidden="1"/>
    </xf>
  </cellXfs>
  <cellStyles count="35">
    <cellStyle name="Comma" xfId="1" builtinId="3"/>
    <cellStyle name="Comma 2" xfId="2" xr:uid="{EF60755B-6701-4C9E-AC7F-05C6B68B0D03}"/>
    <cellStyle name="Comma 3" xfId="3" xr:uid="{D0CF0632-3D98-424A-95D1-3B82B14976B0}"/>
    <cellStyle name="Comma_Suite1" xfId="4" xr:uid="{404F4810-6F2B-46F2-BAA5-530F7F9A33A4}"/>
    <cellStyle name="Hyperlink" xfId="5" builtinId="8"/>
    <cellStyle name="Input" xfId="6" builtinId="20"/>
    <cellStyle name="Normal" xfId="0" builtinId="0"/>
    <cellStyle name="Normal 10" xfId="7" xr:uid="{000ABE61-3CDB-461E-B7A7-67240248FC83}"/>
    <cellStyle name="Normal 2" xfId="8" xr:uid="{FABAD335-502B-4DB8-9000-BFDA58956A23}"/>
    <cellStyle name="Normal 3" xfId="9" xr:uid="{8C8C6020-1479-49DA-AABF-1B8490F6C0CD}"/>
    <cellStyle name="Normal 4" xfId="10" xr:uid="{DEF56C73-6DFE-4750-8443-CD129742DEB6}"/>
    <cellStyle name="Normal 5" xfId="11" xr:uid="{2BAEBB7F-B11E-491B-B8C4-B60505AA7DEF}"/>
    <cellStyle name="Normal 6" xfId="12" xr:uid="{603C6801-E048-4349-A9C6-4C9FE6FA41CC}"/>
    <cellStyle name="Normal 7" xfId="13" xr:uid="{298837E5-95CD-427E-93A1-7CD2F1A12C57}"/>
    <cellStyle name="Normal 8" xfId="14" xr:uid="{8124F14A-6AC3-46A8-B425-CBE356C0983C}"/>
    <cellStyle name="Normal 9" xfId="15" xr:uid="{7D594C01-6DDD-4E44-96A1-8629A70F5891}"/>
    <cellStyle name="Normal 9_England7" xfId="16" xr:uid="{6F8759B3-FE42-47AD-A487-FE9AC6F7CFE7}"/>
    <cellStyle name="Normal_Book1" xfId="17" xr:uid="{65C93F44-A9B3-4E75-8A2D-E814EE26383F}"/>
    <cellStyle name="Normal_instalment" xfId="18" xr:uid="{075BF626-EE74-4D6B-80A1-75B7570F63E3}"/>
    <cellStyle name="Normal_Interest" xfId="19" xr:uid="{780077B6-4ADD-4F38-B8C0-6F965FC6CBA6}"/>
    <cellStyle name="Normal_Newest Master 95" xfId="20" xr:uid="{A7F9F6C9-CFD7-42A3-AD61-F25466EFF0B0}"/>
    <cellStyle name="Normal_Newest Master 95_s2017" xfId="21" xr:uid="{A8A02626-EF6A-4B88-B495-EDB0C92F614E}"/>
    <cellStyle name="Normal_s2017" xfId="22" xr:uid="{777CD03B-3D1E-4085-9CA0-674A316F87C1}"/>
    <cellStyle name="Normal_s2017_1" xfId="23" xr:uid="{DA68993D-0EE8-4A33-8FC5-3C4AAF0BEDB2}"/>
    <cellStyle name="Normal_Sheet1" xfId="24" xr:uid="{10AD630C-2569-4AC4-A686-F6BC8EF47629}"/>
    <cellStyle name="Normal_Sheet1_s2005" xfId="25" xr:uid="{568C2E74-C47D-40BA-9765-D8E2CEFF7D01}"/>
    <cellStyle name="Normal_SSP1972" xfId="26" xr:uid="{BCA72FDD-26DF-4323-B678-6A57C1848530}"/>
    <cellStyle name="Normal_Suite1" xfId="27" xr:uid="{AED3D6F1-134F-4536-A15F-C5550F39F4B1}"/>
    <cellStyle name="Normal_Suite1 2" xfId="28" xr:uid="{2D5D15D1-BB15-48A5-B227-AED018C65B16}"/>
    <cellStyle name="Normal_Suite1_s2017" xfId="29" xr:uid="{DEDE6272-218E-48E8-92A1-8AC27B6B5791}"/>
    <cellStyle name="Normal_Suite1_s2017_1" xfId="30" xr:uid="{46C150C8-1E9A-4B77-AFA9-3039DBC9F0F5}"/>
    <cellStyle name="Percent" xfId="31" builtinId="5"/>
    <cellStyle name="Percent 2" xfId="32" xr:uid="{1568D51C-D5A2-42FF-A57B-2523CFCB1DE4}"/>
    <cellStyle name="Percent 3" xfId="33" xr:uid="{575A3C50-FAC5-4435-87AE-688BCB0BE10F}"/>
    <cellStyle name="Percent 4" xfId="34" xr:uid="{C4EFC668-F76F-4820-B1D2-F7CA0C15C0A1}"/>
  </cellStyles>
  <dxfs count="221">
    <dxf>
      <font>
        <b/>
        <i val="0"/>
        <condense val="0"/>
        <extend val="0"/>
        <color indexed="10"/>
      </font>
      <fill>
        <patternFill>
          <bgColor indexed="13"/>
        </patternFill>
      </fill>
    </dxf>
    <dxf>
      <font>
        <b/>
        <i val="0"/>
        <condense val="0"/>
        <extend val="0"/>
        <color indexed="10"/>
      </font>
      <fill>
        <patternFill>
          <bgColor indexed="13"/>
        </patternFill>
      </fill>
    </dxf>
    <dxf>
      <font>
        <b/>
        <i val="0"/>
        <color indexed="10"/>
      </font>
      <fill>
        <patternFill>
          <bgColor indexed="13"/>
        </patternFill>
      </fill>
    </dxf>
    <dxf>
      <font>
        <b/>
        <i val="0"/>
        <color indexed="10"/>
      </font>
      <fill>
        <patternFill>
          <bgColor indexed="13"/>
        </patternFill>
      </fill>
    </dxf>
    <dxf>
      <font>
        <b/>
        <i val="0"/>
        <color indexed="10"/>
      </font>
      <fill>
        <patternFill>
          <bgColor indexed="13"/>
        </patternFill>
      </fill>
    </dxf>
    <dxf>
      <font>
        <b/>
        <i val="0"/>
        <color indexed="10"/>
      </font>
      <fill>
        <patternFill>
          <bgColor indexed="13"/>
        </patternFill>
      </fill>
    </dxf>
    <dxf>
      <fill>
        <patternFill>
          <bgColor indexed="41"/>
        </patternFill>
      </fill>
    </dxf>
    <dxf>
      <fill>
        <patternFill>
          <bgColor indexed="41"/>
        </patternFill>
      </fill>
    </dxf>
    <dxf>
      <border>
        <left style="thin">
          <color indexed="64"/>
        </left>
        <right style="thin">
          <color indexed="64"/>
        </right>
        <top style="thin">
          <color indexed="64"/>
        </top>
        <bottom style="thin">
          <color indexed="64"/>
        </bottom>
      </border>
    </dxf>
    <dxf>
      <fill>
        <patternFill>
          <bgColor indexed="13"/>
        </patternFill>
      </fill>
    </dxf>
    <dxf>
      <fill>
        <patternFill>
          <bgColor indexed="13"/>
        </patternFill>
      </fill>
    </dxf>
    <dxf>
      <font>
        <color rgb="FFFF0000"/>
      </font>
      <fill>
        <patternFill>
          <bgColor rgb="FFFFFF00"/>
        </patternFill>
      </fill>
    </dxf>
    <dxf>
      <font>
        <color rgb="FFFF0000"/>
      </font>
      <fill>
        <patternFill>
          <bgColor rgb="FFFFFF00"/>
        </patternFill>
      </fill>
    </dxf>
    <dxf>
      <font>
        <color indexed="10"/>
      </font>
      <fill>
        <patternFill>
          <bgColor indexed="13"/>
        </patternFill>
      </fill>
    </dxf>
    <dxf>
      <fill>
        <patternFill>
          <bgColor indexed="13"/>
        </patternFill>
      </fill>
      <border>
        <left style="thin">
          <color indexed="10"/>
        </left>
        <right style="thin">
          <color indexed="10"/>
        </right>
        <top style="thin">
          <color indexed="10"/>
        </top>
        <bottom style="thin">
          <color indexed="10"/>
        </bottom>
      </border>
    </dxf>
    <dxf>
      <fill>
        <patternFill>
          <bgColor indexed="42"/>
        </patternFill>
      </fill>
      <border>
        <left style="thin">
          <color indexed="64"/>
        </left>
        <right style="thin">
          <color indexed="64"/>
        </right>
        <top style="thin">
          <color indexed="64"/>
        </top>
        <bottom style="thin">
          <color indexed="64"/>
        </bottom>
      </border>
    </dxf>
    <dxf>
      <fill>
        <patternFill>
          <bgColor indexed="45"/>
        </patternFill>
      </fill>
    </dxf>
    <dxf>
      <fill>
        <patternFill>
          <bgColor indexed="43"/>
        </patternFill>
      </fill>
    </dxf>
    <dxf>
      <fill>
        <patternFill>
          <bgColor indexed="45"/>
        </patternFill>
      </fill>
    </dxf>
    <dxf>
      <fill>
        <patternFill>
          <bgColor indexed="52"/>
        </patternFill>
      </fill>
    </dxf>
    <dxf>
      <font>
        <b/>
        <i val="0"/>
        <color indexed="13"/>
      </font>
      <fill>
        <patternFill>
          <bgColor indexed="10"/>
        </patternFill>
      </fill>
      <border>
        <left style="thin">
          <color indexed="13"/>
        </left>
        <right style="thin">
          <color indexed="13"/>
        </right>
        <top style="thin">
          <color indexed="13"/>
        </top>
        <bottom style="thin">
          <color indexed="13"/>
        </bottom>
      </border>
    </dxf>
    <dxf>
      <fill>
        <patternFill>
          <bgColor indexed="43"/>
        </patternFill>
      </fill>
    </dxf>
    <dxf>
      <font>
        <color indexed="10"/>
      </font>
      <fill>
        <patternFill>
          <bgColor indexed="13"/>
        </patternFill>
      </fill>
    </dxf>
    <dxf>
      <font>
        <color indexed="10"/>
      </font>
      <fill>
        <patternFill>
          <bgColor indexed="13"/>
        </patternFill>
      </fill>
    </dxf>
    <dxf>
      <fill>
        <patternFill>
          <bgColor indexed="42"/>
        </patternFill>
      </fill>
    </dxf>
    <dxf>
      <font>
        <color indexed="10"/>
      </font>
      <fill>
        <patternFill>
          <bgColor indexed="13"/>
        </patternFill>
      </fill>
    </dxf>
    <dxf>
      <font>
        <color indexed="10"/>
      </font>
      <fill>
        <patternFill>
          <bgColor indexed="13"/>
        </patternFill>
      </fill>
    </dxf>
    <dxf>
      <font>
        <color indexed="10"/>
      </font>
      <fill>
        <patternFill>
          <bgColor indexed="13"/>
        </patternFill>
      </fill>
    </dxf>
    <dxf>
      <fill>
        <patternFill>
          <bgColor indexed="43"/>
        </patternFill>
      </fill>
    </dxf>
    <dxf>
      <font>
        <b/>
        <i val="0"/>
        <condense val="0"/>
        <extend val="0"/>
        <color indexed="9"/>
      </font>
      <fill>
        <patternFill>
          <bgColor indexed="58"/>
        </patternFill>
      </fill>
    </dxf>
    <dxf>
      <fill>
        <patternFill>
          <bgColor indexed="42"/>
        </patternFill>
      </fill>
      <border>
        <left style="thin">
          <color indexed="64"/>
        </left>
        <right style="thin">
          <color indexed="64"/>
        </right>
        <top style="thin">
          <color indexed="64"/>
        </top>
        <bottom style="thin">
          <color indexed="64"/>
        </bottom>
      </border>
    </dxf>
    <dxf>
      <fill>
        <patternFill>
          <bgColor rgb="FFFFFF00"/>
        </patternFill>
      </fill>
    </dxf>
    <dxf>
      <font>
        <b/>
        <i val="0"/>
        <condense val="0"/>
        <extend val="0"/>
        <color indexed="13"/>
      </font>
      <fill>
        <patternFill>
          <bgColor indexed="10"/>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13"/>
        </patternFill>
      </fill>
    </dxf>
    <dxf>
      <fill>
        <patternFill>
          <bgColor rgb="FFFFFF00"/>
        </patternFill>
      </fill>
    </dxf>
    <dxf>
      <fill>
        <patternFill>
          <bgColor indexed="41"/>
        </patternFill>
      </fill>
    </dxf>
    <dxf>
      <fill>
        <patternFill>
          <bgColor indexed="41"/>
        </patternFill>
      </fill>
    </dxf>
    <dxf>
      <fill>
        <patternFill>
          <bgColor indexed="13"/>
        </patternFill>
      </fill>
    </dxf>
    <dxf>
      <fill>
        <patternFill>
          <bgColor indexed="13"/>
        </patternFill>
      </fill>
    </dxf>
    <dxf>
      <fill>
        <patternFill>
          <bgColor indexed="63"/>
        </patternFill>
      </fill>
    </dxf>
    <dxf>
      <fill>
        <patternFill>
          <bgColor indexed="34"/>
        </patternFill>
      </fill>
    </dxf>
    <dxf>
      <fill>
        <patternFill>
          <bgColor indexed="34"/>
        </patternFill>
      </fill>
    </dxf>
    <dxf>
      <font>
        <b/>
        <i val="0"/>
        <condense val="0"/>
        <extend val="0"/>
        <color indexed="10"/>
      </font>
      <fill>
        <patternFill>
          <bgColor indexed="13"/>
        </patternFill>
      </fill>
    </dxf>
    <dxf>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ill>
        <patternFill>
          <bgColor indexed="13"/>
        </patternFill>
      </fill>
    </dxf>
    <dxf>
      <fill>
        <patternFill>
          <bgColor indexed="13"/>
        </patternFill>
      </fill>
    </dxf>
    <dxf>
      <font>
        <b/>
        <i val="0"/>
        <condense val="0"/>
        <extend val="0"/>
        <color indexed="10"/>
      </font>
      <fill>
        <patternFill>
          <bgColor indexed="13"/>
        </patternFill>
      </fill>
    </dxf>
    <dxf>
      <fill>
        <patternFill>
          <bgColor indexed="57"/>
        </patternFill>
      </fill>
    </dxf>
    <dxf>
      <font>
        <b/>
        <i val="0"/>
        <condense val="0"/>
        <extend val="0"/>
        <color indexed="10"/>
      </font>
      <fill>
        <patternFill>
          <bgColor indexed="34"/>
        </patternFill>
      </fill>
    </dxf>
    <dxf>
      <font>
        <b/>
        <i val="0"/>
        <condense val="0"/>
        <extend val="0"/>
        <color indexed="10"/>
      </font>
      <fill>
        <patternFill>
          <bgColor indexed="34"/>
        </patternFill>
      </fill>
    </dxf>
    <dxf>
      <fill>
        <patternFill>
          <bgColor indexed="13"/>
        </patternFill>
      </fill>
    </dxf>
    <dxf>
      <font>
        <condense val="0"/>
        <extend val="0"/>
        <color indexed="13"/>
      </font>
      <fill>
        <patternFill>
          <bgColor indexed="10"/>
        </patternFill>
      </fill>
    </dxf>
    <dxf>
      <fill>
        <patternFill>
          <bgColor indexed="43"/>
        </patternFill>
      </fill>
    </dxf>
    <dxf>
      <font>
        <b/>
        <i val="0"/>
        <color indexed="10"/>
      </font>
      <fill>
        <patternFill>
          <bgColor indexed="13"/>
        </patternFill>
      </fill>
    </dxf>
    <dxf>
      <fill>
        <patternFill>
          <bgColor indexed="27"/>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border>
        <left style="thin">
          <color indexed="10"/>
        </left>
        <right style="thin">
          <color indexed="10"/>
        </right>
        <top style="thin">
          <color indexed="10"/>
        </top>
        <bottom style="thin">
          <color indexed="10"/>
        </bottom>
      </border>
    </dxf>
    <dxf>
      <fill>
        <patternFill>
          <bgColor indexed="43"/>
        </patternFill>
      </fill>
    </dxf>
    <dxf>
      <font>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ill>
        <patternFill>
          <bgColor indexed="13"/>
        </patternFill>
      </fill>
    </dxf>
    <dxf>
      <fill>
        <patternFill>
          <bgColor indexed="22"/>
        </patternFill>
      </fill>
    </dxf>
    <dxf>
      <font>
        <condense val="0"/>
        <extend val="0"/>
        <color indexed="13"/>
      </font>
      <fill>
        <patternFill>
          <bgColor indexed="10"/>
        </patternFill>
      </fill>
    </dxf>
    <dxf>
      <fill>
        <patternFill>
          <bgColor indexed="13"/>
        </patternFill>
      </fill>
    </dxf>
    <dxf>
      <font>
        <b/>
        <i val="0"/>
        <condense val="0"/>
        <extend val="0"/>
        <color indexed="10"/>
      </font>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10"/>
      </font>
      <fill>
        <patternFill>
          <bgColor indexed="13"/>
        </patternFill>
      </fill>
    </dxf>
    <dxf>
      <fill>
        <patternFill>
          <bgColor indexed="43"/>
        </patternFill>
      </fill>
    </dxf>
    <dxf>
      <fill>
        <patternFill>
          <bgColor indexed="13"/>
        </patternFill>
      </fill>
    </dxf>
    <dxf>
      <border>
        <left style="thin">
          <color indexed="64"/>
        </left>
        <right style="thin">
          <color indexed="64"/>
        </right>
        <top style="thin">
          <color indexed="64"/>
        </top>
        <bottom style="thin">
          <color indexed="64"/>
        </bottom>
      </border>
    </dxf>
    <dxf>
      <fill>
        <patternFill>
          <bgColor indexed="13"/>
        </patternFill>
      </fill>
    </dxf>
    <dxf>
      <fill>
        <patternFill>
          <bgColor indexed="13"/>
        </patternFill>
      </fill>
      <border>
        <left/>
        <right/>
        <top/>
        <bottom/>
      </border>
    </dxf>
    <dxf>
      <fill>
        <patternFill>
          <bgColor indexed="13"/>
        </patternFill>
      </fill>
    </dxf>
    <dxf>
      <fill>
        <patternFill>
          <bgColor indexed="10"/>
        </patternFill>
      </fill>
    </dxf>
    <dxf>
      <font>
        <condense val="0"/>
        <extend val="0"/>
        <color indexed="10"/>
      </font>
      <fill>
        <patternFill>
          <bgColor indexed="13"/>
        </patternFill>
      </fill>
    </dxf>
    <dxf>
      <font>
        <color indexed="10"/>
      </font>
      <fill>
        <patternFill>
          <bgColor indexed="13"/>
        </patternFill>
      </fill>
    </dxf>
    <dxf>
      <fill>
        <patternFill>
          <bgColor indexed="34"/>
        </patternFill>
      </fill>
    </dxf>
    <dxf>
      <font>
        <b/>
        <i val="0"/>
        <condense val="0"/>
        <extend val="0"/>
        <color indexed="10"/>
      </font>
      <fill>
        <patternFill>
          <bgColor indexed="13"/>
        </patternFill>
      </fill>
    </dxf>
    <dxf>
      <fill>
        <patternFill>
          <bgColor indexed="42"/>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43"/>
        </patternFill>
      </fill>
    </dxf>
    <dxf>
      <font>
        <condense val="0"/>
        <extend val="0"/>
        <color indexed="10"/>
      </font>
      <fill>
        <patternFill>
          <bgColor indexed="13"/>
        </patternFill>
      </fill>
    </dxf>
    <dxf>
      <fill>
        <patternFill>
          <bgColor indexed="13"/>
        </patternFill>
      </fill>
    </dxf>
    <dxf>
      <fill>
        <patternFill>
          <bgColor indexed="23"/>
        </patternFill>
      </fill>
    </dxf>
    <dxf>
      <font>
        <b/>
        <i val="0"/>
        <color indexed="10"/>
      </font>
      <fill>
        <patternFill>
          <bgColor indexed="13"/>
        </patternFill>
      </fill>
      <border>
        <left style="thin">
          <color indexed="64"/>
        </left>
        <right style="thin">
          <color indexed="64"/>
        </right>
        <top style="thin">
          <color indexed="64"/>
        </top>
        <bottom style="thin">
          <color indexed="64"/>
        </bottom>
      </border>
    </dxf>
    <dxf>
      <fill>
        <patternFill>
          <bgColor indexed="13"/>
        </patternFill>
      </fill>
    </dxf>
    <dxf>
      <fill>
        <patternFill>
          <bgColor indexed="46"/>
        </patternFill>
      </fill>
    </dxf>
    <dxf>
      <fill>
        <patternFill>
          <bgColor indexed="13"/>
        </patternFill>
      </fill>
    </dxf>
    <dxf>
      <font>
        <condense val="0"/>
        <extend val="0"/>
        <color indexed="13"/>
      </font>
      <fill>
        <patternFill>
          <bgColor indexed="10"/>
        </patternFill>
      </fill>
    </dxf>
    <dxf>
      <font>
        <condense val="0"/>
        <extend val="0"/>
        <color indexed="10"/>
      </font>
      <fill>
        <patternFill>
          <bgColor indexed="13"/>
        </patternFill>
      </fill>
    </dxf>
    <dxf>
      <fill>
        <patternFill>
          <bgColor indexed="13"/>
        </patternFill>
      </fill>
    </dxf>
    <dxf>
      <fill>
        <patternFill>
          <bgColor indexed="13"/>
        </patternFill>
      </fill>
    </dxf>
    <dxf>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lor indexed="10"/>
      </font>
      <fill>
        <patternFill>
          <bgColor indexed="13"/>
        </patternFill>
      </fill>
    </dxf>
    <dxf>
      <font>
        <b/>
        <i val="0"/>
        <color indexed="10"/>
      </font>
      <fill>
        <patternFill>
          <bgColor indexed="13"/>
        </patternFill>
      </fill>
    </dxf>
    <dxf>
      <font>
        <b/>
        <i val="0"/>
        <color indexed="10"/>
      </font>
      <fill>
        <patternFill>
          <bgColor indexed="13"/>
        </patternFill>
      </fill>
    </dxf>
    <dxf>
      <font>
        <b/>
        <i val="0"/>
        <color indexed="10"/>
      </font>
      <fill>
        <patternFill>
          <bgColor indexed="13"/>
        </patternFill>
      </fill>
    </dxf>
    <dxf>
      <fill>
        <patternFill>
          <bgColor rgb="FFFFFF00"/>
        </patternFill>
      </fill>
    </dxf>
    <dxf>
      <fill>
        <patternFill>
          <bgColor rgb="FFFFFF0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rgb="FFFF99CC"/>
        </patternFill>
      </fill>
      <border>
        <left style="thin">
          <color indexed="64"/>
        </left>
        <right style="thin">
          <color indexed="64"/>
        </right>
        <top style="thin">
          <color indexed="64"/>
        </top>
        <bottom style="thin">
          <color indexed="64"/>
        </bottom>
      </border>
    </dxf>
    <dxf>
      <fill>
        <patternFill>
          <bgColor rgb="FFFFCCFF"/>
        </patternFill>
      </fill>
      <border>
        <left style="thin">
          <color rgb="FFFF0000"/>
        </left>
        <right style="thin">
          <color rgb="FFFF0000"/>
        </right>
        <top style="thin">
          <color rgb="FFFF0000"/>
        </top>
        <bottom style="thin">
          <color rgb="FFFF0000"/>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99CC"/>
        </patternFill>
      </fill>
      <border>
        <left style="thin">
          <color indexed="64"/>
        </left>
        <right style="thin">
          <color indexed="64"/>
        </right>
        <top style="thin">
          <color indexed="64"/>
        </top>
        <bottom style="thin">
          <color indexed="64"/>
        </bottom>
      </border>
    </dxf>
    <dxf>
      <fill>
        <patternFill>
          <bgColor rgb="FFFFCCFF"/>
        </patternFill>
      </fill>
      <border>
        <left style="thin">
          <color rgb="FFFF0000"/>
        </left>
        <right style="thin">
          <color rgb="FFFF0000"/>
        </right>
        <top style="thin">
          <color rgb="FFFF0000"/>
        </top>
        <bottom style="thin">
          <color rgb="FFFF0000"/>
        </bottom>
      </border>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FF00"/>
      </font>
      <fill>
        <patternFill>
          <bgColor rgb="FFFF0000"/>
        </patternFill>
      </fill>
    </dxf>
    <dxf>
      <font>
        <color rgb="FFFFFF00"/>
      </font>
      <fill>
        <patternFill>
          <bgColor rgb="FFFF0000"/>
        </patternFill>
      </fill>
    </dxf>
    <dxf>
      <font>
        <color rgb="FFFFFF00"/>
      </font>
      <fill>
        <patternFill>
          <bgColor rgb="FFFF0000"/>
        </patternFill>
      </fill>
    </dxf>
    <dxf>
      <fill>
        <patternFill>
          <bgColor indexed="42"/>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dxf>
    <dxf>
      <fill>
        <patternFill>
          <bgColor indexed="13"/>
        </patternFill>
      </fill>
    </dxf>
    <dxf>
      <fill>
        <patternFill>
          <bgColor indexed="8"/>
        </patternFill>
      </fill>
    </dxf>
    <dxf>
      <font>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0"/>
      </font>
    </dxf>
    <dxf>
      <font>
        <b/>
        <i val="0"/>
        <condense val="0"/>
        <extend val="0"/>
        <color indexed="10"/>
      </font>
      <fill>
        <patternFill>
          <bgColor indexed="13"/>
        </patternFill>
      </fill>
    </dxf>
    <dxf>
      <fill>
        <patternFill>
          <bgColor indexed="10"/>
        </patternFill>
      </fill>
    </dxf>
    <dxf>
      <fill>
        <patternFill>
          <bgColor indexed="14"/>
        </patternFill>
      </fill>
    </dxf>
    <dxf>
      <fill>
        <patternFill>
          <bgColor indexed="34"/>
        </patternFill>
      </fill>
    </dxf>
    <dxf>
      <font>
        <condense val="0"/>
        <extend val="0"/>
        <color indexed="10"/>
      </font>
      <fill>
        <patternFill>
          <bgColor indexed="13"/>
        </patternFill>
      </fill>
    </dxf>
    <dxf>
      <fill>
        <patternFill>
          <bgColor indexed="13"/>
        </patternFill>
      </fill>
    </dxf>
    <dxf>
      <font>
        <condense val="0"/>
        <extend val="0"/>
        <color indexed="10"/>
      </font>
      <fill>
        <patternFill>
          <bgColor indexed="13"/>
        </patternFill>
      </fill>
    </dxf>
    <dxf>
      <font>
        <condense val="0"/>
        <extend val="0"/>
        <color indexed="23"/>
      </font>
      <fill>
        <patternFill>
          <bgColor indexed="22"/>
        </patternFill>
      </fill>
    </dxf>
    <dxf>
      <font>
        <condense val="0"/>
        <extend val="0"/>
        <color indexed="23"/>
      </font>
      <fill>
        <patternFill>
          <bgColor indexed="22"/>
        </patternFill>
      </fill>
    </dxf>
    <dxf>
      <font>
        <condense val="0"/>
        <extend val="0"/>
        <color indexed="10"/>
      </font>
      <fill>
        <patternFill>
          <bgColor indexed="13"/>
        </patternFill>
      </fill>
    </dxf>
    <dxf>
      <font>
        <b/>
        <i val="0"/>
        <condense val="0"/>
        <extend val="0"/>
        <color indexed="10"/>
      </font>
      <fill>
        <patternFill>
          <bgColor indexed="34"/>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13"/>
      </font>
      <fill>
        <patternFill>
          <bgColor indexed="10"/>
        </patternFill>
      </fill>
    </dxf>
    <dxf>
      <fill>
        <patternFill>
          <bgColor indexed="13"/>
        </patternFill>
      </fill>
    </dxf>
    <dxf>
      <fill>
        <patternFill>
          <bgColor indexed="13"/>
        </patternFill>
      </fill>
    </dxf>
    <dxf>
      <fill>
        <patternFill>
          <bgColor indexed="13"/>
        </patternFill>
      </fill>
    </dxf>
    <dxf>
      <fill>
        <patternFill>
          <bgColor indexed="13"/>
        </patternFill>
      </fill>
    </dxf>
    <dxf>
      <font>
        <b/>
        <i val="0"/>
        <condense val="0"/>
        <extend val="0"/>
        <color indexed="10"/>
      </font>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ndense val="0"/>
        <extend val="0"/>
        <color indexed="9"/>
      </font>
    </dxf>
    <dxf>
      <fill>
        <patternFill>
          <bgColor indexed="13"/>
        </patternFill>
      </fill>
    </dxf>
    <dxf>
      <font>
        <condense val="0"/>
        <extend val="0"/>
        <color indexed="10"/>
      </font>
    </dxf>
    <dxf>
      <fill>
        <patternFill>
          <bgColor indexed="13"/>
        </patternFill>
      </fill>
      <border>
        <left style="thin">
          <color indexed="64"/>
        </left>
        <right style="thin">
          <color indexed="64"/>
        </right>
        <top style="thin">
          <color indexed="64"/>
        </top>
        <bottom style="thin">
          <color indexed="64"/>
        </bottom>
      </border>
    </dxf>
    <dxf>
      <fill>
        <patternFill>
          <bgColor indexed="13"/>
        </patternFill>
      </fill>
    </dxf>
    <dxf>
      <fill>
        <patternFill>
          <bgColor rgb="FFFFFFCC"/>
        </patternFill>
      </fill>
      <border>
        <left style="thin">
          <color indexed="64"/>
        </left>
        <right style="thin">
          <color indexed="64"/>
        </right>
        <top style="thin">
          <color indexed="64"/>
        </top>
        <bottom style="thin">
          <color indexed="64"/>
        </bottom>
      </border>
    </dxf>
    <dxf>
      <fill>
        <patternFill>
          <bgColor rgb="FFFF99CC"/>
        </patternFill>
      </fill>
    </dxf>
    <dxf>
      <fill>
        <patternFill>
          <bgColor rgb="FFFFCCFF"/>
        </patternFill>
      </fill>
      <border>
        <left style="thin">
          <color rgb="FFFF0000"/>
        </left>
        <right style="thin">
          <color rgb="FFFF0000"/>
        </right>
        <top style="thin">
          <color rgb="FFFF0000"/>
        </top>
        <bottom style="thin">
          <color rgb="FFFF0000"/>
        </bottom>
      </border>
    </dxf>
    <dxf>
      <font>
        <b/>
        <i val="0"/>
        <color rgb="FFFF0000"/>
      </font>
      <fill>
        <patternFill>
          <bgColor rgb="FFFFFF00"/>
        </patternFill>
      </fill>
    </dxf>
    <dxf>
      <font>
        <b/>
        <i val="0"/>
        <color rgb="FFFF0000"/>
      </font>
      <fill>
        <patternFill>
          <bgColor rgb="FFFFFF00"/>
        </patternFill>
      </fill>
    </dxf>
    <dxf>
      <fill>
        <patternFill>
          <bgColor rgb="FFFFFF00"/>
        </patternFill>
      </fill>
    </dxf>
    <dxf>
      <fill>
        <patternFill>
          <bgColor indexed="55"/>
        </patternFill>
      </fill>
      <border>
        <left/>
        <right/>
        <top/>
        <bottom/>
      </border>
    </dxf>
    <dxf>
      <fill>
        <patternFill>
          <bgColor indexed="45"/>
        </patternFill>
      </fill>
    </dxf>
    <dxf>
      <fill>
        <patternFill>
          <bgColor indexed="45"/>
        </patternFill>
      </fill>
    </dxf>
    <dxf>
      <fill>
        <patternFill>
          <bgColor indexed="34"/>
        </patternFill>
      </fill>
    </dxf>
    <dxf>
      <fill>
        <patternFill>
          <bgColor indexed="13"/>
        </patternFill>
      </fill>
    </dxf>
    <dxf>
      <fill>
        <patternFill>
          <bgColor indexed="42"/>
        </patternFill>
      </fill>
    </dxf>
    <dxf>
      <fill>
        <patternFill>
          <bgColor indexed="8"/>
        </patternFill>
      </fill>
    </dxf>
    <dxf>
      <fill>
        <patternFill>
          <bgColor indexed="13"/>
        </patternFill>
      </fill>
      <border>
        <left style="thin">
          <color indexed="10"/>
        </left>
        <right style="thin">
          <color indexed="10"/>
        </right>
        <top style="thin">
          <color indexed="10"/>
        </top>
        <bottom style="thin">
          <color indexed="10"/>
        </bottom>
      </border>
    </dxf>
    <dxf>
      <fill>
        <patternFill>
          <bgColor indexed="42"/>
        </patternFill>
      </fill>
      <border>
        <left style="thin">
          <color indexed="64"/>
        </left>
        <right style="thin">
          <color indexed="64"/>
        </right>
        <top style="thin">
          <color indexed="64"/>
        </top>
        <bottom style="thin">
          <color indexed="64"/>
        </bottom>
      </border>
    </dxf>
    <dxf>
      <fill>
        <patternFill>
          <bgColor indexed="55"/>
        </patternFill>
      </fill>
    </dxf>
    <dxf>
      <font>
        <condense val="0"/>
        <extend val="0"/>
        <color indexed="9"/>
      </font>
      <fill>
        <patternFill>
          <bgColor indexed="61"/>
        </patternFill>
      </fill>
    </dxf>
    <dxf>
      <fill>
        <patternFill>
          <bgColor indexed="45"/>
        </patternFill>
      </fill>
    </dxf>
    <dxf>
      <fill>
        <patternFill>
          <bgColor indexed="43"/>
        </patternFill>
      </fill>
    </dxf>
    <dxf>
      <fill>
        <patternFill>
          <bgColor indexed="45"/>
        </patternFill>
      </fill>
    </dxf>
    <dxf>
      <fill>
        <patternFill>
          <bgColor indexed="52"/>
        </patternFill>
      </fill>
    </dxf>
    <dxf>
      <fill>
        <patternFill>
          <bgColor theme="1"/>
        </patternFill>
      </fill>
    </dxf>
    <dxf>
      <font>
        <b/>
        <i val="0"/>
        <color rgb="FFFFFF00"/>
      </font>
      <fill>
        <patternFill>
          <bgColor rgb="FFFF0000"/>
        </patternFill>
      </fill>
      <border>
        <left style="thin">
          <color rgb="FFFFFF00"/>
        </left>
        <right style="thin">
          <color rgb="FFFFFF00"/>
        </right>
        <top style="thin">
          <color rgb="FFFFFF00"/>
        </top>
        <bottom style="thin">
          <color rgb="FFFFFF00"/>
        </bottom>
      </border>
    </dxf>
    <dxf>
      <fill>
        <patternFill>
          <bgColor indexed="43"/>
        </patternFill>
      </fill>
    </dxf>
    <dxf>
      <font>
        <color rgb="FFFF0000"/>
      </font>
      <fill>
        <patternFill>
          <bgColor rgb="FFFFFF00"/>
        </patternFill>
      </fill>
    </dxf>
    <dxf>
      <font>
        <color rgb="FFFF0000"/>
      </font>
      <fill>
        <patternFill>
          <bgColor rgb="FFFFFF00"/>
        </patternFill>
      </fill>
    </dxf>
    <dxf>
      <fill>
        <patternFill>
          <bgColor rgb="FFCCFFCC"/>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CCFFCC"/>
        </patternFill>
      </fill>
    </dxf>
    <dxf>
      <fill>
        <patternFill>
          <bgColor theme="1"/>
        </patternFill>
      </fill>
    </dxf>
    <dxf>
      <fill>
        <patternFill>
          <bgColor indexed="43"/>
        </patternFill>
      </fill>
    </dxf>
    <dxf>
      <font>
        <condense val="0"/>
        <extend val="0"/>
        <color indexed="22"/>
      </font>
      <fill>
        <patternFill>
          <bgColor indexed="55"/>
        </patternFill>
      </fill>
    </dxf>
    <dxf>
      <fill>
        <patternFill>
          <bgColor indexed="13"/>
        </patternFill>
      </fill>
    </dxf>
    <dxf>
      <font>
        <b/>
        <i val="0"/>
        <color rgb="FFFF0000"/>
      </font>
      <fill>
        <patternFill>
          <bgColor rgb="FFFFFF00"/>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07" Type="http://schemas.openxmlformats.org/officeDocument/2006/relationships/sheetMetadata" Target="metadata.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microsoft.com/office/2006/relationships/vbaProject" Target="vbaProject.bin"/><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fmlaLink="$W$22" lockText="1" noThreeD="1"/>
</file>

<file path=xl/ctrlProps/ctrlProp46.xml><?xml version="1.0" encoding="utf-8"?>
<formControlPr xmlns="http://schemas.microsoft.com/office/spreadsheetml/2009/9/main" objectType="CheckBox" fmlaLink="$W$21" lockText="1" noThreeD="1"/>
</file>

<file path=xl/ctrlProps/ctrlProp47.xml><?xml version="1.0" encoding="utf-8"?>
<formControlPr xmlns="http://schemas.microsoft.com/office/spreadsheetml/2009/9/main" objectType="CheckBox" fmlaLink="$W$23" lockText="1" noThreeD="1"/>
</file>

<file path=xl/ctrlProps/ctrlProp48.xml><?xml version="1.0" encoding="utf-8"?>
<formControlPr xmlns="http://schemas.microsoft.com/office/spreadsheetml/2009/9/main" objectType="CheckBox" fmlaLink="$W$24" lockText="1"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firstButton="1" fmlaLink="global!$D$4"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Radio" checked="Checked" lockText="1" noThreeD="1"/>
</file>

<file path=xl/ctrlProps/ctrlProp55.xml><?xml version="1.0" encoding="utf-8"?>
<formControlPr xmlns="http://schemas.microsoft.com/office/spreadsheetml/2009/9/main" objectType="Drop" dropStyle="combo" dx="26" fmlaLink="global!$J$3" fmlaRange="global!$G$4:$G$6" noThreeD="1" sel="3" val="0"/>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CheckBox" checked="Checked" fmlaLink="$S$28" lockText="1" noThreeD="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checked="Checked" fmlaLink="$S$28"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CheckBox" fmlaLink="W25" lockText="1" noThreeD="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W26"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GBox" noThreeD="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checked="Checked" firstButton="1" fmlaLink="$S$19" lockText="1" noThreeD="1"/>
</file>

<file path=xl/ctrlProps/ctrlProp125.xml><?xml version="1.0" encoding="utf-8"?>
<formControlPr xmlns="http://schemas.microsoft.com/office/spreadsheetml/2009/9/main" objectType="Radio" lockText="1" noThreeD="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CheckBox" fmlaLink="$J$17" lockText="1" noThreeD="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CheckBox" checked="Checked" fmlaLink="O15" lockText="1" noThreeD="1"/>
</file>

<file path=xl/ctrlProps/ctrlProp161.xml><?xml version="1.0" encoding="utf-8"?>
<formControlPr xmlns="http://schemas.microsoft.com/office/spreadsheetml/2009/9/main" objectType="CheckBox" checked="Checked" fmlaLink="$O$15" lockText="1" noThreeD="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Radio" checked="Checked" firstButton="1" fmlaLink="$O$11" lockText="1" noThreeD="1"/>
</file>

<file path=xl/ctrlProps/ctrlProp171.xml><?xml version="1.0" encoding="utf-8"?>
<formControlPr xmlns="http://schemas.microsoft.com/office/spreadsheetml/2009/9/main" objectType="Radio" lockText="1" noThreeD="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Drop" dropLines="3" dropStyle="combo" dx="26" fmlaLink="global!$D$4" fmlaRange="global!$C$4:$C$6" noThreeD="1" sel="3" val="0"/>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Spin" dx="16" fmlaLink="$V$3" max="30000" page="10" val="0"/>
</file>

<file path=xl/ctrlProps/ctrlProp388.xml><?xml version="1.0" encoding="utf-8"?>
<formControlPr xmlns="http://schemas.microsoft.com/office/spreadsheetml/2009/9/main" objectType="CheckBox" fmlaLink="$V$4" lockText="1" noThreeD="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CheckBox" fmlaLink="AJ7" lockText="1" noThreeD="1"/>
</file>

<file path=xl/ctrlProps/ctrlProp408.xml><?xml version="1.0" encoding="utf-8"?>
<formControlPr xmlns="http://schemas.microsoft.com/office/spreadsheetml/2009/9/main" objectType="CheckBox" fmlaLink="AK7" lockText="1" noThreeD="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CheckBox" fmlaLink="AJ70" lockText="1" noThreeD="1"/>
</file>

<file path=xl/ctrlProps/ctrlProp412.xml><?xml version="1.0" encoding="utf-8"?>
<formControlPr xmlns="http://schemas.microsoft.com/office/spreadsheetml/2009/9/main" objectType="CheckBox" fmlaLink="AJ71" lockText="1" noThreeD="1"/>
</file>

<file path=xl/ctrlProps/ctrlProp413.xml><?xml version="1.0" encoding="utf-8"?>
<formControlPr xmlns="http://schemas.microsoft.com/office/spreadsheetml/2009/9/main" objectType="CheckBox" fmlaLink="AJ72" lockText="1" noThreeD="1"/>
</file>

<file path=xl/ctrlProps/ctrlProp414.xml><?xml version="1.0" encoding="utf-8"?>
<formControlPr xmlns="http://schemas.microsoft.com/office/spreadsheetml/2009/9/main" objectType="CheckBox" fmlaLink="AJ73" lockText="1" noThreeD="1"/>
</file>

<file path=xl/ctrlProps/ctrlProp415.xml><?xml version="1.0" encoding="utf-8"?>
<formControlPr xmlns="http://schemas.microsoft.com/office/spreadsheetml/2009/9/main" objectType="CheckBox" fmlaLink="AJ74" lockText="1" noThreeD="1"/>
</file>

<file path=xl/ctrlProps/ctrlProp416.xml><?xml version="1.0" encoding="utf-8"?>
<formControlPr xmlns="http://schemas.microsoft.com/office/spreadsheetml/2009/9/main" objectType="CheckBox" fmlaLink="AJ75" lockText="1" noThreeD="1"/>
</file>

<file path=xl/ctrlProps/ctrlProp417.xml><?xml version="1.0" encoding="utf-8"?>
<formControlPr xmlns="http://schemas.microsoft.com/office/spreadsheetml/2009/9/main" objectType="CheckBox" fmlaLink="AJ76" lockText="1" noThreeD="1"/>
</file>

<file path=xl/ctrlProps/ctrlProp418.xml><?xml version="1.0" encoding="utf-8"?>
<formControlPr xmlns="http://schemas.microsoft.com/office/spreadsheetml/2009/9/main" objectType="CheckBox" fmlaLink="AJ77" lockText="1" noThreeD="1"/>
</file>

<file path=xl/ctrlProps/ctrlProp419.xml><?xml version="1.0" encoding="utf-8"?>
<formControlPr xmlns="http://schemas.microsoft.com/office/spreadsheetml/2009/9/main" objectType="CheckBox" fmlaLink="AJ78" lockText="1" noThreeD="1"/>
</file>

<file path=xl/ctrlProps/ctrlProp420.xml><?xml version="1.0" encoding="utf-8"?>
<formControlPr xmlns="http://schemas.microsoft.com/office/spreadsheetml/2009/9/main" objectType="CheckBox" fmlaLink="AJ79" lockText="1" noThreeD="1"/>
</file>

<file path=xl/ctrlProps/ctrlProp421.xml><?xml version="1.0" encoding="utf-8"?>
<formControlPr xmlns="http://schemas.microsoft.com/office/spreadsheetml/2009/9/main" objectType="CheckBox" fmlaLink="AJ80" lockText="1" noThreeD="1"/>
</file>

<file path=xl/ctrlProps/ctrlProp422.xml><?xml version="1.0" encoding="utf-8"?>
<formControlPr xmlns="http://schemas.microsoft.com/office/spreadsheetml/2009/9/main" objectType="CheckBox" fmlaLink="AK70" lockText="1" noThreeD="1"/>
</file>

<file path=xl/ctrlProps/ctrlProp423.xml><?xml version="1.0" encoding="utf-8"?>
<formControlPr xmlns="http://schemas.microsoft.com/office/spreadsheetml/2009/9/main" objectType="CheckBox" fmlaLink="AK71" lockText="1" noThreeD="1"/>
</file>

<file path=xl/ctrlProps/ctrlProp424.xml><?xml version="1.0" encoding="utf-8"?>
<formControlPr xmlns="http://schemas.microsoft.com/office/spreadsheetml/2009/9/main" objectType="CheckBox" fmlaLink="AK72" lockText="1" noThreeD="1"/>
</file>

<file path=xl/ctrlProps/ctrlProp425.xml><?xml version="1.0" encoding="utf-8"?>
<formControlPr xmlns="http://schemas.microsoft.com/office/spreadsheetml/2009/9/main" objectType="CheckBox" fmlaLink="AK73" lockText="1" noThreeD="1"/>
</file>

<file path=xl/ctrlProps/ctrlProp426.xml><?xml version="1.0" encoding="utf-8"?>
<formControlPr xmlns="http://schemas.microsoft.com/office/spreadsheetml/2009/9/main" objectType="CheckBox" fmlaLink="AK74" lockText="1" noThreeD="1"/>
</file>

<file path=xl/ctrlProps/ctrlProp427.xml><?xml version="1.0" encoding="utf-8"?>
<formControlPr xmlns="http://schemas.microsoft.com/office/spreadsheetml/2009/9/main" objectType="CheckBox" fmlaLink="AK75" lockText="1" noThreeD="1"/>
</file>

<file path=xl/ctrlProps/ctrlProp428.xml><?xml version="1.0" encoding="utf-8"?>
<formControlPr xmlns="http://schemas.microsoft.com/office/spreadsheetml/2009/9/main" objectType="CheckBox" fmlaLink="AK76" lockText="1" noThreeD="1"/>
</file>

<file path=xl/ctrlProps/ctrlProp429.xml><?xml version="1.0" encoding="utf-8"?>
<formControlPr xmlns="http://schemas.microsoft.com/office/spreadsheetml/2009/9/main" objectType="CheckBox" fmlaLink="AK77" lockText="1" noThreeD="1"/>
</file>

<file path=xl/ctrlProps/ctrlProp430.xml><?xml version="1.0" encoding="utf-8"?>
<formControlPr xmlns="http://schemas.microsoft.com/office/spreadsheetml/2009/9/main" objectType="CheckBox" fmlaLink="AK78" lockText="1" noThreeD="1"/>
</file>

<file path=xl/ctrlProps/ctrlProp431.xml><?xml version="1.0" encoding="utf-8"?>
<formControlPr xmlns="http://schemas.microsoft.com/office/spreadsheetml/2009/9/main" objectType="CheckBox" fmlaLink="AK79" lockText="1" noThreeD="1"/>
</file>

<file path=xl/ctrlProps/ctrlProp432.xml><?xml version="1.0" encoding="utf-8"?>
<formControlPr xmlns="http://schemas.microsoft.com/office/spreadsheetml/2009/9/main" objectType="CheckBox" fmlaLink="AK80" lockText="1" noThreeD="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CheckBox" fmlaLink="AJ8" lockText="1" noThreeD="1"/>
</file>

<file path=xl/ctrlProps/ctrlProp447.xml><?xml version="1.0" encoding="utf-8"?>
<formControlPr xmlns="http://schemas.microsoft.com/office/spreadsheetml/2009/9/main" objectType="CheckBox" fmlaLink="AK8" lockText="1" noThreeD="1"/>
</file>

<file path=xl/ctrlProps/ctrlProp448.xml><?xml version="1.0" encoding="utf-8"?>
<formControlPr xmlns="http://schemas.microsoft.com/office/spreadsheetml/2009/9/main" objectType="CheckBox" fmlaLink="AJ8" lockText="1" noThreeD="1"/>
</file>

<file path=xl/ctrlProps/ctrlProp449.xml><?xml version="1.0" encoding="utf-8"?>
<formControlPr xmlns="http://schemas.microsoft.com/office/spreadsheetml/2009/9/main" objectType="CheckBox" fmlaLink="AK8" lockText="1" noThreeD="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CheckBox" fmlaLink="$AJ$5" lockText="1" noThreeD="1"/>
</file>

<file path=xl/ctrlProps/ctrlProp472.xml><?xml version="1.0" encoding="utf-8"?>
<formControlPr xmlns="http://schemas.microsoft.com/office/spreadsheetml/2009/9/main" objectType="CheckBox" fmlaLink="$AK$5" lockText="1" noThreeD="1"/>
</file>

<file path=xl/ctrlProps/ctrlProp473.xml><?xml version="1.0" encoding="utf-8"?>
<formControlPr xmlns="http://schemas.microsoft.com/office/spreadsheetml/2009/9/main" objectType="CheckBox" fmlaLink="$AJ$11" lockText="1" noThreeD="1"/>
</file>

<file path=xl/ctrlProps/ctrlProp474.xml><?xml version="1.0" encoding="utf-8"?>
<formControlPr xmlns="http://schemas.microsoft.com/office/spreadsheetml/2009/9/main" objectType="CheckBox" fmlaLink="$AK$11" lockText="1" noThreeD="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Drop" dropLines="3" dropStyle="combo" dx="26" fmlaLink="global!$D$4" fmlaRange="global!$C$4:$C$6" noThreeD="1" sel="3" val="0"/>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CheckBox" checked="Checked" fmlaLink="$Q$52" lockText="1" noThreeD="1"/>
</file>

<file path=xl/ctrlProps/ctrlProp531.xml><?xml version="1.0" encoding="utf-8"?>
<formControlPr xmlns="http://schemas.microsoft.com/office/spreadsheetml/2009/9/main" objectType="CheckBox" checked="Checked" fmlaLink="$Q$53" lockText="1" noThreeD="1"/>
</file>

<file path=xl/ctrlProps/ctrlProp532.xml><?xml version="1.0" encoding="utf-8"?>
<formControlPr xmlns="http://schemas.microsoft.com/office/spreadsheetml/2009/9/main" objectType="CheckBox" checked="Checked" fmlaLink="$Q$54" lockText="1" noThreeD="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GBox" noThreeD="1"/>
</file>

<file path=xl/ctrlProps/ctrlProp538.xml><?xml version="1.0" encoding="utf-8"?>
<formControlPr xmlns="http://schemas.microsoft.com/office/spreadsheetml/2009/9/main" objectType="Radio" checked="Checked" firstButton="1" fmlaLink="$O$11" lockText="1" noThreeD="1"/>
</file>

<file path=xl/ctrlProps/ctrlProp539.xml><?xml version="1.0" encoding="utf-8"?>
<formControlPr xmlns="http://schemas.microsoft.com/office/spreadsheetml/2009/9/main" objectType="Radio" lockText="1" noThreeD="1"/>
</file>

<file path=xl/ctrlProps/ctrlProp540.xml><?xml version="1.0" encoding="utf-8"?>
<formControlPr xmlns="http://schemas.microsoft.com/office/spreadsheetml/2009/9/main" objectType="CheckBox" checked="Checked" fmlaLink="$O$15" lockText="1" noThreeD="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GBox" noThreeD="1"/>
</file>

<file path=xl/ctrlProps/ctrlProp660.xml><?xml version="1.0" encoding="utf-8"?>
<formControlPr xmlns="http://schemas.microsoft.com/office/spreadsheetml/2009/9/main" objectType="Radio" checked="Checked" firstButton="1" fmlaLink="$O$11" lockText="1" noThreeD="1"/>
</file>

<file path=xl/ctrlProps/ctrlProp661.xml><?xml version="1.0" encoding="utf-8"?>
<formControlPr xmlns="http://schemas.microsoft.com/office/spreadsheetml/2009/9/main" objectType="Radio" lockText="1" noThreeD="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Drop" dropLines="3" dropStyle="combo" dx="26" fmlaLink="global!$G$14" fmlaRange="authorities!$A:$A" noThreeD="1" sel="1" val="0"/>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Drop" dropLines="3" dropStyle="combo" dx="26" fmlaLink="global!$D$4" fmlaRange="global!$C$4:$C$6" noThreeD="1" sel="3" val="0"/>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Button" lockText="1"/>
</file>

<file path=xl/ctrlProps/ctrlProp686.xml><?xml version="1.0" encoding="utf-8"?>
<formControlPr xmlns="http://schemas.microsoft.com/office/spreadsheetml/2009/9/main" objectType="Button" lockText="1"/>
</file>

<file path=xl/ctrlProps/ctrlProp687.xml><?xml version="1.0" encoding="utf-8"?>
<formControlPr xmlns="http://schemas.microsoft.com/office/spreadsheetml/2009/9/main" objectType="Button" lockText="1"/>
</file>

<file path=xl/ctrlProps/ctrlProp688.xml><?xml version="1.0" encoding="utf-8"?>
<formControlPr xmlns="http://schemas.microsoft.com/office/spreadsheetml/2009/9/main" objectType="Button" lockText="1"/>
</file>

<file path=xl/ctrlProps/ctrlProp689.xml><?xml version="1.0" encoding="utf-8"?>
<formControlPr xmlns="http://schemas.microsoft.com/office/spreadsheetml/2009/9/main" objectType="Button" lockText="1"/>
</file>

<file path=xl/ctrlProps/ctrlProp690.xml><?xml version="1.0" encoding="utf-8"?>
<formControlPr xmlns="http://schemas.microsoft.com/office/spreadsheetml/2009/9/main" objectType="Button" lockText="1"/>
</file>

<file path=xl/ctrlProps/ctrlProp691.xml><?xml version="1.0" encoding="utf-8"?>
<formControlPr xmlns="http://schemas.microsoft.com/office/spreadsheetml/2009/9/main" objectType="Button" lockText="1"/>
</file>

<file path=xl/ctrlProps/ctrlProp692.xml><?xml version="1.0" encoding="utf-8"?>
<formControlPr xmlns="http://schemas.microsoft.com/office/spreadsheetml/2009/9/main" objectType="Button" lockText="1"/>
</file>

<file path=xl/ctrlProps/ctrlProp693.xml><?xml version="1.0" encoding="utf-8"?>
<formControlPr xmlns="http://schemas.microsoft.com/office/spreadsheetml/2009/9/main" objectType="Button" lockText="1"/>
</file>

<file path=xl/ctrlProps/ctrlProp694.xml><?xml version="1.0" encoding="utf-8"?>
<formControlPr xmlns="http://schemas.microsoft.com/office/spreadsheetml/2009/9/main" objectType="Button" lockText="1"/>
</file>

<file path=xl/ctrlProps/ctrlProp695.xml><?xml version="1.0" encoding="utf-8"?>
<formControlPr xmlns="http://schemas.microsoft.com/office/spreadsheetml/2009/9/main" objectType="Button" lockText="1"/>
</file>

<file path=xl/ctrlProps/ctrlProp696.xml><?xml version="1.0" encoding="utf-8"?>
<formControlPr xmlns="http://schemas.microsoft.com/office/spreadsheetml/2009/9/main" objectType="Button" lockText="1"/>
</file>

<file path=xl/ctrlProps/ctrlProp697.xml><?xml version="1.0" encoding="utf-8"?>
<formControlPr xmlns="http://schemas.microsoft.com/office/spreadsheetml/2009/9/main" objectType="Button" lockText="1"/>
</file>

<file path=xl/ctrlProps/ctrlProp698.xml><?xml version="1.0" encoding="utf-8"?>
<formControlPr xmlns="http://schemas.microsoft.com/office/spreadsheetml/2009/9/main" objectType="Button" lockText="1"/>
</file>

<file path=xl/ctrlProps/ctrlProp699.xml><?xml version="1.0" encoding="utf-8"?>
<formControlPr xmlns="http://schemas.microsoft.com/office/spreadsheetml/2009/9/main" objectType="Button" lockText="1"/>
</file>

<file path=xl/ctrlProps/ctrlProp700.xml><?xml version="1.0" encoding="utf-8"?>
<formControlPr xmlns="http://schemas.microsoft.com/office/spreadsheetml/2009/9/main" objectType="Button" lockText="1"/>
</file>

<file path=xl/ctrlProps/ctrlProp701.xml><?xml version="1.0" encoding="utf-8"?>
<formControlPr xmlns="http://schemas.microsoft.com/office/spreadsheetml/2009/9/main" objectType="CheckBox" fmlaLink="$M$8" lockText="1" noThreeD="1"/>
</file>

<file path=xl/ctrlProps/ctrlProp702.xml><?xml version="1.0" encoding="utf-8"?>
<formControlPr xmlns="http://schemas.microsoft.com/office/spreadsheetml/2009/9/main" objectType="CheckBox" fmlaLink="$M$9" lockText="1" noThreeD="1"/>
</file>

<file path=xl/ctrlProps/ctrlProp703.xml><?xml version="1.0" encoding="utf-8"?>
<formControlPr xmlns="http://schemas.microsoft.com/office/spreadsheetml/2009/9/main" objectType="CheckBox" fmlaLink="$M$10" lockText="1" noThreeD="1"/>
</file>

<file path=xl/ctrlProps/ctrlProp704.xml><?xml version="1.0" encoding="utf-8"?>
<formControlPr xmlns="http://schemas.microsoft.com/office/spreadsheetml/2009/9/main" objectType="CheckBox" fmlaLink="$M$11" lockText="1" noThreeD="1"/>
</file>

<file path=xl/ctrlProps/ctrlProp705.xml><?xml version="1.0" encoding="utf-8"?>
<formControlPr xmlns="http://schemas.microsoft.com/office/spreadsheetml/2009/9/main" objectType="CheckBox" fmlaLink="$M$12" lockText="1" noThreeD="1"/>
</file>

<file path=xl/ctrlProps/ctrlProp706.xml><?xml version="1.0" encoding="utf-8"?>
<formControlPr xmlns="http://schemas.microsoft.com/office/spreadsheetml/2009/9/main" objectType="CheckBox" fmlaLink="$M$13" lockText="1" noThreeD="1"/>
</file>

<file path=xl/ctrlProps/ctrlProp707.xml><?xml version="1.0" encoding="utf-8"?>
<formControlPr xmlns="http://schemas.microsoft.com/office/spreadsheetml/2009/9/main" objectType="CheckBox" fmlaLink="$N$8" lockText="1" noThreeD="1"/>
</file>

<file path=xl/ctrlProps/ctrlProp708.xml><?xml version="1.0" encoding="utf-8"?>
<formControlPr xmlns="http://schemas.microsoft.com/office/spreadsheetml/2009/9/main" objectType="CheckBox" fmlaLink="$O$8" lockText="1" noThreeD="1"/>
</file>

<file path=xl/ctrlProps/ctrlProp709.xml><?xml version="1.0" encoding="utf-8"?>
<formControlPr xmlns="http://schemas.microsoft.com/office/spreadsheetml/2009/9/main" objectType="Button" lockText="1"/>
</file>

<file path=xl/ctrlProps/ctrlProp710.xml><?xml version="1.0" encoding="utf-8"?>
<formControlPr xmlns="http://schemas.microsoft.com/office/spreadsheetml/2009/9/main" objectType="Button" lockText="1"/>
</file>

<file path=xl/ctrlProps/ctrlProp711.xml><?xml version="1.0" encoding="utf-8"?>
<formControlPr xmlns="http://schemas.microsoft.com/office/spreadsheetml/2009/9/main" objectType="Button" lockText="1"/>
</file>

<file path=xl/ctrlProps/ctrlProp712.xml><?xml version="1.0" encoding="utf-8"?>
<formControlPr xmlns="http://schemas.microsoft.com/office/spreadsheetml/2009/9/main" objectType="Button" lockText="1"/>
</file>

<file path=xl/ctrlProps/ctrlProp713.xml><?xml version="1.0" encoding="utf-8"?>
<formControlPr xmlns="http://schemas.microsoft.com/office/spreadsheetml/2009/9/main" objectType="Drop" dropLines="3" dropStyle="combo" dx="26" fmlaLink="global!$D$4" fmlaRange="global!$C$4:$C$6" noThreeD="1" sel="3" val="0"/>
</file>

<file path=xl/ctrlProps/ctrlProp714.xml><?xml version="1.0" encoding="utf-8"?>
<formControlPr xmlns="http://schemas.microsoft.com/office/spreadsheetml/2009/9/main" objectType="Drop" dropLines="3" dropStyle="combo" dx="26" fmlaLink="global!$G$14" fmlaRange="authorities!$A:$A" noThreeD="1" sel="1" val="0"/>
</file>

<file path=xl/ctrlProps/ctrlProp715.xml><?xml version="1.0" encoding="utf-8"?>
<formControlPr xmlns="http://schemas.microsoft.com/office/spreadsheetml/2009/9/main" objectType="CheckBox" fmlaLink="$N$9" lockText="1" noThreeD="1"/>
</file>

<file path=xl/ctrlProps/ctrlProp716.xml><?xml version="1.0" encoding="utf-8"?>
<formControlPr xmlns="http://schemas.microsoft.com/office/spreadsheetml/2009/9/main" objectType="CheckBox" fmlaLink="$O$9" lockText="1" noThreeD="1"/>
</file>

<file path=xl/ctrlProps/ctrlProp717.xml><?xml version="1.0" encoding="utf-8"?>
<formControlPr xmlns="http://schemas.microsoft.com/office/spreadsheetml/2009/9/main" objectType="CheckBox" fmlaLink="$N$10" lockText="1" noThreeD="1"/>
</file>

<file path=xl/ctrlProps/ctrlProp718.xml><?xml version="1.0" encoding="utf-8"?>
<formControlPr xmlns="http://schemas.microsoft.com/office/spreadsheetml/2009/9/main" objectType="CheckBox" fmlaLink="$O$10" lockText="1" noThreeD="1"/>
</file>

<file path=xl/ctrlProps/ctrlProp719.xml><?xml version="1.0" encoding="utf-8"?>
<formControlPr xmlns="http://schemas.microsoft.com/office/spreadsheetml/2009/9/main" objectType="CheckBox" fmlaLink="$N$11" lockText="1" noThreeD="1"/>
</file>

<file path=xl/ctrlProps/ctrlProp720.xml><?xml version="1.0" encoding="utf-8"?>
<formControlPr xmlns="http://schemas.microsoft.com/office/spreadsheetml/2009/9/main" objectType="CheckBox" fmlaLink="$O$11" lockText="1" noThreeD="1"/>
</file>

<file path=xl/ctrlProps/ctrlProp721.xml><?xml version="1.0" encoding="utf-8"?>
<formControlPr xmlns="http://schemas.microsoft.com/office/spreadsheetml/2009/9/main" objectType="CheckBox" fmlaLink="$N$12" lockText="1" noThreeD="1"/>
</file>

<file path=xl/ctrlProps/ctrlProp722.xml><?xml version="1.0" encoding="utf-8"?>
<formControlPr xmlns="http://schemas.microsoft.com/office/spreadsheetml/2009/9/main" objectType="CheckBox" fmlaLink="$O$12" lockText="1" noThreeD="1"/>
</file>

<file path=xl/ctrlProps/ctrlProp723.xml><?xml version="1.0" encoding="utf-8"?>
<formControlPr xmlns="http://schemas.microsoft.com/office/spreadsheetml/2009/9/main" objectType="CheckBox" fmlaLink="$N$13" lockText="1" noThreeD="1"/>
</file>

<file path=xl/ctrlProps/ctrlProp724.xml><?xml version="1.0" encoding="utf-8"?>
<formControlPr xmlns="http://schemas.microsoft.com/office/spreadsheetml/2009/9/main" objectType="CheckBox" fmlaLink="$O$13" lockText="1" noThreeD="1"/>
</file>

<file path=xl/ctrlProps/ctrlProp725.xml><?xml version="1.0" encoding="utf-8"?>
<formControlPr xmlns="http://schemas.microsoft.com/office/spreadsheetml/2009/9/main" objectType="Button" lockText="1"/>
</file>

<file path=xl/ctrlProps/ctrlProp726.xml><?xml version="1.0" encoding="utf-8"?>
<formControlPr xmlns="http://schemas.microsoft.com/office/spreadsheetml/2009/9/main" objectType="Button" lockText="1"/>
</file>

<file path=xl/ctrlProps/ctrlProp727.xml><?xml version="1.0" encoding="utf-8"?>
<formControlPr xmlns="http://schemas.microsoft.com/office/spreadsheetml/2009/9/main" objectType="Button" lockText="1"/>
</file>

<file path=xl/ctrlProps/ctrlProp728.xml><?xml version="1.0" encoding="utf-8"?>
<formControlPr xmlns="http://schemas.microsoft.com/office/spreadsheetml/2009/9/main" objectType="Button" lockText="1"/>
</file>

<file path=xl/ctrlProps/ctrlProp729.xml><?xml version="1.0" encoding="utf-8"?>
<formControlPr xmlns="http://schemas.microsoft.com/office/spreadsheetml/2009/9/main" objectType="Button" lockText="1"/>
</file>

<file path=xl/ctrlProps/ctrlProp730.xml><?xml version="1.0" encoding="utf-8"?>
<formControlPr xmlns="http://schemas.microsoft.com/office/spreadsheetml/2009/9/main" objectType="Button" lockText="1"/>
</file>

<file path=xl/ctrlProps/ctrlProp731.xml><?xml version="1.0" encoding="utf-8"?>
<formControlPr xmlns="http://schemas.microsoft.com/office/spreadsheetml/2009/9/main" objectType="Button" lockText="1"/>
</file>

<file path=xl/ctrlProps/ctrlProp732.xml><?xml version="1.0" encoding="utf-8"?>
<formControlPr xmlns="http://schemas.microsoft.com/office/spreadsheetml/2009/9/main" objectType="Button" lockText="1"/>
</file>

<file path=xl/ctrlProps/ctrlProp733.xml><?xml version="1.0" encoding="utf-8"?>
<formControlPr xmlns="http://schemas.microsoft.com/office/spreadsheetml/2009/9/main" objectType="Button" lockText="1"/>
</file>

<file path=xl/ctrlProps/ctrlProp734.xml><?xml version="1.0" encoding="utf-8"?>
<formControlPr xmlns="http://schemas.microsoft.com/office/spreadsheetml/2009/9/main" objectType="Button" lockText="1"/>
</file>

<file path=xl/ctrlProps/ctrlProp735.xml><?xml version="1.0" encoding="utf-8"?>
<formControlPr xmlns="http://schemas.microsoft.com/office/spreadsheetml/2009/9/main" objectType="Button" lockText="1"/>
</file>

<file path=xl/ctrlProps/ctrlProp736.xml><?xml version="1.0" encoding="utf-8"?>
<formControlPr xmlns="http://schemas.microsoft.com/office/spreadsheetml/2009/9/main" objectType="Button" lockText="1"/>
</file>

<file path=xl/ctrlProps/ctrlProp737.xml><?xml version="1.0" encoding="utf-8"?>
<formControlPr xmlns="http://schemas.microsoft.com/office/spreadsheetml/2009/9/main" objectType="Button" lockText="1"/>
</file>

<file path=xl/ctrlProps/ctrlProp738.xml><?xml version="1.0" encoding="utf-8"?>
<formControlPr xmlns="http://schemas.microsoft.com/office/spreadsheetml/2009/9/main" objectType="Button" lockText="1"/>
</file>

<file path=xl/ctrlProps/ctrlProp739.xml><?xml version="1.0" encoding="utf-8"?>
<formControlPr xmlns="http://schemas.microsoft.com/office/spreadsheetml/2009/9/main" objectType="Button" lockText="1"/>
</file>

<file path=xl/ctrlProps/ctrlProp740.xml><?xml version="1.0" encoding="utf-8"?>
<formControlPr xmlns="http://schemas.microsoft.com/office/spreadsheetml/2009/9/main" objectType="Button" lockText="1"/>
</file>

<file path=xl/ctrlProps/ctrlProp741.xml><?xml version="1.0" encoding="utf-8"?>
<formControlPr xmlns="http://schemas.microsoft.com/office/spreadsheetml/2009/9/main" objectType="Button" lockText="1"/>
</file>

<file path=xl/ctrlProps/ctrlProp742.xml><?xml version="1.0" encoding="utf-8"?>
<formControlPr xmlns="http://schemas.microsoft.com/office/spreadsheetml/2009/9/main" objectType="Button" lockText="1"/>
</file>

<file path=xl/ctrlProps/ctrlProp743.xml><?xml version="1.0" encoding="utf-8"?>
<formControlPr xmlns="http://schemas.microsoft.com/office/spreadsheetml/2009/9/main" objectType="Button" lockText="1"/>
</file>

<file path=xl/ctrlProps/ctrlProp744.xml><?xml version="1.0" encoding="utf-8"?>
<formControlPr xmlns="http://schemas.microsoft.com/office/spreadsheetml/2009/9/main" objectType="Button" lockText="1"/>
</file>

<file path=xl/ctrlProps/ctrlProp745.xml><?xml version="1.0" encoding="utf-8"?>
<formControlPr xmlns="http://schemas.microsoft.com/office/spreadsheetml/2009/9/main" objectType="Button" lockText="1"/>
</file>

<file path=xl/ctrlProps/ctrlProp746.xml><?xml version="1.0" encoding="utf-8"?>
<formControlPr xmlns="http://schemas.microsoft.com/office/spreadsheetml/2009/9/main" objectType="Button" lockText="1"/>
</file>

<file path=xl/ctrlProps/ctrlProp747.xml><?xml version="1.0" encoding="utf-8"?>
<formControlPr xmlns="http://schemas.microsoft.com/office/spreadsheetml/2009/9/main" objectType="Button" lockText="1"/>
</file>

<file path=xl/ctrlProps/ctrlProp748.xml><?xml version="1.0" encoding="utf-8"?>
<formControlPr xmlns="http://schemas.microsoft.com/office/spreadsheetml/2009/9/main" objectType="CheckBox" checked="Checked" fmlaLink="$O$32" lockText="1" noThreeD="1"/>
</file>

<file path=xl/ctrlProps/ctrlProp749.xml><?xml version="1.0" encoding="utf-8"?>
<formControlPr xmlns="http://schemas.microsoft.com/office/spreadsheetml/2009/9/main" objectType="Button" lockText="1"/>
</file>

<file path=xl/ctrlProps/ctrlProp750.xml><?xml version="1.0" encoding="utf-8"?>
<formControlPr xmlns="http://schemas.microsoft.com/office/spreadsheetml/2009/9/main" objectType="Button" lockText="1"/>
</file>

<file path=xl/ctrlProps/ctrlProp751.xml><?xml version="1.0" encoding="utf-8"?>
<formControlPr xmlns="http://schemas.microsoft.com/office/spreadsheetml/2009/9/main" objectType="Button" lockText="1"/>
</file>

<file path=xl/ctrlProps/ctrlProp752.xml><?xml version="1.0" encoding="utf-8"?>
<formControlPr xmlns="http://schemas.microsoft.com/office/spreadsheetml/2009/9/main" objectType="Button" lockText="1"/>
</file>

<file path=xl/ctrlProps/ctrlProp753.xml><?xml version="1.0" encoding="utf-8"?>
<formControlPr xmlns="http://schemas.microsoft.com/office/spreadsheetml/2009/9/main" objectType="Button" lockText="1"/>
</file>

<file path=xl/ctrlProps/ctrlProp754.xml><?xml version="1.0" encoding="utf-8"?>
<formControlPr xmlns="http://schemas.microsoft.com/office/spreadsheetml/2009/9/main" objectType="Button" lockText="1"/>
</file>

<file path=xl/ctrlProps/ctrlProp755.xml><?xml version="1.0" encoding="utf-8"?>
<formControlPr xmlns="http://schemas.microsoft.com/office/spreadsheetml/2009/9/main" objectType="Drop" dropLines="3" dropStyle="combo" dx="26" fmlaLink="global!$D$4" fmlaRange="global!$C$4:$C$6" noThreeD="1" sel="3" val="0"/>
</file>

<file path=xl/ctrlProps/ctrlProp756.xml><?xml version="1.0" encoding="utf-8"?>
<formControlPr xmlns="http://schemas.microsoft.com/office/spreadsheetml/2009/9/main" objectType="Drop" dropLines="3" dropStyle="combo" dx="26" fmlaLink="global!$G$14" fmlaRange="authorities!$A:$A" noThreeD="1" sel="1" val="0"/>
</file>

<file path=xl/ctrlProps/ctrlProp757.xml><?xml version="1.0" encoding="utf-8"?>
<formControlPr xmlns="http://schemas.microsoft.com/office/spreadsheetml/2009/9/main" objectType="Button" lockText="1"/>
</file>

<file path=xl/ctrlProps/ctrlProp758.xml><?xml version="1.0" encoding="utf-8"?>
<formControlPr xmlns="http://schemas.microsoft.com/office/spreadsheetml/2009/9/main" objectType="Button" lockText="1"/>
</file>

<file path=xl/ctrlProps/ctrlProp759.xml><?xml version="1.0" encoding="utf-8"?>
<formControlPr xmlns="http://schemas.microsoft.com/office/spreadsheetml/2009/9/main" objectType="Button" lockText="1"/>
</file>

<file path=xl/ctrlProps/ctrlProp760.xml><?xml version="1.0" encoding="utf-8"?>
<formControlPr xmlns="http://schemas.microsoft.com/office/spreadsheetml/2009/9/main" objectType="Button" lockText="1"/>
</file>

<file path=xl/ctrlProps/ctrlProp761.xml><?xml version="1.0" encoding="utf-8"?>
<formControlPr xmlns="http://schemas.microsoft.com/office/spreadsheetml/2009/9/main" objectType="Button" lockText="1"/>
</file>

<file path=xl/ctrlProps/ctrlProp762.xml><?xml version="1.0" encoding="utf-8"?>
<formControlPr xmlns="http://schemas.microsoft.com/office/spreadsheetml/2009/9/main" objectType="Button" lockText="1"/>
</file>

<file path=xl/ctrlProps/ctrlProp763.xml><?xml version="1.0" encoding="utf-8"?>
<formControlPr xmlns="http://schemas.microsoft.com/office/spreadsheetml/2009/9/main" objectType="CheckBox" fmlaLink="$O$19" lockText="1" noThreeD="1"/>
</file>

<file path=xl/ctrlProps/ctrlProp764.xml><?xml version="1.0" encoding="utf-8"?>
<formControlPr xmlns="http://schemas.microsoft.com/office/spreadsheetml/2009/9/main" objectType="Button" lockText="1"/>
</file>

<file path=xl/ctrlProps/ctrlProp765.xml><?xml version="1.0" encoding="utf-8"?>
<formControlPr xmlns="http://schemas.microsoft.com/office/spreadsheetml/2009/9/main" objectType="CheckBox" fmlaLink="$O$20" lockText="1" noThreeD="1"/>
</file>

<file path=xl/ctrlProps/ctrlProp766.xml><?xml version="1.0" encoding="utf-8"?>
<formControlPr xmlns="http://schemas.microsoft.com/office/spreadsheetml/2009/9/main" objectType="CheckBox" fmlaLink="$O$21" lockText="1" noThreeD="1"/>
</file>

<file path=xl/ctrlProps/ctrlProp767.xml><?xml version="1.0" encoding="utf-8"?>
<formControlPr xmlns="http://schemas.microsoft.com/office/spreadsheetml/2009/9/main" objectType="CheckBox" fmlaLink="$P$19" lockText="1" noThreeD="1"/>
</file>

<file path=xl/ctrlProps/ctrlProp768.xml><?xml version="1.0" encoding="utf-8"?>
<formControlPr xmlns="http://schemas.microsoft.com/office/spreadsheetml/2009/9/main" objectType="CheckBox" fmlaLink="$P$20" lockText="1" noThreeD="1"/>
</file>

<file path=xl/ctrlProps/ctrlProp769.xml><?xml version="1.0" encoding="utf-8"?>
<formControlPr xmlns="http://schemas.microsoft.com/office/spreadsheetml/2009/9/main" objectType="CheckBox" fmlaLink="$P$21" lockText="1" noThreeD="1"/>
</file>

<file path=xl/ctrlProps/ctrlProp770.xml><?xml version="1.0" encoding="utf-8"?>
<formControlPr xmlns="http://schemas.microsoft.com/office/spreadsheetml/2009/9/main" objectType="Button" lockText="1"/>
</file>

<file path=xl/ctrlProps/ctrlProp771.xml><?xml version="1.0" encoding="utf-8"?>
<formControlPr xmlns="http://schemas.microsoft.com/office/spreadsheetml/2009/9/main" objectType="Button" lockText="1"/>
</file>

<file path=xl/ctrlProps/ctrlProp772.xml><?xml version="1.0" encoding="utf-8"?>
<formControlPr xmlns="http://schemas.microsoft.com/office/spreadsheetml/2009/9/main" objectType="Button" lockText="1"/>
</file>

<file path=xl/ctrlProps/ctrlProp773.xml><?xml version="1.0" encoding="utf-8"?>
<formControlPr xmlns="http://schemas.microsoft.com/office/spreadsheetml/2009/9/main" objectType="Button" lockText="1"/>
</file>

<file path=xl/ctrlProps/ctrlProp774.xml><?xml version="1.0" encoding="utf-8"?>
<formControlPr xmlns="http://schemas.microsoft.com/office/spreadsheetml/2009/9/main" objectType="Button" lockText="1"/>
</file>

<file path=xl/ctrlProps/ctrlProp775.xml><?xml version="1.0" encoding="utf-8"?>
<formControlPr xmlns="http://schemas.microsoft.com/office/spreadsheetml/2009/9/main" objectType="Button" lockText="1"/>
</file>

<file path=xl/ctrlProps/ctrlProp776.xml><?xml version="1.0" encoding="utf-8"?>
<formControlPr xmlns="http://schemas.microsoft.com/office/spreadsheetml/2009/9/main" objectType="Button" lockText="1"/>
</file>

<file path=xl/ctrlProps/ctrlProp777.xml><?xml version="1.0" encoding="utf-8"?>
<formControlPr xmlns="http://schemas.microsoft.com/office/spreadsheetml/2009/9/main" objectType="Button" lockText="1"/>
</file>

<file path=xl/ctrlProps/ctrlProp778.xml><?xml version="1.0" encoding="utf-8"?>
<formControlPr xmlns="http://schemas.microsoft.com/office/spreadsheetml/2009/9/main" objectType="CheckBox" fmlaLink="$Q$27" lockText="1" noThreeD="1"/>
</file>

<file path=xl/ctrlProps/ctrlProp779.xml><?xml version="1.0" encoding="utf-8"?>
<formControlPr xmlns="http://schemas.microsoft.com/office/spreadsheetml/2009/9/main" objectType="CheckBox" fmlaLink="$S$27" lockText="1" noThreeD="1"/>
</file>

<file path=xl/ctrlProps/ctrlProp780.xml><?xml version="1.0" encoding="utf-8"?>
<formControlPr xmlns="http://schemas.microsoft.com/office/spreadsheetml/2009/9/main" objectType="Button" lockText="1"/>
</file>

<file path=xl/ctrlProps/ctrlProp781.xml><?xml version="1.0" encoding="utf-8"?>
<formControlPr xmlns="http://schemas.microsoft.com/office/spreadsheetml/2009/9/main" objectType="Button" lockText="1"/>
</file>

<file path=xl/ctrlProps/ctrlProp782.xml><?xml version="1.0" encoding="utf-8"?>
<formControlPr xmlns="http://schemas.microsoft.com/office/spreadsheetml/2009/9/main" objectType="Button" lockText="1"/>
</file>

<file path=xl/ctrlProps/ctrlProp783.xml><?xml version="1.0" encoding="utf-8"?>
<formControlPr xmlns="http://schemas.microsoft.com/office/spreadsheetml/2009/9/main" objectType="Button" lockText="1"/>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Button" lockText="1"/>
</file>

<file path=xl/ctrlProps/ctrlProp787.xml><?xml version="1.0" encoding="utf-8"?>
<formControlPr xmlns="http://schemas.microsoft.com/office/spreadsheetml/2009/9/main" objectType="Button" lockText="1"/>
</file>

<file path=xl/ctrlProps/ctrlProp788.xml><?xml version="1.0" encoding="utf-8"?>
<formControlPr xmlns="http://schemas.microsoft.com/office/spreadsheetml/2009/9/main" objectType="Button" lockText="1"/>
</file>

<file path=xl/ctrlProps/ctrlProp789.xml><?xml version="1.0" encoding="utf-8"?>
<formControlPr xmlns="http://schemas.microsoft.com/office/spreadsheetml/2009/9/main" objectType="Button" lockText="1"/>
</file>

<file path=xl/ctrlProps/ctrlProp790.xml><?xml version="1.0" encoding="utf-8"?>
<formControlPr xmlns="http://schemas.microsoft.com/office/spreadsheetml/2009/9/main" objectType="Button" lockText="1"/>
</file>

<file path=xl/ctrlProps/ctrlProp791.xml><?xml version="1.0" encoding="utf-8"?>
<formControlPr xmlns="http://schemas.microsoft.com/office/spreadsheetml/2009/9/main" objectType="Button" lockText="1"/>
</file>

<file path=xl/ctrlProps/ctrlProp792.xml><?xml version="1.0" encoding="utf-8"?>
<formControlPr xmlns="http://schemas.microsoft.com/office/spreadsheetml/2009/9/main" objectType="Button" lockText="1"/>
</file>

<file path=xl/ctrlProps/ctrlProp793.xml><?xml version="1.0" encoding="utf-8"?>
<formControlPr xmlns="http://schemas.microsoft.com/office/spreadsheetml/2009/9/main" objectType="Button" lockText="1"/>
</file>

<file path=xl/ctrlProps/ctrlProp794.xml><?xml version="1.0" encoding="utf-8"?>
<formControlPr xmlns="http://schemas.microsoft.com/office/spreadsheetml/2009/9/main" objectType="Button" lockText="1"/>
</file>

<file path=xl/ctrlProps/ctrlProp795.xml><?xml version="1.0" encoding="utf-8"?>
<formControlPr xmlns="http://schemas.microsoft.com/office/spreadsheetml/2009/9/main" objectType="Button" lockText="1"/>
</file>

<file path=xl/ctrlProps/ctrlProp796.xml><?xml version="1.0" encoding="utf-8"?>
<formControlPr xmlns="http://schemas.microsoft.com/office/spreadsheetml/2009/9/main" objectType="Button" lockText="1"/>
</file>

<file path=xl/ctrlProps/ctrlProp797.xml><?xml version="1.0" encoding="utf-8"?>
<formControlPr xmlns="http://schemas.microsoft.com/office/spreadsheetml/2009/9/main" objectType="CheckBox" fmlaLink="$L$37" lockText="1" noThreeD="1"/>
</file>

<file path=xl/ctrlProps/ctrlProp798.xml><?xml version="1.0" encoding="utf-8"?>
<formControlPr xmlns="http://schemas.microsoft.com/office/spreadsheetml/2009/9/main" objectType="Button" lockText="1"/>
</file>

<file path=xl/ctrlProps/ctrlProp799.xml><?xml version="1.0" encoding="utf-8"?>
<formControlPr xmlns="http://schemas.microsoft.com/office/spreadsheetml/2009/9/main" objectType="Button" lockText="1"/>
</file>

<file path=xl/ctrlProps/ctrlProp800.xml><?xml version="1.0" encoding="utf-8"?>
<formControlPr xmlns="http://schemas.microsoft.com/office/spreadsheetml/2009/9/main" objectType="Button" lockText="1"/>
</file>

<file path=xl/ctrlProps/ctrlProp801.xml><?xml version="1.0" encoding="utf-8"?>
<formControlPr xmlns="http://schemas.microsoft.com/office/spreadsheetml/2009/9/main" objectType="CheckBox" fmlaLink="$L$23" lockText="1" noThreeD="1"/>
</file>

<file path=xl/ctrlProps/ctrlProp802.xml><?xml version="1.0" encoding="utf-8"?>
<formControlPr xmlns="http://schemas.microsoft.com/office/spreadsheetml/2009/9/main" objectType="Button" lockText="1"/>
</file>

<file path=xl/ctrlProps/ctrlProp803.xml><?xml version="1.0" encoding="utf-8"?>
<formControlPr xmlns="http://schemas.microsoft.com/office/spreadsheetml/2009/9/main" objectType="Button" lockText="1"/>
</file>

<file path=xl/ctrlProps/ctrlProp804.xml><?xml version="1.0" encoding="utf-8"?>
<formControlPr xmlns="http://schemas.microsoft.com/office/spreadsheetml/2009/9/main" objectType="Button" lockText="1"/>
</file>

<file path=xl/ctrlProps/ctrlProp805.xml><?xml version="1.0" encoding="utf-8"?>
<formControlPr xmlns="http://schemas.microsoft.com/office/spreadsheetml/2009/9/main" objectType="Button" lockText="1"/>
</file>

<file path=xl/ctrlProps/ctrlProp806.xml><?xml version="1.0" encoding="utf-8"?>
<formControlPr xmlns="http://schemas.microsoft.com/office/spreadsheetml/2009/9/main" objectType="Button" lockText="1"/>
</file>

<file path=xl/ctrlProps/ctrlProp807.xml><?xml version="1.0" encoding="utf-8"?>
<formControlPr xmlns="http://schemas.microsoft.com/office/spreadsheetml/2009/9/main" objectType="Button" lockText="1"/>
</file>

<file path=xl/ctrlProps/ctrlProp808.xml><?xml version="1.0" encoding="utf-8"?>
<formControlPr xmlns="http://schemas.microsoft.com/office/spreadsheetml/2009/9/main" objectType="Button" lockText="1"/>
</file>

<file path=xl/ctrlProps/ctrlProp809.xml><?xml version="1.0" encoding="utf-8"?>
<formControlPr xmlns="http://schemas.microsoft.com/office/spreadsheetml/2009/9/main" objectType="Button" lockText="1"/>
</file>

<file path=xl/ctrlProps/ctrlProp810.xml><?xml version="1.0" encoding="utf-8"?>
<formControlPr xmlns="http://schemas.microsoft.com/office/spreadsheetml/2009/9/main" objectType="Button" lockText="1"/>
</file>

<file path=xl/ctrlProps/ctrlProp811.xml><?xml version="1.0" encoding="utf-8"?>
<formControlPr xmlns="http://schemas.microsoft.com/office/spreadsheetml/2009/9/main" objectType="Button" lockText="1"/>
</file>

<file path=xl/ctrlProps/ctrlProp812.xml><?xml version="1.0" encoding="utf-8"?>
<formControlPr xmlns="http://schemas.microsoft.com/office/spreadsheetml/2009/9/main" objectType="Button" lockText="1"/>
</file>

<file path=xl/ctrlProps/ctrlProp813.xml><?xml version="1.0" encoding="utf-8"?>
<formControlPr xmlns="http://schemas.microsoft.com/office/spreadsheetml/2009/9/main" objectType="Button" lockText="1"/>
</file>

<file path=xl/ctrlProps/ctrlProp814.xml><?xml version="1.0" encoding="utf-8"?>
<formControlPr xmlns="http://schemas.microsoft.com/office/spreadsheetml/2009/9/main" objectType="Button" lockText="1"/>
</file>

<file path=xl/ctrlProps/ctrlProp815.xml><?xml version="1.0" encoding="utf-8"?>
<formControlPr xmlns="http://schemas.microsoft.com/office/spreadsheetml/2009/9/main" objectType="Button" lockText="1"/>
</file>

<file path=xl/ctrlProps/ctrlProp816.xml><?xml version="1.0" encoding="utf-8"?>
<formControlPr xmlns="http://schemas.microsoft.com/office/spreadsheetml/2009/9/main" objectType="Button" lockText="1"/>
</file>

<file path=xl/ctrlProps/ctrlProp817.xml><?xml version="1.0" encoding="utf-8"?>
<formControlPr xmlns="http://schemas.microsoft.com/office/spreadsheetml/2009/9/main" objectType="Button" lockText="1"/>
</file>

<file path=xl/ctrlProps/ctrlProp818.xml><?xml version="1.0" encoding="utf-8"?>
<formControlPr xmlns="http://schemas.microsoft.com/office/spreadsheetml/2009/9/main" objectType="Button" lockText="1"/>
</file>

<file path=xl/ctrlProps/ctrlProp819.xml><?xml version="1.0" encoding="utf-8"?>
<formControlPr xmlns="http://schemas.microsoft.com/office/spreadsheetml/2009/9/main" objectType="CheckBox" fmlaLink="$L$22" lockText="1" noThreeD="1"/>
</file>

<file path=xl/ctrlProps/ctrlProp820.xml><?xml version="1.0" encoding="utf-8"?>
<formControlPr xmlns="http://schemas.microsoft.com/office/spreadsheetml/2009/9/main" objectType="Button" lockText="1"/>
</file>

<file path=xl/ctrlProps/ctrlProp821.xml><?xml version="1.0" encoding="utf-8"?>
<formControlPr xmlns="http://schemas.microsoft.com/office/spreadsheetml/2009/9/main" objectType="Button" lockText="1"/>
</file>

<file path=xl/ctrlProps/ctrlProp822.xml><?xml version="1.0" encoding="utf-8"?>
<formControlPr xmlns="http://schemas.microsoft.com/office/spreadsheetml/2009/9/main" objectType="Button" lockText="1"/>
</file>

<file path=xl/ctrlProps/ctrlProp823.xml><?xml version="1.0" encoding="utf-8"?>
<formControlPr xmlns="http://schemas.microsoft.com/office/spreadsheetml/2009/9/main" objectType="Button" lockText="1"/>
</file>

<file path=xl/ctrlProps/ctrlProp824.xml><?xml version="1.0" encoding="utf-8"?>
<formControlPr xmlns="http://schemas.microsoft.com/office/spreadsheetml/2009/9/main" objectType="Button" lockText="1"/>
</file>

<file path=xl/ctrlProps/ctrlProp825.xml><?xml version="1.0" encoding="utf-8"?>
<formControlPr xmlns="http://schemas.microsoft.com/office/spreadsheetml/2009/9/main" objectType="Button" lockText="1"/>
</file>

<file path=xl/ctrlProps/ctrlProp826.xml><?xml version="1.0" encoding="utf-8"?>
<formControlPr xmlns="http://schemas.microsoft.com/office/spreadsheetml/2009/9/main" objectType="Button" lockText="1"/>
</file>

<file path=xl/ctrlProps/ctrlProp827.xml><?xml version="1.0" encoding="utf-8"?>
<formControlPr xmlns="http://schemas.microsoft.com/office/spreadsheetml/2009/9/main" objectType="Button" lockText="1"/>
</file>

<file path=xl/ctrlProps/ctrlProp828.xml><?xml version="1.0" encoding="utf-8"?>
<formControlPr xmlns="http://schemas.microsoft.com/office/spreadsheetml/2009/9/main" objectType="Button" lockText="1"/>
</file>

<file path=xl/ctrlProps/ctrlProp829.xml><?xml version="1.0" encoding="utf-8"?>
<formControlPr xmlns="http://schemas.microsoft.com/office/spreadsheetml/2009/9/main" objectType="Button" lockText="1"/>
</file>

<file path=xl/ctrlProps/ctrlProp830.xml><?xml version="1.0" encoding="utf-8"?>
<formControlPr xmlns="http://schemas.microsoft.com/office/spreadsheetml/2009/9/main" objectType="Button" lockText="1"/>
</file>

<file path=xl/ctrlProps/ctrlProp831.xml><?xml version="1.0" encoding="utf-8"?>
<formControlPr xmlns="http://schemas.microsoft.com/office/spreadsheetml/2009/9/main" objectType="Button" lockText="1"/>
</file>

<file path=xl/ctrlProps/ctrlProp832.xml><?xml version="1.0" encoding="utf-8"?>
<formControlPr xmlns="http://schemas.microsoft.com/office/spreadsheetml/2009/9/main" objectType="Button" lockText="1"/>
</file>

<file path=xl/ctrlProps/ctrlProp833.xml><?xml version="1.0" encoding="utf-8"?>
<formControlPr xmlns="http://schemas.microsoft.com/office/spreadsheetml/2009/9/main" objectType="Button" lockText="1"/>
</file>

<file path=xl/ctrlProps/ctrlProp834.xml><?xml version="1.0" encoding="utf-8"?>
<formControlPr xmlns="http://schemas.microsoft.com/office/spreadsheetml/2009/9/main" objectType="CheckBox" fmlaLink="$W$23" lockText="1" noThreeD="1"/>
</file>

<file path=xl/ctrlProps/ctrlProp835.xml><?xml version="1.0" encoding="utf-8"?>
<formControlPr xmlns="http://schemas.microsoft.com/office/spreadsheetml/2009/9/main" objectType="Button" lockText="1"/>
</file>

<file path=xl/ctrlProps/ctrlProp836.xml><?xml version="1.0" encoding="utf-8"?>
<formControlPr xmlns="http://schemas.microsoft.com/office/spreadsheetml/2009/9/main" objectType="Button" lockText="1"/>
</file>

<file path=xl/ctrlProps/ctrlProp837.xml><?xml version="1.0" encoding="utf-8"?>
<formControlPr xmlns="http://schemas.microsoft.com/office/spreadsheetml/2009/9/main" objectType="Button" lockText="1"/>
</file>

<file path=xl/ctrlProps/ctrlProp838.xml><?xml version="1.0" encoding="utf-8"?>
<formControlPr xmlns="http://schemas.microsoft.com/office/spreadsheetml/2009/9/main" objectType="Button" lockText="1"/>
</file>

<file path=xl/ctrlProps/ctrlProp839.xml><?xml version="1.0" encoding="utf-8"?>
<formControlPr xmlns="http://schemas.microsoft.com/office/spreadsheetml/2009/9/main" objectType="Button" lockText="1"/>
</file>

<file path=xl/ctrlProps/ctrlProp840.xml><?xml version="1.0" encoding="utf-8"?>
<formControlPr xmlns="http://schemas.microsoft.com/office/spreadsheetml/2009/9/main" objectType="Button" lockText="1"/>
</file>

<file path=xl/ctrlProps/ctrlProp841.xml><?xml version="1.0" encoding="utf-8"?>
<formControlPr xmlns="http://schemas.microsoft.com/office/spreadsheetml/2009/9/main" objectType="Button" lockText="1"/>
</file>

<file path=xl/ctrlProps/ctrlProp842.xml><?xml version="1.0" encoding="utf-8"?>
<formControlPr xmlns="http://schemas.microsoft.com/office/spreadsheetml/2009/9/main" objectType="Button" lockText="1"/>
</file>

<file path=xl/ctrlProps/ctrlProp843.xml><?xml version="1.0" encoding="utf-8"?>
<formControlPr xmlns="http://schemas.microsoft.com/office/spreadsheetml/2009/9/main" objectType="Button" lockText="1"/>
</file>

<file path=xl/ctrlProps/ctrlProp844.xml><?xml version="1.0" encoding="utf-8"?>
<formControlPr xmlns="http://schemas.microsoft.com/office/spreadsheetml/2009/9/main" objectType="Button" lockText="1"/>
</file>

<file path=xl/ctrlProps/ctrlProp845.xml><?xml version="1.0" encoding="utf-8"?>
<formControlPr xmlns="http://schemas.microsoft.com/office/spreadsheetml/2009/9/main" objectType="Button" lockText="1"/>
</file>

<file path=xl/ctrlProps/ctrlProp846.xml><?xml version="1.0" encoding="utf-8"?>
<formControlPr xmlns="http://schemas.microsoft.com/office/spreadsheetml/2009/9/main" objectType="Button" lockText="1"/>
</file>

<file path=xl/ctrlProps/ctrlProp847.xml><?xml version="1.0" encoding="utf-8"?>
<formControlPr xmlns="http://schemas.microsoft.com/office/spreadsheetml/2009/9/main" objectType="Button" lockText="1"/>
</file>

<file path=xl/ctrlProps/ctrlProp848.xml><?xml version="1.0" encoding="utf-8"?>
<formControlPr xmlns="http://schemas.microsoft.com/office/spreadsheetml/2009/9/main" objectType="Button" lockText="1"/>
</file>

<file path=xl/ctrlProps/ctrlProp849.xml><?xml version="1.0" encoding="utf-8"?>
<formControlPr xmlns="http://schemas.microsoft.com/office/spreadsheetml/2009/9/main" objectType="Button" lockText="1"/>
</file>

<file path=xl/ctrlProps/ctrlProp850.xml><?xml version="1.0" encoding="utf-8"?>
<formControlPr xmlns="http://schemas.microsoft.com/office/spreadsheetml/2009/9/main" objectType="Button" lockText="1"/>
</file>

<file path=xl/ctrlProps/ctrlProp851.xml><?xml version="1.0" encoding="utf-8"?>
<formControlPr xmlns="http://schemas.microsoft.com/office/spreadsheetml/2009/9/main" objectType="Button" lockText="1"/>
</file>

<file path=xl/ctrlProps/ctrlProp852.xml><?xml version="1.0" encoding="utf-8"?>
<formControlPr xmlns="http://schemas.microsoft.com/office/spreadsheetml/2009/9/main" objectType="Button" lockText="1"/>
</file>

<file path=xl/ctrlProps/ctrlProp853.xml><?xml version="1.0" encoding="utf-8"?>
<formControlPr xmlns="http://schemas.microsoft.com/office/spreadsheetml/2009/9/main" objectType="Button" lockText="1"/>
</file>

<file path=xl/ctrlProps/ctrlProp854.xml><?xml version="1.0" encoding="utf-8"?>
<formControlPr xmlns="http://schemas.microsoft.com/office/spreadsheetml/2009/9/main" objectType="Button" lockText="1"/>
</file>

<file path=xl/ctrlProps/ctrlProp855.xml><?xml version="1.0" encoding="utf-8"?>
<formControlPr xmlns="http://schemas.microsoft.com/office/spreadsheetml/2009/9/main" objectType="Button" lockText="1"/>
</file>

<file path=xl/ctrlProps/ctrlProp856.xml><?xml version="1.0" encoding="utf-8"?>
<formControlPr xmlns="http://schemas.microsoft.com/office/spreadsheetml/2009/9/main" objectType="Button" lockText="1"/>
</file>

<file path=xl/ctrlProps/ctrlProp857.xml><?xml version="1.0" encoding="utf-8"?>
<formControlPr xmlns="http://schemas.microsoft.com/office/spreadsheetml/2009/9/main" objectType="Button" lockText="1"/>
</file>

<file path=xl/ctrlProps/ctrlProp858.xml><?xml version="1.0" encoding="utf-8"?>
<formControlPr xmlns="http://schemas.microsoft.com/office/spreadsheetml/2009/9/main" objectType="Button" lockText="1"/>
</file>

<file path=xl/ctrlProps/ctrlProp859.xml><?xml version="1.0" encoding="utf-8"?>
<formControlPr xmlns="http://schemas.microsoft.com/office/spreadsheetml/2009/9/main" objectType="Button" lockText="1"/>
</file>

<file path=xl/ctrlProps/ctrlProp860.xml><?xml version="1.0" encoding="utf-8"?>
<formControlPr xmlns="http://schemas.microsoft.com/office/spreadsheetml/2009/9/main" objectType="Button" lockText="1"/>
</file>

<file path=xl/ctrlProps/ctrlProp861.xml><?xml version="1.0" encoding="utf-8"?>
<formControlPr xmlns="http://schemas.microsoft.com/office/spreadsheetml/2009/9/main" objectType="Button" lockText="1"/>
</file>

<file path=xl/ctrlProps/ctrlProp862.xml><?xml version="1.0" encoding="utf-8"?>
<formControlPr xmlns="http://schemas.microsoft.com/office/spreadsheetml/2009/9/main" objectType="Button" lockText="1"/>
</file>

<file path=xl/ctrlProps/ctrlProp863.xml><?xml version="1.0" encoding="utf-8"?>
<formControlPr xmlns="http://schemas.microsoft.com/office/spreadsheetml/2009/9/main" objectType="Button" lockText="1"/>
</file>

<file path=xl/ctrlProps/ctrlProp864.xml><?xml version="1.0" encoding="utf-8"?>
<formControlPr xmlns="http://schemas.microsoft.com/office/spreadsheetml/2009/9/main" objectType="Button" lockText="1"/>
</file>

<file path=xl/ctrlProps/ctrlProp865.xml><?xml version="1.0" encoding="utf-8"?>
<formControlPr xmlns="http://schemas.microsoft.com/office/spreadsheetml/2009/9/main" objectType="Button" lockText="1"/>
</file>

<file path=xl/ctrlProps/ctrlProp866.xml><?xml version="1.0" encoding="utf-8"?>
<formControlPr xmlns="http://schemas.microsoft.com/office/spreadsheetml/2009/9/main" objectType="Button" lockText="1"/>
</file>

<file path=xl/ctrlProps/ctrlProp867.xml><?xml version="1.0" encoding="utf-8"?>
<formControlPr xmlns="http://schemas.microsoft.com/office/spreadsheetml/2009/9/main" objectType="Button" lockText="1"/>
</file>

<file path=xl/ctrlProps/ctrlProp868.xml><?xml version="1.0" encoding="utf-8"?>
<formControlPr xmlns="http://schemas.microsoft.com/office/spreadsheetml/2009/9/main" objectType="Button" lockText="1"/>
</file>

<file path=xl/ctrlProps/ctrlProp869.xml><?xml version="1.0" encoding="utf-8"?>
<formControlPr xmlns="http://schemas.microsoft.com/office/spreadsheetml/2009/9/main" objectType="Button" lockText="1"/>
</file>

<file path=xl/ctrlProps/ctrlProp870.xml><?xml version="1.0" encoding="utf-8"?>
<formControlPr xmlns="http://schemas.microsoft.com/office/spreadsheetml/2009/9/main" objectType="Button" lockText="1"/>
</file>

<file path=xl/ctrlProps/ctrlProp871.xml><?xml version="1.0" encoding="utf-8"?>
<formControlPr xmlns="http://schemas.microsoft.com/office/spreadsheetml/2009/9/main" objectType="Button" lockText="1"/>
</file>

<file path=xl/ctrlProps/ctrlProp872.xml><?xml version="1.0" encoding="utf-8"?>
<formControlPr xmlns="http://schemas.microsoft.com/office/spreadsheetml/2009/9/main" objectType="Button" lockText="1"/>
</file>

<file path=xl/ctrlProps/ctrlProp873.xml><?xml version="1.0" encoding="utf-8"?>
<formControlPr xmlns="http://schemas.microsoft.com/office/spreadsheetml/2009/9/main" objectType="Button" lockText="1"/>
</file>

<file path=xl/ctrlProps/ctrlProp874.xml><?xml version="1.0" encoding="utf-8"?>
<formControlPr xmlns="http://schemas.microsoft.com/office/spreadsheetml/2009/9/main" objectType="Button" lockText="1"/>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GBox" noThreeD="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Button" lockText="1"/>
</file>

<file path=xl/ctrlProps/ctrlProp884.xml><?xml version="1.0" encoding="utf-8"?>
<formControlPr xmlns="http://schemas.microsoft.com/office/spreadsheetml/2009/9/main" objectType="Button" lockText="1"/>
</file>

<file path=xl/ctrlProps/ctrlProp885.xml><?xml version="1.0" encoding="utf-8"?>
<formControlPr xmlns="http://schemas.microsoft.com/office/spreadsheetml/2009/9/main" objectType="Button" lockText="1"/>
</file>

<file path=xl/ctrlProps/ctrlProp886.xml><?xml version="1.0" encoding="utf-8"?>
<formControlPr xmlns="http://schemas.microsoft.com/office/spreadsheetml/2009/9/main" objectType="Button" lockText="1"/>
</file>

<file path=xl/ctrlProps/ctrlProp887.xml><?xml version="1.0" encoding="utf-8"?>
<formControlPr xmlns="http://schemas.microsoft.com/office/spreadsheetml/2009/9/main" objectType="Button" lockText="1"/>
</file>

<file path=xl/ctrlProps/ctrlProp888.xml><?xml version="1.0" encoding="utf-8"?>
<formControlPr xmlns="http://schemas.microsoft.com/office/spreadsheetml/2009/9/main" objectType="Button" lockText="1"/>
</file>

<file path=xl/ctrlProps/ctrlProp889.xml><?xml version="1.0" encoding="utf-8"?>
<formControlPr xmlns="http://schemas.microsoft.com/office/spreadsheetml/2009/9/main" objectType="Button" lockText="1"/>
</file>

<file path=xl/ctrlProps/ctrlProp890.xml><?xml version="1.0" encoding="utf-8"?>
<formControlPr xmlns="http://schemas.microsoft.com/office/spreadsheetml/2009/9/main" objectType="Button" lockText="1"/>
</file>

<file path=xl/ctrlProps/ctrlProp891.xml><?xml version="1.0" encoding="utf-8"?>
<formControlPr xmlns="http://schemas.microsoft.com/office/spreadsheetml/2009/9/main" objectType="Button" lockText="1"/>
</file>

<file path=xl/ctrlProps/ctrlProp892.xml><?xml version="1.0" encoding="utf-8"?>
<formControlPr xmlns="http://schemas.microsoft.com/office/spreadsheetml/2009/9/main" objectType="Button" lockText="1"/>
</file>

<file path=xl/ctrlProps/ctrlProp893.xml><?xml version="1.0" encoding="utf-8"?>
<formControlPr xmlns="http://schemas.microsoft.com/office/spreadsheetml/2009/9/main" objectType="Button" lockText="1"/>
</file>

<file path=xl/ctrlProps/ctrlProp894.xml><?xml version="1.0" encoding="utf-8"?>
<formControlPr xmlns="http://schemas.microsoft.com/office/spreadsheetml/2009/9/main" objectType="Button" lockText="1"/>
</file>

<file path=xl/ctrlProps/ctrlProp895.xml><?xml version="1.0" encoding="utf-8"?>
<formControlPr xmlns="http://schemas.microsoft.com/office/spreadsheetml/2009/9/main" objectType="Button" lockText="1"/>
</file>

<file path=xl/ctrlProps/ctrlProp896.xml><?xml version="1.0" encoding="utf-8"?>
<formControlPr xmlns="http://schemas.microsoft.com/office/spreadsheetml/2009/9/main" objectType="Button" lockText="1"/>
</file>

<file path=xl/ctrlProps/ctrlProp897.xml><?xml version="1.0" encoding="utf-8"?>
<formControlPr xmlns="http://schemas.microsoft.com/office/spreadsheetml/2009/9/main" objectType="Button" lockText="1"/>
</file>

<file path=xl/ctrlProps/ctrlProp898.xml><?xml version="1.0" encoding="utf-8"?>
<formControlPr xmlns="http://schemas.microsoft.com/office/spreadsheetml/2009/9/main" objectType="Button" lockText="1"/>
</file>

<file path=xl/ctrlProps/ctrlProp899.xml><?xml version="1.0" encoding="utf-8"?>
<formControlPr xmlns="http://schemas.microsoft.com/office/spreadsheetml/2009/9/main" objectType="Button" lockText="1"/>
</file>

<file path=xl/ctrlProps/ctrlProp900.xml><?xml version="1.0" encoding="utf-8"?>
<formControlPr xmlns="http://schemas.microsoft.com/office/spreadsheetml/2009/9/main" objectType="Button" lockText="1"/>
</file>

<file path=xl/ctrlProps/ctrlProp901.xml><?xml version="1.0" encoding="utf-8"?>
<formControlPr xmlns="http://schemas.microsoft.com/office/spreadsheetml/2009/9/main" objectType="Button" lockText="1"/>
</file>

<file path=xl/ctrlProps/ctrlProp902.xml><?xml version="1.0" encoding="utf-8"?>
<formControlPr xmlns="http://schemas.microsoft.com/office/spreadsheetml/2009/9/main" objectType="Button" lockText="1"/>
</file>

<file path=xl/ctrlProps/ctrlProp903.xml><?xml version="1.0" encoding="utf-8"?>
<formControlPr xmlns="http://schemas.microsoft.com/office/spreadsheetml/2009/9/main" objectType="Button" lockText="1"/>
</file>

<file path=xl/ctrlProps/ctrlProp904.xml><?xml version="1.0" encoding="utf-8"?>
<formControlPr xmlns="http://schemas.microsoft.com/office/spreadsheetml/2009/9/main" objectType="Button" lockText="1"/>
</file>

<file path=xl/ctrlProps/ctrlProp905.xml><?xml version="1.0" encoding="utf-8"?>
<formControlPr xmlns="http://schemas.microsoft.com/office/spreadsheetml/2009/9/main" objectType="Button" lockText="1"/>
</file>

<file path=xl/ctrlProps/ctrlProp906.xml><?xml version="1.0" encoding="utf-8"?>
<formControlPr xmlns="http://schemas.microsoft.com/office/spreadsheetml/2009/9/main" objectType="Button" lockText="1"/>
</file>

<file path=xl/ctrlProps/ctrlProp907.xml><?xml version="1.0" encoding="utf-8"?>
<formControlPr xmlns="http://schemas.microsoft.com/office/spreadsheetml/2009/9/main" objectType="Button" lockText="1"/>
</file>

<file path=xl/ctrlProps/ctrlProp908.xml><?xml version="1.0" encoding="utf-8"?>
<formControlPr xmlns="http://schemas.microsoft.com/office/spreadsheetml/2009/9/main" objectType="Button" lockText="1"/>
</file>

<file path=xl/ctrlProps/ctrlProp909.xml><?xml version="1.0" encoding="utf-8"?>
<formControlPr xmlns="http://schemas.microsoft.com/office/spreadsheetml/2009/9/main" objectType="Button" lockText="1"/>
</file>

<file path=xl/ctrlProps/ctrlProp910.xml><?xml version="1.0" encoding="utf-8"?>
<formControlPr xmlns="http://schemas.microsoft.com/office/spreadsheetml/2009/9/main" objectType="Button" lockText="1"/>
</file>

<file path=xl/ctrlProps/ctrlProp911.xml><?xml version="1.0" encoding="utf-8"?>
<formControlPr xmlns="http://schemas.microsoft.com/office/spreadsheetml/2009/9/main" objectType="Button" lockText="1"/>
</file>

<file path=xl/ctrlProps/ctrlProp912.xml><?xml version="1.0" encoding="utf-8"?>
<formControlPr xmlns="http://schemas.microsoft.com/office/spreadsheetml/2009/9/main" objectType="Button" lockText="1"/>
</file>

<file path=xl/ctrlProps/ctrlProp913.xml><?xml version="1.0" encoding="utf-8"?>
<formControlPr xmlns="http://schemas.microsoft.com/office/spreadsheetml/2009/9/main" objectType="Button" lockText="1"/>
</file>

<file path=xl/ctrlProps/ctrlProp914.xml><?xml version="1.0" encoding="utf-8"?>
<formControlPr xmlns="http://schemas.microsoft.com/office/spreadsheetml/2009/9/main" objectType="Button" lockText="1"/>
</file>

<file path=xl/ctrlProps/ctrlProp915.xml><?xml version="1.0" encoding="utf-8"?>
<formControlPr xmlns="http://schemas.microsoft.com/office/spreadsheetml/2009/9/main" objectType="Button" lockText="1"/>
</file>

<file path=xl/ctrlProps/ctrlProp916.xml><?xml version="1.0" encoding="utf-8"?>
<formControlPr xmlns="http://schemas.microsoft.com/office/spreadsheetml/2009/9/main" objectType="Button" lockText="1"/>
</file>

<file path=xl/ctrlProps/ctrlProp917.xml><?xml version="1.0" encoding="utf-8"?>
<formControlPr xmlns="http://schemas.microsoft.com/office/spreadsheetml/2009/9/main" objectType="Button" lockText="1"/>
</file>

<file path=xl/ctrlProps/ctrlProp918.xml><?xml version="1.0" encoding="utf-8"?>
<formControlPr xmlns="http://schemas.microsoft.com/office/spreadsheetml/2009/9/main" objectType="Button" lockText="1"/>
</file>

<file path=xl/ctrlProps/ctrlProp919.xml><?xml version="1.0" encoding="utf-8"?>
<formControlPr xmlns="http://schemas.microsoft.com/office/spreadsheetml/2009/9/main" objectType="Button" lockText="1"/>
</file>

<file path=xl/ctrlProps/ctrlProp920.xml><?xml version="1.0" encoding="utf-8"?>
<formControlPr xmlns="http://schemas.microsoft.com/office/spreadsheetml/2009/9/main" objectType="Button" lockText="1"/>
</file>

<file path=xl/ctrlProps/ctrlProp921.xml><?xml version="1.0" encoding="utf-8"?>
<formControlPr xmlns="http://schemas.microsoft.com/office/spreadsheetml/2009/9/main" objectType="Button" lockText="1"/>
</file>

<file path=xl/ctrlProps/ctrlProp922.xml><?xml version="1.0" encoding="utf-8"?>
<formControlPr xmlns="http://schemas.microsoft.com/office/spreadsheetml/2009/9/main" objectType="Button" lockText="1"/>
</file>

<file path=xl/ctrlProps/ctrlProp923.xml><?xml version="1.0" encoding="utf-8"?>
<formControlPr xmlns="http://schemas.microsoft.com/office/spreadsheetml/2009/9/main" objectType="Button" lockText="1"/>
</file>

<file path=xl/ctrlProps/ctrlProp924.xml><?xml version="1.0" encoding="utf-8"?>
<formControlPr xmlns="http://schemas.microsoft.com/office/spreadsheetml/2009/9/main" objectType="Button" lockText="1"/>
</file>

<file path=xl/ctrlProps/ctrlProp925.xml><?xml version="1.0" encoding="utf-8"?>
<formControlPr xmlns="http://schemas.microsoft.com/office/spreadsheetml/2009/9/main" objectType="Button" lockText="1"/>
</file>

<file path=xl/ctrlProps/ctrlProp926.xml><?xml version="1.0" encoding="utf-8"?>
<formControlPr xmlns="http://schemas.microsoft.com/office/spreadsheetml/2009/9/main" objectType="Button" lockText="1"/>
</file>

<file path=xl/ctrlProps/ctrlProp927.xml><?xml version="1.0" encoding="utf-8"?>
<formControlPr xmlns="http://schemas.microsoft.com/office/spreadsheetml/2009/9/main" objectType="Button" lockText="1"/>
</file>

<file path=xl/ctrlProps/ctrlProp928.xml><?xml version="1.0" encoding="utf-8"?>
<formControlPr xmlns="http://schemas.microsoft.com/office/spreadsheetml/2009/9/main" objectType="Button" lockText="1"/>
</file>

<file path=xl/ctrlProps/ctrlProp929.xml><?xml version="1.0" encoding="utf-8"?>
<formControlPr xmlns="http://schemas.microsoft.com/office/spreadsheetml/2009/9/main" objectType="Button" lockText="1"/>
</file>

<file path=xl/ctrlProps/ctrlProp93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jpeg"/><Relationship Id="rId5" Type="http://schemas.openxmlformats.org/officeDocument/2006/relationships/image" Target="../media/image6.png"/><Relationship Id="rId4" Type="http://schemas.openxmlformats.org/officeDocument/2006/relationships/image" Target="../media/image5.jpe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jpeg"/><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8.jpeg"/><Relationship Id="rId1" Type="http://schemas.openxmlformats.org/officeDocument/2006/relationships/image" Target="../media/image3.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4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7.xml.rels><?xml version="1.0" encoding="UTF-8" standalone="yes"?>
<Relationships xmlns="http://schemas.openxmlformats.org/package/2006/relationships"><Relationship Id="rId1" Type="http://schemas.openxmlformats.org/officeDocument/2006/relationships/image" Target="../media/image14.png"/></Relationships>
</file>

<file path=xl/drawings/_rels/drawing60.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4</xdr:col>
      <xdr:colOff>381000</xdr:colOff>
      <xdr:row>5</xdr:row>
      <xdr:rowOff>7620</xdr:rowOff>
    </xdr:from>
    <xdr:to>
      <xdr:col>7</xdr:col>
      <xdr:colOff>381000</xdr:colOff>
      <xdr:row>7</xdr:row>
      <xdr:rowOff>45720</xdr:rowOff>
    </xdr:to>
    <xdr:pic macro="[0]!gotocalcurate">
      <xdr:nvPicPr>
        <xdr:cNvPr id="113543" name="Picture 33" descr="calcurate">
          <a:extLst>
            <a:ext uri="{FF2B5EF4-FFF2-40B4-BE49-F238E27FC236}">
              <a16:creationId xmlns:a16="http://schemas.microsoft.com/office/drawing/2014/main" id="{8E011BD5-4BAE-3059-4B16-D2C3754E2E6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31620" y="586740"/>
          <a:ext cx="1965960" cy="4038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101600</xdr:colOff>
          <xdr:row>9</xdr:row>
          <xdr:rowOff>12700</xdr:rowOff>
        </xdr:from>
        <xdr:to>
          <xdr:col>5</xdr:col>
          <xdr:colOff>336550</xdr:colOff>
          <xdr:row>9</xdr:row>
          <xdr:rowOff>228600</xdr:rowOff>
        </xdr:to>
        <xdr:sp macro="" textlink="">
          <xdr:nvSpPr>
            <xdr:cNvPr id="15377" name="Button 17" hidden="1">
              <a:extLst>
                <a:ext uri="{63B3BB69-23CF-44E3-9099-C40C66FF867C}">
                  <a14:compatExt spid="_x0000_s15377"/>
                </a:ext>
                <a:ext uri="{FF2B5EF4-FFF2-40B4-BE49-F238E27FC236}">
                  <a16:creationId xmlns:a16="http://schemas.microsoft.com/office/drawing/2014/main" id="{00000000-0008-0000-0000-000011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101600</xdr:colOff>
          <xdr:row>11</xdr:row>
          <xdr:rowOff>31750</xdr:rowOff>
        </xdr:from>
        <xdr:to>
          <xdr:col>5</xdr:col>
          <xdr:colOff>336550</xdr:colOff>
          <xdr:row>12</xdr:row>
          <xdr:rowOff>0</xdr:rowOff>
        </xdr:to>
        <xdr:sp macro="" textlink="">
          <xdr:nvSpPr>
            <xdr:cNvPr id="15384" name="Button 24" hidden="1">
              <a:extLst>
                <a:ext uri="{63B3BB69-23CF-44E3-9099-C40C66FF867C}">
                  <a14:compatExt spid="_x0000_s15384"/>
                </a:ext>
                <a:ext uri="{FF2B5EF4-FFF2-40B4-BE49-F238E27FC236}">
                  <a16:creationId xmlns:a16="http://schemas.microsoft.com/office/drawing/2014/main" id="{00000000-0008-0000-0000-000018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101600</xdr:colOff>
          <xdr:row>13</xdr:row>
          <xdr:rowOff>12700</xdr:rowOff>
        </xdr:from>
        <xdr:to>
          <xdr:col>5</xdr:col>
          <xdr:colOff>336550</xdr:colOff>
          <xdr:row>13</xdr:row>
          <xdr:rowOff>222250</xdr:rowOff>
        </xdr:to>
        <xdr:sp macro="" textlink="">
          <xdr:nvSpPr>
            <xdr:cNvPr id="15385" name="Button 25" hidden="1">
              <a:extLst>
                <a:ext uri="{63B3BB69-23CF-44E3-9099-C40C66FF867C}">
                  <a14:compatExt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101600</xdr:colOff>
          <xdr:row>15</xdr:row>
          <xdr:rowOff>12700</xdr:rowOff>
        </xdr:from>
        <xdr:to>
          <xdr:col>5</xdr:col>
          <xdr:colOff>336550</xdr:colOff>
          <xdr:row>15</xdr:row>
          <xdr:rowOff>222250</xdr:rowOff>
        </xdr:to>
        <xdr:sp macro="" textlink="">
          <xdr:nvSpPr>
            <xdr:cNvPr id="15386" name="Button 26" hidden="1">
              <a:extLst>
                <a:ext uri="{63B3BB69-23CF-44E3-9099-C40C66FF867C}">
                  <a14:compatExt spid="_x0000_s15386"/>
                </a:ext>
                <a:ext uri="{FF2B5EF4-FFF2-40B4-BE49-F238E27FC236}">
                  <a16:creationId xmlns:a16="http://schemas.microsoft.com/office/drawing/2014/main" id="{00000000-0008-0000-0000-00001A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101600</xdr:colOff>
          <xdr:row>17</xdr:row>
          <xdr:rowOff>31750</xdr:rowOff>
        </xdr:from>
        <xdr:to>
          <xdr:col>5</xdr:col>
          <xdr:colOff>336550</xdr:colOff>
          <xdr:row>18</xdr:row>
          <xdr:rowOff>0</xdr:rowOff>
        </xdr:to>
        <xdr:sp macro="" textlink="">
          <xdr:nvSpPr>
            <xdr:cNvPr id="15387" name="Button 27" hidden="1">
              <a:extLst>
                <a:ext uri="{63B3BB69-23CF-44E3-9099-C40C66FF867C}">
                  <a14:compatExt spid="_x0000_s15387"/>
                </a:ext>
                <a:ext uri="{FF2B5EF4-FFF2-40B4-BE49-F238E27FC236}">
                  <a16:creationId xmlns:a16="http://schemas.microsoft.com/office/drawing/2014/main" id="{00000000-0008-0000-0000-00001B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101600</xdr:colOff>
          <xdr:row>21</xdr:row>
          <xdr:rowOff>31750</xdr:rowOff>
        </xdr:from>
        <xdr:to>
          <xdr:col>5</xdr:col>
          <xdr:colOff>336550</xdr:colOff>
          <xdr:row>22</xdr:row>
          <xdr:rowOff>0</xdr:rowOff>
        </xdr:to>
        <xdr:sp macro="" textlink="">
          <xdr:nvSpPr>
            <xdr:cNvPr id="15389" name="Button 29" hidden="1">
              <a:extLst>
                <a:ext uri="{63B3BB69-23CF-44E3-9099-C40C66FF867C}">
                  <a14:compatExt spid="_x0000_s15389"/>
                </a:ext>
                <a:ext uri="{FF2B5EF4-FFF2-40B4-BE49-F238E27FC236}">
                  <a16:creationId xmlns:a16="http://schemas.microsoft.com/office/drawing/2014/main" id="{00000000-0008-0000-0000-00001D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101600</xdr:colOff>
          <xdr:row>9</xdr:row>
          <xdr:rowOff>31750</xdr:rowOff>
        </xdr:from>
        <xdr:to>
          <xdr:col>8</xdr:col>
          <xdr:colOff>336550</xdr:colOff>
          <xdr:row>10</xdr:row>
          <xdr:rowOff>0</xdr:rowOff>
        </xdr:to>
        <xdr:sp macro="" textlink="">
          <xdr:nvSpPr>
            <xdr:cNvPr id="15390" name="Button 30" hidden="1">
              <a:extLst>
                <a:ext uri="{63B3BB69-23CF-44E3-9099-C40C66FF867C}">
                  <a14:compatExt spid="_x0000_s15390"/>
                </a:ext>
                <a:ext uri="{FF2B5EF4-FFF2-40B4-BE49-F238E27FC236}">
                  <a16:creationId xmlns:a16="http://schemas.microsoft.com/office/drawing/2014/main" id="{00000000-0008-0000-0000-00001E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101600</xdr:colOff>
          <xdr:row>11</xdr:row>
          <xdr:rowOff>12700</xdr:rowOff>
        </xdr:from>
        <xdr:to>
          <xdr:col>8</xdr:col>
          <xdr:colOff>336550</xdr:colOff>
          <xdr:row>11</xdr:row>
          <xdr:rowOff>222250</xdr:rowOff>
        </xdr:to>
        <xdr:sp macro="" textlink="">
          <xdr:nvSpPr>
            <xdr:cNvPr id="15391" name="Button 31" hidden="1">
              <a:extLst>
                <a:ext uri="{63B3BB69-23CF-44E3-9099-C40C66FF867C}">
                  <a14:compatExt spid="_x0000_s15391"/>
                </a:ext>
                <a:ext uri="{FF2B5EF4-FFF2-40B4-BE49-F238E27FC236}">
                  <a16:creationId xmlns:a16="http://schemas.microsoft.com/office/drawing/2014/main" id="{00000000-0008-0000-0000-00001F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101600</xdr:colOff>
          <xdr:row>13</xdr:row>
          <xdr:rowOff>12700</xdr:rowOff>
        </xdr:from>
        <xdr:to>
          <xdr:col>8</xdr:col>
          <xdr:colOff>336550</xdr:colOff>
          <xdr:row>13</xdr:row>
          <xdr:rowOff>222250</xdr:rowOff>
        </xdr:to>
        <xdr:sp macro="" textlink="">
          <xdr:nvSpPr>
            <xdr:cNvPr id="15392" name="Button 32" hidden="1">
              <a:extLst>
                <a:ext uri="{63B3BB69-23CF-44E3-9099-C40C66FF867C}">
                  <a14:compatExt spid="_x0000_s15392"/>
                </a:ext>
                <a:ext uri="{FF2B5EF4-FFF2-40B4-BE49-F238E27FC236}">
                  <a16:creationId xmlns:a16="http://schemas.microsoft.com/office/drawing/2014/main" id="{00000000-0008-0000-0000-000020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9</xdr:row>
          <xdr:rowOff>31750</xdr:rowOff>
        </xdr:from>
        <xdr:to>
          <xdr:col>11</xdr:col>
          <xdr:colOff>336550</xdr:colOff>
          <xdr:row>10</xdr:row>
          <xdr:rowOff>0</xdr:rowOff>
        </xdr:to>
        <xdr:sp macro="" textlink="">
          <xdr:nvSpPr>
            <xdr:cNvPr id="15393" name="Button 33" hidden="1">
              <a:extLst>
                <a:ext uri="{63B3BB69-23CF-44E3-9099-C40C66FF867C}">
                  <a14:compatExt spid="_x0000_s15393"/>
                </a:ext>
                <a:ext uri="{FF2B5EF4-FFF2-40B4-BE49-F238E27FC236}">
                  <a16:creationId xmlns:a16="http://schemas.microsoft.com/office/drawing/2014/main" id="{00000000-0008-0000-0000-000021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31750</xdr:rowOff>
        </xdr:from>
        <xdr:to>
          <xdr:col>11</xdr:col>
          <xdr:colOff>336550</xdr:colOff>
          <xdr:row>12</xdr:row>
          <xdr:rowOff>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000-000022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13</xdr:row>
          <xdr:rowOff>31750</xdr:rowOff>
        </xdr:from>
        <xdr:to>
          <xdr:col>11</xdr:col>
          <xdr:colOff>336550</xdr:colOff>
          <xdr:row>14</xdr:row>
          <xdr:rowOff>0</xdr:rowOff>
        </xdr:to>
        <xdr:sp macro="" textlink="">
          <xdr:nvSpPr>
            <xdr:cNvPr id="15395" name="Button 35" hidden="1">
              <a:extLst>
                <a:ext uri="{63B3BB69-23CF-44E3-9099-C40C66FF867C}">
                  <a14:compatExt spid="_x0000_s15395"/>
                </a:ext>
                <a:ext uri="{FF2B5EF4-FFF2-40B4-BE49-F238E27FC236}">
                  <a16:creationId xmlns:a16="http://schemas.microsoft.com/office/drawing/2014/main" id="{00000000-0008-0000-0000-000023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15</xdr:row>
          <xdr:rowOff>31750</xdr:rowOff>
        </xdr:from>
        <xdr:to>
          <xdr:col>11</xdr:col>
          <xdr:colOff>336550</xdr:colOff>
          <xdr:row>16</xdr:row>
          <xdr:rowOff>0</xdr:rowOff>
        </xdr:to>
        <xdr:sp macro="" textlink="">
          <xdr:nvSpPr>
            <xdr:cNvPr id="15396" name="Button 36" hidden="1">
              <a:extLst>
                <a:ext uri="{63B3BB69-23CF-44E3-9099-C40C66FF867C}">
                  <a14:compatExt spid="_x0000_s15396"/>
                </a:ext>
                <a:ext uri="{FF2B5EF4-FFF2-40B4-BE49-F238E27FC236}">
                  <a16:creationId xmlns:a16="http://schemas.microsoft.com/office/drawing/2014/main" id="{00000000-0008-0000-0000-000024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17</xdr:row>
          <xdr:rowOff>12700</xdr:rowOff>
        </xdr:from>
        <xdr:to>
          <xdr:col>11</xdr:col>
          <xdr:colOff>336550</xdr:colOff>
          <xdr:row>17</xdr:row>
          <xdr:rowOff>222250</xdr:rowOff>
        </xdr:to>
        <xdr:sp macro="" textlink="">
          <xdr:nvSpPr>
            <xdr:cNvPr id="15397" name="Button 37" hidden="1">
              <a:extLst>
                <a:ext uri="{63B3BB69-23CF-44E3-9099-C40C66FF867C}">
                  <a14:compatExt spid="_x0000_s15397"/>
                </a:ext>
                <a:ext uri="{FF2B5EF4-FFF2-40B4-BE49-F238E27FC236}">
                  <a16:creationId xmlns:a16="http://schemas.microsoft.com/office/drawing/2014/main" id="{00000000-0008-0000-0000-000025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101600</xdr:colOff>
          <xdr:row>25</xdr:row>
          <xdr:rowOff>12700</xdr:rowOff>
        </xdr:from>
        <xdr:to>
          <xdr:col>5</xdr:col>
          <xdr:colOff>336550</xdr:colOff>
          <xdr:row>26</xdr:row>
          <xdr:rowOff>44450</xdr:rowOff>
        </xdr:to>
        <xdr:sp macro="" textlink="">
          <xdr:nvSpPr>
            <xdr:cNvPr id="15399" name="Button 39" hidden="1">
              <a:extLst>
                <a:ext uri="{63B3BB69-23CF-44E3-9099-C40C66FF867C}">
                  <a14:compatExt spid="_x0000_s15399"/>
                </a:ext>
                <a:ext uri="{FF2B5EF4-FFF2-40B4-BE49-F238E27FC236}">
                  <a16:creationId xmlns:a16="http://schemas.microsoft.com/office/drawing/2014/main" id="{00000000-0008-0000-0000-000027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292100</xdr:colOff>
          <xdr:row>4</xdr:row>
          <xdr:rowOff>177800</xdr:rowOff>
        </xdr:from>
        <xdr:to>
          <xdr:col>16</xdr:col>
          <xdr:colOff>412750</xdr:colOff>
          <xdr:row>6</xdr:row>
          <xdr:rowOff>152400</xdr:rowOff>
        </xdr:to>
        <xdr:sp macro="" textlink="">
          <xdr:nvSpPr>
            <xdr:cNvPr id="15404" name="Button 44" hidden="1">
              <a:extLst>
                <a:ext uri="{63B3BB69-23CF-44E3-9099-C40C66FF867C}">
                  <a14:compatExt spid="_x0000_s15404"/>
                </a:ext>
                <a:ext uri="{FF2B5EF4-FFF2-40B4-BE49-F238E27FC236}">
                  <a16:creationId xmlns:a16="http://schemas.microsoft.com/office/drawing/2014/main" id="{00000000-0008-0000-0000-00002C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8000"/>
                  </a:solidFill>
                  <a:latin typeface="Arial"/>
                  <a:cs typeface="Arial"/>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120650</xdr:colOff>
          <xdr:row>6</xdr:row>
          <xdr:rowOff>69850</xdr:rowOff>
        </xdr:from>
        <xdr:to>
          <xdr:col>1</xdr:col>
          <xdr:colOff>158750</xdr:colOff>
          <xdr:row>7</xdr:row>
          <xdr:rowOff>165100</xdr:rowOff>
        </xdr:to>
        <xdr:sp macro="" textlink="">
          <xdr:nvSpPr>
            <xdr:cNvPr id="15408" name="Button 48" hidden="1">
              <a:extLst>
                <a:ext uri="{63B3BB69-23CF-44E3-9099-C40C66FF867C}">
                  <a14:compatExt spid="_x0000_s15408"/>
                </a:ext>
                <a:ext uri="{FF2B5EF4-FFF2-40B4-BE49-F238E27FC236}">
                  <a16:creationId xmlns:a16="http://schemas.microsoft.com/office/drawing/2014/main" id="{00000000-0008-0000-0000-000030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9</xdr:row>
          <xdr:rowOff>44450</xdr:rowOff>
        </xdr:from>
        <xdr:to>
          <xdr:col>2</xdr:col>
          <xdr:colOff>279400</xdr:colOff>
          <xdr:row>11</xdr:row>
          <xdr:rowOff>165100</xdr:rowOff>
        </xdr:to>
        <xdr:sp macro="" textlink="">
          <xdr:nvSpPr>
            <xdr:cNvPr id="15413" name="Button 53" hidden="1">
              <a:extLst>
                <a:ext uri="{63B3BB69-23CF-44E3-9099-C40C66FF867C}">
                  <a14:compatExt spid="_x0000_s15413"/>
                </a:ext>
                <a:ext uri="{FF2B5EF4-FFF2-40B4-BE49-F238E27FC236}">
                  <a16:creationId xmlns:a16="http://schemas.microsoft.com/office/drawing/2014/main" id="{00000000-0008-0000-0000-000035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800000"/>
                  </a:solidFill>
                  <a:latin typeface="Arial"/>
                  <a:cs typeface="Arial"/>
                </a:rPr>
                <a:t>Calcurate</a:t>
              </a:r>
            </a:p>
            <a:p>
              <a:pPr algn="ctr" rtl="0">
                <a:defRPr sz="1000"/>
              </a:pPr>
              <a:r>
                <a:rPr lang="en-GB" sz="1200" b="1" i="0" u="none" strike="noStrike" baseline="0">
                  <a:solidFill>
                    <a:srgbClr val="8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1054100</xdr:colOff>
          <xdr:row>26</xdr:row>
          <xdr:rowOff>63500</xdr:rowOff>
        </xdr:from>
        <xdr:to>
          <xdr:col>14</xdr:col>
          <xdr:colOff>222250</xdr:colOff>
          <xdr:row>28</xdr:row>
          <xdr:rowOff>127000</xdr:rowOff>
        </xdr:to>
        <xdr:sp macro="" textlink="">
          <xdr:nvSpPr>
            <xdr:cNvPr id="15414" name="Button 54" hidden="1">
              <a:extLst>
                <a:ext uri="{63B3BB69-23CF-44E3-9099-C40C66FF867C}">
                  <a14:compatExt spid="_x0000_s15414"/>
                </a:ext>
                <a:ext uri="{FF2B5EF4-FFF2-40B4-BE49-F238E27FC236}">
                  <a16:creationId xmlns:a16="http://schemas.microsoft.com/office/drawing/2014/main" id="{00000000-0008-0000-0000-000036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FF0000"/>
                  </a:solidFill>
                  <a:latin typeface="Arial"/>
                  <a:cs typeface="Arial"/>
                </a:rPr>
                <a:t>About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26</xdr:row>
          <xdr:rowOff>63500</xdr:rowOff>
        </xdr:from>
        <xdr:to>
          <xdr:col>12</xdr:col>
          <xdr:colOff>1060450</xdr:colOff>
          <xdr:row>28</xdr:row>
          <xdr:rowOff>127000</xdr:rowOff>
        </xdr:to>
        <xdr:sp macro="" textlink="">
          <xdr:nvSpPr>
            <xdr:cNvPr id="15415" name="Button 55" hidden="1">
              <a:extLst>
                <a:ext uri="{63B3BB69-23CF-44E3-9099-C40C66FF867C}">
                  <a14:compatExt spid="_x0000_s15415"/>
                </a:ext>
                <a:ext uri="{FF2B5EF4-FFF2-40B4-BE49-F238E27FC236}">
                  <a16:creationId xmlns:a16="http://schemas.microsoft.com/office/drawing/2014/main" id="{00000000-0008-0000-0000-000037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8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101600</xdr:colOff>
          <xdr:row>15</xdr:row>
          <xdr:rowOff>12700</xdr:rowOff>
        </xdr:from>
        <xdr:to>
          <xdr:col>8</xdr:col>
          <xdr:colOff>336550</xdr:colOff>
          <xdr:row>15</xdr:row>
          <xdr:rowOff>222250</xdr:rowOff>
        </xdr:to>
        <xdr:sp macro="" textlink="">
          <xdr:nvSpPr>
            <xdr:cNvPr id="15434" name="Button 74" hidden="1">
              <a:extLst>
                <a:ext uri="{63B3BB69-23CF-44E3-9099-C40C66FF867C}">
                  <a14:compatExt spid="_x0000_s15434"/>
                </a:ext>
                <a:ext uri="{FF2B5EF4-FFF2-40B4-BE49-F238E27FC236}">
                  <a16:creationId xmlns:a16="http://schemas.microsoft.com/office/drawing/2014/main" id="{00000000-0008-0000-0000-00004A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101600</xdr:colOff>
          <xdr:row>17</xdr:row>
          <xdr:rowOff>12700</xdr:rowOff>
        </xdr:from>
        <xdr:to>
          <xdr:col>8</xdr:col>
          <xdr:colOff>336550</xdr:colOff>
          <xdr:row>17</xdr:row>
          <xdr:rowOff>222250</xdr:rowOff>
        </xdr:to>
        <xdr:sp macro="" textlink="">
          <xdr:nvSpPr>
            <xdr:cNvPr id="15473" name="Button 113" hidden="1">
              <a:extLst>
                <a:ext uri="{63B3BB69-23CF-44E3-9099-C40C66FF867C}">
                  <a14:compatExt spid="_x0000_s15473"/>
                </a:ext>
                <a:ext uri="{FF2B5EF4-FFF2-40B4-BE49-F238E27FC236}">
                  <a16:creationId xmlns:a16="http://schemas.microsoft.com/office/drawing/2014/main" id="{00000000-0008-0000-0000-0000713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xdr:twoCellAnchor editAs="oneCell">
    <xdr:from>
      <xdr:col>0</xdr:col>
      <xdr:colOff>121920</xdr:colOff>
      <xdr:row>3</xdr:row>
      <xdr:rowOff>38100</xdr:rowOff>
    </xdr:from>
    <xdr:to>
      <xdr:col>1</xdr:col>
      <xdr:colOff>144780</xdr:colOff>
      <xdr:row>5</xdr:row>
      <xdr:rowOff>175260</xdr:rowOff>
    </xdr:to>
    <xdr:pic macro="[0]!import_from_analyse">
      <xdr:nvPicPr>
        <xdr:cNvPr id="113544" name="Picture 2">
          <a:extLst>
            <a:ext uri="{FF2B5EF4-FFF2-40B4-BE49-F238E27FC236}">
              <a16:creationId xmlns:a16="http://schemas.microsoft.com/office/drawing/2014/main" id="{D8D69C0E-C1C8-914B-B533-DABC4CE1809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 y="335280"/>
          <a:ext cx="388620" cy="419100"/>
        </a:xfrm>
        <a:prstGeom prst="rect">
          <a:avLst/>
        </a:prstGeom>
        <a:noFill/>
        <a:ln w="9525">
          <a:solidFill>
            <a:srgbClr val="FFFFFF"/>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14</xdr:col>
          <xdr:colOff>292100</xdr:colOff>
          <xdr:row>6</xdr:row>
          <xdr:rowOff>152400</xdr:rowOff>
        </xdr:from>
        <xdr:to>
          <xdr:col>15</xdr:col>
          <xdr:colOff>349250</xdr:colOff>
          <xdr:row>9</xdr:row>
          <xdr:rowOff>76200</xdr:rowOff>
        </xdr:to>
        <xdr:sp macro="" textlink="">
          <xdr:nvSpPr>
            <xdr:cNvPr id="63019" name="Button 3627" hidden="1">
              <a:extLst>
                <a:ext uri="{63B3BB69-23CF-44E3-9099-C40C66FF867C}">
                  <a14:compatExt spid="_x0000_s63019"/>
                </a:ext>
                <a:ext uri="{FF2B5EF4-FFF2-40B4-BE49-F238E27FC236}">
                  <a16:creationId xmlns:a16="http://schemas.microsoft.com/office/drawing/2014/main" id="{00000000-0008-0000-0000-00002BF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80"/>
                  </a:solidFill>
                  <a:latin typeface="Calibri"/>
                  <a:ea typeface="Calibri"/>
                  <a:cs typeface="Calibri"/>
                </a:rPr>
                <a:t>Calcurate 2017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349250</xdr:colOff>
          <xdr:row>6</xdr:row>
          <xdr:rowOff>152400</xdr:rowOff>
        </xdr:from>
        <xdr:to>
          <xdr:col>16</xdr:col>
          <xdr:colOff>412750</xdr:colOff>
          <xdr:row>9</xdr:row>
          <xdr:rowOff>76200</xdr:rowOff>
        </xdr:to>
        <xdr:sp macro="" textlink="">
          <xdr:nvSpPr>
            <xdr:cNvPr id="63020" name="Button 3628" hidden="1">
              <a:extLst>
                <a:ext uri="{63B3BB69-23CF-44E3-9099-C40C66FF867C}">
                  <a14:compatExt spid="_x0000_s63020"/>
                </a:ext>
                <a:ext uri="{FF2B5EF4-FFF2-40B4-BE49-F238E27FC236}">
                  <a16:creationId xmlns:a16="http://schemas.microsoft.com/office/drawing/2014/main" id="{00000000-0008-0000-0000-00002CF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FF"/>
                  </a:solidFill>
                  <a:latin typeface="Calibri"/>
                  <a:ea typeface="Calibri"/>
                  <a:cs typeface="Calibri"/>
                </a:rPr>
                <a:t>Calcurate 2026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336550</xdr:colOff>
          <xdr:row>8</xdr:row>
          <xdr:rowOff>152400</xdr:rowOff>
        </xdr:from>
        <xdr:to>
          <xdr:col>13</xdr:col>
          <xdr:colOff>565150</xdr:colOff>
          <xdr:row>9</xdr:row>
          <xdr:rowOff>190500</xdr:rowOff>
        </xdr:to>
        <xdr:sp macro="" textlink="">
          <xdr:nvSpPr>
            <xdr:cNvPr id="63021" name="Button 3629" hidden="1">
              <a:extLst>
                <a:ext uri="{63B3BB69-23CF-44E3-9099-C40C66FF867C}">
                  <a14:compatExt spid="_x0000_s63021"/>
                </a:ext>
                <a:ext uri="{FF2B5EF4-FFF2-40B4-BE49-F238E27FC236}">
                  <a16:creationId xmlns:a16="http://schemas.microsoft.com/office/drawing/2014/main" id="{00000000-0008-0000-0000-00002DF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577850</xdr:colOff>
          <xdr:row>11</xdr:row>
          <xdr:rowOff>6350</xdr:rowOff>
        </xdr:from>
        <xdr:to>
          <xdr:col>14</xdr:col>
          <xdr:colOff>184150</xdr:colOff>
          <xdr:row>11</xdr:row>
          <xdr:rowOff>203200</xdr:rowOff>
        </xdr:to>
        <xdr:sp macro="" textlink="">
          <xdr:nvSpPr>
            <xdr:cNvPr id="63022" name="Button 3630" hidden="1">
              <a:extLst>
                <a:ext uri="{63B3BB69-23CF-44E3-9099-C40C66FF867C}">
                  <a14:compatExt spid="_x0000_s63022"/>
                </a:ext>
                <a:ext uri="{FF2B5EF4-FFF2-40B4-BE49-F238E27FC236}">
                  <a16:creationId xmlns:a16="http://schemas.microsoft.com/office/drawing/2014/main" id="{00000000-0008-0000-0000-00002EF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565150</xdr:colOff>
          <xdr:row>13</xdr:row>
          <xdr:rowOff>12700</xdr:rowOff>
        </xdr:from>
        <xdr:to>
          <xdr:col>15</xdr:col>
          <xdr:colOff>177800</xdr:colOff>
          <xdr:row>13</xdr:row>
          <xdr:rowOff>222250</xdr:rowOff>
        </xdr:to>
        <xdr:sp macro="" textlink="">
          <xdr:nvSpPr>
            <xdr:cNvPr id="63023" name="Button 3631" hidden="1">
              <a:extLst>
                <a:ext uri="{63B3BB69-23CF-44E3-9099-C40C66FF867C}">
                  <a14:compatExt spid="_x0000_s63023"/>
                </a:ext>
                <a:ext uri="{FF2B5EF4-FFF2-40B4-BE49-F238E27FC236}">
                  <a16:creationId xmlns:a16="http://schemas.microsoft.com/office/drawing/2014/main" id="{00000000-0008-0000-0000-00002FF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23</xdr:row>
          <xdr:rowOff>69850</xdr:rowOff>
        </xdr:from>
        <xdr:to>
          <xdr:col>2</xdr:col>
          <xdr:colOff>196850</xdr:colOff>
          <xdr:row>25</xdr:row>
          <xdr:rowOff>177800</xdr:rowOff>
        </xdr:to>
        <xdr:sp macro="" textlink="">
          <xdr:nvSpPr>
            <xdr:cNvPr id="63024" name="Button 3632" hidden="1">
              <a:extLst>
                <a:ext uri="{63B3BB69-23CF-44E3-9099-C40C66FF867C}">
                  <a14:compatExt spid="_x0000_s63024"/>
                </a:ext>
                <a:ext uri="{FF2B5EF4-FFF2-40B4-BE49-F238E27FC236}">
                  <a16:creationId xmlns:a16="http://schemas.microsoft.com/office/drawing/2014/main" id="{00000000-0008-0000-0000-000030F6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80"/>
                  </a:solidFill>
                  <a:latin typeface="Arial"/>
                  <a:cs typeface="Arial"/>
                </a:rPr>
                <a:t>BRILS</a:t>
              </a:r>
            </a:p>
          </xdr:txBody>
        </xdr:sp>
        <xdr:clientData fPrintsWithSheet="0"/>
      </xdr:twoCellAnchor>
    </mc:Choice>
    <mc:Fallback/>
  </mc:AlternateContent>
  <xdr:twoCellAnchor editAs="oneCell">
    <xdr:from>
      <xdr:col>1</xdr:col>
      <xdr:colOff>198120</xdr:colOff>
      <xdr:row>3</xdr:row>
      <xdr:rowOff>38100</xdr:rowOff>
    </xdr:from>
    <xdr:to>
      <xdr:col>2</xdr:col>
      <xdr:colOff>274320</xdr:colOff>
      <xdr:row>5</xdr:row>
      <xdr:rowOff>175260</xdr:rowOff>
    </xdr:to>
    <xdr:pic macro="[0]!import_from_analyse">
      <xdr:nvPicPr>
        <xdr:cNvPr id="113545" name="Picture 2">
          <a:extLst>
            <a:ext uri="{FF2B5EF4-FFF2-40B4-BE49-F238E27FC236}">
              <a16:creationId xmlns:a16="http://schemas.microsoft.com/office/drawing/2014/main" id="{D7E7A3A2-97D1-B5CA-013C-B768DB8F96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63880" y="335280"/>
          <a:ext cx="419100" cy="419100"/>
        </a:xfrm>
        <a:prstGeom prst="rect">
          <a:avLst/>
        </a:prstGeom>
        <a:noFill/>
        <a:ln w="9525">
          <a:solidFill>
            <a:srgbClr val="FFFFFF"/>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259080</xdr:colOff>
      <xdr:row>6</xdr:row>
      <xdr:rowOff>15240</xdr:rowOff>
    </xdr:from>
    <xdr:to>
      <xdr:col>2</xdr:col>
      <xdr:colOff>198120</xdr:colOff>
      <xdr:row>7</xdr:row>
      <xdr:rowOff>167640</xdr:rowOff>
    </xdr:to>
    <xdr:pic macro="[0]!import_from_analyse">
      <xdr:nvPicPr>
        <xdr:cNvPr id="113546" name="Picture 2">
          <a:extLst>
            <a:ext uri="{FF2B5EF4-FFF2-40B4-BE49-F238E27FC236}">
              <a16:creationId xmlns:a16="http://schemas.microsoft.com/office/drawing/2014/main" id="{4AD5C53E-09C7-E62F-75C5-DDC8D007EA3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24840" y="777240"/>
          <a:ext cx="281940" cy="335280"/>
        </a:xfrm>
        <a:prstGeom prst="rect">
          <a:avLst/>
        </a:prstGeom>
        <a:noFill/>
        <a:ln w="9525">
          <a:solidFill>
            <a:srgbClr val="FFFFFF"/>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617220</xdr:colOff>
      <xdr:row>28</xdr:row>
      <xdr:rowOff>137160</xdr:rowOff>
    </xdr:from>
    <xdr:to>
      <xdr:col>16</xdr:col>
      <xdr:colOff>647757</xdr:colOff>
      <xdr:row>29</xdr:row>
      <xdr:rowOff>152418</xdr:rowOff>
    </xdr:to>
    <xdr:pic>
      <xdr:nvPicPr>
        <xdr:cNvPr id="2" name="Picture 1">
          <a:extLst>
            <a:ext uri="{FF2B5EF4-FFF2-40B4-BE49-F238E27FC236}">
              <a16:creationId xmlns:a16="http://schemas.microsoft.com/office/drawing/2014/main" id="{E8E77E07-BF8C-D012-FD4B-96603B85122F}"/>
            </a:ext>
          </a:extLst>
        </xdr:cNvPr>
        <xdr:cNvPicPr>
          <a:picLocks noChangeAspect="1"/>
        </xdr:cNvPicPr>
      </xdr:nvPicPr>
      <xdr:blipFill>
        <a:blip xmlns:r="http://schemas.openxmlformats.org/officeDocument/2006/relationships" r:embed="rId5"/>
        <a:stretch>
          <a:fillRect/>
        </a:stretch>
      </xdr:blipFill>
      <xdr:spPr>
        <a:xfrm>
          <a:off x="9997440" y="4564380"/>
          <a:ext cx="655377" cy="2057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146050</xdr:colOff>
          <xdr:row>0</xdr:row>
          <xdr:rowOff>152400</xdr:rowOff>
        </xdr:from>
        <xdr:to>
          <xdr:col>0</xdr:col>
          <xdr:colOff>1098550</xdr:colOff>
          <xdr:row>2</xdr:row>
          <xdr:rowOff>139700</xdr:rowOff>
        </xdr:to>
        <xdr:sp macro="" textlink="">
          <xdr:nvSpPr>
            <xdr:cNvPr id="14337" name="home"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2</xdr:row>
          <xdr:rowOff>146050</xdr:rowOff>
        </xdr:from>
        <xdr:to>
          <xdr:col>0</xdr:col>
          <xdr:colOff>1098550</xdr:colOff>
          <xdr:row>4</xdr:row>
          <xdr:rowOff>139700</xdr:rowOff>
        </xdr:to>
        <xdr:sp macro="" textlink="">
          <xdr:nvSpPr>
            <xdr:cNvPr id="14338" name="basic"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1</xdr:row>
          <xdr:rowOff>120650</xdr:rowOff>
        </xdr:from>
        <xdr:to>
          <xdr:col>6</xdr:col>
          <xdr:colOff>177800</xdr:colOff>
          <xdr:row>3</xdr:row>
          <xdr:rowOff>63500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3</xdr:row>
          <xdr:rowOff>76200</xdr:rowOff>
        </xdr:from>
        <xdr:to>
          <xdr:col>6</xdr:col>
          <xdr:colOff>177800</xdr:colOff>
          <xdr:row>7</xdr:row>
          <xdr:rowOff>6350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Recover</a:t>
              </a:r>
            </a:p>
            <a:p>
              <a:pPr algn="ctr" rtl="0">
                <a:defRPr sz="1000"/>
              </a:pPr>
              <a:r>
                <a:rPr lang="en-GB" sz="1000" b="0" i="0" u="none" strike="noStrike" baseline="0">
                  <a:solidFill>
                    <a:srgbClr val="000000"/>
                  </a:solidFill>
                  <a:latin typeface="Arial"/>
                  <a:cs typeface="Arial"/>
                </a:rPr>
                <a:t>Cleared</a:t>
              </a:r>
            </a:p>
            <a:p>
              <a:pPr algn="ctr" rtl="0">
                <a:defRPr sz="1000"/>
              </a:pPr>
              <a:r>
                <a:rPr lang="en-GB" sz="1000" b="0" i="0" u="none" strike="noStrike" baseline="0">
                  <a:solidFill>
                    <a:srgbClr val="000000"/>
                  </a:solidFill>
                  <a:latin typeface="Arial"/>
                  <a:cs typeface="Arial"/>
                </a:rPr>
                <a:t>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4</xdr:row>
          <xdr:rowOff>146050</xdr:rowOff>
        </xdr:from>
        <xdr:to>
          <xdr:col>0</xdr:col>
          <xdr:colOff>1098550</xdr:colOff>
          <xdr:row>6</xdr:row>
          <xdr:rowOff>139700</xdr:rowOff>
        </xdr:to>
        <xdr:sp macro="" textlink="">
          <xdr:nvSpPr>
            <xdr:cNvPr id="14341" name="advanced" hidden="1">
              <a:extLst>
                <a:ext uri="{63B3BB69-23CF-44E3-9099-C40C66FF867C}">
                  <a14:compatExt spid="_x0000_s14341"/>
                </a:ext>
                <a:ext uri="{FF2B5EF4-FFF2-40B4-BE49-F238E27FC236}">
                  <a16:creationId xmlns:a16="http://schemas.microsoft.com/office/drawing/2014/main" id="{00000000-0008-0000-0100-000005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6</xdr:row>
          <xdr:rowOff>146050</xdr:rowOff>
        </xdr:from>
        <xdr:to>
          <xdr:col>0</xdr:col>
          <xdr:colOff>1098550</xdr:colOff>
          <xdr:row>8</xdr:row>
          <xdr:rowOff>139700</xdr:rowOff>
        </xdr:to>
        <xdr:sp macro="" textlink="">
          <xdr:nvSpPr>
            <xdr:cNvPr id="14342" name="split" hidden="1">
              <a:extLst>
                <a:ext uri="{63B3BB69-23CF-44E3-9099-C40C66FF867C}">
                  <a14:compatExt spid="_x0000_s14342"/>
                </a:ext>
                <a:ext uri="{FF2B5EF4-FFF2-40B4-BE49-F238E27FC236}">
                  <a16:creationId xmlns:a16="http://schemas.microsoft.com/office/drawing/2014/main" id="{00000000-0008-0000-0100-000006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split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8</xdr:row>
          <xdr:rowOff>146050</xdr:rowOff>
        </xdr:from>
        <xdr:to>
          <xdr:col>0</xdr:col>
          <xdr:colOff>1098550</xdr:colOff>
          <xdr:row>10</xdr:row>
          <xdr:rowOff>139700</xdr:rowOff>
        </xdr:to>
        <xdr:sp macro="" textlink="">
          <xdr:nvSpPr>
            <xdr:cNvPr id="14343" name="merge" hidden="1">
              <a:extLst>
                <a:ext uri="{63B3BB69-23CF-44E3-9099-C40C66FF867C}">
                  <a14:compatExt spid="_x0000_s14343"/>
                </a:ext>
                <a:ext uri="{FF2B5EF4-FFF2-40B4-BE49-F238E27FC236}">
                  <a16:creationId xmlns:a16="http://schemas.microsoft.com/office/drawing/2014/main" id="{00000000-0008-0000-0100-000007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10</xdr:row>
          <xdr:rowOff>146050</xdr:rowOff>
        </xdr:from>
        <xdr:to>
          <xdr:col>0</xdr:col>
          <xdr:colOff>1098550</xdr:colOff>
          <xdr:row>12</xdr:row>
          <xdr:rowOff>139700</xdr:rowOff>
        </xdr:to>
        <xdr:sp macro="" textlink="">
          <xdr:nvSpPr>
            <xdr:cNvPr id="14344" name="rjs" hidden="1">
              <a:extLst>
                <a:ext uri="{63B3BB69-23CF-44E3-9099-C40C66FF867C}">
                  <a14:compatExt spid="_x0000_s14344"/>
                </a:ext>
                <a:ext uri="{FF2B5EF4-FFF2-40B4-BE49-F238E27FC236}">
                  <a16:creationId xmlns:a16="http://schemas.microsoft.com/office/drawing/2014/main" id="{00000000-0008-0000-0100-000008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 x J /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12</xdr:row>
          <xdr:rowOff>146050</xdr:rowOff>
        </xdr:from>
        <xdr:to>
          <xdr:col>0</xdr:col>
          <xdr:colOff>1098550</xdr:colOff>
          <xdr:row>14</xdr:row>
          <xdr:rowOff>127000</xdr:rowOff>
        </xdr:to>
        <xdr:sp macro="" textlink="">
          <xdr:nvSpPr>
            <xdr:cNvPr id="14345" name="interest" hidden="1">
              <a:extLst>
                <a:ext uri="{63B3BB69-23CF-44E3-9099-C40C66FF867C}">
                  <a14:compatExt spid="_x0000_s14345"/>
                </a:ext>
                <a:ext uri="{FF2B5EF4-FFF2-40B4-BE49-F238E27FC236}">
                  <a16:creationId xmlns:a16="http://schemas.microsoft.com/office/drawing/2014/main" id="{00000000-0008-0000-0100-000009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7</xdr:row>
          <xdr:rowOff>12700</xdr:rowOff>
        </xdr:from>
        <xdr:to>
          <xdr:col>6</xdr:col>
          <xdr:colOff>177800</xdr:colOff>
          <xdr:row>10</xdr:row>
          <xdr:rowOff>107950</xdr:rowOff>
        </xdr:to>
        <xdr:sp macro="" textlink="">
          <xdr:nvSpPr>
            <xdr:cNvPr id="14346" name="Button 10" hidden="1">
              <a:extLst>
                <a:ext uri="{63B3BB69-23CF-44E3-9099-C40C66FF867C}">
                  <a14:compatExt spid="_x0000_s14346"/>
                </a:ext>
                <a:ext uri="{FF2B5EF4-FFF2-40B4-BE49-F238E27FC236}">
                  <a16:creationId xmlns:a16="http://schemas.microsoft.com/office/drawing/2014/main" id="{00000000-0008-0000-0100-00000A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get details from Calcurate 2017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38100</xdr:rowOff>
        </xdr:from>
        <xdr:to>
          <xdr:col>4</xdr:col>
          <xdr:colOff>0</xdr:colOff>
          <xdr:row>13</xdr:row>
          <xdr:rowOff>158750</xdr:rowOff>
        </xdr:to>
        <xdr:sp macro="" textlink="">
          <xdr:nvSpPr>
            <xdr:cNvPr id="14347" name="Button 11" hidden="1">
              <a:extLst>
                <a:ext uri="{63B3BB69-23CF-44E3-9099-C40C66FF867C}">
                  <a14:compatExt spid="_x0000_s14347"/>
                </a:ext>
                <a:ext uri="{FF2B5EF4-FFF2-40B4-BE49-F238E27FC236}">
                  <a16:creationId xmlns:a16="http://schemas.microsoft.com/office/drawing/2014/main" id="{00000000-0008-0000-0100-00000B3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Return to the Menu Page</a:t>
              </a:r>
            </a:p>
          </xdr:txBody>
        </xdr:sp>
        <xdr:clientData fPrintsWithSheet="0"/>
      </xdr:twoCellAnchor>
    </mc:Choice>
    <mc:Fallback/>
  </mc:AlternateContent>
  <xdr:twoCellAnchor editAs="oneCell">
    <xdr:from>
      <xdr:col>1</xdr:col>
      <xdr:colOff>30480</xdr:colOff>
      <xdr:row>7</xdr:row>
      <xdr:rowOff>0</xdr:rowOff>
    </xdr:from>
    <xdr:to>
      <xdr:col>1</xdr:col>
      <xdr:colOff>335280</xdr:colOff>
      <xdr:row>8</xdr:row>
      <xdr:rowOff>91440</xdr:rowOff>
    </xdr:to>
    <xdr:pic macro="[0]!importVO">
      <xdr:nvPicPr>
        <xdr:cNvPr id="117439" name="Picture 12" descr="vobutton">
          <a:extLst>
            <a:ext uri="{FF2B5EF4-FFF2-40B4-BE49-F238E27FC236}">
              <a16:creationId xmlns:a16="http://schemas.microsoft.com/office/drawing/2014/main" id="{4377CD3A-C769-ABAA-2399-C7C54AFC96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4920" y="1287780"/>
          <a:ext cx="304800" cy="274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8</xdr:row>
          <xdr:rowOff>107950</xdr:rowOff>
        </xdr:from>
        <xdr:to>
          <xdr:col>1</xdr:col>
          <xdr:colOff>317500</xdr:colOff>
          <xdr:row>10</xdr:row>
          <xdr:rowOff>44450</xdr:rowOff>
        </xdr:to>
        <xdr:sp macro="" textlink="">
          <xdr:nvSpPr>
            <xdr:cNvPr id="14348" name="Button 12" hidden="1">
              <a:extLst>
                <a:ext uri="{63B3BB69-23CF-44E3-9099-C40C66FF867C}">
                  <a14:compatExt spid="_x0000_s14348"/>
                </a:ext>
                <a:ext uri="{FF2B5EF4-FFF2-40B4-BE49-F238E27FC236}">
                  <a16:creationId xmlns:a16="http://schemas.microsoft.com/office/drawing/2014/main" id="{00000000-0008-0000-0100-00000C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xdr:twoCellAnchor editAs="oneCell">
    <xdr:from>
      <xdr:col>3</xdr:col>
      <xdr:colOff>1447800</xdr:colOff>
      <xdr:row>17</xdr:row>
      <xdr:rowOff>38100</xdr:rowOff>
    </xdr:from>
    <xdr:to>
      <xdr:col>3</xdr:col>
      <xdr:colOff>1882140</xdr:colOff>
      <xdr:row>19</xdr:row>
      <xdr:rowOff>60960</xdr:rowOff>
    </xdr:to>
    <xdr:pic macro="[0]!gotovowebsitefromcalcpage">
      <xdr:nvPicPr>
        <xdr:cNvPr id="117440" name="Picture 15" descr="vowebbutton">
          <a:extLst>
            <a:ext uri="{FF2B5EF4-FFF2-40B4-BE49-F238E27FC236}">
              <a16:creationId xmlns:a16="http://schemas.microsoft.com/office/drawing/2014/main" id="{C823BEDC-0B37-2AAA-7418-222E4301D88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373880" y="3147060"/>
          <a:ext cx="434340" cy="388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184150</xdr:colOff>
          <xdr:row>7</xdr:row>
          <xdr:rowOff>12700</xdr:rowOff>
        </xdr:from>
        <xdr:to>
          <xdr:col>7</xdr:col>
          <xdr:colOff>615950</xdr:colOff>
          <xdr:row>10</xdr:row>
          <xdr:rowOff>107950</xdr:rowOff>
        </xdr:to>
        <xdr:sp macro="" textlink="">
          <xdr:nvSpPr>
            <xdr:cNvPr id="14350" name="Button 14" hidden="1">
              <a:extLst>
                <a:ext uri="{63B3BB69-23CF-44E3-9099-C40C66FF867C}">
                  <a14:compatExt spid="_x0000_s14350"/>
                </a:ext>
                <a:ext uri="{FF2B5EF4-FFF2-40B4-BE49-F238E27FC236}">
                  <a16:creationId xmlns:a16="http://schemas.microsoft.com/office/drawing/2014/main" id="{00000000-0008-0000-0100-00000E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get details from Calcurate 2026</a:t>
              </a:r>
            </a:p>
          </xdr:txBody>
        </xdr:sp>
        <xdr:clientData fPrintsWithSheet="0"/>
      </xdr:twoCellAnchor>
    </mc:Choice>
    <mc:Fallback/>
  </mc:AlternateContent>
  <xdr:twoCellAnchor editAs="oneCell">
    <xdr:from>
      <xdr:col>1</xdr:col>
      <xdr:colOff>68580</xdr:colOff>
      <xdr:row>2</xdr:row>
      <xdr:rowOff>121920</xdr:rowOff>
    </xdr:from>
    <xdr:to>
      <xdr:col>1</xdr:col>
      <xdr:colOff>312420</xdr:colOff>
      <xdr:row>4</xdr:row>
      <xdr:rowOff>15240</xdr:rowOff>
    </xdr:to>
    <xdr:pic macro="[0]!import_from_analyse">
      <xdr:nvPicPr>
        <xdr:cNvPr id="117441" name="Picture 641">
          <a:extLst>
            <a:ext uri="{FF2B5EF4-FFF2-40B4-BE49-F238E27FC236}">
              <a16:creationId xmlns:a16="http://schemas.microsoft.com/office/drawing/2014/main" id="{C83A78D2-5084-9950-347C-581974593F02}"/>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03020" y="495300"/>
          <a:ext cx="243840" cy="25908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63500</xdr:colOff>
          <xdr:row>4</xdr:row>
          <xdr:rowOff>50800</xdr:rowOff>
        </xdr:from>
        <xdr:to>
          <xdr:col>1</xdr:col>
          <xdr:colOff>311150</xdr:colOff>
          <xdr:row>5</xdr:row>
          <xdr:rowOff>101600</xdr:rowOff>
        </xdr:to>
        <xdr:sp macro="" textlink="">
          <xdr:nvSpPr>
            <xdr:cNvPr id="14352" name="Button 16" hidden="1">
              <a:extLst>
                <a:ext uri="{63B3BB69-23CF-44E3-9099-C40C66FF867C}">
                  <a14:compatExt spid="_x0000_s14352"/>
                </a:ext>
                <a:ext uri="{FF2B5EF4-FFF2-40B4-BE49-F238E27FC236}">
                  <a16:creationId xmlns:a16="http://schemas.microsoft.com/office/drawing/2014/main" id="{00000000-0008-0000-0100-000010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1060450</xdr:colOff>
          <xdr:row>4</xdr:row>
          <xdr:rowOff>6350</xdr:rowOff>
        </xdr:from>
        <xdr:to>
          <xdr:col>2</xdr:col>
          <xdr:colOff>1263650</xdr:colOff>
          <xdr:row>5</xdr:row>
          <xdr:rowOff>0</xdr:rowOff>
        </xdr:to>
        <xdr:sp macro="" textlink="">
          <xdr:nvSpPr>
            <xdr:cNvPr id="38647" name="Button 2807" hidden="1">
              <a:extLst>
                <a:ext uri="{63B3BB69-23CF-44E3-9099-C40C66FF867C}">
                  <a14:compatExt spid="_x0000_s38647"/>
                </a:ext>
                <a:ext uri="{FF2B5EF4-FFF2-40B4-BE49-F238E27FC236}">
                  <a16:creationId xmlns:a16="http://schemas.microsoft.com/office/drawing/2014/main" id="{00000000-0008-0000-0100-0000F796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139700</xdr:colOff>
          <xdr:row>0</xdr:row>
          <xdr:rowOff>88900</xdr:rowOff>
        </xdr:from>
        <xdr:to>
          <xdr:col>7</xdr:col>
          <xdr:colOff>1485900</xdr:colOff>
          <xdr:row>1</xdr:row>
          <xdr:rowOff>450850</xdr:rowOff>
        </xdr:to>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0200-0000040C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Return To Basic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146050</xdr:colOff>
          <xdr:row>11</xdr:row>
          <xdr:rowOff>0</xdr:rowOff>
        </xdr:from>
        <xdr:to>
          <xdr:col>5</xdr:col>
          <xdr:colOff>1193800</xdr:colOff>
          <xdr:row>11</xdr:row>
          <xdr:rowOff>234950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11</xdr:row>
          <xdr:rowOff>0</xdr:rowOff>
        </xdr:from>
        <xdr:to>
          <xdr:col>4</xdr:col>
          <xdr:colOff>76200</xdr:colOff>
          <xdr:row>11</xdr:row>
          <xdr:rowOff>234950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215900</xdr:colOff>
          <xdr:row>11</xdr:row>
          <xdr:rowOff>0</xdr:rowOff>
        </xdr:from>
        <xdr:to>
          <xdr:col>7</xdr:col>
          <xdr:colOff>1143000</xdr:colOff>
          <xdr:row>11</xdr:row>
          <xdr:rowOff>254000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146050</xdr:colOff>
          <xdr:row>11</xdr:row>
          <xdr:rowOff>0</xdr:rowOff>
        </xdr:from>
        <xdr:to>
          <xdr:col>8</xdr:col>
          <xdr:colOff>1073150</xdr:colOff>
          <xdr:row>11</xdr:row>
          <xdr:rowOff>254000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177800</xdr:colOff>
          <xdr:row>0</xdr:row>
          <xdr:rowOff>190500</xdr:rowOff>
        </xdr:from>
        <xdr:to>
          <xdr:col>0</xdr:col>
          <xdr:colOff>1104900</xdr:colOff>
          <xdr:row>2</xdr:row>
          <xdr:rowOff>44450</xdr:rowOff>
        </xdr:to>
        <xdr:sp macro="" textlink="">
          <xdr:nvSpPr>
            <xdr:cNvPr id="1034" name="home"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165100</xdr:colOff>
          <xdr:row>2</xdr:row>
          <xdr:rowOff>107950</xdr:rowOff>
        </xdr:from>
        <xdr:to>
          <xdr:col>0</xdr:col>
          <xdr:colOff>1098550</xdr:colOff>
          <xdr:row>4</xdr:row>
          <xdr:rowOff>146050</xdr:rowOff>
        </xdr:to>
        <xdr:sp macro="" textlink="">
          <xdr:nvSpPr>
            <xdr:cNvPr id="1035" name="advanced"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939800</xdr:colOff>
          <xdr:row>3</xdr:row>
          <xdr:rowOff>0</xdr:rowOff>
        </xdr:from>
        <xdr:to>
          <xdr:col>9</xdr:col>
          <xdr:colOff>0</xdr:colOff>
          <xdr:row>4</xdr:row>
          <xdr:rowOff>0</xdr:rowOff>
        </xdr:to>
        <xdr:sp macro="" textlink="">
          <xdr:nvSpPr>
            <xdr:cNvPr id="1036" name="Group Box 12"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3</xdr:row>
          <xdr:rowOff>44450</xdr:rowOff>
        </xdr:from>
        <xdr:to>
          <xdr:col>5</xdr:col>
          <xdr:colOff>952500</xdr:colOff>
          <xdr:row>3</xdr:row>
          <xdr:rowOff>228600</xdr:rowOff>
        </xdr:to>
        <xdr:sp macro="" textlink="">
          <xdr:nvSpPr>
            <xdr:cNvPr id="1041" name="Option Button 17"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City of London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1060450</xdr:colOff>
          <xdr:row>3</xdr:row>
          <xdr:rowOff>44450</xdr:rowOff>
        </xdr:from>
        <xdr:to>
          <xdr:col>7</xdr:col>
          <xdr:colOff>565150</xdr:colOff>
          <xdr:row>3</xdr:row>
          <xdr:rowOff>228600</xdr:rowOff>
        </xdr:to>
        <xdr:sp macro="" textlink="">
          <xdr:nvSpPr>
            <xdr:cNvPr id="1042" name="Option Button 18" hidden="1">
              <a:extLst>
                <a:ext uri="{63B3BB69-23CF-44E3-9099-C40C66FF867C}">
                  <a14:compatExt spid="_x0000_s1042"/>
                </a:ext>
                <a:ext uri="{FF2B5EF4-FFF2-40B4-BE49-F238E27FC236}">
                  <a16:creationId xmlns:a16="http://schemas.microsoft.com/office/drawing/2014/main" id="{00000000-0008-0000-03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Greater London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863600</xdr:colOff>
          <xdr:row>3</xdr:row>
          <xdr:rowOff>44450</xdr:rowOff>
        </xdr:from>
        <xdr:to>
          <xdr:col>8</xdr:col>
          <xdr:colOff>825500</xdr:colOff>
          <xdr:row>3</xdr:row>
          <xdr:rowOff>254000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England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3</xdr:row>
          <xdr:rowOff>6350</xdr:rowOff>
        </xdr:from>
        <xdr:to>
          <xdr:col>11</xdr:col>
          <xdr:colOff>1320800</xdr:colOff>
          <xdr:row>3</xdr:row>
          <xdr:rowOff>215900</xdr:rowOff>
        </xdr:to>
        <xdr:sp macro="" textlink="">
          <xdr:nvSpPr>
            <xdr:cNvPr id="1059" name="Drop Down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1130300</xdr:colOff>
          <xdr:row>22</xdr:row>
          <xdr:rowOff>44450</xdr:rowOff>
        </xdr:from>
        <xdr:to>
          <xdr:col>6</xdr:col>
          <xdr:colOff>165100</xdr:colOff>
          <xdr:row>23</xdr:row>
          <xdr:rowOff>152400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63500</xdr:colOff>
          <xdr:row>22</xdr:row>
          <xdr:rowOff>38100</xdr:rowOff>
        </xdr:from>
        <xdr:to>
          <xdr:col>11</xdr:col>
          <xdr:colOff>685800</xdr:colOff>
          <xdr:row>23</xdr:row>
          <xdr:rowOff>146050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27</xdr:row>
          <xdr:rowOff>76200</xdr:rowOff>
        </xdr:from>
        <xdr:to>
          <xdr:col>8</xdr:col>
          <xdr:colOff>984250</xdr:colOff>
          <xdr:row>29</xdr:row>
          <xdr:rowOff>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300-000026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965200</xdr:colOff>
          <xdr:row>27</xdr:row>
          <xdr:rowOff>76200</xdr:rowOff>
        </xdr:from>
        <xdr:to>
          <xdr:col>7</xdr:col>
          <xdr:colOff>831850</xdr:colOff>
          <xdr:row>29</xdr:row>
          <xdr:rowOff>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812800</xdr:colOff>
          <xdr:row>27</xdr:row>
          <xdr:rowOff>76200</xdr:rowOff>
        </xdr:from>
        <xdr:to>
          <xdr:col>5</xdr:col>
          <xdr:colOff>984250</xdr:colOff>
          <xdr:row>29</xdr:row>
          <xdr:rowOff>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27</xdr:row>
          <xdr:rowOff>76200</xdr:rowOff>
        </xdr:from>
        <xdr:to>
          <xdr:col>3</xdr:col>
          <xdr:colOff>793750</xdr:colOff>
          <xdr:row>29</xdr:row>
          <xdr:rowOff>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1358900</xdr:colOff>
          <xdr:row>2</xdr:row>
          <xdr:rowOff>266700</xdr:rowOff>
        </xdr:from>
        <xdr:to>
          <xdr:col>12</xdr:col>
          <xdr:colOff>0</xdr:colOff>
          <xdr:row>3</xdr:row>
          <xdr:rowOff>222250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292100</xdr:rowOff>
        </xdr:from>
        <xdr:to>
          <xdr:col>12</xdr:col>
          <xdr:colOff>44450</xdr:colOff>
          <xdr:row>2</xdr:row>
          <xdr:rowOff>38100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300-00002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139700</xdr:colOff>
          <xdr:row>14</xdr:row>
          <xdr:rowOff>31750</xdr:rowOff>
        </xdr:from>
        <xdr:to>
          <xdr:col>11</xdr:col>
          <xdr:colOff>1454150</xdr:colOff>
          <xdr:row>14</xdr:row>
          <xdr:rowOff>266700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300-00002C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5</xdr:row>
          <xdr:rowOff>76200</xdr:rowOff>
        </xdr:from>
        <xdr:to>
          <xdr:col>11</xdr:col>
          <xdr:colOff>1454150</xdr:colOff>
          <xdr:row>6</xdr:row>
          <xdr:rowOff>184150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300-00002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6</xdr:row>
          <xdr:rowOff>190500</xdr:rowOff>
        </xdr:from>
        <xdr:to>
          <xdr:col>11</xdr:col>
          <xdr:colOff>793750</xdr:colOff>
          <xdr:row>8</xdr:row>
          <xdr:rowOff>196850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300-00002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Analysis</a:t>
              </a:r>
            </a:p>
            <a:p>
              <a:pPr algn="ctr" rtl="0">
                <a:defRPr sz="1000"/>
              </a:pPr>
              <a:r>
                <a:rPr lang="en-GB" sz="1000" b="0" i="0" u="none" strike="noStrike" baseline="0">
                  <a:solidFill>
                    <a:srgbClr val="0000FF"/>
                  </a:solidFill>
                  <a:latin typeface="Arial"/>
                  <a:cs typeface="Arial"/>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6</xdr:row>
          <xdr:rowOff>190500</xdr:rowOff>
        </xdr:from>
        <xdr:to>
          <xdr:col>11</xdr:col>
          <xdr:colOff>1454150</xdr:colOff>
          <xdr:row>8</xdr:row>
          <xdr:rowOff>196850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800080"/>
                  </a:solidFill>
                  <a:latin typeface="Arial"/>
                  <a:cs typeface="Arial"/>
                </a:rPr>
                <a:t>Analysis</a:t>
              </a:r>
            </a:p>
            <a:p>
              <a:pPr algn="ctr" rtl="0">
                <a:defRPr sz="1000"/>
              </a:pPr>
              <a:r>
                <a:rPr lang="en-GB" sz="1000" b="0" i="0" u="none" strike="noStrike" baseline="0">
                  <a:solidFill>
                    <a:srgbClr val="800080"/>
                  </a:solidFill>
                  <a:latin typeface="Arial"/>
                  <a:cs typeface="Arial"/>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139700</xdr:colOff>
          <xdr:row>15</xdr:row>
          <xdr:rowOff>0</xdr:rowOff>
        </xdr:from>
        <xdr:to>
          <xdr:col>11</xdr:col>
          <xdr:colOff>1454150</xdr:colOff>
          <xdr:row>16</xdr:row>
          <xdr:rowOff>6350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View Instalments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13</xdr:row>
          <xdr:rowOff>44450</xdr:rowOff>
        </xdr:from>
        <xdr:to>
          <xdr:col>11</xdr:col>
          <xdr:colOff>1454150</xdr:colOff>
          <xdr:row>14</xdr:row>
          <xdr:rowOff>25400</xdr:rowOff>
        </xdr:to>
        <xdr:sp macro="" textlink="">
          <xdr:nvSpPr>
            <xdr:cNvPr id="1074" name="payments" hidden="1">
              <a:extLst>
                <a:ext uri="{63B3BB69-23CF-44E3-9099-C40C66FF867C}">
                  <a14:compatExt spid="_x0000_s1074"/>
                </a:ext>
                <a:ext uri="{FF2B5EF4-FFF2-40B4-BE49-F238E27FC236}">
                  <a16:creationId xmlns:a16="http://schemas.microsoft.com/office/drawing/2014/main" id="{00000000-0008-0000-0300-00003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Enter 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10</xdr:row>
          <xdr:rowOff>184150</xdr:rowOff>
        </xdr:from>
        <xdr:to>
          <xdr:col>11</xdr:col>
          <xdr:colOff>1454150</xdr:colOff>
          <xdr:row>12</xdr:row>
          <xdr:rowOff>63500</xdr:rowOff>
        </xdr:to>
        <xdr:sp macro="" textlink="">
          <xdr:nvSpPr>
            <xdr:cNvPr id="1075" name="basicclient" hidden="1">
              <a:extLst>
                <a:ext uri="{63B3BB69-23CF-44E3-9099-C40C66FF867C}">
                  <a14:compatExt spid="_x0000_s1075"/>
                </a:ext>
                <a:ext uri="{FF2B5EF4-FFF2-40B4-BE49-F238E27FC236}">
                  <a16:creationId xmlns:a16="http://schemas.microsoft.com/office/drawing/2014/main" id="{00000000-0008-0000-0300-00003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44450</xdr:colOff>
          <xdr:row>2</xdr:row>
          <xdr:rowOff>88900</xdr:rowOff>
        </xdr:from>
        <xdr:to>
          <xdr:col>14</xdr:col>
          <xdr:colOff>139700</xdr:colOff>
          <xdr:row>3</xdr:row>
          <xdr:rowOff>196850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146050</xdr:colOff>
          <xdr:row>2</xdr:row>
          <xdr:rowOff>88900</xdr:rowOff>
        </xdr:from>
        <xdr:to>
          <xdr:col>15</xdr:col>
          <xdr:colOff>203200</xdr:colOff>
          <xdr:row>3</xdr:row>
          <xdr:rowOff>196850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215900</xdr:colOff>
          <xdr:row>2</xdr:row>
          <xdr:rowOff>88900</xdr:rowOff>
        </xdr:from>
        <xdr:to>
          <xdr:col>16</xdr:col>
          <xdr:colOff>114300</xdr:colOff>
          <xdr:row>3</xdr:row>
          <xdr:rowOff>196850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127000</xdr:colOff>
          <xdr:row>2</xdr:row>
          <xdr:rowOff>88900</xdr:rowOff>
        </xdr:from>
        <xdr:to>
          <xdr:col>16</xdr:col>
          <xdr:colOff>654050</xdr:colOff>
          <xdr:row>3</xdr:row>
          <xdr:rowOff>196850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292100</xdr:colOff>
          <xdr:row>1</xdr:row>
          <xdr:rowOff>0</xdr:rowOff>
        </xdr:from>
        <xdr:to>
          <xdr:col>15</xdr:col>
          <xdr:colOff>349250</xdr:colOff>
          <xdr:row>2</xdr:row>
          <xdr:rowOff>82550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44450</xdr:colOff>
          <xdr:row>1</xdr:row>
          <xdr:rowOff>0</xdr:rowOff>
        </xdr:from>
        <xdr:to>
          <xdr:col>14</xdr:col>
          <xdr:colOff>279400</xdr:colOff>
          <xdr:row>2</xdr:row>
          <xdr:rowOff>82550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355600</xdr:colOff>
          <xdr:row>1</xdr:row>
          <xdr:rowOff>0</xdr:rowOff>
        </xdr:from>
        <xdr:to>
          <xdr:col>16</xdr:col>
          <xdr:colOff>654050</xdr:colOff>
          <xdr:row>2</xdr:row>
          <xdr:rowOff>82550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4</xdr:row>
          <xdr:rowOff>190500</xdr:rowOff>
        </xdr:from>
        <xdr:to>
          <xdr:col>14</xdr:col>
          <xdr:colOff>6350</xdr:colOff>
          <xdr:row>6</xdr:row>
          <xdr:rowOff>101600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zoom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6</xdr:row>
          <xdr:rowOff>101600</xdr:rowOff>
        </xdr:from>
        <xdr:to>
          <xdr:col>14</xdr:col>
          <xdr:colOff>6350</xdr:colOff>
          <xdr:row>8</xdr:row>
          <xdr:rowOff>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shrink -</a:t>
              </a:r>
            </a:p>
          </xdr:txBody>
        </xdr:sp>
        <xdr:clientData fPrintsWithSheet="0"/>
      </xdr:twoCellAnchor>
    </mc:Choice>
    <mc:Fallback/>
  </mc:AlternateContent>
  <xdr:twoCellAnchor editAs="oneCell">
    <xdr:from>
      <xdr:col>5</xdr:col>
      <xdr:colOff>617220</xdr:colOff>
      <xdr:row>30</xdr:row>
      <xdr:rowOff>76200</xdr:rowOff>
    </xdr:from>
    <xdr:to>
      <xdr:col>7</xdr:col>
      <xdr:colOff>838200</xdr:colOff>
      <xdr:row>31</xdr:row>
      <xdr:rowOff>182880</xdr:rowOff>
    </xdr:to>
    <xdr:pic macro="[0]!gotocalcurate">
      <xdr:nvPicPr>
        <xdr:cNvPr id="120340" name="Picture 33" descr="calcurate">
          <a:extLst>
            <a:ext uri="{FF2B5EF4-FFF2-40B4-BE49-F238E27FC236}">
              <a16:creationId xmlns:a16="http://schemas.microsoft.com/office/drawing/2014/main" id="{7E4DEF23-8FFB-C9CA-DE8D-DE82F2CA22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97680" y="6362700"/>
          <a:ext cx="1714500" cy="37338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266700</xdr:colOff>
      <xdr:row>25</xdr:row>
      <xdr:rowOff>45720</xdr:rowOff>
    </xdr:from>
    <xdr:to>
      <xdr:col>1</xdr:col>
      <xdr:colOff>632460</xdr:colOff>
      <xdr:row>27</xdr:row>
      <xdr:rowOff>0</xdr:rowOff>
    </xdr:to>
    <xdr:pic macro="[0]!import_from_analyse">
      <xdr:nvPicPr>
        <xdr:cNvPr id="120341" name="Picture 2">
          <a:extLst>
            <a:ext uri="{FF2B5EF4-FFF2-40B4-BE49-F238E27FC236}">
              <a16:creationId xmlns:a16="http://schemas.microsoft.com/office/drawing/2014/main" id="{153C78E0-E018-BCAD-342F-D2C60845B0F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69720" y="5318760"/>
          <a:ext cx="365760" cy="38862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317500</xdr:colOff>
          <xdr:row>27</xdr:row>
          <xdr:rowOff>69850</xdr:rowOff>
        </xdr:from>
        <xdr:to>
          <xdr:col>1</xdr:col>
          <xdr:colOff>577850</xdr:colOff>
          <xdr:row>28</xdr:row>
          <xdr:rowOff>120650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215900</xdr:colOff>
          <xdr:row>24</xdr:row>
          <xdr:rowOff>146050</xdr:rowOff>
        </xdr:from>
        <xdr:to>
          <xdr:col>1</xdr:col>
          <xdr:colOff>139700</xdr:colOff>
          <xdr:row>27</xdr:row>
          <xdr:rowOff>146050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300-00004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Enter Address and Other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520700</xdr:colOff>
          <xdr:row>3</xdr:row>
          <xdr:rowOff>44450</xdr:rowOff>
        </xdr:from>
        <xdr:to>
          <xdr:col>8</xdr:col>
          <xdr:colOff>996950</xdr:colOff>
          <xdr:row>3</xdr:row>
          <xdr:rowOff>234950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800" b="1" i="0" u="none" strike="noStrike" baseline="0">
                  <a:solidFill>
                    <a:srgbClr val="0000FF"/>
                  </a:solidFill>
                  <a:latin typeface="Arial"/>
                  <a:cs typeface="Arial"/>
                </a:rPr>
                <a:t>GL?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20</xdr:row>
          <xdr:rowOff>38100</xdr:rowOff>
        </xdr:from>
        <xdr:to>
          <xdr:col>11</xdr:col>
          <xdr:colOff>571500</xdr:colOff>
          <xdr:row>21</xdr:row>
          <xdr:rowOff>6350</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571500</xdr:colOff>
          <xdr:row>20</xdr:row>
          <xdr:rowOff>38100</xdr:rowOff>
        </xdr:from>
        <xdr:to>
          <xdr:col>11</xdr:col>
          <xdr:colOff>889000</xdr:colOff>
          <xdr:row>21</xdr:row>
          <xdr:rowOff>6350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300-00007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889000</xdr:colOff>
          <xdr:row>20</xdr:row>
          <xdr:rowOff>38100</xdr:rowOff>
        </xdr:from>
        <xdr:to>
          <xdr:col>12</xdr:col>
          <xdr:colOff>228600</xdr:colOff>
          <xdr:row>21</xdr:row>
          <xdr:rowOff>6350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107950</xdr:colOff>
          <xdr:row>28</xdr:row>
          <xdr:rowOff>152400</xdr:rowOff>
        </xdr:from>
        <xdr:to>
          <xdr:col>1</xdr:col>
          <xdr:colOff>793750</xdr:colOff>
          <xdr:row>30</xdr:row>
          <xdr:rowOff>6350</xdr:rowOff>
        </xdr:to>
        <xdr:sp macro="" textlink="">
          <xdr:nvSpPr>
            <xdr:cNvPr id="1727" name="Check Box 703" hidden="1">
              <a:extLst>
                <a:ext uri="{63B3BB69-23CF-44E3-9099-C40C66FF867C}">
                  <a14:compatExt spid="_x0000_s1727"/>
                </a:ext>
                <a:ext uri="{FF2B5EF4-FFF2-40B4-BE49-F238E27FC236}">
                  <a16:creationId xmlns:a16="http://schemas.microsoft.com/office/drawing/2014/main" id="{00000000-0008-0000-0300-0000BF060000}"/>
                </a:ext>
              </a:extLst>
            </xdr:cNvPr>
            <xdr:cNvSpPr/>
          </xdr:nvSpPr>
          <xdr:spPr bwMode="auto">
            <a:xfrm>
              <a:off x="0" y="0"/>
              <a:ext cx="0" cy="0"/>
            </a:xfrm>
            <a:prstGeom prst="rect">
              <a:avLst/>
            </a:prstGeom>
            <a:solidFill>
              <a:srgbClr val="FFCCFF"/>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confirm?</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120650</xdr:colOff>
          <xdr:row>27</xdr:row>
          <xdr:rowOff>31750</xdr:rowOff>
        </xdr:from>
        <xdr:to>
          <xdr:col>11</xdr:col>
          <xdr:colOff>1371600</xdr:colOff>
          <xdr:row>28</xdr:row>
          <xdr:rowOff>146050</xdr:rowOff>
        </xdr:to>
        <xdr:sp macro="" textlink="">
          <xdr:nvSpPr>
            <xdr:cNvPr id="47810" name="Button 1730" hidden="1">
              <a:extLst>
                <a:ext uri="{63B3BB69-23CF-44E3-9099-C40C66FF867C}">
                  <a14:compatExt spid="_x0000_s47810"/>
                </a:ext>
                <a:ext uri="{FF2B5EF4-FFF2-40B4-BE49-F238E27FC236}">
                  <a16:creationId xmlns:a16="http://schemas.microsoft.com/office/drawing/2014/main" id="{00000000-0008-0000-0300-0000C2B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Effect on 2026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xdr:colOff>
          <xdr:row>11</xdr:row>
          <xdr:rowOff>44450</xdr:rowOff>
        </xdr:from>
        <xdr:to>
          <xdr:col>2</xdr:col>
          <xdr:colOff>107950</xdr:colOff>
          <xdr:row>11</xdr:row>
          <xdr:rowOff>228600</xdr:rowOff>
        </xdr:to>
        <xdr:sp macro="" textlink="">
          <xdr:nvSpPr>
            <xdr:cNvPr id="62248" name="Button 2856" hidden="1">
              <a:extLst>
                <a:ext uri="{63B3BB69-23CF-44E3-9099-C40C66FF867C}">
                  <a14:compatExt spid="_x0000_s62248"/>
                </a:ext>
                <a:ext uri="{FF2B5EF4-FFF2-40B4-BE49-F238E27FC236}">
                  <a16:creationId xmlns:a16="http://schemas.microsoft.com/office/drawing/2014/main" id="{00000000-0008-0000-0300-000028F3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other relief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520700</xdr:colOff>
          <xdr:row>6</xdr:row>
          <xdr:rowOff>31750</xdr:rowOff>
        </xdr:from>
        <xdr:to>
          <xdr:col>5</xdr:col>
          <xdr:colOff>977900</xdr:colOff>
          <xdr:row>6</xdr:row>
          <xdr:rowOff>215900</xdr:rowOff>
        </xdr:to>
        <xdr:sp macro="" textlink="">
          <xdr:nvSpPr>
            <xdr:cNvPr id="62314" name="Button 2922" hidden="1">
              <a:extLst>
                <a:ext uri="{63B3BB69-23CF-44E3-9099-C40C66FF867C}">
                  <a14:compatExt spid="_x0000_s62314"/>
                </a:ext>
                <a:ext uri="{FF2B5EF4-FFF2-40B4-BE49-F238E27FC236}">
                  <a16:creationId xmlns:a16="http://schemas.microsoft.com/office/drawing/2014/main" id="{00000000-0008-0000-0300-00006AF3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993366"/>
                  </a:solidFill>
                  <a:latin typeface="Arial"/>
                  <a:cs typeface="Arial"/>
                </a:rPr>
                <a:t>TC?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44450</xdr:colOff>
          <xdr:row>8</xdr:row>
          <xdr:rowOff>6350</xdr:rowOff>
        </xdr:from>
        <xdr:to>
          <xdr:col>10</xdr:col>
          <xdr:colOff>146050</xdr:colOff>
          <xdr:row>8</xdr:row>
          <xdr:rowOff>228600</xdr:rowOff>
        </xdr:to>
        <xdr:sp macro="" textlink="">
          <xdr:nvSpPr>
            <xdr:cNvPr id="62315" name="Button 2923" hidden="1">
              <a:extLst>
                <a:ext uri="{63B3BB69-23CF-44E3-9099-C40C66FF867C}">
                  <a14:compatExt spid="_x0000_s62315"/>
                </a:ext>
                <a:ext uri="{FF2B5EF4-FFF2-40B4-BE49-F238E27FC236}">
                  <a16:creationId xmlns:a16="http://schemas.microsoft.com/office/drawing/2014/main" id="{00000000-0008-0000-0300-00006BF3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TC?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527050</xdr:colOff>
          <xdr:row>7</xdr:row>
          <xdr:rowOff>0</xdr:rowOff>
        </xdr:from>
        <xdr:to>
          <xdr:col>2</xdr:col>
          <xdr:colOff>184150</xdr:colOff>
          <xdr:row>8</xdr:row>
          <xdr:rowOff>6350</xdr:rowOff>
        </xdr:to>
        <xdr:sp macro="" textlink="">
          <xdr:nvSpPr>
            <xdr:cNvPr id="62316" name="Button 2924" hidden="1">
              <a:extLst>
                <a:ext uri="{63B3BB69-23CF-44E3-9099-C40C66FF867C}">
                  <a14:compatExt spid="_x0000_s62316"/>
                </a:ext>
                <a:ext uri="{FF2B5EF4-FFF2-40B4-BE49-F238E27FC236}">
                  <a16:creationId xmlns:a16="http://schemas.microsoft.com/office/drawing/2014/main" id="{00000000-0008-0000-0300-00006CF3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help &gt;</a:t>
              </a:r>
            </a:p>
          </xdr:txBody>
        </xdr:sp>
        <xdr:clientData fPrintsWithSheet="0"/>
      </xdr:twoCellAnchor>
    </mc:Choice>
    <mc:Fallback/>
  </mc:AlternateContent>
  <xdr:twoCellAnchor editAs="oneCell">
    <xdr:from>
      <xdr:col>1</xdr:col>
      <xdr:colOff>175260</xdr:colOff>
      <xdr:row>1</xdr:row>
      <xdr:rowOff>137160</xdr:rowOff>
    </xdr:from>
    <xdr:to>
      <xdr:col>1</xdr:col>
      <xdr:colOff>457200</xdr:colOff>
      <xdr:row>2</xdr:row>
      <xdr:rowOff>236220</xdr:rowOff>
    </xdr:to>
    <xdr:pic macro="[0]!import_from_analyse">
      <xdr:nvPicPr>
        <xdr:cNvPr id="120342" name="Picture 2">
          <a:extLst>
            <a:ext uri="{FF2B5EF4-FFF2-40B4-BE49-F238E27FC236}">
              <a16:creationId xmlns:a16="http://schemas.microsoft.com/office/drawing/2014/main" id="{8DF3EC93-FAFB-39C5-97D9-547DD18D95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78280" y="518160"/>
          <a:ext cx="281940" cy="3048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508000</xdr:colOff>
          <xdr:row>1</xdr:row>
          <xdr:rowOff>127000</xdr:rowOff>
        </xdr:from>
        <xdr:to>
          <xdr:col>1</xdr:col>
          <xdr:colOff>730250</xdr:colOff>
          <xdr:row>2</xdr:row>
          <xdr:rowOff>228600</xdr:rowOff>
        </xdr:to>
        <xdr:sp macro="" textlink="">
          <xdr:nvSpPr>
            <xdr:cNvPr id="62318" name="Button 2926" hidden="1">
              <a:extLst>
                <a:ext uri="{63B3BB69-23CF-44E3-9099-C40C66FF867C}">
                  <a14:compatExt spid="_x0000_s62318"/>
                </a:ext>
                <a:ext uri="{FF2B5EF4-FFF2-40B4-BE49-F238E27FC236}">
                  <a16:creationId xmlns:a16="http://schemas.microsoft.com/office/drawing/2014/main" id="{00000000-0008-0000-0300-00006EF3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3</xdr:row>
          <xdr:rowOff>6350</xdr:rowOff>
        </xdr:from>
        <xdr:to>
          <xdr:col>1</xdr:col>
          <xdr:colOff>825500</xdr:colOff>
          <xdr:row>3</xdr:row>
          <xdr:rowOff>260350</xdr:rowOff>
        </xdr:to>
        <xdr:sp macro="" textlink="">
          <xdr:nvSpPr>
            <xdr:cNvPr id="62319" name="Check Box 2927" hidden="1">
              <a:extLst>
                <a:ext uri="{63B3BB69-23CF-44E3-9099-C40C66FF867C}">
                  <a14:compatExt spid="_x0000_s62319"/>
                </a:ext>
                <a:ext uri="{FF2B5EF4-FFF2-40B4-BE49-F238E27FC236}">
                  <a16:creationId xmlns:a16="http://schemas.microsoft.com/office/drawing/2014/main" id="{00000000-0008-0000-0300-00006FF30000}"/>
                </a:ext>
              </a:extLst>
            </xdr:cNvPr>
            <xdr:cNvSpPr/>
          </xdr:nvSpPr>
          <xdr:spPr bwMode="auto">
            <a:xfrm>
              <a:off x="0" y="0"/>
              <a:ext cx="0" cy="0"/>
            </a:xfrm>
            <a:prstGeom prst="rect">
              <a:avLst/>
            </a:prstGeom>
            <a:solidFill>
              <a:srgbClr val="FFCCFF"/>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confirm?</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692150</xdr:colOff>
          <xdr:row>11</xdr:row>
          <xdr:rowOff>0</xdr:rowOff>
        </xdr:from>
        <xdr:to>
          <xdr:col>0</xdr:col>
          <xdr:colOff>1257300</xdr:colOff>
          <xdr:row>12</xdr:row>
          <xdr:rowOff>0</xdr:rowOff>
        </xdr:to>
        <xdr:sp macro="" textlink="">
          <xdr:nvSpPr>
            <xdr:cNvPr id="62320" name="Button 2928" hidden="1">
              <a:extLst>
                <a:ext uri="{63B3BB69-23CF-44E3-9099-C40C66FF867C}">
                  <a14:compatExt spid="_x0000_s62320"/>
                </a:ext>
                <a:ext uri="{FF2B5EF4-FFF2-40B4-BE49-F238E27FC236}">
                  <a16:creationId xmlns:a16="http://schemas.microsoft.com/office/drawing/2014/main" id="{00000000-0008-0000-0300-000070F3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help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8</xdr:row>
          <xdr:rowOff>215900</xdr:rowOff>
        </xdr:from>
        <xdr:to>
          <xdr:col>11</xdr:col>
          <xdr:colOff>793750</xdr:colOff>
          <xdr:row>10</xdr:row>
          <xdr:rowOff>165100</xdr:rowOff>
        </xdr:to>
        <xdr:sp macro="" textlink="">
          <xdr:nvSpPr>
            <xdr:cNvPr id="62321" name="Button 2929" hidden="1">
              <a:extLst>
                <a:ext uri="{63B3BB69-23CF-44E3-9099-C40C66FF867C}">
                  <a14:compatExt spid="_x0000_s62321"/>
                </a:ext>
                <a:ext uri="{FF2B5EF4-FFF2-40B4-BE49-F238E27FC236}">
                  <a16:creationId xmlns:a16="http://schemas.microsoft.com/office/drawing/2014/main" id="{00000000-0008-0000-0300-000071F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TA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8</xdr:row>
          <xdr:rowOff>215900</xdr:rowOff>
        </xdr:from>
        <xdr:to>
          <xdr:col>11</xdr:col>
          <xdr:colOff>1454150</xdr:colOff>
          <xdr:row>10</xdr:row>
          <xdr:rowOff>165100</xdr:rowOff>
        </xdr:to>
        <xdr:sp macro="" textlink="">
          <xdr:nvSpPr>
            <xdr:cNvPr id="62322" name="Button 2930" hidden="1">
              <a:extLst>
                <a:ext uri="{63B3BB69-23CF-44E3-9099-C40C66FF867C}">
                  <a14:compatExt spid="_x0000_s62322"/>
                </a:ext>
                <a:ext uri="{FF2B5EF4-FFF2-40B4-BE49-F238E27FC236}">
                  <a16:creationId xmlns:a16="http://schemas.microsoft.com/office/drawing/2014/main" id="{00000000-0008-0000-0300-000072F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993366"/>
                  </a:solidFill>
                  <a:latin typeface="Arial"/>
                  <a:cs typeface="Arial"/>
                </a:rPr>
                <a:t>TA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6350</xdr:rowOff>
        </xdr:from>
        <xdr:to>
          <xdr:col>10</xdr:col>
          <xdr:colOff>139700</xdr:colOff>
          <xdr:row>11</xdr:row>
          <xdr:rowOff>254000</xdr:rowOff>
        </xdr:to>
        <xdr:sp macro="" textlink="">
          <xdr:nvSpPr>
            <xdr:cNvPr id="62326" name="Button 2934" hidden="1">
              <a:extLst>
                <a:ext uri="{63B3BB69-23CF-44E3-9099-C40C66FF867C}">
                  <a14:compatExt spid="_x0000_s62326"/>
                </a:ext>
                <a:ext uri="{FF2B5EF4-FFF2-40B4-BE49-F238E27FC236}">
                  <a16:creationId xmlns:a16="http://schemas.microsoft.com/office/drawing/2014/main" id="{00000000-0008-0000-0300-000076F3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FF0000"/>
                  </a:solidFill>
                  <a:latin typeface="Calibri"/>
                  <a:ea typeface="Calibri"/>
                  <a:cs typeface="Calibri"/>
                </a:rPr>
                <a:t>&lt;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215900</xdr:colOff>
          <xdr:row>12</xdr:row>
          <xdr:rowOff>12700</xdr:rowOff>
        </xdr:from>
        <xdr:to>
          <xdr:col>7</xdr:col>
          <xdr:colOff>844550</xdr:colOff>
          <xdr:row>12</xdr:row>
          <xdr:rowOff>234950</xdr:rowOff>
        </xdr:to>
        <xdr:sp macro="" textlink="">
          <xdr:nvSpPr>
            <xdr:cNvPr id="62327" name="Check Box 2935" hidden="1">
              <a:extLst>
                <a:ext uri="{63B3BB69-23CF-44E3-9099-C40C66FF867C}">
                  <a14:compatExt spid="_x0000_s62327"/>
                </a:ext>
                <a:ext uri="{FF2B5EF4-FFF2-40B4-BE49-F238E27FC236}">
                  <a16:creationId xmlns:a16="http://schemas.microsoft.com/office/drawing/2014/main" id="{00000000-0008-0000-0300-000077F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SSBR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965200</xdr:colOff>
          <xdr:row>12</xdr:row>
          <xdr:rowOff>44450</xdr:rowOff>
        </xdr:from>
        <xdr:to>
          <xdr:col>7</xdr:col>
          <xdr:colOff>1219200</xdr:colOff>
          <xdr:row>12</xdr:row>
          <xdr:rowOff>228600</xdr:rowOff>
        </xdr:to>
        <xdr:sp macro="" textlink="">
          <xdr:nvSpPr>
            <xdr:cNvPr id="62329" name="Button 2937" hidden="1">
              <a:extLst>
                <a:ext uri="{63B3BB69-23CF-44E3-9099-C40C66FF867C}">
                  <a14:compatExt spid="_x0000_s62329"/>
                </a:ext>
                <a:ext uri="{FF2B5EF4-FFF2-40B4-BE49-F238E27FC236}">
                  <a16:creationId xmlns:a16="http://schemas.microsoft.com/office/drawing/2014/main" id="{00000000-0008-0000-0300-000079F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5</xdr:row>
          <xdr:rowOff>31750</xdr:rowOff>
        </xdr:from>
        <xdr:to>
          <xdr:col>15</xdr:col>
          <xdr:colOff>203200</xdr:colOff>
          <xdr:row>7</xdr:row>
          <xdr:rowOff>25400</xdr:rowOff>
        </xdr:to>
        <xdr:sp macro="" textlink="">
          <xdr:nvSpPr>
            <xdr:cNvPr id="62330" name="globalbacktobutton" hidden="1">
              <a:extLst>
                <a:ext uri="{63B3BB69-23CF-44E3-9099-C40C66FF867C}">
                  <a14:compatExt spid="_x0000_s62330"/>
                </a:ext>
                <a:ext uri="{FF2B5EF4-FFF2-40B4-BE49-F238E27FC236}">
                  <a16:creationId xmlns:a16="http://schemas.microsoft.com/office/drawing/2014/main" id="{00000000-0008-0000-0300-00007AF3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44450</xdr:colOff>
          <xdr:row>8</xdr:row>
          <xdr:rowOff>241300</xdr:rowOff>
        </xdr:from>
        <xdr:to>
          <xdr:col>10</xdr:col>
          <xdr:colOff>146050</xdr:colOff>
          <xdr:row>10</xdr:row>
          <xdr:rowOff>31750</xdr:rowOff>
        </xdr:to>
        <xdr:sp macro="" textlink="">
          <xdr:nvSpPr>
            <xdr:cNvPr id="106047" name="Button 3647" hidden="1">
              <a:extLst>
                <a:ext uri="{63B3BB69-23CF-44E3-9099-C40C66FF867C}">
                  <a14:compatExt spid="_x0000_s106047"/>
                </a:ext>
                <a:ext uri="{FF2B5EF4-FFF2-40B4-BE49-F238E27FC236}">
                  <a16:creationId xmlns:a16="http://schemas.microsoft.com/office/drawing/2014/main" id="{00000000-0008-0000-0300-00003F9E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546100</xdr:colOff>
          <xdr:row>9</xdr:row>
          <xdr:rowOff>0</xdr:rowOff>
        </xdr:from>
        <xdr:to>
          <xdr:col>2</xdr:col>
          <xdr:colOff>165100</xdr:colOff>
          <xdr:row>10</xdr:row>
          <xdr:rowOff>0</xdr:rowOff>
        </xdr:to>
        <xdr:sp macro="" textlink="">
          <xdr:nvSpPr>
            <xdr:cNvPr id="106096" name="Button 3696" hidden="1">
              <a:extLst>
                <a:ext uri="{63B3BB69-23CF-44E3-9099-C40C66FF867C}">
                  <a14:compatExt spid="_x0000_s106096"/>
                </a:ext>
                <a:ext uri="{FF2B5EF4-FFF2-40B4-BE49-F238E27FC236}">
                  <a16:creationId xmlns:a16="http://schemas.microsoft.com/office/drawing/2014/main" id="{00000000-0008-0000-0300-0000709E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920750</xdr:colOff>
          <xdr:row>12</xdr:row>
          <xdr:rowOff>12700</xdr:rowOff>
        </xdr:from>
        <xdr:to>
          <xdr:col>9</xdr:col>
          <xdr:colOff>25400</xdr:colOff>
          <xdr:row>12</xdr:row>
          <xdr:rowOff>254000</xdr:rowOff>
        </xdr:to>
        <xdr:sp macro="" textlink="">
          <xdr:nvSpPr>
            <xdr:cNvPr id="106493" name="Check Box 4093" hidden="1">
              <a:extLst>
                <a:ext uri="{63B3BB69-23CF-44E3-9099-C40C66FF867C}">
                  <a14:compatExt spid="_x0000_s106493"/>
                </a:ext>
                <a:ext uri="{FF2B5EF4-FFF2-40B4-BE49-F238E27FC236}">
                  <a16:creationId xmlns:a16="http://schemas.microsoft.com/office/drawing/2014/main" id="{00000000-0008-0000-0300-0000FD9F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266700</xdr:colOff>
          <xdr:row>1</xdr:row>
          <xdr:rowOff>88900</xdr:rowOff>
        </xdr:from>
        <xdr:to>
          <xdr:col>0</xdr:col>
          <xdr:colOff>1193800</xdr:colOff>
          <xdr:row>3</xdr:row>
          <xdr:rowOff>44450</xdr:rowOff>
        </xdr:to>
        <xdr:sp macro="" textlink="">
          <xdr:nvSpPr>
            <xdr:cNvPr id="51206" name="home" hidden="1">
              <a:extLst>
                <a:ext uri="{63B3BB69-23CF-44E3-9099-C40C66FF867C}">
                  <a14:compatExt spid="_x0000_s51206"/>
                </a:ext>
                <a:ext uri="{FF2B5EF4-FFF2-40B4-BE49-F238E27FC236}">
                  <a16:creationId xmlns:a16="http://schemas.microsoft.com/office/drawing/2014/main" id="{00000000-0008-0000-0400-000006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3</xdr:row>
          <xdr:rowOff>50800</xdr:rowOff>
        </xdr:from>
        <xdr:to>
          <xdr:col>0</xdr:col>
          <xdr:colOff>1193800</xdr:colOff>
          <xdr:row>5</xdr:row>
          <xdr:rowOff>152400</xdr:rowOff>
        </xdr:to>
        <xdr:sp macro="" textlink="">
          <xdr:nvSpPr>
            <xdr:cNvPr id="51207" name="advanced" hidden="1">
              <a:extLst>
                <a:ext uri="{63B3BB69-23CF-44E3-9099-C40C66FF867C}">
                  <a14:compatExt spid="_x0000_s51207"/>
                </a:ext>
                <a:ext uri="{FF2B5EF4-FFF2-40B4-BE49-F238E27FC236}">
                  <a16:creationId xmlns:a16="http://schemas.microsoft.com/office/drawing/2014/main" id="{00000000-0008-0000-0400-000007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939800</xdr:colOff>
          <xdr:row>3</xdr:row>
          <xdr:rowOff>0</xdr:rowOff>
        </xdr:from>
        <xdr:to>
          <xdr:col>9</xdr:col>
          <xdr:colOff>0</xdr:colOff>
          <xdr:row>4</xdr:row>
          <xdr:rowOff>0</xdr:rowOff>
        </xdr:to>
        <xdr:sp macro="" textlink="">
          <xdr:nvSpPr>
            <xdr:cNvPr id="51208" name="Group Box 8" hidden="1">
              <a:extLst>
                <a:ext uri="{63B3BB69-23CF-44E3-9099-C40C66FF867C}">
                  <a14:compatExt spid="_x0000_s51208"/>
                </a:ext>
                <a:ext uri="{FF2B5EF4-FFF2-40B4-BE49-F238E27FC236}">
                  <a16:creationId xmlns:a16="http://schemas.microsoft.com/office/drawing/2014/main" id="{00000000-0008-0000-0400-000008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63500</xdr:colOff>
          <xdr:row>21</xdr:row>
          <xdr:rowOff>38100</xdr:rowOff>
        </xdr:from>
        <xdr:to>
          <xdr:col>11</xdr:col>
          <xdr:colOff>685800</xdr:colOff>
          <xdr:row>22</xdr:row>
          <xdr:rowOff>146050</xdr:rowOff>
        </xdr:to>
        <xdr:sp macro="" textlink="">
          <xdr:nvSpPr>
            <xdr:cNvPr id="51215" name="basicpaymentdatesbutton" hidden="1">
              <a:extLst>
                <a:ext uri="{63B3BB69-23CF-44E3-9099-C40C66FF867C}">
                  <a14:compatExt spid="_x0000_s51215"/>
                </a:ext>
                <a:ext uri="{FF2B5EF4-FFF2-40B4-BE49-F238E27FC236}">
                  <a16:creationId xmlns:a16="http://schemas.microsoft.com/office/drawing/2014/main" id="{00000000-0008-0000-0400-00000F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3</xdr:row>
          <xdr:rowOff>0</xdr:rowOff>
        </xdr:from>
        <xdr:to>
          <xdr:col>12</xdr:col>
          <xdr:colOff>44450</xdr:colOff>
          <xdr:row>4</xdr:row>
          <xdr:rowOff>50800</xdr:rowOff>
        </xdr:to>
        <xdr:sp macro="" textlink="">
          <xdr:nvSpPr>
            <xdr:cNvPr id="51221" name="Button 21" hidden="1">
              <a:extLst>
                <a:ext uri="{63B3BB69-23CF-44E3-9099-C40C66FF867C}">
                  <a14:compatExt spid="_x0000_s51221"/>
                </a:ext>
                <a:ext uri="{FF2B5EF4-FFF2-40B4-BE49-F238E27FC236}">
                  <a16:creationId xmlns:a16="http://schemas.microsoft.com/office/drawing/2014/main" id="{00000000-0008-0000-0400-000015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Reset Date &amp; 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5</xdr:row>
          <xdr:rowOff>120650</xdr:rowOff>
        </xdr:from>
        <xdr:to>
          <xdr:col>11</xdr:col>
          <xdr:colOff>1454150</xdr:colOff>
          <xdr:row>7</xdr:row>
          <xdr:rowOff>88900</xdr:rowOff>
        </xdr:to>
        <xdr:sp macro="" textlink="">
          <xdr:nvSpPr>
            <xdr:cNvPr id="51223" name="Button 23" hidden="1">
              <a:extLst>
                <a:ext uri="{63B3BB69-23CF-44E3-9099-C40C66FF867C}">
                  <a14:compatExt spid="_x0000_s51223"/>
                </a:ext>
                <a:ext uri="{FF2B5EF4-FFF2-40B4-BE49-F238E27FC236}">
                  <a16:creationId xmlns:a16="http://schemas.microsoft.com/office/drawing/2014/main" id="{00000000-0008-0000-0400-000017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7</xdr:row>
          <xdr:rowOff>107950</xdr:rowOff>
        </xdr:from>
        <xdr:to>
          <xdr:col>11</xdr:col>
          <xdr:colOff>793750</xdr:colOff>
          <xdr:row>9</xdr:row>
          <xdr:rowOff>82550</xdr:rowOff>
        </xdr:to>
        <xdr:sp macro="" textlink="">
          <xdr:nvSpPr>
            <xdr:cNvPr id="51224" name="Button 24" hidden="1">
              <a:extLst>
                <a:ext uri="{63B3BB69-23CF-44E3-9099-C40C66FF867C}">
                  <a14:compatExt spid="_x0000_s51224"/>
                </a:ext>
                <a:ext uri="{FF2B5EF4-FFF2-40B4-BE49-F238E27FC236}">
                  <a16:creationId xmlns:a16="http://schemas.microsoft.com/office/drawing/2014/main" id="{00000000-0008-0000-0400-000018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Analysis</a:t>
              </a:r>
            </a:p>
            <a:p>
              <a:pPr algn="ctr" rtl="0">
                <a:defRPr sz="1000"/>
              </a:pPr>
              <a:r>
                <a:rPr lang="en-GB" sz="1000" b="0" i="0" u="none" strike="noStrike" baseline="0">
                  <a:solidFill>
                    <a:srgbClr val="0000FF"/>
                  </a:solidFill>
                  <a:latin typeface="Arial"/>
                  <a:cs typeface="Arial"/>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7</xdr:row>
          <xdr:rowOff>107950</xdr:rowOff>
        </xdr:from>
        <xdr:to>
          <xdr:col>11</xdr:col>
          <xdr:colOff>1454150</xdr:colOff>
          <xdr:row>9</xdr:row>
          <xdr:rowOff>82550</xdr:rowOff>
        </xdr:to>
        <xdr:sp macro="" textlink="">
          <xdr:nvSpPr>
            <xdr:cNvPr id="51225" name="Button 25" hidden="1">
              <a:extLst>
                <a:ext uri="{63B3BB69-23CF-44E3-9099-C40C66FF867C}">
                  <a14:compatExt spid="_x0000_s51225"/>
                </a:ext>
                <a:ext uri="{FF2B5EF4-FFF2-40B4-BE49-F238E27FC236}">
                  <a16:creationId xmlns:a16="http://schemas.microsoft.com/office/drawing/2014/main" id="{00000000-0008-0000-0400-000019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800080"/>
                  </a:solidFill>
                  <a:latin typeface="Arial"/>
                  <a:cs typeface="Arial"/>
                </a:rPr>
                <a:t>Analysis</a:t>
              </a:r>
            </a:p>
            <a:p>
              <a:pPr algn="ctr" rtl="0">
                <a:defRPr sz="1000"/>
              </a:pPr>
              <a:r>
                <a:rPr lang="en-GB" sz="1000" b="0" i="0" u="none" strike="noStrike" baseline="0">
                  <a:solidFill>
                    <a:srgbClr val="800080"/>
                  </a:solidFill>
                  <a:latin typeface="Arial"/>
                  <a:cs typeface="Arial"/>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9</xdr:row>
          <xdr:rowOff>88900</xdr:rowOff>
        </xdr:from>
        <xdr:to>
          <xdr:col>11</xdr:col>
          <xdr:colOff>1454150</xdr:colOff>
          <xdr:row>11</xdr:row>
          <xdr:rowOff>31750</xdr:rowOff>
        </xdr:to>
        <xdr:sp macro="" textlink="">
          <xdr:nvSpPr>
            <xdr:cNvPr id="51229" name="basicclient" hidden="1">
              <a:extLst>
                <a:ext uri="{63B3BB69-23CF-44E3-9099-C40C66FF867C}">
                  <a14:compatExt spid="_x0000_s51229"/>
                </a:ext>
                <a:ext uri="{FF2B5EF4-FFF2-40B4-BE49-F238E27FC236}">
                  <a16:creationId xmlns:a16="http://schemas.microsoft.com/office/drawing/2014/main" id="{00000000-0008-0000-0400-00001D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44450</xdr:colOff>
          <xdr:row>2</xdr:row>
          <xdr:rowOff>88900</xdr:rowOff>
        </xdr:from>
        <xdr:to>
          <xdr:col>14</xdr:col>
          <xdr:colOff>139700</xdr:colOff>
          <xdr:row>3</xdr:row>
          <xdr:rowOff>196850</xdr:rowOff>
        </xdr:to>
        <xdr:sp macro="" textlink="">
          <xdr:nvSpPr>
            <xdr:cNvPr id="51230" name="Button 30" hidden="1">
              <a:extLst>
                <a:ext uri="{63B3BB69-23CF-44E3-9099-C40C66FF867C}">
                  <a14:compatExt spid="_x0000_s51230"/>
                </a:ext>
                <a:ext uri="{FF2B5EF4-FFF2-40B4-BE49-F238E27FC236}">
                  <a16:creationId xmlns:a16="http://schemas.microsoft.com/office/drawing/2014/main" id="{00000000-0008-0000-0400-00001E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146050</xdr:colOff>
          <xdr:row>2</xdr:row>
          <xdr:rowOff>88900</xdr:rowOff>
        </xdr:from>
        <xdr:to>
          <xdr:col>15</xdr:col>
          <xdr:colOff>203200</xdr:colOff>
          <xdr:row>3</xdr:row>
          <xdr:rowOff>196850</xdr:rowOff>
        </xdr:to>
        <xdr:sp macro="" textlink="">
          <xdr:nvSpPr>
            <xdr:cNvPr id="51231" name="Button 31" hidden="1">
              <a:extLst>
                <a:ext uri="{63B3BB69-23CF-44E3-9099-C40C66FF867C}">
                  <a14:compatExt spid="_x0000_s51231"/>
                </a:ext>
                <a:ext uri="{FF2B5EF4-FFF2-40B4-BE49-F238E27FC236}">
                  <a16:creationId xmlns:a16="http://schemas.microsoft.com/office/drawing/2014/main" id="{00000000-0008-0000-0400-00001F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215900</xdr:colOff>
          <xdr:row>2</xdr:row>
          <xdr:rowOff>88900</xdr:rowOff>
        </xdr:from>
        <xdr:to>
          <xdr:col>16</xdr:col>
          <xdr:colOff>114300</xdr:colOff>
          <xdr:row>3</xdr:row>
          <xdr:rowOff>196850</xdr:rowOff>
        </xdr:to>
        <xdr:sp macro="" textlink="">
          <xdr:nvSpPr>
            <xdr:cNvPr id="51232" name="Button 32" hidden="1">
              <a:extLst>
                <a:ext uri="{63B3BB69-23CF-44E3-9099-C40C66FF867C}">
                  <a14:compatExt spid="_x0000_s51232"/>
                </a:ext>
                <a:ext uri="{FF2B5EF4-FFF2-40B4-BE49-F238E27FC236}">
                  <a16:creationId xmlns:a16="http://schemas.microsoft.com/office/drawing/2014/main" id="{00000000-0008-0000-0400-000020C8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127000</xdr:colOff>
          <xdr:row>2</xdr:row>
          <xdr:rowOff>88900</xdr:rowOff>
        </xdr:from>
        <xdr:to>
          <xdr:col>16</xdr:col>
          <xdr:colOff>654050</xdr:colOff>
          <xdr:row>3</xdr:row>
          <xdr:rowOff>196850</xdr:rowOff>
        </xdr:to>
        <xdr:sp macro="" textlink="">
          <xdr:nvSpPr>
            <xdr:cNvPr id="51233" name="Button 33" hidden="1">
              <a:extLst>
                <a:ext uri="{63B3BB69-23CF-44E3-9099-C40C66FF867C}">
                  <a14:compatExt spid="_x0000_s51233"/>
                </a:ext>
                <a:ext uri="{FF2B5EF4-FFF2-40B4-BE49-F238E27FC236}">
                  <a16:creationId xmlns:a16="http://schemas.microsoft.com/office/drawing/2014/main" id="{00000000-0008-0000-0400-000021C8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292100</xdr:colOff>
          <xdr:row>1</xdr:row>
          <xdr:rowOff>0</xdr:rowOff>
        </xdr:from>
        <xdr:to>
          <xdr:col>15</xdr:col>
          <xdr:colOff>349250</xdr:colOff>
          <xdr:row>2</xdr:row>
          <xdr:rowOff>82550</xdr:rowOff>
        </xdr:to>
        <xdr:sp macro="" textlink="">
          <xdr:nvSpPr>
            <xdr:cNvPr id="51234" name="Button 34" hidden="1">
              <a:extLst>
                <a:ext uri="{63B3BB69-23CF-44E3-9099-C40C66FF867C}">
                  <a14:compatExt spid="_x0000_s51234"/>
                </a:ext>
                <a:ext uri="{FF2B5EF4-FFF2-40B4-BE49-F238E27FC236}">
                  <a16:creationId xmlns:a16="http://schemas.microsoft.com/office/drawing/2014/main" id="{00000000-0008-0000-0400-000022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44450</xdr:colOff>
          <xdr:row>1</xdr:row>
          <xdr:rowOff>0</xdr:rowOff>
        </xdr:from>
        <xdr:to>
          <xdr:col>14</xdr:col>
          <xdr:colOff>279400</xdr:colOff>
          <xdr:row>2</xdr:row>
          <xdr:rowOff>82550</xdr:rowOff>
        </xdr:to>
        <xdr:sp macro="" textlink="">
          <xdr:nvSpPr>
            <xdr:cNvPr id="51235" name="Button 35" hidden="1">
              <a:extLst>
                <a:ext uri="{63B3BB69-23CF-44E3-9099-C40C66FF867C}">
                  <a14:compatExt spid="_x0000_s51235"/>
                </a:ext>
                <a:ext uri="{FF2B5EF4-FFF2-40B4-BE49-F238E27FC236}">
                  <a16:creationId xmlns:a16="http://schemas.microsoft.com/office/drawing/2014/main" id="{00000000-0008-0000-0400-000023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355600</xdr:colOff>
          <xdr:row>1</xdr:row>
          <xdr:rowOff>0</xdr:rowOff>
        </xdr:from>
        <xdr:to>
          <xdr:col>16</xdr:col>
          <xdr:colOff>654050</xdr:colOff>
          <xdr:row>2</xdr:row>
          <xdr:rowOff>82550</xdr:rowOff>
        </xdr:to>
        <xdr:sp macro="" textlink="">
          <xdr:nvSpPr>
            <xdr:cNvPr id="51236" name="Button 36" hidden="1">
              <a:extLst>
                <a:ext uri="{63B3BB69-23CF-44E3-9099-C40C66FF867C}">
                  <a14:compatExt spid="_x0000_s51236"/>
                </a:ext>
                <a:ext uri="{FF2B5EF4-FFF2-40B4-BE49-F238E27FC236}">
                  <a16:creationId xmlns:a16="http://schemas.microsoft.com/office/drawing/2014/main" id="{00000000-0008-0000-0400-000024C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xdr:twoCellAnchor editAs="oneCell">
    <xdr:from>
      <xdr:col>5</xdr:col>
      <xdr:colOff>617220</xdr:colOff>
      <xdr:row>29</xdr:row>
      <xdr:rowOff>76200</xdr:rowOff>
    </xdr:from>
    <xdr:to>
      <xdr:col>7</xdr:col>
      <xdr:colOff>838200</xdr:colOff>
      <xdr:row>30</xdr:row>
      <xdr:rowOff>182880</xdr:rowOff>
    </xdr:to>
    <xdr:pic macro="[0]!gotocalcurate">
      <xdr:nvPicPr>
        <xdr:cNvPr id="122910" name="Picture 33" descr="calcurate">
          <a:extLst>
            <a:ext uri="{FF2B5EF4-FFF2-40B4-BE49-F238E27FC236}">
              <a16:creationId xmlns:a16="http://schemas.microsoft.com/office/drawing/2014/main" id="{2D1C5280-3B8E-F74A-F8D8-0BFB5121B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97680" y="6118860"/>
          <a:ext cx="1714500" cy="37338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101600</xdr:colOff>
          <xdr:row>19</xdr:row>
          <xdr:rowOff>120650</xdr:rowOff>
        </xdr:from>
        <xdr:to>
          <xdr:col>11</xdr:col>
          <xdr:colOff>571500</xdr:colOff>
          <xdr:row>20</xdr:row>
          <xdr:rowOff>88900</xdr:rowOff>
        </xdr:to>
        <xdr:sp macro="" textlink="">
          <xdr:nvSpPr>
            <xdr:cNvPr id="51245" name="Button 45" hidden="1">
              <a:extLst>
                <a:ext uri="{63B3BB69-23CF-44E3-9099-C40C66FF867C}">
                  <a14:compatExt spid="_x0000_s51245"/>
                </a:ext>
                <a:ext uri="{FF2B5EF4-FFF2-40B4-BE49-F238E27FC236}">
                  <a16:creationId xmlns:a16="http://schemas.microsoft.com/office/drawing/2014/main" id="{00000000-0008-0000-0400-00002D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571500</xdr:colOff>
          <xdr:row>19</xdr:row>
          <xdr:rowOff>120650</xdr:rowOff>
        </xdr:from>
        <xdr:to>
          <xdr:col>11</xdr:col>
          <xdr:colOff>889000</xdr:colOff>
          <xdr:row>20</xdr:row>
          <xdr:rowOff>88900</xdr:rowOff>
        </xdr:to>
        <xdr:sp macro="" textlink="">
          <xdr:nvSpPr>
            <xdr:cNvPr id="51246" name="Button 46" hidden="1">
              <a:extLst>
                <a:ext uri="{63B3BB69-23CF-44E3-9099-C40C66FF867C}">
                  <a14:compatExt spid="_x0000_s51246"/>
                </a:ext>
                <a:ext uri="{FF2B5EF4-FFF2-40B4-BE49-F238E27FC236}">
                  <a16:creationId xmlns:a16="http://schemas.microsoft.com/office/drawing/2014/main" id="{00000000-0008-0000-0400-00002E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889000</xdr:colOff>
          <xdr:row>19</xdr:row>
          <xdr:rowOff>120650</xdr:rowOff>
        </xdr:from>
        <xdr:to>
          <xdr:col>12</xdr:col>
          <xdr:colOff>228600</xdr:colOff>
          <xdr:row>20</xdr:row>
          <xdr:rowOff>88900</xdr:rowOff>
        </xdr:to>
        <xdr:sp macro="" textlink="">
          <xdr:nvSpPr>
            <xdr:cNvPr id="51247" name="Button 47" hidden="1">
              <a:extLst>
                <a:ext uri="{63B3BB69-23CF-44E3-9099-C40C66FF867C}">
                  <a14:compatExt spid="_x0000_s51247"/>
                </a:ext>
                <a:ext uri="{FF2B5EF4-FFF2-40B4-BE49-F238E27FC236}">
                  <a16:creationId xmlns:a16="http://schemas.microsoft.com/office/drawing/2014/main" id="{00000000-0008-0000-0400-00002F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844550</xdr:colOff>
          <xdr:row>13</xdr:row>
          <xdr:rowOff>44450</xdr:rowOff>
        </xdr:from>
        <xdr:to>
          <xdr:col>12</xdr:col>
          <xdr:colOff>355600</xdr:colOff>
          <xdr:row>15</xdr:row>
          <xdr:rowOff>69850</xdr:rowOff>
        </xdr:to>
        <xdr:sp macro="" textlink="">
          <xdr:nvSpPr>
            <xdr:cNvPr id="51259" name="Group Box 59" hidden="1">
              <a:extLst>
                <a:ext uri="{63B3BB69-23CF-44E3-9099-C40C66FF867C}">
                  <a14:compatExt spid="_x0000_s51259"/>
                </a:ext>
                <a:ext uri="{FF2B5EF4-FFF2-40B4-BE49-F238E27FC236}">
                  <a16:creationId xmlns:a16="http://schemas.microsoft.com/office/drawing/2014/main" id="{00000000-0008-0000-0400-00003B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GB" sz="800" b="0" i="0" u="none" strike="noStrike" baseline="0">
                  <a:solidFill>
                    <a:srgbClr val="000000"/>
                  </a:solidFill>
                  <a:latin typeface="Tahoma"/>
                  <a:ea typeface="Tahoma"/>
                  <a:cs typeface="Tahoma"/>
                </a:rPr>
                <a:t>Instalments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927100</xdr:colOff>
          <xdr:row>13</xdr:row>
          <xdr:rowOff>184150</xdr:rowOff>
        </xdr:from>
        <xdr:to>
          <xdr:col>11</xdr:col>
          <xdr:colOff>1320800</xdr:colOff>
          <xdr:row>14</xdr:row>
          <xdr:rowOff>120650</xdr:rowOff>
        </xdr:to>
        <xdr:sp macro="" textlink="">
          <xdr:nvSpPr>
            <xdr:cNvPr id="51260" name="Option Button 60" hidden="1">
              <a:extLst>
                <a:ext uri="{63B3BB69-23CF-44E3-9099-C40C66FF867C}">
                  <a14:compatExt spid="_x0000_s51260"/>
                </a:ext>
                <a:ext uri="{FF2B5EF4-FFF2-40B4-BE49-F238E27FC236}">
                  <a16:creationId xmlns:a16="http://schemas.microsoft.com/office/drawing/2014/main" id="{00000000-0008-0000-0400-00003C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1422400</xdr:colOff>
          <xdr:row>13</xdr:row>
          <xdr:rowOff>184150</xdr:rowOff>
        </xdr:from>
        <xdr:to>
          <xdr:col>12</xdr:col>
          <xdr:colOff>215900</xdr:colOff>
          <xdr:row>14</xdr:row>
          <xdr:rowOff>139700</xdr:rowOff>
        </xdr:to>
        <xdr:sp macro="" textlink="">
          <xdr:nvSpPr>
            <xdr:cNvPr id="51261" name="Option Button 61" hidden="1">
              <a:extLst>
                <a:ext uri="{63B3BB69-23CF-44E3-9099-C40C66FF867C}">
                  <a14:compatExt spid="_x0000_s51261"/>
                </a:ext>
                <a:ext uri="{FF2B5EF4-FFF2-40B4-BE49-F238E27FC236}">
                  <a16:creationId xmlns:a16="http://schemas.microsoft.com/office/drawing/2014/main" id="{00000000-0008-0000-0400-00003D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10</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177800</xdr:colOff>
          <xdr:row>7</xdr:row>
          <xdr:rowOff>44450</xdr:rowOff>
        </xdr:from>
        <xdr:to>
          <xdr:col>14</xdr:col>
          <xdr:colOff>203200</xdr:colOff>
          <xdr:row>9</xdr:row>
          <xdr:rowOff>82550</xdr:rowOff>
        </xdr:to>
        <xdr:sp macro="" textlink="">
          <xdr:nvSpPr>
            <xdr:cNvPr id="51649" name="globalbacktobutton" hidden="1">
              <a:extLst>
                <a:ext uri="{63B3BB69-23CF-44E3-9099-C40C66FF867C}">
                  <a14:compatExt spid="_x0000_s51649"/>
                </a:ext>
                <a:ext uri="{FF2B5EF4-FFF2-40B4-BE49-F238E27FC236}">
                  <a16:creationId xmlns:a16="http://schemas.microsoft.com/office/drawing/2014/main" id="{00000000-0008-0000-0400-0000C1C9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412750</xdr:colOff>
          <xdr:row>7</xdr:row>
          <xdr:rowOff>184150</xdr:rowOff>
        </xdr:from>
        <xdr:to>
          <xdr:col>0</xdr:col>
          <xdr:colOff>1035050</xdr:colOff>
          <xdr:row>10</xdr:row>
          <xdr:rowOff>6350</xdr:rowOff>
        </xdr:to>
        <xdr:sp macro="" textlink="">
          <xdr:nvSpPr>
            <xdr:cNvPr id="51650" name="globalbacktobutton" hidden="1">
              <a:extLst>
                <a:ext uri="{63B3BB69-23CF-44E3-9099-C40C66FF867C}">
                  <a14:compatExt spid="_x0000_s51650"/>
                </a:ext>
                <a:ext uri="{FF2B5EF4-FFF2-40B4-BE49-F238E27FC236}">
                  <a16:creationId xmlns:a16="http://schemas.microsoft.com/office/drawing/2014/main" id="{00000000-0008-0000-0400-0000C2C9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31750</xdr:colOff>
          <xdr:row>5</xdr:row>
          <xdr:rowOff>184150</xdr:rowOff>
        </xdr:from>
        <xdr:to>
          <xdr:col>6</xdr:col>
          <xdr:colOff>539750</xdr:colOff>
          <xdr:row>6</xdr:row>
          <xdr:rowOff>228600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539750</xdr:colOff>
          <xdr:row>5</xdr:row>
          <xdr:rowOff>184150</xdr:rowOff>
        </xdr:from>
        <xdr:to>
          <xdr:col>6</xdr:col>
          <xdr:colOff>863600</xdr:colOff>
          <xdr:row>6</xdr:row>
          <xdr:rowOff>228600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500-000002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863600</xdr:colOff>
          <xdr:row>5</xdr:row>
          <xdr:rowOff>184150</xdr:rowOff>
        </xdr:from>
        <xdr:to>
          <xdr:col>6</xdr:col>
          <xdr:colOff>1797050</xdr:colOff>
          <xdr:row>6</xdr:row>
          <xdr:rowOff>228600</xdr:rowOff>
        </xdr:to>
        <xdr:sp macro="" textlink="">
          <xdr:nvSpPr>
            <xdr:cNvPr id="53251" name="Button 3" hidden="1">
              <a:extLst>
                <a:ext uri="{63B3BB69-23CF-44E3-9099-C40C66FF867C}">
                  <a14:compatExt spid="_x0000_s53251"/>
                </a:ext>
                <a:ext uri="{FF2B5EF4-FFF2-40B4-BE49-F238E27FC236}">
                  <a16:creationId xmlns:a16="http://schemas.microsoft.com/office/drawing/2014/main" id="{00000000-0008-0000-0500-000003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3</xdr:row>
          <xdr:rowOff>44450</xdr:rowOff>
        </xdr:from>
        <xdr:to>
          <xdr:col>6</xdr:col>
          <xdr:colOff>304800</xdr:colOff>
          <xdr:row>4</xdr:row>
          <xdr:rowOff>190500</xdr:rowOff>
        </xdr:to>
        <xdr:sp macro="" textlink="">
          <xdr:nvSpPr>
            <xdr:cNvPr id="53252" name="Button 4" hidden="1">
              <a:extLst>
                <a:ext uri="{63B3BB69-23CF-44E3-9099-C40C66FF867C}">
                  <a14:compatExt spid="_x0000_s53252"/>
                </a:ext>
                <a:ext uri="{FF2B5EF4-FFF2-40B4-BE49-F238E27FC236}">
                  <a16:creationId xmlns:a16="http://schemas.microsoft.com/office/drawing/2014/main" id="{00000000-0008-0000-0500-000004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311150</xdr:colOff>
          <xdr:row>3</xdr:row>
          <xdr:rowOff>44450</xdr:rowOff>
        </xdr:from>
        <xdr:to>
          <xdr:col>6</xdr:col>
          <xdr:colOff>996950</xdr:colOff>
          <xdr:row>4</xdr:row>
          <xdr:rowOff>190500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500-000005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1016000</xdr:colOff>
          <xdr:row>3</xdr:row>
          <xdr:rowOff>44450</xdr:rowOff>
        </xdr:from>
        <xdr:to>
          <xdr:col>6</xdr:col>
          <xdr:colOff>1536700</xdr:colOff>
          <xdr:row>4</xdr:row>
          <xdr:rowOff>190500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500-000006D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1549400</xdr:colOff>
          <xdr:row>3</xdr:row>
          <xdr:rowOff>44450</xdr:rowOff>
        </xdr:from>
        <xdr:to>
          <xdr:col>7</xdr:col>
          <xdr:colOff>203200</xdr:colOff>
          <xdr:row>4</xdr:row>
          <xdr:rowOff>190500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500-000007D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463550</xdr:colOff>
          <xdr:row>1</xdr:row>
          <xdr:rowOff>260350</xdr:rowOff>
        </xdr:from>
        <xdr:to>
          <xdr:col>6</xdr:col>
          <xdr:colOff>1149350</xdr:colOff>
          <xdr:row>3</xdr:row>
          <xdr:rowOff>38100</xdr:rowOff>
        </xdr:to>
        <xdr:sp macro="" textlink="">
          <xdr:nvSpPr>
            <xdr:cNvPr id="53256" name="Button 8" hidden="1">
              <a:extLst>
                <a:ext uri="{63B3BB69-23CF-44E3-9099-C40C66FF867C}">
                  <a14:compatExt spid="_x0000_s53256"/>
                </a:ext>
                <a:ext uri="{FF2B5EF4-FFF2-40B4-BE49-F238E27FC236}">
                  <a16:creationId xmlns:a16="http://schemas.microsoft.com/office/drawing/2014/main" id="{00000000-0008-0000-0500-000008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xdr:row>
          <xdr:rowOff>260350</xdr:rowOff>
        </xdr:from>
        <xdr:to>
          <xdr:col>6</xdr:col>
          <xdr:colOff>450850</xdr:colOff>
          <xdr:row>3</xdr:row>
          <xdr:rowOff>38100</xdr:rowOff>
        </xdr:to>
        <xdr:sp macro="" textlink="">
          <xdr:nvSpPr>
            <xdr:cNvPr id="53257" name="Button 9" hidden="1">
              <a:extLst>
                <a:ext uri="{63B3BB69-23CF-44E3-9099-C40C66FF867C}">
                  <a14:compatExt spid="_x0000_s53257"/>
                </a:ext>
                <a:ext uri="{FF2B5EF4-FFF2-40B4-BE49-F238E27FC236}">
                  <a16:creationId xmlns:a16="http://schemas.microsoft.com/office/drawing/2014/main" id="{00000000-0008-0000-0500-000009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1155700</xdr:colOff>
          <xdr:row>1</xdr:row>
          <xdr:rowOff>260350</xdr:rowOff>
        </xdr:from>
        <xdr:to>
          <xdr:col>7</xdr:col>
          <xdr:colOff>203200</xdr:colOff>
          <xdr:row>3</xdr:row>
          <xdr:rowOff>38100</xdr:rowOff>
        </xdr:to>
        <xdr:sp macro="" textlink="">
          <xdr:nvSpPr>
            <xdr:cNvPr id="53258" name="Button 10" hidden="1">
              <a:extLst>
                <a:ext uri="{63B3BB69-23CF-44E3-9099-C40C66FF867C}">
                  <a14:compatExt spid="_x0000_s53258"/>
                </a:ext>
                <a:ext uri="{FF2B5EF4-FFF2-40B4-BE49-F238E27FC236}">
                  <a16:creationId xmlns:a16="http://schemas.microsoft.com/office/drawing/2014/main" id="{00000000-0008-0000-0500-00000A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3</xdr:row>
          <xdr:rowOff>25400</xdr:rowOff>
        </xdr:from>
        <xdr:to>
          <xdr:col>0</xdr:col>
          <xdr:colOff>1270000</xdr:colOff>
          <xdr:row>6</xdr:row>
          <xdr:rowOff>82550</xdr:rowOff>
        </xdr:to>
        <xdr:sp macro="" textlink="">
          <xdr:nvSpPr>
            <xdr:cNvPr id="53259" name="Button 11" hidden="1">
              <a:extLst>
                <a:ext uri="{63B3BB69-23CF-44E3-9099-C40C66FF867C}">
                  <a14:compatExt spid="_x0000_s53259"/>
                </a:ext>
                <a:ext uri="{FF2B5EF4-FFF2-40B4-BE49-F238E27FC236}">
                  <a16:creationId xmlns:a16="http://schemas.microsoft.com/office/drawing/2014/main" id="{00000000-0008-0000-0500-00000BD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Return to 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558800</xdr:colOff>
          <xdr:row>1</xdr:row>
          <xdr:rowOff>6350</xdr:rowOff>
        </xdr:from>
        <xdr:to>
          <xdr:col>0</xdr:col>
          <xdr:colOff>1295400</xdr:colOff>
          <xdr:row>2</xdr:row>
          <xdr:rowOff>25400</xdr:rowOff>
        </xdr:to>
        <xdr:sp macro="" textlink="">
          <xdr:nvSpPr>
            <xdr:cNvPr id="53260" name="Button 12" hidden="1">
              <a:extLst>
                <a:ext uri="{63B3BB69-23CF-44E3-9099-C40C66FF867C}">
                  <a14:compatExt spid="_x0000_s53260"/>
                </a:ext>
                <a:ext uri="{FF2B5EF4-FFF2-40B4-BE49-F238E27FC236}">
                  <a16:creationId xmlns:a16="http://schemas.microsoft.com/office/drawing/2014/main" id="{00000000-0008-0000-0500-00000C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16</xdr:row>
          <xdr:rowOff>6350</xdr:rowOff>
        </xdr:from>
        <xdr:to>
          <xdr:col>8</xdr:col>
          <xdr:colOff>311150</xdr:colOff>
          <xdr:row>17</xdr:row>
          <xdr:rowOff>6350</xdr:rowOff>
        </xdr:to>
        <xdr:sp macro="" textlink="">
          <xdr:nvSpPr>
            <xdr:cNvPr id="53261" name="Check Box 13" hidden="1">
              <a:extLst>
                <a:ext uri="{63B3BB69-23CF-44E3-9099-C40C66FF867C}">
                  <a14:compatExt spid="_x0000_s53261"/>
                </a:ext>
                <a:ext uri="{FF2B5EF4-FFF2-40B4-BE49-F238E27FC236}">
                  <a16:creationId xmlns:a16="http://schemas.microsoft.com/office/drawing/2014/main" id="{00000000-0008-0000-0500-00000D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838200</xdr:colOff>
          <xdr:row>3</xdr:row>
          <xdr:rowOff>25400</xdr:rowOff>
        </xdr:from>
        <xdr:to>
          <xdr:col>2</xdr:col>
          <xdr:colOff>1035050</xdr:colOff>
          <xdr:row>3</xdr:row>
          <xdr:rowOff>241300</xdr:rowOff>
        </xdr:to>
        <xdr:sp macro="" textlink="">
          <xdr:nvSpPr>
            <xdr:cNvPr id="53288" name="Button 40" hidden="1">
              <a:extLst>
                <a:ext uri="{63B3BB69-23CF-44E3-9099-C40C66FF867C}">
                  <a14:compatExt spid="_x0000_s53288"/>
                </a:ext>
                <a:ext uri="{FF2B5EF4-FFF2-40B4-BE49-F238E27FC236}">
                  <a16:creationId xmlns:a16="http://schemas.microsoft.com/office/drawing/2014/main" id="{00000000-0008-0000-0500-000028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1060450</xdr:colOff>
          <xdr:row>3</xdr:row>
          <xdr:rowOff>25400</xdr:rowOff>
        </xdr:from>
        <xdr:to>
          <xdr:col>2</xdr:col>
          <xdr:colOff>1257300</xdr:colOff>
          <xdr:row>3</xdr:row>
          <xdr:rowOff>241300</xdr:rowOff>
        </xdr:to>
        <xdr:sp macro="" textlink="">
          <xdr:nvSpPr>
            <xdr:cNvPr id="53289" name="Button 41" hidden="1">
              <a:extLst>
                <a:ext uri="{63B3BB69-23CF-44E3-9099-C40C66FF867C}">
                  <a14:compatExt spid="_x0000_s53289"/>
                </a:ext>
                <a:ext uri="{FF2B5EF4-FFF2-40B4-BE49-F238E27FC236}">
                  <a16:creationId xmlns:a16="http://schemas.microsoft.com/office/drawing/2014/main" id="{00000000-0008-0000-0500-000029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44450</xdr:colOff>
          <xdr:row>1</xdr:row>
          <xdr:rowOff>63500</xdr:rowOff>
        </xdr:from>
        <xdr:to>
          <xdr:col>0</xdr:col>
          <xdr:colOff>996950</xdr:colOff>
          <xdr:row>3</xdr:row>
          <xdr:rowOff>44450</xdr:rowOff>
        </xdr:to>
        <xdr:sp macro="" textlink="">
          <xdr:nvSpPr>
            <xdr:cNvPr id="24577" name="basic" hidden="1">
              <a:extLst>
                <a:ext uri="{63B3BB69-23CF-44E3-9099-C40C66FF867C}">
                  <a14:compatExt spid="_x0000_s24577"/>
                </a:ext>
                <a:ext uri="{FF2B5EF4-FFF2-40B4-BE49-F238E27FC236}">
                  <a16:creationId xmlns:a16="http://schemas.microsoft.com/office/drawing/2014/main" id="{00000000-0008-0000-0600-000001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69850</xdr:colOff>
          <xdr:row>7</xdr:row>
          <xdr:rowOff>146050</xdr:rowOff>
        </xdr:from>
        <xdr:to>
          <xdr:col>0</xdr:col>
          <xdr:colOff>996950</xdr:colOff>
          <xdr:row>12</xdr:row>
          <xdr:rowOff>63500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600-000002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Enter Address and Other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127000</xdr:colOff>
          <xdr:row>2</xdr:row>
          <xdr:rowOff>38100</xdr:rowOff>
        </xdr:from>
        <xdr:to>
          <xdr:col>12</xdr:col>
          <xdr:colOff>812800</xdr:colOff>
          <xdr:row>4</xdr:row>
          <xdr:rowOff>107950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600-00000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825500</xdr:colOff>
          <xdr:row>2</xdr:row>
          <xdr:rowOff>38100</xdr:rowOff>
        </xdr:from>
        <xdr:to>
          <xdr:col>12</xdr:col>
          <xdr:colOff>1511300</xdr:colOff>
          <xdr:row>4</xdr:row>
          <xdr:rowOff>107950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600-000004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1517650</xdr:colOff>
          <xdr:row>2</xdr:row>
          <xdr:rowOff>38100</xdr:rowOff>
        </xdr:from>
        <xdr:to>
          <xdr:col>12</xdr:col>
          <xdr:colOff>2044700</xdr:colOff>
          <xdr:row>4</xdr:row>
          <xdr:rowOff>107950</xdr:rowOff>
        </xdr:to>
        <xdr:sp macro="" textlink="">
          <xdr:nvSpPr>
            <xdr:cNvPr id="24581" name="Button 5" hidden="1">
              <a:extLst>
                <a:ext uri="{63B3BB69-23CF-44E3-9099-C40C66FF867C}">
                  <a14:compatExt spid="_x0000_s24581"/>
                </a:ext>
                <a:ext uri="{FF2B5EF4-FFF2-40B4-BE49-F238E27FC236}">
                  <a16:creationId xmlns:a16="http://schemas.microsoft.com/office/drawing/2014/main" id="{00000000-0008-0000-0600-0000056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2057400</xdr:colOff>
          <xdr:row>2</xdr:row>
          <xdr:rowOff>38100</xdr:rowOff>
        </xdr:from>
        <xdr:to>
          <xdr:col>13</xdr:col>
          <xdr:colOff>412750</xdr:colOff>
          <xdr:row>4</xdr:row>
          <xdr:rowOff>107950</xdr:rowOff>
        </xdr:to>
        <xdr:sp macro="" textlink="">
          <xdr:nvSpPr>
            <xdr:cNvPr id="24582" name="Button 6" hidden="1">
              <a:extLst>
                <a:ext uri="{63B3BB69-23CF-44E3-9099-C40C66FF867C}">
                  <a14:compatExt spid="_x0000_s24582"/>
                </a:ext>
                <a:ext uri="{FF2B5EF4-FFF2-40B4-BE49-F238E27FC236}">
                  <a16:creationId xmlns:a16="http://schemas.microsoft.com/office/drawing/2014/main" id="{00000000-0008-0000-0600-0000066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965200</xdr:colOff>
          <xdr:row>0</xdr:row>
          <xdr:rowOff>158750</xdr:rowOff>
        </xdr:from>
        <xdr:to>
          <xdr:col>12</xdr:col>
          <xdr:colOff>1651000</xdr:colOff>
          <xdr:row>2</xdr:row>
          <xdr:rowOff>31750</xdr:rowOff>
        </xdr:to>
        <xdr:sp macro="" textlink="">
          <xdr:nvSpPr>
            <xdr:cNvPr id="24583" name="Button 7" hidden="1">
              <a:extLst>
                <a:ext uri="{63B3BB69-23CF-44E3-9099-C40C66FF867C}">
                  <a14:compatExt spid="_x0000_s24583"/>
                </a:ext>
                <a:ext uri="{FF2B5EF4-FFF2-40B4-BE49-F238E27FC236}">
                  <a16:creationId xmlns:a16="http://schemas.microsoft.com/office/drawing/2014/main" id="{00000000-0008-0000-0600-000007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127000</xdr:colOff>
          <xdr:row>0</xdr:row>
          <xdr:rowOff>158750</xdr:rowOff>
        </xdr:from>
        <xdr:to>
          <xdr:col>12</xdr:col>
          <xdr:colOff>958850</xdr:colOff>
          <xdr:row>2</xdr:row>
          <xdr:rowOff>31750</xdr:rowOff>
        </xdr:to>
        <xdr:sp macro="" textlink="">
          <xdr:nvSpPr>
            <xdr:cNvPr id="24584" name="Button 8" hidden="1">
              <a:extLst>
                <a:ext uri="{63B3BB69-23CF-44E3-9099-C40C66FF867C}">
                  <a14:compatExt spid="_x0000_s24584"/>
                </a:ext>
                <a:ext uri="{FF2B5EF4-FFF2-40B4-BE49-F238E27FC236}">
                  <a16:creationId xmlns:a16="http://schemas.microsoft.com/office/drawing/2014/main" id="{00000000-0008-0000-0600-000008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1663700</xdr:colOff>
          <xdr:row>0</xdr:row>
          <xdr:rowOff>158750</xdr:rowOff>
        </xdr:from>
        <xdr:to>
          <xdr:col>13</xdr:col>
          <xdr:colOff>412750</xdr:colOff>
          <xdr:row>2</xdr:row>
          <xdr:rowOff>31750</xdr:rowOff>
        </xdr:to>
        <xdr:sp macro="" textlink="">
          <xdr:nvSpPr>
            <xdr:cNvPr id="24585" name="Button 9" hidden="1">
              <a:extLst>
                <a:ext uri="{63B3BB69-23CF-44E3-9099-C40C66FF867C}">
                  <a14:compatExt spid="_x0000_s24585"/>
                </a:ext>
                <a:ext uri="{FF2B5EF4-FFF2-40B4-BE49-F238E27FC236}">
                  <a16:creationId xmlns:a16="http://schemas.microsoft.com/office/drawing/2014/main" id="{00000000-0008-0000-0600-000009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25400</xdr:colOff>
          <xdr:row>7</xdr:row>
          <xdr:rowOff>146050</xdr:rowOff>
        </xdr:from>
        <xdr:to>
          <xdr:col>12</xdr:col>
          <xdr:colOff>965200</xdr:colOff>
          <xdr:row>10</xdr:row>
          <xdr:rowOff>31750</xdr:rowOff>
        </xdr:to>
        <xdr:sp macro="" textlink="">
          <xdr:nvSpPr>
            <xdr:cNvPr id="24586" name="basicclient" hidden="1">
              <a:extLst>
                <a:ext uri="{63B3BB69-23CF-44E3-9099-C40C66FF867C}">
                  <a14:compatExt spid="_x0000_s24586"/>
                </a:ext>
                <a:ext uri="{FF2B5EF4-FFF2-40B4-BE49-F238E27FC236}">
                  <a16:creationId xmlns:a16="http://schemas.microsoft.com/office/drawing/2014/main" id="{00000000-0008-0000-0600-00000A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25400</xdr:colOff>
          <xdr:row>10</xdr:row>
          <xdr:rowOff>38100</xdr:rowOff>
        </xdr:from>
        <xdr:to>
          <xdr:col>12</xdr:col>
          <xdr:colOff>965200</xdr:colOff>
          <xdr:row>12</xdr:row>
          <xdr:rowOff>88900</xdr:rowOff>
        </xdr:to>
        <xdr:sp macro="" textlink="">
          <xdr:nvSpPr>
            <xdr:cNvPr id="24587" name="basic" hidden="1">
              <a:extLst>
                <a:ext uri="{63B3BB69-23CF-44E3-9099-C40C66FF867C}">
                  <a14:compatExt spid="_x0000_s24587"/>
                </a:ext>
                <a:ext uri="{FF2B5EF4-FFF2-40B4-BE49-F238E27FC236}">
                  <a16:creationId xmlns:a16="http://schemas.microsoft.com/office/drawing/2014/main" id="{00000000-0008-0000-0600-00000B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25400</xdr:colOff>
          <xdr:row>12</xdr:row>
          <xdr:rowOff>101600</xdr:rowOff>
        </xdr:from>
        <xdr:to>
          <xdr:col>12</xdr:col>
          <xdr:colOff>965200</xdr:colOff>
          <xdr:row>14</xdr:row>
          <xdr:rowOff>146050</xdr:rowOff>
        </xdr:to>
        <xdr:sp macro="" textlink="">
          <xdr:nvSpPr>
            <xdr:cNvPr id="24588" name="print" hidden="1">
              <a:extLst>
                <a:ext uri="{63B3BB69-23CF-44E3-9099-C40C66FF867C}">
                  <a14:compatExt spid="_x0000_s24588"/>
                </a:ext>
                <a:ext uri="{FF2B5EF4-FFF2-40B4-BE49-F238E27FC236}">
                  <a16:creationId xmlns:a16="http://schemas.microsoft.com/office/drawing/2014/main" id="{00000000-0008-0000-0600-00000C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3</xdr:row>
          <xdr:rowOff>88900</xdr:rowOff>
        </xdr:from>
        <xdr:to>
          <xdr:col>0</xdr:col>
          <xdr:colOff>996950</xdr:colOff>
          <xdr:row>5</xdr:row>
          <xdr:rowOff>139700</xdr:rowOff>
        </xdr:to>
        <xdr:sp macro="" textlink="">
          <xdr:nvSpPr>
            <xdr:cNvPr id="24589" name="menu" hidden="1">
              <a:extLst>
                <a:ext uri="{63B3BB69-23CF-44E3-9099-C40C66FF867C}">
                  <a14:compatExt spid="_x0000_s24589"/>
                </a:ext>
                <a:ext uri="{FF2B5EF4-FFF2-40B4-BE49-F238E27FC236}">
                  <a16:creationId xmlns:a16="http://schemas.microsoft.com/office/drawing/2014/main" id="{00000000-0008-0000-0600-00000D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41</xdr:row>
          <xdr:rowOff>190500</xdr:rowOff>
        </xdr:from>
        <xdr:to>
          <xdr:col>12</xdr:col>
          <xdr:colOff>685800</xdr:colOff>
          <xdr:row>44</xdr:row>
          <xdr:rowOff>25400</xdr:rowOff>
        </xdr:to>
        <xdr:sp macro="" textlink="">
          <xdr:nvSpPr>
            <xdr:cNvPr id="24590" name="Button 14" hidden="1">
              <a:extLst>
                <a:ext uri="{63B3BB69-23CF-44E3-9099-C40C66FF867C}">
                  <a14:compatExt spid="_x0000_s24590"/>
                </a:ext>
                <a:ext uri="{FF2B5EF4-FFF2-40B4-BE49-F238E27FC236}">
                  <a16:creationId xmlns:a16="http://schemas.microsoft.com/office/drawing/2014/main" id="{00000000-0008-0000-0600-00000E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Analysis</a:t>
              </a:r>
            </a:p>
            <a:p>
              <a:pPr algn="ctr" rtl="0">
                <a:defRPr sz="1000"/>
              </a:pPr>
              <a:r>
                <a:rPr lang="en-GB" sz="1000" b="0" i="0" u="none" strike="noStrike" baseline="0">
                  <a:solidFill>
                    <a:srgbClr val="0000FF"/>
                  </a:solidFill>
                  <a:latin typeface="Arial"/>
                  <a:cs typeface="Arial"/>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685800</xdr:colOff>
          <xdr:row>41</xdr:row>
          <xdr:rowOff>190500</xdr:rowOff>
        </xdr:from>
        <xdr:to>
          <xdr:col>12</xdr:col>
          <xdr:colOff>1339850</xdr:colOff>
          <xdr:row>44</xdr:row>
          <xdr:rowOff>25400</xdr:rowOff>
        </xdr:to>
        <xdr:sp macro="" textlink="">
          <xdr:nvSpPr>
            <xdr:cNvPr id="24591" name="Button 15" hidden="1">
              <a:extLst>
                <a:ext uri="{63B3BB69-23CF-44E3-9099-C40C66FF867C}">
                  <a14:compatExt spid="_x0000_s24591"/>
                </a:ext>
                <a:ext uri="{FF2B5EF4-FFF2-40B4-BE49-F238E27FC236}">
                  <a16:creationId xmlns:a16="http://schemas.microsoft.com/office/drawing/2014/main" id="{00000000-0008-0000-0600-00000F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800080"/>
                  </a:solidFill>
                  <a:latin typeface="Arial"/>
                  <a:cs typeface="Arial"/>
                </a:rPr>
                <a:t>Analysis</a:t>
              </a:r>
            </a:p>
            <a:p>
              <a:pPr algn="ctr" rtl="0">
                <a:defRPr sz="1000"/>
              </a:pPr>
              <a:r>
                <a:rPr lang="en-GB" sz="1000" b="0" i="0" u="none" strike="noStrike" baseline="0">
                  <a:solidFill>
                    <a:srgbClr val="800080"/>
                  </a:solidFill>
                  <a:latin typeface="Arial"/>
                  <a:cs typeface="Arial"/>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203200</xdr:colOff>
          <xdr:row>13</xdr:row>
          <xdr:rowOff>146050</xdr:rowOff>
        </xdr:from>
        <xdr:to>
          <xdr:col>0</xdr:col>
          <xdr:colOff>831850</xdr:colOff>
          <xdr:row>16</xdr:row>
          <xdr:rowOff>107950</xdr:rowOff>
        </xdr:to>
        <xdr:sp macro="" textlink="">
          <xdr:nvSpPr>
            <xdr:cNvPr id="24592" name="globalbacktobutton" hidden="1">
              <a:extLst>
                <a:ext uri="{63B3BB69-23CF-44E3-9099-C40C66FF867C}">
                  <a14:compatExt spid="_x0000_s24592"/>
                </a:ext>
                <a:ext uri="{FF2B5EF4-FFF2-40B4-BE49-F238E27FC236}">
                  <a16:creationId xmlns:a16="http://schemas.microsoft.com/office/drawing/2014/main" id="{00000000-0008-0000-0600-000010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1555750</xdr:colOff>
          <xdr:row>9</xdr:row>
          <xdr:rowOff>158750</xdr:rowOff>
        </xdr:from>
        <xdr:to>
          <xdr:col>13</xdr:col>
          <xdr:colOff>6350</xdr:colOff>
          <xdr:row>12</xdr:row>
          <xdr:rowOff>120650</xdr:rowOff>
        </xdr:to>
        <xdr:sp macro="" textlink="">
          <xdr:nvSpPr>
            <xdr:cNvPr id="24593" name="globalbacktobutton" hidden="1">
              <a:extLst>
                <a:ext uri="{63B3BB69-23CF-44E3-9099-C40C66FF867C}">
                  <a14:compatExt spid="_x0000_s24593"/>
                </a:ext>
                <a:ext uri="{FF2B5EF4-FFF2-40B4-BE49-F238E27FC236}">
                  <a16:creationId xmlns:a16="http://schemas.microsoft.com/office/drawing/2014/main" id="{00000000-0008-0000-0600-000011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139700</xdr:colOff>
          <xdr:row>13</xdr:row>
          <xdr:rowOff>158750</xdr:rowOff>
        </xdr:from>
        <xdr:to>
          <xdr:col>13</xdr:col>
          <xdr:colOff>965200</xdr:colOff>
          <xdr:row>15</xdr:row>
          <xdr:rowOff>44450</xdr:rowOff>
        </xdr:to>
        <xdr:sp macro="" textlink="">
          <xdr:nvSpPr>
            <xdr:cNvPr id="45057" name="Check Box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Show RV's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127000</xdr:colOff>
          <xdr:row>1</xdr:row>
          <xdr:rowOff>165100</xdr:rowOff>
        </xdr:from>
        <xdr:to>
          <xdr:col>10</xdr:col>
          <xdr:colOff>774700</xdr:colOff>
          <xdr:row>2</xdr:row>
          <xdr:rowOff>6350</xdr:rowOff>
        </xdr:to>
        <xdr:sp macro="" textlink="">
          <xdr:nvSpPr>
            <xdr:cNvPr id="45058" name="Check Box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Show RV's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152400</xdr:rowOff>
        </xdr:from>
        <xdr:to>
          <xdr:col>13</xdr:col>
          <xdr:colOff>1016000</xdr:colOff>
          <xdr:row>31</xdr:row>
          <xdr:rowOff>101600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top of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165100</xdr:colOff>
          <xdr:row>45</xdr:row>
          <xdr:rowOff>63500</xdr:rowOff>
        </xdr:from>
        <xdr:to>
          <xdr:col>12</xdr:col>
          <xdr:colOff>63500</xdr:colOff>
          <xdr:row>47</xdr:row>
          <xdr:rowOff>76200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top of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0</xdr:row>
          <xdr:rowOff>184150</xdr:rowOff>
        </xdr:from>
        <xdr:to>
          <xdr:col>3</xdr:col>
          <xdr:colOff>63500</xdr:colOff>
          <xdr:row>1</xdr:row>
          <xdr:rowOff>0</xdr:rowOff>
        </xdr:to>
        <xdr:sp macro="" textlink="">
          <xdr:nvSpPr>
            <xdr:cNvPr id="45061" name="Button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69850</xdr:colOff>
          <xdr:row>0</xdr:row>
          <xdr:rowOff>184150</xdr:rowOff>
        </xdr:from>
        <xdr:to>
          <xdr:col>4</xdr:col>
          <xdr:colOff>603250</xdr:colOff>
          <xdr:row>1</xdr:row>
          <xdr:rowOff>0</xdr:rowOff>
        </xdr:to>
        <xdr:sp macro="" textlink="">
          <xdr:nvSpPr>
            <xdr:cNvPr id="45062" name="Button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property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609600</xdr:colOff>
          <xdr:row>0</xdr:row>
          <xdr:rowOff>184150</xdr:rowOff>
        </xdr:from>
        <xdr:to>
          <xdr:col>6</xdr:col>
          <xdr:colOff>615950</xdr:colOff>
          <xdr:row>1</xdr:row>
          <xdr:rowOff>0</xdr:rowOff>
        </xdr:to>
        <xdr:sp macro="" textlink="">
          <xdr:nvSpPr>
            <xdr:cNvPr id="45063" name="Button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622300</xdr:colOff>
          <xdr:row>0</xdr:row>
          <xdr:rowOff>184150</xdr:rowOff>
        </xdr:from>
        <xdr:to>
          <xdr:col>8</xdr:col>
          <xdr:colOff>406400</xdr:colOff>
          <xdr:row>1</xdr:row>
          <xdr:rowOff>0</xdr:rowOff>
        </xdr:to>
        <xdr:sp macro="" textlink="">
          <xdr:nvSpPr>
            <xdr:cNvPr id="45064" name="Button 8" hidden="1">
              <a:extLst>
                <a:ext uri="{63B3BB69-23CF-44E3-9099-C40C66FF867C}">
                  <a14:compatExt spid="_x0000_s45064"/>
                </a:ext>
                <a:ext uri="{FF2B5EF4-FFF2-40B4-BE49-F238E27FC236}">
                  <a16:creationId xmlns:a16="http://schemas.microsoft.com/office/drawing/2014/main" id="{00000000-0008-0000-0700-000008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412750</xdr:colOff>
          <xdr:row>0</xdr:row>
          <xdr:rowOff>184150</xdr:rowOff>
        </xdr:from>
        <xdr:to>
          <xdr:col>10</xdr:col>
          <xdr:colOff>228600</xdr:colOff>
          <xdr:row>1</xdr:row>
          <xdr:rowOff>0</xdr:rowOff>
        </xdr:to>
        <xdr:sp macro="" textlink="">
          <xdr:nvSpPr>
            <xdr:cNvPr id="45065" name="Button 9" hidden="1">
              <a:extLst>
                <a:ext uri="{63B3BB69-23CF-44E3-9099-C40C66FF867C}">
                  <a14:compatExt spid="_x0000_s45065"/>
                </a:ext>
                <a:ext uri="{FF2B5EF4-FFF2-40B4-BE49-F238E27FC236}">
                  <a16:creationId xmlns:a16="http://schemas.microsoft.com/office/drawing/2014/main" id="{00000000-0008-0000-0700-000009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69850</xdr:colOff>
          <xdr:row>9</xdr:row>
          <xdr:rowOff>69850</xdr:rowOff>
        </xdr:from>
        <xdr:to>
          <xdr:col>13</xdr:col>
          <xdr:colOff>889000</xdr:colOff>
          <xdr:row>12</xdr:row>
          <xdr:rowOff>12700</xdr:rowOff>
        </xdr:to>
        <xdr:sp macro="" textlink="">
          <xdr:nvSpPr>
            <xdr:cNvPr id="45066" name="Group Box 10" hidden="1">
              <a:extLst>
                <a:ext uri="{63B3BB69-23CF-44E3-9099-C40C66FF867C}">
                  <a14:compatExt spid="_x0000_s45066"/>
                </a:ext>
                <a:ext uri="{FF2B5EF4-FFF2-40B4-BE49-F238E27FC236}">
                  <a16:creationId xmlns:a16="http://schemas.microsoft.com/office/drawing/2014/main" id="{00000000-0008-0000-0700-00000A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GB" sz="800" b="0" i="0" u="none" strike="noStrike" baseline="0">
                  <a:solidFill>
                    <a:srgbClr val="000000"/>
                  </a:solidFill>
                  <a:latin typeface="Tahoma"/>
                  <a:ea typeface="Tahoma"/>
                  <a:cs typeface="Tahoma"/>
                </a:rPr>
                <a:t>show/hide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158750</xdr:colOff>
          <xdr:row>9</xdr:row>
          <xdr:rowOff>139700</xdr:rowOff>
        </xdr:from>
        <xdr:to>
          <xdr:col>13</xdr:col>
          <xdr:colOff>692150</xdr:colOff>
          <xdr:row>10</xdr:row>
          <xdr:rowOff>184150</xdr:rowOff>
        </xdr:to>
        <xdr:sp macro="" textlink="">
          <xdr:nvSpPr>
            <xdr:cNvPr id="45067" name="Option Button 11" hidden="1">
              <a:extLst>
                <a:ext uri="{63B3BB69-23CF-44E3-9099-C40C66FF867C}">
                  <a14:compatExt spid="_x0000_s45067"/>
                </a:ext>
                <a:ext uri="{FF2B5EF4-FFF2-40B4-BE49-F238E27FC236}">
                  <a16:creationId xmlns:a16="http://schemas.microsoft.com/office/drawing/2014/main" id="{00000000-0008-0000-0700-00000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158750</xdr:colOff>
          <xdr:row>10</xdr:row>
          <xdr:rowOff>215900</xdr:rowOff>
        </xdr:from>
        <xdr:to>
          <xdr:col>13</xdr:col>
          <xdr:colOff>635000</xdr:colOff>
          <xdr:row>11</xdr:row>
          <xdr:rowOff>190500</xdr:rowOff>
        </xdr:to>
        <xdr:sp macro="" textlink="">
          <xdr:nvSpPr>
            <xdr:cNvPr id="45068" name="Option Button 12" hidden="1">
              <a:extLst>
                <a:ext uri="{63B3BB69-23CF-44E3-9099-C40C66FF867C}">
                  <a14:compatExt spid="_x0000_s45068"/>
                </a:ext>
                <a:ext uri="{FF2B5EF4-FFF2-40B4-BE49-F238E27FC236}">
                  <a16:creationId xmlns:a16="http://schemas.microsoft.com/office/drawing/2014/main" id="{00000000-0008-0000-0700-00000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hide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234950</xdr:colOff>
          <xdr:row>0</xdr:row>
          <xdr:rowOff>184150</xdr:rowOff>
        </xdr:from>
        <xdr:to>
          <xdr:col>11</xdr:col>
          <xdr:colOff>0</xdr:colOff>
          <xdr:row>1</xdr:row>
          <xdr:rowOff>0</xdr:rowOff>
        </xdr:to>
        <xdr:sp macro="" textlink="">
          <xdr:nvSpPr>
            <xdr:cNvPr id="45069" name="Button 13" hidden="1">
              <a:extLst>
                <a:ext uri="{63B3BB69-23CF-44E3-9099-C40C66FF867C}">
                  <a14:compatExt spid="_x0000_s45069"/>
                </a:ext>
                <a:ext uri="{FF2B5EF4-FFF2-40B4-BE49-F238E27FC236}">
                  <a16:creationId xmlns:a16="http://schemas.microsoft.com/office/drawing/2014/main" id="{00000000-0008-0000-0700-00000D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203200</xdr:colOff>
          <xdr:row>1</xdr:row>
          <xdr:rowOff>50800</xdr:rowOff>
        </xdr:from>
        <xdr:to>
          <xdr:col>13</xdr:col>
          <xdr:colOff>889000</xdr:colOff>
          <xdr:row>2</xdr:row>
          <xdr:rowOff>69850</xdr:rowOff>
        </xdr:to>
        <xdr:sp macro="" textlink="">
          <xdr:nvSpPr>
            <xdr:cNvPr id="45070" name="Button 14" hidden="1">
              <a:extLst>
                <a:ext uri="{63B3BB69-23CF-44E3-9099-C40C66FF867C}">
                  <a14:compatExt spid="_x0000_s45070"/>
                </a:ext>
                <a:ext uri="{FF2B5EF4-FFF2-40B4-BE49-F238E27FC236}">
                  <a16:creationId xmlns:a16="http://schemas.microsoft.com/office/drawing/2014/main" id="{00000000-0008-0000-0700-00000E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901700</xdr:colOff>
          <xdr:row>1</xdr:row>
          <xdr:rowOff>50800</xdr:rowOff>
        </xdr:from>
        <xdr:to>
          <xdr:col>16</xdr:col>
          <xdr:colOff>546100</xdr:colOff>
          <xdr:row>2</xdr:row>
          <xdr:rowOff>69850</xdr:rowOff>
        </xdr:to>
        <xdr:sp macro="" textlink="">
          <xdr:nvSpPr>
            <xdr:cNvPr id="45071" name="Button 15" hidden="1">
              <a:extLst>
                <a:ext uri="{63B3BB69-23CF-44E3-9099-C40C66FF867C}">
                  <a14:compatExt spid="_x0000_s45071"/>
                </a:ext>
                <a:ext uri="{FF2B5EF4-FFF2-40B4-BE49-F238E27FC236}">
                  <a16:creationId xmlns:a16="http://schemas.microsoft.com/office/drawing/2014/main" id="{00000000-0008-0000-0700-00000F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558800</xdr:colOff>
          <xdr:row>1</xdr:row>
          <xdr:rowOff>50800</xdr:rowOff>
        </xdr:from>
        <xdr:to>
          <xdr:col>16</xdr:col>
          <xdr:colOff>1092200</xdr:colOff>
          <xdr:row>2</xdr:row>
          <xdr:rowOff>69850</xdr:rowOff>
        </xdr:to>
        <xdr:sp macro="" textlink="">
          <xdr:nvSpPr>
            <xdr:cNvPr id="45072" name="Button 16" hidden="1">
              <a:extLst>
                <a:ext uri="{63B3BB69-23CF-44E3-9099-C40C66FF867C}">
                  <a14:compatExt spid="_x0000_s45072"/>
                </a:ext>
                <a:ext uri="{FF2B5EF4-FFF2-40B4-BE49-F238E27FC236}">
                  <a16:creationId xmlns:a16="http://schemas.microsoft.com/office/drawing/2014/main" id="{00000000-0008-0000-0700-000010B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1098550</xdr:colOff>
          <xdr:row>1</xdr:row>
          <xdr:rowOff>50800</xdr:rowOff>
        </xdr:from>
        <xdr:to>
          <xdr:col>16</xdr:col>
          <xdr:colOff>1631950</xdr:colOff>
          <xdr:row>2</xdr:row>
          <xdr:rowOff>69850</xdr:rowOff>
        </xdr:to>
        <xdr:sp macro="" textlink="">
          <xdr:nvSpPr>
            <xdr:cNvPr id="45073" name="Button 17" hidden="1">
              <a:extLst>
                <a:ext uri="{63B3BB69-23CF-44E3-9099-C40C66FF867C}">
                  <a14:compatExt spid="_x0000_s45073"/>
                </a:ext>
                <a:ext uri="{FF2B5EF4-FFF2-40B4-BE49-F238E27FC236}">
                  <a16:creationId xmlns:a16="http://schemas.microsoft.com/office/drawing/2014/main" id="{00000000-0008-0000-0700-000011B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xdr:colOff>
          <xdr:row>0</xdr:row>
          <xdr:rowOff>152400</xdr:rowOff>
        </xdr:from>
        <xdr:to>
          <xdr:col>16</xdr:col>
          <xdr:colOff>692150</xdr:colOff>
          <xdr:row>1</xdr:row>
          <xdr:rowOff>44450</xdr:rowOff>
        </xdr:to>
        <xdr:sp macro="" textlink="">
          <xdr:nvSpPr>
            <xdr:cNvPr id="45074" name="Button 18" hidden="1">
              <a:extLst>
                <a:ext uri="{63B3BB69-23CF-44E3-9099-C40C66FF867C}">
                  <a14:compatExt spid="_x0000_s45074"/>
                </a:ext>
                <a:ext uri="{FF2B5EF4-FFF2-40B4-BE49-F238E27FC236}">
                  <a16:creationId xmlns:a16="http://schemas.microsoft.com/office/drawing/2014/main" id="{00000000-0008-0000-0700-00001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203200</xdr:colOff>
          <xdr:row>0</xdr:row>
          <xdr:rowOff>152400</xdr:rowOff>
        </xdr:from>
        <xdr:to>
          <xdr:col>14</xdr:col>
          <xdr:colOff>0</xdr:colOff>
          <xdr:row>1</xdr:row>
          <xdr:rowOff>44450</xdr:rowOff>
        </xdr:to>
        <xdr:sp macro="" textlink="">
          <xdr:nvSpPr>
            <xdr:cNvPr id="45075" name="Button 19" hidden="1">
              <a:extLst>
                <a:ext uri="{63B3BB69-23CF-44E3-9099-C40C66FF867C}">
                  <a14:compatExt spid="_x0000_s45075"/>
                </a:ext>
                <a:ext uri="{FF2B5EF4-FFF2-40B4-BE49-F238E27FC236}">
                  <a16:creationId xmlns:a16="http://schemas.microsoft.com/office/drawing/2014/main" id="{00000000-0008-0000-0700-00001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711200</xdr:colOff>
          <xdr:row>0</xdr:row>
          <xdr:rowOff>152400</xdr:rowOff>
        </xdr:from>
        <xdr:to>
          <xdr:col>16</xdr:col>
          <xdr:colOff>1631950</xdr:colOff>
          <xdr:row>1</xdr:row>
          <xdr:rowOff>44450</xdr:rowOff>
        </xdr:to>
        <xdr:sp macro="" textlink="">
          <xdr:nvSpPr>
            <xdr:cNvPr id="45076" name="Button 20" hidden="1">
              <a:extLst>
                <a:ext uri="{63B3BB69-23CF-44E3-9099-C40C66FF867C}">
                  <a14:compatExt spid="_x0000_s45076"/>
                </a:ext>
                <a:ext uri="{FF2B5EF4-FFF2-40B4-BE49-F238E27FC236}">
                  <a16:creationId xmlns:a16="http://schemas.microsoft.com/office/drawing/2014/main" id="{00000000-0008-0000-0700-00001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9</xdr:row>
          <xdr:rowOff>63500</xdr:rowOff>
        </xdr:from>
        <xdr:to>
          <xdr:col>0</xdr:col>
          <xdr:colOff>774700</xdr:colOff>
          <xdr:row>11</xdr:row>
          <xdr:rowOff>177800</xdr:rowOff>
        </xdr:to>
        <xdr:sp macro="" textlink="">
          <xdr:nvSpPr>
            <xdr:cNvPr id="45077" name="Button 21" hidden="1">
              <a:extLst>
                <a:ext uri="{63B3BB69-23CF-44E3-9099-C40C66FF867C}">
                  <a14:compatExt spid="_x0000_s45077"/>
                </a:ext>
                <a:ext uri="{FF2B5EF4-FFF2-40B4-BE49-F238E27FC236}">
                  <a16:creationId xmlns:a16="http://schemas.microsoft.com/office/drawing/2014/main" id="{00000000-0008-0000-0700-000015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property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17</xdr:row>
          <xdr:rowOff>6350</xdr:rowOff>
        </xdr:from>
        <xdr:to>
          <xdr:col>0</xdr:col>
          <xdr:colOff>774700</xdr:colOff>
          <xdr:row>19</xdr:row>
          <xdr:rowOff>44450</xdr:rowOff>
        </xdr:to>
        <xdr:sp macro="" textlink="">
          <xdr:nvSpPr>
            <xdr:cNvPr id="45078" name="Button 22" hidden="1">
              <a:extLst>
                <a:ext uri="{63B3BB69-23CF-44E3-9099-C40C66FF867C}">
                  <a14:compatExt spid="_x0000_s45078"/>
                </a:ext>
                <a:ext uri="{FF2B5EF4-FFF2-40B4-BE49-F238E27FC236}">
                  <a16:creationId xmlns:a16="http://schemas.microsoft.com/office/drawing/2014/main" id="{00000000-0008-0000-0700-000016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17</xdr:row>
          <xdr:rowOff>0</xdr:rowOff>
        </xdr:from>
        <xdr:to>
          <xdr:col>13</xdr:col>
          <xdr:colOff>920750</xdr:colOff>
          <xdr:row>19</xdr:row>
          <xdr:rowOff>76200</xdr:rowOff>
        </xdr:to>
        <xdr:sp macro="" textlink="">
          <xdr:nvSpPr>
            <xdr:cNvPr id="45079" name="Button 23" hidden="1">
              <a:extLst>
                <a:ext uri="{63B3BB69-23CF-44E3-9099-C40C66FF867C}">
                  <a14:compatExt spid="_x0000_s45079"/>
                </a:ext>
                <a:ext uri="{FF2B5EF4-FFF2-40B4-BE49-F238E27FC236}">
                  <a16:creationId xmlns:a16="http://schemas.microsoft.com/office/drawing/2014/main" id="{00000000-0008-0000-0700-000017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165100</xdr:colOff>
          <xdr:row>3</xdr:row>
          <xdr:rowOff>0</xdr:rowOff>
        </xdr:from>
        <xdr:to>
          <xdr:col>13</xdr:col>
          <xdr:colOff>793750</xdr:colOff>
          <xdr:row>5</xdr:row>
          <xdr:rowOff>127000</xdr:rowOff>
        </xdr:to>
        <xdr:sp macro="" textlink="">
          <xdr:nvSpPr>
            <xdr:cNvPr id="45080" name="globalbacktobutton" hidden="1">
              <a:extLst>
                <a:ext uri="{63B3BB69-23CF-44E3-9099-C40C66FF867C}">
                  <a14:compatExt spid="_x0000_s45080"/>
                </a:ext>
                <a:ext uri="{FF2B5EF4-FFF2-40B4-BE49-F238E27FC236}">
                  <a16:creationId xmlns:a16="http://schemas.microsoft.com/office/drawing/2014/main" id="{00000000-0008-0000-0700-000018B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177800</xdr:colOff>
          <xdr:row>0</xdr:row>
          <xdr:rowOff>107950</xdr:rowOff>
        </xdr:from>
        <xdr:to>
          <xdr:col>0</xdr:col>
          <xdr:colOff>977900</xdr:colOff>
          <xdr:row>2</xdr:row>
          <xdr:rowOff>76200</xdr:rowOff>
        </xdr:to>
        <xdr:sp macro="" textlink="">
          <xdr:nvSpPr>
            <xdr:cNvPr id="48129" name="basicmenubutton" hidden="1">
              <a:extLst>
                <a:ext uri="{63B3BB69-23CF-44E3-9099-C40C66FF867C}">
                  <a14:compatExt spid="_x0000_s48129"/>
                </a:ext>
                <a:ext uri="{FF2B5EF4-FFF2-40B4-BE49-F238E27FC236}">
                  <a16:creationId xmlns:a16="http://schemas.microsoft.com/office/drawing/2014/main" id="{00000000-0008-0000-0800-000001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0</xdr:row>
          <xdr:rowOff>158750</xdr:rowOff>
        </xdr:from>
        <xdr:to>
          <xdr:col>12</xdr:col>
          <xdr:colOff>279400</xdr:colOff>
          <xdr:row>3</xdr:row>
          <xdr:rowOff>44450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800-000002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3</xdr:row>
          <xdr:rowOff>69850</xdr:rowOff>
        </xdr:from>
        <xdr:to>
          <xdr:col>12</xdr:col>
          <xdr:colOff>279400</xdr:colOff>
          <xdr:row>6</xdr:row>
          <xdr:rowOff>6350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800-000003B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9</xdr:row>
          <xdr:rowOff>12700</xdr:rowOff>
        </xdr:from>
        <xdr:to>
          <xdr:col>12</xdr:col>
          <xdr:colOff>482600</xdr:colOff>
          <xdr:row>11</xdr:row>
          <xdr:rowOff>82550</xdr:rowOff>
        </xdr:to>
        <xdr:sp macro="" textlink="">
          <xdr:nvSpPr>
            <xdr:cNvPr id="48132" name="Button 4" hidden="1">
              <a:extLst>
                <a:ext uri="{63B3BB69-23CF-44E3-9099-C40C66FF867C}">
                  <a14:compatExt spid="_x0000_s48132"/>
                </a:ext>
                <a:ext uri="{FF2B5EF4-FFF2-40B4-BE49-F238E27FC236}">
                  <a16:creationId xmlns:a16="http://schemas.microsoft.com/office/drawing/2014/main" id="{00000000-0008-0000-0800-000004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12</xdr:row>
          <xdr:rowOff>139700</xdr:rowOff>
        </xdr:from>
        <xdr:to>
          <xdr:col>12</xdr:col>
          <xdr:colOff>488950</xdr:colOff>
          <xdr:row>14</xdr:row>
          <xdr:rowOff>38100</xdr:rowOff>
        </xdr:to>
        <xdr:sp macro="" textlink="">
          <xdr:nvSpPr>
            <xdr:cNvPr id="48133" name="tdo1" hidden="1">
              <a:extLst>
                <a:ext uri="{63B3BB69-23CF-44E3-9099-C40C66FF867C}">
                  <a14:compatExt spid="_x0000_s48133"/>
                </a:ext>
                <a:ext uri="{FF2B5EF4-FFF2-40B4-BE49-F238E27FC236}">
                  <a16:creationId xmlns:a16="http://schemas.microsoft.com/office/drawing/2014/main" id="{00000000-0008-0000-0800-000005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25</xdr:row>
          <xdr:rowOff>139700</xdr:rowOff>
        </xdr:from>
        <xdr:to>
          <xdr:col>12</xdr:col>
          <xdr:colOff>488950</xdr:colOff>
          <xdr:row>27</xdr:row>
          <xdr:rowOff>38100</xdr:rowOff>
        </xdr:to>
        <xdr:sp macro="" textlink="">
          <xdr:nvSpPr>
            <xdr:cNvPr id="48134" name="tdo2" hidden="1">
              <a:extLst>
                <a:ext uri="{63B3BB69-23CF-44E3-9099-C40C66FF867C}">
                  <a14:compatExt spid="_x0000_s48134"/>
                </a:ext>
                <a:ext uri="{FF2B5EF4-FFF2-40B4-BE49-F238E27FC236}">
                  <a16:creationId xmlns:a16="http://schemas.microsoft.com/office/drawing/2014/main" id="{00000000-0008-0000-0800-000006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38</xdr:row>
          <xdr:rowOff>146050</xdr:rowOff>
        </xdr:from>
        <xdr:to>
          <xdr:col>12</xdr:col>
          <xdr:colOff>488950</xdr:colOff>
          <xdr:row>40</xdr:row>
          <xdr:rowOff>44450</xdr:rowOff>
        </xdr:to>
        <xdr:sp macro="" textlink="">
          <xdr:nvSpPr>
            <xdr:cNvPr id="48135" name="tdo3" hidden="1">
              <a:extLst>
                <a:ext uri="{63B3BB69-23CF-44E3-9099-C40C66FF867C}">
                  <a14:compatExt spid="_x0000_s48135"/>
                </a:ext>
                <a:ext uri="{FF2B5EF4-FFF2-40B4-BE49-F238E27FC236}">
                  <a16:creationId xmlns:a16="http://schemas.microsoft.com/office/drawing/2014/main" id="{00000000-0008-0000-0800-000007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165100</xdr:colOff>
          <xdr:row>3</xdr:row>
          <xdr:rowOff>146050</xdr:rowOff>
        </xdr:from>
        <xdr:to>
          <xdr:col>0</xdr:col>
          <xdr:colOff>965200</xdr:colOff>
          <xdr:row>7</xdr:row>
          <xdr:rowOff>165100</xdr:rowOff>
        </xdr:to>
        <xdr:sp macro="" textlink="">
          <xdr:nvSpPr>
            <xdr:cNvPr id="48137" name="Button 9" hidden="1">
              <a:extLst>
                <a:ext uri="{63B3BB69-23CF-44E3-9099-C40C66FF867C}">
                  <a14:compatExt spid="_x0000_s48137"/>
                </a:ext>
                <a:ext uri="{FF2B5EF4-FFF2-40B4-BE49-F238E27FC236}">
                  <a16:creationId xmlns:a16="http://schemas.microsoft.com/office/drawing/2014/main" id="{00000000-0008-0000-0800-000009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a:p>
              <a:pPr algn="ctr" rtl="0">
                <a:defRPr sz="1000"/>
              </a:pPr>
              <a:r>
                <a:rPr lang="en-GB" sz="1000" b="0" i="0" u="none" strike="noStrike" baseline="0">
                  <a:solidFill>
                    <a:srgbClr val="000000"/>
                  </a:solidFill>
                  <a:latin typeface="Arial"/>
                  <a:cs typeface="Arial"/>
                </a:rPr>
                <a:t>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831850</xdr:colOff>
          <xdr:row>9</xdr:row>
          <xdr:rowOff>6350</xdr:rowOff>
        </xdr:from>
        <xdr:to>
          <xdr:col>9</xdr:col>
          <xdr:colOff>266700</xdr:colOff>
          <xdr:row>10</xdr:row>
          <xdr:rowOff>114300</xdr:rowOff>
        </xdr:to>
        <xdr:sp macro="" textlink="">
          <xdr:nvSpPr>
            <xdr:cNvPr id="48142" name="Button 14" hidden="1">
              <a:extLst>
                <a:ext uri="{63B3BB69-23CF-44E3-9099-C40C66FF867C}">
                  <a14:compatExt spid="_x0000_s48142"/>
                </a:ext>
                <a:ext uri="{FF2B5EF4-FFF2-40B4-BE49-F238E27FC236}">
                  <a16:creationId xmlns:a16="http://schemas.microsoft.com/office/drawing/2014/main" id="{00000000-0008-0000-0800-00000EB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831850</xdr:colOff>
          <xdr:row>22</xdr:row>
          <xdr:rowOff>12700</xdr:rowOff>
        </xdr:from>
        <xdr:to>
          <xdr:col>9</xdr:col>
          <xdr:colOff>266700</xdr:colOff>
          <xdr:row>23</xdr:row>
          <xdr:rowOff>120650</xdr:rowOff>
        </xdr:to>
        <xdr:sp macro="" textlink="">
          <xdr:nvSpPr>
            <xdr:cNvPr id="48143" name="Button 15" hidden="1">
              <a:extLst>
                <a:ext uri="{63B3BB69-23CF-44E3-9099-C40C66FF867C}">
                  <a14:compatExt spid="_x0000_s48143"/>
                </a:ext>
                <a:ext uri="{FF2B5EF4-FFF2-40B4-BE49-F238E27FC236}">
                  <a16:creationId xmlns:a16="http://schemas.microsoft.com/office/drawing/2014/main" id="{00000000-0008-0000-0800-00000FB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831850</xdr:colOff>
          <xdr:row>35</xdr:row>
          <xdr:rowOff>31750</xdr:rowOff>
        </xdr:from>
        <xdr:to>
          <xdr:col>9</xdr:col>
          <xdr:colOff>266700</xdr:colOff>
          <xdr:row>36</xdr:row>
          <xdr:rowOff>139700</xdr:rowOff>
        </xdr:to>
        <xdr:sp macro="" textlink="">
          <xdr:nvSpPr>
            <xdr:cNvPr id="48144" name="Button 16" hidden="1">
              <a:extLst>
                <a:ext uri="{63B3BB69-23CF-44E3-9099-C40C66FF867C}">
                  <a14:compatExt spid="_x0000_s48144"/>
                </a:ext>
                <a:ext uri="{FF2B5EF4-FFF2-40B4-BE49-F238E27FC236}">
                  <a16:creationId xmlns:a16="http://schemas.microsoft.com/office/drawing/2014/main" id="{00000000-0008-0000-0800-000010B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488950</xdr:colOff>
          <xdr:row>3</xdr:row>
          <xdr:rowOff>44450</xdr:rowOff>
        </xdr:from>
        <xdr:to>
          <xdr:col>13</xdr:col>
          <xdr:colOff>546100</xdr:colOff>
          <xdr:row>6</xdr:row>
          <xdr:rowOff>0</xdr:rowOff>
        </xdr:to>
        <xdr:sp macro="" textlink="">
          <xdr:nvSpPr>
            <xdr:cNvPr id="48163" name="Button 35" hidden="1">
              <a:extLst>
                <a:ext uri="{63B3BB69-23CF-44E3-9099-C40C66FF867C}">
                  <a14:compatExt spid="_x0000_s48163"/>
                </a:ext>
                <a:ext uri="{FF2B5EF4-FFF2-40B4-BE49-F238E27FC236}">
                  <a16:creationId xmlns:a16="http://schemas.microsoft.com/office/drawing/2014/main" id="{00000000-0008-0000-0800-000023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558800</xdr:colOff>
          <xdr:row>3</xdr:row>
          <xdr:rowOff>44450</xdr:rowOff>
        </xdr:from>
        <xdr:to>
          <xdr:col>14</xdr:col>
          <xdr:colOff>615950</xdr:colOff>
          <xdr:row>6</xdr:row>
          <xdr:rowOff>0</xdr:rowOff>
        </xdr:to>
        <xdr:sp macro="" textlink="">
          <xdr:nvSpPr>
            <xdr:cNvPr id="48164" name="Button 36" hidden="1">
              <a:extLst>
                <a:ext uri="{63B3BB69-23CF-44E3-9099-C40C66FF867C}">
                  <a14:compatExt spid="_x0000_s48164"/>
                </a:ext>
                <a:ext uri="{FF2B5EF4-FFF2-40B4-BE49-F238E27FC236}">
                  <a16:creationId xmlns:a16="http://schemas.microsoft.com/office/drawing/2014/main" id="{00000000-0008-0000-0800-000024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44450</xdr:rowOff>
        </xdr:from>
        <xdr:to>
          <xdr:col>15</xdr:col>
          <xdr:colOff>527050</xdr:colOff>
          <xdr:row>6</xdr:row>
          <xdr:rowOff>0</xdr:rowOff>
        </xdr:to>
        <xdr:sp macro="" textlink="">
          <xdr:nvSpPr>
            <xdr:cNvPr id="48165" name="Button 37" hidden="1">
              <a:extLst>
                <a:ext uri="{63B3BB69-23CF-44E3-9099-C40C66FF867C}">
                  <a14:compatExt spid="_x0000_s48165"/>
                </a:ext>
                <a:ext uri="{FF2B5EF4-FFF2-40B4-BE49-F238E27FC236}">
                  <a16:creationId xmlns:a16="http://schemas.microsoft.com/office/drawing/2014/main" id="{00000000-0008-0000-0800-000025B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533400</xdr:colOff>
          <xdr:row>3</xdr:row>
          <xdr:rowOff>44450</xdr:rowOff>
        </xdr:from>
        <xdr:to>
          <xdr:col>16</xdr:col>
          <xdr:colOff>444500</xdr:colOff>
          <xdr:row>6</xdr:row>
          <xdr:rowOff>0</xdr:rowOff>
        </xdr:to>
        <xdr:sp macro="" textlink="">
          <xdr:nvSpPr>
            <xdr:cNvPr id="48166" name="Button 38" hidden="1">
              <a:extLst>
                <a:ext uri="{63B3BB69-23CF-44E3-9099-C40C66FF867C}">
                  <a14:compatExt spid="_x0000_s48166"/>
                </a:ext>
                <a:ext uri="{FF2B5EF4-FFF2-40B4-BE49-F238E27FC236}">
                  <a16:creationId xmlns:a16="http://schemas.microsoft.com/office/drawing/2014/main" id="{00000000-0008-0000-0800-000026B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xdr:row>
          <xdr:rowOff>69850</xdr:rowOff>
        </xdr:from>
        <xdr:to>
          <xdr:col>15</xdr:col>
          <xdr:colOff>139700</xdr:colOff>
          <xdr:row>3</xdr:row>
          <xdr:rowOff>38100</xdr:rowOff>
        </xdr:to>
        <xdr:sp macro="" textlink="">
          <xdr:nvSpPr>
            <xdr:cNvPr id="48167" name="Button 39" hidden="1">
              <a:extLst>
                <a:ext uri="{63B3BB69-23CF-44E3-9099-C40C66FF867C}">
                  <a14:compatExt spid="_x0000_s48167"/>
                </a:ext>
                <a:ext uri="{FF2B5EF4-FFF2-40B4-BE49-F238E27FC236}">
                  <a16:creationId xmlns:a16="http://schemas.microsoft.com/office/drawing/2014/main" id="{00000000-0008-0000-0800-000027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488950</xdr:colOff>
          <xdr:row>1</xdr:row>
          <xdr:rowOff>69850</xdr:rowOff>
        </xdr:from>
        <xdr:to>
          <xdr:col>14</xdr:col>
          <xdr:colOff>69850</xdr:colOff>
          <xdr:row>3</xdr:row>
          <xdr:rowOff>38100</xdr:rowOff>
        </xdr:to>
        <xdr:sp macro="" textlink="">
          <xdr:nvSpPr>
            <xdr:cNvPr id="48168" name="Button 40" hidden="1">
              <a:extLst>
                <a:ext uri="{63B3BB69-23CF-44E3-9099-C40C66FF867C}">
                  <a14:compatExt spid="_x0000_s48168"/>
                </a:ext>
                <a:ext uri="{FF2B5EF4-FFF2-40B4-BE49-F238E27FC236}">
                  <a16:creationId xmlns:a16="http://schemas.microsoft.com/office/drawing/2014/main" id="{00000000-0008-0000-0800-000028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146050</xdr:colOff>
          <xdr:row>1</xdr:row>
          <xdr:rowOff>69850</xdr:rowOff>
        </xdr:from>
        <xdr:to>
          <xdr:col>16</xdr:col>
          <xdr:colOff>444500</xdr:colOff>
          <xdr:row>3</xdr:row>
          <xdr:rowOff>38100</xdr:rowOff>
        </xdr:to>
        <xdr:sp macro="" textlink="">
          <xdr:nvSpPr>
            <xdr:cNvPr id="48169" name="Button 41" hidden="1">
              <a:extLst>
                <a:ext uri="{63B3BB69-23CF-44E3-9099-C40C66FF867C}">
                  <a14:compatExt spid="_x0000_s48169"/>
                </a:ext>
                <a:ext uri="{FF2B5EF4-FFF2-40B4-BE49-F238E27FC236}">
                  <a16:creationId xmlns:a16="http://schemas.microsoft.com/office/drawing/2014/main" id="{00000000-0008-0000-0800-000029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508000</xdr:colOff>
          <xdr:row>8</xdr:row>
          <xdr:rowOff>114300</xdr:rowOff>
        </xdr:from>
        <xdr:to>
          <xdr:col>14</xdr:col>
          <xdr:colOff>508000</xdr:colOff>
          <xdr:row>11</xdr:row>
          <xdr:rowOff>101600</xdr:rowOff>
        </xdr:to>
        <xdr:sp macro="" textlink="">
          <xdr:nvSpPr>
            <xdr:cNvPr id="48170" name="globalbacktobutton" hidden="1">
              <a:extLst>
                <a:ext uri="{63B3BB69-23CF-44E3-9099-C40C66FF867C}">
                  <a14:compatExt spid="_x0000_s48170"/>
                </a:ext>
                <a:ext uri="{FF2B5EF4-FFF2-40B4-BE49-F238E27FC236}">
                  <a16:creationId xmlns:a16="http://schemas.microsoft.com/office/drawing/2014/main" id="{00000000-0008-0000-0800-00002AB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234950</xdr:colOff>
          <xdr:row>11</xdr:row>
          <xdr:rowOff>31750</xdr:rowOff>
        </xdr:from>
        <xdr:to>
          <xdr:col>0</xdr:col>
          <xdr:colOff>863600</xdr:colOff>
          <xdr:row>13</xdr:row>
          <xdr:rowOff>139700</xdr:rowOff>
        </xdr:to>
        <xdr:sp macro="" textlink="">
          <xdr:nvSpPr>
            <xdr:cNvPr id="48171" name="globalbacktobutton" hidden="1">
              <a:extLst>
                <a:ext uri="{63B3BB69-23CF-44E3-9099-C40C66FF867C}">
                  <a14:compatExt spid="_x0000_s48171"/>
                </a:ext>
                <a:ext uri="{FF2B5EF4-FFF2-40B4-BE49-F238E27FC236}">
                  <a16:creationId xmlns:a16="http://schemas.microsoft.com/office/drawing/2014/main" id="{00000000-0008-0000-0800-00002BB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177800</xdr:colOff>
          <xdr:row>0</xdr:row>
          <xdr:rowOff>107950</xdr:rowOff>
        </xdr:from>
        <xdr:to>
          <xdr:col>0</xdr:col>
          <xdr:colOff>1016000</xdr:colOff>
          <xdr:row>2</xdr:row>
          <xdr:rowOff>76200</xdr:rowOff>
        </xdr:to>
        <xdr:sp macro="" textlink="">
          <xdr:nvSpPr>
            <xdr:cNvPr id="49153" name="basicmenubutton"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0</xdr:row>
          <xdr:rowOff>158750</xdr:rowOff>
        </xdr:from>
        <xdr:to>
          <xdr:col>12</xdr:col>
          <xdr:colOff>279400</xdr:colOff>
          <xdr:row>3</xdr:row>
          <xdr:rowOff>44450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3</xdr:row>
          <xdr:rowOff>69850</xdr:rowOff>
        </xdr:from>
        <xdr:to>
          <xdr:col>12</xdr:col>
          <xdr:colOff>279400</xdr:colOff>
          <xdr:row>6</xdr:row>
          <xdr:rowOff>6350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900-00000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196850</xdr:colOff>
          <xdr:row>9</xdr:row>
          <xdr:rowOff>12700</xdr:rowOff>
        </xdr:from>
        <xdr:to>
          <xdr:col>12</xdr:col>
          <xdr:colOff>482600</xdr:colOff>
          <xdr:row>11</xdr:row>
          <xdr:rowOff>82550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900-000004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a:t>
              </a:r>
            </a:p>
            <a:p>
              <a:pPr algn="ctr" rtl="0">
                <a:defRPr sz="1000"/>
              </a:pPr>
              <a:r>
                <a:rPr lang="en-GB" sz="1000" b="0" i="0" u="none" strike="noStrike" baseline="0">
                  <a:solidFill>
                    <a:srgbClr val="000000"/>
                  </a:solidFill>
                  <a:latin typeface="Arial"/>
                  <a:cs typeface="Arial"/>
                </a:rPr>
                <a:t>Analysis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12</xdr:row>
          <xdr:rowOff>139700</xdr:rowOff>
        </xdr:from>
        <xdr:to>
          <xdr:col>12</xdr:col>
          <xdr:colOff>488950</xdr:colOff>
          <xdr:row>14</xdr:row>
          <xdr:rowOff>38100</xdr:rowOff>
        </xdr:to>
        <xdr:sp macro="" textlink="">
          <xdr:nvSpPr>
            <xdr:cNvPr id="49157" name="tdr1" hidden="1">
              <a:extLst>
                <a:ext uri="{63B3BB69-23CF-44E3-9099-C40C66FF867C}">
                  <a14:compatExt spid="_x0000_s49157"/>
                </a:ext>
                <a:ext uri="{FF2B5EF4-FFF2-40B4-BE49-F238E27FC236}">
                  <a16:creationId xmlns:a16="http://schemas.microsoft.com/office/drawing/2014/main" id="{00000000-0008-0000-0900-000005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25</xdr:row>
          <xdr:rowOff>139700</xdr:rowOff>
        </xdr:from>
        <xdr:to>
          <xdr:col>12</xdr:col>
          <xdr:colOff>488950</xdr:colOff>
          <xdr:row>27</xdr:row>
          <xdr:rowOff>38100</xdr:rowOff>
        </xdr:to>
        <xdr:sp macro="" textlink="">
          <xdr:nvSpPr>
            <xdr:cNvPr id="49158" name="tdr2" hidden="1">
              <a:extLst>
                <a:ext uri="{63B3BB69-23CF-44E3-9099-C40C66FF867C}">
                  <a14:compatExt spid="_x0000_s49158"/>
                </a:ext>
                <a:ext uri="{FF2B5EF4-FFF2-40B4-BE49-F238E27FC236}">
                  <a16:creationId xmlns:a16="http://schemas.microsoft.com/office/drawing/2014/main" id="{00000000-0008-0000-0900-000006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38</xdr:row>
          <xdr:rowOff>146050</xdr:rowOff>
        </xdr:from>
        <xdr:to>
          <xdr:col>12</xdr:col>
          <xdr:colOff>488950</xdr:colOff>
          <xdr:row>40</xdr:row>
          <xdr:rowOff>44450</xdr:rowOff>
        </xdr:to>
        <xdr:sp macro="" textlink="">
          <xdr:nvSpPr>
            <xdr:cNvPr id="49159" name="tdr3" hidden="1">
              <a:extLst>
                <a:ext uri="{63B3BB69-23CF-44E3-9099-C40C66FF867C}">
                  <a14:compatExt spid="_x0000_s49159"/>
                </a:ext>
                <a:ext uri="{FF2B5EF4-FFF2-40B4-BE49-F238E27FC236}">
                  <a16:creationId xmlns:a16="http://schemas.microsoft.com/office/drawing/2014/main" id="{00000000-0008-0000-0900-000007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Transition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165100</xdr:colOff>
          <xdr:row>3</xdr:row>
          <xdr:rowOff>146050</xdr:rowOff>
        </xdr:from>
        <xdr:to>
          <xdr:col>0</xdr:col>
          <xdr:colOff>984250</xdr:colOff>
          <xdr:row>7</xdr:row>
          <xdr:rowOff>165100</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0900-000009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a:p>
              <a:pPr algn="ctr" rtl="0">
                <a:defRPr sz="1000"/>
              </a:pPr>
              <a:r>
                <a:rPr lang="en-GB" sz="1000" b="0" i="0" u="none" strike="noStrike" baseline="0">
                  <a:solidFill>
                    <a:srgbClr val="000000"/>
                  </a:solidFill>
                  <a:latin typeface="Arial"/>
                  <a:cs typeface="Arial"/>
                </a:rPr>
                <a:t>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831850</xdr:colOff>
          <xdr:row>9</xdr:row>
          <xdr:rowOff>6350</xdr:rowOff>
        </xdr:from>
        <xdr:to>
          <xdr:col>9</xdr:col>
          <xdr:colOff>266700</xdr:colOff>
          <xdr:row>10</xdr:row>
          <xdr:rowOff>114300</xdr:rowOff>
        </xdr:to>
        <xdr:sp macro="" textlink="">
          <xdr:nvSpPr>
            <xdr:cNvPr id="49162" name="Button 10" hidden="1">
              <a:extLst>
                <a:ext uri="{63B3BB69-23CF-44E3-9099-C40C66FF867C}">
                  <a14:compatExt spid="_x0000_s49162"/>
                </a:ext>
                <a:ext uri="{FF2B5EF4-FFF2-40B4-BE49-F238E27FC236}">
                  <a16:creationId xmlns:a16="http://schemas.microsoft.com/office/drawing/2014/main" id="{00000000-0008-0000-0900-00000AC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831850</xdr:colOff>
          <xdr:row>22</xdr:row>
          <xdr:rowOff>12700</xdr:rowOff>
        </xdr:from>
        <xdr:to>
          <xdr:col>9</xdr:col>
          <xdr:colOff>266700</xdr:colOff>
          <xdr:row>23</xdr:row>
          <xdr:rowOff>120650</xdr:rowOff>
        </xdr:to>
        <xdr:sp macro="" textlink="">
          <xdr:nvSpPr>
            <xdr:cNvPr id="49163" name="Button 11" hidden="1">
              <a:extLst>
                <a:ext uri="{63B3BB69-23CF-44E3-9099-C40C66FF867C}">
                  <a14:compatExt spid="_x0000_s49163"/>
                </a:ext>
                <a:ext uri="{FF2B5EF4-FFF2-40B4-BE49-F238E27FC236}">
                  <a16:creationId xmlns:a16="http://schemas.microsoft.com/office/drawing/2014/main" id="{00000000-0008-0000-0900-00000BC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831850</xdr:colOff>
          <xdr:row>35</xdr:row>
          <xdr:rowOff>31750</xdr:rowOff>
        </xdr:from>
        <xdr:to>
          <xdr:col>9</xdr:col>
          <xdr:colOff>266700</xdr:colOff>
          <xdr:row>36</xdr:row>
          <xdr:rowOff>139700</xdr:rowOff>
        </xdr:to>
        <xdr:sp macro="" textlink="">
          <xdr:nvSpPr>
            <xdr:cNvPr id="49164" name="Button 12" hidden="1">
              <a:extLst>
                <a:ext uri="{63B3BB69-23CF-44E3-9099-C40C66FF867C}">
                  <a14:compatExt spid="_x0000_s49164"/>
                </a:ext>
                <a:ext uri="{FF2B5EF4-FFF2-40B4-BE49-F238E27FC236}">
                  <a16:creationId xmlns:a16="http://schemas.microsoft.com/office/drawing/2014/main" id="{00000000-0008-0000-0900-00000CC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488950</xdr:colOff>
          <xdr:row>3</xdr:row>
          <xdr:rowOff>44450</xdr:rowOff>
        </xdr:from>
        <xdr:to>
          <xdr:col>13</xdr:col>
          <xdr:colOff>546100</xdr:colOff>
          <xdr:row>6</xdr:row>
          <xdr:rowOff>0</xdr:rowOff>
        </xdr:to>
        <xdr:sp macro="" textlink="">
          <xdr:nvSpPr>
            <xdr:cNvPr id="49166" name="Button 14" hidden="1">
              <a:extLst>
                <a:ext uri="{63B3BB69-23CF-44E3-9099-C40C66FF867C}">
                  <a14:compatExt spid="_x0000_s49166"/>
                </a:ext>
                <a:ext uri="{FF2B5EF4-FFF2-40B4-BE49-F238E27FC236}">
                  <a16:creationId xmlns:a16="http://schemas.microsoft.com/office/drawing/2014/main" id="{00000000-0008-0000-0900-00000E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558800</xdr:colOff>
          <xdr:row>3</xdr:row>
          <xdr:rowOff>44450</xdr:rowOff>
        </xdr:from>
        <xdr:to>
          <xdr:col>14</xdr:col>
          <xdr:colOff>615950</xdr:colOff>
          <xdr:row>6</xdr:row>
          <xdr:rowOff>0</xdr:rowOff>
        </xdr:to>
        <xdr:sp macro="" textlink="">
          <xdr:nvSpPr>
            <xdr:cNvPr id="49167" name="Button 15" hidden="1">
              <a:extLst>
                <a:ext uri="{63B3BB69-23CF-44E3-9099-C40C66FF867C}">
                  <a14:compatExt spid="_x0000_s49167"/>
                </a:ext>
                <a:ext uri="{FF2B5EF4-FFF2-40B4-BE49-F238E27FC236}">
                  <a16:creationId xmlns:a16="http://schemas.microsoft.com/office/drawing/2014/main" id="{00000000-0008-0000-0900-00000F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44450</xdr:rowOff>
        </xdr:from>
        <xdr:to>
          <xdr:col>15</xdr:col>
          <xdr:colOff>527050</xdr:colOff>
          <xdr:row>6</xdr:row>
          <xdr:rowOff>0</xdr:rowOff>
        </xdr:to>
        <xdr:sp macro="" textlink="">
          <xdr:nvSpPr>
            <xdr:cNvPr id="49168" name="Button 16" hidden="1">
              <a:extLst>
                <a:ext uri="{63B3BB69-23CF-44E3-9099-C40C66FF867C}">
                  <a14:compatExt spid="_x0000_s49168"/>
                </a:ext>
                <a:ext uri="{FF2B5EF4-FFF2-40B4-BE49-F238E27FC236}">
                  <a16:creationId xmlns:a16="http://schemas.microsoft.com/office/drawing/2014/main" id="{00000000-0008-0000-0900-000010C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533400</xdr:colOff>
          <xdr:row>3</xdr:row>
          <xdr:rowOff>44450</xdr:rowOff>
        </xdr:from>
        <xdr:to>
          <xdr:col>16</xdr:col>
          <xdr:colOff>444500</xdr:colOff>
          <xdr:row>6</xdr:row>
          <xdr:rowOff>0</xdr:rowOff>
        </xdr:to>
        <xdr:sp macro="" textlink="">
          <xdr:nvSpPr>
            <xdr:cNvPr id="49169" name="Button 17" hidden="1">
              <a:extLst>
                <a:ext uri="{63B3BB69-23CF-44E3-9099-C40C66FF867C}">
                  <a14:compatExt spid="_x0000_s49169"/>
                </a:ext>
                <a:ext uri="{FF2B5EF4-FFF2-40B4-BE49-F238E27FC236}">
                  <a16:creationId xmlns:a16="http://schemas.microsoft.com/office/drawing/2014/main" id="{00000000-0008-0000-0900-000011C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xdr:row>
          <xdr:rowOff>69850</xdr:rowOff>
        </xdr:from>
        <xdr:to>
          <xdr:col>15</xdr:col>
          <xdr:colOff>139700</xdr:colOff>
          <xdr:row>3</xdr:row>
          <xdr:rowOff>38100</xdr:rowOff>
        </xdr:to>
        <xdr:sp macro="" textlink="">
          <xdr:nvSpPr>
            <xdr:cNvPr id="49170" name="Button 18" hidden="1">
              <a:extLst>
                <a:ext uri="{63B3BB69-23CF-44E3-9099-C40C66FF867C}">
                  <a14:compatExt spid="_x0000_s49170"/>
                </a:ext>
                <a:ext uri="{FF2B5EF4-FFF2-40B4-BE49-F238E27FC236}">
                  <a16:creationId xmlns:a16="http://schemas.microsoft.com/office/drawing/2014/main" id="{00000000-0008-0000-0900-000012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488950</xdr:colOff>
          <xdr:row>1</xdr:row>
          <xdr:rowOff>69850</xdr:rowOff>
        </xdr:from>
        <xdr:to>
          <xdr:col>14</xdr:col>
          <xdr:colOff>69850</xdr:colOff>
          <xdr:row>3</xdr:row>
          <xdr:rowOff>38100</xdr:rowOff>
        </xdr:to>
        <xdr:sp macro="" textlink="">
          <xdr:nvSpPr>
            <xdr:cNvPr id="49171" name="Button 19" hidden="1">
              <a:extLst>
                <a:ext uri="{63B3BB69-23CF-44E3-9099-C40C66FF867C}">
                  <a14:compatExt spid="_x0000_s49171"/>
                </a:ext>
                <a:ext uri="{FF2B5EF4-FFF2-40B4-BE49-F238E27FC236}">
                  <a16:creationId xmlns:a16="http://schemas.microsoft.com/office/drawing/2014/main" id="{00000000-0008-0000-0900-000013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146050</xdr:colOff>
          <xdr:row>1</xdr:row>
          <xdr:rowOff>69850</xdr:rowOff>
        </xdr:from>
        <xdr:to>
          <xdr:col>16</xdr:col>
          <xdr:colOff>444500</xdr:colOff>
          <xdr:row>3</xdr:row>
          <xdr:rowOff>38100</xdr:rowOff>
        </xdr:to>
        <xdr:sp macro="" textlink="">
          <xdr:nvSpPr>
            <xdr:cNvPr id="49172" name="Button 20" hidden="1">
              <a:extLst>
                <a:ext uri="{63B3BB69-23CF-44E3-9099-C40C66FF867C}">
                  <a14:compatExt spid="_x0000_s49172"/>
                </a:ext>
                <a:ext uri="{FF2B5EF4-FFF2-40B4-BE49-F238E27FC236}">
                  <a16:creationId xmlns:a16="http://schemas.microsoft.com/office/drawing/2014/main" id="{00000000-0008-0000-0900-000014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234950</xdr:colOff>
          <xdr:row>11</xdr:row>
          <xdr:rowOff>31750</xdr:rowOff>
        </xdr:from>
        <xdr:to>
          <xdr:col>0</xdr:col>
          <xdr:colOff>863600</xdr:colOff>
          <xdr:row>13</xdr:row>
          <xdr:rowOff>139700</xdr:rowOff>
        </xdr:to>
        <xdr:sp macro="" textlink="">
          <xdr:nvSpPr>
            <xdr:cNvPr id="49173" name="globalbacktobutton" hidden="1">
              <a:extLst>
                <a:ext uri="{63B3BB69-23CF-44E3-9099-C40C66FF867C}">
                  <a14:compatExt spid="_x0000_s49173"/>
                </a:ext>
                <a:ext uri="{FF2B5EF4-FFF2-40B4-BE49-F238E27FC236}">
                  <a16:creationId xmlns:a16="http://schemas.microsoft.com/office/drawing/2014/main" id="{00000000-0008-0000-0900-000015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508000</xdr:colOff>
          <xdr:row>8</xdr:row>
          <xdr:rowOff>114300</xdr:rowOff>
        </xdr:from>
        <xdr:to>
          <xdr:col>14</xdr:col>
          <xdr:colOff>508000</xdr:colOff>
          <xdr:row>11</xdr:row>
          <xdr:rowOff>101600</xdr:rowOff>
        </xdr:to>
        <xdr:sp macro="" textlink="">
          <xdr:nvSpPr>
            <xdr:cNvPr id="49174" name="globalbacktobutton" hidden="1">
              <a:extLst>
                <a:ext uri="{63B3BB69-23CF-44E3-9099-C40C66FF867C}">
                  <a14:compatExt spid="_x0000_s49174"/>
                </a:ext>
                <a:ext uri="{FF2B5EF4-FFF2-40B4-BE49-F238E27FC236}">
                  <a16:creationId xmlns:a16="http://schemas.microsoft.com/office/drawing/2014/main" id="{00000000-0008-0000-0900-000016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831850</xdr:colOff>
          <xdr:row>9</xdr:row>
          <xdr:rowOff>6350</xdr:rowOff>
        </xdr:from>
        <xdr:to>
          <xdr:col>9</xdr:col>
          <xdr:colOff>266700</xdr:colOff>
          <xdr:row>10</xdr:row>
          <xdr:rowOff>114300</xdr:rowOff>
        </xdr:to>
        <xdr:sp macro="" textlink="">
          <xdr:nvSpPr>
            <xdr:cNvPr id="49175" name="Button 23" hidden="1">
              <a:extLst>
                <a:ext uri="{63B3BB69-23CF-44E3-9099-C40C66FF867C}">
                  <a14:compatExt spid="_x0000_s49175"/>
                </a:ext>
                <a:ext uri="{FF2B5EF4-FFF2-40B4-BE49-F238E27FC236}">
                  <a16:creationId xmlns:a16="http://schemas.microsoft.com/office/drawing/2014/main" id="{00000000-0008-0000-0900-000017C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831850</xdr:colOff>
          <xdr:row>22</xdr:row>
          <xdr:rowOff>12700</xdr:rowOff>
        </xdr:from>
        <xdr:to>
          <xdr:col>9</xdr:col>
          <xdr:colOff>266700</xdr:colOff>
          <xdr:row>23</xdr:row>
          <xdr:rowOff>120650</xdr:rowOff>
        </xdr:to>
        <xdr:sp macro="" textlink="">
          <xdr:nvSpPr>
            <xdr:cNvPr id="49176" name="Button 24" hidden="1">
              <a:extLst>
                <a:ext uri="{63B3BB69-23CF-44E3-9099-C40C66FF867C}">
                  <a14:compatExt spid="_x0000_s49176"/>
                </a:ext>
                <a:ext uri="{FF2B5EF4-FFF2-40B4-BE49-F238E27FC236}">
                  <a16:creationId xmlns:a16="http://schemas.microsoft.com/office/drawing/2014/main" id="{00000000-0008-0000-0900-000018C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831850</xdr:colOff>
          <xdr:row>35</xdr:row>
          <xdr:rowOff>31750</xdr:rowOff>
        </xdr:from>
        <xdr:to>
          <xdr:col>9</xdr:col>
          <xdr:colOff>266700</xdr:colOff>
          <xdr:row>36</xdr:row>
          <xdr:rowOff>139700</xdr:rowOff>
        </xdr:to>
        <xdr:sp macro="" textlink="">
          <xdr:nvSpPr>
            <xdr:cNvPr id="49177" name="Button 25" hidden="1">
              <a:extLst>
                <a:ext uri="{63B3BB69-23CF-44E3-9099-C40C66FF867C}">
                  <a14:compatExt spid="_x0000_s49177"/>
                </a:ext>
                <a:ext uri="{FF2B5EF4-FFF2-40B4-BE49-F238E27FC236}">
                  <a16:creationId xmlns:a16="http://schemas.microsoft.com/office/drawing/2014/main" id="{00000000-0008-0000-0900-000019C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sum</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2</xdr:row>
          <xdr:rowOff>25400</xdr:rowOff>
        </xdr:from>
        <xdr:to>
          <xdr:col>0</xdr:col>
          <xdr:colOff>1035050</xdr:colOff>
          <xdr:row>4</xdr:row>
          <xdr:rowOff>31750</xdr:rowOff>
        </xdr:to>
        <xdr:sp macro="" textlink="">
          <xdr:nvSpPr>
            <xdr:cNvPr id="29699" name="home" hidden="1">
              <a:extLst>
                <a:ext uri="{63B3BB69-23CF-44E3-9099-C40C66FF867C}">
                  <a14:compatExt spid="_x0000_s29699"/>
                </a:ext>
                <a:ext uri="{FF2B5EF4-FFF2-40B4-BE49-F238E27FC236}">
                  <a16:creationId xmlns:a16="http://schemas.microsoft.com/office/drawing/2014/main" id="{00000000-0008-0000-0A00-000003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4</xdr:row>
          <xdr:rowOff>38100</xdr:rowOff>
        </xdr:from>
        <xdr:to>
          <xdr:col>0</xdr:col>
          <xdr:colOff>1035050</xdr:colOff>
          <xdr:row>6</xdr:row>
          <xdr:rowOff>139700</xdr:rowOff>
        </xdr:to>
        <xdr:sp macro="" textlink="">
          <xdr:nvSpPr>
            <xdr:cNvPr id="29700" name="basic" hidden="1">
              <a:extLst>
                <a:ext uri="{63B3BB69-23CF-44E3-9099-C40C66FF867C}">
                  <a14:compatExt spid="_x0000_s29700"/>
                </a:ext>
                <a:ext uri="{FF2B5EF4-FFF2-40B4-BE49-F238E27FC236}">
                  <a16:creationId xmlns:a16="http://schemas.microsoft.com/office/drawing/2014/main" id="{00000000-0008-0000-0A00-00000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12700</xdr:rowOff>
        </xdr:from>
        <xdr:to>
          <xdr:col>0</xdr:col>
          <xdr:colOff>1066800</xdr:colOff>
          <xdr:row>22</xdr:row>
          <xdr:rowOff>114300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A00-000005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127000</xdr:rowOff>
        </xdr:from>
        <xdr:to>
          <xdr:col>11</xdr:col>
          <xdr:colOff>831850</xdr:colOff>
          <xdr:row>4</xdr:row>
          <xdr:rowOff>63500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A00-000006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88900</xdr:rowOff>
        </xdr:from>
        <xdr:to>
          <xdr:col>11</xdr:col>
          <xdr:colOff>501650</xdr:colOff>
          <xdr:row>13</xdr:row>
          <xdr:rowOff>146050</xdr:rowOff>
        </xdr:to>
        <xdr:sp macro="" textlink="">
          <xdr:nvSpPr>
            <xdr:cNvPr id="29710" name="Button 14" hidden="1">
              <a:extLst>
                <a:ext uri="{63B3BB69-23CF-44E3-9099-C40C66FF867C}">
                  <a14:compatExt spid="_x0000_s29710"/>
                </a:ext>
                <a:ext uri="{FF2B5EF4-FFF2-40B4-BE49-F238E27FC236}">
                  <a16:creationId xmlns:a16="http://schemas.microsoft.com/office/drawing/2014/main" id="{00000000-0008-0000-0A00-00000E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508000</xdr:colOff>
          <xdr:row>11</xdr:row>
          <xdr:rowOff>88900</xdr:rowOff>
        </xdr:from>
        <xdr:to>
          <xdr:col>11</xdr:col>
          <xdr:colOff>1193800</xdr:colOff>
          <xdr:row>13</xdr:row>
          <xdr:rowOff>146050</xdr:rowOff>
        </xdr:to>
        <xdr:sp macro="" textlink="">
          <xdr:nvSpPr>
            <xdr:cNvPr id="29711" name="Button 15" hidden="1">
              <a:extLst>
                <a:ext uri="{63B3BB69-23CF-44E3-9099-C40C66FF867C}">
                  <a14:compatExt spid="_x0000_s29711"/>
                </a:ext>
                <a:ext uri="{FF2B5EF4-FFF2-40B4-BE49-F238E27FC236}">
                  <a16:creationId xmlns:a16="http://schemas.microsoft.com/office/drawing/2014/main" id="{00000000-0008-0000-0A00-00000F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1206500</xdr:colOff>
          <xdr:row>11</xdr:row>
          <xdr:rowOff>88900</xdr:rowOff>
        </xdr:from>
        <xdr:to>
          <xdr:col>11</xdr:col>
          <xdr:colOff>1739900</xdr:colOff>
          <xdr:row>13</xdr:row>
          <xdr:rowOff>146050</xdr:rowOff>
        </xdr:to>
        <xdr:sp macro="" textlink="">
          <xdr:nvSpPr>
            <xdr:cNvPr id="29712" name="Button 16" hidden="1">
              <a:extLst>
                <a:ext uri="{63B3BB69-23CF-44E3-9099-C40C66FF867C}">
                  <a14:compatExt spid="_x0000_s29712"/>
                </a:ext>
                <a:ext uri="{FF2B5EF4-FFF2-40B4-BE49-F238E27FC236}">
                  <a16:creationId xmlns:a16="http://schemas.microsoft.com/office/drawing/2014/main" id="{00000000-0008-0000-0A00-00001074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1746250</xdr:colOff>
          <xdr:row>11</xdr:row>
          <xdr:rowOff>88900</xdr:rowOff>
        </xdr:from>
        <xdr:to>
          <xdr:col>11</xdr:col>
          <xdr:colOff>2273300</xdr:colOff>
          <xdr:row>13</xdr:row>
          <xdr:rowOff>146050</xdr:rowOff>
        </xdr:to>
        <xdr:sp macro="" textlink="">
          <xdr:nvSpPr>
            <xdr:cNvPr id="29713" name="Button 17" hidden="1">
              <a:extLst>
                <a:ext uri="{63B3BB69-23CF-44E3-9099-C40C66FF867C}">
                  <a14:compatExt spid="_x0000_s29713"/>
                </a:ext>
                <a:ext uri="{FF2B5EF4-FFF2-40B4-BE49-F238E27FC236}">
                  <a16:creationId xmlns:a16="http://schemas.microsoft.com/office/drawing/2014/main" id="{00000000-0008-0000-0A00-00001174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654050</xdr:colOff>
          <xdr:row>9</xdr:row>
          <xdr:rowOff>120650</xdr:rowOff>
        </xdr:from>
        <xdr:to>
          <xdr:col>11</xdr:col>
          <xdr:colOff>1339850</xdr:colOff>
          <xdr:row>11</xdr:row>
          <xdr:rowOff>82550</xdr:rowOff>
        </xdr:to>
        <xdr:sp macro="" textlink="">
          <xdr:nvSpPr>
            <xdr:cNvPr id="29714" name="Button 18" hidden="1">
              <a:extLst>
                <a:ext uri="{63B3BB69-23CF-44E3-9099-C40C66FF867C}">
                  <a14:compatExt spid="_x0000_s29714"/>
                </a:ext>
                <a:ext uri="{FF2B5EF4-FFF2-40B4-BE49-F238E27FC236}">
                  <a16:creationId xmlns:a16="http://schemas.microsoft.com/office/drawing/2014/main" id="{00000000-0008-0000-0A00-000012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647700</xdr:colOff>
          <xdr:row>11</xdr:row>
          <xdr:rowOff>82550</xdr:rowOff>
        </xdr:to>
        <xdr:sp macro="" textlink="">
          <xdr:nvSpPr>
            <xdr:cNvPr id="29715" name="Button 19" hidden="1">
              <a:extLst>
                <a:ext uri="{63B3BB69-23CF-44E3-9099-C40C66FF867C}">
                  <a14:compatExt spid="_x0000_s29715"/>
                </a:ext>
                <a:ext uri="{FF2B5EF4-FFF2-40B4-BE49-F238E27FC236}">
                  <a16:creationId xmlns:a16="http://schemas.microsoft.com/office/drawing/2014/main" id="{00000000-0008-0000-0A00-000013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1346200</xdr:colOff>
          <xdr:row>9</xdr:row>
          <xdr:rowOff>120650</xdr:rowOff>
        </xdr:from>
        <xdr:to>
          <xdr:col>11</xdr:col>
          <xdr:colOff>2273300</xdr:colOff>
          <xdr:row>11</xdr:row>
          <xdr:rowOff>82550</xdr:rowOff>
        </xdr:to>
        <xdr:sp macro="" textlink="">
          <xdr:nvSpPr>
            <xdr:cNvPr id="29716" name="Button 20" hidden="1">
              <a:extLst>
                <a:ext uri="{63B3BB69-23CF-44E3-9099-C40C66FF867C}">
                  <a14:compatExt spid="_x0000_s29716"/>
                </a:ext>
                <a:ext uri="{FF2B5EF4-FFF2-40B4-BE49-F238E27FC236}">
                  <a16:creationId xmlns:a16="http://schemas.microsoft.com/office/drawing/2014/main" id="{00000000-0008-0000-0A00-00001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22</xdr:row>
          <xdr:rowOff>114300</xdr:rowOff>
        </xdr:from>
        <xdr:to>
          <xdr:col>11</xdr:col>
          <xdr:colOff>863600</xdr:colOff>
          <xdr:row>26</xdr:row>
          <xdr:rowOff>38100</xdr:rowOff>
        </xdr:to>
        <xdr:sp macro="" textlink="">
          <xdr:nvSpPr>
            <xdr:cNvPr id="29717" name="Button 21" hidden="1">
              <a:extLst>
                <a:ext uri="{63B3BB69-23CF-44E3-9099-C40C66FF867C}">
                  <a14:compatExt spid="_x0000_s29717"/>
                </a:ext>
                <a:ext uri="{FF2B5EF4-FFF2-40B4-BE49-F238E27FC236}">
                  <a16:creationId xmlns:a16="http://schemas.microsoft.com/office/drawing/2014/main" id="{00000000-0008-0000-0A00-000015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28</xdr:row>
          <xdr:rowOff>146050</xdr:rowOff>
        </xdr:from>
        <xdr:to>
          <xdr:col>11</xdr:col>
          <xdr:colOff>863600</xdr:colOff>
          <xdr:row>31</xdr:row>
          <xdr:rowOff>234950</xdr:rowOff>
        </xdr:to>
        <xdr:sp macro="" textlink="">
          <xdr:nvSpPr>
            <xdr:cNvPr id="29718" name="Button 22" hidden="1">
              <a:extLst>
                <a:ext uri="{63B3BB69-23CF-44E3-9099-C40C66FF867C}">
                  <a14:compatExt spid="_x0000_s29718"/>
                </a:ext>
                <a:ext uri="{FF2B5EF4-FFF2-40B4-BE49-F238E27FC236}">
                  <a16:creationId xmlns:a16="http://schemas.microsoft.com/office/drawing/2014/main" id="{00000000-0008-0000-0A00-000016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863600</xdr:colOff>
          <xdr:row>21</xdr:row>
          <xdr:rowOff>146050</xdr:rowOff>
        </xdr:to>
        <xdr:sp macro="" textlink="">
          <xdr:nvSpPr>
            <xdr:cNvPr id="29719" name="globalbacktobutton" hidden="1">
              <a:extLst>
                <a:ext uri="{63B3BB69-23CF-44E3-9099-C40C66FF867C}">
                  <a14:compatExt spid="_x0000_s29719"/>
                </a:ext>
                <a:ext uri="{FF2B5EF4-FFF2-40B4-BE49-F238E27FC236}">
                  <a16:creationId xmlns:a16="http://schemas.microsoft.com/office/drawing/2014/main" id="{00000000-0008-0000-0A00-0000177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1593850</xdr:colOff>
          <xdr:row>44</xdr:row>
          <xdr:rowOff>139700</xdr:rowOff>
        </xdr:from>
        <xdr:to>
          <xdr:col>5</xdr:col>
          <xdr:colOff>901700</xdr:colOff>
          <xdr:row>46</xdr:row>
          <xdr:rowOff>114300</xdr:rowOff>
        </xdr:to>
        <xdr:sp macro="" textlink="">
          <xdr:nvSpPr>
            <xdr:cNvPr id="29720" name="troyr1" hidden="1">
              <a:extLst>
                <a:ext uri="{63B3BB69-23CF-44E3-9099-C40C66FF867C}">
                  <a14:compatExt spid="_x0000_s29720"/>
                </a:ext>
                <a:ext uri="{FF2B5EF4-FFF2-40B4-BE49-F238E27FC236}">
                  <a16:creationId xmlns:a16="http://schemas.microsoft.com/office/drawing/2014/main" id="{00000000-0008-0000-0A00-000018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2</xdr:row>
          <xdr:rowOff>25400</xdr:rowOff>
        </xdr:from>
        <xdr:to>
          <xdr:col>0</xdr:col>
          <xdr:colOff>1035050</xdr:colOff>
          <xdr:row>4</xdr:row>
          <xdr:rowOff>31750</xdr:rowOff>
        </xdr:to>
        <xdr:sp macro="" textlink="">
          <xdr:nvSpPr>
            <xdr:cNvPr id="38913" name="home" hidden="1">
              <a:extLst>
                <a:ext uri="{63B3BB69-23CF-44E3-9099-C40C66FF867C}">
                  <a14:compatExt spid="_x0000_s38913"/>
                </a:ext>
                <a:ext uri="{FF2B5EF4-FFF2-40B4-BE49-F238E27FC236}">
                  <a16:creationId xmlns:a16="http://schemas.microsoft.com/office/drawing/2014/main" id="{00000000-0008-0000-0B00-000001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4</xdr:row>
          <xdr:rowOff>38100</xdr:rowOff>
        </xdr:from>
        <xdr:to>
          <xdr:col>0</xdr:col>
          <xdr:colOff>1035050</xdr:colOff>
          <xdr:row>6</xdr:row>
          <xdr:rowOff>139700</xdr:rowOff>
        </xdr:to>
        <xdr:sp macro="" textlink="">
          <xdr:nvSpPr>
            <xdr:cNvPr id="38914" name="basic" hidden="1">
              <a:extLst>
                <a:ext uri="{63B3BB69-23CF-44E3-9099-C40C66FF867C}">
                  <a14:compatExt spid="_x0000_s38914"/>
                </a:ext>
                <a:ext uri="{FF2B5EF4-FFF2-40B4-BE49-F238E27FC236}">
                  <a16:creationId xmlns:a16="http://schemas.microsoft.com/office/drawing/2014/main" id="{00000000-0008-0000-0B00-000002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12700</xdr:rowOff>
        </xdr:from>
        <xdr:to>
          <xdr:col>0</xdr:col>
          <xdr:colOff>1066800</xdr:colOff>
          <xdr:row>22</xdr:row>
          <xdr:rowOff>114300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B00-000003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127000</xdr:rowOff>
        </xdr:from>
        <xdr:to>
          <xdr:col>11</xdr:col>
          <xdr:colOff>831850</xdr:colOff>
          <xdr:row>4</xdr:row>
          <xdr:rowOff>63500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B00-000004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88900</xdr:rowOff>
        </xdr:from>
        <xdr:to>
          <xdr:col>11</xdr:col>
          <xdr:colOff>501650</xdr:colOff>
          <xdr:row>13</xdr:row>
          <xdr:rowOff>146050</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B00-000005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508000</xdr:colOff>
          <xdr:row>11</xdr:row>
          <xdr:rowOff>88900</xdr:rowOff>
        </xdr:from>
        <xdr:to>
          <xdr:col>11</xdr:col>
          <xdr:colOff>1193800</xdr:colOff>
          <xdr:row>13</xdr:row>
          <xdr:rowOff>146050</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B00-000006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1206500</xdr:colOff>
          <xdr:row>11</xdr:row>
          <xdr:rowOff>88900</xdr:rowOff>
        </xdr:from>
        <xdr:to>
          <xdr:col>11</xdr:col>
          <xdr:colOff>1739900</xdr:colOff>
          <xdr:row>13</xdr:row>
          <xdr:rowOff>146050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B00-00000798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1746250</xdr:colOff>
          <xdr:row>11</xdr:row>
          <xdr:rowOff>88900</xdr:rowOff>
        </xdr:from>
        <xdr:to>
          <xdr:col>11</xdr:col>
          <xdr:colOff>2273300</xdr:colOff>
          <xdr:row>13</xdr:row>
          <xdr:rowOff>146050</xdr:rowOff>
        </xdr:to>
        <xdr:sp macro="" textlink="">
          <xdr:nvSpPr>
            <xdr:cNvPr id="38920" name="Button 8" hidden="1">
              <a:extLst>
                <a:ext uri="{63B3BB69-23CF-44E3-9099-C40C66FF867C}">
                  <a14:compatExt spid="_x0000_s38920"/>
                </a:ext>
                <a:ext uri="{FF2B5EF4-FFF2-40B4-BE49-F238E27FC236}">
                  <a16:creationId xmlns:a16="http://schemas.microsoft.com/office/drawing/2014/main" id="{00000000-0008-0000-0B00-00000898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654050</xdr:colOff>
          <xdr:row>9</xdr:row>
          <xdr:rowOff>120650</xdr:rowOff>
        </xdr:from>
        <xdr:to>
          <xdr:col>11</xdr:col>
          <xdr:colOff>1339850</xdr:colOff>
          <xdr:row>11</xdr:row>
          <xdr:rowOff>82550</xdr:rowOff>
        </xdr:to>
        <xdr:sp macro="" textlink="">
          <xdr:nvSpPr>
            <xdr:cNvPr id="38921" name="Button 9" hidden="1">
              <a:extLst>
                <a:ext uri="{63B3BB69-23CF-44E3-9099-C40C66FF867C}">
                  <a14:compatExt spid="_x0000_s38921"/>
                </a:ext>
                <a:ext uri="{FF2B5EF4-FFF2-40B4-BE49-F238E27FC236}">
                  <a16:creationId xmlns:a16="http://schemas.microsoft.com/office/drawing/2014/main" id="{00000000-0008-0000-0B00-000009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647700</xdr:colOff>
          <xdr:row>11</xdr:row>
          <xdr:rowOff>82550</xdr:rowOff>
        </xdr:to>
        <xdr:sp macro="" textlink="">
          <xdr:nvSpPr>
            <xdr:cNvPr id="38922" name="Button 10" hidden="1">
              <a:extLst>
                <a:ext uri="{63B3BB69-23CF-44E3-9099-C40C66FF867C}">
                  <a14:compatExt spid="_x0000_s38922"/>
                </a:ext>
                <a:ext uri="{FF2B5EF4-FFF2-40B4-BE49-F238E27FC236}">
                  <a16:creationId xmlns:a16="http://schemas.microsoft.com/office/drawing/2014/main" id="{00000000-0008-0000-0B00-00000A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1346200</xdr:colOff>
          <xdr:row>9</xdr:row>
          <xdr:rowOff>120650</xdr:rowOff>
        </xdr:from>
        <xdr:to>
          <xdr:col>11</xdr:col>
          <xdr:colOff>2273300</xdr:colOff>
          <xdr:row>11</xdr:row>
          <xdr:rowOff>82550</xdr:rowOff>
        </xdr:to>
        <xdr:sp macro="" textlink="">
          <xdr:nvSpPr>
            <xdr:cNvPr id="38923" name="Button 11" hidden="1">
              <a:extLst>
                <a:ext uri="{63B3BB69-23CF-44E3-9099-C40C66FF867C}">
                  <a14:compatExt spid="_x0000_s38923"/>
                </a:ext>
                <a:ext uri="{FF2B5EF4-FFF2-40B4-BE49-F238E27FC236}">
                  <a16:creationId xmlns:a16="http://schemas.microsoft.com/office/drawing/2014/main" id="{00000000-0008-0000-0B00-00000B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22</xdr:row>
          <xdr:rowOff>114300</xdr:rowOff>
        </xdr:from>
        <xdr:to>
          <xdr:col>11</xdr:col>
          <xdr:colOff>863600</xdr:colOff>
          <xdr:row>26</xdr:row>
          <xdr:rowOff>38100</xdr:rowOff>
        </xdr:to>
        <xdr:sp macro="" textlink="">
          <xdr:nvSpPr>
            <xdr:cNvPr id="38924" name="Button 12" hidden="1">
              <a:extLst>
                <a:ext uri="{63B3BB69-23CF-44E3-9099-C40C66FF867C}">
                  <a14:compatExt spid="_x0000_s38924"/>
                </a:ext>
                <a:ext uri="{FF2B5EF4-FFF2-40B4-BE49-F238E27FC236}">
                  <a16:creationId xmlns:a16="http://schemas.microsoft.com/office/drawing/2014/main" id="{00000000-0008-0000-0B00-00000C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28</xdr:row>
          <xdr:rowOff>146050</xdr:rowOff>
        </xdr:from>
        <xdr:to>
          <xdr:col>11</xdr:col>
          <xdr:colOff>863600</xdr:colOff>
          <xdr:row>31</xdr:row>
          <xdr:rowOff>234950</xdr:rowOff>
        </xdr:to>
        <xdr:sp macro="" textlink="">
          <xdr:nvSpPr>
            <xdr:cNvPr id="38925" name="Button 13" hidden="1">
              <a:extLst>
                <a:ext uri="{63B3BB69-23CF-44E3-9099-C40C66FF867C}">
                  <a14:compatExt spid="_x0000_s38925"/>
                </a:ext>
                <a:ext uri="{FF2B5EF4-FFF2-40B4-BE49-F238E27FC236}">
                  <a16:creationId xmlns:a16="http://schemas.microsoft.com/office/drawing/2014/main" id="{00000000-0008-0000-0B00-00000D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863600</xdr:colOff>
          <xdr:row>21</xdr:row>
          <xdr:rowOff>146050</xdr:rowOff>
        </xdr:to>
        <xdr:sp macro="" textlink="">
          <xdr:nvSpPr>
            <xdr:cNvPr id="38926" name="globalbacktobutton" hidden="1">
              <a:extLst>
                <a:ext uri="{63B3BB69-23CF-44E3-9099-C40C66FF867C}">
                  <a14:compatExt spid="_x0000_s38926"/>
                </a:ext>
                <a:ext uri="{FF2B5EF4-FFF2-40B4-BE49-F238E27FC236}">
                  <a16:creationId xmlns:a16="http://schemas.microsoft.com/office/drawing/2014/main" id="{00000000-0008-0000-0B00-00000E9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1593850</xdr:colOff>
          <xdr:row>44</xdr:row>
          <xdr:rowOff>139700</xdr:rowOff>
        </xdr:from>
        <xdr:to>
          <xdr:col>5</xdr:col>
          <xdr:colOff>901700</xdr:colOff>
          <xdr:row>46</xdr:row>
          <xdr:rowOff>114300</xdr:rowOff>
        </xdr:to>
        <xdr:sp macro="" textlink="">
          <xdr:nvSpPr>
            <xdr:cNvPr id="38927" name="troyr1" hidden="1">
              <a:extLst>
                <a:ext uri="{63B3BB69-23CF-44E3-9099-C40C66FF867C}">
                  <a14:compatExt spid="_x0000_s38927"/>
                </a:ext>
                <a:ext uri="{FF2B5EF4-FFF2-40B4-BE49-F238E27FC236}">
                  <a16:creationId xmlns:a16="http://schemas.microsoft.com/office/drawing/2014/main" id="{00000000-0008-0000-0B00-00000F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2</xdr:row>
          <xdr:rowOff>25400</xdr:rowOff>
        </xdr:from>
        <xdr:to>
          <xdr:col>0</xdr:col>
          <xdr:colOff>1035050</xdr:colOff>
          <xdr:row>4</xdr:row>
          <xdr:rowOff>31750</xdr:rowOff>
        </xdr:to>
        <xdr:sp macro="" textlink="">
          <xdr:nvSpPr>
            <xdr:cNvPr id="30721" name="home" hidden="1">
              <a:extLst>
                <a:ext uri="{63B3BB69-23CF-44E3-9099-C40C66FF867C}">
                  <a14:compatExt spid="_x0000_s30721"/>
                </a:ext>
                <a:ext uri="{FF2B5EF4-FFF2-40B4-BE49-F238E27FC236}">
                  <a16:creationId xmlns:a16="http://schemas.microsoft.com/office/drawing/2014/main" id="{00000000-0008-0000-0C00-000001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4</xdr:row>
          <xdr:rowOff>38100</xdr:rowOff>
        </xdr:from>
        <xdr:to>
          <xdr:col>0</xdr:col>
          <xdr:colOff>1035050</xdr:colOff>
          <xdr:row>6</xdr:row>
          <xdr:rowOff>139700</xdr:rowOff>
        </xdr:to>
        <xdr:sp macro="" textlink="">
          <xdr:nvSpPr>
            <xdr:cNvPr id="30722" name="basic" hidden="1">
              <a:extLst>
                <a:ext uri="{63B3BB69-23CF-44E3-9099-C40C66FF867C}">
                  <a14:compatExt spid="_x0000_s30722"/>
                </a:ext>
                <a:ext uri="{FF2B5EF4-FFF2-40B4-BE49-F238E27FC236}">
                  <a16:creationId xmlns:a16="http://schemas.microsoft.com/office/drawing/2014/main" id="{00000000-0008-0000-0C00-000002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12700</xdr:rowOff>
        </xdr:from>
        <xdr:to>
          <xdr:col>0</xdr:col>
          <xdr:colOff>1066800</xdr:colOff>
          <xdr:row>22</xdr:row>
          <xdr:rowOff>114300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0C00-000003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23</xdr:row>
          <xdr:rowOff>12700</xdr:rowOff>
        </xdr:from>
        <xdr:to>
          <xdr:col>0</xdr:col>
          <xdr:colOff>1066800</xdr:colOff>
          <xdr:row>26</xdr:row>
          <xdr:rowOff>114300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0C00-000004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127000</xdr:rowOff>
        </xdr:from>
        <xdr:to>
          <xdr:col>11</xdr:col>
          <xdr:colOff>419100</xdr:colOff>
          <xdr:row>4</xdr:row>
          <xdr:rowOff>63500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C00-000005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0C00-000006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88900</xdr:rowOff>
        </xdr:from>
        <xdr:to>
          <xdr:col>11</xdr:col>
          <xdr:colOff>88900</xdr:colOff>
          <xdr:row>13</xdr:row>
          <xdr:rowOff>146050</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0C00-000007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88900</xdr:rowOff>
        </xdr:from>
        <xdr:to>
          <xdr:col>11</xdr:col>
          <xdr:colOff>787400</xdr:colOff>
          <xdr:row>13</xdr:row>
          <xdr:rowOff>146050</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0C00-000008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88900</xdr:rowOff>
        </xdr:from>
        <xdr:to>
          <xdr:col>12</xdr:col>
          <xdr:colOff>508000</xdr:colOff>
          <xdr:row>13</xdr:row>
          <xdr:rowOff>146050</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0C00-00000978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88900</xdr:rowOff>
        </xdr:from>
        <xdr:to>
          <xdr:col>12</xdr:col>
          <xdr:colOff>1041400</xdr:colOff>
          <xdr:row>13</xdr:row>
          <xdr:rowOff>146050</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0C00-00000A78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241300</xdr:colOff>
          <xdr:row>9</xdr:row>
          <xdr:rowOff>120650</xdr:rowOff>
        </xdr:from>
        <xdr:to>
          <xdr:col>12</xdr:col>
          <xdr:colOff>114300</xdr:colOff>
          <xdr:row>11</xdr:row>
          <xdr:rowOff>82550</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0C00-00000B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0C00-00000C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127000</xdr:colOff>
          <xdr:row>9</xdr:row>
          <xdr:rowOff>120650</xdr:rowOff>
        </xdr:from>
        <xdr:to>
          <xdr:col>12</xdr:col>
          <xdr:colOff>1041400</xdr:colOff>
          <xdr:row>11</xdr:row>
          <xdr:rowOff>82550</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0C00-00000D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22</xdr:row>
          <xdr:rowOff>114300</xdr:rowOff>
        </xdr:from>
        <xdr:to>
          <xdr:col>11</xdr:col>
          <xdr:colOff>450850</xdr:colOff>
          <xdr:row>26</xdr:row>
          <xdr:rowOff>38100</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0C00-00000E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28</xdr:row>
          <xdr:rowOff>146050</xdr:rowOff>
        </xdr:from>
        <xdr:to>
          <xdr:col>11</xdr:col>
          <xdr:colOff>450850</xdr:colOff>
          <xdr:row>31</xdr:row>
          <xdr:rowOff>234950</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0C00-00000F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30736" name="globalbacktobutton" hidden="1">
              <a:extLst>
                <a:ext uri="{63B3BB69-23CF-44E3-9099-C40C66FF867C}">
                  <a14:compatExt spid="_x0000_s30736"/>
                </a:ext>
                <a:ext uri="{FF2B5EF4-FFF2-40B4-BE49-F238E27FC236}">
                  <a16:creationId xmlns:a16="http://schemas.microsoft.com/office/drawing/2014/main" id="{00000000-0008-0000-0C00-0000107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1593850</xdr:colOff>
          <xdr:row>44</xdr:row>
          <xdr:rowOff>139700</xdr:rowOff>
        </xdr:from>
        <xdr:to>
          <xdr:col>5</xdr:col>
          <xdr:colOff>901700</xdr:colOff>
          <xdr:row>46</xdr:row>
          <xdr:rowOff>114300</xdr:rowOff>
        </xdr:to>
        <xdr:sp macro="" textlink="">
          <xdr:nvSpPr>
            <xdr:cNvPr id="30738" name="troyr1" hidden="1">
              <a:extLst>
                <a:ext uri="{63B3BB69-23CF-44E3-9099-C40C66FF867C}">
                  <a14:compatExt spid="_x0000_s30738"/>
                </a:ext>
                <a:ext uri="{FF2B5EF4-FFF2-40B4-BE49-F238E27FC236}">
                  <a16:creationId xmlns:a16="http://schemas.microsoft.com/office/drawing/2014/main" id="{00000000-0008-0000-0C00-000012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2</xdr:row>
          <xdr:rowOff>25400</xdr:rowOff>
        </xdr:from>
        <xdr:to>
          <xdr:col>0</xdr:col>
          <xdr:colOff>1035050</xdr:colOff>
          <xdr:row>4</xdr:row>
          <xdr:rowOff>31750</xdr:rowOff>
        </xdr:to>
        <xdr:sp macro="" textlink="">
          <xdr:nvSpPr>
            <xdr:cNvPr id="39937" name="home" hidden="1">
              <a:extLst>
                <a:ext uri="{63B3BB69-23CF-44E3-9099-C40C66FF867C}">
                  <a14:compatExt spid="_x0000_s39937"/>
                </a:ext>
                <a:ext uri="{FF2B5EF4-FFF2-40B4-BE49-F238E27FC236}">
                  <a16:creationId xmlns:a16="http://schemas.microsoft.com/office/drawing/2014/main" id="{00000000-0008-0000-0D00-000001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4</xdr:row>
          <xdr:rowOff>38100</xdr:rowOff>
        </xdr:from>
        <xdr:to>
          <xdr:col>0</xdr:col>
          <xdr:colOff>1035050</xdr:colOff>
          <xdr:row>6</xdr:row>
          <xdr:rowOff>139700</xdr:rowOff>
        </xdr:to>
        <xdr:sp macro="" textlink="">
          <xdr:nvSpPr>
            <xdr:cNvPr id="39938" name="basic" hidden="1">
              <a:extLst>
                <a:ext uri="{63B3BB69-23CF-44E3-9099-C40C66FF867C}">
                  <a14:compatExt spid="_x0000_s39938"/>
                </a:ext>
                <a:ext uri="{FF2B5EF4-FFF2-40B4-BE49-F238E27FC236}">
                  <a16:creationId xmlns:a16="http://schemas.microsoft.com/office/drawing/2014/main" id="{00000000-0008-0000-0D00-000002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12700</xdr:rowOff>
        </xdr:from>
        <xdr:to>
          <xdr:col>0</xdr:col>
          <xdr:colOff>1066800</xdr:colOff>
          <xdr:row>22</xdr:row>
          <xdr:rowOff>114300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D00-000003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23</xdr:row>
          <xdr:rowOff>12700</xdr:rowOff>
        </xdr:from>
        <xdr:to>
          <xdr:col>0</xdr:col>
          <xdr:colOff>1066800</xdr:colOff>
          <xdr:row>26</xdr:row>
          <xdr:rowOff>114300</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0D00-000004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127000</xdr:rowOff>
        </xdr:from>
        <xdr:to>
          <xdr:col>11</xdr:col>
          <xdr:colOff>419100</xdr:colOff>
          <xdr:row>4</xdr:row>
          <xdr:rowOff>63500</xdr:rowOff>
        </xdr:to>
        <xdr:sp macro="" textlink="">
          <xdr:nvSpPr>
            <xdr:cNvPr id="39941" name="Button 5" hidden="1">
              <a:extLst>
                <a:ext uri="{63B3BB69-23CF-44E3-9099-C40C66FF867C}">
                  <a14:compatExt spid="_x0000_s39941"/>
                </a:ext>
                <a:ext uri="{FF2B5EF4-FFF2-40B4-BE49-F238E27FC236}">
                  <a16:creationId xmlns:a16="http://schemas.microsoft.com/office/drawing/2014/main" id="{00000000-0008-0000-0D00-000005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39942" name="Button 6" hidden="1">
              <a:extLst>
                <a:ext uri="{63B3BB69-23CF-44E3-9099-C40C66FF867C}">
                  <a14:compatExt spid="_x0000_s39942"/>
                </a:ext>
                <a:ext uri="{FF2B5EF4-FFF2-40B4-BE49-F238E27FC236}">
                  <a16:creationId xmlns:a16="http://schemas.microsoft.com/office/drawing/2014/main" id="{00000000-0008-0000-0D00-000006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88900</xdr:rowOff>
        </xdr:from>
        <xdr:to>
          <xdr:col>11</xdr:col>
          <xdr:colOff>88900</xdr:colOff>
          <xdr:row>13</xdr:row>
          <xdr:rowOff>146050</xdr:rowOff>
        </xdr:to>
        <xdr:sp macro="" textlink="">
          <xdr:nvSpPr>
            <xdr:cNvPr id="39943" name="Button 7" hidden="1">
              <a:extLst>
                <a:ext uri="{63B3BB69-23CF-44E3-9099-C40C66FF867C}">
                  <a14:compatExt spid="_x0000_s39943"/>
                </a:ext>
                <a:ext uri="{FF2B5EF4-FFF2-40B4-BE49-F238E27FC236}">
                  <a16:creationId xmlns:a16="http://schemas.microsoft.com/office/drawing/2014/main" id="{00000000-0008-0000-0D00-000007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88900</xdr:rowOff>
        </xdr:from>
        <xdr:to>
          <xdr:col>11</xdr:col>
          <xdr:colOff>787400</xdr:colOff>
          <xdr:row>13</xdr:row>
          <xdr:rowOff>146050</xdr:rowOff>
        </xdr:to>
        <xdr:sp macro="" textlink="">
          <xdr:nvSpPr>
            <xdr:cNvPr id="39944" name="Button 8" hidden="1">
              <a:extLst>
                <a:ext uri="{63B3BB69-23CF-44E3-9099-C40C66FF867C}">
                  <a14:compatExt spid="_x0000_s39944"/>
                </a:ext>
                <a:ext uri="{FF2B5EF4-FFF2-40B4-BE49-F238E27FC236}">
                  <a16:creationId xmlns:a16="http://schemas.microsoft.com/office/drawing/2014/main" id="{00000000-0008-0000-0D00-000008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88900</xdr:rowOff>
        </xdr:from>
        <xdr:to>
          <xdr:col>12</xdr:col>
          <xdr:colOff>508000</xdr:colOff>
          <xdr:row>13</xdr:row>
          <xdr:rowOff>146050</xdr:rowOff>
        </xdr:to>
        <xdr:sp macro="" textlink="">
          <xdr:nvSpPr>
            <xdr:cNvPr id="39945" name="Button 9" hidden="1">
              <a:extLst>
                <a:ext uri="{63B3BB69-23CF-44E3-9099-C40C66FF867C}">
                  <a14:compatExt spid="_x0000_s39945"/>
                </a:ext>
                <a:ext uri="{FF2B5EF4-FFF2-40B4-BE49-F238E27FC236}">
                  <a16:creationId xmlns:a16="http://schemas.microsoft.com/office/drawing/2014/main" id="{00000000-0008-0000-0D00-0000099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88900</xdr:rowOff>
        </xdr:from>
        <xdr:to>
          <xdr:col>12</xdr:col>
          <xdr:colOff>1041400</xdr:colOff>
          <xdr:row>13</xdr:row>
          <xdr:rowOff>146050</xdr:rowOff>
        </xdr:to>
        <xdr:sp macro="" textlink="">
          <xdr:nvSpPr>
            <xdr:cNvPr id="39946" name="Button 10" hidden="1">
              <a:extLst>
                <a:ext uri="{63B3BB69-23CF-44E3-9099-C40C66FF867C}">
                  <a14:compatExt spid="_x0000_s39946"/>
                </a:ext>
                <a:ext uri="{FF2B5EF4-FFF2-40B4-BE49-F238E27FC236}">
                  <a16:creationId xmlns:a16="http://schemas.microsoft.com/office/drawing/2014/main" id="{00000000-0008-0000-0D00-00000A9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241300</xdr:colOff>
          <xdr:row>9</xdr:row>
          <xdr:rowOff>120650</xdr:rowOff>
        </xdr:from>
        <xdr:to>
          <xdr:col>12</xdr:col>
          <xdr:colOff>114300</xdr:colOff>
          <xdr:row>11</xdr:row>
          <xdr:rowOff>82550</xdr:rowOff>
        </xdr:to>
        <xdr:sp macro="" textlink="">
          <xdr:nvSpPr>
            <xdr:cNvPr id="39947" name="Button 11" hidden="1">
              <a:extLst>
                <a:ext uri="{63B3BB69-23CF-44E3-9099-C40C66FF867C}">
                  <a14:compatExt spid="_x0000_s39947"/>
                </a:ext>
                <a:ext uri="{FF2B5EF4-FFF2-40B4-BE49-F238E27FC236}">
                  <a16:creationId xmlns:a16="http://schemas.microsoft.com/office/drawing/2014/main" id="{00000000-0008-0000-0D00-00000B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39948" name="Button 12" hidden="1">
              <a:extLst>
                <a:ext uri="{63B3BB69-23CF-44E3-9099-C40C66FF867C}">
                  <a14:compatExt spid="_x0000_s39948"/>
                </a:ext>
                <a:ext uri="{FF2B5EF4-FFF2-40B4-BE49-F238E27FC236}">
                  <a16:creationId xmlns:a16="http://schemas.microsoft.com/office/drawing/2014/main" id="{00000000-0008-0000-0D00-00000C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127000</xdr:colOff>
          <xdr:row>9</xdr:row>
          <xdr:rowOff>120650</xdr:rowOff>
        </xdr:from>
        <xdr:to>
          <xdr:col>12</xdr:col>
          <xdr:colOff>1041400</xdr:colOff>
          <xdr:row>11</xdr:row>
          <xdr:rowOff>82550</xdr:rowOff>
        </xdr:to>
        <xdr:sp macro="" textlink="">
          <xdr:nvSpPr>
            <xdr:cNvPr id="39949" name="Button 13" hidden="1">
              <a:extLst>
                <a:ext uri="{63B3BB69-23CF-44E3-9099-C40C66FF867C}">
                  <a14:compatExt spid="_x0000_s39949"/>
                </a:ext>
                <a:ext uri="{FF2B5EF4-FFF2-40B4-BE49-F238E27FC236}">
                  <a16:creationId xmlns:a16="http://schemas.microsoft.com/office/drawing/2014/main" id="{00000000-0008-0000-0D00-00000D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22</xdr:row>
          <xdr:rowOff>114300</xdr:rowOff>
        </xdr:from>
        <xdr:to>
          <xdr:col>11</xdr:col>
          <xdr:colOff>450850</xdr:colOff>
          <xdr:row>26</xdr:row>
          <xdr:rowOff>38100</xdr:rowOff>
        </xdr:to>
        <xdr:sp macro="" textlink="">
          <xdr:nvSpPr>
            <xdr:cNvPr id="39950" name="Button 14" hidden="1">
              <a:extLst>
                <a:ext uri="{63B3BB69-23CF-44E3-9099-C40C66FF867C}">
                  <a14:compatExt spid="_x0000_s39950"/>
                </a:ext>
                <a:ext uri="{FF2B5EF4-FFF2-40B4-BE49-F238E27FC236}">
                  <a16:creationId xmlns:a16="http://schemas.microsoft.com/office/drawing/2014/main" id="{00000000-0008-0000-0D00-00000E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28</xdr:row>
          <xdr:rowOff>146050</xdr:rowOff>
        </xdr:from>
        <xdr:to>
          <xdr:col>11</xdr:col>
          <xdr:colOff>450850</xdr:colOff>
          <xdr:row>31</xdr:row>
          <xdr:rowOff>234950</xdr:rowOff>
        </xdr:to>
        <xdr:sp macro="" textlink="">
          <xdr:nvSpPr>
            <xdr:cNvPr id="39951" name="Button 15" hidden="1">
              <a:extLst>
                <a:ext uri="{63B3BB69-23CF-44E3-9099-C40C66FF867C}">
                  <a14:compatExt spid="_x0000_s39951"/>
                </a:ext>
                <a:ext uri="{FF2B5EF4-FFF2-40B4-BE49-F238E27FC236}">
                  <a16:creationId xmlns:a16="http://schemas.microsoft.com/office/drawing/2014/main" id="{00000000-0008-0000-0D00-00000F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39952" name="globalbacktobutton" hidden="1">
              <a:extLst>
                <a:ext uri="{63B3BB69-23CF-44E3-9099-C40C66FF867C}">
                  <a14:compatExt spid="_x0000_s39952"/>
                </a:ext>
                <a:ext uri="{FF2B5EF4-FFF2-40B4-BE49-F238E27FC236}">
                  <a16:creationId xmlns:a16="http://schemas.microsoft.com/office/drawing/2014/main" id="{00000000-0008-0000-0D00-0000109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1593850</xdr:colOff>
          <xdr:row>44</xdr:row>
          <xdr:rowOff>139700</xdr:rowOff>
        </xdr:from>
        <xdr:to>
          <xdr:col>5</xdr:col>
          <xdr:colOff>901700</xdr:colOff>
          <xdr:row>46</xdr:row>
          <xdr:rowOff>114300</xdr:rowOff>
        </xdr:to>
        <xdr:sp macro="" textlink="">
          <xdr:nvSpPr>
            <xdr:cNvPr id="39953" name="troyr1" hidden="1">
              <a:extLst>
                <a:ext uri="{63B3BB69-23CF-44E3-9099-C40C66FF867C}">
                  <a14:compatExt spid="_x0000_s39953"/>
                </a:ext>
                <a:ext uri="{FF2B5EF4-FFF2-40B4-BE49-F238E27FC236}">
                  <a16:creationId xmlns:a16="http://schemas.microsoft.com/office/drawing/2014/main" id="{00000000-0008-0000-0D00-000011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2</xdr:row>
          <xdr:rowOff>25400</xdr:rowOff>
        </xdr:from>
        <xdr:to>
          <xdr:col>0</xdr:col>
          <xdr:colOff>1035050</xdr:colOff>
          <xdr:row>4</xdr:row>
          <xdr:rowOff>31750</xdr:rowOff>
        </xdr:to>
        <xdr:sp macro="" textlink="">
          <xdr:nvSpPr>
            <xdr:cNvPr id="31745" name="home"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4</xdr:row>
          <xdr:rowOff>38100</xdr:rowOff>
        </xdr:from>
        <xdr:to>
          <xdr:col>0</xdr:col>
          <xdr:colOff>1035050</xdr:colOff>
          <xdr:row>6</xdr:row>
          <xdr:rowOff>139700</xdr:rowOff>
        </xdr:to>
        <xdr:sp macro="" textlink="">
          <xdr:nvSpPr>
            <xdr:cNvPr id="31746" name="basic"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12700</xdr:rowOff>
        </xdr:from>
        <xdr:to>
          <xdr:col>0</xdr:col>
          <xdr:colOff>1066800</xdr:colOff>
          <xdr:row>22</xdr:row>
          <xdr:rowOff>114300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E00-000003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23</xdr:row>
          <xdr:rowOff>12700</xdr:rowOff>
        </xdr:from>
        <xdr:to>
          <xdr:col>0</xdr:col>
          <xdr:colOff>1066800</xdr:colOff>
          <xdr:row>26</xdr:row>
          <xdr:rowOff>114300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127000</xdr:rowOff>
        </xdr:from>
        <xdr:to>
          <xdr:col>11</xdr:col>
          <xdr:colOff>419100</xdr:colOff>
          <xdr:row>4</xdr:row>
          <xdr:rowOff>63500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E00-0000057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31750" name="Button 6" hidden="1">
              <a:extLst>
                <a:ext uri="{63B3BB69-23CF-44E3-9099-C40C66FF867C}">
                  <a14:compatExt spid="_x0000_s31750"/>
                </a:ext>
                <a:ext uri="{FF2B5EF4-FFF2-40B4-BE49-F238E27FC236}">
                  <a16:creationId xmlns:a16="http://schemas.microsoft.com/office/drawing/2014/main" id="{00000000-0008-0000-0E00-000006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88900</xdr:rowOff>
        </xdr:from>
        <xdr:to>
          <xdr:col>11</xdr:col>
          <xdr:colOff>88900</xdr:colOff>
          <xdr:row>13</xdr:row>
          <xdr:rowOff>146050</xdr:rowOff>
        </xdr:to>
        <xdr:sp macro="" textlink="">
          <xdr:nvSpPr>
            <xdr:cNvPr id="31751" name="Button 7" hidden="1">
              <a:extLst>
                <a:ext uri="{63B3BB69-23CF-44E3-9099-C40C66FF867C}">
                  <a14:compatExt spid="_x0000_s31751"/>
                </a:ext>
                <a:ext uri="{FF2B5EF4-FFF2-40B4-BE49-F238E27FC236}">
                  <a16:creationId xmlns:a16="http://schemas.microsoft.com/office/drawing/2014/main" id="{00000000-0008-0000-0E00-000007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88900</xdr:rowOff>
        </xdr:from>
        <xdr:to>
          <xdr:col>11</xdr:col>
          <xdr:colOff>787400</xdr:colOff>
          <xdr:row>13</xdr:row>
          <xdr:rowOff>146050</xdr:rowOff>
        </xdr:to>
        <xdr:sp macro="" textlink="">
          <xdr:nvSpPr>
            <xdr:cNvPr id="31752" name="Button 8" hidden="1">
              <a:extLst>
                <a:ext uri="{63B3BB69-23CF-44E3-9099-C40C66FF867C}">
                  <a14:compatExt spid="_x0000_s31752"/>
                </a:ext>
                <a:ext uri="{FF2B5EF4-FFF2-40B4-BE49-F238E27FC236}">
                  <a16:creationId xmlns:a16="http://schemas.microsoft.com/office/drawing/2014/main" id="{00000000-0008-0000-0E00-000008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88900</xdr:rowOff>
        </xdr:from>
        <xdr:to>
          <xdr:col>12</xdr:col>
          <xdr:colOff>508000</xdr:colOff>
          <xdr:row>13</xdr:row>
          <xdr:rowOff>146050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0E00-0000097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88900</xdr:rowOff>
        </xdr:from>
        <xdr:to>
          <xdr:col>12</xdr:col>
          <xdr:colOff>1041400</xdr:colOff>
          <xdr:row>13</xdr:row>
          <xdr:rowOff>146050</xdr:rowOff>
        </xdr:to>
        <xdr:sp macro="" textlink="">
          <xdr:nvSpPr>
            <xdr:cNvPr id="31754" name="Button 10" hidden="1">
              <a:extLst>
                <a:ext uri="{63B3BB69-23CF-44E3-9099-C40C66FF867C}">
                  <a14:compatExt spid="_x0000_s31754"/>
                </a:ext>
                <a:ext uri="{FF2B5EF4-FFF2-40B4-BE49-F238E27FC236}">
                  <a16:creationId xmlns:a16="http://schemas.microsoft.com/office/drawing/2014/main" id="{00000000-0008-0000-0E00-00000A7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241300</xdr:colOff>
          <xdr:row>9</xdr:row>
          <xdr:rowOff>120650</xdr:rowOff>
        </xdr:from>
        <xdr:to>
          <xdr:col>12</xdr:col>
          <xdr:colOff>114300</xdr:colOff>
          <xdr:row>11</xdr:row>
          <xdr:rowOff>82550</xdr:rowOff>
        </xdr:to>
        <xdr:sp macro="" textlink="">
          <xdr:nvSpPr>
            <xdr:cNvPr id="31755" name="Button 11" hidden="1">
              <a:extLst>
                <a:ext uri="{63B3BB69-23CF-44E3-9099-C40C66FF867C}">
                  <a14:compatExt spid="_x0000_s31755"/>
                </a:ext>
                <a:ext uri="{FF2B5EF4-FFF2-40B4-BE49-F238E27FC236}">
                  <a16:creationId xmlns:a16="http://schemas.microsoft.com/office/drawing/2014/main" id="{00000000-0008-0000-0E00-00000B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0E00-00000C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127000</xdr:colOff>
          <xdr:row>9</xdr:row>
          <xdr:rowOff>120650</xdr:rowOff>
        </xdr:from>
        <xdr:to>
          <xdr:col>12</xdr:col>
          <xdr:colOff>1041400</xdr:colOff>
          <xdr:row>11</xdr:row>
          <xdr:rowOff>82550</xdr:rowOff>
        </xdr:to>
        <xdr:sp macro="" textlink="">
          <xdr:nvSpPr>
            <xdr:cNvPr id="31757" name="Button 13" hidden="1">
              <a:extLst>
                <a:ext uri="{63B3BB69-23CF-44E3-9099-C40C66FF867C}">
                  <a14:compatExt spid="_x0000_s31757"/>
                </a:ext>
                <a:ext uri="{FF2B5EF4-FFF2-40B4-BE49-F238E27FC236}">
                  <a16:creationId xmlns:a16="http://schemas.microsoft.com/office/drawing/2014/main" id="{00000000-0008-0000-0E00-00000D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22</xdr:row>
          <xdr:rowOff>114300</xdr:rowOff>
        </xdr:from>
        <xdr:to>
          <xdr:col>11</xdr:col>
          <xdr:colOff>450850</xdr:colOff>
          <xdr:row>26</xdr:row>
          <xdr:rowOff>38100</xdr:rowOff>
        </xdr:to>
        <xdr:sp macro="" textlink="">
          <xdr:nvSpPr>
            <xdr:cNvPr id="31758" name="Button 14" hidden="1">
              <a:extLst>
                <a:ext uri="{63B3BB69-23CF-44E3-9099-C40C66FF867C}">
                  <a14:compatExt spid="_x0000_s31758"/>
                </a:ext>
                <a:ext uri="{FF2B5EF4-FFF2-40B4-BE49-F238E27FC236}">
                  <a16:creationId xmlns:a16="http://schemas.microsoft.com/office/drawing/2014/main" id="{00000000-0008-0000-0E00-00000E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28</xdr:row>
          <xdr:rowOff>146050</xdr:rowOff>
        </xdr:from>
        <xdr:to>
          <xdr:col>11</xdr:col>
          <xdr:colOff>450850</xdr:colOff>
          <xdr:row>31</xdr:row>
          <xdr:rowOff>234950</xdr:rowOff>
        </xdr:to>
        <xdr:sp macro="" textlink="">
          <xdr:nvSpPr>
            <xdr:cNvPr id="31759" name="Button 15" hidden="1">
              <a:extLst>
                <a:ext uri="{63B3BB69-23CF-44E3-9099-C40C66FF867C}">
                  <a14:compatExt spid="_x0000_s31759"/>
                </a:ext>
                <a:ext uri="{FF2B5EF4-FFF2-40B4-BE49-F238E27FC236}">
                  <a16:creationId xmlns:a16="http://schemas.microsoft.com/office/drawing/2014/main" id="{00000000-0008-0000-0E00-00000F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31760" name="globalbacktobutton" hidden="1">
              <a:extLst>
                <a:ext uri="{63B3BB69-23CF-44E3-9099-C40C66FF867C}">
                  <a14:compatExt spid="_x0000_s31760"/>
                </a:ext>
                <a:ext uri="{FF2B5EF4-FFF2-40B4-BE49-F238E27FC236}">
                  <a16:creationId xmlns:a16="http://schemas.microsoft.com/office/drawing/2014/main" id="{00000000-0008-0000-0E00-0000107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1593850</xdr:colOff>
          <xdr:row>44</xdr:row>
          <xdr:rowOff>139700</xdr:rowOff>
        </xdr:from>
        <xdr:to>
          <xdr:col>5</xdr:col>
          <xdr:colOff>901700</xdr:colOff>
          <xdr:row>46</xdr:row>
          <xdr:rowOff>114300</xdr:rowOff>
        </xdr:to>
        <xdr:sp macro="" textlink="">
          <xdr:nvSpPr>
            <xdr:cNvPr id="31761" name="troyr1" hidden="1">
              <a:extLst>
                <a:ext uri="{63B3BB69-23CF-44E3-9099-C40C66FF867C}">
                  <a14:compatExt spid="_x0000_s31761"/>
                </a:ext>
                <a:ext uri="{FF2B5EF4-FFF2-40B4-BE49-F238E27FC236}">
                  <a16:creationId xmlns:a16="http://schemas.microsoft.com/office/drawing/2014/main" id="{00000000-0008-0000-0E00-00001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2</xdr:row>
          <xdr:rowOff>25400</xdr:rowOff>
        </xdr:from>
        <xdr:to>
          <xdr:col>0</xdr:col>
          <xdr:colOff>1035050</xdr:colOff>
          <xdr:row>4</xdr:row>
          <xdr:rowOff>31750</xdr:rowOff>
        </xdr:to>
        <xdr:sp macro="" textlink="">
          <xdr:nvSpPr>
            <xdr:cNvPr id="40961" name="home" hidden="1">
              <a:extLst>
                <a:ext uri="{63B3BB69-23CF-44E3-9099-C40C66FF867C}">
                  <a14:compatExt spid="_x0000_s40961"/>
                </a:ext>
                <a:ext uri="{FF2B5EF4-FFF2-40B4-BE49-F238E27FC236}">
                  <a16:creationId xmlns:a16="http://schemas.microsoft.com/office/drawing/2014/main" id="{00000000-0008-0000-0F00-000001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4</xdr:row>
          <xdr:rowOff>38100</xdr:rowOff>
        </xdr:from>
        <xdr:to>
          <xdr:col>0</xdr:col>
          <xdr:colOff>1035050</xdr:colOff>
          <xdr:row>6</xdr:row>
          <xdr:rowOff>139700</xdr:rowOff>
        </xdr:to>
        <xdr:sp macro="" textlink="">
          <xdr:nvSpPr>
            <xdr:cNvPr id="40962" name="basic" hidden="1">
              <a:extLst>
                <a:ext uri="{63B3BB69-23CF-44E3-9099-C40C66FF867C}">
                  <a14:compatExt spid="_x0000_s40962"/>
                </a:ext>
                <a:ext uri="{FF2B5EF4-FFF2-40B4-BE49-F238E27FC236}">
                  <a16:creationId xmlns:a16="http://schemas.microsoft.com/office/drawing/2014/main" id="{00000000-0008-0000-0F00-000002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12700</xdr:rowOff>
        </xdr:from>
        <xdr:to>
          <xdr:col>0</xdr:col>
          <xdr:colOff>1066800</xdr:colOff>
          <xdr:row>22</xdr:row>
          <xdr:rowOff>114300</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00000000-0008-0000-0F00-000003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23</xdr:row>
          <xdr:rowOff>12700</xdr:rowOff>
        </xdr:from>
        <xdr:to>
          <xdr:col>0</xdr:col>
          <xdr:colOff>1066800</xdr:colOff>
          <xdr:row>26</xdr:row>
          <xdr:rowOff>114300</xdr:rowOff>
        </xdr:to>
        <xdr:sp macro="" textlink="">
          <xdr:nvSpPr>
            <xdr:cNvPr id="40964" name="Button 4" hidden="1">
              <a:extLst>
                <a:ext uri="{63B3BB69-23CF-44E3-9099-C40C66FF867C}">
                  <a14:compatExt spid="_x0000_s40964"/>
                </a:ext>
                <a:ext uri="{FF2B5EF4-FFF2-40B4-BE49-F238E27FC236}">
                  <a16:creationId xmlns:a16="http://schemas.microsoft.com/office/drawing/2014/main" id="{00000000-0008-0000-0F00-000004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127000</xdr:rowOff>
        </xdr:from>
        <xdr:to>
          <xdr:col>11</xdr:col>
          <xdr:colOff>419100</xdr:colOff>
          <xdr:row>4</xdr:row>
          <xdr:rowOff>63500</xdr:rowOff>
        </xdr:to>
        <xdr:sp macro="" textlink="">
          <xdr:nvSpPr>
            <xdr:cNvPr id="40965" name="Button 5" hidden="1">
              <a:extLst>
                <a:ext uri="{63B3BB69-23CF-44E3-9099-C40C66FF867C}">
                  <a14:compatExt spid="_x0000_s40965"/>
                </a:ext>
                <a:ext uri="{FF2B5EF4-FFF2-40B4-BE49-F238E27FC236}">
                  <a16:creationId xmlns:a16="http://schemas.microsoft.com/office/drawing/2014/main" id="{00000000-0008-0000-0F00-000005A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40966" name="Button 6" hidden="1">
              <a:extLst>
                <a:ext uri="{63B3BB69-23CF-44E3-9099-C40C66FF867C}">
                  <a14:compatExt spid="_x0000_s40966"/>
                </a:ext>
                <a:ext uri="{FF2B5EF4-FFF2-40B4-BE49-F238E27FC236}">
                  <a16:creationId xmlns:a16="http://schemas.microsoft.com/office/drawing/2014/main" id="{00000000-0008-0000-0F00-000006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88900</xdr:rowOff>
        </xdr:from>
        <xdr:to>
          <xdr:col>11</xdr:col>
          <xdr:colOff>88900</xdr:colOff>
          <xdr:row>13</xdr:row>
          <xdr:rowOff>146050</xdr:rowOff>
        </xdr:to>
        <xdr:sp macro="" textlink="">
          <xdr:nvSpPr>
            <xdr:cNvPr id="40967" name="Button 7" hidden="1">
              <a:extLst>
                <a:ext uri="{63B3BB69-23CF-44E3-9099-C40C66FF867C}">
                  <a14:compatExt spid="_x0000_s40967"/>
                </a:ext>
                <a:ext uri="{FF2B5EF4-FFF2-40B4-BE49-F238E27FC236}">
                  <a16:creationId xmlns:a16="http://schemas.microsoft.com/office/drawing/2014/main" id="{00000000-0008-0000-0F00-000007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88900</xdr:rowOff>
        </xdr:from>
        <xdr:to>
          <xdr:col>11</xdr:col>
          <xdr:colOff>787400</xdr:colOff>
          <xdr:row>13</xdr:row>
          <xdr:rowOff>146050</xdr:rowOff>
        </xdr:to>
        <xdr:sp macro="" textlink="">
          <xdr:nvSpPr>
            <xdr:cNvPr id="40968" name="Button 8" hidden="1">
              <a:extLst>
                <a:ext uri="{63B3BB69-23CF-44E3-9099-C40C66FF867C}">
                  <a14:compatExt spid="_x0000_s40968"/>
                </a:ext>
                <a:ext uri="{FF2B5EF4-FFF2-40B4-BE49-F238E27FC236}">
                  <a16:creationId xmlns:a16="http://schemas.microsoft.com/office/drawing/2014/main" id="{00000000-0008-0000-0F00-000008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88900</xdr:rowOff>
        </xdr:from>
        <xdr:to>
          <xdr:col>12</xdr:col>
          <xdr:colOff>508000</xdr:colOff>
          <xdr:row>13</xdr:row>
          <xdr:rowOff>146050</xdr:rowOff>
        </xdr:to>
        <xdr:sp macro="" textlink="">
          <xdr:nvSpPr>
            <xdr:cNvPr id="40969" name="Button 9" hidden="1">
              <a:extLst>
                <a:ext uri="{63B3BB69-23CF-44E3-9099-C40C66FF867C}">
                  <a14:compatExt spid="_x0000_s40969"/>
                </a:ext>
                <a:ext uri="{FF2B5EF4-FFF2-40B4-BE49-F238E27FC236}">
                  <a16:creationId xmlns:a16="http://schemas.microsoft.com/office/drawing/2014/main" id="{00000000-0008-0000-0F00-000009A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88900</xdr:rowOff>
        </xdr:from>
        <xdr:to>
          <xdr:col>12</xdr:col>
          <xdr:colOff>1041400</xdr:colOff>
          <xdr:row>13</xdr:row>
          <xdr:rowOff>146050</xdr:rowOff>
        </xdr:to>
        <xdr:sp macro="" textlink="">
          <xdr:nvSpPr>
            <xdr:cNvPr id="40970" name="Button 10" hidden="1">
              <a:extLst>
                <a:ext uri="{63B3BB69-23CF-44E3-9099-C40C66FF867C}">
                  <a14:compatExt spid="_x0000_s40970"/>
                </a:ext>
                <a:ext uri="{FF2B5EF4-FFF2-40B4-BE49-F238E27FC236}">
                  <a16:creationId xmlns:a16="http://schemas.microsoft.com/office/drawing/2014/main" id="{00000000-0008-0000-0F00-00000AA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241300</xdr:colOff>
          <xdr:row>9</xdr:row>
          <xdr:rowOff>120650</xdr:rowOff>
        </xdr:from>
        <xdr:to>
          <xdr:col>12</xdr:col>
          <xdr:colOff>114300</xdr:colOff>
          <xdr:row>11</xdr:row>
          <xdr:rowOff>82550</xdr:rowOff>
        </xdr:to>
        <xdr:sp macro="" textlink="">
          <xdr:nvSpPr>
            <xdr:cNvPr id="40971" name="Button 11" hidden="1">
              <a:extLst>
                <a:ext uri="{63B3BB69-23CF-44E3-9099-C40C66FF867C}">
                  <a14:compatExt spid="_x0000_s40971"/>
                </a:ext>
                <a:ext uri="{FF2B5EF4-FFF2-40B4-BE49-F238E27FC236}">
                  <a16:creationId xmlns:a16="http://schemas.microsoft.com/office/drawing/2014/main" id="{00000000-0008-0000-0F00-00000B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40972" name="Button 12" hidden="1">
              <a:extLst>
                <a:ext uri="{63B3BB69-23CF-44E3-9099-C40C66FF867C}">
                  <a14:compatExt spid="_x0000_s40972"/>
                </a:ext>
                <a:ext uri="{FF2B5EF4-FFF2-40B4-BE49-F238E27FC236}">
                  <a16:creationId xmlns:a16="http://schemas.microsoft.com/office/drawing/2014/main" id="{00000000-0008-0000-0F00-00000C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127000</xdr:colOff>
          <xdr:row>9</xdr:row>
          <xdr:rowOff>120650</xdr:rowOff>
        </xdr:from>
        <xdr:to>
          <xdr:col>12</xdr:col>
          <xdr:colOff>1041400</xdr:colOff>
          <xdr:row>11</xdr:row>
          <xdr:rowOff>82550</xdr:rowOff>
        </xdr:to>
        <xdr:sp macro="" textlink="">
          <xdr:nvSpPr>
            <xdr:cNvPr id="40973" name="Button 13" hidden="1">
              <a:extLst>
                <a:ext uri="{63B3BB69-23CF-44E3-9099-C40C66FF867C}">
                  <a14:compatExt spid="_x0000_s40973"/>
                </a:ext>
                <a:ext uri="{FF2B5EF4-FFF2-40B4-BE49-F238E27FC236}">
                  <a16:creationId xmlns:a16="http://schemas.microsoft.com/office/drawing/2014/main" id="{00000000-0008-0000-0F00-00000D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22</xdr:row>
          <xdr:rowOff>114300</xdr:rowOff>
        </xdr:from>
        <xdr:to>
          <xdr:col>11</xdr:col>
          <xdr:colOff>450850</xdr:colOff>
          <xdr:row>26</xdr:row>
          <xdr:rowOff>38100</xdr:rowOff>
        </xdr:to>
        <xdr:sp macro="" textlink="">
          <xdr:nvSpPr>
            <xdr:cNvPr id="40974" name="Button 14" hidden="1">
              <a:extLst>
                <a:ext uri="{63B3BB69-23CF-44E3-9099-C40C66FF867C}">
                  <a14:compatExt spid="_x0000_s40974"/>
                </a:ext>
                <a:ext uri="{FF2B5EF4-FFF2-40B4-BE49-F238E27FC236}">
                  <a16:creationId xmlns:a16="http://schemas.microsoft.com/office/drawing/2014/main" id="{00000000-0008-0000-0F00-00000E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28</xdr:row>
          <xdr:rowOff>146050</xdr:rowOff>
        </xdr:from>
        <xdr:to>
          <xdr:col>11</xdr:col>
          <xdr:colOff>450850</xdr:colOff>
          <xdr:row>31</xdr:row>
          <xdr:rowOff>234950</xdr:rowOff>
        </xdr:to>
        <xdr:sp macro="" textlink="">
          <xdr:nvSpPr>
            <xdr:cNvPr id="40975" name="Button 15" hidden="1">
              <a:extLst>
                <a:ext uri="{63B3BB69-23CF-44E3-9099-C40C66FF867C}">
                  <a14:compatExt spid="_x0000_s40975"/>
                </a:ext>
                <a:ext uri="{FF2B5EF4-FFF2-40B4-BE49-F238E27FC236}">
                  <a16:creationId xmlns:a16="http://schemas.microsoft.com/office/drawing/2014/main" id="{00000000-0008-0000-0F00-00000F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40976" name="globalbacktobutton" hidden="1">
              <a:extLst>
                <a:ext uri="{63B3BB69-23CF-44E3-9099-C40C66FF867C}">
                  <a14:compatExt spid="_x0000_s40976"/>
                </a:ext>
                <a:ext uri="{FF2B5EF4-FFF2-40B4-BE49-F238E27FC236}">
                  <a16:creationId xmlns:a16="http://schemas.microsoft.com/office/drawing/2014/main" id="{00000000-0008-0000-0F00-000010A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1593850</xdr:colOff>
          <xdr:row>44</xdr:row>
          <xdr:rowOff>139700</xdr:rowOff>
        </xdr:from>
        <xdr:to>
          <xdr:col>5</xdr:col>
          <xdr:colOff>901700</xdr:colOff>
          <xdr:row>46</xdr:row>
          <xdr:rowOff>114300</xdr:rowOff>
        </xdr:to>
        <xdr:sp macro="" textlink="">
          <xdr:nvSpPr>
            <xdr:cNvPr id="40977" name="troyr1" hidden="1">
              <a:extLst>
                <a:ext uri="{63B3BB69-23CF-44E3-9099-C40C66FF867C}">
                  <a14:compatExt spid="_x0000_s40977"/>
                </a:ext>
                <a:ext uri="{FF2B5EF4-FFF2-40B4-BE49-F238E27FC236}">
                  <a16:creationId xmlns:a16="http://schemas.microsoft.com/office/drawing/2014/main" id="{00000000-0008-0000-0F00-000011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See Liability Calculation</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2</xdr:row>
          <xdr:rowOff>25400</xdr:rowOff>
        </xdr:from>
        <xdr:to>
          <xdr:col>0</xdr:col>
          <xdr:colOff>1035050</xdr:colOff>
          <xdr:row>4</xdr:row>
          <xdr:rowOff>31750</xdr:rowOff>
        </xdr:to>
        <xdr:sp macro="" textlink="">
          <xdr:nvSpPr>
            <xdr:cNvPr id="32769" name="home"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4</xdr:row>
          <xdr:rowOff>38100</xdr:rowOff>
        </xdr:from>
        <xdr:to>
          <xdr:col>0</xdr:col>
          <xdr:colOff>1035050</xdr:colOff>
          <xdr:row>6</xdr:row>
          <xdr:rowOff>139700</xdr:rowOff>
        </xdr:to>
        <xdr:sp macro="" textlink="">
          <xdr:nvSpPr>
            <xdr:cNvPr id="32770" name="basic" hidden="1">
              <a:extLst>
                <a:ext uri="{63B3BB69-23CF-44E3-9099-C40C66FF867C}">
                  <a14:compatExt spid="_x0000_s32770"/>
                </a:ext>
                <a:ext uri="{FF2B5EF4-FFF2-40B4-BE49-F238E27FC236}">
                  <a16:creationId xmlns:a16="http://schemas.microsoft.com/office/drawing/2014/main" id="{00000000-0008-0000-10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12700</xdr:rowOff>
        </xdr:from>
        <xdr:to>
          <xdr:col>0</xdr:col>
          <xdr:colOff>1066800</xdr:colOff>
          <xdr:row>22</xdr:row>
          <xdr:rowOff>114300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1000-000003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1000-000005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88900</xdr:rowOff>
        </xdr:from>
        <xdr:to>
          <xdr:col>11</xdr:col>
          <xdr:colOff>88900</xdr:colOff>
          <xdr:row>13</xdr:row>
          <xdr:rowOff>146050</xdr:rowOff>
        </xdr:to>
        <xdr:sp macro="" textlink="">
          <xdr:nvSpPr>
            <xdr:cNvPr id="32774" name="Button 6" hidden="1">
              <a:extLst>
                <a:ext uri="{63B3BB69-23CF-44E3-9099-C40C66FF867C}">
                  <a14:compatExt spid="_x0000_s32774"/>
                </a:ext>
                <a:ext uri="{FF2B5EF4-FFF2-40B4-BE49-F238E27FC236}">
                  <a16:creationId xmlns:a16="http://schemas.microsoft.com/office/drawing/2014/main" id="{00000000-0008-0000-1000-00000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88900</xdr:rowOff>
        </xdr:from>
        <xdr:to>
          <xdr:col>11</xdr:col>
          <xdr:colOff>787400</xdr:colOff>
          <xdr:row>13</xdr:row>
          <xdr:rowOff>146050</xdr:rowOff>
        </xdr:to>
        <xdr:sp macro="" textlink="">
          <xdr:nvSpPr>
            <xdr:cNvPr id="32775" name="Button 7" hidden="1">
              <a:extLst>
                <a:ext uri="{63B3BB69-23CF-44E3-9099-C40C66FF867C}">
                  <a14:compatExt spid="_x0000_s32775"/>
                </a:ext>
                <a:ext uri="{FF2B5EF4-FFF2-40B4-BE49-F238E27FC236}">
                  <a16:creationId xmlns:a16="http://schemas.microsoft.com/office/drawing/2014/main" id="{00000000-0008-0000-1000-000007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88900</xdr:rowOff>
        </xdr:from>
        <xdr:to>
          <xdr:col>12</xdr:col>
          <xdr:colOff>508000</xdr:colOff>
          <xdr:row>13</xdr:row>
          <xdr:rowOff>146050</xdr:rowOff>
        </xdr:to>
        <xdr:sp macro="" textlink="">
          <xdr:nvSpPr>
            <xdr:cNvPr id="32776" name="Button 8" hidden="1">
              <a:extLst>
                <a:ext uri="{63B3BB69-23CF-44E3-9099-C40C66FF867C}">
                  <a14:compatExt spid="_x0000_s32776"/>
                </a:ext>
                <a:ext uri="{FF2B5EF4-FFF2-40B4-BE49-F238E27FC236}">
                  <a16:creationId xmlns:a16="http://schemas.microsoft.com/office/drawing/2014/main" id="{00000000-0008-0000-1000-0000088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88900</xdr:rowOff>
        </xdr:from>
        <xdr:to>
          <xdr:col>12</xdr:col>
          <xdr:colOff>1041400</xdr:colOff>
          <xdr:row>13</xdr:row>
          <xdr:rowOff>146050</xdr:rowOff>
        </xdr:to>
        <xdr:sp macro="" textlink="">
          <xdr:nvSpPr>
            <xdr:cNvPr id="32777" name="Button 9" hidden="1">
              <a:extLst>
                <a:ext uri="{63B3BB69-23CF-44E3-9099-C40C66FF867C}">
                  <a14:compatExt spid="_x0000_s32777"/>
                </a:ext>
                <a:ext uri="{FF2B5EF4-FFF2-40B4-BE49-F238E27FC236}">
                  <a16:creationId xmlns:a16="http://schemas.microsoft.com/office/drawing/2014/main" id="{00000000-0008-0000-1000-00000980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241300</xdr:colOff>
          <xdr:row>9</xdr:row>
          <xdr:rowOff>120650</xdr:rowOff>
        </xdr:from>
        <xdr:to>
          <xdr:col>12</xdr:col>
          <xdr:colOff>114300</xdr:colOff>
          <xdr:row>11</xdr:row>
          <xdr:rowOff>82550</xdr:rowOff>
        </xdr:to>
        <xdr:sp macro="" textlink="">
          <xdr:nvSpPr>
            <xdr:cNvPr id="32778" name="Button 10" hidden="1">
              <a:extLst>
                <a:ext uri="{63B3BB69-23CF-44E3-9099-C40C66FF867C}">
                  <a14:compatExt spid="_x0000_s32778"/>
                </a:ext>
                <a:ext uri="{FF2B5EF4-FFF2-40B4-BE49-F238E27FC236}">
                  <a16:creationId xmlns:a16="http://schemas.microsoft.com/office/drawing/2014/main" id="{00000000-0008-0000-1000-00000A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32779" name="Button 11" hidden="1">
              <a:extLst>
                <a:ext uri="{63B3BB69-23CF-44E3-9099-C40C66FF867C}">
                  <a14:compatExt spid="_x0000_s32779"/>
                </a:ext>
                <a:ext uri="{FF2B5EF4-FFF2-40B4-BE49-F238E27FC236}">
                  <a16:creationId xmlns:a16="http://schemas.microsoft.com/office/drawing/2014/main" id="{00000000-0008-0000-1000-00000B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127000</xdr:colOff>
          <xdr:row>9</xdr:row>
          <xdr:rowOff>120650</xdr:rowOff>
        </xdr:from>
        <xdr:to>
          <xdr:col>12</xdr:col>
          <xdr:colOff>1041400</xdr:colOff>
          <xdr:row>11</xdr:row>
          <xdr:rowOff>82550</xdr:rowOff>
        </xdr:to>
        <xdr:sp macro="" textlink="">
          <xdr:nvSpPr>
            <xdr:cNvPr id="32780" name="Button 12" hidden="1">
              <a:extLst>
                <a:ext uri="{63B3BB69-23CF-44E3-9099-C40C66FF867C}">
                  <a14:compatExt spid="_x0000_s32780"/>
                </a:ext>
                <a:ext uri="{FF2B5EF4-FFF2-40B4-BE49-F238E27FC236}">
                  <a16:creationId xmlns:a16="http://schemas.microsoft.com/office/drawing/2014/main" id="{00000000-0008-0000-1000-00000C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22</xdr:row>
          <xdr:rowOff>114300</xdr:rowOff>
        </xdr:from>
        <xdr:to>
          <xdr:col>11</xdr:col>
          <xdr:colOff>450850</xdr:colOff>
          <xdr:row>26</xdr:row>
          <xdr:rowOff>38100</xdr:rowOff>
        </xdr:to>
        <xdr:sp macro="" textlink="">
          <xdr:nvSpPr>
            <xdr:cNvPr id="32781" name="Button 13" hidden="1">
              <a:extLst>
                <a:ext uri="{63B3BB69-23CF-44E3-9099-C40C66FF867C}">
                  <a14:compatExt spid="_x0000_s32781"/>
                </a:ext>
                <a:ext uri="{FF2B5EF4-FFF2-40B4-BE49-F238E27FC236}">
                  <a16:creationId xmlns:a16="http://schemas.microsoft.com/office/drawing/2014/main" id="{00000000-0008-0000-1000-00000D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127000</xdr:rowOff>
        </xdr:from>
        <xdr:to>
          <xdr:col>11</xdr:col>
          <xdr:colOff>419100</xdr:colOff>
          <xdr:row>4</xdr:row>
          <xdr:rowOff>63500</xdr:rowOff>
        </xdr:to>
        <xdr:sp macro="" textlink="">
          <xdr:nvSpPr>
            <xdr:cNvPr id="32782" name="Button 14" hidden="1">
              <a:extLst>
                <a:ext uri="{63B3BB69-23CF-44E3-9099-C40C66FF867C}">
                  <a14:compatExt spid="_x0000_s32782"/>
                </a:ext>
                <a:ext uri="{FF2B5EF4-FFF2-40B4-BE49-F238E27FC236}">
                  <a16:creationId xmlns:a16="http://schemas.microsoft.com/office/drawing/2014/main" id="{00000000-0008-0000-1000-00000E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28</xdr:row>
          <xdr:rowOff>146050</xdr:rowOff>
        </xdr:from>
        <xdr:to>
          <xdr:col>11</xdr:col>
          <xdr:colOff>450850</xdr:colOff>
          <xdr:row>31</xdr:row>
          <xdr:rowOff>234950</xdr:rowOff>
        </xdr:to>
        <xdr:sp macro="" textlink="">
          <xdr:nvSpPr>
            <xdr:cNvPr id="32783" name="Button 15" hidden="1">
              <a:extLst>
                <a:ext uri="{63B3BB69-23CF-44E3-9099-C40C66FF867C}">
                  <a14:compatExt spid="_x0000_s32783"/>
                </a:ext>
                <a:ext uri="{FF2B5EF4-FFF2-40B4-BE49-F238E27FC236}">
                  <a16:creationId xmlns:a16="http://schemas.microsoft.com/office/drawing/2014/main" id="{00000000-0008-0000-1000-00000F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32784" name="globalbacktobutton" hidden="1">
              <a:extLst>
                <a:ext uri="{63B3BB69-23CF-44E3-9099-C40C66FF867C}">
                  <a14:compatExt spid="_x0000_s32784"/>
                </a:ext>
                <a:ext uri="{FF2B5EF4-FFF2-40B4-BE49-F238E27FC236}">
                  <a16:creationId xmlns:a16="http://schemas.microsoft.com/office/drawing/2014/main" id="{00000000-0008-0000-1000-000010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2</xdr:row>
          <xdr:rowOff>25400</xdr:rowOff>
        </xdr:from>
        <xdr:to>
          <xdr:col>0</xdr:col>
          <xdr:colOff>1035050</xdr:colOff>
          <xdr:row>4</xdr:row>
          <xdr:rowOff>31750</xdr:rowOff>
        </xdr:to>
        <xdr:sp macro="" textlink="">
          <xdr:nvSpPr>
            <xdr:cNvPr id="41985" name="home" hidden="1">
              <a:extLst>
                <a:ext uri="{63B3BB69-23CF-44E3-9099-C40C66FF867C}">
                  <a14:compatExt spid="_x0000_s41985"/>
                </a:ext>
                <a:ext uri="{FF2B5EF4-FFF2-40B4-BE49-F238E27FC236}">
                  <a16:creationId xmlns:a16="http://schemas.microsoft.com/office/drawing/2014/main" id="{00000000-0008-0000-1100-000001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4</xdr:row>
          <xdr:rowOff>38100</xdr:rowOff>
        </xdr:from>
        <xdr:to>
          <xdr:col>0</xdr:col>
          <xdr:colOff>1035050</xdr:colOff>
          <xdr:row>6</xdr:row>
          <xdr:rowOff>139700</xdr:rowOff>
        </xdr:to>
        <xdr:sp macro="" textlink="">
          <xdr:nvSpPr>
            <xdr:cNvPr id="41986" name="basic" hidden="1">
              <a:extLst>
                <a:ext uri="{63B3BB69-23CF-44E3-9099-C40C66FF867C}">
                  <a14:compatExt spid="_x0000_s41986"/>
                </a:ext>
                <a:ext uri="{FF2B5EF4-FFF2-40B4-BE49-F238E27FC236}">
                  <a16:creationId xmlns:a16="http://schemas.microsoft.com/office/drawing/2014/main" id="{00000000-0008-0000-1100-000002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12700</xdr:rowOff>
        </xdr:from>
        <xdr:to>
          <xdr:col>0</xdr:col>
          <xdr:colOff>1066800</xdr:colOff>
          <xdr:row>22</xdr:row>
          <xdr:rowOff>114300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1100-000003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1100-000004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88900</xdr:rowOff>
        </xdr:from>
        <xdr:to>
          <xdr:col>11</xdr:col>
          <xdr:colOff>88900</xdr:colOff>
          <xdr:row>13</xdr:row>
          <xdr:rowOff>146050</xdr:rowOff>
        </xdr:to>
        <xdr:sp macro="" textlink="">
          <xdr:nvSpPr>
            <xdr:cNvPr id="41989" name="Button 5" hidden="1">
              <a:extLst>
                <a:ext uri="{63B3BB69-23CF-44E3-9099-C40C66FF867C}">
                  <a14:compatExt spid="_x0000_s41989"/>
                </a:ext>
                <a:ext uri="{FF2B5EF4-FFF2-40B4-BE49-F238E27FC236}">
                  <a16:creationId xmlns:a16="http://schemas.microsoft.com/office/drawing/2014/main" id="{00000000-0008-0000-1100-000005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88900</xdr:rowOff>
        </xdr:from>
        <xdr:to>
          <xdr:col>11</xdr:col>
          <xdr:colOff>787400</xdr:colOff>
          <xdr:row>13</xdr:row>
          <xdr:rowOff>146050</xdr:rowOff>
        </xdr:to>
        <xdr:sp macro="" textlink="">
          <xdr:nvSpPr>
            <xdr:cNvPr id="41990" name="Button 6" hidden="1">
              <a:extLst>
                <a:ext uri="{63B3BB69-23CF-44E3-9099-C40C66FF867C}">
                  <a14:compatExt spid="_x0000_s41990"/>
                </a:ext>
                <a:ext uri="{FF2B5EF4-FFF2-40B4-BE49-F238E27FC236}">
                  <a16:creationId xmlns:a16="http://schemas.microsoft.com/office/drawing/2014/main" id="{00000000-0008-0000-1100-000006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88900</xdr:rowOff>
        </xdr:from>
        <xdr:to>
          <xdr:col>12</xdr:col>
          <xdr:colOff>508000</xdr:colOff>
          <xdr:row>13</xdr:row>
          <xdr:rowOff>146050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1100-000007A4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88900</xdr:rowOff>
        </xdr:from>
        <xdr:to>
          <xdr:col>12</xdr:col>
          <xdr:colOff>1041400</xdr:colOff>
          <xdr:row>13</xdr:row>
          <xdr:rowOff>146050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1100-000008A4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241300</xdr:colOff>
          <xdr:row>9</xdr:row>
          <xdr:rowOff>120650</xdr:rowOff>
        </xdr:from>
        <xdr:to>
          <xdr:col>12</xdr:col>
          <xdr:colOff>114300</xdr:colOff>
          <xdr:row>11</xdr:row>
          <xdr:rowOff>82550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1100-000009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1100-00000A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127000</xdr:colOff>
          <xdr:row>9</xdr:row>
          <xdr:rowOff>120650</xdr:rowOff>
        </xdr:from>
        <xdr:to>
          <xdr:col>12</xdr:col>
          <xdr:colOff>1041400</xdr:colOff>
          <xdr:row>11</xdr:row>
          <xdr:rowOff>82550</xdr:rowOff>
        </xdr:to>
        <xdr:sp macro="" textlink="">
          <xdr:nvSpPr>
            <xdr:cNvPr id="41995" name="Button 11" hidden="1">
              <a:extLst>
                <a:ext uri="{63B3BB69-23CF-44E3-9099-C40C66FF867C}">
                  <a14:compatExt spid="_x0000_s41995"/>
                </a:ext>
                <a:ext uri="{FF2B5EF4-FFF2-40B4-BE49-F238E27FC236}">
                  <a16:creationId xmlns:a16="http://schemas.microsoft.com/office/drawing/2014/main" id="{00000000-0008-0000-1100-00000B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22</xdr:row>
          <xdr:rowOff>114300</xdr:rowOff>
        </xdr:from>
        <xdr:to>
          <xdr:col>11</xdr:col>
          <xdr:colOff>450850</xdr:colOff>
          <xdr:row>26</xdr:row>
          <xdr:rowOff>38100</xdr:rowOff>
        </xdr:to>
        <xdr:sp macro="" textlink="">
          <xdr:nvSpPr>
            <xdr:cNvPr id="41996" name="Button 12" hidden="1">
              <a:extLst>
                <a:ext uri="{63B3BB69-23CF-44E3-9099-C40C66FF867C}">
                  <a14:compatExt spid="_x0000_s41996"/>
                </a:ext>
                <a:ext uri="{FF2B5EF4-FFF2-40B4-BE49-F238E27FC236}">
                  <a16:creationId xmlns:a16="http://schemas.microsoft.com/office/drawing/2014/main" id="{00000000-0008-0000-1100-00000C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28</xdr:row>
          <xdr:rowOff>146050</xdr:rowOff>
        </xdr:from>
        <xdr:to>
          <xdr:col>11</xdr:col>
          <xdr:colOff>450850</xdr:colOff>
          <xdr:row>31</xdr:row>
          <xdr:rowOff>234950</xdr:rowOff>
        </xdr:to>
        <xdr:sp macro="" textlink="">
          <xdr:nvSpPr>
            <xdr:cNvPr id="41998" name="Button 14" hidden="1">
              <a:extLst>
                <a:ext uri="{63B3BB69-23CF-44E3-9099-C40C66FF867C}">
                  <a14:compatExt spid="_x0000_s41998"/>
                </a:ext>
                <a:ext uri="{FF2B5EF4-FFF2-40B4-BE49-F238E27FC236}">
                  <a16:creationId xmlns:a16="http://schemas.microsoft.com/office/drawing/2014/main" id="{00000000-0008-0000-1100-00000E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41999" name="globalbacktobutton" hidden="1">
              <a:extLst>
                <a:ext uri="{63B3BB69-23CF-44E3-9099-C40C66FF867C}">
                  <a14:compatExt spid="_x0000_s41999"/>
                </a:ext>
                <a:ext uri="{FF2B5EF4-FFF2-40B4-BE49-F238E27FC236}">
                  <a16:creationId xmlns:a16="http://schemas.microsoft.com/office/drawing/2014/main" id="{00000000-0008-0000-1100-00000FA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127000</xdr:rowOff>
        </xdr:from>
        <xdr:to>
          <xdr:col>11</xdr:col>
          <xdr:colOff>419100</xdr:colOff>
          <xdr:row>4</xdr:row>
          <xdr:rowOff>63500</xdr:rowOff>
        </xdr:to>
        <xdr:sp macro="" textlink="">
          <xdr:nvSpPr>
            <xdr:cNvPr id="42000" name="Button 16" hidden="1">
              <a:extLst>
                <a:ext uri="{63B3BB69-23CF-44E3-9099-C40C66FF867C}">
                  <a14:compatExt spid="_x0000_s42000"/>
                </a:ext>
                <a:ext uri="{FF2B5EF4-FFF2-40B4-BE49-F238E27FC236}">
                  <a16:creationId xmlns:a16="http://schemas.microsoft.com/office/drawing/2014/main" id="{00000000-0008-0000-1100-000010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next year</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2</xdr:row>
          <xdr:rowOff>25400</xdr:rowOff>
        </xdr:from>
        <xdr:to>
          <xdr:col>0</xdr:col>
          <xdr:colOff>1035050</xdr:colOff>
          <xdr:row>4</xdr:row>
          <xdr:rowOff>31750</xdr:rowOff>
        </xdr:to>
        <xdr:sp macro="" textlink="">
          <xdr:nvSpPr>
            <xdr:cNvPr id="66561" name="home" hidden="1">
              <a:extLst>
                <a:ext uri="{63B3BB69-23CF-44E3-9099-C40C66FF867C}">
                  <a14:compatExt spid="_x0000_s66561"/>
                </a:ext>
                <a:ext uri="{FF2B5EF4-FFF2-40B4-BE49-F238E27FC236}">
                  <a16:creationId xmlns:a16="http://schemas.microsoft.com/office/drawing/2014/main" id="{00000000-0008-0000-1200-000001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4</xdr:row>
          <xdr:rowOff>38100</xdr:rowOff>
        </xdr:from>
        <xdr:to>
          <xdr:col>0</xdr:col>
          <xdr:colOff>1035050</xdr:colOff>
          <xdr:row>6</xdr:row>
          <xdr:rowOff>139700</xdr:rowOff>
        </xdr:to>
        <xdr:sp macro="" textlink="">
          <xdr:nvSpPr>
            <xdr:cNvPr id="66562" name="basic" hidden="1">
              <a:extLst>
                <a:ext uri="{63B3BB69-23CF-44E3-9099-C40C66FF867C}">
                  <a14:compatExt spid="_x0000_s66562"/>
                </a:ext>
                <a:ext uri="{FF2B5EF4-FFF2-40B4-BE49-F238E27FC236}">
                  <a16:creationId xmlns:a16="http://schemas.microsoft.com/office/drawing/2014/main" id="{00000000-0008-0000-1200-000002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12700</xdr:rowOff>
        </xdr:from>
        <xdr:to>
          <xdr:col>0</xdr:col>
          <xdr:colOff>1066800</xdr:colOff>
          <xdr:row>22</xdr:row>
          <xdr:rowOff>114300</xdr:rowOff>
        </xdr:to>
        <xdr:sp macro="" textlink="">
          <xdr:nvSpPr>
            <xdr:cNvPr id="66563" name="Button 3" hidden="1">
              <a:extLst>
                <a:ext uri="{63B3BB69-23CF-44E3-9099-C40C66FF867C}">
                  <a14:compatExt spid="_x0000_s66563"/>
                </a:ext>
                <a:ext uri="{FF2B5EF4-FFF2-40B4-BE49-F238E27FC236}">
                  <a16:creationId xmlns:a16="http://schemas.microsoft.com/office/drawing/2014/main" id="{00000000-0008-0000-1200-000003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66564" name="Button 4" hidden="1">
              <a:extLst>
                <a:ext uri="{63B3BB69-23CF-44E3-9099-C40C66FF867C}">
                  <a14:compatExt spid="_x0000_s66564"/>
                </a:ext>
                <a:ext uri="{FF2B5EF4-FFF2-40B4-BE49-F238E27FC236}">
                  <a16:creationId xmlns:a16="http://schemas.microsoft.com/office/drawing/2014/main" id="{00000000-0008-0000-1200-000004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88900</xdr:rowOff>
        </xdr:from>
        <xdr:to>
          <xdr:col>11</xdr:col>
          <xdr:colOff>88900</xdr:colOff>
          <xdr:row>13</xdr:row>
          <xdr:rowOff>146050</xdr:rowOff>
        </xdr:to>
        <xdr:sp macro="" textlink="">
          <xdr:nvSpPr>
            <xdr:cNvPr id="66565" name="Button 5" hidden="1">
              <a:extLst>
                <a:ext uri="{63B3BB69-23CF-44E3-9099-C40C66FF867C}">
                  <a14:compatExt spid="_x0000_s66565"/>
                </a:ext>
                <a:ext uri="{FF2B5EF4-FFF2-40B4-BE49-F238E27FC236}">
                  <a16:creationId xmlns:a16="http://schemas.microsoft.com/office/drawing/2014/main" id="{00000000-0008-0000-1200-000005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88900</xdr:rowOff>
        </xdr:from>
        <xdr:to>
          <xdr:col>11</xdr:col>
          <xdr:colOff>787400</xdr:colOff>
          <xdr:row>13</xdr:row>
          <xdr:rowOff>146050</xdr:rowOff>
        </xdr:to>
        <xdr:sp macro="" textlink="">
          <xdr:nvSpPr>
            <xdr:cNvPr id="66566" name="Button 6" hidden="1">
              <a:extLst>
                <a:ext uri="{63B3BB69-23CF-44E3-9099-C40C66FF867C}">
                  <a14:compatExt spid="_x0000_s66566"/>
                </a:ext>
                <a:ext uri="{FF2B5EF4-FFF2-40B4-BE49-F238E27FC236}">
                  <a16:creationId xmlns:a16="http://schemas.microsoft.com/office/drawing/2014/main" id="{00000000-0008-0000-1200-000006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88900</xdr:rowOff>
        </xdr:from>
        <xdr:to>
          <xdr:col>12</xdr:col>
          <xdr:colOff>508000</xdr:colOff>
          <xdr:row>13</xdr:row>
          <xdr:rowOff>146050</xdr:rowOff>
        </xdr:to>
        <xdr:sp macro="" textlink="">
          <xdr:nvSpPr>
            <xdr:cNvPr id="66567" name="Button 7" hidden="1">
              <a:extLst>
                <a:ext uri="{63B3BB69-23CF-44E3-9099-C40C66FF867C}">
                  <a14:compatExt spid="_x0000_s66567"/>
                </a:ext>
                <a:ext uri="{FF2B5EF4-FFF2-40B4-BE49-F238E27FC236}">
                  <a16:creationId xmlns:a16="http://schemas.microsoft.com/office/drawing/2014/main" id="{00000000-0008-0000-1200-0000070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88900</xdr:rowOff>
        </xdr:from>
        <xdr:to>
          <xdr:col>12</xdr:col>
          <xdr:colOff>1041400</xdr:colOff>
          <xdr:row>13</xdr:row>
          <xdr:rowOff>146050</xdr:rowOff>
        </xdr:to>
        <xdr:sp macro="" textlink="">
          <xdr:nvSpPr>
            <xdr:cNvPr id="66568" name="Button 8" hidden="1">
              <a:extLst>
                <a:ext uri="{63B3BB69-23CF-44E3-9099-C40C66FF867C}">
                  <a14:compatExt spid="_x0000_s66568"/>
                </a:ext>
                <a:ext uri="{FF2B5EF4-FFF2-40B4-BE49-F238E27FC236}">
                  <a16:creationId xmlns:a16="http://schemas.microsoft.com/office/drawing/2014/main" id="{00000000-0008-0000-1200-0000080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241300</xdr:colOff>
          <xdr:row>9</xdr:row>
          <xdr:rowOff>120650</xdr:rowOff>
        </xdr:from>
        <xdr:to>
          <xdr:col>12</xdr:col>
          <xdr:colOff>114300</xdr:colOff>
          <xdr:row>11</xdr:row>
          <xdr:rowOff>82550</xdr:rowOff>
        </xdr:to>
        <xdr:sp macro="" textlink="">
          <xdr:nvSpPr>
            <xdr:cNvPr id="66569" name="Button 9" hidden="1">
              <a:extLst>
                <a:ext uri="{63B3BB69-23CF-44E3-9099-C40C66FF867C}">
                  <a14:compatExt spid="_x0000_s66569"/>
                </a:ext>
                <a:ext uri="{FF2B5EF4-FFF2-40B4-BE49-F238E27FC236}">
                  <a16:creationId xmlns:a16="http://schemas.microsoft.com/office/drawing/2014/main" id="{00000000-0008-0000-1200-000009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66570" name="Button 10" hidden="1">
              <a:extLst>
                <a:ext uri="{63B3BB69-23CF-44E3-9099-C40C66FF867C}">
                  <a14:compatExt spid="_x0000_s66570"/>
                </a:ext>
                <a:ext uri="{FF2B5EF4-FFF2-40B4-BE49-F238E27FC236}">
                  <a16:creationId xmlns:a16="http://schemas.microsoft.com/office/drawing/2014/main" id="{00000000-0008-0000-1200-00000A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127000</xdr:colOff>
          <xdr:row>9</xdr:row>
          <xdr:rowOff>120650</xdr:rowOff>
        </xdr:from>
        <xdr:to>
          <xdr:col>12</xdr:col>
          <xdr:colOff>1041400</xdr:colOff>
          <xdr:row>11</xdr:row>
          <xdr:rowOff>82550</xdr:rowOff>
        </xdr:to>
        <xdr:sp macro="" textlink="">
          <xdr:nvSpPr>
            <xdr:cNvPr id="66571" name="Button 11" hidden="1">
              <a:extLst>
                <a:ext uri="{63B3BB69-23CF-44E3-9099-C40C66FF867C}">
                  <a14:compatExt spid="_x0000_s66571"/>
                </a:ext>
                <a:ext uri="{FF2B5EF4-FFF2-40B4-BE49-F238E27FC236}">
                  <a16:creationId xmlns:a16="http://schemas.microsoft.com/office/drawing/2014/main" id="{00000000-0008-0000-1200-00000B0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22</xdr:row>
          <xdr:rowOff>114300</xdr:rowOff>
        </xdr:from>
        <xdr:to>
          <xdr:col>11</xdr:col>
          <xdr:colOff>450850</xdr:colOff>
          <xdr:row>26</xdr:row>
          <xdr:rowOff>38100</xdr:rowOff>
        </xdr:to>
        <xdr:sp macro="" textlink="">
          <xdr:nvSpPr>
            <xdr:cNvPr id="66572" name="Button 12" hidden="1">
              <a:extLst>
                <a:ext uri="{63B3BB69-23CF-44E3-9099-C40C66FF867C}">
                  <a14:compatExt spid="_x0000_s66572"/>
                </a:ext>
                <a:ext uri="{FF2B5EF4-FFF2-40B4-BE49-F238E27FC236}">
                  <a16:creationId xmlns:a16="http://schemas.microsoft.com/office/drawing/2014/main" id="{00000000-0008-0000-1200-00000C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28</xdr:row>
          <xdr:rowOff>146050</xdr:rowOff>
        </xdr:from>
        <xdr:to>
          <xdr:col>11</xdr:col>
          <xdr:colOff>450850</xdr:colOff>
          <xdr:row>31</xdr:row>
          <xdr:rowOff>234950</xdr:rowOff>
        </xdr:to>
        <xdr:sp macro="" textlink="">
          <xdr:nvSpPr>
            <xdr:cNvPr id="66574" name="Button 14" hidden="1">
              <a:extLst>
                <a:ext uri="{63B3BB69-23CF-44E3-9099-C40C66FF867C}">
                  <a14:compatExt spid="_x0000_s66574"/>
                </a:ext>
                <a:ext uri="{FF2B5EF4-FFF2-40B4-BE49-F238E27FC236}">
                  <a16:creationId xmlns:a16="http://schemas.microsoft.com/office/drawing/2014/main" id="{00000000-0008-0000-1200-00000E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66575" name="globalbacktobutton" hidden="1">
              <a:extLst>
                <a:ext uri="{63B3BB69-23CF-44E3-9099-C40C66FF867C}">
                  <a14:compatExt spid="_x0000_s66575"/>
                </a:ext>
                <a:ext uri="{FF2B5EF4-FFF2-40B4-BE49-F238E27FC236}">
                  <a16:creationId xmlns:a16="http://schemas.microsoft.com/office/drawing/2014/main" id="{00000000-0008-0000-1200-00000F0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2</xdr:row>
          <xdr:rowOff>25400</xdr:rowOff>
        </xdr:from>
        <xdr:to>
          <xdr:col>0</xdr:col>
          <xdr:colOff>1035050</xdr:colOff>
          <xdr:row>4</xdr:row>
          <xdr:rowOff>31750</xdr:rowOff>
        </xdr:to>
        <xdr:sp macro="" textlink="">
          <xdr:nvSpPr>
            <xdr:cNvPr id="67585" name="home" hidden="1">
              <a:extLst>
                <a:ext uri="{63B3BB69-23CF-44E3-9099-C40C66FF867C}">
                  <a14:compatExt spid="_x0000_s67585"/>
                </a:ext>
                <a:ext uri="{FF2B5EF4-FFF2-40B4-BE49-F238E27FC236}">
                  <a16:creationId xmlns:a16="http://schemas.microsoft.com/office/drawing/2014/main" id="{00000000-0008-0000-1300-000001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4</xdr:row>
          <xdr:rowOff>38100</xdr:rowOff>
        </xdr:from>
        <xdr:to>
          <xdr:col>0</xdr:col>
          <xdr:colOff>1035050</xdr:colOff>
          <xdr:row>6</xdr:row>
          <xdr:rowOff>139700</xdr:rowOff>
        </xdr:to>
        <xdr:sp macro="" textlink="">
          <xdr:nvSpPr>
            <xdr:cNvPr id="67586" name="basic" hidden="1">
              <a:extLst>
                <a:ext uri="{63B3BB69-23CF-44E3-9099-C40C66FF867C}">
                  <a14:compatExt spid="_x0000_s67586"/>
                </a:ext>
                <a:ext uri="{FF2B5EF4-FFF2-40B4-BE49-F238E27FC236}">
                  <a16:creationId xmlns:a16="http://schemas.microsoft.com/office/drawing/2014/main" id="{00000000-0008-0000-1300-000002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19</xdr:row>
          <xdr:rowOff>12700</xdr:rowOff>
        </xdr:from>
        <xdr:to>
          <xdr:col>0</xdr:col>
          <xdr:colOff>1066800</xdr:colOff>
          <xdr:row>22</xdr:row>
          <xdr:rowOff>114300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1300-000003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5</xdr:row>
          <xdr:rowOff>25400</xdr:rowOff>
        </xdr:from>
        <xdr:to>
          <xdr:col>11</xdr:col>
          <xdr:colOff>419100</xdr:colOff>
          <xdr:row>6</xdr:row>
          <xdr:rowOff>158750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1300-000004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88900</xdr:rowOff>
        </xdr:from>
        <xdr:to>
          <xdr:col>11</xdr:col>
          <xdr:colOff>88900</xdr:colOff>
          <xdr:row>13</xdr:row>
          <xdr:rowOff>146050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1300-000005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11</xdr:row>
          <xdr:rowOff>88900</xdr:rowOff>
        </xdr:from>
        <xdr:to>
          <xdr:col>11</xdr:col>
          <xdr:colOff>787400</xdr:colOff>
          <xdr:row>13</xdr:row>
          <xdr:rowOff>146050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1300-000006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793750</xdr:colOff>
          <xdr:row>11</xdr:row>
          <xdr:rowOff>88900</xdr:rowOff>
        </xdr:from>
        <xdr:to>
          <xdr:col>12</xdr:col>
          <xdr:colOff>508000</xdr:colOff>
          <xdr:row>13</xdr:row>
          <xdr:rowOff>146050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1300-00000708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520700</xdr:colOff>
          <xdr:row>11</xdr:row>
          <xdr:rowOff>88900</xdr:rowOff>
        </xdr:from>
        <xdr:to>
          <xdr:col>12</xdr:col>
          <xdr:colOff>1041400</xdr:colOff>
          <xdr:row>13</xdr:row>
          <xdr:rowOff>146050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1300-00000808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241300</xdr:colOff>
          <xdr:row>9</xdr:row>
          <xdr:rowOff>120650</xdr:rowOff>
        </xdr:from>
        <xdr:to>
          <xdr:col>12</xdr:col>
          <xdr:colOff>114300</xdr:colOff>
          <xdr:row>11</xdr:row>
          <xdr:rowOff>82550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1300-000009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9</xdr:row>
          <xdr:rowOff>120650</xdr:rowOff>
        </xdr:from>
        <xdr:to>
          <xdr:col>11</xdr:col>
          <xdr:colOff>234950</xdr:colOff>
          <xdr:row>11</xdr:row>
          <xdr:rowOff>82550</xdr:rowOff>
        </xdr:to>
        <xdr:sp macro="" textlink="">
          <xdr:nvSpPr>
            <xdr:cNvPr id="67594" name="Button 10" hidden="1">
              <a:extLst>
                <a:ext uri="{63B3BB69-23CF-44E3-9099-C40C66FF867C}">
                  <a14:compatExt spid="_x0000_s67594"/>
                </a:ext>
                <a:ext uri="{FF2B5EF4-FFF2-40B4-BE49-F238E27FC236}">
                  <a16:creationId xmlns:a16="http://schemas.microsoft.com/office/drawing/2014/main" id="{00000000-0008-0000-1300-00000A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127000</xdr:colOff>
          <xdr:row>9</xdr:row>
          <xdr:rowOff>120650</xdr:rowOff>
        </xdr:from>
        <xdr:to>
          <xdr:col>12</xdr:col>
          <xdr:colOff>1041400</xdr:colOff>
          <xdr:row>11</xdr:row>
          <xdr:rowOff>82550</xdr:rowOff>
        </xdr:to>
        <xdr:sp macro="" textlink="">
          <xdr:nvSpPr>
            <xdr:cNvPr id="67595" name="Button 11" hidden="1">
              <a:extLst>
                <a:ext uri="{63B3BB69-23CF-44E3-9099-C40C66FF867C}">
                  <a14:compatExt spid="_x0000_s67595"/>
                </a:ext>
                <a:ext uri="{FF2B5EF4-FFF2-40B4-BE49-F238E27FC236}">
                  <a16:creationId xmlns:a16="http://schemas.microsoft.com/office/drawing/2014/main" id="{00000000-0008-0000-1300-00000B0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22</xdr:row>
          <xdr:rowOff>114300</xdr:rowOff>
        </xdr:from>
        <xdr:to>
          <xdr:col>11</xdr:col>
          <xdr:colOff>450850</xdr:colOff>
          <xdr:row>26</xdr:row>
          <xdr:rowOff>38100</xdr:rowOff>
        </xdr:to>
        <xdr:sp macro="" textlink="">
          <xdr:nvSpPr>
            <xdr:cNvPr id="67596" name="Button 12" hidden="1">
              <a:extLst>
                <a:ext uri="{63B3BB69-23CF-44E3-9099-C40C66FF867C}">
                  <a14:compatExt spid="_x0000_s67596"/>
                </a:ext>
                <a:ext uri="{FF2B5EF4-FFF2-40B4-BE49-F238E27FC236}">
                  <a16:creationId xmlns:a16="http://schemas.microsoft.com/office/drawing/2014/main" id="{00000000-0008-0000-1300-00000C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 to</a:t>
              </a:r>
            </a:p>
            <a:p>
              <a:pPr algn="ctr" rtl="0">
                <a:defRPr sz="1000"/>
              </a:pPr>
              <a:r>
                <a:rPr lang="en-GB" sz="1100" b="0" i="0" u="none" strike="noStrike" baseline="0">
                  <a:solidFill>
                    <a:srgbClr val="000000"/>
                  </a:solidFill>
                  <a:latin typeface="Calibri"/>
                  <a:ea typeface="Calibri"/>
                  <a:cs typeface="Calibri"/>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101600</xdr:colOff>
          <xdr:row>2</xdr:row>
          <xdr:rowOff>127000</xdr:rowOff>
        </xdr:from>
        <xdr:to>
          <xdr:col>11</xdr:col>
          <xdr:colOff>419100</xdr:colOff>
          <xdr:row>4</xdr:row>
          <xdr:rowOff>63500</xdr:rowOff>
        </xdr:to>
        <xdr:sp macro="" textlink="">
          <xdr:nvSpPr>
            <xdr:cNvPr id="67597" name="Button 13" hidden="1">
              <a:extLst>
                <a:ext uri="{63B3BB69-23CF-44E3-9099-C40C66FF867C}">
                  <a14:compatExt spid="_x0000_s67597"/>
                </a:ext>
                <a:ext uri="{FF2B5EF4-FFF2-40B4-BE49-F238E27FC236}">
                  <a16:creationId xmlns:a16="http://schemas.microsoft.com/office/drawing/2014/main" id="{00000000-0008-0000-1300-00000D0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28</xdr:row>
          <xdr:rowOff>146050</xdr:rowOff>
        </xdr:from>
        <xdr:to>
          <xdr:col>11</xdr:col>
          <xdr:colOff>450850</xdr:colOff>
          <xdr:row>31</xdr:row>
          <xdr:rowOff>234950</xdr:rowOff>
        </xdr:to>
        <xdr:sp macro="" textlink="">
          <xdr:nvSpPr>
            <xdr:cNvPr id="67598" name="Button 14" hidden="1">
              <a:extLst>
                <a:ext uri="{63B3BB69-23CF-44E3-9099-C40C66FF867C}">
                  <a14:compatExt spid="_x0000_s67598"/>
                </a:ext>
                <a:ext uri="{FF2B5EF4-FFF2-40B4-BE49-F238E27FC236}">
                  <a16:creationId xmlns:a16="http://schemas.microsoft.com/office/drawing/2014/main" id="{00000000-0008-0000-1300-00000E0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19</xdr:row>
          <xdr:rowOff>38100</xdr:rowOff>
        </xdr:from>
        <xdr:to>
          <xdr:col>11</xdr:col>
          <xdr:colOff>450850</xdr:colOff>
          <xdr:row>21</xdr:row>
          <xdr:rowOff>146050</xdr:rowOff>
        </xdr:to>
        <xdr:sp macro="" textlink="">
          <xdr:nvSpPr>
            <xdr:cNvPr id="67599" name="globalbacktobutton" hidden="1">
              <a:extLst>
                <a:ext uri="{63B3BB69-23CF-44E3-9099-C40C66FF867C}">
                  <a14:compatExt spid="_x0000_s67599"/>
                </a:ext>
                <a:ext uri="{FF2B5EF4-FFF2-40B4-BE49-F238E27FC236}">
                  <a16:creationId xmlns:a16="http://schemas.microsoft.com/office/drawing/2014/main" id="{00000000-0008-0000-1300-00000F0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755650</xdr:colOff>
          <xdr:row>6</xdr:row>
          <xdr:rowOff>88900</xdr:rowOff>
        </xdr:from>
        <xdr:to>
          <xdr:col>9</xdr:col>
          <xdr:colOff>228600</xdr:colOff>
          <xdr:row>7</xdr:row>
          <xdr:rowOff>127000</xdr:rowOff>
        </xdr:to>
        <xdr:sp macro="" textlink="">
          <xdr:nvSpPr>
            <xdr:cNvPr id="56321" name="Drop Down 1" hidden="1">
              <a:extLst>
                <a:ext uri="{63B3BB69-23CF-44E3-9099-C40C66FF867C}">
                  <a14:compatExt spid="_x0000_s56321"/>
                </a:ext>
                <a:ext uri="{FF2B5EF4-FFF2-40B4-BE49-F238E27FC236}">
                  <a16:creationId xmlns:a16="http://schemas.microsoft.com/office/drawing/2014/main" id="{00000000-0008-0000-16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768350</xdr:colOff>
          <xdr:row>1</xdr:row>
          <xdr:rowOff>38100</xdr:rowOff>
        </xdr:from>
        <xdr:to>
          <xdr:col>5</xdr:col>
          <xdr:colOff>196850</xdr:colOff>
          <xdr:row>1</xdr:row>
          <xdr:rowOff>406400</xdr:rowOff>
        </xdr:to>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1600-000003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Go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177800</xdr:colOff>
          <xdr:row>40</xdr:row>
          <xdr:rowOff>120650</xdr:rowOff>
        </xdr:from>
        <xdr:to>
          <xdr:col>11</xdr:col>
          <xdr:colOff>31750</xdr:colOff>
          <xdr:row>43</xdr:row>
          <xdr:rowOff>6350</xdr:rowOff>
        </xdr:to>
        <xdr:sp macro="" textlink="">
          <xdr:nvSpPr>
            <xdr:cNvPr id="56324" name="cert_help_button2" hidden="1">
              <a:extLst>
                <a:ext uri="{63B3BB69-23CF-44E3-9099-C40C66FF867C}">
                  <a14:compatExt spid="_x0000_s56324"/>
                </a:ext>
                <a:ext uri="{FF2B5EF4-FFF2-40B4-BE49-F238E27FC236}">
                  <a16:creationId xmlns:a16="http://schemas.microsoft.com/office/drawing/2014/main" id="{00000000-0008-0000-1600-000004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844550</xdr:colOff>
          <xdr:row>1</xdr:row>
          <xdr:rowOff>82550</xdr:rowOff>
        </xdr:from>
        <xdr:to>
          <xdr:col>14</xdr:col>
          <xdr:colOff>463550</xdr:colOff>
          <xdr:row>1</xdr:row>
          <xdr:rowOff>387350</xdr:rowOff>
        </xdr:to>
        <xdr:sp macro="" textlink="">
          <xdr:nvSpPr>
            <xdr:cNvPr id="56325" name="Spinner 5" hidden="1">
              <a:extLst>
                <a:ext uri="{63B3BB69-23CF-44E3-9099-C40C66FF867C}">
                  <a14:compatExt spid="_x0000_s56325"/>
                </a:ext>
                <a:ext uri="{FF2B5EF4-FFF2-40B4-BE49-F238E27FC236}">
                  <a16:creationId xmlns:a16="http://schemas.microsoft.com/office/drawing/2014/main" id="{00000000-0008-0000-1600-000005D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342900</xdr:colOff>
          <xdr:row>1</xdr:row>
          <xdr:rowOff>139700</xdr:rowOff>
        </xdr:from>
        <xdr:to>
          <xdr:col>11</xdr:col>
          <xdr:colOff>44450</xdr:colOff>
          <xdr:row>1</xdr:row>
          <xdr:rowOff>311150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1600-000006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165100</xdr:colOff>
          <xdr:row>4</xdr:row>
          <xdr:rowOff>88900</xdr:rowOff>
        </xdr:from>
        <xdr:to>
          <xdr:col>16</xdr:col>
          <xdr:colOff>234950</xdr:colOff>
          <xdr:row>6</xdr:row>
          <xdr:rowOff>127000</xdr:rowOff>
        </xdr:to>
        <xdr:sp macro="" textlink="">
          <xdr:nvSpPr>
            <xdr:cNvPr id="56327" name="clear_adv_top_button" hidden="1">
              <a:extLst>
                <a:ext uri="{63B3BB69-23CF-44E3-9099-C40C66FF867C}">
                  <a14:compatExt spid="_x0000_s56327"/>
                </a:ext>
                <a:ext uri="{FF2B5EF4-FFF2-40B4-BE49-F238E27FC236}">
                  <a16:creationId xmlns:a16="http://schemas.microsoft.com/office/drawing/2014/main" id="{00000000-0008-0000-1600-000007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this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101600</xdr:colOff>
          <xdr:row>64</xdr:row>
          <xdr:rowOff>196850</xdr:rowOff>
        </xdr:from>
        <xdr:to>
          <xdr:col>14</xdr:col>
          <xdr:colOff>139700</xdr:colOff>
          <xdr:row>65</xdr:row>
          <xdr:rowOff>203200</xdr:rowOff>
        </xdr:to>
        <xdr:sp macro="" textlink="">
          <xdr:nvSpPr>
            <xdr:cNvPr id="56328" name="reset_adv_sbrr_button" hidden="1">
              <a:extLst>
                <a:ext uri="{63B3BB69-23CF-44E3-9099-C40C66FF867C}">
                  <a14:compatExt spid="_x0000_s56328"/>
                </a:ext>
                <a:ext uri="{FF2B5EF4-FFF2-40B4-BE49-F238E27FC236}">
                  <a16:creationId xmlns:a16="http://schemas.microsoft.com/office/drawing/2014/main" id="{00000000-0008-0000-1600-000008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sbrr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101600</xdr:colOff>
          <xdr:row>33</xdr:row>
          <xdr:rowOff>38100</xdr:rowOff>
        </xdr:from>
        <xdr:to>
          <xdr:col>18</xdr:col>
          <xdr:colOff>469900</xdr:colOff>
          <xdr:row>35</xdr:row>
          <xdr:rowOff>69850</xdr:rowOff>
        </xdr:to>
        <xdr:sp macro="" textlink="">
          <xdr:nvSpPr>
            <xdr:cNvPr id="56329" name="clear_keep_open" hidden="1">
              <a:extLst>
                <a:ext uri="{63B3BB69-23CF-44E3-9099-C40C66FF867C}">
                  <a14:compatExt spid="_x0000_s56329"/>
                </a:ext>
                <a:ext uri="{FF2B5EF4-FFF2-40B4-BE49-F238E27FC236}">
                  <a16:creationId xmlns:a16="http://schemas.microsoft.com/office/drawing/2014/main" id="{00000000-0008-0000-1600-000009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and keep 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69850</xdr:colOff>
          <xdr:row>63</xdr:row>
          <xdr:rowOff>69850</xdr:rowOff>
        </xdr:from>
        <xdr:to>
          <xdr:col>5</xdr:col>
          <xdr:colOff>609600</xdr:colOff>
          <xdr:row>65</xdr:row>
          <xdr:rowOff>146050</xdr:rowOff>
        </xdr:to>
        <xdr:sp macro="" textlink="">
          <xdr:nvSpPr>
            <xdr:cNvPr id="56330" name="reset_adv_dates_button" hidden="1">
              <a:extLst>
                <a:ext uri="{63B3BB69-23CF-44E3-9099-C40C66FF867C}">
                  <a14:compatExt spid="_x0000_s56330"/>
                </a:ext>
                <a:ext uri="{FF2B5EF4-FFF2-40B4-BE49-F238E27FC236}">
                  <a16:creationId xmlns:a16="http://schemas.microsoft.com/office/drawing/2014/main" id="{00000000-0008-0000-1600-00000A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reset this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63500</xdr:colOff>
          <xdr:row>11</xdr:row>
          <xdr:rowOff>6350</xdr:rowOff>
        </xdr:from>
        <xdr:to>
          <xdr:col>18</xdr:col>
          <xdr:colOff>831850</xdr:colOff>
          <xdr:row>14</xdr:row>
          <xdr:rowOff>234950</xdr:rowOff>
        </xdr:to>
        <xdr:sp macro="" textlink="">
          <xdr:nvSpPr>
            <xdr:cNvPr id="56331" name="sbrrbutton" hidden="1">
              <a:extLst>
                <a:ext uri="{63B3BB69-23CF-44E3-9099-C40C66FF867C}">
                  <a14:compatExt spid="_x0000_s56331"/>
                </a:ext>
                <a:ext uri="{FF2B5EF4-FFF2-40B4-BE49-F238E27FC236}">
                  <a16:creationId xmlns:a16="http://schemas.microsoft.com/office/drawing/2014/main" id="{00000000-0008-0000-1600-00000B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Open the SBRR Input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838200</xdr:colOff>
          <xdr:row>11</xdr:row>
          <xdr:rowOff>6350</xdr:rowOff>
        </xdr:from>
        <xdr:to>
          <xdr:col>18</xdr:col>
          <xdr:colOff>1784350</xdr:colOff>
          <xdr:row>14</xdr:row>
          <xdr:rowOff>234950</xdr:rowOff>
        </xdr:to>
        <xdr:sp macro="" textlink="">
          <xdr:nvSpPr>
            <xdr:cNvPr id="56332" name="certbutton" hidden="1">
              <a:extLst>
                <a:ext uri="{63B3BB69-23CF-44E3-9099-C40C66FF867C}">
                  <a14:compatExt spid="_x0000_s56332"/>
                </a:ext>
                <a:ext uri="{FF2B5EF4-FFF2-40B4-BE49-F238E27FC236}">
                  <a16:creationId xmlns:a16="http://schemas.microsoft.com/office/drawing/2014/main" id="{00000000-0008-0000-1600-00000C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Open the Transitional Certificates Input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xdr:colOff>
          <xdr:row>5</xdr:row>
          <xdr:rowOff>31750</xdr:rowOff>
        </xdr:from>
        <xdr:to>
          <xdr:col>18</xdr:col>
          <xdr:colOff>1790700</xdr:colOff>
          <xdr:row>6</xdr:row>
          <xdr:rowOff>120650</xdr:rowOff>
        </xdr:to>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1600-00000E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127000</xdr:colOff>
          <xdr:row>95</xdr:row>
          <xdr:rowOff>76200</xdr:rowOff>
        </xdr:from>
        <xdr:to>
          <xdr:col>17</xdr:col>
          <xdr:colOff>31750</xdr:colOff>
          <xdr:row>97</xdr:row>
          <xdr:rowOff>38100</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1600-00000F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273050</xdr:colOff>
          <xdr:row>1</xdr:row>
          <xdr:rowOff>44450</xdr:rowOff>
        </xdr:from>
        <xdr:to>
          <xdr:col>8</xdr:col>
          <xdr:colOff>647700</xdr:colOff>
          <xdr:row>1</xdr:row>
          <xdr:rowOff>387350</xdr:rowOff>
        </xdr:to>
        <xdr:sp macro="" textlink="">
          <xdr:nvSpPr>
            <xdr:cNvPr id="56336" name="advanced_clear_button" hidden="1">
              <a:extLst>
                <a:ext uri="{63B3BB69-23CF-44E3-9099-C40C66FF867C}">
                  <a14:compatExt spid="_x0000_s56336"/>
                </a:ext>
                <a:ext uri="{FF2B5EF4-FFF2-40B4-BE49-F238E27FC236}">
                  <a16:creationId xmlns:a16="http://schemas.microsoft.com/office/drawing/2014/main" id="{00000000-0008-0000-1600-000010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Clear All Input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127000</xdr:colOff>
          <xdr:row>97</xdr:row>
          <xdr:rowOff>44450</xdr:rowOff>
        </xdr:from>
        <xdr:to>
          <xdr:col>17</xdr:col>
          <xdr:colOff>31750</xdr:colOff>
          <xdr:row>98</xdr:row>
          <xdr:rowOff>139700</xdr:rowOff>
        </xdr:to>
        <xdr:sp macro="" textlink="">
          <xdr:nvSpPr>
            <xdr:cNvPr id="56337" name="Button 17" hidden="1">
              <a:extLst>
                <a:ext uri="{63B3BB69-23CF-44E3-9099-C40C66FF867C}">
                  <a14:compatExt spid="_x0000_s56337"/>
                </a:ext>
                <a:ext uri="{FF2B5EF4-FFF2-40B4-BE49-F238E27FC236}">
                  <a16:creationId xmlns:a16="http://schemas.microsoft.com/office/drawing/2014/main" id="{00000000-0008-0000-1600-000011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more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63500</xdr:colOff>
          <xdr:row>94</xdr:row>
          <xdr:rowOff>222250</xdr:rowOff>
        </xdr:from>
        <xdr:to>
          <xdr:col>18</xdr:col>
          <xdr:colOff>939800</xdr:colOff>
          <xdr:row>96</xdr:row>
          <xdr:rowOff>139700</xdr:rowOff>
        </xdr:to>
        <xdr:sp macro="" textlink="">
          <xdr:nvSpPr>
            <xdr:cNvPr id="56338" name="Button 18" hidden="1">
              <a:extLst>
                <a:ext uri="{63B3BB69-23CF-44E3-9099-C40C66FF867C}">
                  <a14:compatExt spid="_x0000_s56338"/>
                </a:ext>
                <a:ext uri="{FF2B5EF4-FFF2-40B4-BE49-F238E27FC236}">
                  <a16:creationId xmlns:a16="http://schemas.microsoft.com/office/drawing/2014/main" id="{00000000-0008-0000-1600-000012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Instalments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5</xdr:row>
          <xdr:rowOff>25400</xdr:rowOff>
        </xdr:from>
        <xdr:to>
          <xdr:col>7</xdr:col>
          <xdr:colOff>596900</xdr:colOff>
          <xdr:row>6</xdr:row>
          <xdr:rowOff>6350</xdr:rowOff>
        </xdr:to>
        <xdr:sp macro="" textlink="">
          <xdr:nvSpPr>
            <xdr:cNvPr id="56340" name="Button 20" hidden="1">
              <a:extLst>
                <a:ext uri="{63B3BB69-23CF-44E3-9099-C40C66FF867C}">
                  <a14:compatExt spid="_x0000_s56340"/>
                </a:ext>
                <a:ext uri="{FF2B5EF4-FFF2-40B4-BE49-F238E27FC236}">
                  <a16:creationId xmlns:a16="http://schemas.microsoft.com/office/drawing/2014/main" id="{00000000-0008-0000-1600-000014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enter the 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76200</xdr:colOff>
          <xdr:row>84</xdr:row>
          <xdr:rowOff>6350</xdr:rowOff>
        </xdr:from>
        <xdr:to>
          <xdr:col>18</xdr:col>
          <xdr:colOff>1212850</xdr:colOff>
          <xdr:row>85</xdr:row>
          <xdr:rowOff>139700</xdr:rowOff>
        </xdr:to>
        <xdr:sp macro="" textlink="">
          <xdr:nvSpPr>
            <xdr:cNvPr id="56341" name="Button 21" hidden="1">
              <a:extLst>
                <a:ext uri="{63B3BB69-23CF-44E3-9099-C40C66FF867C}">
                  <a14:compatExt spid="_x0000_s56341"/>
                </a:ext>
                <a:ext uri="{FF2B5EF4-FFF2-40B4-BE49-F238E27FC236}">
                  <a16:creationId xmlns:a16="http://schemas.microsoft.com/office/drawing/2014/main" id="{00000000-0008-0000-1600-000015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69850</xdr:colOff>
          <xdr:row>97</xdr:row>
          <xdr:rowOff>6350</xdr:rowOff>
        </xdr:from>
        <xdr:to>
          <xdr:col>18</xdr:col>
          <xdr:colOff>946150</xdr:colOff>
          <xdr:row>99</xdr:row>
          <xdr:rowOff>38100</xdr:rowOff>
        </xdr:to>
        <xdr:sp macro="" textlink="">
          <xdr:nvSpPr>
            <xdr:cNvPr id="56342" name="advancedpayments" hidden="1">
              <a:extLst>
                <a:ext uri="{63B3BB69-23CF-44E3-9099-C40C66FF867C}">
                  <a14:compatExt spid="_x0000_s56342"/>
                </a:ext>
                <a:ext uri="{FF2B5EF4-FFF2-40B4-BE49-F238E27FC236}">
                  <a16:creationId xmlns:a16="http://schemas.microsoft.com/office/drawing/2014/main" id="{00000000-0008-0000-1600-000016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enter</a:t>
              </a:r>
            </a:p>
            <a:p>
              <a:pPr algn="ctr" rtl="0">
                <a:defRPr sz="1000"/>
              </a:pPr>
              <a:r>
                <a:rPr lang="en-GB" sz="1000" b="0" i="0" u="none" strike="noStrike" baseline="0">
                  <a:solidFill>
                    <a:srgbClr val="0000FF"/>
                  </a:solidFill>
                  <a:latin typeface="Arial"/>
                  <a:cs typeface="Arial"/>
                </a:rPr>
                <a:t>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215900</xdr:colOff>
          <xdr:row>63</xdr:row>
          <xdr:rowOff>222250</xdr:rowOff>
        </xdr:from>
        <xdr:to>
          <xdr:col>16</xdr:col>
          <xdr:colOff>958850</xdr:colOff>
          <xdr:row>65</xdr:row>
          <xdr:rowOff>31750</xdr:rowOff>
        </xdr:to>
        <xdr:sp macro="" textlink="">
          <xdr:nvSpPr>
            <xdr:cNvPr id="56343" name="Button 23" hidden="1">
              <a:extLst>
                <a:ext uri="{63B3BB69-23CF-44E3-9099-C40C66FF867C}">
                  <a14:compatExt spid="_x0000_s56343"/>
                </a:ext>
                <a:ext uri="{FF2B5EF4-FFF2-40B4-BE49-F238E27FC236}">
                  <a16:creationId xmlns:a16="http://schemas.microsoft.com/office/drawing/2014/main" id="{00000000-0008-0000-1600-000017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63500</xdr:colOff>
          <xdr:row>93</xdr:row>
          <xdr:rowOff>0</xdr:rowOff>
        </xdr:from>
        <xdr:to>
          <xdr:col>18</xdr:col>
          <xdr:colOff>882650</xdr:colOff>
          <xdr:row>94</xdr:row>
          <xdr:rowOff>177800</xdr:rowOff>
        </xdr:to>
        <xdr:sp macro="" textlink="">
          <xdr:nvSpPr>
            <xdr:cNvPr id="56344" name="copypaste_button" hidden="1">
              <a:extLst>
                <a:ext uri="{63B3BB69-23CF-44E3-9099-C40C66FF867C}">
                  <a14:compatExt spid="_x0000_s56344"/>
                </a:ext>
                <a:ext uri="{FF2B5EF4-FFF2-40B4-BE49-F238E27FC236}">
                  <a16:creationId xmlns:a16="http://schemas.microsoft.com/office/drawing/2014/main" id="{00000000-0008-0000-1600-000018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333399"/>
                  </a:solidFill>
                  <a:latin typeface="Arial"/>
                  <a:cs typeface="Arial"/>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450850</xdr:colOff>
          <xdr:row>7</xdr:row>
          <xdr:rowOff>107950</xdr:rowOff>
        </xdr:from>
        <xdr:to>
          <xdr:col>10</xdr:col>
          <xdr:colOff>444500</xdr:colOff>
          <xdr:row>9</xdr:row>
          <xdr:rowOff>114300</xdr:rowOff>
        </xdr:to>
        <xdr:sp macro="" textlink="">
          <xdr:nvSpPr>
            <xdr:cNvPr id="56345" name="Button 25" hidden="1">
              <a:extLst>
                <a:ext uri="{63B3BB69-23CF-44E3-9099-C40C66FF867C}">
                  <a14:compatExt spid="_x0000_s56345"/>
                </a:ext>
                <a:ext uri="{FF2B5EF4-FFF2-40B4-BE49-F238E27FC236}">
                  <a16:creationId xmlns:a16="http://schemas.microsoft.com/office/drawing/2014/main" id="{00000000-0008-0000-1600-000019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new in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596900</xdr:colOff>
          <xdr:row>6</xdr:row>
          <xdr:rowOff>120650</xdr:rowOff>
        </xdr:from>
        <xdr:to>
          <xdr:col>7</xdr:col>
          <xdr:colOff>723900</xdr:colOff>
          <xdr:row>7</xdr:row>
          <xdr:rowOff>146050</xdr:rowOff>
        </xdr:to>
        <xdr:sp macro="" textlink="">
          <xdr:nvSpPr>
            <xdr:cNvPr id="56346" name="help_gl_button" hidden="1">
              <a:extLst>
                <a:ext uri="{63B3BB69-23CF-44E3-9099-C40C66FF867C}">
                  <a14:compatExt spid="_x0000_s56346"/>
                </a:ext>
                <a:ext uri="{FF2B5EF4-FFF2-40B4-BE49-F238E27FC236}">
                  <a16:creationId xmlns:a16="http://schemas.microsoft.com/office/drawing/2014/main" id="{00000000-0008-0000-1600-00001A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800" b="1" i="0" u="none" strike="noStrike" baseline="0">
                  <a:solidFill>
                    <a:srgbClr val="0000FF"/>
                  </a:solidFill>
                  <a:latin typeface="Arial"/>
                  <a:cs typeface="Arial"/>
                </a:rPr>
                <a:t>help - Greater London BA's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6350</xdr:colOff>
          <xdr:row>9</xdr:row>
          <xdr:rowOff>127000</xdr:rowOff>
        </xdr:from>
        <xdr:to>
          <xdr:col>9</xdr:col>
          <xdr:colOff>654050</xdr:colOff>
          <xdr:row>11</xdr:row>
          <xdr:rowOff>6350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1600-00001B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127000</xdr:rowOff>
        </xdr:from>
        <xdr:to>
          <xdr:col>13</xdr:col>
          <xdr:colOff>679450</xdr:colOff>
          <xdr:row>11</xdr:row>
          <xdr:rowOff>6350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1600-00001C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412750</xdr:colOff>
          <xdr:row>1</xdr:row>
          <xdr:rowOff>38100</xdr:rowOff>
        </xdr:from>
        <xdr:to>
          <xdr:col>7</xdr:col>
          <xdr:colOff>69850</xdr:colOff>
          <xdr:row>1</xdr:row>
          <xdr:rowOff>387350</xdr:rowOff>
        </xdr:to>
        <xdr:sp macro="" textlink="">
          <xdr:nvSpPr>
            <xdr:cNvPr id="56349" name="Button 29" hidden="1">
              <a:extLst>
                <a:ext uri="{63B3BB69-23CF-44E3-9099-C40C66FF867C}">
                  <a14:compatExt spid="_x0000_s56349"/>
                </a:ext>
                <a:ext uri="{FF2B5EF4-FFF2-40B4-BE49-F238E27FC236}">
                  <a16:creationId xmlns:a16="http://schemas.microsoft.com/office/drawing/2014/main" id="{00000000-0008-0000-1600-00001D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546100</xdr:colOff>
          <xdr:row>68</xdr:row>
          <xdr:rowOff>38100</xdr:rowOff>
        </xdr:from>
        <xdr:to>
          <xdr:col>16</xdr:col>
          <xdr:colOff>774700</xdr:colOff>
          <xdr:row>68</xdr:row>
          <xdr:rowOff>215900</xdr:rowOff>
        </xdr:to>
        <xdr:sp macro="" textlink="">
          <xdr:nvSpPr>
            <xdr:cNvPr id="56350" name="Button 30" hidden="1">
              <a:extLst>
                <a:ext uri="{63B3BB69-23CF-44E3-9099-C40C66FF867C}">
                  <a14:compatExt spid="_x0000_s56350"/>
                </a:ext>
                <a:ext uri="{FF2B5EF4-FFF2-40B4-BE49-F238E27FC236}">
                  <a16:creationId xmlns:a16="http://schemas.microsoft.com/office/drawing/2014/main" id="{00000000-0008-0000-1600-00001ED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GB" sz="1000" b="0" i="0" u="none" strike="noStrike" baseline="0">
                  <a:solidFill>
                    <a:srgbClr val="FF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69</xdr:row>
          <xdr:rowOff>12700</xdr:rowOff>
        </xdr:from>
        <xdr:to>
          <xdr:col>6</xdr:col>
          <xdr:colOff>381000</xdr:colOff>
          <xdr:row>70</xdr:row>
          <xdr:rowOff>6350</xdr:rowOff>
        </xdr:to>
        <xdr:sp macro="" textlink="">
          <xdr:nvSpPr>
            <xdr:cNvPr id="56351" name="ticko1" hidden="1">
              <a:extLst>
                <a:ext uri="{63B3BB69-23CF-44E3-9099-C40C66FF867C}">
                  <a14:compatExt spid="_x0000_s56351"/>
                </a:ext>
                <a:ext uri="{FF2B5EF4-FFF2-40B4-BE49-F238E27FC236}">
                  <a16:creationId xmlns:a16="http://schemas.microsoft.com/office/drawing/2014/main" id="{00000000-0008-0000-1600-00001F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70</xdr:row>
          <xdr:rowOff>12700</xdr:rowOff>
        </xdr:from>
        <xdr:to>
          <xdr:col>6</xdr:col>
          <xdr:colOff>381000</xdr:colOff>
          <xdr:row>71</xdr:row>
          <xdr:rowOff>6350</xdr:rowOff>
        </xdr:to>
        <xdr:sp macro="" textlink="">
          <xdr:nvSpPr>
            <xdr:cNvPr id="56352" name="ticko2" hidden="1">
              <a:extLst>
                <a:ext uri="{63B3BB69-23CF-44E3-9099-C40C66FF867C}">
                  <a14:compatExt spid="_x0000_s56352"/>
                </a:ext>
                <a:ext uri="{FF2B5EF4-FFF2-40B4-BE49-F238E27FC236}">
                  <a16:creationId xmlns:a16="http://schemas.microsoft.com/office/drawing/2014/main" id="{00000000-0008-0000-1600-000020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71</xdr:row>
          <xdr:rowOff>6350</xdr:rowOff>
        </xdr:from>
        <xdr:to>
          <xdr:col>6</xdr:col>
          <xdr:colOff>381000</xdr:colOff>
          <xdr:row>72</xdr:row>
          <xdr:rowOff>0</xdr:rowOff>
        </xdr:to>
        <xdr:sp macro="" textlink="">
          <xdr:nvSpPr>
            <xdr:cNvPr id="56353" name="ticko3" hidden="1">
              <a:extLst>
                <a:ext uri="{63B3BB69-23CF-44E3-9099-C40C66FF867C}">
                  <a14:compatExt spid="_x0000_s56353"/>
                </a:ext>
                <a:ext uri="{FF2B5EF4-FFF2-40B4-BE49-F238E27FC236}">
                  <a16:creationId xmlns:a16="http://schemas.microsoft.com/office/drawing/2014/main" id="{00000000-0008-0000-1600-000021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72</xdr:row>
          <xdr:rowOff>6350</xdr:rowOff>
        </xdr:from>
        <xdr:to>
          <xdr:col>6</xdr:col>
          <xdr:colOff>381000</xdr:colOff>
          <xdr:row>73</xdr:row>
          <xdr:rowOff>0</xdr:rowOff>
        </xdr:to>
        <xdr:sp macro="" textlink="">
          <xdr:nvSpPr>
            <xdr:cNvPr id="56354" name="ticko4" hidden="1">
              <a:extLst>
                <a:ext uri="{63B3BB69-23CF-44E3-9099-C40C66FF867C}">
                  <a14:compatExt spid="_x0000_s56354"/>
                </a:ext>
                <a:ext uri="{FF2B5EF4-FFF2-40B4-BE49-F238E27FC236}">
                  <a16:creationId xmlns:a16="http://schemas.microsoft.com/office/drawing/2014/main" id="{00000000-0008-0000-1600-000022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73</xdr:row>
          <xdr:rowOff>6350</xdr:rowOff>
        </xdr:from>
        <xdr:to>
          <xdr:col>6</xdr:col>
          <xdr:colOff>381000</xdr:colOff>
          <xdr:row>74</xdr:row>
          <xdr:rowOff>0</xdr:rowOff>
        </xdr:to>
        <xdr:sp macro="" textlink="">
          <xdr:nvSpPr>
            <xdr:cNvPr id="56355" name="ticko5" hidden="1">
              <a:extLst>
                <a:ext uri="{63B3BB69-23CF-44E3-9099-C40C66FF867C}">
                  <a14:compatExt spid="_x0000_s56355"/>
                </a:ext>
                <a:ext uri="{FF2B5EF4-FFF2-40B4-BE49-F238E27FC236}">
                  <a16:creationId xmlns:a16="http://schemas.microsoft.com/office/drawing/2014/main" id="{00000000-0008-0000-1600-000023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74</xdr:row>
          <xdr:rowOff>6350</xdr:rowOff>
        </xdr:from>
        <xdr:to>
          <xdr:col>6</xdr:col>
          <xdr:colOff>381000</xdr:colOff>
          <xdr:row>75</xdr:row>
          <xdr:rowOff>0</xdr:rowOff>
        </xdr:to>
        <xdr:sp macro="" textlink="">
          <xdr:nvSpPr>
            <xdr:cNvPr id="56356" name="ticko6" hidden="1">
              <a:extLst>
                <a:ext uri="{63B3BB69-23CF-44E3-9099-C40C66FF867C}">
                  <a14:compatExt spid="_x0000_s56356"/>
                </a:ext>
                <a:ext uri="{FF2B5EF4-FFF2-40B4-BE49-F238E27FC236}">
                  <a16:creationId xmlns:a16="http://schemas.microsoft.com/office/drawing/2014/main" id="{00000000-0008-0000-1600-000024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75</xdr:row>
          <xdr:rowOff>6350</xdr:rowOff>
        </xdr:from>
        <xdr:to>
          <xdr:col>6</xdr:col>
          <xdr:colOff>381000</xdr:colOff>
          <xdr:row>76</xdr:row>
          <xdr:rowOff>0</xdr:rowOff>
        </xdr:to>
        <xdr:sp macro="" textlink="">
          <xdr:nvSpPr>
            <xdr:cNvPr id="56357" name="ticko7" hidden="1">
              <a:extLst>
                <a:ext uri="{63B3BB69-23CF-44E3-9099-C40C66FF867C}">
                  <a14:compatExt spid="_x0000_s56357"/>
                </a:ext>
                <a:ext uri="{FF2B5EF4-FFF2-40B4-BE49-F238E27FC236}">
                  <a16:creationId xmlns:a16="http://schemas.microsoft.com/office/drawing/2014/main" id="{00000000-0008-0000-1600-000025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76</xdr:row>
          <xdr:rowOff>6350</xdr:rowOff>
        </xdr:from>
        <xdr:to>
          <xdr:col>6</xdr:col>
          <xdr:colOff>381000</xdr:colOff>
          <xdr:row>77</xdr:row>
          <xdr:rowOff>0</xdr:rowOff>
        </xdr:to>
        <xdr:sp macro="" textlink="">
          <xdr:nvSpPr>
            <xdr:cNvPr id="56358" name="ticko8" hidden="1">
              <a:extLst>
                <a:ext uri="{63B3BB69-23CF-44E3-9099-C40C66FF867C}">
                  <a14:compatExt spid="_x0000_s56358"/>
                </a:ext>
                <a:ext uri="{FF2B5EF4-FFF2-40B4-BE49-F238E27FC236}">
                  <a16:creationId xmlns:a16="http://schemas.microsoft.com/office/drawing/2014/main" id="{00000000-0008-0000-1600-000026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77</xdr:row>
          <xdr:rowOff>6350</xdr:rowOff>
        </xdr:from>
        <xdr:to>
          <xdr:col>6</xdr:col>
          <xdr:colOff>381000</xdr:colOff>
          <xdr:row>78</xdr:row>
          <xdr:rowOff>0</xdr:rowOff>
        </xdr:to>
        <xdr:sp macro="" textlink="">
          <xdr:nvSpPr>
            <xdr:cNvPr id="56359" name="ticko9" hidden="1">
              <a:extLst>
                <a:ext uri="{63B3BB69-23CF-44E3-9099-C40C66FF867C}">
                  <a14:compatExt spid="_x0000_s56359"/>
                </a:ext>
                <a:ext uri="{FF2B5EF4-FFF2-40B4-BE49-F238E27FC236}">
                  <a16:creationId xmlns:a16="http://schemas.microsoft.com/office/drawing/2014/main" id="{00000000-0008-0000-1600-000027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78</xdr:row>
          <xdr:rowOff>6350</xdr:rowOff>
        </xdr:from>
        <xdr:to>
          <xdr:col>6</xdr:col>
          <xdr:colOff>381000</xdr:colOff>
          <xdr:row>79</xdr:row>
          <xdr:rowOff>0</xdr:rowOff>
        </xdr:to>
        <xdr:sp macro="" textlink="">
          <xdr:nvSpPr>
            <xdr:cNvPr id="56360" name="ticko10" hidden="1">
              <a:extLst>
                <a:ext uri="{63B3BB69-23CF-44E3-9099-C40C66FF867C}">
                  <a14:compatExt spid="_x0000_s56360"/>
                </a:ext>
                <a:ext uri="{FF2B5EF4-FFF2-40B4-BE49-F238E27FC236}">
                  <a16:creationId xmlns:a16="http://schemas.microsoft.com/office/drawing/2014/main" id="{00000000-0008-0000-1600-000028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79</xdr:row>
          <xdr:rowOff>6350</xdr:rowOff>
        </xdr:from>
        <xdr:to>
          <xdr:col>6</xdr:col>
          <xdr:colOff>381000</xdr:colOff>
          <xdr:row>80</xdr:row>
          <xdr:rowOff>0</xdr:rowOff>
        </xdr:to>
        <xdr:sp macro="" textlink="">
          <xdr:nvSpPr>
            <xdr:cNvPr id="56361" name="ticko11" hidden="1">
              <a:extLst>
                <a:ext uri="{63B3BB69-23CF-44E3-9099-C40C66FF867C}">
                  <a14:compatExt spid="_x0000_s56361"/>
                </a:ext>
                <a:ext uri="{FF2B5EF4-FFF2-40B4-BE49-F238E27FC236}">
                  <a16:creationId xmlns:a16="http://schemas.microsoft.com/office/drawing/2014/main" id="{00000000-0008-0000-1600-000029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69</xdr:row>
          <xdr:rowOff>6350</xdr:rowOff>
        </xdr:from>
        <xdr:to>
          <xdr:col>16</xdr:col>
          <xdr:colOff>876300</xdr:colOff>
          <xdr:row>70</xdr:row>
          <xdr:rowOff>0</xdr:rowOff>
        </xdr:to>
        <xdr:sp macro="" textlink="">
          <xdr:nvSpPr>
            <xdr:cNvPr id="56362" name="tickr1" hidden="1">
              <a:extLst>
                <a:ext uri="{63B3BB69-23CF-44E3-9099-C40C66FF867C}">
                  <a14:compatExt spid="_x0000_s56362"/>
                </a:ext>
                <a:ext uri="{FF2B5EF4-FFF2-40B4-BE49-F238E27FC236}">
                  <a16:creationId xmlns:a16="http://schemas.microsoft.com/office/drawing/2014/main" id="{00000000-0008-0000-1600-00002A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70</xdr:row>
          <xdr:rowOff>6350</xdr:rowOff>
        </xdr:from>
        <xdr:to>
          <xdr:col>16</xdr:col>
          <xdr:colOff>876300</xdr:colOff>
          <xdr:row>71</xdr:row>
          <xdr:rowOff>0</xdr:rowOff>
        </xdr:to>
        <xdr:sp macro="" textlink="">
          <xdr:nvSpPr>
            <xdr:cNvPr id="56363" name="tickr2" hidden="1">
              <a:extLst>
                <a:ext uri="{63B3BB69-23CF-44E3-9099-C40C66FF867C}">
                  <a14:compatExt spid="_x0000_s56363"/>
                </a:ext>
                <a:ext uri="{FF2B5EF4-FFF2-40B4-BE49-F238E27FC236}">
                  <a16:creationId xmlns:a16="http://schemas.microsoft.com/office/drawing/2014/main" id="{00000000-0008-0000-1600-00002B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71</xdr:row>
          <xdr:rowOff>6350</xdr:rowOff>
        </xdr:from>
        <xdr:to>
          <xdr:col>16</xdr:col>
          <xdr:colOff>876300</xdr:colOff>
          <xdr:row>72</xdr:row>
          <xdr:rowOff>0</xdr:rowOff>
        </xdr:to>
        <xdr:sp macro="" textlink="">
          <xdr:nvSpPr>
            <xdr:cNvPr id="56364" name="tickr3" hidden="1">
              <a:extLst>
                <a:ext uri="{63B3BB69-23CF-44E3-9099-C40C66FF867C}">
                  <a14:compatExt spid="_x0000_s56364"/>
                </a:ext>
                <a:ext uri="{FF2B5EF4-FFF2-40B4-BE49-F238E27FC236}">
                  <a16:creationId xmlns:a16="http://schemas.microsoft.com/office/drawing/2014/main" id="{00000000-0008-0000-1600-00002C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72</xdr:row>
          <xdr:rowOff>6350</xdr:rowOff>
        </xdr:from>
        <xdr:to>
          <xdr:col>16</xdr:col>
          <xdr:colOff>876300</xdr:colOff>
          <xdr:row>73</xdr:row>
          <xdr:rowOff>0</xdr:rowOff>
        </xdr:to>
        <xdr:sp macro="" textlink="">
          <xdr:nvSpPr>
            <xdr:cNvPr id="56365" name="tickr4" hidden="1">
              <a:extLst>
                <a:ext uri="{63B3BB69-23CF-44E3-9099-C40C66FF867C}">
                  <a14:compatExt spid="_x0000_s56365"/>
                </a:ext>
                <a:ext uri="{FF2B5EF4-FFF2-40B4-BE49-F238E27FC236}">
                  <a16:creationId xmlns:a16="http://schemas.microsoft.com/office/drawing/2014/main" id="{00000000-0008-0000-1600-00002D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73</xdr:row>
          <xdr:rowOff>6350</xdr:rowOff>
        </xdr:from>
        <xdr:to>
          <xdr:col>16</xdr:col>
          <xdr:colOff>876300</xdr:colOff>
          <xdr:row>74</xdr:row>
          <xdr:rowOff>0</xdr:rowOff>
        </xdr:to>
        <xdr:sp macro="" textlink="">
          <xdr:nvSpPr>
            <xdr:cNvPr id="56366" name="tickr5" hidden="1">
              <a:extLst>
                <a:ext uri="{63B3BB69-23CF-44E3-9099-C40C66FF867C}">
                  <a14:compatExt spid="_x0000_s56366"/>
                </a:ext>
                <a:ext uri="{FF2B5EF4-FFF2-40B4-BE49-F238E27FC236}">
                  <a16:creationId xmlns:a16="http://schemas.microsoft.com/office/drawing/2014/main" id="{00000000-0008-0000-1600-00002E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74</xdr:row>
          <xdr:rowOff>6350</xdr:rowOff>
        </xdr:from>
        <xdr:to>
          <xdr:col>16</xdr:col>
          <xdr:colOff>876300</xdr:colOff>
          <xdr:row>75</xdr:row>
          <xdr:rowOff>0</xdr:rowOff>
        </xdr:to>
        <xdr:sp macro="" textlink="">
          <xdr:nvSpPr>
            <xdr:cNvPr id="56367" name="tickr6" hidden="1">
              <a:extLst>
                <a:ext uri="{63B3BB69-23CF-44E3-9099-C40C66FF867C}">
                  <a14:compatExt spid="_x0000_s56367"/>
                </a:ext>
                <a:ext uri="{FF2B5EF4-FFF2-40B4-BE49-F238E27FC236}">
                  <a16:creationId xmlns:a16="http://schemas.microsoft.com/office/drawing/2014/main" id="{00000000-0008-0000-1600-00002F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75</xdr:row>
          <xdr:rowOff>6350</xdr:rowOff>
        </xdr:from>
        <xdr:to>
          <xdr:col>16</xdr:col>
          <xdr:colOff>876300</xdr:colOff>
          <xdr:row>76</xdr:row>
          <xdr:rowOff>0</xdr:rowOff>
        </xdr:to>
        <xdr:sp macro="" textlink="">
          <xdr:nvSpPr>
            <xdr:cNvPr id="56368" name="tickr7" hidden="1">
              <a:extLst>
                <a:ext uri="{63B3BB69-23CF-44E3-9099-C40C66FF867C}">
                  <a14:compatExt spid="_x0000_s56368"/>
                </a:ext>
                <a:ext uri="{FF2B5EF4-FFF2-40B4-BE49-F238E27FC236}">
                  <a16:creationId xmlns:a16="http://schemas.microsoft.com/office/drawing/2014/main" id="{00000000-0008-0000-1600-000030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565150</xdr:colOff>
          <xdr:row>76</xdr:row>
          <xdr:rowOff>6350</xdr:rowOff>
        </xdr:from>
        <xdr:to>
          <xdr:col>16</xdr:col>
          <xdr:colOff>876300</xdr:colOff>
          <xdr:row>77</xdr:row>
          <xdr:rowOff>0</xdr:rowOff>
        </xdr:to>
        <xdr:sp macro="" textlink="">
          <xdr:nvSpPr>
            <xdr:cNvPr id="56369" name="tickr8" hidden="1">
              <a:extLst>
                <a:ext uri="{63B3BB69-23CF-44E3-9099-C40C66FF867C}">
                  <a14:compatExt spid="_x0000_s56369"/>
                </a:ext>
                <a:ext uri="{FF2B5EF4-FFF2-40B4-BE49-F238E27FC236}">
                  <a16:creationId xmlns:a16="http://schemas.microsoft.com/office/drawing/2014/main" id="{00000000-0008-0000-1600-000031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546100</xdr:colOff>
          <xdr:row>77</xdr:row>
          <xdr:rowOff>6350</xdr:rowOff>
        </xdr:from>
        <xdr:to>
          <xdr:col>16</xdr:col>
          <xdr:colOff>869950</xdr:colOff>
          <xdr:row>78</xdr:row>
          <xdr:rowOff>0</xdr:rowOff>
        </xdr:to>
        <xdr:sp macro="" textlink="">
          <xdr:nvSpPr>
            <xdr:cNvPr id="56370" name="tickr9" hidden="1">
              <a:extLst>
                <a:ext uri="{63B3BB69-23CF-44E3-9099-C40C66FF867C}">
                  <a14:compatExt spid="_x0000_s56370"/>
                </a:ext>
                <a:ext uri="{FF2B5EF4-FFF2-40B4-BE49-F238E27FC236}">
                  <a16:creationId xmlns:a16="http://schemas.microsoft.com/office/drawing/2014/main" id="{00000000-0008-0000-1600-000032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546100</xdr:colOff>
          <xdr:row>78</xdr:row>
          <xdr:rowOff>6350</xdr:rowOff>
        </xdr:from>
        <xdr:to>
          <xdr:col>16</xdr:col>
          <xdr:colOff>869950</xdr:colOff>
          <xdr:row>79</xdr:row>
          <xdr:rowOff>0</xdr:rowOff>
        </xdr:to>
        <xdr:sp macro="" textlink="">
          <xdr:nvSpPr>
            <xdr:cNvPr id="56371" name="tickr10" hidden="1">
              <a:extLst>
                <a:ext uri="{63B3BB69-23CF-44E3-9099-C40C66FF867C}">
                  <a14:compatExt spid="_x0000_s56371"/>
                </a:ext>
                <a:ext uri="{FF2B5EF4-FFF2-40B4-BE49-F238E27FC236}">
                  <a16:creationId xmlns:a16="http://schemas.microsoft.com/office/drawing/2014/main" id="{00000000-0008-0000-1600-000033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546100</xdr:colOff>
          <xdr:row>79</xdr:row>
          <xdr:rowOff>6350</xdr:rowOff>
        </xdr:from>
        <xdr:to>
          <xdr:col>16</xdr:col>
          <xdr:colOff>869950</xdr:colOff>
          <xdr:row>80</xdr:row>
          <xdr:rowOff>0</xdr:rowOff>
        </xdr:to>
        <xdr:sp macro="" textlink="">
          <xdr:nvSpPr>
            <xdr:cNvPr id="56372" name="tickr11" hidden="1">
              <a:extLst>
                <a:ext uri="{63B3BB69-23CF-44E3-9099-C40C66FF867C}">
                  <a14:compatExt spid="_x0000_s56372"/>
                </a:ext>
                <a:ext uri="{FF2B5EF4-FFF2-40B4-BE49-F238E27FC236}">
                  <a16:creationId xmlns:a16="http://schemas.microsoft.com/office/drawing/2014/main" id="{00000000-0008-0000-1600-000034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82550</xdr:colOff>
          <xdr:row>77</xdr:row>
          <xdr:rowOff>152400</xdr:rowOff>
        </xdr:from>
        <xdr:to>
          <xdr:col>18</xdr:col>
          <xdr:colOff>1333500</xdr:colOff>
          <xdr:row>80</xdr:row>
          <xdr:rowOff>0</xdr:rowOff>
        </xdr:to>
        <xdr:sp macro="" textlink="">
          <xdr:nvSpPr>
            <xdr:cNvPr id="56373" name="Button 53" hidden="1">
              <a:extLst>
                <a:ext uri="{63B3BB69-23CF-44E3-9099-C40C66FF867C}">
                  <a14:compatExt spid="_x0000_s56373"/>
                </a:ext>
                <a:ext uri="{FF2B5EF4-FFF2-40B4-BE49-F238E27FC236}">
                  <a16:creationId xmlns:a16="http://schemas.microsoft.com/office/drawing/2014/main" id="{00000000-0008-0000-1600-000035DC0000}"/>
                </a:ext>
              </a:extLst>
            </xdr:cNvPr>
            <xdr:cNvSpPr/>
          </xdr:nvSpPr>
          <xdr:spPr bwMode="auto">
            <a:xfrm>
              <a:off x="0" y="0"/>
              <a:ext cx="0" cy="0"/>
            </a:xfrm>
            <a:prstGeom prst="rect">
              <a:avLst/>
            </a:prstGeom>
            <a:noFill/>
            <a:ln w="9525">
              <a:miter lim="800000"/>
              <a:headEnd/>
              <a:tailEnd/>
            </a:ln>
          </xdr:spPr>
          <xdr:txBody>
            <a:bodyPr vertOverflow="clip" wrap="square" lIns="36576" tIns="27432" rIns="0" bIns="27432" anchor="ctr" upright="1"/>
            <a:lstStyle/>
            <a:p>
              <a:pPr algn="l" rtl="0">
                <a:defRPr sz="1000"/>
              </a:pPr>
              <a:r>
                <a:rPr lang="en-GB" sz="1000" b="0" i="0" u="none" strike="noStrike" baseline="0">
                  <a:solidFill>
                    <a:srgbClr val="0000FF"/>
                  </a:solidFill>
                  <a:latin typeface="Arial"/>
                  <a:cs typeface="Arial"/>
                </a:rPr>
                <a:t>Click here to allow dates in any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33</xdr:row>
          <xdr:rowOff>38100</xdr:rowOff>
        </xdr:from>
        <xdr:to>
          <xdr:col>7</xdr:col>
          <xdr:colOff>184150</xdr:colOff>
          <xdr:row>34</xdr:row>
          <xdr:rowOff>146050</xdr:rowOff>
        </xdr:to>
        <xdr:sp macro="" textlink="">
          <xdr:nvSpPr>
            <xdr:cNvPr id="56374" name="change_reg_button_o" hidden="1">
              <a:extLst>
                <a:ext uri="{63B3BB69-23CF-44E3-9099-C40C66FF867C}">
                  <a14:compatExt spid="_x0000_s56374"/>
                </a:ext>
                <a:ext uri="{FF2B5EF4-FFF2-40B4-BE49-F238E27FC236}">
                  <a16:creationId xmlns:a16="http://schemas.microsoft.com/office/drawing/2014/main" id="{00000000-0008-0000-1600-000036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900" b="1" i="0" u="none" strike="noStrike" baseline="0">
                  <a:solidFill>
                    <a:srgbClr val="000000"/>
                  </a:solidFill>
                  <a:latin typeface="Arial"/>
                  <a:cs typeface="Arial"/>
                </a:rPr>
                <a:t>Reg 18 (Click to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63500</xdr:colOff>
          <xdr:row>33</xdr:row>
          <xdr:rowOff>38100</xdr:rowOff>
        </xdr:from>
        <xdr:to>
          <xdr:col>15</xdr:col>
          <xdr:colOff>25400</xdr:colOff>
          <xdr:row>34</xdr:row>
          <xdr:rowOff>146050</xdr:rowOff>
        </xdr:to>
        <xdr:sp macro="" textlink="">
          <xdr:nvSpPr>
            <xdr:cNvPr id="56375" name="change_reg_button_r" hidden="1">
              <a:extLst>
                <a:ext uri="{63B3BB69-23CF-44E3-9099-C40C66FF867C}">
                  <a14:compatExt spid="_x0000_s56375"/>
                </a:ext>
                <a:ext uri="{FF2B5EF4-FFF2-40B4-BE49-F238E27FC236}">
                  <a16:creationId xmlns:a16="http://schemas.microsoft.com/office/drawing/2014/main" id="{00000000-0008-0000-1600-000037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900" b="1" i="0" u="none" strike="noStrike" baseline="0">
                  <a:solidFill>
                    <a:srgbClr val="000000"/>
                  </a:solidFill>
                  <a:latin typeface="Arial"/>
                  <a:cs typeface="Arial"/>
                </a:rPr>
                <a:t>Reg 18 (Click to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387350</xdr:colOff>
          <xdr:row>4</xdr:row>
          <xdr:rowOff>196850</xdr:rowOff>
        </xdr:from>
        <xdr:to>
          <xdr:col>10</xdr:col>
          <xdr:colOff>533400</xdr:colOff>
          <xdr:row>6</xdr:row>
          <xdr:rowOff>6350</xdr:rowOff>
        </xdr:to>
        <xdr:sp macro="" textlink="">
          <xdr:nvSpPr>
            <xdr:cNvPr id="56376" name="Button 56" hidden="1">
              <a:extLst>
                <a:ext uri="{63B3BB69-23CF-44E3-9099-C40C66FF867C}">
                  <a14:compatExt spid="_x0000_s56376"/>
                </a:ext>
                <a:ext uri="{FF2B5EF4-FFF2-40B4-BE49-F238E27FC236}">
                  <a16:creationId xmlns:a16="http://schemas.microsoft.com/office/drawing/2014/main" id="{00000000-0008-0000-1600-000038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317500</xdr:colOff>
          <xdr:row>64</xdr:row>
          <xdr:rowOff>196850</xdr:rowOff>
        </xdr:from>
        <xdr:to>
          <xdr:col>10</xdr:col>
          <xdr:colOff>311150</xdr:colOff>
          <xdr:row>66</xdr:row>
          <xdr:rowOff>0</xdr:rowOff>
        </xdr:to>
        <xdr:sp macro="" textlink="">
          <xdr:nvSpPr>
            <xdr:cNvPr id="56377" name="help_sbrr_button" hidden="1">
              <a:extLst>
                <a:ext uri="{63B3BB69-23CF-44E3-9099-C40C66FF867C}">
                  <a14:compatExt spid="_x0000_s56377"/>
                </a:ext>
                <a:ext uri="{FF2B5EF4-FFF2-40B4-BE49-F238E27FC236}">
                  <a16:creationId xmlns:a16="http://schemas.microsoft.com/office/drawing/2014/main" id="{00000000-0008-0000-1600-000039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SBRR 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31750</xdr:colOff>
          <xdr:row>1</xdr:row>
          <xdr:rowOff>6350</xdr:rowOff>
        </xdr:from>
        <xdr:to>
          <xdr:col>16</xdr:col>
          <xdr:colOff>768350</xdr:colOff>
          <xdr:row>2</xdr:row>
          <xdr:rowOff>0</xdr:rowOff>
        </xdr:to>
        <xdr:sp macro="" textlink="">
          <xdr:nvSpPr>
            <xdr:cNvPr id="56378" name="Button 58" hidden="1">
              <a:extLst>
                <a:ext uri="{63B3BB69-23CF-44E3-9099-C40C66FF867C}">
                  <a14:compatExt spid="_x0000_s56378"/>
                </a:ext>
                <a:ext uri="{FF2B5EF4-FFF2-40B4-BE49-F238E27FC236}">
                  <a16:creationId xmlns:a16="http://schemas.microsoft.com/office/drawing/2014/main" id="{00000000-0008-0000-1600-00003A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xdr:colOff>
          <xdr:row>6</xdr:row>
          <xdr:rowOff>127000</xdr:rowOff>
        </xdr:from>
        <xdr:to>
          <xdr:col>18</xdr:col>
          <xdr:colOff>1790700</xdr:colOff>
          <xdr:row>9</xdr:row>
          <xdr:rowOff>6350</xdr:rowOff>
        </xdr:to>
        <xdr:sp macro="" textlink="">
          <xdr:nvSpPr>
            <xdr:cNvPr id="56379" name="Button 59" hidden="1">
              <a:extLst>
                <a:ext uri="{63B3BB69-23CF-44E3-9099-C40C66FF867C}">
                  <a14:compatExt spid="_x0000_s56379"/>
                </a:ext>
                <a:ext uri="{FF2B5EF4-FFF2-40B4-BE49-F238E27FC236}">
                  <a16:creationId xmlns:a16="http://schemas.microsoft.com/office/drawing/2014/main" id="{00000000-0008-0000-1600-00003B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Client/Ratepayer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165100</xdr:colOff>
          <xdr:row>34</xdr:row>
          <xdr:rowOff>146050</xdr:rowOff>
        </xdr:from>
        <xdr:to>
          <xdr:col>11</xdr:col>
          <xdr:colOff>25400</xdr:colOff>
          <xdr:row>36</xdr:row>
          <xdr:rowOff>107950</xdr:rowOff>
        </xdr:to>
        <xdr:sp macro="" textlink="">
          <xdr:nvSpPr>
            <xdr:cNvPr id="56381" name="cert_help_button1" hidden="1">
              <a:extLst>
                <a:ext uri="{63B3BB69-23CF-44E3-9099-C40C66FF867C}">
                  <a14:compatExt spid="_x0000_s56381"/>
                </a:ext>
                <a:ext uri="{FF2B5EF4-FFF2-40B4-BE49-F238E27FC236}">
                  <a16:creationId xmlns:a16="http://schemas.microsoft.com/office/drawing/2014/main" id="{00000000-0008-0000-1600-00003D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68</xdr:row>
          <xdr:rowOff>38100</xdr:rowOff>
        </xdr:from>
        <xdr:to>
          <xdr:col>6</xdr:col>
          <xdr:colOff>292100</xdr:colOff>
          <xdr:row>68</xdr:row>
          <xdr:rowOff>215900</xdr:rowOff>
        </xdr:to>
        <xdr:sp macro="" textlink="">
          <xdr:nvSpPr>
            <xdr:cNvPr id="56382" name="Button 62" hidden="1">
              <a:extLst>
                <a:ext uri="{63B3BB69-23CF-44E3-9099-C40C66FF867C}">
                  <a14:compatExt spid="_x0000_s56382"/>
                </a:ext>
                <a:ext uri="{FF2B5EF4-FFF2-40B4-BE49-F238E27FC236}">
                  <a16:creationId xmlns:a16="http://schemas.microsoft.com/office/drawing/2014/main" id="{00000000-0008-0000-1600-00003ED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GB" sz="1000" b="0" i="0" u="none" strike="noStrike" baseline="0">
                  <a:solidFill>
                    <a:srgbClr val="FF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349250</xdr:colOff>
          <xdr:row>85</xdr:row>
          <xdr:rowOff>0</xdr:rowOff>
        </xdr:from>
        <xdr:to>
          <xdr:col>5</xdr:col>
          <xdr:colOff>635000</xdr:colOff>
          <xdr:row>86</xdr:row>
          <xdr:rowOff>6350</xdr:rowOff>
        </xdr:to>
        <xdr:sp macro="" textlink="">
          <xdr:nvSpPr>
            <xdr:cNvPr id="56384" name="Button 64" hidden="1">
              <a:extLst>
                <a:ext uri="{63B3BB69-23CF-44E3-9099-C40C66FF867C}">
                  <a14:compatExt spid="_x0000_s56384"/>
                </a:ext>
                <a:ext uri="{FF2B5EF4-FFF2-40B4-BE49-F238E27FC236}">
                  <a16:creationId xmlns:a16="http://schemas.microsoft.com/office/drawing/2014/main" id="{00000000-0008-0000-1600-000040D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84</xdr:row>
          <xdr:rowOff>6350</xdr:rowOff>
        </xdr:from>
        <xdr:to>
          <xdr:col>17</xdr:col>
          <xdr:colOff>0</xdr:colOff>
          <xdr:row>84</xdr:row>
          <xdr:rowOff>222250</xdr:rowOff>
        </xdr:to>
        <xdr:sp macro="" textlink="">
          <xdr:nvSpPr>
            <xdr:cNvPr id="56385" name="Button 65" hidden="1">
              <a:extLst>
                <a:ext uri="{63B3BB69-23CF-44E3-9099-C40C66FF867C}">
                  <a14:compatExt spid="_x0000_s56385"/>
                </a:ext>
                <a:ext uri="{FF2B5EF4-FFF2-40B4-BE49-F238E27FC236}">
                  <a16:creationId xmlns:a16="http://schemas.microsoft.com/office/drawing/2014/main" id="{00000000-0008-0000-1600-000041D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xdr:twoCellAnchor editAs="oneCell">
    <xdr:from>
      <xdr:col>6</xdr:col>
      <xdr:colOff>30480</xdr:colOff>
      <xdr:row>1</xdr:row>
      <xdr:rowOff>38100</xdr:rowOff>
    </xdr:from>
    <xdr:to>
      <xdr:col>6</xdr:col>
      <xdr:colOff>358140</xdr:colOff>
      <xdr:row>1</xdr:row>
      <xdr:rowOff>396240</xdr:rowOff>
    </xdr:to>
    <xdr:pic macro="[0]!import_from_analyse">
      <xdr:nvPicPr>
        <xdr:cNvPr id="116576" name="Picture 69">
          <a:extLst>
            <a:ext uri="{FF2B5EF4-FFF2-40B4-BE49-F238E27FC236}">
              <a16:creationId xmlns:a16="http://schemas.microsoft.com/office/drawing/2014/main" id="{600E1D69-F30A-F9E0-E71F-1DBA6E7BCA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0780" y="205740"/>
          <a:ext cx="327660" cy="35814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144780</xdr:colOff>
      <xdr:row>3</xdr:row>
      <xdr:rowOff>190500</xdr:rowOff>
    </xdr:from>
    <xdr:to>
      <xdr:col>1</xdr:col>
      <xdr:colOff>480060</xdr:colOff>
      <xdr:row>5</xdr:row>
      <xdr:rowOff>83820</xdr:rowOff>
    </xdr:to>
    <xdr:pic macro="[0]!gotovowebsitefromcalcpage">
      <xdr:nvPicPr>
        <xdr:cNvPr id="116577" name="Picture 15" descr="vowebbutton">
          <a:extLst>
            <a:ext uri="{FF2B5EF4-FFF2-40B4-BE49-F238E27FC236}">
              <a16:creationId xmlns:a16="http://schemas.microsoft.com/office/drawing/2014/main" id="{69CFB03D-781F-FFCB-DDDE-D93E89F42A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3380" y="982980"/>
          <a:ext cx="33528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655320</xdr:colOff>
      <xdr:row>3</xdr:row>
      <xdr:rowOff>190500</xdr:rowOff>
    </xdr:from>
    <xdr:to>
      <xdr:col>1</xdr:col>
      <xdr:colOff>906780</xdr:colOff>
      <xdr:row>5</xdr:row>
      <xdr:rowOff>91440</xdr:rowOff>
    </xdr:to>
    <xdr:pic macro="[0]!sendtoanalysefromcalcpage">
      <xdr:nvPicPr>
        <xdr:cNvPr id="116578" name="Picture 639" descr="C:\Users\Richard\Pictures\analyselogo.jpg">
          <a:extLst>
            <a:ext uri="{FF2B5EF4-FFF2-40B4-BE49-F238E27FC236}">
              <a16:creationId xmlns:a16="http://schemas.microsoft.com/office/drawing/2014/main" id="{510FE87A-C204-63E6-8C26-6C433335C82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920" y="982980"/>
          <a:ext cx="251460" cy="312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184150</xdr:colOff>
          <xdr:row>5</xdr:row>
          <xdr:rowOff>120650</xdr:rowOff>
        </xdr:from>
        <xdr:to>
          <xdr:col>1</xdr:col>
          <xdr:colOff>444500</xdr:colOff>
          <xdr:row>6</xdr:row>
          <xdr:rowOff>127000</xdr:rowOff>
        </xdr:to>
        <xdr:sp macro="" textlink="">
          <xdr:nvSpPr>
            <xdr:cNvPr id="56392" name="Button 72" hidden="1">
              <a:extLst>
                <a:ext uri="{63B3BB69-23CF-44E3-9099-C40C66FF867C}">
                  <a14:compatExt spid="_x0000_s56392"/>
                </a:ext>
                <a:ext uri="{FF2B5EF4-FFF2-40B4-BE49-F238E27FC236}">
                  <a16:creationId xmlns:a16="http://schemas.microsoft.com/office/drawing/2014/main" id="{00000000-0008-0000-1600-000048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654050</xdr:colOff>
          <xdr:row>5</xdr:row>
          <xdr:rowOff>120650</xdr:rowOff>
        </xdr:from>
        <xdr:to>
          <xdr:col>1</xdr:col>
          <xdr:colOff>908050</xdr:colOff>
          <xdr:row>6</xdr:row>
          <xdr:rowOff>127000</xdr:rowOff>
        </xdr:to>
        <xdr:sp macro="" textlink="">
          <xdr:nvSpPr>
            <xdr:cNvPr id="56393" name="Button 73" hidden="1">
              <a:extLst>
                <a:ext uri="{63B3BB69-23CF-44E3-9099-C40C66FF867C}">
                  <a14:compatExt spid="_x0000_s56393"/>
                </a:ext>
                <a:ext uri="{FF2B5EF4-FFF2-40B4-BE49-F238E27FC236}">
                  <a16:creationId xmlns:a16="http://schemas.microsoft.com/office/drawing/2014/main" id="{00000000-0008-0000-1600-000049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8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14</xdr:row>
          <xdr:rowOff>260350</xdr:rowOff>
        </xdr:from>
        <xdr:to>
          <xdr:col>18</xdr:col>
          <xdr:colOff>793750</xdr:colOff>
          <xdr:row>16</xdr:row>
          <xdr:rowOff>6350</xdr:rowOff>
        </xdr:to>
        <xdr:sp macro="" textlink="">
          <xdr:nvSpPr>
            <xdr:cNvPr id="56394" name="Check Box 74" hidden="1">
              <a:extLst>
                <a:ext uri="{63B3BB69-23CF-44E3-9099-C40C66FF867C}">
                  <a14:compatExt spid="_x0000_s56394"/>
                </a:ext>
                <a:ext uri="{FF2B5EF4-FFF2-40B4-BE49-F238E27FC236}">
                  <a16:creationId xmlns:a16="http://schemas.microsoft.com/office/drawing/2014/main" id="{00000000-0008-0000-1600-00004A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 Original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850900</xdr:colOff>
          <xdr:row>14</xdr:row>
          <xdr:rowOff>260350</xdr:rowOff>
        </xdr:from>
        <xdr:to>
          <xdr:col>18</xdr:col>
          <xdr:colOff>1803400</xdr:colOff>
          <xdr:row>16</xdr:row>
          <xdr:rowOff>6350</xdr:rowOff>
        </xdr:to>
        <xdr:sp macro="" textlink="">
          <xdr:nvSpPr>
            <xdr:cNvPr id="56395" name="Check Box 75" hidden="1">
              <a:extLst>
                <a:ext uri="{63B3BB69-23CF-44E3-9099-C40C66FF867C}">
                  <a14:compatExt spid="_x0000_s56395"/>
                </a:ext>
                <a:ext uri="{FF2B5EF4-FFF2-40B4-BE49-F238E27FC236}">
                  <a16:creationId xmlns:a16="http://schemas.microsoft.com/office/drawing/2014/main" id="{00000000-0008-0000-1600-00004B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 Revised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654050</xdr:colOff>
          <xdr:row>9</xdr:row>
          <xdr:rowOff>127000</xdr:rowOff>
        </xdr:from>
        <xdr:to>
          <xdr:col>11</xdr:col>
          <xdr:colOff>158750</xdr:colOff>
          <xdr:row>11</xdr:row>
          <xdr:rowOff>6350</xdr:rowOff>
        </xdr:to>
        <xdr:sp macro="" textlink="">
          <xdr:nvSpPr>
            <xdr:cNvPr id="56396" name="Check Box 76" hidden="1">
              <a:extLst>
                <a:ext uri="{63B3BB69-23CF-44E3-9099-C40C66FF867C}">
                  <a14:compatExt spid="_x0000_s56396"/>
                </a:ext>
                <a:ext uri="{FF2B5EF4-FFF2-40B4-BE49-F238E27FC236}">
                  <a16:creationId xmlns:a16="http://schemas.microsoft.com/office/drawing/2014/main" id="{00000000-0008-0000-1600-00004C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RHL Original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685800</xdr:colOff>
          <xdr:row>9</xdr:row>
          <xdr:rowOff>127000</xdr:rowOff>
        </xdr:from>
        <xdr:to>
          <xdr:col>14</xdr:col>
          <xdr:colOff>755650</xdr:colOff>
          <xdr:row>11</xdr:row>
          <xdr:rowOff>6350</xdr:rowOff>
        </xdr:to>
        <xdr:sp macro="" textlink="">
          <xdr:nvSpPr>
            <xdr:cNvPr id="56397" name="Check Box 77" hidden="1">
              <a:extLst>
                <a:ext uri="{63B3BB69-23CF-44E3-9099-C40C66FF867C}">
                  <a14:compatExt spid="_x0000_s56397"/>
                </a:ext>
                <a:ext uri="{FF2B5EF4-FFF2-40B4-BE49-F238E27FC236}">
                  <a16:creationId xmlns:a16="http://schemas.microsoft.com/office/drawing/2014/main" id="{00000000-0008-0000-1600-00004DD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RHL Revised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11</xdr:row>
          <xdr:rowOff>82550</xdr:rowOff>
        </xdr:from>
        <xdr:to>
          <xdr:col>10</xdr:col>
          <xdr:colOff>273050</xdr:colOff>
          <xdr:row>12</xdr:row>
          <xdr:rowOff>139700</xdr:rowOff>
        </xdr:to>
        <xdr:sp macro="" textlink="">
          <xdr:nvSpPr>
            <xdr:cNvPr id="56398" name="reliefbutton" hidden="1">
              <a:extLst>
                <a:ext uri="{63B3BB69-23CF-44E3-9099-C40C66FF867C}">
                  <a14:compatExt spid="_x0000_s56398"/>
                </a:ext>
                <a:ext uri="{FF2B5EF4-FFF2-40B4-BE49-F238E27FC236}">
                  <a16:creationId xmlns:a16="http://schemas.microsoft.com/office/drawing/2014/main" id="{00000000-0008-0000-1600-00004E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SBRR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xdr:colOff>
          <xdr:row>86</xdr:row>
          <xdr:rowOff>12700</xdr:rowOff>
        </xdr:from>
        <xdr:to>
          <xdr:col>18</xdr:col>
          <xdr:colOff>869950</xdr:colOff>
          <xdr:row>89</xdr:row>
          <xdr:rowOff>120650</xdr:rowOff>
        </xdr:to>
        <xdr:sp macro="" textlink="">
          <xdr:nvSpPr>
            <xdr:cNvPr id="56399" name="advdetailgen" hidden="1">
              <a:extLst>
                <a:ext uri="{63B3BB69-23CF-44E3-9099-C40C66FF867C}">
                  <a14:compatExt spid="_x0000_s56399"/>
                </a:ext>
                <a:ext uri="{FF2B5EF4-FFF2-40B4-BE49-F238E27FC236}">
                  <a16:creationId xmlns:a16="http://schemas.microsoft.com/office/drawing/2014/main" id="{00000000-0008-0000-1600-00004F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Advanced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882650</xdr:colOff>
          <xdr:row>86</xdr:row>
          <xdr:rowOff>31750</xdr:rowOff>
        </xdr:from>
        <xdr:to>
          <xdr:col>18</xdr:col>
          <xdr:colOff>1384300</xdr:colOff>
          <xdr:row>87</xdr:row>
          <xdr:rowOff>114300</xdr:rowOff>
        </xdr:to>
        <xdr:sp macro="" textlink="">
          <xdr:nvSpPr>
            <xdr:cNvPr id="56400" name="advdetail1" hidden="1">
              <a:extLst>
                <a:ext uri="{63B3BB69-23CF-44E3-9099-C40C66FF867C}">
                  <a14:compatExt spid="_x0000_s56400"/>
                </a:ext>
                <a:ext uri="{FF2B5EF4-FFF2-40B4-BE49-F238E27FC236}">
                  <a16:creationId xmlns:a16="http://schemas.microsoft.com/office/drawing/2014/main" id="{00000000-0008-0000-1600-000050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Yr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882650</xdr:colOff>
          <xdr:row>87</xdr:row>
          <xdr:rowOff>120650</xdr:rowOff>
        </xdr:from>
        <xdr:to>
          <xdr:col>18</xdr:col>
          <xdr:colOff>1384300</xdr:colOff>
          <xdr:row>88</xdr:row>
          <xdr:rowOff>82550</xdr:rowOff>
        </xdr:to>
        <xdr:sp macro="" textlink="">
          <xdr:nvSpPr>
            <xdr:cNvPr id="56401" name="advdetail2" hidden="1">
              <a:extLst>
                <a:ext uri="{63B3BB69-23CF-44E3-9099-C40C66FF867C}">
                  <a14:compatExt spid="_x0000_s56401"/>
                </a:ext>
                <a:ext uri="{FF2B5EF4-FFF2-40B4-BE49-F238E27FC236}">
                  <a16:creationId xmlns:a16="http://schemas.microsoft.com/office/drawing/2014/main" id="{00000000-0008-0000-1600-000051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Yr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882650</xdr:colOff>
          <xdr:row>88</xdr:row>
          <xdr:rowOff>101600</xdr:rowOff>
        </xdr:from>
        <xdr:to>
          <xdr:col>18</xdr:col>
          <xdr:colOff>1384300</xdr:colOff>
          <xdr:row>89</xdr:row>
          <xdr:rowOff>120650</xdr:rowOff>
        </xdr:to>
        <xdr:sp macro="" textlink="">
          <xdr:nvSpPr>
            <xdr:cNvPr id="56402" name="advdetail3" hidden="1">
              <a:extLst>
                <a:ext uri="{63B3BB69-23CF-44E3-9099-C40C66FF867C}">
                  <a14:compatExt spid="_x0000_s56402"/>
                </a:ext>
                <a:ext uri="{FF2B5EF4-FFF2-40B4-BE49-F238E27FC236}">
                  <a16:creationId xmlns:a16="http://schemas.microsoft.com/office/drawing/2014/main" id="{00000000-0008-0000-1600-000052D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Yr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165100</xdr:colOff>
          <xdr:row>1</xdr:row>
          <xdr:rowOff>38100</xdr:rowOff>
        </xdr:from>
        <xdr:to>
          <xdr:col>1</xdr:col>
          <xdr:colOff>692150</xdr:colOff>
          <xdr:row>1</xdr:row>
          <xdr:rowOff>406400</xdr:rowOff>
        </xdr:to>
        <xdr:sp macro="" textlink="">
          <xdr:nvSpPr>
            <xdr:cNvPr id="56413" name="Button 93" hidden="1">
              <a:extLst>
                <a:ext uri="{63B3BB69-23CF-44E3-9099-C40C66FF867C}">
                  <a14:compatExt spid="_x0000_s56413"/>
                </a:ext>
                <a:ext uri="{FF2B5EF4-FFF2-40B4-BE49-F238E27FC236}">
                  <a16:creationId xmlns:a16="http://schemas.microsoft.com/office/drawing/2014/main" id="{00000000-0008-0000-1600-00005D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641350</xdr:colOff>
          <xdr:row>100</xdr:row>
          <xdr:rowOff>88900</xdr:rowOff>
        </xdr:from>
        <xdr:to>
          <xdr:col>17</xdr:col>
          <xdr:colOff>114300</xdr:colOff>
          <xdr:row>102</xdr:row>
          <xdr:rowOff>127000</xdr:rowOff>
        </xdr:to>
        <xdr:sp macro="" textlink="">
          <xdr:nvSpPr>
            <xdr:cNvPr id="56786" name="add_to_mem_button" hidden="1">
              <a:extLst>
                <a:ext uri="{63B3BB69-23CF-44E3-9099-C40C66FF867C}">
                  <a14:compatExt spid="_x0000_s56786"/>
                </a:ext>
                <a:ext uri="{FF2B5EF4-FFF2-40B4-BE49-F238E27FC236}">
                  <a16:creationId xmlns:a16="http://schemas.microsoft.com/office/drawing/2014/main" id="{00000000-0008-0000-1600-0000D2DD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165100</xdr:colOff>
          <xdr:row>100</xdr:row>
          <xdr:rowOff>88900</xdr:rowOff>
        </xdr:from>
        <xdr:to>
          <xdr:col>14</xdr:col>
          <xdr:colOff>635000</xdr:colOff>
          <xdr:row>102</xdr:row>
          <xdr:rowOff>127000</xdr:rowOff>
        </xdr:to>
        <xdr:sp macro="" textlink="">
          <xdr:nvSpPr>
            <xdr:cNvPr id="56787" name="recall_a_mem_button" hidden="1">
              <a:extLst>
                <a:ext uri="{63B3BB69-23CF-44E3-9099-C40C66FF867C}">
                  <a14:compatExt spid="_x0000_s56787"/>
                </a:ext>
                <a:ext uri="{FF2B5EF4-FFF2-40B4-BE49-F238E27FC236}">
                  <a16:creationId xmlns:a16="http://schemas.microsoft.com/office/drawing/2014/main" id="{00000000-0008-0000-1600-0000D3DD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425450</xdr:colOff>
          <xdr:row>100</xdr:row>
          <xdr:rowOff>88900</xdr:rowOff>
        </xdr:from>
        <xdr:to>
          <xdr:col>13</xdr:col>
          <xdr:colOff>177800</xdr:colOff>
          <xdr:row>102</xdr:row>
          <xdr:rowOff>127000</xdr:rowOff>
        </xdr:to>
        <xdr:sp macro="" textlink="">
          <xdr:nvSpPr>
            <xdr:cNvPr id="56788" name="select_a_mem_button" hidden="1">
              <a:extLst>
                <a:ext uri="{63B3BB69-23CF-44E3-9099-C40C66FF867C}">
                  <a14:compatExt spid="_x0000_s56788"/>
                </a:ext>
                <a:ext uri="{FF2B5EF4-FFF2-40B4-BE49-F238E27FC236}">
                  <a16:creationId xmlns:a16="http://schemas.microsoft.com/office/drawing/2014/main" id="{00000000-0008-0000-1600-0000D4DD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882650</xdr:colOff>
          <xdr:row>100</xdr:row>
          <xdr:rowOff>88900</xdr:rowOff>
        </xdr:from>
        <xdr:to>
          <xdr:col>10</xdr:col>
          <xdr:colOff>406400</xdr:colOff>
          <xdr:row>102</xdr:row>
          <xdr:rowOff>127000</xdr:rowOff>
        </xdr:to>
        <xdr:sp macro="" textlink="">
          <xdr:nvSpPr>
            <xdr:cNvPr id="56789" name="help_mem_button" hidden="1">
              <a:extLst>
                <a:ext uri="{63B3BB69-23CF-44E3-9099-C40C66FF867C}">
                  <a14:compatExt spid="_x0000_s56789"/>
                </a:ext>
                <a:ext uri="{FF2B5EF4-FFF2-40B4-BE49-F238E27FC236}">
                  <a16:creationId xmlns:a16="http://schemas.microsoft.com/office/drawing/2014/main" id="{00000000-0008-0000-1600-0000D5DD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882650</xdr:colOff>
          <xdr:row>93</xdr:row>
          <xdr:rowOff>0</xdr:rowOff>
        </xdr:from>
        <xdr:to>
          <xdr:col>18</xdr:col>
          <xdr:colOff>1460500</xdr:colOff>
          <xdr:row>94</xdr:row>
          <xdr:rowOff>177800</xdr:rowOff>
        </xdr:to>
        <xdr:sp macro="" textlink="">
          <xdr:nvSpPr>
            <xdr:cNvPr id="56981" name="cancelcopy_button" hidden="1">
              <a:extLst>
                <a:ext uri="{63B3BB69-23CF-44E3-9099-C40C66FF867C}">
                  <a14:compatExt spid="_x0000_s56981"/>
                </a:ext>
                <a:ext uri="{FF2B5EF4-FFF2-40B4-BE49-F238E27FC236}">
                  <a16:creationId xmlns:a16="http://schemas.microsoft.com/office/drawing/2014/main" id="{00000000-0008-0000-1600-000095DE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1460500</xdr:colOff>
          <xdr:row>93</xdr:row>
          <xdr:rowOff>0</xdr:rowOff>
        </xdr:from>
        <xdr:to>
          <xdr:col>18</xdr:col>
          <xdr:colOff>1790700</xdr:colOff>
          <xdr:row>94</xdr:row>
          <xdr:rowOff>177800</xdr:rowOff>
        </xdr:to>
        <xdr:sp macro="" textlink="">
          <xdr:nvSpPr>
            <xdr:cNvPr id="57064" name="help_copy_button" hidden="1">
              <a:extLst>
                <a:ext uri="{63B3BB69-23CF-44E3-9099-C40C66FF867C}">
                  <a14:compatExt spid="_x0000_s57064"/>
                </a:ext>
                <a:ext uri="{FF2B5EF4-FFF2-40B4-BE49-F238E27FC236}">
                  <a16:creationId xmlns:a16="http://schemas.microsoft.com/office/drawing/2014/main" id="{00000000-0008-0000-1600-0000E8DE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FF"/>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692150</xdr:colOff>
          <xdr:row>14</xdr:row>
          <xdr:rowOff>260350</xdr:rowOff>
        </xdr:from>
        <xdr:to>
          <xdr:col>16</xdr:col>
          <xdr:colOff>965200</xdr:colOff>
          <xdr:row>16</xdr:row>
          <xdr:rowOff>6350</xdr:rowOff>
        </xdr:to>
        <xdr:sp macro="" textlink="">
          <xdr:nvSpPr>
            <xdr:cNvPr id="57203" name="help_bl_button" hidden="1">
              <a:extLst>
                <a:ext uri="{63B3BB69-23CF-44E3-9099-C40C66FF867C}">
                  <a14:compatExt spid="_x0000_s57203"/>
                </a:ext>
                <a:ext uri="{FF2B5EF4-FFF2-40B4-BE49-F238E27FC236}">
                  <a16:creationId xmlns:a16="http://schemas.microsoft.com/office/drawing/2014/main" id="{00000000-0008-0000-1600-000073DF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107950</xdr:colOff>
          <xdr:row>36</xdr:row>
          <xdr:rowOff>38100</xdr:rowOff>
        </xdr:from>
        <xdr:to>
          <xdr:col>18</xdr:col>
          <xdr:colOff>482600</xdr:colOff>
          <xdr:row>38</xdr:row>
          <xdr:rowOff>107950</xdr:rowOff>
        </xdr:to>
        <xdr:sp macro="" textlink="">
          <xdr:nvSpPr>
            <xdr:cNvPr id="57310" name="clear_and_close_button" hidden="1">
              <a:extLst>
                <a:ext uri="{63B3BB69-23CF-44E3-9099-C40C66FF867C}">
                  <a14:compatExt spid="_x0000_s57310"/>
                </a:ext>
                <a:ext uri="{FF2B5EF4-FFF2-40B4-BE49-F238E27FC236}">
                  <a16:creationId xmlns:a16="http://schemas.microsoft.com/office/drawing/2014/main" id="{00000000-0008-0000-1600-0000DED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and close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76200</xdr:colOff>
          <xdr:row>80</xdr:row>
          <xdr:rowOff>127000</xdr:rowOff>
        </xdr:from>
        <xdr:to>
          <xdr:col>18</xdr:col>
          <xdr:colOff>1193800</xdr:colOff>
          <xdr:row>83</xdr:row>
          <xdr:rowOff>120650</xdr:rowOff>
        </xdr:to>
        <xdr:sp macro="" textlink="">
          <xdr:nvSpPr>
            <xdr:cNvPr id="63681" name="Button 1217" hidden="1">
              <a:extLst>
                <a:ext uri="{63B3BB69-23CF-44E3-9099-C40C66FF867C}">
                  <a14:compatExt spid="_x0000_s63681"/>
                </a:ext>
                <a:ext uri="{FF2B5EF4-FFF2-40B4-BE49-F238E27FC236}">
                  <a16:creationId xmlns:a16="http://schemas.microsoft.com/office/drawing/2014/main" id="{00000000-0008-0000-1600-0000C1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00FF"/>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292100</xdr:colOff>
          <xdr:row>12</xdr:row>
          <xdr:rowOff>139700</xdr:rowOff>
        </xdr:from>
        <xdr:to>
          <xdr:col>10</xdr:col>
          <xdr:colOff>520700</xdr:colOff>
          <xdr:row>13</xdr:row>
          <xdr:rowOff>165100</xdr:rowOff>
        </xdr:to>
        <xdr:sp macro="" textlink="">
          <xdr:nvSpPr>
            <xdr:cNvPr id="63874" name="improvementbutton1" hidden="1">
              <a:extLst>
                <a:ext uri="{63B3BB69-23CF-44E3-9099-C40C66FF867C}">
                  <a14:compatExt spid="_x0000_s63874"/>
                </a:ext>
                <a:ext uri="{FF2B5EF4-FFF2-40B4-BE49-F238E27FC236}">
                  <a16:creationId xmlns:a16="http://schemas.microsoft.com/office/drawing/2014/main" id="{00000000-0008-0000-1600-000082F9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Improvement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431800</xdr:colOff>
          <xdr:row>50</xdr:row>
          <xdr:rowOff>120650</xdr:rowOff>
        </xdr:from>
        <xdr:to>
          <xdr:col>10</xdr:col>
          <xdr:colOff>425450</xdr:colOff>
          <xdr:row>52</xdr:row>
          <xdr:rowOff>158750</xdr:rowOff>
        </xdr:to>
        <xdr:sp macro="" textlink="">
          <xdr:nvSpPr>
            <xdr:cNvPr id="63968" name="improvementhelpbutton" hidden="1">
              <a:extLst>
                <a:ext uri="{63B3BB69-23CF-44E3-9099-C40C66FF867C}">
                  <a14:compatExt spid="_x0000_s63968"/>
                </a:ext>
                <a:ext uri="{FF2B5EF4-FFF2-40B4-BE49-F238E27FC236}">
                  <a16:creationId xmlns:a16="http://schemas.microsoft.com/office/drawing/2014/main" id="{00000000-0008-0000-1600-0000E0F9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152400</xdr:colOff>
          <xdr:row>49</xdr:row>
          <xdr:rowOff>127000</xdr:rowOff>
        </xdr:from>
        <xdr:to>
          <xdr:col>18</xdr:col>
          <xdr:colOff>527050</xdr:colOff>
          <xdr:row>51</xdr:row>
          <xdr:rowOff>82550</xdr:rowOff>
        </xdr:to>
        <xdr:sp macro="" textlink="">
          <xdr:nvSpPr>
            <xdr:cNvPr id="63972" name="imp_clear_and_keep_open" hidden="1">
              <a:extLst>
                <a:ext uri="{63B3BB69-23CF-44E3-9099-C40C66FF867C}">
                  <a14:compatExt spid="_x0000_s63972"/>
                </a:ext>
                <a:ext uri="{FF2B5EF4-FFF2-40B4-BE49-F238E27FC236}">
                  <a16:creationId xmlns:a16="http://schemas.microsoft.com/office/drawing/2014/main" id="{00000000-0008-0000-1600-0000E4F9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and keep 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158750</xdr:colOff>
          <xdr:row>51</xdr:row>
          <xdr:rowOff>146050</xdr:rowOff>
        </xdr:from>
        <xdr:to>
          <xdr:col>18</xdr:col>
          <xdr:colOff>533400</xdr:colOff>
          <xdr:row>53</xdr:row>
          <xdr:rowOff>139700</xdr:rowOff>
        </xdr:to>
        <xdr:sp macro="" textlink="">
          <xdr:nvSpPr>
            <xdr:cNvPr id="63973" name="imp_clear_and_close" hidden="1">
              <a:extLst>
                <a:ext uri="{63B3BB69-23CF-44E3-9099-C40C66FF867C}">
                  <a14:compatExt spid="_x0000_s63973"/>
                </a:ext>
                <a:ext uri="{FF2B5EF4-FFF2-40B4-BE49-F238E27FC236}">
                  <a16:creationId xmlns:a16="http://schemas.microsoft.com/office/drawing/2014/main" id="{00000000-0008-0000-1600-0000E5F9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and close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13</xdr:row>
          <xdr:rowOff>203200</xdr:rowOff>
        </xdr:from>
        <xdr:to>
          <xdr:col>9</xdr:col>
          <xdr:colOff>812800</xdr:colOff>
          <xdr:row>15</xdr:row>
          <xdr:rowOff>0</xdr:rowOff>
        </xdr:to>
        <xdr:sp macro="" textlink="">
          <xdr:nvSpPr>
            <xdr:cNvPr id="115762" name="Button 2098" hidden="1">
              <a:extLst>
                <a:ext uri="{63B3BB69-23CF-44E3-9099-C40C66FF867C}">
                  <a14:compatExt spid="_x0000_s115762"/>
                </a:ext>
                <a:ext uri="{FF2B5EF4-FFF2-40B4-BE49-F238E27FC236}">
                  <a16:creationId xmlns:a16="http://schemas.microsoft.com/office/drawing/2014/main" id="{00000000-0008-0000-1600-000032C4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825500</xdr:colOff>
          <xdr:row>13</xdr:row>
          <xdr:rowOff>203200</xdr:rowOff>
        </xdr:from>
        <xdr:to>
          <xdr:col>11</xdr:col>
          <xdr:colOff>228600</xdr:colOff>
          <xdr:row>14</xdr:row>
          <xdr:rowOff>292100</xdr:rowOff>
        </xdr:to>
        <xdr:sp macro="" textlink="">
          <xdr:nvSpPr>
            <xdr:cNvPr id="115769" name="Button 2105" hidden="1">
              <a:extLst>
                <a:ext uri="{63B3BB69-23CF-44E3-9099-C40C66FF867C}">
                  <a14:compatExt spid="_x0000_s115769"/>
                </a:ext>
                <a:ext uri="{FF2B5EF4-FFF2-40B4-BE49-F238E27FC236}">
                  <a16:creationId xmlns:a16="http://schemas.microsoft.com/office/drawing/2014/main" id="{00000000-0008-0000-1600-000039C4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6350</xdr:colOff>
          <xdr:row>11</xdr:row>
          <xdr:rowOff>139700</xdr:rowOff>
        </xdr:from>
        <xdr:to>
          <xdr:col>9</xdr:col>
          <xdr:colOff>482600</xdr:colOff>
          <xdr:row>13</xdr:row>
          <xdr:rowOff>0</xdr:rowOff>
        </xdr:to>
        <xdr:sp macro="" textlink="">
          <xdr:nvSpPr>
            <xdr:cNvPr id="115986" name="Check Box 2322" hidden="1">
              <a:extLst>
                <a:ext uri="{63B3BB69-23CF-44E3-9099-C40C66FF867C}">
                  <a14:compatExt spid="_x0000_s115986"/>
                </a:ext>
                <a:ext uri="{FF2B5EF4-FFF2-40B4-BE49-F238E27FC236}">
                  <a16:creationId xmlns:a16="http://schemas.microsoft.com/office/drawing/2014/main" id="{00000000-0008-0000-1600-000012C5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ssbr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901700</xdr:colOff>
          <xdr:row>11</xdr:row>
          <xdr:rowOff>146050</xdr:rowOff>
        </xdr:from>
        <xdr:to>
          <xdr:col>13</xdr:col>
          <xdr:colOff>469900</xdr:colOff>
          <xdr:row>13</xdr:row>
          <xdr:rowOff>6350</xdr:rowOff>
        </xdr:to>
        <xdr:sp macro="" textlink="">
          <xdr:nvSpPr>
            <xdr:cNvPr id="115987" name="Check Box 2323" hidden="1">
              <a:extLst>
                <a:ext uri="{63B3BB69-23CF-44E3-9099-C40C66FF867C}">
                  <a14:compatExt spid="_x0000_s115987"/>
                </a:ext>
                <a:ext uri="{FF2B5EF4-FFF2-40B4-BE49-F238E27FC236}">
                  <a16:creationId xmlns:a16="http://schemas.microsoft.com/office/drawing/2014/main" id="{00000000-0008-0000-1600-000013C5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ssbr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603250</xdr:colOff>
          <xdr:row>12</xdr:row>
          <xdr:rowOff>0</xdr:rowOff>
        </xdr:from>
        <xdr:to>
          <xdr:col>7</xdr:col>
          <xdr:colOff>609600</xdr:colOff>
          <xdr:row>13</xdr:row>
          <xdr:rowOff>0</xdr:rowOff>
        </xdr:to>
        <xdr:sp macro="" textlink="">
          <xdr:nvSpPr>
            <xdr:cNvPr id="116069" name="Check Box 2405" hidden="1">
              <a:extLst>
                <a:ext uri="{63B3BB69-23CF-44E3-9099-C40C66FF867C}">
                  <a14:compatExt spid="_x0000_s116069"/>
                </a:ext>
                <a:ext uri="{FF2B5EF4-FFF2-40B4-BE49-F238E27FC236}">
                  <a16:creationId xmlns:a16="http://schemas.microsoft.com/office/drawing/2014/main" id="{00000000-0008-0000-1600-000065C5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ssbr in 22/23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692150</xdr:colOff>
          <xdr:row>11</xdr:row>
          <xdr:rowOff>152400</xdr:rowOff>
        </xdr:from>
        <xdr:to>
          <xdr:col>15</xdr:col>
          <xdr:colOff>25400</xdr:colOff>
          <xdr:row>13</xdr:row>
          <xdr:rowOff>0</xdr:rowOff>
        </xdr:to>
        <xdr:sp macro="" textlink="">
          <xdr:nvSpPr>
            <xdr:cNvPr id="116070" name="Check Box 2406" hidden="1">
              <a:extLst>
                <a:ext uri="{63B3BB69-23CF-44E3-9099-C40C66FF867C}">
                  <a14:compatExt spid="_x0000_s116070"/>
                </a:ext>
                <a:ext uri="{FF2B5EF4-FFF2-40B4-BE49-F238E27FC236}">
                  <a16:creationId xmlns:a16="http://schemas.microsoft.com/office/drawing/2014/main" id="{00000000-0008-0000-1600-000066C5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ssbr in 22/23</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641350</xdr:colOff>
          <xdr:row>12</xdr:row>
          <xdr:rowOff>0</xdr:rowOff>
        </xdr:from>
        <xdr:to>
          <xdr:col>15</xdr:col>
          <xdr:colOff>44450</xdr:colOff>
          <xdr:row>13</xdr:row>
          <xdr:rowOff>0</xdr:rowOff>
        </xdr:to>
        <xdr:sp macro="" textlink="">
          <xdr:nvSpPr>
            <xdr:cNvPr id="116071" name="Button 2407" hidden="1">
              <a:extLst>
                <a:ext uri="{63B3BB69-23CF-44E3-9099-C40C66FF867C}">
                  <a14:compatExt spid="_x0000_s116071"/>
                </a:ext>
                <a:ext uri="{FF2B5EF4-FFF2-40B4-BE49-F238E27FC236}">
                  <a16:creationId xmlns:a16="http://schemas.microsoft.com/office/drawing/2014/main" id="{00000000-0008-0000-1600-000067C5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80"/>
                  </a:solidFill>
                  <a:latin typeface="Arial"/>
                  <a:cs typeface="Arial"/>
                </a:rPr>
                <a: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234950</xdr:rowOff>
        </xdr:from>
        <xdr:to>
          <xdr:col>0</xdr:col>
          <xdr:colOff>996950</xdr:colOff>
          <xdr:row>1</xdr:row>
          <xdr:rowOff>127000</xdr:rowOff>
        </xdr:to>
        <xdr:sp macro="" textlink="">
          <xdr:nvSpPr>
            <xdr:cNvPr id="91137" name="home" hidden="1">
              <a:extLst>
                <a:ext uri="{63B3BB69-23CF-44E3-9099-C40C66FF867C}">
                  <a14:compatExt spid="_x0000_s91137"/>
                </a:ext>
                <a:ext uri="{FF2B5EF4-FFF2-40B4-BE49-F238E27FC236}">
                  <a16:creationId xmlns:a16="http://schemas.microsoft.com/office/drawing/2014/main" id="{00000000-0008-0000-1700-000001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615950</xdr:colOff>
          <xdr:row>23</xdr:row>
          <xdr:rowOff>31750</xdr:rowOff>
        </xdr:from>
        <xdr:to>
          <xdr:col>7</xdr:col>
          <xdr:colOff>1682750</xdr:colOff>
          <xdr:row>25</xdr:row>
          <xdr:rowOff>88900</xdr:rowOff>
        </xdr:to>
        <xdr:sp macro="" textlink="">
          <xdr:nvSpPr>
            <xdr:cNvPr id="91139" name="s44a" hidden="1">
              <a:extLst>
                <a:ext uri="{63B3BB69-23CF-44E3-9099-C40C66FF867C}">
                  <a14:compatExt spid="_x0000_s91139"/>
                </a:ext>
                <a:ext uri="{FF2B5EF4-FFF2-40B4-BE49-F238E27FC236}">
                  <a16:creationId xmlns:a16="http://schemas.microsoft.com/office/drawing/2014/main" id="{00000000-0008-0000-1700-000003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615950</xdr:colOff>
          <xdr:row>25</xdr:row>
          <xdr:rowOff>120650</xdr:rowOff>
        </xdr:from>
        <xdr:to>
          <xdr:col>7</xdr:col>
          <xdr:colOff>1682750</xdr:colOff>
          <xdr:row>28</xdr:row>
          <xdr:rowOff>6350</xdr:rowOff>
        </xdr:to>
        <xdr:sp macro="" textlink="">
          <xdr:nvSpPr>
            <xdr:cNvPr id="91144" name="Button 8" hidden="1">
              <a:extLst>
                <a:ext uri="{63B3BB69-23CF-44E3-9099-C40C66FF867C}">
                  <a14:compatExt spid="_x0000_s91144"/>
                </a:ext>
                <a:ext uri="{FF2B5EF4-FFF2-40B4-BE49-F238E27FC236}">
                  <a16:creationId xmlns:a16="http://schemas.microsoft.com/office/drawing/2014/main" id="{00000000-0008-0000-1700-000008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1422400</xdr:colOff>
          <xdr:row>19</xdr:row>
          <xdr:rowOff>6350</xdr:rowOff>
        </xdr:from>
        <xdr:to>
          <xdr:col>4</xdr:col>
          <xdr:colOff>1752600</xdr:colOff>
          <xdr:row>20</xdr:row>
          <xdr:rowOff>6350</xdr:rowOff>
        </xdr:to>
        <xdr:sp macro="" textlink="">
          <xdr:nvSpPr>
            <xdr:cNvPr id="91145" name="Button 9" hidden="1">
              <a:extLst>
                <a:ext uri="{63B3BB69-23CF-44E3-9099-C40C66FF867C}">
                  <a14:compatExt spid="_x0000_s91145"/>
                </a:ext>
                <a:ext uri="{FF2B5EF4-FFF2-40B4-BE49-F238E27FC236}">
                  <a16:creationId xmlns:a16="http://schemas.microsoft.com/office/drawing/2014/main" id="{00000000-0008-0000-1700-000009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615950</xdr:colOff>
          <xdr:row>28</xdr:row>
          <xdr:rowOff>31750</xdr:rowOff>
        </xdr:from>
        <xdr:to>
          <xdr:col>7</xdr:col>
          <xdr:colOff>1682750</xdr:colOff>
          <xdr:row>30</xdr:row>
          <xdr:rowOff>88900</xdr:rowOff>
        </xdr:to>
        <xdr:sp macro="" textlink="">
          <xdr:nvSpPr>
            <xdr:cNvPr id="91146" name="Button 10" hidden="1">
              <a:extLst>
                <a:ext uri="{63B3BB69-23CF-44E3-9099-C40C66FF867C}">
                  <a14:compatExt spid="_x0000_s91146"/>
                </a:ext>
                <a:ext uri="{FF2B5EF4-FFF2-40B4-BE49-F238E27FC236}">
                  <a16:creationId xmlns:a16="http://schemas.microsoft.com/office/drawing/2014/main" id="{00000000-0008-0000-1700-00000A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Help s44a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3</xdr:row>
          <xdr:rowOff>50800</xdr:rowOff>
        </xdr:from>
        <xdr:to>
          <xdr:col>0</xdr:col>
          <xdr:colOff>996950</xdr:colOff>
          <xdr:row>6</xdr:row>
          <xdr:rowOff>69850</xdr:rowOff>
        </xdr:to>
        <xdr:sp macro="" textlink="">
          <xdr:nvSpPr>
            <xdr:cNvPr id="91147" name="Button 11" hidden="1">
              <a:extLst>
                <a:ext uri="{63B3BB69-23CF-44E3-9099-C40C66FF867C}">
                  <a14:compatExt spid="_x0000_s91147"/>
                </a:ext>
                <a:ext uri="{FF2B5EF4-FFF2-40B4-BE49-F238E27FC236}">
                  <a16:creationId xmlns:a16="http://schemas.microsoft.com/office/drawing/2014/main" id="{00000000-0008-0000-1700-00000B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t>
              </a:r>
            </a:p>
            <a:p>
              <a:pPr algn="ctr" rtl="0">
                <a:defRPr sz="1000"/>
              </a:pPr>
              <a:r>
                <a:rPr lang="en-GB" sz="1000" b="0" i="0" u="none" strike="noStrike" baseline="0">
                  <a:solidFill>
                    <a:srgbClr val="000000"/>
                  </a:solidFill>
                  <a:latin typeface="Arial"/>
                  <a:cs typeface="Arial"/>
                </a:rPr>
                <a:t>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101600</xdr:colOff>
          <xdr:row>0</xdr:row>
          <xdr:rowOff>76200</xdr:rowOff>
        </xdr:from>
        <xdr:to>
          <xdr:col>7</xdr:col>
          <xdr:colOff>787400</xdr:colOff>
          <xdr:row>0</xdr:row>
          <xdr:rowOff>463550</xdr:rowOff>
        </xdr:to>
        <xdr:sp macro="" textlink="">
          <xdr:nvSpPr>
            <xdr:cNvPr id="91148" name="Button 12" hidden="1">
              <a:extLst>
                <a:ext uri="{63B3BB69-23CF-44E3-9099-C40C66FF867C}">
                  <a14:compatExt spid="_x0000_s91148"/>
                </a:ext>
                <a:ext uri="{FF2B5EF4-FFF2-40B4-BE49-F238E27FC236}">
                  <a16:creationId xmlns:a16="http://schemas.microsoft.com/office/drawing/2014/main" id="{00000000-0008-0000-1700-00000C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793750</xdr:colOff>
          <xdr:row>0</xdr:row>
          <xdr:rowOff>76200</xdr:rowOff>
        </xdr:from>
        <xdr:to>
          <xdr:col>7</xdr:col>
          <xdr:colOff>1479550</xdr:colOff>
          <xdr:row>0</xdr:row>
          <xdr:rowOff>463550</xdr:rowOff>
        </xdr:to>
        <xdr:sp macro="" textlink="">
          <xdr:nvSpPr>
            <xdr:cNvPr id="91149" name="Button 13" hidden="1">
              <a:extLst>
                <a:ext uri="{63B3BB69-23CF-44E3-9099-C40C66FF867C}">
                  <a14:compatExt spid="_x0000_s91149"/>
                </a:ext>
                <a:ext uri="{FF2B5EF4-FFF2-40B4-BE49-F238E27FC236}">
                  <a16:creationId xmlns:a16="http://schemas.microsoft.com/office/drawing/2014/main" id="{00000000-0008-0000-1700-00000D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1492250</xdr:colOff>
          <xdr:row>0</xdr:row>
          <xdr:rowOff>76200</xdr:rowOff>
        </xdr:from>
        <xdr:to>
          <xdr:col>7</xdr:col>
          <xdr:colOff>2025650</xdr:colOff>
          <xdr:row>0</xdr:row>
          <xdr:rowOff>463550</xdr:rowOff>
        </xdr:to>
        <xdr:sp macro="" textlink="">
          <xdr:nvSpPr>
            <xdr:cNvPr id="91150" name="Button 14" hidden="1">
              <a:extLst>
                <a:ext uri="{63B3BB69-23CF-44E3-9099-C40C66FF867C}">
                  <a14:compatExt spid="_x0000_s91150"/>
                </a:ext>
                <a:ext uri="{FF2B5EF4-FFF2-40B4-BE49-F238E27FC236}">
                  <a16:creationId xmlns:a16="http://schemas.microsoft.com/office/drawing/2014/main" id="{00000000-0008-0000-1700-00000E6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2032000</xdr:colOff>
          <xdr:row>0</xdr:row>
          <xdr:rowOff>76200</xdr:rowOff>
        </xdr:from>
        <xdr:to>
          <xdr:col>9</xdr:col>
          <xdr:colOff>203200</xdr:colOff>
          <xdr:row>0</xdr:row>
          <xdr:rowOff>463550</xdr:rowOff>
        </xdr:to>
        <xdr:sp macro="" textlink="">
          <xdr:nvSpPr>
            <xdr:cNvPr id="91151" name="Button 15" hidden="1">
              <a:extLst>
                <a:ext uri="{63B3BB69-23CF-44E3-9099-C40C66FF867C}">
                  <a14:compatExt spid="_x0000_s91151"/>
                </a:ext>
                <a:ext uri="{FF2B5EF4-FFF2-40B4-BE49-F238E27FC236}">
                  <a16:creationId xmlns:a16="http://schemas.microsoft.com/office/drawing/2014/main" id="{00000000-0008-0000-1700-00000F6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76200</xdr:rowOff>
        </xdr:from>
        <xdr:to>
          <xdr:col>6</xdr:col>
          <xdr:colOff>107950</xdr:colOff>
          <xdr:row>11</xdr:row>
          <xdr:rowOff>38100</xdr:rowOff>
        </xdr:to>
        <xdr:sp macro="" textlink="">
          <xdr:nvSpPr>
            <xdr:cNvPr id="91152" name="Drop Down 16" hidden="1">
              <a:extLst>
                <a:ext uri="{63B3BB69-23CF-44E3-9099-C40C66FF867C}">
                  <a14:compatExt spid="_x0000_s91152"/>
                </a:ext>
                <a:ext uri="{FF2B5EF4-FFF2-40B4-BE49-F238E27FC236}">
                  <a16:creationId xmlns:a16="http://schemas.microsoft.com/office/drawing/2014/main" id="{00000000-0008-0000-1700-000010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444500</xdr:colOff>
          <xdr:row>0</xdr:row>
          <xdr:rowOff>215900</xdr:rowOff>
        </xdr:from>
        <xdr:to>
          <xdr:col>9</xdr:col>
          <xdr:colOff>1066800</xdr:colOff>
          <xdr:row>2</xdr:row>
          <xdr:rowOff>12700</xdr:rowOff>
        </xdr:to>
        <xdr:sp macro="" textlink="">
          <xdr:nvSpPr>
            <xdr:cNvPr id="91153" name="globalbacktobutton" hidden="1">
              <a:extLst>
                <a:ext uri="{63B3BB69-23CF-44E3-9099-C40C66FF867C}">
                  <a14:compatExt spid="_x0000_s91153"/>
                </a:ext>
                <a:ext uri="{FF2B5EF4-FFF2-40B4-BE49-F238E27FC236}">
                  <a16:creationId xmlns:a16="http://schemas.microsoft.com/office/drawing/2014/main" id="{00000000-0008-0000-1700-0000116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787400</xdr:colOff>
          <xdr:row>0</xdr:row>
          <xdr:rowOff>31750</xdr:rowOff>
        </xdr:from>
        <xdr:to>
          <xdr:col>6</xdr:col>
          <xdr:colOff>101600</xdr:colOff>
          <xdr:row>1</xdr:row>
          <xdr:rowOff>146050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800-000001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more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0</xdr:row>
          <xdr:rowOff>31750</xdr:rowOff>
        </xdr:from>
        <xdr:to>
          <xdr:col>8</xdr:col>
          <xdr:colOff>393700</xdr:colOff>
          <xdr:row>1</xdr:row>
          <xdr:rowOff>146050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1800-000002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215900</xdr:colOff>
          <xdr:row>0</xdr:row>
          <xdr:rowOff>31750</xdr:rowOff>
        </xdr:from>
        <xdr:to>
          <xdr:col>9</xdr:col>
          <xdr:colOff>806450</xdr:colOff>
          <xdr:row>1</xdr:row>
          <xdr:rowOff>146050</xdr:rowOff>
        </xdr:to>
        <xdr:sp macro="" textlink="">
          <xdr:nvSpPr>
            <xdr:cNvPr id="64515" name="Button 3" hidden="1">
              <a:extLst>
                <a:ext uri="{63B3BB69-23CF-44E3-9099-C40C66FF867C}">
                  <a14:compatExt spid="_x0000_s64515"/>
                </a:ext>
                <a:ext uri="{FF2B5EF4-FFF2-40B4-BE49-F238E27FC236}">
                  <a16:creationId xmlns:a16="http://schemas.microsoft.com/office/drawing/2014/main" id="{00000000-0008-0000-1800-000003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406400</xdr:colOff>
          <xdr:row>0</xdr:row>
          <xdr:rowOff>31750</xdr:rowOff>
        </xdr:from>
        <xdr:to>
          <xdr:col>9</xdr:col>
          <xdr:colOff>203200</xdr:colOff>
          <xdr:row>1</xdr:row>
          <xdr:rowOff>146050</xdr:rowOff>
        </xdr:to>
        <xdr:sp macro="" textlink="">
          <xdr:nvSpPr>
            <xdr:cNvPr id="64516" name="Button 4" hidden="1">
              <a:extLst>
                <a:ext uri="{63B3BB69-23CF-44E3-9099-C40C66FF867C}">
                  <a14:compatExt spid="_x0000_s64516"/>
                </a:ext>
                <a:ext uri="{FF2B5EF4-FFF2-40B4-BE49-F238E27FC236}">
                  <a16:creationId xmlns:a16="http://schemas.microsoft.com/office/drawing/2014/main" id="{00000000-0008-0000-1800-000004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127000</xdr:rowOff>
        </xdr:from>
        <xdr:to>
          <xdr:col>0</xdr:col>
          <xdr:colOff>812800</xdr:colOff>
          <xdr:row>2</xdr:row>
          <xdr:rowOff>76200</xdr:rowOff>
        </xdr:to>
        <xdr:sp macro="" textlink="">
          <xdr:nvSpPr>
            <xdr:cNvPr id="64517" name="Button 5" hidden="1">
              <a:extLst>
                <a:ext uri="{63B3BB69-23CF-44E3-9099-C40C66FF867C}">
                  <a14:compatExt spid="_x0000_s64517"/>
                </a:ext>
                <a:ext uri="{FF2B5EF4-FFF2-40B4-BE49-F238E27FC236}">
                  <a16:creationId xmlns:a16="http://schemas.microsoft.com/office/drawing/2014/main" id="{00000000-0008-0000-1800-000005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0</xdr:row>
          <xdr:rowOff>31750</xdr:rowOff>
        </xdr:from>
        <xdr:to>
          <xdr:col>4</xdr:col>
          <xdr:colOff>768350</xdr:colOff>
          <xdr:row>1</xdr:row>
          <xdr:rowOff>146050</xdr:rowOff>
        </xdr:to>
        <xdr:sp macro="" textlink="">
          <xdr:nvSpPr>
            <xdr:cNvPr id="64518" name="Button 6" hidden="1">
              <a:extLst>
                <a:ext uri="{63B3BB69-23CF-44E3-9099-C40C66FF867C}">
                  <a14:compatExt spid="_x0000_s64518"/>
                </a:ext>
                <a:ext uri="{FF2B5EF4-FFF2-40B4-BE49-F238E27FC236}">
                  <a16:creationId xmlns:a16="http://schemas.microsoft.com/office/drawing/2014/main" id="{00000000-0008-0000-1800-000006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 Advanced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xdr:colOff>
          <xdr:row>54</xdr:row>
          <xdr:rowOff>38100</xdr:rowOff>
        </xdr:from>
        <xdr:to>
          <xdr:col>13</xdr:col>
          <xdr:colOff>577850</xdr:colOff>
          <xdr:row>56</xdr:row>
          <xdr:rowOff>0</xdr:rowOff>
        </xdr:to>
        <xdr:sp macro="" textlink="">
          <xdr:nvSpPr>
            <xdr:cNvPr id="64519" name="Button 7" hidden="1">
              <a:extLst>
                <a:ext uri="{63B3BB69-23CF-44E3-9099-C40C66FF867C}">
                  <a14:compatExt spid="_x0000_s64519"/>
                </a:ext>
                <a:ext uri="{FF2B5EF4-FFF2-40B4-BE49-F238E27FC236}">
                  <a16:creationId xmlns:a16="http://schemas.microsoft.com/office/drawing/2014/main" id="{00000000-0008-0000-1800-000007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xdr:colOff>
          <xdr:row>52</xdr:row>
          <xdr:rowOff>107950</xdr:rowOff>
        </xdr:from>
        <xdr:to>
          <xdr:col>13</xdr:col>
          <xdr:colOff>577850</xdr:colOff>
          <xdr:row>54</xdr:row>
          <xdr:rowOff>31750</xdr:rowOff>
        </xdr:to>
        <xdr:sp macro="" textlink="">
          <xdr:nvSpPr>
            <xdr:cNvPr id="64520" name="Button 8" hidden="1">
              <a:extLst>
                <a:ext uri="{63B3BB69-23CF-44E3-9099-C40C66FF867C}">
                  <a14:compatExt spid="_x0000_s64520"/>
                </a:ext>
                <a:ext uri="{FF2B5EF4-FFF2-40B4-BE49-F238E27FC236}">
                  <a16:creationId xmlns:a16="http://schemas.microsoft.com/office/drawing/2014/main" id="{00000000-0008-0000-1800-000008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xdr:colOff>
          <xdr:row>51</xdr:row>
          <xdr:rowOff>6350</xdr:rowOff>
        </xdr:from>
        <xdr:to>
          <xdr:col>13</xdr:col>
          <xdr:colOff>577850</xdr:colOff>
          <xdr:row>52</xdr:row>
          <xdr:rowOff>101600</xdr:rowOff>
        </xdr:to>
        <xdr:sp macro="" textlink="">
          <xdr:nvSpPr>
            <xdr:cNvPr id="64521" name="Button 9" hidden="1">
              <a:extLst>
                <a:ext uri="{63B3BB69-23CF-44E3-9099-C40C66FF867C}">
                  <a14:compatExt spid="_x0000_s64521"/>
                </a:ext>
                <a:ext uri="{FF2B5EF4-FFF2-40B4-BE49-F238E27FC236}">
                  <a16:creationId xmlns:a16="http://schemas.microsoft.com/office/drawing/2014/main" id="{00000000-0008-0000-1800-000009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6</xdr:row>
          <xdr:rowOff>0</xdr:rowOff>
        </xdr:from>
        <xdr:to>
          <xdr:col>0</xdr:col>
          <xdr:colOff>984250</xdr:colOff>
          <xdr:row>9</xdr:row>
          <xdr:rowOff>146050</xdr:rowOff>
        </xdr:to>
        <xdr:sp macro="" textlink="">
          <xdr:nvSpPr>
            <xdr:cNvPr id="64522" name="Button 10" hidden="1">
              <a:extLst>
                <a:ext uri="{63B3BB69-23CF-44E3-9099-C40C66FF867C}">
                  <a14:compatExt spid="_x0000_s64522"/>
                </a:ext>
                <a:ext uri="{FF2B5EF4-FFF2-40B4-BE49-F238E27FC236}">
                  <a16:creationId xmlns:a16="http://schemas.microsoft.com/office/drawing/2014/main" id="{00000000-0008-0000-1800-00000A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enter client / 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47</xdr:row>
          <xdr:rowOff>114300</xdr:rowOff>
        </xdr:from>
        <xdr:to>
          <xdr:col>15</xdr:col>
          <xdr:colOff>101600</xdr:colOff>
          <xdr:row>49</xdr:row>
          <xdr:rowOff>101600</xdr:rowOff>
        </xdr:to>
        <xdr:sp macro="" textlink="">
          <xdr:nvSpPr>
            <xdr:cNvPr id="64523" name="Button 11" hidden="1">
              <a:extLst>
                <a:ext uri="{63B3BB69-23CF-44E3-9099-C40C66FF867C}">
                  <a14:compatExt spid="_x0000_s64523"/>
                </a:ext>
                <a:ext uri="{FF2B5EF4-FFF2-40B4-BE49-F238E27FC236}">
                  <a16:creationId xmlns:a16="http://schemas.microsoft.com/office/drawing/2014/main" id="{00000000-0008-0000-1800-00000B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 Advanced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xdr:colOff>
          <xdr:row>58</xdr:row>
          <xdr:rowOff>31750</xdr:rowOff>
        </xdr:from>
        <xdr:to>
          <xdr:col>13</xdr:col>
          <xdr:colOff>673100</xdr:colOff>
          <xdr:row>60</xdr:row>
          <xdr:rowOff>44450</xdr:rowOff>
        </xdr:to>
        <xdr:sp macro="" textlink="">
          <xdr:nvSpPr>
            <xdr:cNvPr id="64524" name="advancedpayments" hidden="1">
              <a:extLst>
                <a:ext uri="{63B3BB69-23CF-44E3-9099-C40C66FF867C}">
                  <a14:compatExt spid="_x0000_s64524"/>
                </a:ext>
                <a:ext uri="{FF2B5EF4-FFF2-40B4-BE49-F238E27FC236}">
                  <a16:creationId xmlns:a16="http://schemas.microsoft.com/office/drawing/2014/main" id="{00000000-0008-0000-1800-00000C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enter</a:t>
              </a:r>
            </a:p>
            <a:p>
              <a:pPr algn="ctr" rtl="0">
                <a:defRPr sz="1000"/>
              </a:pPr>
              <a:r>
                <a:rPr lang="en-GB" sz="1000" b="0" i="0" u="none" strike="noStrike" baseline="0">
                  <a:solidFill>
                    <a:srgbClr val="0000FF"/>
                  </a:solidFill>
                  <a:latin typeface="Arial"/>
                  <a:cs typeface="Arial"/>
                </a:rPr>
                <a:t>payments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18</xdr:row>
          <xdr:rowOff>0</xdr:rowOff>
        </xdr:from>
        <xdr:to>
          <xdr:col>15</xdr:col>
          <xdr:colOff>38100</xdr:colOff>
          <xdr:row>21</xdr:row>
          <xdr:rowOff>139700</xdr:rowOff>
        </xdr:to>
        <xdr:sp macro="" textlink="">
          <xdr:nvSpPr>
            <xdr:cNvPr id="64525" name="Button 13" hidden="1">
              <a:extLst>
                <a:ext uri="{63B3BB69-23CF-44E3-9099-C40C66FF867C}">
                  <a14:compatExt spid="_x0000_s64525"/>
                </a:ext>
                <a:ext uri="{FF2B5EF4-FFF2-40B4-BE49-F238E27FC236}">
                  <a16:creationId xmlns:a16="http://schemas.microsoft.com/office/drawing/2014/main" id="{00000000-0008-0000-1800-00000D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Show the TC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127000</xdr:colOff>
          <xdr:row>6</xdr:row>
          <xdr:rowOff>0</xdr:rowOff>
        </xdr:from>
        <xdr:to>
          <xdr:col>13</xdr:col>
          <xdr:colOff>755650</xdr:colOff>
          <xdr:row>8</xdr:row>
          <xdr:rowOff>127000</xdr:rowOff>
        </xdr:to>
        <xdr:sp macro="" textlink="">
          <xdr:nvSpPr>
            <xdr:cNvPr id="64526" name="globalbacktobutton" hidden="1">
              <a:extLst>
                <a:ext uri="{63B3BB69-23CF-44E3-9099-C40C66FF867C}">
                  <a14:compatExt spid="_x0000_s64526"/>
                </a:ext>
                <a:ext uri="{FF2B5EF4-FFF2-40B4-BE49-F238E27FC236}">
                  <a16:creationId xmlns:a16="http://schemas.microsoft.com/office/drawing/2014/main" id="{00000000-0008-0000-1800-00000EF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298450</xdr:colOff>
          <xdr:row>3</xdr:row>
          <xdr:rowOff>0</xdr:rowOff>
        </xdr:from>
        <xdr:to>
          <xdr:col>14</xdr:col>
          <xdr:colOff>196850</xdr:colOff>
          <xdr:row>4</xdr:row>
          <xdr:rowOff>127000</xdr:rowOff>
        </xdr:to>
        <xdr:sp macro="" textlink="">
          <xdr:nvSpPr>
            <xdr:cNvPr id="64527" name="Button 15" hidden="1">
              <a:extLst>
                <a:ext uri="{63B3BB69-23CF-44E3-9099-C40C66FF867C}">
                  <a14:compatExt spid="_x0000_s64527"/>
                </a:ext>
                <a:ext uri="{FF2B5EF4-FFF2-40B4-BE49-F238E27FC236}">
                  <a16:creationId xmlns:a16="http://schemas.microsoft.com/office/drawing/2014/main" id="{00000000-0008-0000-1800-00000F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3</xdr:row>
          <xdr:rowOff>0</xdr:rowOff>
        </xdr:from>
        <xdr:to>
          <xdr:col>15</xdr:col>
          <xdr:colOff>266700</xdr:colOff>
          <xdr:row>4</xdr:row>
          <xdr:rowOff>127000</xdr:rowOff>
        </xdr:to>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1800-000010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273050</xdr:colOff>
          <xdr:row>3</xdr:row>
          <xdr:rowOff>0</xdr:rowOff>
        </xdr:from>
        <xdr:to>
          <xdr:col>15</xdr:col>
          <xdr:colOff>806450</xdr:colOff>
          <xdr:row>4</xdr:row>
          <xdr:rowOff>127000</xdr:rowOff>
        </xdr:to>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1800-000011F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812800</xdr:colOff>
          <xdr:row>3</xdr:row>
          <xdr:rowOff>0</xdr:rowOff>
        </xdr:from>
        <xdr:to>
          <xdr:col>15</xdr:col>
          <xdr:colOff>1339850</xdr:colOff>
          <xdr:row>4</xdr:row>
          <xdr:rowOff>127000</xdr:rowOff>
        </xdr:to>
        <xdr:sp macro="" textlink="">
          <xdr:nvSpPr>
            <xdr:cNvPr id="64530" name="Button 18" hidden="1">
              <a:extLst>
                <a:ext uri="{63B3BB69-23CF-44E3-9099-C40C66FF867C}">
                  <a14:compatExt spid="_x0000_s64530"/>
                </a:ext>
                <a:ext uri="{FF2B5EF4-FFF2-40B4-BE49-F238E27FC236}">
                  <a16:creationId xmlns:a16="http://schemas.microsoft.com/office/drawing/2014/main" id="{00000000-0008-0000-1800-000012FC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349250</xdr:colOff>
          <xdr:row>1</xdr:row>
          <xdr:rowOff>25400</xdr:rowOff>
        </xdr:from>
        <xdr:to>
          <xdr:col>15</xdr:col>
          <xdr:colOff>412750</xdr:colOff>
          <xdr:row>2</xdr:row>
          <xdr:rowOff>158750</xdr:rowOff>
        </xdr:to>
        <xdr:sp macro="" textlink="">
          <xdr:nvSpPr>
            <xdr:cNvPr id="64531" name="Button 19" hidden="1">
              <a:extLst>
                <a:ext uri="{63B3BB69-23CF-44E3-9099-C40C66FF867C}">
                  <a14:compatExt spid="_x0000_s64531"/>
                </a:ext>
                <a:ext uri="{FF2B5EF4-FFF2-40B4-BE49-F238E27FC236}">
                  <a16:creationId xmlns:a16="http://schemas.microsoft.com/office/drawing/2014/main" id="{00000000-0008-0000-1800-000013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298450</xdr:colOff>
          <xdr:row>1</xdr:row>
          <xdr:rowOff>25400</xdr:rowOff>
        </xdr:from>
        <xdr:to>
          <xdr:col>14</xdr:col>
          <xdr:colOff>342900</xdr:colOff>
          <xdr:row>2</xdr:row>
          <xdr:rowOff>158750</xdr:rowOff>
        </xdr:to>
        <xdr:sp macro="" textlink="">
          <xdr:nvSpPr>
            <xdr:cNvPr id="64532" name="Button 20" hidden="1">
              <a:extLst>
                <a:ext uri="{63B3BB69-23CF-44E3-9099-C40C66FF867C}">
                  <a14:compatExt spid="_x0000_s64532"/>
                </a:ext>
                <a:ext uri="{FF2B5EF4-FFF2-40B4-BE49-F238E27FC236}">
                  <a16:creationId xmlns:a16="http://schemas.microsoft.com/office/drawing/2014/main" id="{00000000-0008-0000-1800-000014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419100</xdr:colOff>
          <xdr:row>1</xdr:row>
          <xdr:rowOff>25400</xdr:rowOff>
        </xdr:from>
        <xdr:to>
          <xdr:col>15</xdr:col>
          <xdr:colOff>1339850</xdr:colOff>
          <xdr:row>2</xdr:row>
          <xdr:rowOff>158750</xdr:rowOff>
        </xdr:to>
        <xdr:sp macro="" textlink="">
          <xdr:nvSpPr>
            <xdr:cNvPr id="64533" name="Button 21" hidden="1">
              <a:extLst>
                <a:ext uri="{63B3BB69-23CF-44E3-9099-C40C66FF867C}">
                  <a14:compatExt spid="_x0000_s64533"/>
                </a:ext>
                <a:ext uri="{FF2B5EF4-FFF2-40B4-BE49-F238E27FC236}">
                  <a16:creationId xmlns:a16="http://schemas.microsoft.com/office/drawing/2014/main" id="{00000000-0008-0000-1800-000015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32</xdr:row>
          <xdr:rowOff>69850</xdr:rowOff>
        </xdr:from>
        <xdr:to>
          <xdr:col>15</xdr:col>
          <xdr:colOff>31750</xdr:colOff>
          <xdr:row>34</xdr:row>
          <xdr:rowOff>190500</xdr:rowOff>
        </xdr:to>
        <xdr:sp macro="" textlink="">
          <xdr:nvSpPr>
            <xdr:cNvPr id="64534" name="Button 22" hidden="1">
              <a:extLst>
                <a:ext uri="{63B3BB69-23CF-44E3-9099-C40C66FF867C}">
                  <a14:compatExt spid="_x0000_s64534"/>
                </a:ext>
                <a:ext uri="{FF2B5EF4-FFF2-40B4-BE49-F238E27FC236}">
                  <a16:creationId xmlns:a16="http://schemas.microsoft.com/office/drawing/2014/main" id="{00000000-0008-0000-1800-000016F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Show the Improvement Certs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787400</xdr:colOff>
          <xdr:row>0</xdr:row>
          <xdr:rowOff>31750</xdr:rowOff>
        </xdr:from>
        <xdr:to>
          <xdr:col>6</xdr:col>
          <xdr:colOff>101600</xdr:colOff>
          <xdr:row>1</xdr:row>
          <xdr:rowOff>146050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1900-000001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more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0</xdr:row>
          <xdr:rowOff>31750</xdr:rowOff>
        </xdr:from>
        <xdr:to>
          <xdr:col>8</xdr:col>
          <xdr:colOff>393700</xdr:colOff>
          <xdr:row>1</xdr:row>
          <xdr:rowOff>146050</xdr:rowOff>
        </xdr:to>
        <xdr:sp macro="" textlink="">
          <xdr:nvSpPr>
            <xdr:cNvPr id="101378" name="Button 2" hidden="1">
              <a:extLst>
                <a:ext uri="{63B3BB69-23CF-44E3-9099-C40C66FF867C}">
                  <a14:compatExt spid="_x0000_s101378"/>
                </a:ext>
                <a:ext uri="{FF2B5EF4-FFF2-40B4-BE49-F238E27FC236}">
                  <a16:creationId xmlns:a16="http://schemas.microsoft.com/office/drawing/2014/main" id="{00000000-0008-0000-1900-000002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215900</xdr:colOff>
          <xdr:row>0</xdr:row>
          <xdr:rowOff>31750</xdr:rowOff>
        </xdr:from>
        <xdr:to>
          <xdr:col>9</xdr:col>
          <xdr:colOff>806450</xdr:colOff>
          <xdr:row>1</xdr:row>
          <xdr:rowOff>146050</xdr:rowOff>
        </xdr:to>
        <xdr:sp macro="" textlink="">
          <xdr:nvSpPr>
            <xdr:cNvPr id="101379" name="Button 3" hidden="1">
              <a:extLst>
                <a:ext uri="{63B3BB69-23CF-44E3-9099-C40C66FF867C}">
                  <a14:compatExt spid="_x0000_s101379"/>
                </a:ext>
                <a:ext uri="{FF2B5EF4-FFF2-40B4-BE49-F238E27FC236}">
                  <a16:creationId xmlns:a16="http://schemas.microsoft.com/office/drawing/2014/main" id="{00000000-0008-0000-1900-000003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406400</xdr:colOff>
          <xdr:row>0</xdr:row>
          <xdr:rowOff>31750</xdr:rowOff>
        </xdr:from>
        <xdr:to>
          <xdr:col>9</xdr:col>
          <xdr:colOff>203200</xdr:colOff>
          <xdr:row>1</xdr:row>
          <xdr:rowOff>146050</xdr:rowOff>
        </xdr:to>
        <xdr:sp macro="" textlink="">
          <xdr:nvSpPr>
            <xdr:cNvPr id="101380" name="Button 4" hidden="1">
              <a:extLst>
                <a:ext uri="{63B3BB69-23CF-44E3-9099-C40C66FF867C}">
                  <a14:compatExt spid="_x0000_s101380"/>
                </a:ext>
                <a:ext uri="{FF2B5EF4-FFF2-40B4-BE49-F238E27FC236}">
                  <a16:creationId xmlns:a16="http://schemas.microsoft.com/office/drawing/2014/main" id="{00000000-0008-0000-1900-0000048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127000</xdr:rowOff>
        </xdr:from>
        <xdr:to>
          <xdr:col>0</xdr:col>
          <xdr:colOff>812800</xdr:colOff>
          <xdr:row>2</xdr:row>
          <xdr:rowOff>76200</xdr:rowOff>
        </xdr:to>
        <xdr:sp macro="" textlink="">
          <xdr:nvSpPr>
            <xdr:cNvPr id="101381" name="Button 5" hidden="1">
              <a:extLst>
                <a:ext uri="{63B3BB69-23CF-44E3-9099-C40C66FF867C}">
                  <a14:compatExt spid="_x0000_s101381"/>
                </a:ext>
                <a:ext uri="{FF2B5EF4-FFF2-40B4-BE49-F238E27FC236}">
                  <a16:creationId xmlns:a16="http://schemas.microsoft.com/office/drawing/2014/main" id="{00000000-0008-0000-1900-000005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0</xdr:row>
          <xdr:rowOff>31750</xdr:rowOff>
        </xdr:from>
        <xdr:to>
          <xdr:col>4</xdr:col>
          <xdr:colOff>768350</xdr:colOff>
          <xdr:row>1</xdr:row>
          <xdr:rowOff>146050</xdr:rowOff>
        </xdr:to>
        <xdr:sp macro="" textlink="">
          <xdr:nvSpPr>
            <xdr:cNvPr id="101382" name="Button 6" hidden="1">
              <a:extLst>
                <a:ext uri="{63B3BB69-23CF-44E3-9099-C40C66FF867C}">
                  <a14:compatExt spid="_x0000_s101382"/>
                </a:ext>
                <a:ext uri="{FF2B5EF4-FFF2-40B4-BE49-F238E27FC236}">
                  <a16:creationId xmlns:a16="http://schemas.microsoft.com/office/drawing/2014/main" id="{00000000-0008-0000-1900-000006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 Advanced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xdr:colOff>
          <xdr:row>54</xdr:row>
          <xdr:rowOff>38100</xdr:rowOff>
        </xdr:from>
        <xdr:to>
          <xdr:col>13</xdr:col>
          <xdr:colOff>577850</xdr:colOff>
          <xdr:row>56</xdr:row>
          <xdr:rowOff>0</xdr:rowOff>
        </xdr:to>
        <xdr:sp macro="" textlink="">
          <xdr:nvSpPr>
            <xdr:cNvPr id="101383" name="Button 7" hidden="1">
              <a:extLst>
                <a:ext uri="{63B3BB69-23CF-44E3-9099-C40C66FF867C}">
                  <a14:compatExt spid="_x0000_s101383"/>
                </a:ext>
                <a:ext uri="{FF2B5EF4-FFF2-40B4-BE49-F238E27FC236}">
                  <a16:creationId xmlns:a16="http://schemas.microsoft.com/office/drawing/2014/main" id="{00000000-0008-0000-1900-000007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xdr:colOff>
          <xdr:row>52</xdr:row>
          <xdr:rowOff>107950</xdr:rowOff>
        </xdr:from>
        <xdr:to>
          <xdr:col>13</xdr:col>
          <xdr:colOff>577850</xdr:colOff>
          <xdr:row>54</xdr:row>
          <xdr:rowOff>31750</xdr:rowOff>
        </xdr:to>
        <xdr:sp macro="" textlink="">
          <xdr:nvSpPr>
            <xdr:cNvPr id="101384" name="Button 8" hidden="1">
              <a:extLst>
                <a:ext uri="{63B3BB69-23CF-44E3-9099-C40C66FF867C}">
                  <a14:compatExt spid="_x0000_s101384"/>
                </a:ext>
                <a:ext uri="{FF2B5EF4-FFF2-40B4-BE49-F238E27FC236}">
                  <a16:creationId xmlns:a16="http://schemas.microsoft.com/office/drawing/2014/main" id="{00000000-0008-0000-1900-000008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6350</xdr:colOff>
          <xdr:row>51</xdr:row>
          <xdr:rowOff>6350</xdr:rowOff>
        </xdr:from>
        <xdr:to>
          <xdr:col>13</xdr:col>
          <xdr:colOff>577850</xdr:colOff>
          <xdr:row>52</xdr:row>
          <xdr:rowOff>101600</xdr:rowOff>
        </xdr:to>
        <xdr:sp macro="" textlink="">
          <xdr:nvSpPr>
            <xdr:cNvPr id="101385" name="Button 9" hidden="1">
              <a:extLst>
                <a:ext uri="{63B3BB69-23CF-44E3-9099-C40C66FF867C}">
                  <a14:compatExt spid="_x0000_s101385"/>
                </a:ext>
                <a:ext uri="{FF2B5EF4-FFF2-40B4-BE49-F238E27FC236}">
                  <a16:creationId xmlns:a16="http://schemas.microsoft.com/office/drawing/2014/main" id="{00000000-0008-0000-1900-0000098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6</xdr:row>
          <xdr:rowOff>0</xdr:rowOff>
        </xdr:from>
        <xdr:to>
          <xdr:col>0</xdr:col>
          <xdr:colOff>984250</xdr:colOff>
          <xdr:row>9</xdr:row>
          <xdr:rowOff>146050</xdr:rowOff>
        </xdr:to>
        <xdr:sp macro="" textlink="">
          <xdr:nvSpPr>
            <xdr:cNvPr id="101386" name="Button 10" hidden="1">
              <a:extLst>
                <a:ext uri="{63B3BB69-23CF-44E3-9099-C40C66FF867C}">
                  <a14:compatExt spid="_x0000_s101386"/>
                </a:ext>
                <a:ext uri="{FF2B5EF4-FFF2-40B4-BE49-F238E27FC236}">
                  <a16:creationId xmlns:a16="http://schemas.microsoft.com/office/drawing/2014/main" id="{00000000-0008-0000-1900-00000A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enter client / 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47</xdr:row>
          <xdr:rowOff>114300</xdr:rowOff>
        </xdr:from>
        <xdr:to>
          <xdr:col>15</xdr:col>
          <xdr:colOff>101600</xdr:colOff>
          <xdr:row>49</xdr:row>
          <xdr:rowOff>101600</xdr:rowOff>
        </xdr:to>
        <xdr:sp macro="" textlink="">
          <xdr:nvSpPr>
            <xdr:cNvPr id="101387" name="Button 11" hidden="1">
              <a:extLst>
                <a:ext uri="{63B3BB69-23CF-44E3-9099-C40C66FF867C}">
                  <a14:compatExt spid="_x0000_s101387"/>
                </a:ext>
                <a:ext uri="{FF2B5EF4-FFF2-40B4-BE49-F238E27FC236}">
                  <a16:creationId xmlns:a16="http://schemas.microsoft.com/office/drawing/2014/main" id="{00000000-0008-0000-1900-00000B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 Advanced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18</xdr:row>
          <xdr:rowOff>0</xdr:rowOff>
        </xdr:from>
        <xdr:to>
          <xdr:col>15</xdr:col>
          <xdr:colOff>38100</xdr:colOff>
          <xdr:row>21</xdr:row>
          <xdr:rowOff>139700</xdr:rowOff>
        </xdr:to>
        <xdr:sp macro="" textlink="">
          <xdr:nvSpPr>
            <xdr:cNvPr id="101389" name="Button 13" hidden="1">
              <a:extLst>
                <a:ext uri="{63B3BB69-23CF-44E3-9099-C40C66FF867C}">
                  <a14:compatExt spid="_x0000_s101389"/>
                </a:ext>
                <a:ext uri="{FF2B5EF4-FFF2-40B4-BE49-F238E27FC236}">
                  <a16:creationId xmlns:a16="http://schemas.microsoft.com/office/drawing/2014/main" id="{00000000-0008-0000-1900-00000D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Show the TC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127000</xdr:colOff>
          <xdr:row>6</xdr:row>
          <xdr:rowOff>0</xdr:rowOff>
        </xdr:from>
        <xdr:to>
          <xdr:col>13</xdr:col>
          <xdr:colOff>755650</xdr:colOff>
          <xdr:row>8</xdr:row>
          <xdr:rowOff>127000</xdr:rowOff>
        </xdr:to>
        <xdr:sp macro="" textlink="">
          <xdr:nvSpPr>
            <xdr:cNvPr id="101390" name="globalbacktobutton" hidden="1">
              <a:extLst>
                <a:ext uri="{63B3BB69-23CF-44E3-9099-C40C66FF867C}">
                  <a14:compatExt spid="_x0000_s101390"/>
                </a:ext>
                <a:ext uri="{FF2B5EF4-FFF2-40B4-BE49-F238E27FC236}">
                  <a16:creationId xmlns:a16="http://schemas.microsoft.com/office/drawing/2014/main" id="{00000000-0008-0000-1900-00000E8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298450</xdr:colOff>
          <xdr:row>3</xdr:row>
          <xdr:rowOff>0</xdr:rowOff>
        </xdr:from>
        <xdr:to>
          <xdr:col>14</xdr:col>
          <xdr:colOff>196850</xdr:colOff>
          <xdr:row>4</xdr:row>
          <xdr:rowOff>127000</xdr:rowOff>
        </xdr:to>
        <xdr:sp macro="" textlink="">
          <xdr:nvSpPr>
            <xdr:cNvPr id="101391" name="Button 15" hidden="1">
              <a:extLst>
                <a:ext uri="{63B3BB69-23CF-44E3-9099-C40C66FF867C}">
                  <a14:compatExt spid="_x0000_s101391"/>
                </a:ext>
                <a:ext uri="{FF2B5EF4-FFF2-40B4-BE49-F238E27FC236}">
                  <a16:creationId xmlns:a16="http://schemas.microsoft.com/office/drawing/2014/main" id="{00000000-0008-0000-1900-00000F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203200</xdr:colOff>
          <xdr:row>3</xdr:row>
          <xdr:rowOff>0</xdr:rowOff>
        </xdr:from>
        <xdr:to>
          <xdr:col>15</xdr:col>
          <xdr:colOff>266700</xdr:colOff>
          <xdr:row>4</xdr:row>
          <xdr:rowOff>127000</xdr:rowOff>
        </xdr:to>
        <xdr:sp macro="" textlink="">
          <xdr:nvSpPr>
            <xdr:cNvPr id="101392" name="Button 16" hidden="1">
              <a:extLst>
                <a:ext uri="{63B3BB69-23CF-44E3-9099-C40C66FF867C}">
                  <a14:compatExt spid="_x0000_s101392"/>
                </a:ext>
                <a:ext uri="{FF2B5EF4-FFF2-40B4-BE49-F238E27FC236}">
                  <a16:creationId xmlns:a16="http://schemas.microsoft.com/office/drawing/2014/main" id="{00000000-0008-0000-1900-000010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273050</xdr:colOff>
          <xdr:row>3</xdr:row>
          <xdr:rowOff>0</xdr:rowOff>
        </xdr:from>
        <xdr:to>
          <xdr:col>15</xdr:col>
          <xdr:colOff>806450</xdr:colOff>
          <xdr:row>4</xdr:row>
          <xdr:rowOff>127000</xdr:rowOff>
        </xdr:to>
        <xdr:sp macro="" textlink="">
          <xdr:nvSpPr>
            <xdr:cNvPr id="101393" name="Button 17" hidden="1">
              <a:extLst>
                <a:ext uri="{63B3BB69-23CF-44E3-9099-C40C66FF867C}">
                  <a14:compatExt spid="_x0000_s101393"/>
                </a:ext>
                <a:ext uri="{FF2B5EF4-FFF2-40B4-BE49-F238E27FC236}">
                  <a16:creationId xmlns:a16="http://schemas.microsoft.com/office/drawing/2014/main" id="{00000000-0008-0000-1900-0000118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812800</xdr:colOff>
          <xdr:row>3</xdr:row>
          <xdr:rowOff>0</xdr:rowOff>
        </xdr:from>
        <xdr:to>
          <xdr:col>15</xdr:col>
          <xdr:colOff>1339850</xdr:colOff>
          <xdr:row>4</xdr:row>
          <xdr:rowOff>127000</xdr:rowOff>
        </xdr:to>
        <xdr:sp macro="" textlink="">
          <xdr:nvSpPr>
            <xdr:cNvPr id="101394" name="Button 18" hidden="1">
              <a:extLst>
                <a:ext uri="{63B3BB69-23CF-44E3-9099-C40C66FF867C}">
                  <a14:compatExt spid="_x0000_s101394"/>
                </a:ext>
                <a:ext uri="{FF2B5EF4-FFF2-40B4-BE49-F238E27FC236}">
                  <a16:creationId xmlns:a16="http://schemas.microsoft.com/office/drawing/2014/main" id="{00000000-0008-0000-1900-0000128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349250</xdr:colOff>
          <xdr:row>1</xdr:row>
          <xdr:rowOff>25400</xdr:rowOff>
        </xdr:from>
        <xdr:to>
          <xdr:col>15</xdr:col>
          <xdr:colOff>412750</xdr:colOff>
          <xdr:row>2</xdr:row>
          <xdr:rowOff>158750</xdr:rowOff>
        </xdr:to>
        <xdr:sp macro="" textlink="">
          <xdr:nvSpPr>
            <xdr:cNvPr id="101395" name="Button 19" hidden="1">
              <a:extLst>
                <a:ext uri="{63B3BB69-23CF-44E3-9099-C40C66FF867C}">
                  <a14:compatExt spid="_x0000_s101395"/>
                </a:ext>
                <a:ext uri="{FF2B5EF4-FFF2-40B4-BE49-F238E27FC236}">
                  <a16:creationId xmlns:a16="http://schemas.microsoft.com/office/drawing/2014/main" id="{00000000-0008-0000-1900-000013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298450</xdr:colOff>
          <xdr:row>1</xdr:row>
          <xdr:rowOff>25400</xdr:rowOff>
        </xdr:from>
        <xdr:to>
          <xdr:col>14</xdr:col>
          <xdr:colOff>342900</xdr:colOff>
          <xdr:row>2</xdr:row>
          <xdr:rowOff>158750</xdr:rowOff>
        </xdr:to>
        <xdr:sp macro="" textlink="">
          <xdr:nvSpPr>
            <xdr:cNvPr id="101396" name="Button 20" hidden="1">
              <a:extLst>
                <a:ext uri="{63B3BB69-23CF-44E3-9099-C40C66FF867C}">
                  <a14:compatExt spid="_x0000_s101396"/>
                </a:ext>
                <a:ext uri="{FF2B5EF4-FFF2-40B4-BE49-F238E27FC236}">
                  <a16:creationId xmlns:a16="http://schemas.microsoft.com/office/drawing/2014/main" id="{00000000-0008-0000-1900-000014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419100</xdr:colOff>
          <xdr:row>1</xdr:row>
          <xdr:rowOff>25400</xdr:rowOff>
        </xdr:from>
        <xdr:to>
          <xdr:col>15</xdr:col>
          <xdr:colOff>1339850</xdr:colOff>
          <xdr:row>2</xdr:row>
          <xdr:rowOff>158750</xdr:rowOff>
        </xdr:to>
        <xdr:sp macro="" textlink="">
          <xdr:nvSpPr>
            <xdr:cNvPr id="101397" name="Button 21" hidden="1">
              <a:extLst>
                <a:ext uri="{63B3BB69-23CF-44E3-9099-C40C66FF867C}">
                  <a14:compatExt spid="_x0000_s101397"/>
                </a:ext>
                <a:ext uri="{FF2B5EF4-FFF2-40B4-BE49-F238E27FC236}">
                  <a16:creationId xmlns:a16="http://schemas.microsoft.com/office/drawing/2014/main" id="{00000000-0008-0000-1900-000015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158750</xdr:colOff>
          <xdr:row>50</xdr:row>
          <xdr:rowOff>158750</xdr:rowOff>
        </xdr:from>
        <xdr:to>
          <xdr:col>0</xdr:col>
          <xdr:colOff>946150</xdr:colOff>
          <xdr:row>52</xdr:row>
          <xdr:rowOff>25400</xdr:rowOff>
        </xdr:to>
        <xdr:sp macro="" textlink="">
          <xdr:nvSpPr>
            <xdr:cNvPr id="101398" name="Check Box 22" hidden="1">
              <a:extLst>
                <a:ext uri="{63B3BB69-23CF-44E3-9099-C40C66FF867C}">
                  <a14:compatExt spid="_x0000_s101398"/>
                </a:ext>
                <a:ext uri="{FF2B5EF4-FFF2-40B4-BE49-F238E27FC236}">
                  <a16:creationId xmlns:a16="http://schemas.microsoft.com/office/drawing/2014/main" id="{00000000-0008-0000-1900-000016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show liability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158750</xdr:colOff>
          <xdr:row>52</xdr:row>
          <xdr:rowOff>12700</xdr:rowOff>
        </xdr:from>
        <xdr:to>
          <xdr:col>0</xdr:col>
          <xdr:colOff>946150</xdr:colOff>
          <xdr:row>53</xdr:row>
          <xdr:rowOff>44450</xdr:rowOff>
        </xdr:to>
        <xdr:sp macro="" textlink="">
          <xdr:nvSpPr>
            <xdr:cNvPr id="101399" name="Check Box 23" hidden="1">
              <a:extLst>
                <a:ext uri="{63B3BB69-23CF-44E3-9099-C40C66FF867C}">
                  <a14:compatExt spid="_x0000_s101399"/>
                </a:ext>
                <a:ext uri="{FF2B5EF4-FFF2-40B4-BE49-F238E27FC236}">
                  <a16:creationId xmlns:a16="http://schemas.microsoft.com/office/drawing/2014/main" id="{00000000-0008-0000-1900-000017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show liability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158750</xdr:colOff>
          <xdr:row>53</xdr:row>
          <xdr:rowOff>31750</xdr:rowOff>
        </xdr:from>
        <xdr:to>
          <xdr:col>0</xdr:col>
          <xdr:colOff>946150</xdr:colOff>
          <xdr:row>54</xdr:row>
          <xdr:rowOff>63500</xdr:rowOff>
        </xdr:to>
        <xdr:sp macro="" textlink="">
          <xdr:nvSpPr>
            <xdr:cNvPr id="101400" name="Check Box 24" hidden="1">
              <a:extLst>
                <a:ext uri="{63B3BB69-23CF-44E3-9099-C40C66FF867C}">
                  <a14:compatExt spid="_x0000_s101400"/>
                </a:ext>
                <a:ext uri="{FF2B5EF4-FFF2-40B4-BE49-F238E27FC236}">
                  <a16:creationId xmlns:a16="http://schemas.microsoft.com/office/drawing/2014/main" id="{00000000-0008-0000-1900-000018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show liability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292100</xdr:colOff>
          <xdr:row>48</xdr:row>
          <xdr:rowOff>139700</xdr:rowOff>
        </xdr:from>
        <xdr:to>
          <xdr:col>8</xdr:col>
          <xdr:colOff>863600</xdr:colOff>
          <xdr:row>50</xdr:row>
          <xdr:rowOff>38100</xdr:rowOff>
        </xdr:to>
        <xdr:sp macro="" textlink="">
          <xdr:nvSpPr>
            <xdr:cNvPr id="101401" name="Button 25" hidden="1">
              <a:extLst>
                <a:ext uri="{63B3BB69-23CF-44E3-9099-C40C66FF867C}">
                  <a14:compatExt spid="_x0000_s101401"/>
                </a:ext>
                <a:ext uri="{FF2B5EF4-FFF2-40B4-BE49-F238E27FC236}">
                  <a16:creationId xmlns:a16="http://schemas.microsoft.com/office/drawing/2014/main" id="{00000000-0008-0000-1900-000019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32</xdr:row>
          <xdr:rowOff>50800</xdr:rowOff>
        </xdr:from>
        <xdr:to>
          <xdr:col>15</xdr:col>
          <xdr:colOff>38100</xdr:colOff>
          <xdr:row>34</xdr:row>
          <xdr:rowOff>177800</xdr:rowOff>
        </xdr:to>
        <xdr:sp macro="" textlink="">
          <xdr:nvSpPr>
            <xdr:cNvPr id="101402" name="Button 26" hidden="1">
              <a:extLst>
                <a:ext uri="{63B3BB69-23CF-44E3-9099-C40C66FF867C}">
                  <a14:compatExt spid="_x0000_s101402"/>
                </a:ext>
                <a:ext uri="{FF2B5EF4-FFF2-40B4-BE49-F238E27FC236}">
                  <a16:creationId xmlns:a16="http://schemas.microsoft.com/office/drawing/2014/main" id="{00000000-0008-0000-1900-00001A8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Show the Improvement Certs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88900</xdr:colOff>
          <xdr:row>27</xdr:row>
          <xdr:rowOff>152400</xdr:rowOff>
        </xdr:from>
        <xdr:to>
          <xdr:col>13</xdr:col>
          <xdr:colOff>914400</xdr:colOff>
          <xdr:row>31</xdr:row>
          <xdr:rowOff>101600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1A00-000001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top of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165100</xdr:colOff>
          <xdr:row>47</xdr:row>
          <xdr:rowOff>63500</xdr:rowOff>
        </xdr:from>
        <xdr:to>
          <xdr:col>12</xdr:col>
          <xdr:colOff>63500</xdr:colOff>
          <xdr:row>49</xdr:row>
          <xdr:rowOff>76200</xdr:rowOff>
        </xdr:to>
        <xdr:sp macro="" textlink="">
          <xdr:nvSpPr>
            <xdr:cNvPr id="72706" name="Button 2" hidden="1">
              <a:extLst>
                <a:ext uri="{63B3BB69-23CF-44E3-9099-C40C66FF867C}">
                  <a14:compatExt spid="_x0000_s72706"/>
                </a:ext>
                <a:ext uri="{FF2B5EF4-FFF2-40B4-BE49-F238E27FC236}">
                  <a16:creationId xmlns:a16="http://schemas.microsoft.com/office/drawing/2014/main" id="{00000000-0008-0000-1A00-000002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top of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146050</xdr:colOff>
          <xdr:row>9</xdr:row>
          <xdr:rowOff>69850</xdr:rowOff>
        </xdr:from>
        <xdr:to>
          <xdr:col>13</xdr:col>
          <xdr:colOff>965200</xdr:colOff>
          <xdr:row>12</xdr:row>
          <xdr:rowOff>12700</xdr:rowOff>
        </xdr:to>
        <xdr:sp macro="" textlink="">
          <xdr:nvSpPr>
            <xdr:cNvPr id="72712" name="Group Box 8" hidden="1">
              <a:extLst>
                <a:ext uri="{63B3BB69-23CF-44E3-9099-C40C66FF867C}">
                  <a14:compatExt spid="_x0000_s72712"/>
                </a:ext>
                <a:ext uri="{FF2B5EF4-FFF2-40B4-BE49-F238E27FC236}">
                  <a16:creationId xmlns:a16="http://schemas.microsoft.com/office/drawing/2014/main" id="{00000000-0008-0000-1A00-0000081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GB" sz="800" b="0" i="0" u="none" strike="noStrike" baseline="0">
                  <a:solidFill>
                    <a:srgbClr val="000000"/>
                  </a:solidFill>
                  <a:latin typeface="Tahoma"/>
                  <a:ea typeface="Tahoma"/>
                  <a:cs typeface="Tahoma"/>
                </a:rPr>
                <a:t>show/hide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234950</xdr:colOff>
          <xdr:row>9</xdr:row>
          <xdr:rowOff>139700</xdr:rowOff>
        </xdr:from>
        <xdr:to>
          <xdr:col>13</xdr:col>
          <xdr:colOff>774700</xdr:colOff>
          <xdr:row>10</xdr:row>
          <xdr:rowOff>184150</xdr:rowOff>
        </xdr:to>
        <xdr:sp macro="" textlink="">
          <xdr:nvSpPr>
            <xdr:cNvPr id="72713" name="Option Button 9" hidden="1">
              <a:extLst>
                <a:ext uri="{63B3BB69-23CF-44E3-9099-C40C66FF867C}">
                  <a14:compatExt spid="_x0000_s72713"/>
                </a:ext>
                <a:ext uri="{FF2B5EF4-FFF2-40B4-BE49-F238E27FC236}">
                  <a16:creationId xmlns:a16="http://schemas.microsoft.com/office/drawing/2014/main" id="{00000000-0008-0000-1A00-000009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241300</xdr:colOff>
          <xdr:row>10</xdr:row>
          <xdr:rowOff>215900</xdr:rowOff>
        </xdr:from>
        <xdr:to>
          <xdr:col>13</xdr:col>
          <xdr:colOff>723900</xdr:colOff>
          <xdr:row>11</xdr:row>
          <xdr:rowOff>190500</xdr:rowOff>
        </xdr:to>
        <xdr:sp macro="" textlink="">
          <xdr:nvSpPr>
            <xdr:cNvPr id="72714" name="Option Button 10" hidden="1">
              <a:extLst>
                <a:ext uri="{63B3BB69-23CF-44E3-9099-C40C66FF867C}">
                  <a14:compatExt spid="_x0000_s72714"/>
                </a:ext>
                <a:ext uri="{FF2B5EF4-FFF2-40B4-BE49-F238E27FC236}">
                  <a16:creationId xmlns:a16="http://schemas.microsoft.com/office/drawing/2014/main" id="{00000000-0008-0000-1A00-00000A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146050</xdr:colOff>
          <xdr:row>13</xdr:row>
          <xdr:rowOff>127000</xdr:rowOff>
        </xdr:from>
        <xdr:to>
          <xdr:col>13</xdr:col>
          <xdr:colOff>1117600</xdr:colOff>
          <xdr:row>15</xdr:row>
          <xdr:rowOff>25400</xdr:rowOff>
        </xdr:to>
        <xdr:sp macro="" textlink="">
          <xdr:nvSpPr>
            <xdr:cNvPr id="72716" name="Check Box 12" hidden="1">
              <a:extLst>
                <a:ext uri="{63B3BB69-23CF-44E3-9099-C40C66FF867C}">
                  <a14:compatExt spid="_x0000_s72716"/>
                </a:ext>
                <a:ext uri="{FF2B5EF4-FFF2-40B4-BE49-F238E27FC236}">
                  <a16:creationId xmlns:a16="http://schemas.microsoft.com/office/drawing/2014/main" id="{00000000-0008-0000-1A00-00000C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show RV's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6350</xdr:colOff>
          <xdr:row>0</xdr:row>
          <xdr:rowOff>76200</xdr:rowOff>
        </xdr:from>
        <xdr:to>
          <xdr:col>3</xdr:col>
          <xdr:colOff>44450</xdr:colOff>
          <xdr:row>1</xdr:row>
          <xdr:rowOff>38100</xdr:rowOff>
        </xdr:to>
        <xdr:sp macro="" textlink="">
          <xdr:nvSpPr>
            <xdr:cNvPr id="72724" name="Button 20" hidden="1">
              <a:extLst>
                <a:ext uri="{63B3BB69-23CF-44E3-9099-C40C66FF867C}">
                  <a14:compatExt spid="_x0000_s72724"/>
                </a:ext>
                <a:ext uri="{FF2B5EF4-FFF2-40B4-BE49-F238E27FC236}">
                  <a16:creationId xmlns:a16="http://schemas.microsoft.com/office/drawing/2014/main" id="{00000000-0008-0000-1A00-000014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63500</xdr:colOff>
          <xdr:row>0</xdr:row>
          <xdr:rowOff>76200</xdr:rowOff>
        </xdr:from>
        <xdr:to>
          <xdr:col>4</xdr:col>
          <xdr:colOff>584200</xdr:colOff>
          <xdr:row>1</xdr:row>
          <xdr:rowOff>38100</xdr:rowOff>
        </xdr:to>
        <xdr:sp macro="" textlink="">
          <xdr:nvSpPr>
            <xdr:cNvPr id="72725" name="Button 21" hidden="1">
              <a:extLst>
                <a:ext uri="{63B3BB69-23CF-44E3-9099-C40C66FF867C}">
                  <a14:compatExt spid="_x0000_s72725"/>
                </a:ext>
                <a:ext uri="{FF2B5EF4-FFF2-40B4-BE49-F238E27FC236}">
                  <a16:creationId xmlns:a16="http://schemas.microsoft.com/office/drawing/2014/main" id="{00000000-0008-0000-1A00-000015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property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603250</xdr:colOff>
          <xdr:row>0</xdr:row>
          <xdr:rowOff>76200</xdr:rowOff>
        </xdr:from>
        <xdr:to>
          <xdr:col>6</xdr:col>
          <xdr:colOff>603250</xdr:colOff>
          <xdr:row>1</xdr:row>
          <xdr:rowOff>38100</xdr:rowOff>
        </xdr:to>
        <xdr:sp macro="" textlink="">
          <xdr:nvSpPr>
            <xdr:cNvPr id="72726" name="Button 22" hidden="1">
              <a:extLst>
                <a:ext uri="{63B3BB69-23CF-44E3-9099-C40C66FF867C}">
                  <a14:compatExt spid="_x0000_s72726"/>
                </a:ext>
                <a:ext uri="{FF2B5EF4-FFF2-40B4-BE49-F238E27FC236}">
                  <a16:creationId xmlns:a16="http://schemas.microsoft.com/office/drawing/2014/main" id="{00000000-0008-0000-1A00-000016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615950</xdr:colOff>
          <xdr:row>0</xdr:row>
          <xdr:rowOff>76200</xdr:rowOff>
        </xdr:from>
        <xdr:to>
          <xdr:col>8</xdr:col>
          <xdr:colOff>387350</xdr:colOff>
          <xdr:row>1</xdr:row>
          <xdr:rowOff>38100</xdr:rowOff>
        </xdr:to>
        <xdr:sp macro="" textlink="">
          <xdr:nvSpPr>
            <xdr:cNvPr id="72727" name="Button 23" hidden="1">
              <a:extLst>
                <a:ext uri="{63B3BB69-23CF-44E3-9099-C40C66FF867C}">
                  <a14:compatExt spid="_x0000_s72727"/>
                </a:ext>
                <a:ext uri="{FF2B5EF4-FFF2-40B4-BE49-F238E27FC236}">
                  <a16:creationId xmlns:a16="http://schemas.microsoft.com/office/drawing/2014/main" id="{00000000-0008-0000-1A00-000017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standard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406400</xdr:colOff>
          <xdr:row>0</xdr:row>
          <xdr:rowOff>76200</xdr:rowOff>
        </xdr:from>
        <xdr:to>
          <xdr:col>10</xdr:col>
          <xdr:colOff>215900</xdr:colOff>
          <xdr:row>1</xdr:row>
          <xdr:rowOff>38100</xdr:rowOff>
        </xdr:to>
        <xdr:sp macro="" textlink="">
          <xdr:nvSpPr>
            <xdr:cNvPr id="72728" name="Button 24" hidden="1">
              <a:extLst>
                <a:ext uri="{63B3BB69-23CF-44E3-9099-C40C66FF867C}">
                  <a14:compatExt spid="_x0000_s72728"/>
                </a:ext>
                <a:ext uri="{FF2B5EF4-FFF2-40B4-BE49-F238E27FC236}">
                  <a16:creationId xmlns:a16="http://schemas.microsoft.com/office/drawing/2014/main" id="{00000000-0008-0000-1A00-000018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0</xdr:row>
          <xdr:rowOff>76200</xdr:rowOff>
        </xdr:from>
        <xdr:to>
          <xdr:col>10</xdr:col>
          <xdr:colOff>908050</xdr:colOff>
          <xdr:row>1</xdr:row>
          <xdr:rowOff>38100</xdr:rowOff>
        </xdr:to>
        <xdr:sp macro="" textlink="">
          <xdr:nvSpPr>
            <xdr:cNvPr id="72729" name="Button 25" hidden="1">
              <a:extLst>
                <a:ext uri="{63B3BB69-23CF-44E3-9099-C40C66FF867C}">
                  <a14:compatExt spid="_x0000_s72729"/>
                </a:ext>
                <a:ext uri="{FF2B5EF4-FFF2-40B4-BE49-F238E27FC236}">
                  <a16:creationId xmlns:a16="http://schemas.microsoft.com/office/drawing/2014/main" id="{00000000-0008-0000-1A00-000019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165100</xdr:colOff>
          <xdr:row>3</xdr:row>
          <xdr:rowOff>6350</xdr:rowOff>
        </xdr:from>
        <xdr:to>
          <xdr:col>13</xdr:col>
          <xdr:colOff>793750</xdr:colOff>
          <xdr:row>5</xdr:row>
          <xdr:rowOff>139700</xdr:rowOff>
        </xdr:to>
        <xdr:sp macro="" textlink="">
          <xdr:nvSpPr>
            <xdr:cNvPr id="72730" name="globalbacktobutton" hidden="1">
              <a:extLst>
                <a:ext uri="{63B3BB69-23CF-44E3-9099-C40C66FF867C}">
                  <a14:compatExt spid="_x0000_s72730"/>
                </a:ext>
                <a:ext uri="{FF2B5EF4-FFF2-40B4-BE49-F238E27FC236}">
                  <a16:creationId xmlns:a16="http://schemas.microsoft.com/office/drawing/2014/main" id="{00000000-0008-0000-1A00-00001A1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184150</xdr:colOff>
          <xdr:row>1</xdr:row>
          <xdr:rowOff>38100</xdr:rowOff>
        </xdr:from>
        <xdr:to>
          <xdr:col>13</xdr:col>
          <xdr:colOff>869950</xdr:colOff>
          <xdr:row>2</xdr:row>
          <xdr:rowOff>44450</xdr:rowOff>
        </xdr:to>
        <xdr:sp macro="" textlink="">
          <xdr:nvSpPr>
            <xdr:cNvPr id="72731" name="Button 27" hidden="1">
              <a:extLst>
                <a:ext uri="{63B3BB69-23CF-44E3-9099-C40C66FF867C}">
                  <a14:compatExt spid="_x0000_s72731"/>
                </a:ext>
                <a:ext uri="{FF2B5EF4-FFF2-40B4-BE49-F238E27FC236}">
                  <a16:creationId xmlns:a16="http://schemas.microsoft.com/office/drawing/2014/main" id="{00000000-0008-0000-1A00-00001B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882650</xdr:colOff>
          <xdr:row>1</xdr:row>
          <xdr:rowOff>38100</xdr:rowOff>
        </xdr:from>
        <xdr:to>
          <xdr:col>21</xdr:col>
          <xdr:colOff>304800</xdr:colOff>
          <xdr:row>2</xdr:row>
          <xdr:rowOff>44450</xdr:rowOff>
        </xdr:to>
        <xdr:sp macro="" textlink="">
          <xdr:nvSpPr>
            <xdr:cNvPr id="72732" name="Button 28" hidden="1">
              <a:extLst>
                <a:ext uri="{63B3BB69-23CF-44E3-9099-C40C66FF867C}">
                  <a14:compatExt spid="_x0000_s72732"/>
                </a:ext>
                <a:ext uri="{FF2B5EF4-FFF2-40B4-BE49-F238E27FC236}">
                  <a16:creationId xmlns:a16="http://schemas.microsoft.com/office/drawing/2014/main" id="{00000000-0008-0000-1A00-00001C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311150</xdr:colOff>
          <xdr:row>1</xdr:row>
          <xdr:rowOff>38100</xdr:rowOff>
        </xdr:from>
        <xdr:to>
          <xdr:col>21</xdr:col>
          <xdr:colOff>844550</xdr:colOff>
          <xdr:row>2</xdr:row>
          <xdr:rowOff>44450</xdr:rowOff>
        </xdr:to>
        <xdr:sp macro="" textlink="">
          <xdr:nvSpPr>
            <xdr:cNvPr id="72733" name="Button 29" hidden="1">
              <a:extLst>
                <a:ext uri="{63B3BB69-23CF-44E3-9099-C40C66FF867C}">
                  <a14:compatExt spid="_x0000_s72733"/>
                </a:ext>
                <a:ext uri="{FF2B5EF4-FFF2-40B4-BE49-F238E27FC236}">
                  <a16:creationId xmlns:a16="http://schemas.microsoft.com/office/drawing/2014/main" id="{00000000-0008-0000-1A00-00001D1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850900</xdr:colOff>
          <xdr:row>1</xdr:row>
          <xdr:rowOff>38100</xdr:rowOff>
        </xdr:from>
        <xdr:to>
          <xdr:col>21</xdr:col>
          <xdr:colOff>1377950</xdr:colOff>
          <xdr:row>2</xdr:row>
          <xdr:rowOff>44450</xdr:rowOff>
        </xdr:to>
        <xdr:sp macro="" textlink="">
          <xdr:nvSpPr>
            <xdr:cNvPr id="72734" name="Button 30" hidden="1">
              <a:extLst>
                <a:ext uri="{63B3BB69-23CF-44E3-9099-C40C66FF867C}">
                  <a14:compatExt spid="_x0000_s72734"/>
                </a:ext>
                <a:ext uri="{FF2B5EF4-FFF2-40B4-BE49-F238E27FC236}">
                  <a16:creationId xmlns:a16="http://schemas.microsoft.com/office/drawing/2014/main" id="{00000000-0008-0000-1A00-00001E1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1028700</xdr:colOff>
          <xdr:row>0</xdr:row>
          <xdr:rowOff>127000</xdr:rowOff>
        </xdr:from>
        <xdr:to>
          <xdr:col>21</xdr:col>
          <xdr:colOff>450850</xdr:colOff>
          <xdr:row>1</xdr:row>
          <xdr:rowOff>31750</xdr:rowOff>
        </xdr:to>
        <xdr:sp macro="" textlink="">
          <xdr:nvSpPr>
            <xdr:cNvPr id="72735" name="Button 31" hidden="1">
              <a:extLst>
                <a:ext uri="{63B3BB69-23CF-44E3-9099-C40C66FF867C}">
                  <a14:compatExt spid="_x0000_s72735"/>
                </a:ext>
                <a:ext uri="{FF2B5EF4-FFF2-40B4-BE49-F238E27FC236}">
                  <a16:creationId xmlns:a16="http://schemas.microsoft.com/office/drawing/2014/main" id="{00000000-0008-0000-1A00-00001F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184150</xdr:colOff>
          <xdr:row>0</xdr:row>
          <xdr:rowOff>127000</xdr:rowOff>
        </xdr:from>
        <xdr:to>
          <xdr:col>13</xdr:col>
          <xdr:colOff>1022350</xdr:colOff>
          <xdr:row>1</xdr:row>
          <xdr:rowOff>31750</xdr:rowOff>
        </xdr:to>
        <xdr:sp macro="" textlink="">
          <xdr:nvSpPr>
            <xdr:cNvPr id="72736" name="Button 32" hidden="1">
              <a:extLst>
                <a:ext uri="{63B3BB69-23CF-44E3-9099-C40C66FF867C}">
                  <a14:compatExt spid="_x0000_s72736"/>
                </a:ext>
                <a:ext uri="{FF2B5EF4-FFF2-40B4-BE49-F238E27FC236}">
                  <a16:creationId xmlns:a16="http://schemas.microsoft.com/office/drawing/2014/main" id="{00000000-0008-0000-1A00-000020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457200</xdr:colOff>
          <xdr:row>0</xdr:row>
          <xdr:rowOff>127000</xdr:rowOff>
        </xdr:from>
        <xdr:to>
          <xdr:col>21</xdr:col>
          <xdr:colOff>1377950</xdr:colOff>
          <xdr:row>1</xdr:row>
          <xdr:rowOff>31750</xdr:rowOff>
        </xdr:to>
        <xdr:sp macro="" textlink="">
          <xdr:nvSpPr>
            <xdr:cNvPr id="72737" name="Button 33" hidden="1">
              <a:extLst>
                <a:ext uri="{63B3BB69-23CF-44E3-9099-C40C66FF867C}">
                  <a14:compatExt spid="_x0000_s72737"/>
                </a:ext>
                <a:ext uri="{FF2B5EF4-FFF2-40B4-BE49-F238E27FC236}">
                  <a16:creationId xmlns:a16="http://schemas.microsoft.com/office/drawing/2014/main" id="{00000000-0008-0000-1A00-000021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393700</xdr:colOff>
          <xdr:row>0</xdr:row>
          <xdr:rowOff>120650</xdr:rowOff>
        </xdr:from>
        <xdr:to>
          <xdr:col>11</xdr:col>
          <xdr:colOff>203200</xdr:colOff>
          <xdr:row>2</xdr:row>
          <xdr:rowOff>63500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1B00-000001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goto 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203200</xdr:colOff>
          <xdr:row>0</xdr:row>
          <xdr:rowOff>120650</xdr:rowOff>
        </xdr:from>
        <xdr:to>
          <xdr:col>13</xdr:col>
          <xdr:colOff>273050</xdr:colOff>
          <xdr:row>2</xdr:row>
          <xdr:rowOff>63500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1B00-0000022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0</xdr:row>
          <xdr:rowOff>63500</xdr:rowOff>
        </xdr:from>
        <xdr:to>
          <xdr:col>0</xdr:col>
          <xdr:colOff>692150</xdr:colOff>
          <xdr:row>2</xdr:row>
          <xdr:rowOff>139700</xdr:rowOff>
        </xdr:to>
        <xdr:sp macro="" textlink="">
          <xdr:nvSpPr>
            <xdr:cNvPr id="74755" name="Button 3" hidden="1">
              <a:extLst>
                <a:ext uri="{63B3BB69-23CF-44E3-9099-C40C66FF867C}">
                  <a14:compatExt spid="_x0000_s74755"/>
                </a:ext>
                <a:ext uri="{FF2B5EF4-FFF2-40B4-BE49-F238E27FC236}">
                  <a16:creationId xmlns:a16="http://schemas.microsoft.com/office/drawing/2014/main" id="{00000000-0008-0000-1B00-000003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139700</xdr:colOff>
          <xdr:row>13</xdr:row>
          <xdr:rowOff>107950</xdr:rowOff>
        </xdr:from>
        <xdr:to>
          <xdr:col>0</xdr:col>
          <xdr:colOff>768350</xdr:colOff>
          <xdr:row>17</xdr:row>
          <xdr:rowOff>25400</xdr:rowOff>
        </xdr:to>
        <xdr:sp macro="" textlink="">
          <xdr:nvSpPr>
            <xdr:cNvPr id="74756" name="showmorebut1" hidden="1">
              <a:extLst>
                <a:ext uri="{63B3BB69-23CF-44E3-9099-C40C66FF867C}">
                  <a14:compatExt spid="_x0000_s74756"/>
                </a:ext>
                <a:ext uri="{FF2B5EF4-FFF2-40B4-BE49-F238E27FC236}">
                  <a16:creationId xmlns:a16="http://schemas.microsoft.com/office/drawing/2014/main" id="{00000000-0008-0000-1B00-000004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show more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139700</xdr:colOff>
          <xdr:row>27</xdr:row>
          <xdr:rowOff>76200</xdr:rowOff>
        </xdr:from>
        <xdr:to>
          <xdr:col>0</xdr:col>
          <xdr:colOff>768350</xdr:colOff>
          <xdr:row>30</xdr:row>
          <xdr:rowOff>158750</xdr:rowOff>
        </xdr:to>
        <xdr:sp macro="" textlink="">
          <xdr:nvSpPr>
            <xdr:cNvPr id="74757" name="showmorebut2" hidden="1">
              <a:extLst>
                <a:ext uri="{63B3BB69-23CF-44E3-9099-C40C66FF867C}">
                  <a14:compatExt spid="_x0000_s74757"/>
                </a:ext>
                <a:ext uri="{FF2B5EF4-FFF2-40B4-BE49-F238E27FC236}">
                  <a16:creationId xmlns:a16="http://schemas.microsoft.com/office/drawing/2014/main" id="{00000000-0008-0000-1B00-000005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show more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41</xdr:row>
          <xdr:rowOff>25400</xdr:rowOff>
        </xdr:from>
        <xdr:to>
          <xdr:col>0</xdr:col>
          <xdr:colOff>774700</xdr:colOff>
          <xdr:row>44</xdr:row>
          <xdr:rowOff>101600</xdr:rowOff>
        </xdr:to>
        <xdr:sp macro="" textlink="">
          <xdr:nvSpPr>
            <xdr:cNvPr id="74758" name="showmorebut3" hidden="1">
              <a:extLst>
                <a:ext uri="{63B3BB69-23CF-44E3-9099-C40C66FF867C}">
                  <a14:compatExt spid="_x0000_s74758"/>
                </a:ext>
                <a:ext uri="{FF2B5EF4-FFF2-40B4-BE49-F238E27FC236}">
                  <a16:creationId xmlns:a16="http://schemas.microsoft.com/office/drawing/2014/main" id="{00000000-0008-0000-1B00-000006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show more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127000</xdr:colOff>
          <xdr:row>2</xdr:row>
          <xdr:rowOff>190500</xdr:rowOff>
        </xdr:from>
        <xdr:to>
          <xdr:col>23</xdr:col>
          <xdr:colOff>812800</xdr:colOff>
          <xdr:row>4</xdr:row>
          <xdr:rowOff>88900</xdr:rowOff>
        </xdr:to>
        <xdr:sp macro="" textlink="">
          <xdr:nvSpPr>
            <xdr:cNvPr id="74766" name="Button 14" hidden="1">
              <a:extLst>
                <a:ext uri="{63B3BB69-23CF-44E3-9099-C40C66FF867C}">
                  <a14:compatExt spid="_x0000_s74766"/>
                </a:ext>
                <a:ext uri="{FF2B5EF4-FFF2-40B4-BE49-F238E27FC236}">
                  <a16:creationId xmlns:a16="http://schemas.microsoft.com/office/drawing/2014/main" id="{00000000-0008-0000-1B00-00000E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825500</xdr:colOff>
          <xdr:row>2</xdr:row>
          <xdr:rowOff>190500</xdr:rowOff>
        </xdr:from>
        <xdr:to>
          <xdr:col>23</xdr:col>
          <xdr:colOff>1511300</xdr:colOff>
          <xdr:row>4</xdr:row>
          <xdr:rowOff>88900</xdr:rowOff>
        </xdr:to>
        <xdr:sp macro="" textlink="">
          <xdr:nvSpPr>
            <xdr:cNvPr id="74767" name="Button 15" hidden="1">
              <a:extLst>
                <a:ext uri="{63B3BB69-23CF-44E3-9099-C40C66FF867C}">
                  <a14:compatExt spid="_x0000_s74767"/>
                </a:ext>
                <a:ext uri="{FF2B5EF4-FFF2-40B4-BE49-F238E27FC236}">
                  <a16:creationId xmlns:a16="http://schemas.microsoft.com/office/drawing/2014/main" id="{00000000-0008-0000-1B00-00000F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1517650</xdr:colOff>
          <xdr:row>2</xdr:row>
          <xdr:rowOff>190500</xdr:rowOff>
        </xdr:from>
        <xdr:to>
          <xdr:col>23</xdr:col>
          <xdr:colOff>2051050</xdr:colOff>
          <xdr:row>4</xdr:row>
          <xdr:rowOff>88900</xdr:rowOff>
        </xdr:to>
        <xdr:sp macro="" textlink="">
          <xdr:nvSpPr>
            <xdr:cNvPr id="74768" name="Button 16" hidden="1">
              <a:extLst>
                <a:ext uri="{63B3BB69-23CF-44E3-9099-C40C66FF867C}">
                  <a14:compatExt spid="_x0000_s74768"/>
                </a:ext>
                <a:ext uri="{FF2B5EF4-FFF2-40B4-BE49-F238E27FC236}">
                  <a16:creationId xmlns:a16="http://schemas.microsoft.com/office/drawing/2014/main" id="{00000000-0008-0000-1B00-0000102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2057400</xdr:colOff>
          <xdr:row>2</xdr:row>
          <xdr:rowOff>190500</xdr:rowOff>
        </xdr:from>
        <xdr:to>
          <xdr:col>24</xdr:col>
          <xdr:colOff>196850</xdr:colOff>
          <xdr:row>4</xdr:row>
          <xdr:rowOff>88900</xdr:rowOff>
        </xdr:to>
        <xdr:sp macro="" textlink="">
          <xdr:nvSpPr>
            <xdr:cNvPr id="74769" name="Button 17" hidden="1">
              <a:extLst>
                <a:ext uri="{63B3BB69-23CF-44E3-9099-C40C66FF867C}">
                  <a14:compatExt spid="_x0000_s74769"/>
                </a:ext>
                <a:ext uri="{FF2B5EF4-FFF2-40B4-BE49-F238E27FC236}">
                  <a16:creationId xmlns:a16="http://schemas.microsoft.com/office/drawing/2014/main" id="{00000000-0008-0000-1B00-0000112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965200</xdr:colOff>
          <xdr:row>1</xdr:row>
          <xdr:rowOff>82550</xdr:rowOff>
        </xdr:from>
        <xdr:to>
          <xdr:col>23</xdr:col>
          <xdr:colOff>1651000</xdr:colOff>
          <xdr:row>2</xdr:row>
          <xdr:rowOff>184150</xdr:rowOff>
        </xdr:to>
        <xdr:sp macro="" textlink="">
          <xdr:nvSpPr>
            <xdr:cNvPr id="74770" name="Button 18" hidden="1">
              <a:extLst>
                <a:ext uri="{63B3BB69-23CF-44E3-9099-C40C66FF867C}">
                  <a14:compatExt spid="_x0000_s74770"/>
                </a:ext>
                <a:ext uri="{FF2B5EF4-FFF2-40B4-BE49-F238E27FC236}">
                  <a16:creationId xmlns:a16="http://schemas.microsoft.com/office/drawing/2014/main" id="{00000000-0008-0000-1B00-000012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127000</xdr:colOff>
          <xdr:row>1</xdr:row>
          <xdr:rowOff>82550</xdr:rowOff>
        </xdr:from>
        <xdr:to>
          <xdr:col>23</xdr:col>
          <xdr:colOff>958850</xdr:colOff>
          <xdr:row>2</xdr:row>
          <xdr:rowOff>184150</xdr:rowOff>
        </xdr:to>
        <xdr:sp macro="" textlink="">
          <xdr:nvSpPr>
            <xdr:cNvPr id="74771" name="Button 19" hidden="1">
              <a:extLst>
                <a:ext uri="{63B3BB69-23CF-44E3-9099-C40C66FF867C}">
                  <a14:compatExt spid="_x0000_s74771"/>
                </a:ext>
                <a:ext uri="{FF2B5EF4-FFF2-40B4-BE49-F238E27FC236}">
                  <a16:creationId xmlns:a16="http://schemas.microsoft.com/office/drawing/2014/main" id="{00000000-0008-0000-1B00-000013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1670050</xdr:colOff>
          <xdr:row>1</xdr:row>
          <xdr:rowOff>82550</xdr:rowOff>
        </xdr:from>
        <xdr:to>
          <xdr:col>24</xdr:col>
          <xdr:colOff>196850</xdr:colOff>
          <xdr:row>2</xdr:row>
          <xdr:rowOff>184150</xdr:rowOff>
        </xdr:to>
        <xdr:sp macro="" textlink="">
          <xdr:nvSpPr>
            <xdr:cNvPr id="74772" name="Button 20" hidden="1">
              <a:extLst>
                <a:ext uri="{63B3BB69-23CF-44E3-9099-C40C66FF867C}">
                  <a14:compatExt spid="_x0000_s74772"/>
                </a:ext>
                <a:ext uri="{FF2B5EF4-FFF2-40B4-BE49-F238E27FC236}">
                  <a16:creationId xmlns:a16="http://schemas.microsoft.com/office/drawing/2014/main" id="{00000000-0008-0000-1B00-000014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177800</xdr:colOff>
          <xdr:row>6</xdr:row>
          <xdr:rowOff>152400</xdr:rowOff>
        </xdr:from>
        <xdr:to>
          <xdr:col>23</xdr:col>
          <xdr:colOff>800100</xdr:colOff>
          <xdr:row>9</xdr:row>
          <xdr:rowOff>107950</xdr:rowOff>
        </xdr:to>
        <xdr:sp macro="" textlink="">
          <xdr:nvSpPr>
            <xdr:cNvPr id="74773" name="globalbacktobutton" hidden="1">
              <a:extLst>
                <a:ext uri="{63B3BB69-23CF-44E3-9099-C40C66FF867C}">
                  <a14:compatExt spid="_x0000_s74773"/>
                </a:ext>
                <a:ext uri="{FF2B5EF4-FFF2-40B4-BE49-F238E27FC236}">
                  <a16:creationId xmlns:a16="http://schemas.microsoft.com/office/drawing/2014/main" id="{00000000-0008-0000-1B00-0000152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5</xdr:row>
          <xdr:rowOff>6350</xdr:rowOff>
        </xdr:from>
        <xdr:to>
          <xdr:col>2</xdr:col>
          <xdr:colOff>749300</xdr:colOff>
          <xdr:row>6</xdr:row>
          <xdr:rowOff>146050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2C00-000001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44450</xdr:colOff>
          <xdr:row>1</xdr:row>
          <xdr:rowOff>6350</xdr:rowOff>
        </xdr:from>
        <xdr:to>
          <xdr:col>16</xdr:col>
          <xdr:colOff>1130300</xdr:colOff>
          <xdr:row>4</xdr:row>
          <xdr:rowOff>127000</xdr:rowOff>
        </xdr:to>
        <xdr:sp macro="" textlink="">
          <xdr:nvSpPr>
            <xdr:cNvPr id="93186" name="Button 2" hidden="1">
              <a:extLst>
                <a:ext uri="{63B3BB69-23CF-44E3-9099-C40C66FF867C}">
                  <a14:compatExt spid="_x0000_s93186"/>
                </a:ext>
                <a:ext uri="{FF2B5EF4-FFF2-40B4-BE49-F238E27FC236}">
                  <a16:creationId xmlns:a16="http://schemas.microsoft.com/office/drawing/2014/main" id="{00000000-0008-0000-2C00-0000026C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63500</xdr:colOff>
          <xdr:row>7</xdr:row>
          <xdr:rowOff>679450</xdr:rowOff>
        </xdr:from>
        <xdr:to>
          <xdr:col>17</xdr:col>
          <xdr:colOff>577850</xdr:colOff>
          <xdr:row>10</xdr:row>
          <xdr:rowOff>139700</xdr:rowOff>
        </xdr:to>
        <xdr:sp macro="" textlink="">
          <xdr:nvSpPr>
            <xdr:cNvPr id="93187" name="Button 3" hidden="1">
              <a:extLst>
                <a:ext uri="{63B3BB69-23CF-44E3-9099-C40C66FF867C}">
                  <a14:compatExt spid="_x0000_s93187"/>
                </a:ext>
                <a:ext uri="{FF2B5EF4-FFF2-40B4-BE49-F238E27FC236}">
                  <a16:creationId xmlns:a16="http://schemas.microsoft.com/office/drawing/2014/main" id="{00000000-0008-0000-2C00-000003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622300</xdr:colOff>
          <xdr:row>4</xdr:row>
          <xdr:rowOff>25400</xdr:rowOff>
        </xdr:to>
        <xdr:sp macro="" textlink="">
          <xdr:nvSpPr>
            <xdr:cNvPr id="93195" name="Button 11" hidden="1">
              <a:extLst>
                <a:ext uri="{63B3BB69-23CF-44E3-9099-C40C66FF867C}">
                  <a14:compatExt spid="_x0000_s93195"/>
                </a:ext>
                <a:ext uri="{FF2B5EF4-FFF2-40B4-BE49-F238E27FC236}">
                  <a16:creationId xmlns:a16="http://schemas.microsoft.com/office/drawing/2014/main" id="{00000000-0008-0000-2C00-00000B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577850</xdr:colOff>
          <xdr:row>14</xdr:row>
          <xdr:rowOff>63500</xdr:rowOff>
        </xdr:to>
        <xdr:sp macro="" textlink="">
          <xdr:nvSpPr>
            <xdr:cNvPr id="93196" name="Button 12" hidden="1">
              <a:extLst>
                <a:ext uri="{63B3BB69-23CF-44E3-9099-C40C66FF867C}">
                  <a14:compatExt spid="_x0000_s93196"/>
                </a:ext>
                <a:ext uri="{FF2B5EF4-FFF2-40B4-BE49-F238E27FC236}">
                  <a16:creationId xmlns:a16="http://schemas.microsoft.com/office/drawing/2014/main" id="{00000000-0008-0000-2C00-00000C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11</xdr:row>
          <xdr:rowOff>0</xdr:rowOff>
        </xdr:from>
        <xdr:to>
          <xdr:col>16</xdr:col>
          <xdr:colOff>965200</xdr:colOff>
          <xdr:row>14</xdr:row>
          <xdr:rowOff>63500</xdr:rowOff>
        </xdr:to>
        <xdr:sp macro="" textlink="">
          <xdr:nvSpPr>
            <xdr:cNvPr id="93197" name="Button 13" hidden="1">
              <a:extLst>
                <a:ext uri="{63B3BB69-23CF-44E3-9099-C40C66FF867C}">
                  <a14:compatExt spid="_x0000_s93197"/>
                </a:ext>
                <a:ext uri="{FF2B5EF4-FFF2-40B4-BE49-F238E27FC236}">
                  <a16:creationId xmlns:a16="http://schemas.microsoft.com/office/drawing/2014/main" id="{00000000-0008-0000-2C00-00000D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7</xdr:row>
          <xdr:rowOff>146050</xdr:rowOff>
        </xdr:from>
        <xdr:to>
          <xdr:col>16</xdr:col>
          <xdr:colOff>755650</xdr:colOff>
          <xdr:row>7</xdr:row>
          <xdr:rowOff>533400</xdr:rowOff>
        </xdr:to>
        <xdr:sp macro="" textlink="">
          <xdr:nvSpPr>
            <xdr:cNvPr id="93198" name="Button 14" hidden="1">
              <a:extLst>
                <a:ext uri="{63B3BB69-23CF-44E3-9099-C40C66FF867C}">
                  <a14:compatExt spid="_x0000_s93198"/>
                </a:ext>
                <a:ext uri="{FF2B5EF4-FFF2-40B4-BE49-F238E27FC236}">
                  <a16:creationId xmlns:a16="http://schemas.microsoft.com/office/drawing/2014/main" id="{00000000-0008-0000-2C00-00000E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146050</xdr:rowOff>
        </xdr:from>
        <xdr:to>
          <xdr:col>17</xdr:col>
          <xdr:colOff>279400</xdr:colOff>
          <xdr:row>7</xdr:row>
          <xdr:rowOff>533400</xdr:rowOff>
        </xdr:to>
        <xdr:sp macro="" textlink="">
          <xdr:nvSpPr>
            <xdr:cNvPr id="93199" name="Button 15" hidden="1">
              <a:extLst>
                <a:ext uri="{63B3BB69-23CF-44E3-9099-C40C66FF867C}">
                  <a14:compatExt spid="_x0000_s93199"/>
                </a:ext>
                <a:ext uri="{FF2B5EF4-FFF2-40B4-BE49-F238E27FC236}">
                  <a16:creationId xmlns:a16="http://schemas.microsoft.com/office/drawing/2014/main" id="{00000000-0008-0000-2C00-00000F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298450</xdr:colOff>
          <xdr:row>7</xdr:row>
          <xdr:rowOff>146050</xdr:rowOff>
        </xdr:from>
        <xdr:to>
          <xdr:col>17</xdr:col>
          <xdr:colOff>831850</xdr:colOff>
          <xdr:row>7</xdr:row>
          <xdr:rowOff>533400</xdr:rowOff>
        </xdr:to>
        <xdr:sp macro="" textlink="">
          <xdr:nvSpPr>
            <xdr:cNvPr id="93200" name="Button 16" hidden="1">
              <a:extLst>
                <a:ext uri="{63B3BB69-23CF-44E3-9099-C40C66FF867C}">
                  <a14:compatExt spid="_x0000_s93200"/>
                </a:ext>
                <a:ext uri="{FF2B5EF4-FFF2-40B4-BE49-F238E27FC236}">
                  <a16:creationId xmlns:a16="http://schemas.microsoft.com/office/drawing/2014/main" id="{00000000-0008-0000-2C00-0000106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146050</xdr:rowOff>
        </xdr:from>
        <xdr:to>
          <xdr:col>18</xdr:col>
          <xdr:colOff>482600</xdr:colOff>
          <xdr:row>7</xdr:row>
          <xdr:rowOff>533400</xdr:rowOff>
        </xdr:to>
        <xdr:sp macro="" textlink="">
          <xdr:nvSpPr>
            <xdr:cNvPr id="93201" name="Button 17" hidden="1">
              <a:extLst>
                <a:ext uri="{63B3BB69-23CF-44E3-9099-C40C66FF867C}">
                  <a14:compatExt spid="_x0000_s93201"/>
                </a:ext>
                <a:ext uri="{FF2B5EF4-FFF2-40B4-BE49-F238E27FC236}">
                  <a16:creationId xmlns:a16="http://schemas.microsoft.com/office/drawing/2014/main" id="{00000000-0008-0000-2C00-0000116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431800</xdr:colOff>
          <xdr:row>7</xdr:row>
          <xdr:rowOff>127000</xdr:rowOff>
        </xdr:to>
        <xdr:sp macro="" textlink="">
          <xdr:nvSpPr>
            <xdr:cNvPr id="93202" name="Button 18" hidden="1">
              <a:extLst>
                <a:ext uri="{63B3BB69-23CF-44E3-9099-C40C66FF867C}">
                  <a14:compatExt spid="_x0000_s93202"/>
                </a:ext>
                <a:ext uri="{FF2B5EF4-FFF2-40B4-BE49-F238E27FC236}">
                  <a16:creationId xmlns:a16="http://schemas.microsoft.com/office/drawing/2014/main" id="{00000000-0008-0000-2C00-000012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6</xdr:row>
          <xdr:rowOff>0</xdr:rowOff>
        </xdr:from>
        <xdr:to>
          <xdr:col>16</xdr:col>
          <xdr:colOff>901700</xdr:colOff>
          <xdr:row>7</xdr:row>
          <xdr:rowOff>127000</xdr:rowOff>
        </xdr:to>
        <xdr:sp macro="" textlink="">
          <xdr:nvSpPr>
            <xdr:cNvPr id="93203" name="Button 19" hidden="1">
              <a:extLst>
                <a:ext uri="{63B3BB69-23CF-44E3-9099-C40C66FF867C}">
                  <a14:compatExt spid="_x0000_s93203"/>
                </a:ext>
                <a:ext uri="{FF2B5EF4-FFF2-40B4-BE49-F238E27FC236}">
                  <a16:creationId xmlns:a16="http://schemas.microsoft.com/office/drawing/2014/main" id="{00000000-0008-0000-2C00-000013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444500</xdr:colOff>
          <xdr:row>6</xdr:row>
          <xdr:rowOff>0</xdr:rowOff>
        </xdr:from>
        <xdr:to>
          <xdr:col>18</xdr:col>
          <xdr:colOff>482600</xdr:colOff>
          <xdr:row>7</xdr:row>
          <xdr:rowOff>127000</xdr:rowOff>
        </xdr:to>
        <xdr:sp macro="" textlink="">
          <xdr:nvSpPr>
            <xdr:cNvPr id="93204" name="Button 20" hidden="1">
              <a:extLst>
                <a:ext uri="{63B3BB69-23CF-44E3-9099-C40C66FF867C}">
                  <a14:compatExt spid="_x0000_s93204"/>
                </a:ext>
                <a:ext uri="{FF2B5EF4-FFF2-40B4-BE49-F238E27FC236}">
                  <a16:creationId xmlns:a16="http://schemas.microsoft.com/office/drawing/2014/main" id="{00000000-0008-0000-2C00-000014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15</xdr:row>
          <xdr:rowOff>63500</xdr:rowOff>
        </xdr:from>
        <xdr:to>
          <xdr:col>17</xdr:col>
          <xdr:colOff>584200</xdr:colOff>
          <xdr:row>18</xdr:row>
          <xdr:rowOff>120650</xdr:rowOff>
        </xdr:to>
        <xdr:sp macro="" textlink="">
          <xdr:nvSpPr>
            <xdr:cNvPr id="93205" name="Button 21" hidden="1">
              <a:extLst>
                <a:ext uri="{63B3BB69-23CF-44E3-9099-C40C66FF867C}">
                  <a14:compatExt spid="_x0000_s93205"/>
                </a:ext>
                <a:ext uri="{FF2B5EF4-FFF2-40B4-BE49-F238E27FC236}">
                  <a16:creationId xmlns:a16="http://schemas.microsoft.com/office/drawing/2014/main" id="{00000000-0008-0000-2C00-0000156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5</xdr:row>
          <xdr:rowOff>6350</xdr:rowOff>
        </xdr:from>
        <xdr:to>
          <xdr:col>2</xdr:col>
          <xdr:colOff>749300</xdr:colOff>
          <xdr:row>6</xdr:row>
          <xdr:rowOff>146050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2D00-000001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44450</xdr:colOff>
          <xdr:row>1</xdr:row>
          <xdr:rowOff>6350</xdr:rowOff>
        </xdr:from>
        <xdr:to>
          <xdr:col>16</xdr:col>
          <xdr:colOff>1130300</xdr:colOff>
          <xdr:row>4</xdr:row>
          <xdr:rowOff>127000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2D00-0000027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63500</xdr:colOff>
          <xdr:row>7</xdr:row>
          <xdr:rowOff>679450</xdr:rowOff>
        </xdr:from>
        <xdr:to>
          <xdr:col>17</xdr:col>
          <xdr:colOff>577850</xdr:colOff>
          <xdr:row>10</xdr:row>
          <xdr:rowOff>139700</xdr:rowOff>
        </xdr:to>
        <xdr:sp macro="" textlink="">
          <xdr:nvSpPr>
            <xdr:cNvPr id="96259" name="Button 3" hidden="1">
              <a:extLst>
                <a:ext uri="{63B3BB69-23CF-44E3-9099-C40C66FF867C}">
                  <a14:compatExt spid="_x0000_s96259"/>
                </a:ext>
                <a:ext uri="{FF2B5EF4-FFF2-40B4-BE49-F238E27FC236}">
                  <a16:creationId xmlns:a16="http://schemas.microsoft.com/office/drawing/2014/main" id="{00000000-0008-0000-2D00-000003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622300</xdr:colOff>
          <xdr:row>4</xdr:row>
          <xdr:rowOff>25400</xdr:rowOff>
        </xdr:to>
        <xdr:sp macro="" textlink="">
          <xdr:nvSpPr>
            <xdr:cNvPr id="96260" name="Button 4" hidden="1">
              <a:extLst>
                <a:ext uri="{63B3BB69-23CF-44E3-9099-C40C66FF867C}">
                  <a14:compatExt spid="_x0000_s96260"/>
                </a:ext>
                <a:ext uri="{FF2B5EF4-FFF2-40B4-BE49-F238E27FC236}">
                  <a16:creationId xmlns:a16="http://schemas.microsoft.com/office/drawing/2014/main" id="{00000000-0008-0000-2D00-000004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577850</xdr:colOff>
          <xdr:row>14</xdr:row>
          <xdr:rowOff>63500</xdr:rowOff>
        </xdr:to>
        <xdr:sp macro="" textlink="">
          <xdr:nvSpPr>
            <xdr:cNvPr id="96261" name="Button 5" hidden="1">
              <a:extLst>
                <a:ext uri="{63B3BB69-23CF-44E3-9099-C40C66FF867C}">
                  <a14:compatExt spid="_x0000_s96261"/>
                </a:ext>
                <a:ext uri="{FF2B5EF4-FFF2-40B4-BE49-F238E27FC236}">
                  <a16:creationId xmlns:a16="http://schemas.microsoft.com/office/drawing/2014/main" id="{00000000-0008-0000-2D00-000005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11</xdr:row>
          <xdr:rowOff>0</xdr:rowOff>
        </xdr:from>
        <xdr:to>
          <xdr:col>16</xdr:col>
          <xdr:colOff>965200</xdr:colOff>
          <xdr:row>14</xdr:row>
          <xdr:rowOff>63500</xdr:rowOff>
        </xdr:to>
        <xdr:sp macro="" textlink="">
          <xdr:nvSpPr>
            <xdr:cNvPr id="96262" name="Button 6" hidden="1">
              <a:extLst>
                <a:ext uri="{63B3BB69-23CF-44E3-9099-C40C66FF867C}">
                  <a14:compatExt spid="_x0000_s96262"/>
                </a:ext>
                <a:ext uri="{FF2B5EF4-FFF2-40B4-BE49-F238E27FC236}">
                  <a16:creationId xmlns:a16="http://schemas.microsoft.com/office/drawing/2014/main" id="{00000000-0008-0000-2D00-000006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7</xdr:row>
          <xdr:rowOff>146050</xdr:rowOff>
        </xdr:from>
        <xdr:to>
          <xdr:col>16</xdr:col>
          <xdr:colOff>755650</xdr:colOff>
          <xdr:row>7</xdr:row>
          <xdr:rowOff>533400</xdr:rowOff>
        </xdr:to>
        <xdr:sp macro="" textlink="">
          <xdr:nvSpPr>
            <xdr:cNvPr id="96263" name="Button 7" hidden="1">
              <a:extLst>
                <a:ext uri="{63B3BB69-23CF-44E3-9099-C40C66FF867C}">
                  <a14:compatExt spid="_x0000_s96263"/>
                </a:ext>
                <a:ext uri="{FF2B5EF4-FFF2-40B4-BE49-F238E27FC236}">
                  <a16:creationId xmlns:a16="http://schemas.microsoft.com/office/drawing/2014/main" id="{00000000-0008-0000-2D00-000007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146050</xdr:rowOff>
        </xdr:from>
        <xdr:to>
          <xdr:col>17</xdr:col>
          <xdr:colOff>279400</xdr:colOff>
          <xdr:row>7</xdr:row>
          <xdr:rowOff>533400</xdr:rowOff>
        </xdr:to>
        <xdr:sp macro="" textlink="">
          <xdr:nvSpPr>
            <xdr:cNvPr id="96264" name="Button 8" hidden="1">
              <a:extLst>
                <a:ext uri="{63B3BB69-23CF-44E3-9099-C40C66FF867C}">
                  <a14:compatExt spid="_x0000_s96264"/>
                </a:ext>
                <a:ext uri="{FF2B5EF4-FFF2-40B4-BE49-F238E27FC236}">
                  <a16:creationId xmlns:a16="http://schemas.microsoft.com/office/drawing/2014/main" id="{00000000-0008-0000-2D00-000008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298450</xdr:colOff>
          <xdr:row>7</xdr:row>
          <xdr:rowOff>146050</xdr:rowOff>
        </xdr:from>
        <xdr:to>
          <xdr:col>17</xdr:col>
          <xdr:colOff>831850</xdr:colOff>
          <xdr:row>7</xdr:row>
          <xdr:rowOff>533400</xdr:rowOff>
        </xdr:to>
        <xdr:sp macro="" textlink="">
          <xdr:nvSpPr>
            <xdr:cNvPr id="96265" name="Button 9" hidden="1">
              <a:extLst>
                <a:ext uri="{63B3BB69-23CF-44E3-9099-C40C66FF867C}">
                  <a14:compatExt spid="_x0000_s96265"/>
                </a:ext>
                <a:ext uri="{FF2B5EF4-FFF2-40B4-BE49-F238E27FC236}">
                  <a16:creationId xmlns:a16="http://schemas.microsoft.com/office/drawing/2014/main" id="{00000000-0008-0000-2D00-00000978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146050</xdr:rowOff>
        </xdr:from>
        <xdr:to>
          <xdr:col>18</xdr:col>
          <xdr:colOff>482600</xdr:colOff>
          <xdr:row>7</xdr:row>
          <xdr:rowOff>533400</xdr:rowOff>
        </xdr:to>
        <xdr:sp macro="" textlink="">
          <xdr:nvSpPr>
            <xdr:cNvPr id="96266" name="Button 10" hidden="1">
              <a:extLst>
                <a:ext uri="{63B3BB69-23CF-44E3-9099-C40C66FF867C}">
                  <a14:compatExt spid="_x0000_s96266"/>
                </a:ext>
                <a:ext uri="{FF2B5EF4-FFF2-40B4-BE49-F238E27FC236}">
                  <a16:creationId xmlns:a16="http://schemas.microsoft.com/office/drawing/2014/main" id="{00000000-0008-0000-2D00-00000A78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431800</xdr:colOff>
          <xdr:row>7</xdr:row>
          <xdr:rowOff>127000</xdr:rowOff>
        </xdr:to>
        <xdr:sp macro="" textlink="">
          <xdr:nvSpPr>
            <xdr:cNvPr id="96267" name="Button 11" hidden="1">
              <a:extLst>
                <a:ext uri="{63B3BB69-23CF-44E3-9099-C40C66FF867C}">
                  <a14:compatExt spid="_x0000_s96267"/>
                </a:ext>
                <a:ext uri="{FF2B5EF4-FFF2-40B4-BE49-F238E27FC236}">
                  <a16:creationId xmlns:a16="http://schemas.microsoft.com/office/drawing/2014/main" id="{00000000-0008-0000-2D00-00000B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6</xdr:row>
          <xdr:rowOff>0</xdr:rowOff>
        </xdr:from>
        <xdr:to>
          <xdr:col>16</xdr:col>
          <xdr:colOff>901700</xdr:colOff>
          <xdr:row>7</xdr:row>
          <xdr:rowOff>127000</xdr:rowOff>
        </xdr:to>
        <xdr:sp macro="" textlink="">
          <xdr:nvSpPr>
            <xdr:cNvPr id="96268" name="Button 12" hidden="1">
              <a:extLst>
                <a:ext uri="{63B3BB69-23CF-44E3-9099-C40C66FF867C}">
                  <a14:compatExt spid="_x0000_s96268"/>
                </a:ext>
                <a:ext uri="{FF2B5EF4-FFF2-40B4-BE49-F238E27FC236}">
                  <a16:creationId xmlns:a16="http://schemas.microsoft.com/office/drawing/2014/main" id="{00000000-0008-0000-2D00-00000C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444500</xdr:colOff>
          <xdr:row>6</xdr:row>
          <xdr:rowOff>0</xdr:rowOff>
        </xdr:from>
        <xdr:to>
          <xdr:col>18</xdr:col>
          <xdr:colOff>482600</xdr:colOff>
          <xdr:row>7</xdr:row>
          <xdr:rowOff>127000</xdr:rowOff>
        </xdr:to>
        <xdr:sp macro="" textlink="">
          <xdr:nvSpPr>
            <xdr:cNvPr id="96269" name="Button 13" hidden="1">
              <a:extLst>
                <a:ext uri="{63B3BB69-23CF-44E3-9099-C40C66FF867C}">
                  <a14:compatExt spid="_x0000_s96269"/>
                </a:ext>
                <a:ext uri="{FF2B5EF4-FFF2-40B4-BE49-F238E27FC236}">
                  <a16:creationId xmlns:a16="http://schemas.microsoft.com/office/drawing/2014/main" id="{00000000-0008-0000-2D00-00000D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15</xdr:row>
          <xdr:rowOff>63500</xdr:rowOff>
        </xdr:from>
        <xdr:to>
          <xdr:col>17</xdr:col>
          <xdr:colOff>584200</xdr:colOff>
          <xdr:row>18</xdr:row>
          <xdr:rowOff>120650</xdr:rowOff>
        </xdr:to>
        <xdr:sp macro="" textlink="">
          <xdr:nvSpPr>
            <xdr:cNvPr id="96270" name="Button 14" hidden="1">
              <a:extLst>
                <a:ext uri="{63B3BB69-23CF-44E3-9099-C40C66FF867C}">
                  <a14:compatExt spid="_x0000_s96270"/>
                </a:ext>
                <a:ext uri="{FF2B5EF4-FFF2-40B4-BE49-F238E27FC236}">
                  <a16:creationId xmlns:a16="http://schemas.microsoft.com/office/drawing/2014/main" id="{00000000-0008-0000-2D00-00000E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5</xdr:row>
          <xdr:rowOff>6350</xdr:rowOff>
        </xdr:from>
        <xdr:to>
          <xdr:col>2</xdr:col>
          <xdr:colOff>749300</xdr:colOff>
          <xdr:row>6</xdr:row>
          <xdr:rowOff>146050</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2E00-000001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44450</xdr:colOff>
          <xdr:row>1</xdr:row>
          <xdr:rowOff>6350</xdr:rowOff>
        </xdr:from>
        <xdr:to>
          <xdr:col>16</xdr:col>
          <xdr:colOff>1130300</xdr:colOff>
          <xdr:row>4</xdr:row>
          <xdr:rowOff>127000</xdr:rowOff>
        </xdr:to>
        <xdr:sp macro="" textlink="">
          <xdr:nvSpPr>
            <xdr:cNvPr id="94210" name="Button 2" hidden="1">
              <a:extLst>
                <a:ext uri="{63B3BB69-23CF-44E3-9099-C40C66FF867C}">
                  <a14:compatExt spid="_x0000_s94210"/>
                </a:ext>
                <a:ext uri="{FF2B5EF4-FFF2-40B4-BE49-F238E27FC236}">
                  <a16:creationId xmlns:a16="http://schemas.microsoft.com/office/drawing/2014/main" id="{00000000-0008-0000-2E00-0000027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63500</xdr:colOff>
          <xdr:row>7</xdr:row>
          <xdr:rowOff>679450</xdr:rowOff>
        </xdr:from>
        <xdr:to>
          <xdr:col>17</xdr:col>
          <xdr:colOff>577850</xdr:colOff>
          <xdr:row>10</xdr:row>
          <xdr:rowOff>139700</xdr:rowOff>
        </xdr:to>
        <xdr:sp macro="" textlink="">
          <xdr:nvSpPr>
            <xdr:cNvPr id="94211" name="Button 3" hidden="1">
              <a:extLst>
                <a:ext uri="{63B3BB69-23CF-44E3-9099-C40C66FF867C}">
                  <a14:compatExt spid="_x0000_s94211"/>
                </a:ext>
                <a:ext uri="{FF2B5EF4-FFF2-40B4-BE49-F238E27FC236}">
                  <a16:creationId xmlns:a16="http://schemas.microsoft.com/office/drawing/2014/main" id="{00000000-0008-0000-2E00-000003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622300</xdr:colOff>
          <xdr:row>4</xdr:row>
          <xdr:rowOff>25400</xdr:rowOff>
        </xdr:to>
        <xdr:sp macro="" textlink="">
          <xdr:nvSpPr>
            <xdr:cNvPr id="94212" name="Button 4" hidden="1">
              <a:extLst>
                <a:ext uri="{63B3BB69-23CF-44E3-9099-C40C66FF867C}">
                  <a14:compatExt spid="_x0000_s94212"/>
                </a:ext>
                <a:ext uri="{FF2B5EF4-FFF2-40B4-BE49-F238E27FC236}">
                  <a16:creationId xmlns:a16="http://schemas.microsoft.com/office/drawing/2014/main" id="{00000000-0008-0000-2E00-000004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577850</xdr:colOff>
          <xdr:row>14</xdr:row>
          <xdr:rowOff>63500</xdr:rowOff>
        </xdr:to>
        <xdr:sp macro="" textlink="">
          <xdr:nvSpPr>
            <xdr:cNvPr id="94213" name="Button 5" hidden="1">
              <a:extLst>
                <a:ext uri="{63B3BB69-23CF-44E3-9099-C40C66FF867C}">
                  <a14:compatExt spid="_x0000_s94213"/>
                </a:ext>
                <a:ext uri="{FF2B5EF4-FFF2-40B4-BE49-F238E27FC236}">
                  <a16:creationId xmlns:a16="http://schemas.microsoft.com/office/drawing/2014/main" id="{00000000-0008-0000-2E00-000005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11</xdr:row>
          <xdr:rowOff>0</xdr:rowOff>
        </xdr:from>
        <xdr:to>
          <xdr:col>16</xdr:col>
          <xdr:colOff>965200</xdr:colOff>
          <xdr:row>14</xdr:row>
          <xdr:rowOff>63500</xdr:rowOff>
        </xdr:to>
        <xdr:sp macro="" textlink="">
          <xdr:nvSpPr>
            <xdr:cNvPr id="94214" name="Button 6" hidden="1">
              <a:extLst>
                <a:ext uri="{63B3BB69-23CF-44E3-9099-C40C66FF867C}">
                  <a14:compatExt spid="_x0000_s94214"/>
                </a:ext>
                <a:ext uri="{FF2B5EF4-FFF2-40B4-BE49-F238E27FC236}">
                  <a16:creationId xmlns:a16="http://schemas.microsoft.com/office/drawing/2014/main" id="{00000000-0008-0000-2E00-000006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7</xdr:row>
          <xdr:rowOff>146050</xdr:rowOff>
        </xdr:from>
        <xdr:to>
          <xdr:col>16</xdr:col>
          <xdr:colOff>755650</xdr:colOff>
          <xdr:row>7</xdr:row>
          <xdr:rowOff>533400</xdr:rowOff>
        </xdr:to>
        <xdr:sp macro="" textlink="">
          <xdr:nvSpPr>
            <xdr:cNvPr id="94215" name="Button 7" hidden="1">
              <a:extLst>
                <a:ext uri="{63B3BB69-23CF-44E3-9099-C40C66FF867C}">
                  <a14:compatExt spid="_x0000_s94215"/>
                </a:ext>
                <a:ext uri="{FF2B5EF4-FFF2-40B4-BE49-F238E27FC236}">
                  <a16:creationId xmlns:a16="http://schemas.microsoft.com/office/drawing/2014/main" id="{00000000-0008-0000-2E00-000007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146050</xdr:rowOff>
        </xdr:from>
        <xdr:to>
          <xdr:col>17</xdr:col>
          <xdr:colOff>279400</xdr:colOff>
          <xdr:row>7</xdr:row>
          <xdr:rowOff>533400</xdr:rowOff>
        </xdr:to>
        <xdr:sp macro="" textlink="">
          <xdr:nvSpPr>
            <xdr:cNvPr id="94216" name="Button 8" hidden="1">
              <a:extLst>
                <a:ext uri="{63B3BB69-23CF-44E3-9099-C40C66FF867C}">
                  <a14:compatExt spid="_x0000_s94216"/>
                </a:ext>
                <a:ext uri="{FF2B5EF4-FFF2-40B4-BE49-F238E27FC236}">
                  <a16:creationId xmlns:a16="http://schemas.microsoft.com/office/drawing/2014/main" id="{00000000-0008-0000-2E00-000008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298450</xdr:colOff>
          <xdr:row>7</xdr:row>
          <xdr:rowOff>146050</xdr:rowOff>
        </xdr:from>
        <xdr:to>
          <xdr:col>17</xdr:col>
          <xdr:colOff>831850</xdr:colOff>
          <xdr:row>7</xdr:row>
          <xdr:rowOff>533400</xdr:rowOff>
        </xdr:to>
        <xdr:sp macro="" textlink="">
          <xdr:nvSpPr>
            <xdr:cNvPr id="94217" name="Button 9" hidden="1">
              <a:extLst>
                <a:ext uri="{63B3BB69-23CF-44E3-9099-C40C66FF867C}">
                  <a14:compatExt spid="_x0000_s94217"/>
                </a:ext>
                <a:ext uri="{FF2B5EF4-FFF2-40B4-BE49-F238E27FC236}">
                  <a16:creationId xmlns:a16="http://schemas.microsoft.com/office/drawing/2014/main" id="{00000000-0008-0000-2E00-00000970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146050</xdr:rowOff>
        </xdr:from>
        <xdr:to>
          <xdr:col>18</xdr:col>
          <xdr:colOff>482600</xdr:colOff>
          <xdr:row>7</xdr:row>
          <xdr:rowOff>533400</xdr:rowOff>
        </xdr:to>
        <xdr:sp macro="" textlink="">
          <xdr:nvSpPr>
            <xdr:cNvPr id="94218" name="Button 10" hidden="1">
              <a:extLst>
                <a:ext uri="{63B3BB69-23CF-44E3-9099-C40C66FF867C}">
                  <a14:compatExt spid="_x0000_s94218"/>
                </a:ext>
                <a:ext uri="{FF2B5EF4-FFF2-40B4-BE49-F238E27FC236}">
                  <a16:creationId xmlns:a16="http://schemas.microsoft.com/office/drawing/2014/main" id="{00000000-0008-0000-2E00-00000A70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431800</xdr:colOff>
          <xdr:row>7</xdr:row>
          <xdr:rowOff>127000</xdr:rowOff>
        </xdr:to>
        <xdr:sp macro="" textlink="">
          <xdr:nvSpPr>
            <xdr:cNvPr id="94219" name="Button 11" hidden="1">
              <a:extLst>
                <a:ext uri="{63B3BB69-23CF-44E3-9099-C40C66FF867C}">
                  <a14:compatExt spid="_x0000_s94219"/>
                </a:ext>
                <a:ext uri="{FF2B5EF4-FFF2-40B4-BE49-F238E27FC236}">
                  <a16:creationId xmlns:a16="http://schemas.microsoft.com/office/drawing/2014/main" id="{00000000-0008-0000-2E00-00000B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6</xdr:row>
          <xdr:rowOff>0</xdr:rowOff>
        </xdr:from>
        <xdr:to>
          <xdr:col>16</xdr:col>
          <xdr:colOff>901700</xdr:colOff>
          <xdr:row>7</xdr:row>
          <xdr:rowOff>127000</xdr:rowOff>
        </xdr:to>
        <xdr:sp macro="" textlink="">
          <xdr:nvSpPr>
            <xdr:cNvPr id="94220" name="Button 12" hidden="1">
              <a:extLst>
                <a:ext uri="{63B3BB69-23CF-44E3-9099-C40C66FF867C}">
                  <a14:compatExt spid="_x0000_s94220"/>
                </a:ext>
                <a:ext uri="{FF2B5EF4-FFF2-40B4-BE49-F238E27FC236}">
                  <a16:creationId xmlns:a16="http://schemas.microsoft.com/office/drawing/2014/main" id="{00000000-0008-0000-2E00-00000C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444500</xdr:colOff>
          <xdr:row>6</xdr:row>
          <xdr:rowOff>0</xdr:rowOff>
        </xdr:from>
        <xdr:to>
          <xdr:col>18</xdr:col>
          <xdr:colOff>482600</xdr:colOff>
          <xdr:row>7</xdr:row>
          <xdr:rowOff>127000</xdr:rowOff>
        </xdr:to>
        <xdr:sp macro="" textlink="">
          <xdr:nvSpPr>
            <xdr:cNvPr id="94221" name="Button 13" hidden="1">
              <a:extLst>
                <a:ext uri="{63B3BB69-23CF-44E3-9099-C40C66FF867C}">
                  <a14:compatExt spid="_x0000_s94221"/>
                </a:ext>
                <a:ext uri="{FF2B5EF4-FFF2-40B4-BE49-F238E27FC236}">
                  <a16:creationId xmlns:a16="http://schemas.microsoft.com/office/drawing/2014/main" id="{00000000-0008-0000-2E00-00000D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15</xdr:row>
          <xdr:rowOff>63500</xdr:rowOff>
        </xdr:from>
        <xdr:to>
          <xdr:col>17</xdr:col>
          <xdr:colOff>584200</xdr:colOff>
          <xdr:row>18</xdr:row>
          <xdr:rowOff>120650</xdr:rowOff>
        </xdr:to>
        <xdr:sp macro="" textlink="">
          <xdr:nvSpPr>
            <xdr:cNvPr id="94222" name="Button 14" hidden="1">
              <a:extLst>
                <a:ext uri="{63B3BB69-23CF-44E3-9099-C40C66FF867C}">
                  <a14:compatExt spid="_x0000_s94222"/>
                </a:ext>
                <a:ext uri="{FF2B5EF4-FFF2-40B4-BE49-F238E27FC236}">
                  <a16:creationId xmlns:a16="http://schemas.microsoft.com/office/drawing/2014/main" id="{00000000-0008-0000-2E00-00000E7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5</xdr:row>
          <xdr:rowOff>6350</xdr:rowOff>
        </xdr:from>
        <xdr:to>
          <xdr:col>2</xdr:col>
          <xdr:colOff>749300</xdr:colOff>
          <xdr:row>6</xdr:row>
          <xdr:rowOff>146050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2F00-000001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44450</xdr:colOff>
          <xdr:row>1</xdr:row>
          <xdr:rowOff>6350</xdr:rowOff>
        </xdr:from>
        <xdr:to>
          <xdr:col>16</xdr:col>
          <xdr:colOff>1130300</xdr:colOff>
          <xdr:row>4</xdr:row>
          <xdr:rowOff>127000</xdr:rowOff>
        </xdr:to>
        <xdr:sp macro="" textlink="">
          <xdr:nvSpPr>
            <xdr:cNvPr id="97282" name="Button 2" hidden="1">
              <a:extLst>
                <a:ext uri="{63B3BB69-23CF-44E3-9099-C40C66FF867C}">
                  <a14:compatExt spid="_x0000_s97282"/>
                </a:ext>
                <a:ext uri="{FF2B5EF4-FFF2-40B4-BE49-F238E27FC236}">
                  <a16:creationId xmlns:a16="http://schemas.microsoft.com/office/drawing/2014/main" id="{00000000-0008-0000-2F00-0000027C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63500</xdr:colOff>
          <xdr:row>7</xdr:row>
          <xdr:rowOff>679450</xdr:rowOff>
        </xdr:from>
        <xdr:to>
          <xdr:col>17</xdr:col>
          <xdr:colOff>577850</xdr:colOff>
          <xdr:row>10</xdr:row>
          <xdr:rowOff>139700</xdr:rowOff>
        </xdr:to>
        <xdr:sp macro="" textlink="">
          <xdr:nvSpPr>
            <xdr:cNvPr id="97283" name="Button 3" hidden="1">
              <a:extLst>
                <a:ext uri="{63B3BB69-23CF-44E3-9099-C40C66FF867C}">
                  <a14:compatExt spid="_x0000_s97283"/>
                </a:ext>
                <a:ext uri="{FF2B5EF4-FFF2-40B4-BE49-F238E27FC236}">
                  <a16:creationId xmlns:a16="http://schemas.microsoft.com/office/drawing/2014/main" id="{00000000-0008-0000-2F00-000003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622300</xdr:colOff>
          <xdr:row>4</xdr:row>
          <xdr:rowOff>25400</xdr:rowOff>
        </xdr:to>
        <xdr:sp macro="" textlink="">
          <xdr:nvSpPr>
            <xdr:cNvPr id="97284" name="Button 4" hidden="1">
              <a:extLst>
                <a:ext uri="{63B3BB69-23CF-44E3-9099-C40C66FF867C}">
                  <a14:compatExt spid="_x0000_s97284"/>
                </a:ext>
                <a:ext uri="{FF2B5EF4-FFF2-40B4-BE49-F238E27FC236}">
                  <a16:creationId xmlns:a16="http://schemas.microsoft.com/office/drawing/2014/main" id="{00000000-0008-0000-2F00-000004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577850</xdr:colOff>
          <xdr:row>14</xdr:row>
          <xdr:rowOff>63500</xdr:rowOff>
        </xdr:to>
        <xdr:sp macro="" textlink="">
          <xdr:nvSpPr>
            <xdr:cNvPr id="97285" name="Button 5" hidden="1">
              <a:extLst>
                <a:ext uri="{63B3BB69-23CF-44E3-9099-C40C66FF867C}">
                  <a14:compatExt spid="_x0000_s97285"/>
                </a:ext>
                <a:ext uri="{FF2B5EF4-FFF2-40B4-BE49-F238E27FC236}">
                  <a16:creationId xmlns:a16="http://schemas.microsoft.com/office/drawing/2014/main" id="{00000000-0008-0000-2F00-000005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11</xdr:row>
          <xdr:rowOff>0</xdr:rowOff>
        </xdr:from>
        <xdr:to>
          <xdr:col>16</xdr:col>
          <xdr:colOff>965200</xdr:colOff>
          <xdr:row>14</xdr:row>
          <xdr:rowOff>63500</xdr:rowOff>
        </xdr:to>
        <xdr:sp macro="" textlink="">
          <xdr:nvSpPr>
            <xdr:cNvPr id="97286" name="Button 6" hidden="1">
              <a:extLst>
                <a:ext uri="{63B3BB69-23CF-44E3-9099-C40C66FF867C}">
                  <a14:compatExt spid="_x0000_s97286"/>
                </a:ext>
                <a:ext uri="{FF2B5EF4-FFF2-40B4-BE49-F238E27FC236}">
                  <a16:creationId xmlns:a16="http://schemas.microsoft.com/office/drawing/2014/main" id="{00000000-0008-0000-2F00-000006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7</xdr:row>
          <xdr:rowOff>146050</xdr:rowOff>
        </xdr:from>
        <xdr:to>
          <xdr:col>16</xdr:col>
          <xdr:colOff>755650</xdr:colOff>
          <xdr:row>7</xdr:row>
          <xdr:rowOff>533400</xdr:rowOff>
        </xdr:to>
        <xdr:sp macro="" textlink="">
          <xdr:nvSpPr>
            <xdr:cNvPr id="97287" name="Button 7" hidden="1">
              <a:extLst>
                <a:ext uri="{63B3BB69-23CF-44E3-9099-C40C66FF867C}">
                  <a14:compatExt spid="_x0000_s97287"/>
                </a:ext>
                <a:ext uri="{FF2B5EF4-FFF2-40B4-BE49-F238E27FC236}">
                  <a16:creationId xmlns:a16="http://schemas.microsoft.com/office/drawing/2014/main" id="{00000000-0008-0000-2F00-000007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146050</xdr:rowOff>
        </xdr:from>
        <xdr:to>
          <xdr:col>17</xdr:col>
          <xdr:colOff>279400</xdr:colOff>
          <xdr:row>7</xdr:row>
          <xdr:rowOff>533400</xdr:rowOff>
        </xdr:to>
        <xdr:sp macro="" textlink="">
          <xdr:nvSpPr>
            <xdr:cNvPr id="97288" name="Button 8" hidden="1">
              <a:extLst>
                <a:ext uri="{63B3BB69-23CF-44E3-9099-C40C66FF867C}">
                  <a14:compatExt spid="_x0000_s97288"/>
                </a:ext>
                <a:ext uri="{FF2B5EF4-FFF2-40B4-BE49-F238E27FC236}">
                  <a16:creationId xmlns:a16="http://schemas.microsoft.com/office/drawing/2014/main" id="{00000000-0008-0000-2F00-000008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298450</xdr:colOff>
          <xdr:row>7</xdr:row>
          <xdr:rowOff>146050</xdr:rowOff>
        </xdr:from>
        <xdr:to>
          <xdr:col>17</xdr:col>
          <xdr:colOff>831850</xdr:colOff>
          <xdr:row>7</xdr:row>
          <xdr:rowOff>533400</xdr:rowOff>
        </xdr:to>
        <xdr:sp macro="" textlink="">
          <xdr:nvSpPr>
            <xdr:cNvPr id="97289" name="Button 9" hidden="1">
              <a:extLst>
                <a:ext uri="{63B3BB69-23CF-44E3-9099-C40C66FF867C}">
                  <a14:compatExt spid="_x0000_s97289"/>
                </a:ext>
                <a:ext uri="{FF2B5EF4-FFF2-40B4-BE49-F238E27FC236}">
                  <a16:creationId xmlns:a16="http://schemas.microsoft.com/office/drawing/2014/main" id="{00000000-0008-0000-2F00-0000097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146050</xdr:rowOff>
        </xdr:from>
        <xdr:to>
          <xdr:col>18</xdr:col>
          <xdr:colOff>482600</xdr:colOff>
          <xdr:row>7</xdr:row>
          <xdr:rowOff>533400</xdr:rowOff>
        </xdr:to>
        <xdr:sp macro="" textlink="">
          <xdr:nvSpPr>
            <xdr:cNvPr id="97290" name="Button 10" hidden="1">
              <a:extLst>
                <a:ext uri="{63B3BB69-23CF-44E3-9099-C40C66FF867C}">
                  <a14:compatExt spid="_x0000_s97290"/>
                </a:ext>
                <a:ext uri="{FF2B5EF4-FFF2-40B4-BE49-F238E27FC236}">
                  <a16:creationId xmlns:a16="http://schemas.microsoft.com/office/drawing/2014/main" id="{00000000-0008-0000-2F00-00000A7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431800</xdr:colOff>
          <xdr:row>7</xdr:row>
          <xdr:rowOff>127000</xdr:rowOff>
        </xdr:to>
        <xdr:sp macro="" textlink="">
          <xdr:nvSpPr>
            <xdr:cNvPr id="97291" name="Button 11" hidden="1">
              <a:extLst>
                <a:ext uri="{63B3BB69-23CF-44E3-9099-C40C66FF867C}">
                  <a14:compatExt spid="_x0000_s97291"/>
                </a:ext>
                <a:ext uri="{FF2B5EF4-FFF2-40B4-BE49-F238E27FC236}">
                  <a16:creationId xmlns:a16="http://schemas.microsoft.com/office/drawing/2014/main" id="{00000000-0008-0000-2F00-00000B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6</xdr:row>
          <xdr:rowOff>0</xdr:rowOff>
        </xdr:from>
        <xdr:to>
          <xdr:col>16</xdr:col>
          <xdr:colOff>901700</xdr:colOff>
          <xdr:row>7</xdr:row>
          <xdr:rowOff>127000</xdr:rowOff>
        </xdr:to>
        <xdr:sp macro="" textlink="">
          <xdr:nvSpPr>
            <xdr:cNvPr id="97292" name="Button 12" hidden="1">
              <a:extLst>
                <a:ext uri="{63B3BB69-23CF-44E3-9099-C40C66FF867C}">
                  <a14:compatExt spid="_x0000_s97292"/>
                </a:ext>
                <a:ext uri="{FF2B5EF4-FFF2-40B4-BE49-F238E27FC236}">
                  <a16:creationId xmlns:a16="http://schemas.microsoft.com/office/drawing/2014/main" id="{00000000-0008-0000-2F00-00000C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444500</xdr:colOff>
          <xdr:row>6</xdr:row>
          <xdr:rowOff>0</xdr:rowOff>
        </xdr:from>
        <xdr:to>
          <xdr:col>18</xdr:col>
          <xdr:colOff>482600</xdr:colOff>
          <xdr:row>7</xdr:row>
          <xdr:rowOff>127000</xdr:rowOff>
        </xdr:to>
        <xdr:sp macro="" textlink="">
          <xdr:nvSpPr>
            <xdr:cNvPr id="97293" name="Button 13" hidden="1">
              <a:extLst>
                <a:ext uri="{63B3BB69-23CF-44E3-9099-C40C66FF867C}">
                  <a14:compatExt spid="_x0000_s97293"/>
                </a:ext>
                <a:ext uri="{FF2B5EF4-FFF2-40B4-BE49-F238E27FC236}">
                  <a16:creationId xmlns:a16="http://schemas.microsoft.com/office/drawing/2014/main" id="{00000000-0008-0000-2F00-00000D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15</xdr:row>
          <xdr:rowOff>63500</xdr:rowOff>
        </xdr:from>
        <xdr:to>
          <xdr:col>17</xdr:col>
          <xdr:colOff>584200</xdr:colOff>
          <xdr:row>18</xdr:row>
          <xdr:rowOff>120650</xdr:rowOff>
        </xdr:to>
        <xdr:sp macro="" textlink="">
          <xdr:nvSpPr>
            <xdr:cNvPr id="97294" name="Button 14" hidden="1">
              <a:extLst>
                <a:ext uri="{63B3BB69-23CF-44E3-9099-C40C66FF867C}">
                  <a14:compatExt spid="_x0000_s97294"/>
                </a:ext>
                <a:ext uri="{FF2B5EF4-FFF2-40B4-BE49-F238E27FC236}">
                  <a16:creationId xmlns:a16="http://schemas.microsoft.com/office/drawing/2014/main" id="{00000000-0008-0000-2F00-00000E7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5</xdr:row>
          <xdr:rowOff>6350</xdr:rowOff>
        </xdr:from>
        <xdr:to>
          <xdr:col>2</xdr:col>
          <xdr:colOff>749300</xdr:colOff>
          <xdr:row>6</xdr:row>
          <xdr:rowOff>146050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3000-000001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44450</xdr:colOff>
          <xdr:row>1</xdr:row>
          <xdr:rowOff>6350</xdr:rowOff>
        </xdr:from>
        <xdr:to>
          <xdr:col>16</xdr:col>
          <xdr:colOff>1130300</xdr:colOff>
          <xdr:row>4</xdr:row>
          <xdr:rowOff>127000</xdr:rowOff>
        </xdr:to>
        <xdr:sp macro="" textlink="">
          <xdr:nvSpPr>
            <xdr:cNvPr id="95234" name="Button 2" hidden="1">
              <a:extLst>
                <a:ext uri="{63B3BB69-23CF-44E3-9099-C40C66FF867C}">
                  <a14:compatExt spid="_x0000_s95234"/>
                </a:ext>
                <a:ext uri="{FF2B5EF4-FFF2-40B4-BE49-F238E27FC236}">
                  <a16:creationId xmlns:a16="http://schemas.microsoft.com/office/drawing/2014/main" id="{00000000-0008-0000-3000-00000274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63500</xdr:colOff>
          <xdr:row>7</xdr:row>
          <xdr:rowOff>679450</xdr:rowOff>
        </xdr:from>
        <xdr:to>
          <xdr:col>17</xdr:col>
          <xdr:colOff>577850</xdr:colOff>
          <xdr:row>10</xdr:row>
          <xdr:rowOff>139700</xdr:rowOff>
        </xdr:to>
        <xdr:sp macro="" textlink="">
          <xdr:nvSpPr>
            <xdr:cNvPr id="95235" name="Button 3" hidden="1">
              <a:extLst>
                <a:ext uri="{63B3BB69-23CF-44E3-9099-C40C66FF867C}">
                  <a14:compatExt spid="_x0000_s95235"/>
                </a:ext>
                <a:ext uri="{FF2B5EF4-FFF2-40B4-BE49-F238E27FC236}">
                  <a16:creationId xmlns:a16="http://schemas.microsoft.com/office/drawing/2014/main" id="{00000000-0008-0000-3000-000003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622300</xdr:colOff>
          <xdr:row>4</xdr:row>
          <xdr:rowOff>25400</xdr:rowOff>
        </xdr:to>
        <xdr:sp macro="" textlink="">
          <xdr:nvSpPr>
            <xdr:cNvPr id="95236" name="Button 4" hidden="1">
              <a:extLst>
                <a:ext uri="{63B3BB69-23CF-44E3-9099-C40C66FF867C}">
                  <a14:compatExt spid="_x0000_s95236"/>
                </a:ext>
                <a:ext uri="{FF2B5EF4-FFF2-40B4-BE49-F238E27FC236}">
                  <a16:creationId xmlns:a16="http://schemas.microsoft.com/office/drawing/2014/main" id="{00000000-0008-0000-3000-000004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577850</xdr:colOff>
          <xdr:row>14</xdr:row>
          <xdr:rowOff>63500</xdr:rowOff>
        </xdr:to>
        <xdr:sp macro="" textlink="">
          <xdr:nvSpPr>
            <xdr:cNvPr id="95237" name="Button 5" hidden="1">
              <a:extLst>
                <a:ext uri="{63B3BB69-23CF-44E3-9099-C40C66FF867C}">
                  <a14:compatExt spid="_x0000_s95237"/>
                </a:ext>
                <a:ext uri="{FF2B5EF4-FFF2-40B4-BE49-F238E27FC236}">
                  <a16:creationId xmlns:a16="http://schemas.microsoft.com/office/drawing/2014/main" id="{00000000-0008-0000-3000-000005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11</xdr:row>
          <xdr:rowOff>0</xdr:rowOff>
        </xdr:from>
        <xdr:to>
          <xdr:col>16</xdr:col>
          <xdr:colOff>965200</xdr:colOff>
          <xdr:row>14</xdr:row>
          <xdr:rowOff>63500</xdr:rowOff>
        </xdr:to>
        <xdr:sp macro="" textlink="">
          <xdr:nvSpPr>
            <xdr:cNvPr id="95238" name="Button 6" hidden="1">
              <a:extLst>
                <a:ext uri="{63B3BB69-23CF-44E3-9099-C40C66FF867C}">
                  <a14:compatExt spid="_x0000_s95238"/>
                </a:ext>
                <a:ext uri="{FF2B5EF4-FFF2-40B4-BE49-F238E27FC236}">
                  <a16:creationId xmlns:a16="http://schemas.microsoft.com/office/drawing/2014/main" id="{00000000-0008-0000-3000-000006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7</xdr:row>
          <xdr:rowOff>146050</xdr:rowOff>
        </xdr:from>
        <xdr:to>
          <xdr:col>16</xdr:col>
          <xdr:colOff>755650</xdr:colOff>
          <xdr:row>7</xdr:row>
          <xdr:rowOff>533400</xdr:rowOff>
        </xdr:to>
        <xdr:sp macro="" textlink="">
          <xdr:nvSpPr>
            <xdr:cNvPr id="95239" name="Button 7" hidden="1">
              <a:extLst>
                <a:ext uri="{63B3BB69-23CF-44E3-9099-C40C66FF867C}">
                  <a14:compatExt spid="_x0000_s95239"/>
                </a:ext>
                <a:ext uri="{FF2B5EF4-FFF2-40B4-BE49-F238E27FC236}">
                  <a16:creationId xmlns:a16="http://schemas.microsoft.com/office/drawing/2014/main" id="{00000000-0008-0000-3000-000007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146050</xdr:rowOff>
        </xdr:from>
        <xdr:to>
          <xdr:col>17</xdr:col>
          <xdr:colOff>279400</xdr:colOff>
          <xdr:row>7</xdr:row>
          <xdr:rowOff>533400</xdr:rowOff>
        </xdr:to>
        <xdr:sp macro="" textlink="">
          <xdr:nvSpPr>
            <xdr:cNvPr id="95240" name="Button 8" hidden="1">
              <a:extLst>
                <a:ext uri="{63B3BB69-23CF-44E3-9099-C40C66FF867C}">
                  <a14:compatExt spid="_x0000_s95240"/>
                </a:ext>
                <a:ext uri="{FF2B5EF4-FFF2-40B4-BE49-F238E27FC236}">
                  <a16:creationId xmlns:a16="http://schemas.microsoft.com/office/drawing/2014/main" id="{00000000-0008-0000-3000-000008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298450</xdr:colOff>
          <xdr:row>7</xdr:row>
          <xdr:rowOff>146050</xdr:rowOff>
        </xdr:from>
        <xdr:to>
          <xdr:col>17</xdr:col>
          <xdr:colOff>831850</xdr:colOff>
          <xdr:row>7</xdr:row>
          <xdr:rowOff>533400</xdr:rowOff>
        </xdr:to>
        <xdr:sp macro="" textlink="">
          <xdr:nvSpPr>
            <xdr:cNvPr id="95241" name="Button 9" hidden="1">
              <a:extLst>
                <a:ext uri="{63B3BB69-23CF-44E3-9099-C40C66FF867C}">
                  <a14:compatExt spid="_x0000_s95241"/>
                </a:ext>
                <a:ext uri="{FF2B5EF4-FFF2-40B4-BE49-F238E27FC236}">
                  <a16:creationId xmlns:a16="http://schemas.microsoft.com/office/drawing/2014/main" id="{00000000-0008-0000-3000-0000097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146050</xdr:rowOff>
        </xdr:from>
        <xdr:to>
          <xdr:col>18</xdr:col>
          <xdr:colOff>482600</xdr:colOff>
          <xdr:row>7</xdr:row>
          <xdr:rowOff>533400</xdr:rowOff>
        </xdr:to>
        <xdr:sp macro="" textlink="">
          <xdr:nvSpPr>
            <xdr:cNvPr id="95242" name="Button 10" hidden="1">
              <a:extLst>
                <a:ext uri="{63B3BB69-23CF-44E3-9099-C40C66FF867C}">
                  <a14:compatExt spid="_x0000_s95242"/>
                </a:ext>
                <a:ext uri="{FF2B5EF4-FFF2-40B4-BE49-F238E27FC236}">
                  <a16:creationId xmlns:a16="http://schemas.microsoft.com/office/drawing/2014/main" id="{00000000-0008-0000-3000-00000A7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431800</xdr:colOff>
          <xdr:row>7</xdr:row>
          <xdr:rowOff>127000</xdr:rowOff>
        </xdr:to>
        <xdr:sp macro="" textlink="">
          <xdr:nvSpPr>
            <xdr:cNvPr id="95243" name="Button 11" hidden="1">
              <a:extLst>
                <a:ext uri="{63B3BB69-23CF-44E3-9099-C40C66FF867C}">
                  <a14:compatExt spid="_x0000_s95243"/>
                </a:ext>
                <a:ext uri="{FF2B5EF4-FFF2-40B4-BE49-F238E27FC236}">
                  <a16:creationId xmlns:a16="http://schemas.microsoft.com/office/drawing/2014/main" id="{00000000-0008-0000-3000-00000B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6</xdr:row>
          <xdr:rowOff>0</xdr:rowOff>
        </xdr:from>
        <xdr:to>
          <xdr:col>16</xdr:col>
          <xdr:colOff>901700</xdr:colOff>
          <xdr:row>7</xdr:row>
          <xdr:rowOff>127000</xdr:rowOff>
        </xdr:to>
        <xdr:sp macro="" textlink="">
          <xdr:nvSpPr>
            <xdr:cNvPr id="95244" name="Button 12" hidden="1">
              <a:extLst>
                <a:ext uri="{63B3BB69-23CF-44E3-9099-C40C66FF867C}">
                  <a14:compatExt spid="_x0000_s95244"/>
                </a:ext>
                <a:ext uri="{FF2B5EF4-FFF2-40B4-BE49-F238E27FC236}">
                  <a16:creationId xmlns:a16="http://schemas.microsoft.com/office/drawing/2014/main" id="{00000000-0008-0000-3000-00000C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444500</xdr:colOff>
          <xdr:row>6</xdr:row>
          <xdr:rowOff>0</xdr:rowOff>
        </xdr:from>
        <xdr:to>
          <xdr:col>18</xdr:col>
          <xdr:colOff>482600</xdr:colOff>
          <xdr:row>7</xdr:row>
          <xdr:rowOff>127000</xdr:rowOff>
        </xdr:to>
        <xdr:sp macro="" textlink="">
          <xdr:nvSpPr>
            <xdr:cNvPr id="95245" name="Button 13" hidden="1">
              <a:extLst>
                <a:ext uri="{63B3BB69-23CF-44E3-9099-C40C66FF867C}">
                  <a14:compatExt spid="_x0000_s95245"/>
                </a:ext>
                <a:ext uri="{FF2B5EF4-FFF2-40B4-BE49-F238E27FC236}">
                  <a16:creationId xmlns:a16="http://schemas.microsoft.com/office/drawing/2014/main" id="{00000000-0008-0000-3000-00000D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15</xdr:row>
          <xdr:rowOff>63500</xdr:rowOff>
        </xdr:from>
        <xdr:to>
          <xdr:col>17</xdr:col>
          <xdr:colOff>584200</xdr:colOff>
          <xdr:row>18</xdr:row>
          <xdr:rowOff>120650</xdr:rowOff>
        </xdr:to>
        <xdr:sp macro="" textlink="">
          <xdr:nvSpPr>
            <xdr:cNvPr id="95246" name="Button 14" hidden="1">
              <a:extLst>
                <a:ext uri="{63B3BB69-23CF-44E3-9099-C40C66FF867C}">
                  <a14:compatExt spid="_x0000_s95246"/>
                </a:ext>
                <a:ext uri="{FF2B5EF4-FFF2-40B4-BE49-F238E27FC236}">
                  <a16:creationId xmlns:a16="http://schemas.microsoft.com/office/drawing/2014/main" id="{00000000-0008-0000-3000-00000E7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25400</xdr:colOff>
          <xdr:row>5</xdr:row>
          <xdr:rowOff>6350</xdr:rowOff>
        </xdr:from>
        <xdr:to>
          <xdr:col>2</xdr:col>
          <xdr:colOff>749300</xdr:colOff>
          <xdr:row>6</xdr:row>
          <xdr:rowOff>146050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3100-000001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44450</xdr:colOff>
          <xdr:row>1</xdr:row>
          <xdr:rowOff>6350</xdr:rowOff>
        </xdr:from>
        <xdr:to>
          <xdr:col>16</xdr:col>
          <xdr:colOff>1130300</xdr:colOff>
          <xdr:row>4</xdr:row>
          <xdr:rowOff>127000</xdr:rowOff>
        </xdr:to>
        <xdr:sp macro="" textlink="">
          <xdr:nvSpPr>
            <xdr:cNvPr id="99330" name="Button 2" hidden="1">
              <a:extLst>
                <a:ext uri="{63B3BB69-23CF-44E3-9099-C40C66FF867C}">
                  <a14:compatExt spid="_x0000_s99330"/>
                </a:ext>
                <a:ext uri="{FF2B5EF4-FFF2-40B4-BE49-F238E27FC236}">
                  <a16:creationId xmlns:a16="http://schemas.microsoft.com/office/drawing/2014/main" id="{00000000-0008-0000-3100-00000284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63500</xdr:colOff>
          <xdr:row>7</xdr:row>
          <xdr:rowOff>679450</xdr:rowOff>
        </xdr:from>
        <xdr:to>
          <xdr:col>17</xdr:col>
          <xdr:colOff>577850</xdr:colOff>
          <xdr:row>10</xdr:row>
          <xdr:rowOff>139700</xdr:rowOff>
        </xdr:to>
        <xdr:sp macro="" textlink="">
          <xdr:nvSpPr>
            <xdr:cNvPr id="99331" name="Button 3" hidden="1">
              <a:extLst>
                <a:ext uri="{63B3BB69-23CF-44E3-9099-C40C66FF867C}">
                  <a14:compatExt spid="_x0000_s99331"/>
                </a:ext>
                <a:ext uri="{FF2B5EF4-FFF2-40B4-BE49-F238E27FC236}">
                  <a16:creationId xmlns:a16="http://schemas.microsoft.com/office/drawing/2014/main" id="{00000000-0008-0000-3100-000003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0</xdr:col>
          <xdr:colOff>622300</xdr:colOff>
          <xdr:row>4</xdr:row>
          <xdr:rowOff>25400</xdr:rowOff>
        </xdr:to>
        <xdr:sp macro="" textlink="">
          <xdr:nvSpPr>
            <xdr:cNvPr id="99332" name="Button 4" hidden="1">
              <a:extLst>
                <a:ext uri="{63B3BB69-23CF-44E3-9099-C40C66FF867C}">
                  <a14:compatExt spid="_x0000_s99332"/>
                </a:ext>
                <a:ext uri="{FF2B5EF4-FFF2-40B4-BE49-F238E27FC236}">
                  <a16:creationId xmlns:a16="http://schemas.microsoft.com/office/drawing/2014/main" id="{00000000-0008-0000-3100-000004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990600</xdr:colOff>
          <xdr:row>11</xdr:row>
          <xdr:rowOff>0</xdr:rowOff>
        </xdr:from>
        <xdr:to>
          <xdr:col>17</xdr:col>
          <xdr:colOff>577850</xdr:colOff>
          <xdr:row>14</xdr:row>
          <xdr:rowOff>63500</xdr:rowOff>
        </xdr:to>
        <xdr:sp macro="" textlink="">
          <xdr:nvSpPr>
            <xdr:cNvPr id="99333" name="Button 5" hidden="1">
              <a:extLst>
                <a:ext uri="{63B3BB69-23CF-44E3-9099-C40C66FF867C}">
                  <a14:compatExt spid="_x0000_s99333"/>
                </a:ext>
                <a:ext uri="{FF2B5EF4-FFF2-40B4-BE49-F238E27FC236}">
                  <a16:creationId xmlns:a16="http://schemas.microsoft.com/office/drawing/2014/main" id="{00000000-0008-0000-3100-000005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next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11</xdr:row>
          <xdr:rowOff>0</xdr:rowOff>
        </xdr:from>
        <xdr:to>
          <xdr:col>16</xdr:col>
          <xdr:colOff>965200</xdr:colOff>
          <xdr:row>14</xdr:row>
          <xdr:rowOff>63500</xdr:rowOff>
        </xdr:to>
        <xdr:sp macro="" textlink="">
          <xdr:nvSpPr>
            <xdr:cNvPr id="99334" name="Button 6" hidden="1">
              <a:extLst>
                <a:ext uri="{63B3BB69-23CF-44E3-9099-C40C66FF867C}">
                  <a14:compatExt spid="_x0000_s99334"/>
                </a:ext>
                <a:ext uri="{FF2B5EF4-FFF2-40B4-BE49-F238E27FC236}">
                  <a16:creationId xmlns:a16="http://schemas.microsoft.com/office/drawing/2014/main" id="{00000000-0008-0000-3100-000006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previous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7</xdr:row>
          <xdr:rowOff>146050</xdr:rowOff>
        </xdr:from>
        <xdr:to>
          <xdr:col>16</xdr:col>
          <xdr:colOff>755650</xdr:colOff>
          <xdr:row>7</xdr:row>
          <xdr:rowOff>533400</xdr:rowOff>
        </xdr:to>
        <xdr:sp macro="" textlink="">
          <xdr:nvSpPr>
            <xdr:cNvPr id="99335" name="Button 7" hidden="1">
              <a:extLst>
                <a:ext uri="{63B3BB69-23CF-44E3-9099-C40C66FF867C}">
                  <a14:compatExt spid="_x0000_s99335"/>
                </a:ext>
                <a:ext uri="{FF2B5EF4-FFF2-40B4-BE49-F238E27FC236}">
                  <a16:creationId xmlns:a16="http://schemas.microsoft.com/office/drawing/2014/main" id="{00000000-0008-0000-3100-000007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762000</xdr:colOff>
          <xdr:row>7</xdr:row>
          <xdr:rowOff>146050</xdr:rowOff>
        </xdr:from>
        <xdr:to>
          <xdr:col>17</xdr:col>
          <xdr:colOff>279400</xdr:colOff>
          <xdr:row>7</xdr:row>
          <xdr:rowOff>533400</xdr:rowOff>
        </xdr:to>
        <xdr:sp macro="" textlink="">
          <xdr:nvSpPr>
            <xdr:cNvPr id="99336" name="Button 8" hidden="1">
              <a:extLst>
                <a:ext uri="{63B3BB69-23CF-44E3-9099-C40C66FF867C}">
                  <a14:compatExt spid="_x0000_s99336"/>
                </a:ext>
                <a:ext uri="{FF2B5EF4-FFF2-40B4-BE49-F238E27FC236}">
                  <a16:creationId xmlns:a16="http://schemas.microsoft.com/office/drawing/2014/main" id="{00000000-0008-0000-3100-000008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298450</xdr:colOff>
          <xdr:row>7</xdr:row>
          <xdr:rowOff>146050</xdr:rowOff>
        </xdr:from>
        <xdr:to>
          <xdr:col>17</xdr:col>
          <xdr:colOff>831850</xdr:colOff>
          <xdr:row>7</xdr:row>
          <xdr:rowOff>533400</xdr:rowOff>
        </xdr:to>
        <xdr:sp macro="" textlink="">
          <xdr:nvSpPr>
            <xdr:cNvPr id="99337" name="Button 9" hidden="1">
              <a:extLst>
                <a:ext uri="{63B3BB69-23CF-44E3-9099-C40C66FF867C}">
                  <a14:compatExt spid="_x0000_s99337"/>
                </a:ext>
                <a:ext uri="{FF2B5EF4-FFF2-40B4-BE49-F238E27FC236}">
                  <a16:creationId xmlns:a16="http://schemas.microsoft.com/office/drawing/2014/main" id="{00000000-0008-0000-3100-0000098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838200</xdr:colOff>
          <xdr:row>7</xdr:row>
          <xdr:rowOff>146050</xdr:rowOff>
        </xdr:from>
        <xdr:to>
          <xdr:col>18</xdr:col>
          <xdr:colOff>482600</xdr:colOff>
          <xdr:row>7</xdr:row>
          <xdr:rowOff>533400</xdr:rowOff>
        </xdr:to>
        <xdr:sp macro="" textlink="">
          <xdr:nvSpPr>
            <xdr:cNvPr id="99338" name="Button 10" hidden="1">
              <a:extLst>
                <a:ext uri="{63B3BB69-23CF-44E3-9099-C40C66FF867C}">
                  <a14:compatExt spid="_x0000_s99338"/>
                </a:ext>
                <a:ext uri="{FF2B5EF4-FFF2-40B4-BE49-F238E27FC236}">
                  <a16:creationId xmlns:a16="http://schemas.microsoft.com/office/drawing/2014/main" id="{00000000-0008-0000-3100-00000A8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6</xdr:row>
          <xdr:rowOff>0</xdr:rowOff>
        </xdr:from>
        <xdr:to>
          <xdr:col>17</xdr:col>
          <xdr:colOff>431800</xdr:colOff>
          <xdr:row>7</xdr:row>
          <xdr:rowOff>127000</xdr:rowOff>
        </xdr:to>
        <xdr:sp macro="" textlink="">
          <xdr:nvSpPr>
            <xdr:cNvPr id="99339" name="Button 11" hidden="1">
              <a:extLst>
                <a:ext uri="{63B3BB69-23CF-44E3-9099-C40C66FF867C}">
                  <a14:compatExt spid="_x0000_s99339"/>
                </a:ext>
                <a:ext uri="{FF2B5EF4-FFF2-40B4-BE49-F238E27FC236}">
                  <a16:creationId xmlns:a16="http://schemas.microsoft.com/office/drawing/2014/main" id="{00000000-0008-0000-3100-00000B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6</xdr:row>
          <xdr:rowOff>0</xdr:rowOff>
        </xdr:from>
        <xdr:to>
          <xdr:col>16</xdr:col>
          <xdr:colOff>901700</xdr:colOff>
          <xdr:row>7</xdr:row>
          <xdr:rowOff>127000</xdr:rowOff>
        </xdr:to>
        <xdr:sp macro="" textlink="">
          <xdr:nvSpPr>
            <xdr:cNvPr id="99340" name="Button 12" hidden="1">
              <a:extLst>
                <a:ext uri="{63B3BB69-23CF-44E3-9099-C40C66FF867C}">
                  <a14:compatExt spid="_x0000_s99340"/>
                </a:ext>
                <a:ext uri="{FF2B5EF4-FFF2-40B4-BE49-F238E27FC236}">
                  <a16:creationId xmlns:a16="http://schemas.microsoft.com/office/drawing/2014/main" id="{00000000-0008-0000-3100-00000C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444500</xdr:colOff>
          <xdr:row>6</xdr:row>
          <xdr:rowOff>0</xdr:rowOff>
        </xdr:from>
        <xdr:to>
          <xdr:col>18</xdr:col>
          <xdr:colOff>482600</xdr:colOff>
          <xdr:row>7</xdr:row>
          <xdr:rowOff>127000</xdr:rowOff>
        </xdr:to>
        <xdr:sp macro="" textlink="">
          <xdr:nvSpPr>
            <xdr:cNvPr id="99341" name="Button 13" hidden="1">
              <a:extLst>
                <a:ext uri="{63B3BB69-23CF-44E3-9099-C40C66FF867C}">
                  <a14:compatExt spid="_x0000_s99341"/>
                </a:ext>
                <a:ext uri="{FF2B5EF4-FFF2-40B4-BE49-F238E27FC236}">
                  <a16:creationId xmlns:a16="http://schemas.microsoft.com/office/drawing/2014/main" id="{00000000-0008-0000-3100-00000D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69850</xdr:colOff>
          <xdr:row>15</xdr:row>
          <xdr:rowOff>63500</xdr:rowOff>
        </xdr:from>
        <xdr:to>
          <xdr:col>17</xdr:col>
          <xdr:colOff>584200</xdr:colOff>
          <xdr:row>18</xdr:row>
          <xdr:rowOff>120650</xdr:rowOff>
        </xdr:to>
        <xdr:sp macro="" textlink="">
          <xdr:nvSpPr>
            <xdr:cNvPr id="99342" name="Button 14" hidden="1">
              <a:extLst>
                <a:ext uri="{63B3BB69-23CF-44E3-9099-C40C66FF867C}">
                  <a14:compatExt spid="_x0000_s99342"/>
                </a:ext>
                <a:ext uri="{FF2B5EF4-FFF2-40B4-BE49-F238E27FC236}">
                  <a16:creationId xmlns:a16="http://schemas.microsoft.com/office/drawing/2014/main" id="{00000000-0008-0000-3100-00000E8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 Input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18</xdr:row>
          <xdr:rowOff>25400</xdr:rowOff>
        </xdr:from>
        <xdr:to>
          <xdr:col>3</xdr:col>
          <xdr:colOff>1257300</xdr:colOff>
          <xdr:row>19</xdr:row>
          <xdr:rowOff>127000</xdr:rowOff>
        </xdr:to>
        <xdr:sp macro="" textlink="">
          <xdr:nvSpPr>
            <xdr:cNvPr id="84993" name="splitcalcbutton" hidden="1">
              <a:extLst>
                <a:ext uri="{63B3BB69-23CF-44E3-9099-C40C66FF867C}">
                  <a14:compatExt spid="_x0000_s84993"/>
                </a:ext>
                <a:ext uri="{FF2B5EF4-FFF2-40B4-BE49-F238E27FC236}">
                  <a16:creationId xmlns:a16="http://schemas.microsoft.com/office/drawing/2014/main" id="{00000000-0008-0000-3200-0000014C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146050</xdr:colOff>
          <xdr:row>1</xdr:row>
          <xdr:rowOff>76200</xdr:rowOff>
        </xdr:from>
        <xdr:to>
          <xdr:col>1</xdr:col>
          <xdr:colOff>463550</xdr:colOff>
          <xdr:row>3</xdr:row>
          <xdr:rowOff>69850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3200-0000044C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177800</xdr:colOff>
          <xdr:row>2</xdr:row>
          <xdr:rowOff>165100</xdr:rowOff>
        </xdr:from>
        <xdr:to>
          <xdr:col>8</xdr:col>
          <xdr:colOff>31750</xdr:colOff>
          <xdr:row>4</xdr:row>
          <xdr:rowOff>12700</xdr:rowOff>
        </xdr:to>
        <xdr:sp macro="" textlink="">
          <xdr:nvSpPr>
            <xdr:cNvPr id="84997" name="Button 5" hidden="1">
              <a:extLst>
                <a:ext uri="{63B3BB69-23CF-44E3-9099-C40C66FF867C}">
                  <a14:compatExt spid="_x0000_s84997"/>
                </a:ext>
                <a:ext uri="{FF2B5EF4-FFF2-40B4-BE49-F238E27FC236}">
                  <a16:creationId xmlns:a16="http://schemas.microsoft.com/office/drawing/2014/main" id="{00000000-0008-0000-3200-000005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69850</xdr:colOff>
          <xdr:row>19</xdr:row>
          <xdr:rowOff>101600</xdr:rowOff>
        </xdr:from>
        <xdr:to>
          <xdr:col>1</xdr:col>
          <xdr:colOff>1073150</xdr:colOff>
          <xdr:row>21</xdr:row>
          <xdr:rowOff>76200</xdr:rowOff>
        </xdr:to>
        <xdr:sp macro="" textlink="">
          <xdr:nvSpPr>
            <xdr:cNvPr id="84998" name="Button 6" hidden="1">
              <a:extLst>
                <a:ext uri="{63B3BB69-23CF-44E3-9099-C40C66FF867C}">
                  <a14:compatExt spid="_x0000_s84998"/>
                </a:ext>
                <a:ext uri="{FF2B5EF4-FFF2-40B4-BE49-F238E27FC236}">
                  <a16:creationId xmlns:a16="http://schemas.microsoft.com/office/drawing/2014/main" id="{00000000-0008-0000-3200-000006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goto 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203200</xdr:colOff>
          <xdr:row>2</xdr:row>
          <xdr:rowOff>158750</xdr:rowOff>
        </xdr:from>
        <xdr:to>
          <xdr:col>11</xdr:col>
          <xdr:colOff>50800</xdr:colOff>
          <xdr:row>4</xdr:row>
          <xdr:rowOff>0</xdr:rowOff>
        </xdr:to>
        <xdr:sp macro="" textlink="">
          <xdr:nvSpPr>
            <xdr:cNvPr id="84999" name="Button 7" hidden="1">
              <a:extLst>
                <a:ext uri="{63B3BB69-23CF-44E3-9099-C40C66FF867C}">
                  <a14:compatExt spid="_x0000_s84999"/>
                </a:ext>
                <a:ext uri="{FF2B5EF4-FFF2-40B4-BE49-F238E27FC236}">
                  <a16:creationId xmlns:a16="http://schemas.microsoft.com/office/drawing/2014/main" id="{00000000-0008-0000-3200-000007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go to split report</a:t>
              </a:r>
              <a:endParaRPr lang="en-GB" sz="1000" b="0" i="0" u="none" strike="noStrike" baseline="0">
                <a:solidFill>
                  <a:srgbClr val="000000"/>
                </a:solidFill>
                <a:latin typeface="Arial"/>
                <a:cs typeface="Arial"/>
              </a:endParaRPr>
            </a:p>
            <a:p>
              <a:pPr algn="ctr" rtl="0">
                <a:defRPr sz="1000"/>
              </a:pPr>
              <a:r>
                <a:rPr lang="en-GB" sz="800" b="0" i="0" u="none" strike="noStrike" baseline="0">
                  <a:solidFill>
                    <a:srgbClr val="FF0000"/>
                  </a:solidFill>
                  <a:latin typeface="Arial"/>
                  <a:cs typeface="Arial"/>
                </a:rPr>
                <a:t>(without calculating)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xdr:colOff>
          <xdr:row>17</xdr:row>
          <xdr:rowOff>38100</xdr:rowOff>
        </xdr:from>
        <xdr:to>
          <xdr:col>2</xdr:col>
          <xdr:colOff>1225550</xdr:colOff>
          <xdr:row>18</xdr:row>
          <xdr:rowOff>158750</xdr:rowOff>
        </xdr:to>
        <xdr:sp macro="" textlink="">
          <xdr:nvSpPr>
            <xdr:cNvPr id="85002" name="Button 10" hidden="1">
              <a:extLst>
                <a:ext uri="{63B3BB69-23CF-44E3-9099-C40C66FF867C}">
                  <a14:compatExt spid="_x0000_s85002"/>
                </a:ext>
                <a:ext uri="{FF2B5EF4-FFF2-40B4-BE49-F238E27FC236}">
                  <a16:creationId xmlns:a16="http://schemas.microsoft.com/office/drawing/2014/main" id="{00000000-0008-0000-3200-00000A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FF0000"/>
                  </a:solidFill>
                  <a:latin typeface="Arial"/>
                  <a:cs typeface="Arial"/>
                </a:rPr>
                <a:t>more than five?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44450</xdr:colOff>
          <xdr:row>5</xdr:row>
          <xdr:rowOff>31750</xdr:rowOff>
        </xdr:from>
        <xdr:to>
          <xdr:col>1</xdr:col>
          <xdr:colOff>1060450</xdr:colOff>
          <xdr:row>8</xdr:row>
          <xdr:rowOff>101600</xdr:rowOff>
        </xdr:to>
        <xdr:sp macro="" textlink="">
          <xdr:nvSpPr>
            <xdr:cNvPr id="85003" name="Group Box 11" hidden="1">
              <a:extLst>
                <a:ext uri="{63B3BB69-23CF-44E3-9099-C40C66FF867C}">
                  <a14:compatExt spid="_x0000_s85003"/>
                </a:ext>
                <a:ext uri="{FF2B5EF4-FFF2-40B4-BE49-F238E27FC236}">
                  <a16:creationId xmlns:a16="http://schemas.microsoft.com/office/drawing/2014/main" id="{00000000-0008-0000-3200-00000B4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88900</xdr:colOff>
          <xdr:row>5</xdr:row>
          <xdr:rowOff>38100</xdr:rowOff>
        </xdr:from>
        <xdr:to>
          <xdr:col>1</xdr:col>
          <xdr:colOff>844550</xdr:colOff>
          <xdr:row>6</xdr:row>
          <xdr:rowOff>101600</xdr:rowOff>
        </xdr:to>
        <xdr:sp macro="" textlink="">
          <xdr:nvSpPr>
            <xdr:cNvPr id="85004" name="Option Button 12" hidden="1">
              <a:extLst>
                <a:ext uri="{63B3BB69-23CF-44E3-9099-C40C66FF867C}">
                  <a14:compatExt spid="_x0000_s85004"/>
                </a:ext>
                <a:ext uri="{FF2B5EF4-FFF2-40B4-BE49-F238E27FC236}">
                  <a16:creationId xmlns:a16="http://schemas.microsoft.com/office/drawing/2014/main" id="{00000000-0008-0000-32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Sched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101600</xdr:colOff>
          <xdr:row>7</xdr:row>
          <xdr:rowOff>6350</xdr:rowOff>
        </xdr:from>
        <xdr:to>
          <xdr:col>1</xdr:col>
          <xdr:colOff>768350</xdr:colOff>
          <xdr:row>8</xdr:row>
          <xdr:rowOff>38100</xdr:rowOff>
        </xdr:to>
        <xdr:sp macro="" textlink="">
          <xdr:nvSpPr>
            <xdr:cNvPr id="85005" name="Option Button 13" hidden="1">
              <a:extLst>
                <a:ext uri="{63B3BB69-23CF-44E3-9099-C40C66FF867C}">
                  <a14:compatExt spid="_x0000_s85005"/>
                </a:ext>
                <a:ext uri="{FF2B5EF4-FFF2-40B4-BE49-F238E27FC236}">
                  <a16:creationId xmlns:a16="http://schemas.microsoft.com/office/drawing/2014/main" id="{00000000-0008-0000-32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Reg 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711200</xdr:colOff>
          <xdr:row>6</xdr:row>
          <xdr:rowOff>12700</xdr:rowOff>
        </xdr:from>
        <xdr:to>
          <xdr:col>1</xdr:col>
          <xdr:colOff>1016000</xdr:colOff>
          <xdr:row>7</xdr:row>
          <xdr:rowOff>88900</xdr:rowOff>
        </xdr:to>
        <xdr:sp macro="" textlink="">
          <xdr:nvSpPr>
            <xdr:cNvPr id="85006" name="Button 14" hidden="1">
              <a:extLst>
                <a:ext uri="{63B3BB69-23CF-44E3-9099-C40C66FF867C}">
                  <a14:compatExt spid="_x0000_s85006"/>
                </a:ext>
                <a:ext uri="{FF2B5EF4-FFF2-40B4-BE49-F238E27FC236}">
                  <a16:creationId xmlns:a16="http://schemas.microsoft.com/office/drawing/2014/main" id="{00000000-0008-0000-3200-00000E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203200</xdr:colOff>
          <xdr:row>4</xdr:row>
          <xdr:rowOff>107950</xdr:rowOff>
        </xdr:from>
        <xdr:to>
          <xdr:col>13</xdr:col>
          <xdr:colOff>1206500</xdr:colOff>
          <xdr:row>6</xdr:row>
          <xdr:rowOff>50800</xdr:rowOff>
        </xdr:to>
        <xdr:sp macro="" textlink="">
          <xdr:nvSpPr>
            <xdr:cNvPr id="85007" name="Button 15" hidden="1">
              <a:extLst>
                <a:ext uri="{63B3BB69-23CF-44E3-9099-C40C66FF867C}">
                  <a14:compatExt spid="_x0000_s85007"/>
                </a:ext>
                <a:ext uri="{FF2B5EF4-FFF2-40B4-BE49-F238E27FC236}">
                  <a16:creationId xmlns:a16="http://schemas.microsoft.com/office/drawing/2014/main" id="{00000000-0008-0000-3200-00000F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Error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xdr:row>
          <xdr:rowOff>146050</xdr:rowOff>
        </xdr:from>
        <xdr:to>
          <xdr:col>3</xdr:col>
          <xdr:colOff>196850</xdr:colOff>
          <xdr:row>3</xdr:row>
          <xdr:rowOff>342900</xdr:rowOff>
        </xdr:to>
        <xdr:sp macro="" textlink="">
          <xdr:nvSpPr>
            <xdr:cNvPr id="85053" name="Drop Down 61" hidden="1">
              <a:extLst>
                <a:ext uri="{63B3BB69-23CF-44E3-9099-C40C66FF867C}">
                  <a14:compatExt spid="_x0000_s85053"/>
                </a:ext>
                <a:ext uri="{FF2B5EF4-FFF2-40B4-BE49-F238E27FC236}">
                  <a16:creationId xmlns:a16="http://schemas.microsoft.com/office/drawing/2014/main" id="{00000000-0008-0000-3200-00003D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622300</xdr:colOff>
          <xdr:row>3</xdr:row>
          <xdr:rowOff>120650</xdr:rowOff>
        </xdr:from>
        <xdr:to>
          <xdr:col>3</xdr:col>
          <xdr:colOff>1028700</xdr:colOff>
          <xdr:row>3</xdr:row>
          <xdr:rowOff>330200</xdr:rowOff>
        </xdr:to>
        <xdr:sp macro="" textlink="">
          <xdr:nvSpPr>
            <xdr:cNvPr id="85054" name="Button 62" hidden="1">
              <a:extLst>
                <a:ext uri="{63B3BB69-23CF-44E3-9099-C40C66FF867C}">
                  <a14:compatExt spid="_x0000_s85054"/>
                </a:ext>
                <a:ext uri="{FF2B5EF4-FFF2-40B4-BE49-F238E27FC236}">
                  <a16:creationId xmlns:a16="http://schemas.microsoft.com/office/drawing/2014/main" id="{00000000-0008-0000-3200-00003E4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800" b="1" i="0" u="none" strike="noStrike" baseline="0">
                  <a:solidFill>
                    <a:srgbClr val="0000FF"/>
                  </a:solidFill>
                  <a:latin typeface="Arial"/>
                  <a:cs typeface="Arial"/>
                </a:rPr>
                <a:t>GL?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1130300</xdr:colOff>
          <xdr:row>3</xdr:row>
          <xdr:rowOff>120650</xdr:rowOff>
        </xdr:from>
        <xdr:to>
          <xdr:col>5</xdr:col>
          <xdr:colOff>63500</xdr:colOff>
          <xdr:row>3</xdr:row>
          <xdr:rowOff>317500</xdr:rowOff>
        </xdr:to>
        <xdr:sp macro="" textlink="">
          <xdr:nvSpPr>
            <xdr:cNvPr id="85055" name="Drop Down 63" hidden="1">
              <a:extLst>
                <a:ext uri="{63B3BB69-23CF-44E3-9099-C40C66FF867C}">
                  <a14:compatExt spid="_x0000_s85055"/>
                </a:ext>
                <a:ext uri="{FF2B5EF4-FFF2-40B4-BE49-F238E27FC236}">
                  <a16:creationId xmlns:a16="http://schemas.microsoft.com/office/drawing/2014/main" id="{00000000-0008-0000-3200-00003F4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30</xdr:row>
          <xdr:rowOff>31750</xdr:rowOff>
        </xdr:from>
        <xdr:to>
          <xdr:col>13</xdr:col>
          <xdr:colOff>577850</xdr:colOff>
          <xdr:row>32</xdr:row>
          <xdr:rowOff>6350</xdr:rowOff>
        </xdr:to>
        <xdr:sp macro="" textlink="">
          <xdr:nvSpPr>
            <xdr:cNvPr id="85056" name="Button 64" hidden="1">
              <a:extLst>
                <a:ext uri="{63B3BB69-23CF-44E3-9099-C40C66FF867C}">
                  <a14:compatExt spid="_x0000_s85056"/>
                </a:ext>
                <a:ext uri="{FF2B5EF4-FFF2-40B4-BE49-F238E27FC236}">
                  <a16:creationId xmlns:a16="http://schemas.microsoft.com/office/drawing/2014/main" id="{00000000-0008-0000-3200-0000404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30</xdr:row>
          <xdr:rowOff>31750</xdr:rowOff>
        </xdr:from>
        <xdr:to>
          <xdr:col>11</xdr:col>
          <xdr:colOff>127000</xdr:colOff>
          <xdr:row>32</xdr:row>
          <xdr:rowOff>6350</xdr:rowOff>
        </xdr:to>
        <xdr:sp macro="" textlink="">
          <xdr:nvSpPr>
            <xdr:cNvPr id="85057" name="Button 65" hidden="1">
              <a:extLst>
                <a:ext uri="{63B3BB69-23CF-44E3-9099-C40C66FF867C}">
                  <a14:compatExt spid="_x0000_s85057"/>
                </a:ext>
                <a:ext uri="{FF2B5EF4-FFF2-40B4-BE49-F238E27FC236}">
                  <a16:creationId xmlns:a16="http://schemas.microsoft.com/office/drawing/2014/main" id="{00000000-0008-0000-3200-0000414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30</xdr:row>
          <xdr:rowOff>31750</xdr:rowOff>
        </xdr:from>
        <xdr:to>
          <xdr:col>8</xdr:col>
          <xdr:colOff>463550</xdr:colOff>
          <xdr:row>32</xdr:row>
          <xdr:rowOff>6350</xdr:rowOff>
        </xdr:to>
        <xdr:sp macro="" textlink="">
          <xdr:nvSpPr>
            <xdr:cNvPr id="85058" name="Button 66" hidden="1">
              <a:extLst>
                <a:ext uri="{63B3BB69-23CF-44E3-9099-C40C66FF867C}">
                  <a14:compatExt spid="_x0000_s85058"/>
                </a:ext>
                <a:ext uri="{FF2B5EF4-FFF2-40B4-BE49-F238E27FC236}">
                  <a16:creationId xmlns:a16="http://schemas.microsoft.com/office/drawing/2014/main" id="{00000000-0008-0000-3200-0000424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673100</xdr:colOff>
          <xdr:row>30</xdr:row>
          <xdr:rowOff>31750</xdr:rowOff>
        </xdr:from>
        <xdr:to>
          <xdr:col>5</xdr:col>
          <xdr:colOff>165100</xdr:colOff>
          <xdr:row>32</xdr:row>
          <xdr:rowOff>6350</xdr:rowOff>
        </xdr:to>
        <xdr:sp macro="" textlink="">
          <xdr:nvSpPr>
            <xdr:cNvPr id="85059" name="Button 67" hidden="1">
              <a:extLst>
                <a:ext uri="{63B3BB69-23CF-44E3-9099-C40C66FF867C}">
                  <a14:compatExt spid="_x0000_s85059"/>
                </a:ext>
                <a:ext uri="{FF2B5EF4-FFF2-40B4-BE49-F238E27FC236}">
                  <a16:creationId xmlns:a16="http://schemas.microsoft.com/office/drawing/2014/main" id="{00000000-0008-0000-3200-0000434C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228600</xdr:colOff>
          <xdr:row>1</xdr:row>
          <xdr:rowOff>165100</xdr:rowOff>
        </xdr:from>
        <xdr:to>
          <xdr:col>13</xdr:col>
          <xdr:colOff>1060450</xdr:colOff>
          <xdr:row>3</xdr:row>
          <xdr:rowOff>260350</xdr:rowOff>
        </xdr:to>
        <xdr:sp macro="" textlink="">
          <xdr:nvSpPr>
            <xdr:cNvPr id="85060" name="globalbacktobutton" hidden="1">
              <a:extLst>
                <a:ext uri="{63B3BB69-23CF-44E3-9099-C40C66FF867C}">
                  <a14:compatExt spid="_x0000_s85060"/>
                </a:ext>
                <a:ext uri="{FF2B5EF4-FFF2-40B4-BE49-F238E27FC236}">
                  <a16:creationId xmlns:a16="http://schemas.microsoft.com/office/drawing/2014/main" id="{00000000-0008-0000-3200-0000444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2</xdr:col>
          <xdr:colOff>114300</xdr:colOff>
          <xdr:row>0</xdr:row>
          <xdr:rowOff>311150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3300-000001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298450</xdr:colOff>
          <xdr:row>0</xdr:row>
          <xdr:rowOff>76200</xdr:rowOff>
        </xdr:from>
        <xdr:to>
          <xdr:col>4</xdr:col>
          <xdr:colOff>482600</xdr:colOff>
          <xdr:row>0</xdr:row>
          <xdr:rowOff>311150</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3300-000002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split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520700</xdr:colOff>
          <xdr:row>0</xdr:row>
          <xdr:rowOff>76200</xdr:rowOff>
        </xdr:from>
        <xdr:to>
          <xdr:col>6</xdr:col>
          <xdr:colOff>184150</xdr:colOff>
          <xdr:row>0</xdr:row>
          <xdr:rowOff>311150</xdr:rowOff>
        </xdr:to>
        <xdr:sp macro="" textlink="">
          <xdr:nvSpPr>
            <xdr:cNvPr id="86019" name="Button 3" hidden="1">
              <a:extLst>
                <a:ext uri="{63B3BB69-23CF-44E3-9099-C40C66FF867C}">
                  <a14:compatExt spid="_x0000_s86019"/>
                </a:ext>
                <a:ext uri="{FF2B5EF4-FFF2-40B4-BE49-F238E27FC236}">
                  <a16:creationId xmlns:a16="http://schemas.microsoft.com/office/drawing/2014/main" id="{00000000-0008-0000-3300-000003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6350</xdr:rowOff>
        </xdr:from>
        <xdr:to>
          <xdr:col>0</xdr:col>
          <xdr:colOff>241300</xdr:colOff>
          <xdr:row>5</xdr:row>
          <xdr:rowOff>6350</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3300-000004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6350</xdr:rowOff>
        </xdr:from>
        <xdr:to>
          <xdr:col>0</xdr:col>
          <xdr:colOff>241300</xdr:colOff>
          <xdr:row>7</xdr:row>
          <xdr:rowOff>6350</xdr:rowOff>
        </xdr:to>
        <xdr:sp macro="" textlink="">
          <xdr:nvSpPr>
            <xdr:cNvPr id="86021" name="Button 5" hidden="1">
              <a:extLst>
                <a:ext uri="{63B3BB69-23CF-44E3-9099-C40C66FF867C}">
                  <a14:compatExt spid="_x0000_s86021"/>
                </a:ext>
                <a:ext uri="{FF2B5EF4-FFF2-40B4-BE49-F238E27FC236}">
                  <a16:creationId xmlns:a16="http://schemas.microsoft.com/office/drawing/2014/main" id="{00000000-0008-0000-3300-000005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8</xdr:row>
          <xdr:rowOff>6350</xdr:rowOff>
        </xdr:from>
        <xdr:to>
          <xdr:col>0</xdr:col>
          <xdr:colOff>241300</xdr:colOff>
          <xdr:row>9</xdr:row>
          <xdr:rowOff>6350</xdr:rowOff>
        </xdr:to>
        <xdr:sp macro="" textlink="">
          <xdr:nvSpPr>
            <xdr:cNvPr id="86022" name="Button 6" hidden="1">
              <a:extLst>
                <a:ext uri="{63B3BB69-23CF-44E3-9099-C40C66FF867C}">
                  <a14:compatExt spid="_x0000_s86022"/>
                </a:ext>
                <a:ext uri="{FF2B5EF4-FFF2-40B4-BE49-F238E27FC236}">
                  <a16:creationId xmlns:a16="http://schemas.microsoft.com/office/drawing/2014/main" id="{00000000-0008-0000-3300-000006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0</xdr:row>
          <xdr:rowOff>76200</xdr:rowOff>
        </xdr:from>
        <xdr:to>
          <xdr:col>7</xdr:col>
          <xdr:colOff>762000</xdr:colOff>
          <xdr:row>0</xdr:row>
          <xdr:rowOff>311150</xdr:rowOff>
        </xdr:to>
        <xdr:sp macro="" textlink="">
          <xdr:nvSpPr>
            <xdr:cNvPr id="86023" name="Button 7" hidden="1">
              <a:extLst>
                <a:ext uri="{63B3BB69-23CF-44E3-9099-C40C66FF867C}">
                  <a14:compatExt spid="_x0000_s86023"/>
                </a:ext>
                <a:ext uri="{FF2B5EF4-FFF2-40B4-BE49-F238E27FC236}">
                  <a16:creationId xmlns:a16="http://schemas.microsoft.com/office/drawing/2014/main" id="{00000000-0008-0000-3300-000007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33</xdr:row>
          <xdr:rowOff>76200</xdr:rowOff>
        </xdr:from>
        <xdr:to>
          <xdr:col>19</xdr:col>
          <xdr:colOff>0</xdr:colOff>
          <xdr:row>34</xdr:row>
          <xdr:rowOff>44450</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3300-000008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xdr:colOff>
          <xdr:row>35</xdr:row>
          <xdr:rowOff>158750</xdr:rowOff>
        </xdr:from>
        <xdr:to>
          <xdr:col>18</xdr:col>
          <xdr:colOff>882650</xdr:colOff>
          <xdr:row>37</xdr:row>
          <xdr:rowOff>127000</xdr:rowOff>
        </xdr:to>
        <xdr:sp macro="" textlink="">
          <xdr:nvSpPr>
            <xdr:cNvPr id="86025" name="Button 9" hidden="1">
              <a:extLst>
                <a:ext uri="{63B3BB69-23CF-44E3-9099-C40C66FF867C}">
                  <a14:compatExt spid="_x0000_s86025"/>
                </a:ext>
                <a:ext uri="{FF2B5EF4-FFF2-40B4-BE49-F238E27FC236}">
                  <a16:creationId xmlns:a16="http://schemas.microsoft.com/office/drawing/2014/main" id="{00000000-0008-0000-3300-000009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24</xdr:row>
          <xdr:rowOff>158750</xdr:rowOff>
        </xdr:from>
        <xdr:to>
          <xdr:col>7</xdr:col>
          <xdr:colOff>831850</xdr:colOff>
          <xdr:row>26</xdr:row>
          <xdr:rowOff>6350</xdr:rowOff>
        </xdr:to>
        <xdr:sp macro="" textlink="">
          <xdr:nvSpPr>
            <xdr:cNvPr id="86030" name="Button 14" hidden="1">
              <a:extLst>
                <a:ext uri="{63B3BB69-23CF-44E3-9099-C40C66FF867C}">
                  <a14:compatExt spid="_x0000_s86030"/>
                </a:ext>
                <a:ext uri="{FF2B5EF4-FFF2-40B4-BE49-F238E27FC236}">
                  <a16:creationId xmlns:a16="http://schemas.microsoft.com/office/drawing/2014/main" id="{00000000-0008-0000-3300-00000E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374650</xdr:colOff>
          <xdr:row>24</xdr:row>
          <xdr:rowOff>158750</xdr:rowOff>
        </xdr:from>
        <xdr:to>
          <xdr:col>9</xdr:col>
          <xdr:colOff>825500</xdr:colOff>
          <xdr:row>26</xdr:row>
          <xdr:rowOff>6350</xdr:rowOff>
        </xdr:to>
        <xdr:sp macro="" textlink="">
          <xdr:nvSpPr>
            <xdr:cNvPr id="86031" name="Button 15" hidden="1">
              <a:extLst>
                <a:ext uri="{63B3BB69-23CF-44E3-9099-C40C66FF867C}">
                  <a14:compatExt spid="_x0000_s86031"/>
                </a:ext>
                <a:ext uri="{FF2B5EF4-FFF2-40B4-BE49-F238E27FC236}">
                  <a16:creationId xmlns:a16="http://schemas.microsoft.com/office/drawing/2014/main" id="{00000000-0008-0000-3300-00000F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349250</xdr:colOff>
          <xdr:row>24</xdr:row>
          <xdr:rowOff>158750</xdr:rowOff>
        </xdr:from>
        <xdr:to>
          <xdr:col>11</xdr:col>
          <xdr:colOff>800100</xdr:colOff>
          <xdr:row>26</xdr:row>
          <xdr:rowOff>6350</xdr:rowOff>
        </xdr:to>
        <xdr:sp macro="" textlink="">
          <xdr:nvSpPr>
            <xdr:cNvPr id="86032" name="Button 16" hidden="1">
              <a:extLst>
                <a:ext uri="{63B3BB69-23CF-44E3-9099-C40C66FF867C}">
                  <a14:compatExt spid="_x0000_s86032"/>
                </a:ext>
                <a:ext uri="{FF2B5EF4-FFF2-40B4-BE49-F238E27FC236}">
                  <a16:creationId xmlns:a16="http://schemas.microsoft.com/office/drawing/2014/main" id="{00000000-0008-0000-3300-000010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355600</xdr:colOff>
          <xdr:row>25</xdr:row>
          <xdr:rowOff>0</xdr:rowOff>
        </xdr:from>
        <xdr:to>
          <xdr:col>13</xdr:col>
          <xdr:colOff>806450</xdr:colOff>
          <xdr:row>26</xdr:row>
          <xdr:rowOff>25400</xdr:rowOff>
        </xdr:to>
        <xdr:sp macro="" textlink="">
          <xdr:nvSpPr>
            <xdr:cNvPr id="86033" name="Button 17" hidden="1">
              <a:extLst>
                <a:ext uri="{63B3BB69-23CF-44E3-9099-C40C66FF867C}">
                  <a14:compatExt spid="_x0000_s86033"/>
                </a:ext>
                <a:ext uri="{FF2B5EF4-FFF2-40B4-BE49-F238E27FC236}">
                  <a16:creationId xmlns:a16="http://schemas.microsoft.com/office/drawing/2014/main" id="{00000000-0008-0000-3300-000011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24</xdr:row>
          <xdr:rowOff>158750</xdr:rowOff>
        </xdr:from>
        <xdr:to>
          <xdr:col>15</xdr:col>
          <xdr:colOff>831850</xdr:colOff>
          <xdr:row>26</xdr:row>
          <xdr:rowOff>6350</xdr:rowOff>
        </xdr:to>
        <xdr:sp macro="" textlink="">
          <xdr:nvSpPr>
            <xdr:cNvPr id="86034" name="Button 18" hidden="1">
              <a:extLst>
                <a:ext uri="{63B3BB69-23CF-44E3-9099-C40C66FF867C}">
                  <a14:compatExt spid="_x0000_s86034"/>
                </a:ext>
                <a:ext uri="{FF2B5EF4-FFF2-40B4-BE49-F238E27FC236}">
                  <a16:creationId xmlns:a16="http://schemas.microsoft.com/office/drawing/2014/main" id="{00000000-0008-0000-3300-000012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717550</xdr:colOff>
          <xdr:row>0</xdr:row>
          <xdr:rowOff>355600</xdr:rowOff>
        </xdr:from>
        <xdr:to>
          <xdr:col>15</xdr:col>
          <xdr:colOff>0</xdr:colOff>
          <xdr:row>3</xdr:row>
          <xdr:rowOff>12700</xdr:rowOff>
        </xdr:to>
        <xdr:sp macro="" textlink="">
          <xdr:nvSpPr>
            <xdr:cNvPr id="86039" name="Button 23" hidden="1">
              <a:extLst>
                <a:ext uri="{63B3BB69-23CF-44E3-9099-C40C66FF867C}">
                  <a14:compatExt spid="_x0000_s86039"/>
                </a:ext>
                <a:ext uri="{FF2B5EF4-FFF2-40B4-BE49-F238E27FC236}">
                  <a16:creationId xmlns:a16="http://schemas.microsoft.com/office/drawing/2014/main" id="{00000000-0008-0000-3300-000017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6350</xdr:colOff>
          <xdr:row>0</xdr:row>
          <xdr:rowOff>355600</xdr:rowOff>
        </xdr:from>
        <xdr:to>
          <xdr:col>15</xdr:col>
          <xdr:colOff>692150</xdr:colOff>
          <xdr:row>3</xdr:row>
          <xdr:rowOff>12700</xdr:rowOff>
        </xdr:to>
        <xdr:sp macro="" textlink="">
          <xdr:nvSpPr>
            <xdr:cNvPr id="86040" name="Button 24" hidden="1">
              <a:extLst>
                <a:ext uri="{63B3BB69-23CF-44E3-9099-C40C66FF867C}">
                  <a14:compatExt spid="_x0000_s86040"/>
                </a:ext>
                <a:ext uri="{FF2B5EF4-FFF2-40B4-BE49-F238E27FC236}">
                  <a16:creationId xmlns:a16="http://schemas.microsoft.com/office/drawing/2014/main" id="{00000000-0008-0000-3300-000018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698500</xdr:colOff>
          <xdr:row>0</xdr:row>
          <xdr:rowOff>355600</xdr:rowOff>
        </xdr:from>
        <xdr:to>
          <xdr:col>16</xdr:col>
          <xdr:colOff>355600</xdr:colOff>
          <xdr:row>3</xdr:row>
          <xdr:rowOff>12700</xdr:rowOff>
        </xdr:to>
        <xdr:sp macro="" textlink="">
          <xdr:nvSpPr>
            <xdr:cNvPr id="86041" name="Button 25" hidden="1">
              <a:extLst>
                <a:ext uri="{63B3BB69-23CF-44E3-9099-C40C66FF867C}">
                  <a14:compatExt spid="_x0000_s86041"/>
                </a:ext>
                <a:ext uri="{FF2B5EF4-FFF2-40B4-BE49-F238E27FC236}">
                  <a16:creationId xmlns:a16="http://schemas.microsoft.com/office/drawing/2014/main" id="{00000000-0008-0000-3300-00001950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374650</xdr:colOff>
          <xdr:row>0</xdr:row>
          <xdr:rowOff>355600</xdr:rowOff>
        </xdr:from>
        <xdr:to>
          <xdr:col>16</xdr:col>
          <xdr:colOff>901700</xdr:colOff>
          <xdr:row>3</xdr:row>
          <xdr:rowOff>12700</xdr:rowOff>
        </xdr:to>
        <xdr:sp macro="" textlink="">
          <xdr:nvSpPr>
            <xdr:cNvPr id="86042" name="Button 26" hidden="1">
              <a:extLst>
                <a:ext uri="{63B3BB69-23CF-44E3-9099-C40C66FF867C}">
                  <a14:compatExt spid="_x0000_s86042"/>
                </a:ext>
                <a:ext uri="{FF2B5EF4-FFF2-40B4-BE49-F238E27FC236}">
                  <a16:creationId xmlns:a16="http://schemas.microsoft.com/office/drawing/2014/main" id="{00000000-0008-0000-3300-00001A50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0</xdr:row>
          <xdr:rowOff>50800</xdr:rowOff>
        </xdr:from>
        <xdr:to>
          <xdr:col>15</xdr:col>
          <xdr:colOff>838200</xdr:colOff>
          <xdr:row>0</xdr:row>
          <xdr:rowOff>349250</xdr:rowOff>
        </xdr:to>
        <xdr:sp macro="" textlink="">
          <xdr:nvSpPr>
            <xdr:cNvPr id="86043" name="Button 27" hidden="1">
              <a:extLst>
                <a:ext uri="{63B3BB69-23CF-44E3-9099-C40C66FF867C}">
                  <a14:compatExt spid="_x0000_s86043"/>
                </a:ext>
                <a:ext uri="{FF2B5EF4-FFF2-40B4-BE49-F238E27FC236}">
                  <a16:creationId xmlns:a16="http://schemas.microsoft.com/office/drawing/2014/main" id="{00000000-0008-0000-3300-00001B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717550</xdr:colOff>
          <xdr:row>0</xdr:row>
          <xdr:rowOff>50800</xdr:rowOff>
        </xdr:from>
        <xdr:to>
          <xdr:col>15</xdr:col>
          <xdr:colOff>146050</xdr:colOff>
          <xdr:row>0</xdr:row>
          <xdr:rowOff>349250</xdr:rowOff>
        </xdr:to>
        <xdr:sp macro="" textlink="">
          <xdr:nvSpPr>
            <xdr:cNvPr id="86044" name="Button 28" hidden="1">
              <a:extLst>
                <a:ext uri="{63B3BB69-23CF-44E3-9099-C40C66FF867C}">
                  <a14:compatExt spid="_x0000_s86044"/>
                </a:ext>
                <a:ext uri="{FF2B5EF4-FFF2-40B4-BE49-F238E27FC236}">
                  <a16:creationId xmlns:a16="http://schemas.microsoft.com/office/drawing/2014/main" id="{00000000-0008-0000-3300-00001C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844550</xdr:colOff>
          <xdr:row>0</xdr:row>
          <xdr:rowOff>50800</xdr:rowOff>
        </xdr:from>
        <xdr:to>
          <xdr:col>16</xdr:col>
          <xdr:colOff>901700</xdr:colOff>
          <xdr:row>0</xdr:row>
          <xdr:rowOff>349250</xdr:rowOff>
        </xdr:to>
        <xdr:sp macro="" textlink="">
          <xdr:nvSpPr>
            <xdr:cNvPr id="86045" name="Button 29" hidden="1">
              <a:extLst>
                <a:ext uri="{63B3BB69-23CF-44E3-9099-C40C66FF867C}">
                  <a14:compatExt spid="_x0000_s86045"/>
                </a:ext>
                <a:ext uri="{FF2B5EF4-FFF2-40B4-BE49-F238E27FC236}">
                  <a16:creationId xmlns:a16="http://schemas.microsoft.com/office/drawing/2014/main" id="{00000000-0008-0000-3300-00001D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317500</xdr:colOff>
          <xdr:row>0</xdr:row>
          <xdr:rowOff>139700</xdr:rowOff>
        </xdr:from>
        <xdr:to>
          <xdr:col>18</xdr:col>
          <xdr:colOff>946150</xdr:colOff>
          <xdr:row>1</xdr:row>
          <xdr:rowOff>215900</xdr:rowOff>
        </xdr:to>
        <xdr:sp macro="" textlink="">
          <xdr:nvSpPr>
            <xdr:cNvPr id="86046" name="globalbacktobutton" hidden="1">
              <a:extLst>
                <a:ext uri="{63B3BB69-23CF-44E3-9099-C40C66FF867C}">
                  <a14:compatExt spid="_x0000_s86046"/>
                </a:ext>
                <a:ext uri="{FF2B5EF4-FFF2-40B4-BE49-F238E27FC236}">
                  <a16:creationId xmlns:a16="http://schemas.microsoft.com/office/drawing/2014/main" id="{00000000-0008-0000-3300-00001E5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901700</xdr:colOff>
          <xdr:row>35</xdr:row>
          <xdr:rowOff>158750</xdr:rowOff>
        </xdr:from>
        <xdr:to>
          <xdr:col>26</xdr:col>
          <xdr:colOff>234950</xdr:colOff>
          <xdr:row>37</xdr:row>
          <xdr:rowOff>127000</xdr:rowOff>
        </xdr:to>
        <xdr:sp macro="" textlink="">
          <xdr:nvSpPr>
            <xdr:cNvPr id="86047" name="Button 31" hidden="1">
              <a:extLst>
                <a:ext uri="{63B3BB69-23CF-44E3-9099-C40C66FF867C}">
                  <a14:compatExt spid="_x0000_s86047"/>
                </a:ext>
                <a:ext uri="{FF2B5EF4-FFF2-40B4-BE49-F238E27FC236}">
                  <a16:creationId xmlns:a16="http://schemas.microsoft.com/office/drawing/2014/main" id="{00000000-0008-0000-3300-00001F5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cancel</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304800</xdr:colOff>
          <xdr:row>2</xdr:row>
          <xdr:rowOff>127000</xdr:rowOff>
        </xdr:from>
        <xdr:to>
          <xdr:col>8</xdr:col>
          <xdr:colOff>546100</xdr:colOff>
          <xdr:row>4</xdr:row>
          <xdr:rowOff>50800</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3400-000003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0</xdr:row>
          <xdr:rowOff>101600</xdr:rowOff>
        </xdr:from>
        <xdr:to>
          <xdr:col>1</xdr:col>
          <xdr:colOff>222250</xdr:colOff>
          <xdr:row>3</xdr:row>
          <xdr:rowOff>31750</xdr:rowOff>
        </xdr:to>
        <xdr:sp macro="" textlink="">
          <xdr:nvSpPr>
            <xdr:cNvPr id="88068" name="Button 4" hidden="1">
              <a:extLst>
                <a:ext uri="{63B3BB69-23CF-44E3-9099-C40C66FF867C}">
                  <a14:compatExt spid="_x0000_s88068"/>
                </a:ext>
                <a:ext uri="{FF2B5EF4-FFF2-40B4-BE49-F238E27FC236}">
                  <a16:creationId xmlns:a16="http://schemas.microsoft.com/office/drawing/2014/main" id="{00000000-0008-0000-3400-000004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304800</xdr:colOff>
          <xdr:row>4</xdr:row>
          <xdr:rowOff>76200</xdr:rowOff>
        </xdr:from>
        <xdr:to>
          <xdr:col>8</xdr:col>
          <xdr:colOff>546100</xdr:colOff>
          <xdr:row>6</xdr:row>
          <xdr:rowOff>146050</xdr:rowOff>
        </xdr:to>
        <xdr:sp macro="" textlink="">
          <xdr:nvSpPr>
            <xdr:cNvPr id="88069" name="Button 5" hidden="1">
              <a:extLst>
                <a:ext uri="{63B3BB69-23CF-44E3-9099-C40C66FF867C}">
                  <a14:compatExt spid="_x0000_s88069"/>
                </a:ext>
                <a:ext uri="{FF2B5EF4-FFF2-40B4-BE49-F238E27FC236}">
                  <a16:creationId xmlns:a16="http://schemas.microsoft.com/office/drawing/2014/main" id="{00000000-0008-0000-3400-000005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report</a:t>
              </a:r>
            </a:p>
            <a:p>
              <a:pPr algn="ctr" rtl="0">
                <a:defRPr sz="1000"/>
              </a:pPr>
              <a:r>
                <a:rPr lang="en-GB" sz="800" b="0" i="0" u="none" strike="noStrike" baseline="0">
                  <a:solidFill>
                    <a:srgbClr val="FF0000"/>
                  </a:solidFill>
                  <a:latin typeface="Arial"/>
                  <a:cs typeface="Arial"/>
                </a:rPr>
                <a:t>(without calculating)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16</xdr:row>
          <xdr:rowOff>120650</xdr:rowOff>
        </xdr:from>
        <xdr:to>
          <xdr:col>2</xdr:col>
          <xdr:colOff>6350</xdr:colOff>
          <xdr:row>17</xdr:row>
          <xdr:rowOff>44450</xdr:rowOff>
        </xdr:to>
        <xdr:sp macro="" textlink="">
          <xdr:nvSpPr>
            <xdr:cNvPr id="88073" name="Button 9" hidden="1">
              <a:extLst>
                <a:ext uri="{63B3BB69-23CF-44E3-9099-C40C66FF867C}">
                  <a14:compatExt spid="_x0000_s88073"/>
                </a:ext>
                <a:ext uri="{FF2B5EF4-FFF2-40B4-BE49-F238E27FC236}">
                  <a16:creationId xmlns:a16="http://schemas.microsoft.com/office/drawing/2014/main" id="{00000000-0008-0000-3400-000009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address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406400</xdr:colOff>
          <xdr:row>16</xdr:row>
          <xdr:rowOff>38100</xdr:rowOff>
        </xdr:from>
        <xdr:to>
          <xdr:col>6</xdr:col>
          <xdr:colOff>755650</xdr:colOff>
          <xdr:row>16</xdr:row>
          <xdr:rowOff>311150</xdr:rowOff>
        </xdr:to>
        <xdr:sp macro="" textlink="">
          <xdr:nvSpPr>
            <xdr:cNvPr id="88074" name="Button 10" hidden="1">
              <a:extLst>
                <a:ext uri="{63B3BB69-23CF-44E3-9099-C40C66FF867C}">
                  <a14:compatExt spid="_x0000_s88074"/>
                </a:ext>
                <a:ext uri="{FF2B5EF4-FFF2-40B4-BE49-F238E27FC236}">
                  <a16:creationId xmlns:a16="http://schemas.microsoft.com/office/drawing/2014/main" id="{00000000-0008-0000-3400-00000A5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1752600</xdr:colOff>
          <xdr:row>3</xdr:row>
          <xdr:rowOff>38100</xdr:rowOff>
        </xdr:from>
        <xdr:to>
          <xdr:col>2</xdr:col>
          <xdr:colOff>2159000</xdr:colOff>
          <xdr:row>3</xdr:row>
          <xdr:rowOff>241300</xdr:rowOff>
        </xdr:to>
        <xdr:sp macro="" textlink="">
          <xdr:nvSpPr>
            <xdr:cNvPr id="88075" name="Button 11" hidden="1">
              <a:extLst>
                <a:ext uri="{63B3BB69-23CF-44E3-9099-C40C66FF867C}">
                  <a14:compatExt spid="_x0000_s88075"/>
                </a:ext>
                <a:ext uri="{FF2B5EF4-FFF2-40B4-BE49-F238E27FC236}">
                  <a16:creationId xmlns:a16="http://schemas.microsoft.com/office/drawing/2014/main" id="{00000000-0008-0000-3400-00000B5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800" b="1" i="0" u="none" strike="noStrike" baseline="0">
                  <a:solidFill>
                    <a:srgbClr val="0000FF"/>
                  </a:solidFill>
                  <a:latin typeface="Arial"/>
                  <a:cs typeface="Arial"/>
                </a:rPr>
                <a:t>GL?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4</xdr:row>
          <xdr:rowOff>31750</xdr:rowOff>
        </xdr:from>
        <xdr:to>
          <xdr:col>0</xdr:col>
          <xdr:colOff>812800</xdr:colOff>
          <xdr:row>5</xdr:row>
          <xdr:rowOff>50800</xdr:rowOff>
        </xdr:to>
        <xdr:sp macro="" textlink="">
          <xdr:nvSpPr>
            <xdr:cNvPr id="88077" name="Check Box 13" hidden="1">
              <a:extLst>
                <a:ext uri="{63B3BB69-23CF-44E3-9099-C40C66FF867C}">
                  <a14:compatExt spid="_x0000_s88077"/>
                </a:ext>
                <a:ext uri="{FF2B5EF4-FFF2-40B4-BE49-F238E27FC236}">
                  <a16:creationId xmlns:a16="http://schemas.microsoft.com/office/drawing/2014/main" id="{00000000-0008-0000-3400-00000D580100}"/>
                </a:ext>
              </a:extLst>
            </xdr:cNvPr>
            <xdr:cNvSpPr/>
          </xdr:nvSpPr>
          <xdr:spPr bwMode="auto">
            <a:xfrm>
              <a:off x="0" y="0"/>
              <a:ext cx="0" cy="0"/>
            </a:xfrm>
            <a:prstGeom prst="rect">
              <a:avLst/>
            </a:prstGeom>
            <a:solidFill>
              <a:srgbClr val="FFFF99" mc:Ignorable="a14" a14:legacySpreadsheetColorIndex="43"/>
            </a:solidFill>
            <a:ln w="9525">
              <a:solidFill>
                <a:srgbClr val="FF0000" mc:Ignorable="a14" a14:legacySpreadsheetColorIndex="10"/>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17</xdr:row>
          <xdr:rowOff>6350</xdr:rowOff>
        </xdr:from>
        <xdr:to>
          <xdr:col>3</xdr:col>
          <xdr:colOff>806450</xdr:colOff>
          <xdr:row>17</xdr:row>
          <xdr:rowOff>228600</xdr:rowOff>
        </xdr:to>
        <xdr:sp macro="" textlink="">
          <xdr:nvSpPr>
            <xdr:cNvPr id="88078" name="Check Box 14" hidden="1">
              <a:extLst>
                <a:ext uri="{63B3BB69-23CF-44E3-9099-C40C66FF867C}">
                  <a14:compatExt spid="_x0000_s88078"/>
                </a:ext>
                <a:ext uri="{FF2B5EF4-FFF2-40B4-BE49-F238E27FC236}">
                  <a16:creationId xmlns:a16="http://schemas.microsoft.com/office/drawing/2014/main" id="{00000000-0008-0000-3400-00000E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17</xdr:row>
          <xdr:rowOff>12700</xdr:rowOff>
        </xdr:from>
        <xdr:to>
          <xdr:col>4</xdr:col>
          <xdr:colOff>730250</xdr:colOff>
          <xdr:row>17</xdr:row>
          <xdr:rowOff>234950</xdr:rowOff>
        </xdr:to>
        <xdr:sp macro="" textlink="">
          <xdr:nvSpPr>
            <xdr:cNvPr id="88079" name="Check Box 15" hidden="1">
              <a:extLst>
                <a:ext uri="{63B3BB69-23CF-44E3-9099-C40C66FF867C}">
                  <a14:compatExt spid="_x0000_s88079"/>
                </a:ext>
                <a:ext uri="{FF2B5EF4-FFF2-40B4-BE49-F238E27FC236}">
                  <a16:creationId xmlns:a16="http://schemas.microsoft.com/office/drawing/2014/main" id="{00000000-0008-0000-3400-00000F5801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139700</xdr:colOff>
          <xdr:row>17</xdr:row>
          <xdr:rowOff>12700</xdr:rowOff>
        </xdr:from>
        <xdr:to>
          <xdr:col>5</xdr:col>
          <xdr:colOff>730250</xdr:colOff>
          <xdr:row>17</xdr:row>
          <xdr:rowOff>234950</xdr:rowOff>
        </xdr:to>
        <xdr:sp macro="" textlink="">
          <xdr:nvSpPr>
            <xdr:cNvPr id="88080" name="Check Box 16" hidden="1">
              <a:extLst>
                <a:ext uri="{63B3BB69-23CF-44E3-9099-C40C66FF867C}">
                  <a14:compatExt spid="_x0000_s88080"/>
                </a:ext>
                <a:ext uri="{FF2B5EF4-FFF2-40B4-BE49-F238E27FC236}">
                  <a16:creationId xmlns:a16="http://schemas.microsoft.com/office/drawing/2014/main" id="{00000000-0008-0000-3400-0000105801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17</xdr:row>
          <xdr:rowOff>12700</xdr:rowOff>
        </xdr:from>
        <xdr:to>
          <xdr:col>6</xdr:col>
          <xdr:colOff>736600</xdr:colOff>
          <xdr:row>17</xdr:row>
          <xdr:rowOff>234950</xdr:rowOff>
        </xdr:to>
        <xdr:sp macro="" textlink="">
          <xdr:nvSpPr>
            <xdr:cNvPr id="88081" name="Check Box 17" hidden="1">
              <a:extLst>
                <a:ext uri="{63B3BB69-23CF-44E3-9099-C40C66FF867C}">
                  <a14:compatExt spid="_x0000_s88081"/>
                </a:ext>
                <a:ext uri="{FF2B5EF4-FFF2-40B4-BE49-F238E27FC236}">
                  <a16:creationId xmlns:a16="http://schemas.microsoft.com/office/drawing/2014/main" id="{00000000-0008-0000-3400-0000115801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184150</xdr:colOff>
          <xdr:row>17</xdr:row>
          <xdr:rowOff>12700</xdr:rowOff>
        </xdr:from>
        <xdr:to>
          <xdr:col>7</xdr:col>
          <xdr:colOff>774700</xdr:colOff>
          <xdr:row>17</xdr:row>
          <xdr:rowOff>234950</xdr:rowOff>
        </xdr:to>
        <xdr:sp macro="" textlink="">
          <xdr:nvSpPr>
            <xdr:cNvPr id="88082" name="Check Box 18" hidden="1">
              <a:extLst>
                <a:ext uri="{63B3BB69-23CF-44E3-9099-C40C66FF867C}">
                  <a14:compatExt spid="_x0000_s88082"/>
                </a:ext>
                <a:ext uri="{FF2B5EF4-FFF2-40B4-BE49-F238E27FC236}">
                  <a16:creationId xmlns:a16="http://schemas.microsoft.com/office/drawing/2014/main" id="{00000000-0008-0000-3400-000012580100}"/>
                </a:ext>
              </a:extLst>
            </xdr:cNvPr>
            <xdr:cNvSpPr/>
          </xdr:nvSpPr>
          <xdr:spPr bwMode="auto">
            <a:xfrm>
              <a:off x="0" y="0"/>
              <a:ext cx="0" cy="0"/>
            </a:xfrm>
            <a:prstGeom prst="rect">
              <a:avLst/>
            </a:prstGeom>
            <a:noFill/>
            <a:ln>
              <a:noFill/>
            </a:ln>
            <a:extLst>
              <a:ext uri="{909E8E84-426E-40DD-AFC4-6F175D3DCCD1}">
                <a14:hiddenFill>
                  <a:solidFill>
                    <a:srgbClr val="FFFF99" mc:Ignorable="a14" a14:legacySpreadsheetColorIndex="43"/>
                  </a:solidFill>
                </a14:hiddenFill>
              </a:ex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xdr:row>
          <xdr:rowOff>107950</xdr:rowOff>
        </xdr:from>
        <xdr:to>
          <xdr:col>0</xdr:col>
          <xdr:colOff>812800</xdr:colOff>
          <xdr:row>6</xdr:row>
          <xdr:rowOff>139700</xdr:rowOff>
        </xdr:to>
        <xdr:sp macro="" textlink="">
          <xdr:nvSpPr>
            <xdr:cNvPr id="88083" name="Check Box 19" hidden="1">
              <a:extLst>
                <a:ext uri="{63B3BB69-23CF-44E3-9099-C40C66FF867C}">
                  <a14:compatExt spid="_x0000_s88083"/>
                </a:ext>
                <a:ext uri="{FF2B5EF4-FFF2-40B4-BE49-F238E27FC236}">
                  <a16:creationId xmlns:a16="http://schemas.microsoft.com/office/drawing/2014/main" id="{00000000-0008-0000-3400-000013580100}"/>
                </a:ext>
              </a:extLst>
            </xdr:cNvPr>
            <xdr:cNvSpPr/>
          </xdr:nvSpPr>
          <xdr:spPr bwMode="auto">
            <a:xfrm>
              <a:off x="0" y="0"/>
              <a:ext cx="0" cy="0"/>
            </a:xfrm>
            <a:prstGeom prst="rect">
              <a:avLst/>
            </a:prstGeom>
            <a:solidFill>
              <a:srgbClr val="CCFFCC" mc:Ignorable="a14" a14:legacySpreadsheetColorIndex="42"/>
            </a:solidFill>
            <a:ln w="9525">
              <a:solidFill>
                <a:srgbClr val="FF0000" mc:Ignorable="a14" a14:legacySpreadsheetColorIndex="10"/>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7</xdr:row>
          <xdr:rowOff>38100</xdr:rowOff>
        </xdr:from>
        <xdr:to>
          <xdr:col>0</xdr:col>
          <xdr:colOff>812800</xdr:colOff>
          <xdr:row>8</xdr:row>
          <xdr:rowOff>63500</xdr:rowOff>
        </xdr:to>
        <xdr:sp macro="" textlink="">
          <xdr:nvSpPr>
            <xdr:cNvPr id="88089" name="mr19" hidden="1">
              <a:extLst>
                <a:ext uri="{63B3BB69-23CF-44E3-9099-C40C66FF867C}">
                  <a14:compatExt spid="_x0000_s88089"/>
                </a:ext>
                <a:ext uri="{FF2B5EF4-FFF2-40B4-BE49-F238E27FC236}">
                  <a16:creationId xmlns:a16="http://schemas.microsoft.com/office/drawing/2014/main" id="{00000000-0008-0000-3400-000019580100}"/>
                </a:ext>
              </a:extLst>
            </xdr:cNvPr>
            <xdr:cNvSpPr/>
          </xdr:nvSpPr>
          <xdr:spPr bwMode="auto">
            <a:xfrm>
              <a:off x="0" y="0"/>
              <a:ext cx="0" cy="0"/>
            </a:xfrm>
            <a:prstGeom prst="rect">
              <a:avLst/>
            </a:prstGeom>
            <a:solidFill>
              <a:srgbClr val="FF99CC" mc:Ignorable="a14" a14:legacySpreadsheetColorIndex="45"/>
            </a:solidFill>
            <a:ln w="9525">
              <a:solidFill>
                <a:srgbClr val="FF0000" mc:Ignorable="a14" a14:legacySpreadsheetColorIndex="10"/>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234950</xdr:colOff>
          <xdr:row>21</xdr:row>
          <xdr:rowOff>69850</xdr:rowOff>
        </xdr:from>
        <xdr:to>
          <xdr:col>9</xdr:col>
          <xdr:colOff>6350</xdr:colOff>
          <xdr:row>22</xdr:row>
          <xdr:rowOff>107950</xdr:rowOff>
        </xdr:to>
        <xdr:sp macro="" textlink="">
          <xdr:nvSpPr>
            <xdr:cNvPr id="88095" name="Button 31" hidden="1">
              <a:extLst>
                <a:ext uri="{63B3BB69-23CF-44E3-9099-C40C66FF867C}">
                  <a14:compatExt spid="_x0000_s88095"/>
                </a:ext>
                <a:ext uri="{FF2B5EF4-FFF2-40B4-BE49-F238E27FC236}">
                  <a16:creationId xmlns:a16="http://schemas.microsoft.com/office/drawing/2014/main" id="{00000000-0008-0000-3400-00001F5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647700</xdr:colOff>
          <xdr:row>21</xdr:row>
          <xdr:rowOff>69850</xdr:rowOff>
        </xdr:from>
        <xdr:to>
          <xdr:col>7</xdr:col>
          <xdr:colOff>222250</xdr:colOff>
          <xdr:row>22</xdr:row>
          <xdr:rowOff>107950</xdr:rowOff>
        </xdr:to>
        <xdr:sp macro="" textlink="">
          <xdr:nvSpPr>
            <xdr:cNvPr id="88096" name="Button 32" hidden="1">
              <a:extLst>
                <a:ext uri="{63B3BB69-23CF-44E3-9099-C40C66FF867C}">
                  <a14:compatExt spid="_x0000_s88096"/>
                </a:ext>
                <a:ext uri="{FF2B5EF4-FFF2-40B4-BE49-F238E27FC236}">
                  <a16:creationId xmlns:a16="http://schemas.microsoft.com/office/drawing/2014/main" id="{00000000-0008-0000-3400-0000205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222250</xdr:colOff>
          <xdr:row>21</xdr:row>
          <xdr:rowOff>69850</xdr:rowOff>
        </xdr:from>
        <xdr:to>
          <xdr:col>5</xdr:col>
          <xdr:colOff>730250</xdr:colOff>
          <xdr:row>22</xdr:row>
          <xdr:rowOff>107950</xdr:rowOff>
        </xdr:to>
        <xdr:sp macro="" textlink="">
          <xdr:nvSpPr>
            <xdr:cNvPr id="88097" name="Button 33" hidden="1">
              <a:extLst>
                <a:ext uri="{63B3BB69-23CF-44E3-9099-C40C66FF867C}">
                  <a14:compatExt spid="_x0000_s88097"/>
                </a:ext>
                <a:ext uri="{FF2B5EF4-FFF2-40B4-BE49-F238E27FC236}">
                  <a16:creationId xmlns:a16="http://schemas.microsoft.com/office/drawing/2014/main" id="{00000000-0008-0000-3400-0000215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717550</xdr:colOff>
          <xdr:row>21</xdr:row>
          <xdr:rowOff>69850</xdr:rowOff>
        </xdr:from>
        <xdr:to>
          <xdr:col>4</xdr:col>
          <xdr:colOff>203200</xdr:colOff>
          <xdr:row>22</xdr:row>
          <xdr:rowOff>107950</xdr:rowOff>
        </xdr:to>
        <xdr:sp macro="" textlink="">
          <xdr:nvSpPr>
            <xdr:cNvPr id="88098" name="Button 34" hidden="1">
              <a:extLst>
                <a:ext uri="{63B3BB69-23CF-44E3-9099-C40C66FF867C}">
                  <a14:compatExt spid="_x0000_s88098"/>
                </a:ext>
                <a:ext uri="{FF2B5EF4-FFF2-40B4-BE49-F238E27FC236}">
                  <a16:creationId xmlns:a16="http://schemas.microsoft.com/office/drawing/2014/main" id="{00000000-0008-0000-3400-0000225801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2260600</xdr:colOff>
          <xdr:row>3</xdr:row>
          <xdr:rowOff>38100</xdr:rowOff>
        </xdr:from>
        <xdr:to>
          <xdr:col>4</xdr:col>
          <xdr:colOff>6350</xdr:colOff>
          <xdr:row>3</xdr:row>
          <xdr:rowOff>234950</xdr:rowOff>
        </xdr:to>
        <xdr:sp macro="" textlink="">
          <xdr:nvSpPr>
            <xdr:cNvPr id="88101" name="Drop Down 37" hidden="1">
              <a:extLst>
                <a:ext uri="{63B3BB69-23CF-44E3-9099-C40C66FF867C}">
                  <a14:compatExt spid="_x0000_s88101"/>
                </a:ext>
                <a:ext uri="{FF2B5EF4-FFF2-40B4-BE49-F238E27FC236}">
                  <a16:creationId xmlns:a16="http://schemas.microsoft.com/office/drawing/2014/main" id="{00000000-0008-0000-3400-000025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311150</xdr:colOff>
          <xdr:row>3</xdr:row>
          <xdr:rowOff>38100</xdr:rowOff>
        </xdr:from>
        <xdr:to>
          <xdr:col>5</xdr:col>
          <xdr:colOff>825500</xdr:colOff>
          <xdr:row>3</xdr:row>
          <xdr:rowOff>234950</xdr:rowOff>
        </xdr:to>
        <xdr:sp macro="" textlink="">
          <xdr:nvSpPr>
            <xdr:cNvPr id="88102" name="Drop Down 38" hidden="1">
              <a:extLst>
                <a:ext uri="{63B3BB69-23CF-44E3-9099-C40C66FF867C}">
                  <a14:compatExt spid="_x0000_s88102"/>
                </a:ext>
                <a:ext uri="{FF2B5EF4-FFF2-40B4-BE49-F238E27FC236}">
                  <a16:creationId xmlns:a16="http://schemas.microsoft.com/office/drawing/2014/main" id="{00000000-0008-0000-3400-000026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18</xdr:row>
          <xdr:rowOff>12700</xdr:rowOff>
        </xdr:from>
        <xdr:to>
          <xdr:col>3</xdr:col>
          <xdr:colOff>901700</xdr:colOff>
          <xdr:row>18</xdr:row>
          <xdr:rowOff>234950</xdr:rowOff>
        </xdr:to>
        <xdr:sp macro="" textlink="">
          <xdr:nvSpPr>
            <xdr:cNvPr id="88104" name="Check Box 40" hidden="1">
              <a:extLst>
                <a:ext uri="{63B3BB69-23CF-44E3-9099-C40C66FF867C}">
                  <a14:compatExt spid="_x0000_s88104"/>
                </a:ext>
                <a:ext uri="{FF2B5EF4-FFF2-40B4-BE49-F238E27FC236}">
                  <a16:creationId xmlns:a16="http://schemas.microsoft.com/office/drawing/2014/main" id="{00000000-0008-0000-3400-000028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19</xdr:row>
          <xdr:rowOff>31750</xdr:rowOff>
        </xdr:from>
        <xdr:to>
          <xdr:col>3</xdr:col>
          <xdr:colOff>901700</xdr:colOff>
          <xdr:row>19</xdr:row>
          <xdr:rowOff>254000</xdr:rowOff>
        </xdr:to>
        <xdr:sp macro="" textlink="">
          <xdr:nvSpPr>
            <xdr:cNvPr id="88105" name="mr19" hidden="1">
              <a:extLst>
                <a:ext uri="{63B3BB69-23CF-44E3-9099-C40C66FF867C}">
                  <a14:compatExt spid="_x0000_s88105"/>
                </a:ext>
                <a:ext uri="{FF2B5EF4-FFF2-40B4-BE49-F238E27FC236}">
                  <a16:creationId xmlns:a16="http://schemas.microsoft.com/office/drawing/2014/main" id="{00000000-0008-0000-3400-000029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18</xdr:row>
          <xdr:rowOff>12700</xdr:rowOff>
        </xdr:from>
        <xdr:to>
          <xdr:col>4</xdr:col>
          <xdr:colOff>825500</xdr:colOff>
          <xdr:row>18</xdr:row>
          <xdr:rowOff>234950</xdr:rowOff>
        </xdr:to>
        <xdr:sp macro="" textlink="">
          <xdr:nvSpPr>
            <xdr:cNvPr id="88106" name="Check Box 42" hidden="1">
              <a:extLst>
                <a:ext uri="{63B3BB69-23CF-44E3-9099-C40C66FF867C}">
                  <a14:compatExt spid="_x0000_s88106"/>
                </a:ext>
                <a:ext uri="{FF2B5EF4-FFF2-40B4-BE49-F238E27FC236}">
                  <a16:creationId xmlns:a16="http://schemas.microsoft.com/office/drawing/2014/main" id="{00000000-0008-0000-3400-00002A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19</xdr:row>
          <xdr:rowOff>31750</xdr:rowOff>
        </xdr:from>
        <xdr:to>
          <xdr:col>4</xdr:col>
          <xdr:colOff>825500</xdr:colOff>
          <xdr:row>19</xdr:row>
          <xdr:rowOff>254000</xdr:rowOff>
        </xdr:to>
        <xdr:sp macro="" textlink="">
          <xdr:nvSpPr>
            <xdr:cNvPr id="88107" name="mr19" hidden="1">
              <a:extLst>
                <a:ext uri="{63B3BB69-23CF-44E3-9099-C40C66FF867C}">
                  <a14:compatExt spid="_x0000_s88107"/>
                </a:ext>
                <a:ext uri="{FF2B5EF4-FFF2-40B4-BE49-F238E27FC236}">
                  <a16:creationId xmlns:a16="http://schemas.microsoft.com/office/drawing/2014/main" id="{00000000-0008-0000-3400-00002B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139700</xdr:colOff>
          <xdr:row>18</xdr:row>
          <xdr:rowOff>12700</xdr:rowOff>
        </xdr:from>
        <xdr:to>
          <xdr:col>5</xdr:col>
          <xdr:colOff>825500</xdr:colOff>
          <xdr:row>18</xdr:row>
          <xdr:rowOff>234950</xdr:rowOff>
        </xdr:to>
        <xdr:sp macro="" textlink="">
          <xdr:nvSpPr>
            <xdr:cNvPr id="88108" name="Check Box 44" hidden="1">
              <a:extLst>
                <a:ext uri="{63B3BB69-23CF-44E3-9099-C40C66FF867C}">
                  <a14:compatExt spid="_x0000_s88108"/>
                </a:ext>
                <a:ext uri="{FF2B5EF4-FFF2-40B4-BE49-F238E27FC236}">
                  <a16:creationId xmlns:a16="http://schemas.microsoft.com/office/drawing/2014/main" id="{00000000-0008-0000-3400-00002C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139700</xdr:colOff>
          <xdr:row>19</xdr:row>
          <xdr:rowOff>31750</xdr:rowOff>
        </xdr:from>
        <xdr:to>
          <xdr:col>5</xdr:col>
          <xdr:colOff>825500</xdr:colOff>
          <xdr:row>19</xdr:row>
          <xdr:rowOff>254000</xdr:rowOff>
        </xdr:to>
        <xdr:sp macro="" textlink="">
          <xdr:nvSpPr>
            <xdr:cNvPr id="88109" name="mr19" hidden="1">
              <a:extLst>
                <a:ext uri="{63B3BB69-23CF-44E3-9099-C40C66FF867C}">
                  <a14:compatExt spid="_x0000_s88109"/>
                </a:ext>
                <a:ext uri="{FF2B5EF4-FFF2-40B4-BE49-F238E27FC236}">
                  <a16:creationId xmlns:a16="http://schemas.microsoft.com/office/drawing/2014/main" id="{00000000-0008-0000-3400-00002D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18</xdr:row>
          <xdr:rowOff>12700</xdr:rowOff>
        </xdr:from>
        <xdr:to>
          <xdr:col>6</xdr:col>
          <xdr:colOff>825500</xdr:colOff>
          <xdr:row>18</xdr:row>
          <xdr:rowOff>234950</xdr:rowOff>
        </xdr:to>
        <xdr:sp macro="" textlink="">
          <xdr:nvSpPr>
            <xdr:cNvPr id="88110" name="Check Box 46" hidden="1">
              <a:extLst>
                <a:ext uri="{63B3BB69-23CF-44E3-9099-C40C66FF867C}">
                  <a14:compatExt spid="_x0000_s88110"/>
                </a:ext>
                <a:ext uri="{FF2B5EF4-FFF2-40B4-BE49-F238E27FC236}">
                  <a16:creationId xmlns:a16="http://schemas.microsoft.com/office/drawing/2014/main" id="{00000000-0008-0000-3400-00002E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19</xdr:row>
          <xdr:rowOff>31750</xdr:rowOff>
        </xdr:from>
        <xdr:to>
          <xdr:col>6</xdr:col>
          <xdr:colOff>825500</xdr:colOff>
          <xdr:row>19</xdr:row>
          <xdr:rowOff>254000</xdr:rowOff>
        </xdr:to>
        <xdr:sp macro="" textlink="">
          <xdr:nvSpPr>
            <xdr:cNvPr id="88111" name="mr19" hidden="1">
              <a:extLst>
                <a:ext uri="{63B3BB69-23CF-44E3-9099-C40C66FF867C}">
                  <a14:compatExt spid="_x0000_s88111"/>
                </a:ext>
                <a:ext uri="{FF2B5EF4-FFF2-40B4-BE49-F238E27FC236}">
                  <a16:creationId xmlns:a16="http://schemas.microsoft.com/office/drawing/2014/main" id="{00000000-0008-0000-3400-00002F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184150</xdr:colOff>
          <xdr:row>18</xdr:row>
          <xdr:rowOff>12700</xdr:rowOff>
        </xdr:from>
        <xdr:to>
          <xdr:col>7</xdr:col>
          <xdr:colOff>869950</xdr:colOff>
          <xdr:row>18</xdr:row>
          <xdr:rowOff>234950</xdr:rowOff>
        </xdr:to>
        <xdr:sp macro="" textlink="">
          <xdr:nvSpPr>
            <xdr:cNvPr id="88112" name="Check Box 48" hidden="1">
              <a:extLst>
                <a:ext uri="{63B3BB69-23CF-44E3-9099-C40C66FF867C}">
                  <a14:compatExt spid="_x0000_s88112"/>
                </a:ext>
                <a:ext uri="{FF2B5EF4-FFF2-40B4-BE49-F238E27FC236}">
                  <a16:creationId xmlns:a16="http://schemas.microsoft.com/office/drawing/2014/main" id="{00000000-0008-0000-3400-0000305801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184150</xdr:colOff>
          <xdr:row>19</xdr:row>
          <xdr:rowOff>31750</xdr:rowOff>
        </xdr:from>
        <xdr:to>
          <xdr:col>7</xdr:col>
          <xdr:colOff>869950</xdr:colOff>
          <xdr:row>19</xdr:row>
          <xdr:rowOff>254000</xdr:rowOff>
        </xdr:to>
        <xdr:sp macro="" textlink="">
          <xdr:nvSpPr>
            <xdr:cNvPr id="88113" name="mr19" hidden="1">
              <a:extLst>
                <a:ext uri="{63B3BB69-23CF-44E3-9099-C40C66FF867C}">
                  <a14:compatExt spid="_x0000_s88113"/>
                </a:ext>
                <a:ext uri="{FF2B5EF4-FFF2-40B4-BE49-F238E27FC236}">
                  <a16:creationId xmlns:a16="http://schemas.microsoft.com/office/drawing/2014/main" id="{00000000-0008-0000-3400-000031580100}"/>
                </a:ext>
              </a:extLst>
            </xdr:cNvPr>
            <xdr:cNvSpPr/>
          </xdr:nvSpPr>
          <xdr:spPr bwMode="auto">
            <a:xfrm>
              <a:off x="0" y="0"/>
              <a:ext cx="0" cy="0"/>
            </a:xfrm>
            <a:prstGeom prst="rect">
              <a:avLst/>
            </a:prstGeom>
            <a:solidFill>
              <a:srgbClr val="FF99CC" mc:Ignorable="a14" a14:legacySpreadsheetColorIndex="45"/>
            </a:solidFill>
            <a:ln>
              <a:noFill/>
            </a:ln>
            <a:extLst>
              <a:ext uri="{91240B29-F687-4F45-9708-019B960494DF}">
                <a14:hiddenLine w="9525">
                  <a:solidFill>
                    <a:srgbClr val="FF0000" mc:Ignorable="a14" a14:legacySpreadsheetColorIndex="10"/>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152400</xdr:colOff>
          <xdr:row>1</xdr:row>
          <xdr:rowOff>6350</xdr:rowOff>
        </xdr:from>
        <xdr:to>
          <xdr:col>9</xdr:col>
          <xdr:colOff>787400</xdr:colOff>
          <xdr:row>3</xdr:row>
          <xdr:rowOff>177800</xdr:rowOff>
        </xdr:to>
        <xdr:sp macro="" textlink="">
          <xdr:nvSpPr>
            <xdr:cNvPr id="88122" name="globalbacktobutton" hidden="1">
              <a:extLst>
                <a:ext uri="{63B3BB69-23CF-44E3-9099-C40C66FF867C}">
                  <a14:compatExt spid="_x0000_s88122"/>
                </a:ext>
                <a:ext uri="{FF2B5EF4-FFF2-40B4-BE49-F238E27FC236}">
                  <a16:creationId xmlns:a16="http://schemas.microsoft.com/office/drawing/2014/main" id="{00000000-0008-0000-3400-00003A5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8</xdr:row>
          <xdr:rowOff>31750</xdr:rowOff>
        </xdr:from>
        <xdr:to>
          <xdr:col>9</xdr:col>
          <xdr:colOff>482600</xdr:colOff>
          <xdr:row>9</xdr:row>
          <xdr:rowOff>107950</xdr:rowOff>
        </xdr:to>
        <xdr:sp macro="" textlink="">
          <xdr:nvSpPr>
            <xdr:cNvPr id="88123" name="Button 59" hidden="1">
              <a:extLst>
                <a:ext uri="{63B3BB69-23CF-44E3-9099-C40C66FF867C}">
                  <a14:compatExt spid="_x0000_s88123"/>
                </a:ext>
                <a:ext uri="{FF2B5EF4-FFF2-40B4-BE49-F238E27FC236}">
                  <a16:creationId xmlns:a16="http://schemas.microsoft.com/office/drawing/2014/main" id="{00000000-0008-0000-3400-00003B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FF0000"/>
                  </a:solidFill>
                  <a:latin typeface="Arial"/>
                  <a:cs typeface="Arial"/>
                </a:rPr>
                <a:t>more than five?</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0</xdr:row>
          <xdr:rowOff>76200</xdr:rowOff>
        </xdr:from>
        <xdr:to>
          <xdr:col>2</xdr:col>
          <xdr:colOff>203200</xdr:colOff>
          <xdr:row>0</xdr:row>
          <xdr:rowOff>311150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3500-000001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0</xdr:row>
          <xdr:rowOff>76200</xdr:rowOff>
        </xdr:from>
        <xdr:to>
          <xdr:col>5</xdr:col>
          <xdr:colOff>76200</xdr:colOff>
          <xdr:row>0</xdr:row>
          <xdr:rowOff>311150</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00000000-0008-0000-3500-000002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merge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139700</xdr:colOff>
          <xdr:row>0</xdr:row>
          <xdr:rowOff>76200</xdr:rowOff>
        </xdr:from>
        <xdr:to>
          <xdr:col>6</xdr:col>
          <xdr:colOff>330200</xdr:colOff>
          <xdr:row>0</xdr:row>
          <xdr:rowOff>311150</xdr:rowOff>
        </xdr:to>
        <xdr:sp macro="" textlink="">
          <xdr:nvSpPr>
            <xdr:cNvPr id="89091" name="Button 3" hidden="1">
              <a:extLst>
                <a:ext uri="{63B3BB69-23CF-44E3-9099-C40C66FF867C}">
                  <a14:compatExt spid="_x0000_s89091"/>
                </a:ext>
                <a:ext uri="{FF2B5EF4-FFF2-40B4-BE49-F238E27FC236}">
                  <a16:creationId xmlns:a16="http://schemas.microsoft.com/office/drawing/2014/main" id="{00000000-0008-0000-3500-000003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339966"/>
                  </a:solidFill>
                  <a:latin typeface="Arial"/>
                  <a:cs typeface="Arial"/>
                </a:rPr>
                <a:t>print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xdr:row>
          <xdr:rowOff>0</xdr:rowOff>
        </xdr:from>
        <xdr:to>
          <xdr:col>0</xdr:col>
          <xdr:colOff>317500</xdr:colOff>
          <xdr:row>5</xdr:row>
          <xdr:rowOff>0</xdr:rowOff>
        </xdr:to>
        <xdr:sp macro="" textlink="">
          <xdr:nvSpPr>
            <xdr:cNvPr id="89092" name="Button 4" hidden="1">
              <a:extLst>
                <a:ext uri="{63B3BB69-23CF-44E3-9099-C40C66FF867C}">
                  <a14:compatExt spid="_x0000_s89092"/>
                </a:ext>
                <a:ext uri="{FF2B5EF4-FFF2-40B4-BE49-F238E27FC236}">
                  <a16:creationId xmlns:a16="http://schemas.microsoft.com/office/drawing/2014/main" id="{00000000-0008-0000-3500-000004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xdr:row>
          <xdr:rowOff>0</xdr:rowOff>
        </xdr:from>
        <xdr:to>
          <xdr:col>0</xdr:col>
          <xdr:colOff>317500</xdr:colOff>
          <xdr:row>7</xdr:row>
          <xdr:rowOff>0</xdr:rowOff>
        </xdr:to>
        <xdr:sp macro="" textlink="">
          <xdr:nvSpPr>
            <xdr:cNvPr id="89093" name="Button 5" hidden="1">
              <a:extLst>
                <a:ext uri="{63B3BB69-23CF-44E3-9099-C40C66FF867C}">
                  <a14:compatExt spid="_x0000_s89093"/>
                </a:ext>
                <a:ext uri="{FF2B5EF4-FFF2-40B4-BE49-F238E27FC236}">
                  <a16:creationId xmlns:a16="http://schemas.microsoft.com/office/drawing/2014/main" id="{00000000-0008-0000-3500-000005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xdr:row>
          <xdr:rowOff>0</xdr:rowOff>
        </xdr:from>
        <xdr:to>
          <xdr:col>0</xdr:col>
          <xdr:colOff>317500</xdr:colOff>
          <xdr:row>9</xdr:row>
          <xdr:rowOff>0</xdr:rowOff>
        </xdr:to>
        <xdr:sp macro="" textlink="">
          <xdr:nvSpPr>
            <xdr:cNvPr id="89094" name="Button 6" hidden="1">
              <a:extLst>
                <a:ext uri="{63B3BB69-23CF-44E3-9099-C40C66FF867C}">
                  <a14:compatExt spid="_x0000_s89094"/>
                </a:ext>
                <a:ext uri="{FF2B5EF4-FFF2-40B4-BE49-F238E27FC236}">
                  <a16:creationId xmlns:a16="http://schemas.microsoft.com/office/drawing/2014/main" id="{00000000-0008-0000-3500-000006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381000</xdr:colOff>
          <xdr:row>0</xdr:row>
          <xdr:rowOff>76200</xdr:rowOff>
        </xdr:from>
        <xdr:to>
          <xdr:col>8</xdr:col>
          <xdr:colOff>44450</xdr:colOff>
          <xdr:row>0</xdr:row>
          <xdr:rowOff>311150</xdr:rowOff>
        </xdr:to>
        <xdr:sp macro="" textlink="">
          <xdr:nvSpPr>
            <xdr:cNvPr id="89095" name="Button 7" hidden="1">
              <a:extLst>
                <a:ext uri="{63B3BB69-23CF-44E3-9099-C40C66FF867C}">
                  <a14:compatExt spid="_x0000_s89095"/>
                </a:ext>
                <a:ext uri="{FF2B5EF4-FFF2-40B4-BE49-F238E27FC236}">
                  <a16:creationId xmlns:a16="http://schemas.microsoft.com/office/drawing/2014/main" id="{00000000-0008-0000-3500-000007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44450</xdr:colOff>
          <xdr:row>33</xdr:row>
          <xdr:rowOff>12700</xdr:rowOff>
        </xdr:from>
        <xdr:to>
          <xdr:col>19</xdr:col>
          <xdr:colOff>406400</xdr:colOff>
          <xdr:row>33</xdr:row>
          <xdr:rowOff>260350</xdr:rowOff>
        </xdr:to>
        <xdr:sp macro="" textlink="">
          <xdr:nvSpPr>
            <xdr:cNvPr id="89096" name="Button 8" hidden="1">
              <a:extLst>
                <a:ext uri="{63B3BB69-23CF-44E3-9099-C40C66FF867C}">
                  <a14:compatExt spid="_x0000_s89096"/>
                </a:ext>
                <a:ext uri="{FF2B5EF4-FFF2-40B4-BE49-F238E27FC236}">
                  <a16:creationId xmlns:a16="http://schemas.microsoft.com/office/drawing/2014/main" id="{00000000-0008-0000-3500-000008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36</xdr:row>
          <xdr:rowOff>25400</xdr:rowOff>
        </xdr:from>
        <xdr:to>
          <xdr:col>19</xdr:col>
          <xdr:colOff>228600</xdr:colOff>
          <xdr:row>38</xdr:row>
          <xdr:rowOff>31750</xdr:rowOff>
        </xdr:to>
        <xdr:sp macro="" textlink="">
          <xdr:nvSpPr>
            <xdr:cNvPr id="89097" name="Button 9" hidden="1">
              <a:extLst>
                <a:ext uri="{63B3BB69-23CF-44E3-9099-C40C66FF867C}">
                  <a14:compatExt spid="_x0000_s89097"/>
                </a:ext>
                <a:ext uri="{FF2B5EF4-FFF2-40B4-BE49-F238E27FC236}">
                  <a16:creationId xmlns:a16="http://schemas.microsoft.com/office/drawing/2014/main" id="{00000000-0008-0000-3500-000009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546100</xdr:colOff>
          <xdr:row>0</xdr:row>
          <xdr:rowOff>355600</xdr:rowOff>
        </xdr:from>
        <xdr:to>
          <xdr:col>14</xdr:col>
          <xdr:colOff>355600</xdr:colOff>
          <xdr:row>2</xdr:row>
          <xdr:rowOff>120650</xdr:rowOff>
        </xdr:to>
        <xdr:sp macro="" textlink="">
          <xdr:nvSpPr>
            <xdr:cNvPr id="89105" name="Button 17" hidden="1">
              <a:extLst>
                <a:ext uri="{63B3BB69-23CF-44E3-9099-C40C66FF867C}">
                  <a14:compatExt spid="_x0000_s89105"/>
                </a:ext>
                <a:ext uri="{FF2B5EF4-FFF2-40B4-BE49-F238E27FC236}">
                  <a16:creationId xmlns:a16="http://schemas.microsoft.com/office/drawing/2014/main" id="{00000000-0008-0000-3500-000011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374650</xdr:colOff>
          <xdr:row>0</xdr:row>
          <xdr:rowOff>355600</xdr:rowOff>
        </xdr:from>
        <xdr:to>
          <xdr:col>15</xdr:col>
          <xdr:colOff>527050</xdr:colOff>
          <xdr:row>2</xdr:row>
          <xdr:rowOff>120650</xdr:rowOff>
        </xdr:to>
        <xdr:sp macro="" textlink="">
          <xdr:nvSpPr>
            <xdr:cNvPr id="89106" name="Button 18" hidden="1">
              <a:extLst>
                <a:ext uri="{63B3BB69-23CF-44E3-9099-C40C66FF867C}">
                  <a14:compatExt spid="_x0000_s89106"/>
                </a:ext>
                <a:ext uri="{FF2B5EF4-FFF2-40B4-BE49-F238E27FC236}">
                  <a16:creationId xmlns:a16="http://schemas.microsoft.com/office/drawing/2014/main" id="{00000000-0008-0000-3500-000012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533400</xdr:colOff>
          <xdr:row>0</xdr:row>
          <xdr:rowOff>355600</xdr:rowOff>
        </xdr:from>
        <xdr:to>
          <xdr:col>16</xdr:col>
          <xdr:colOff>196850</xdr:colOff>
          <xdr:row>2</xdr:row>
          <xdr:rowOff>120650</xdr:rowOff>
        </xdr:to>
        <xdr:sp macro="" textlink="">
          <xdr:nvSpPr>
            <xdr:cNvPr id="89107" name="Button 19" hidden="1">
              <a:extLst>
                <a:ext uri="{63B3BB69-23CF-44E3-9099-C40C66FF867C}">
                  <a14:compatExt spid="_x0000_s89107"/>
                </a:ext>
                <a:ext uri="{FF2B5EF4-FFF2-40B4-BE49-F238E27FC236}">
                  <a16:creationId xmlns:a16="http://schemas.microsoft.com/office/drawing/2014/main" id="{00000000-0008-0000-3500-0000135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203200</xdr:colOff>
          <xdr:row>0</xdr:row>
          <xdr:rowOff>355600</xdr:rowOff>
        </xdr:from>
        <xdr:to>
          <xdr:col>16</xdr:col>
          <xdr:colOff>730250</xdr:colOff>
          <xdr:row>2</xdr:row>
          <xdr:rowOff>120650</xdr:rowOff>
        </xdr:to>
        <xdr:sp macro="" textlink="">
          <xdr:nvSpPr>
            <xdr:cNvPr id="89108" name="Button 20" hidden="1">
              <a:extLst>
                <a:ext uri="{63B3BB69-23CF-44E3-9099-C40C66FF867C}">
                  <a14:compatExt spid="_x0000_s89108"/>
                </a:ext>
                <a:ext uri="{FF2B5EF4-FFF2-40B4-BE49-F238E27FC236}">
                  <a16:creationId xmlns:a16="http://schemas.microsoft.com/office/drawing/2014/main" id="{00000000-0008-0000-3500-0000145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520700</xdr:colOff>
          <xdr:row>0</xdr:row>
          <xdr:rowOff>50800</xdr:rowOff>
        </xdr:from>
        <xdr:to>
          <xdr:col>15</xdr:col>
          <xdr:colOff>673100</xdr:colOff>
          <xdr:row>0</xdr:row>
          <xdr:rowOff>349250</xdr:rowOff>
        </xdr:to>
        <xdr:sp macro="" textlink="">
          <xdr:nvSpPr>
            <xdr:cNvPr id="89109" name="Button 21" hidden="1">
              <a:extLst>
                <a:ext uri="{63B3BB69-23CF-44E3-9099-C40C66FF867C}">
                  <a14:compatExt spid="_x0000_s89109"/>
                </a:ext>
                <a:ext uri="{FF2B5EF4-FFF2-40B4-BE49-F238E27FC236}">
                  <a16:creationId xmlns:a16="http://schemas.microsoft.com/office/drawing/2014/main" id="{00000000-0008-0000-3500-000015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546100</xdr:colOff>
          <xdr:row>0</xdr:row>
          <xdr:rowOff>50800</xdr:rowOff>
        </xdr:from>
        <xdr:to>
          <xdr:col>14</xdr:col>
          <xdr:colOff>501650</xdr:colOff>
          <xdr:row>0</xdr:row>
          <xdr:rowOff>349250</xdr:rowOff>
        </xdr:to>
        <xdr:sp macro="" textlink="">
          <xdr:nvSpPr>
            <xdr:cNvPr id="89110" name="Button 22" hidden="1">
              <a:extLst>
                <a:ext uri="{63B3BB69-23CF-44E3-9099-C40C66FF867C}">
                  <a14:compatExt spid="_x0000_s89110"/>
                </a:ext>
                <a:ext uri="{FF2B5EF4-FFF2-40B4-BE49-F238E27FC236}">
                  <a16:creationId xmlns:a16="http://schemas.microsoft.com/office/drawing/2014/main" id="{00000000-0008-0000-3500-000016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685800</xdr:colOff>
          <xdr:row>0</xdr:row>
          <xdr:rowOff>50800</xdr:rowOff>
        </xdr:from>
        <xdr:to>
          <xdr:col>16</xdr:col>
          <xdr:colOff>730250</xdr:colOff>
          <xdr:row>0</xdr:row>
          <xdr:rowOff>349250</xdr:rowOff>
        </xdr:to>
        <xdr:sp macro="" textlink="">
          <xdr:nvSpPr>
            <xdr:cNvPr id="89111" name="Button 23" hidden="1">
              <a:extLst>
                <a:ext uri="{63B3BB69-23CF-44E3-9099-C40C66FF867C}">
                  <a14:compatExt spid="_x0000_s89111"/>
                </a:ext>
                <a:ext uri="{FF2B5EF4-FFF2-40B4-BE49-F238E27FC236}">
                  <a16:creationId xmlns:a16="http://schemas.microsoft.com/office/drawing/2014/main" id="{00000000-0008-0000-3500-000017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234950</xdr:colOff>
          <xdr:row>0</xdr:row>
          <xdr:rowOff>139700</xdr:rowOff>
        </xdr:from>
        <xdr:to>
          <xdr:col>19</xdr:col>
          <xdr:colOff>146050</xdr:colOff>
          <xdr:row>1</xdr:row>
          <xdr:rowOff>196850</xdr:rowOff>
        </xdr:to>
        <xdr:sp macro="" textlink="">
          <xdr:nvSpPr>
            <xdr:cNvPr id="89112" name="globalbacktobutton" hidden="1">
              <a:extLst>
                <a:ext uri="{63B3BB69-23CF-44E3-9099-C40C66FF867C}">
                  <a14:compatExt spid="_x0000_s89112"/>
                </a:ext>
                <a:ext uri="{FF2B5EF4-FFF2-40B4-BE49-F238E27FC236}">
                  <a16:creationId xmlns:a16="http://schemas.microsoft.com/office/drawing/2014/main" id="{00000000-0008-0000-3500-0000185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241300</xdr:colOff>
          <xdr:row>36</xdr:row>
          <xdr:rowOff>25400</xdr:rowOff>
        </xdr:from>
        <xdr:to>
          <xdr:col>19</xdr:col>
          <xdr:colOff>1028700</xdr:colOff>
          <xdr:row>38</xdr:row>
          <xdr:rowOff>31750</xdr:rowOff>
        </xdr:to>
        <xdr:sp macro="" textlink="">
          <xdr:nvSpPr>
            <xdr:cNvPr id="89113" name="Button 25" hidden="1">
              <a:extLst>
                <a:ext uri="{63B3BB69-23CF-44E3-9099-C40C66FF867C}">
                  <a14:compatExt spid="_x0000_s89113"/>
                </a:ext>
                <a:ext uri="{FF2B5EF4-FFF2-40B4-BE49-F238E27FC236}">
                  <a16:creationId xmlns:a16="http://schemas.microsoft.com/office/drawing/2014/main" id="{00000000-0008-0000-3500-0000195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cancel</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82550</xdr:colOff>
          <xdr:row>0</xdr:row>
          <xdr:rowOff>50800</xdr:rowOff>
        </xdr:from>
        <xdr:to>
          <xdr:col>5</xdr:col>
          <xdr:colOff>215900</xdr:colOff>
          <xdr:row>0</xdr:row>
          <xdr:rowOff>317500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36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goto address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546100</xdr:colOff>
          <xdr:row>0</xdr:row>
          <xdr:rowOff>50800</xdr:rowOff>
        </xdr:from>
        <xdr:to>
          <xdr:col>8</xdr:col>
          <xdr:colOff>469900</xdr:colOff>
          <xdr:row>0</xdr:row>
          <xdr:rowOff>317500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36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215900</xdr:colOff>
          <xdr:row>0</xdr:row>
          <xdr:rowOff>50800</xdr:rowOff>
        </xdr:from>
        <xdr:to>
          <xdr:col>6</xdr:col>
          <xdr:colOff>546100</xdr:colOff>
          <xdr:row>0</xdr:row>
          <xdr:rowOff>317500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3600-00000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 input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35</xdr:row>
          <xdr:rowOff>44450</xdr:rowOff>
        </xdr:from>
        <xdr:to>
          <xdr:col>12</xdr:col>
          <xdr:colOff>914400</xdr:colOff>
          <xdr:row>36</xdr:row>
          <xdr:rowOff>38100</xdr:rowOff>
        </xdr:to>
        <xdr:sp macro="" textlink="">
          <xdr:nvSpPr>
            <xdr:cNvPr id="78853" name="Check Box 5" hidden="1">
              <a:extLst>
                <a:ext uri="{63B3BB69-23CF-44E3-9099-C40C66FF867C}">
                  <a14:compatExt spid="_x0000_s78853"/>
                </a:ext>
                <a:ext uri="{FF2B5EF4-FFF2-40B4-BE49-F238E27FC236}">
                  <a16:creationId xmlns:a16="http://schemas.microsoft.com/office/drawing/2014/main" id="{00000000-0008-0000-3600-00000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Show saving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139700</xdr:colOff>
          <xdr:row>0</xdr:row>
          <xdr:rowOff>50800</xdr:rowOff>
        </xdr:from>
        <xdr:to>
          <xdr:col>0</xdr:col>
          <xdr:colOff>717550</xdr:colOff>
          <xdr:row>0</xdr:row>
          <xdr:rowOff>304800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3600-000006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69850</xdr:colOff>
          <xdr:row>6</xdr:row>
          <xdr:rowOff>69850</xdr:rowOff>
        </xdr:from>
        <xdr:to>
          <xdr:col>12</xdr:col>
          <xdr:colOff>1117600</xdr:colOff>
          <xdr:row>7</xdr:row>
          <xdr:rowOff>158750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3600-000007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692150</xdr:colOff>
          <xdr:row>49</xdr:row>
          <xdr:rowOff>38100</xdr:rowOff>
        </xdr:from>
        <xdr:to>
          <xdr:col>8</xdr:col>
          <xdr:colOff>368300</xdr:colOff>
          <xdr:row>51</xdr:row>
          <xdr:rowOff>76200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3600-000008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back to 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69850</xdr:colOff>
          <xdr:row>7</xdr:row>
          <xdr:rowOff>158750</xdr:rowOff>
        </xdr:from>
        <xdr:to>
          <xdr:col>12</xdr:col>
          <xdr:colOff>1117600</xdr:colOff>
          <xdr:row>9</xdr:row>
          <xdr:rowOff>50800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3600-000009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69850</xdr:colOff>
          <xdr:row>9</xdr:row>
          <xdr:rowOff>50800</xdr:rowOff>
        </xdr:from>
        <xdr:to>
          <xdr:col>12</xdr:col>
          <xdr:colOff>1117600</xdr:colOff>
          <xdr:row>10</xdr:row>
          <xdr:rowOff>120650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3600-00000A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7</xdr:row>
          <xdr:rowOff>158750</xdr:rowOff>
        </xdr:from>
        <xdr:to>
          <xdr:col>1</xdr:col>
          <xdr:colOff>444500</xdr:colOff>
          <xdr:row>9</xdr:row>
          <xdr:rowOff>6350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36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13</xdr:row>
          <xdr:rowOff>63500</xdr:rowOff>
        </xdr:from>
        <xdr:to>
          <xdr:col>6</xdr:col>
          <xdr:colOff>876300</xdr:colOff>
          <xdr:row>14</xdr:row>
          <xdr:rowOff>152400</xdr:rowOff>
        </xdr:to>
        <xdr:sp macro="" textlink="">
          <xdr:nvSpPr>
            <xdr:cNvPr id="78860" name="Drop Down 12" hidden="1">
              <a:extLst>
                <a:ext uri="{63B3BB69-23CF-44E3-9099-C40C66FF867C}">
                  <a14:compatExt spid="_x0000_s78860"/>
                </a:ext>
                <a:ext uri="{FF2B5EF4-FFF2-40B4-BE49-F238E27FC236}">
                  <a16:creationId xmlns:a16="http://schemas.microsoft.com/office/drawing/2014/main" id="{00000000-0008-0000-36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15</xdr:row>
          <xdr:rowOff>31750</xdr:rowOff>
        </xdr:from>
        <xdr:to>
          <xdr:col>8</xdr:col>
          <xdr:colOff>273050</xdr:colOff>
          <xdr:row>16</xdr:row>
          <xdr:rowOff>0</xdr:rowOff>
        </xdr:to>
        <xdr:sp macro="" textlink="">
          <xdr:nvSpPr>
            <xdr:cNvPr id="78861" name="Drop Down 13" hidden="1">
              <a:extLst>
                <a:ext uri="{63B3BB69-23CF-44E3-9099-C40C66FF867C}">
                  <a14:compatExt spid="_x0000_s78861"/>
                </a:ext>
                <a:ext uri="{FF2B5EF4-FFF2-40B4-BE49-F238E27FC236}">
                  <a16:creationId xmlns:a16="http://schemas.microsoft.com/office/drawing/2014/main" id="{00000000-0008-0000-36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165100</xdr:colOff>
          <xdr:row>26</xdr:row>
          <xdr:rowOff>44450</xdr:rowOff>
        </xdr:from>
        <xdr:to>
          <xdr:col>10</xdr:col>
          <xdr:colOff>1060450</xdr:colOff>
          <xdr:row>28</xdr:row>
          <xdr:rowOff>82550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36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reset this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25</xdr:row>
          <xdr:rowOff>44450</xdr:rowOff>
        </xdr:from>
        <xdr:to>
          <xdr:col>0</xdr:col>
          <xdr:colOff>711200</xdr:colOff>
          <xdr:row>27</xdr:row>
          <xdr:rowOff>114300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3600-000010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8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88900</xdr:colOff>
          <xdr:row>16</xdr:row>
          <xdr:rowOff>152400</xdr:rowOff>
        </xdr:from>
        <xdr:to>
          <xdr:col>10</xdr:col>
          <xdr:colOff>812800</xdr:colOff>
          <xdr:row>18</xdr:row>
          <xdr:rowOff>6350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36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&lt;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38</xdr:row>
          <xdr:rowOff>152400</xdr:rowOff>
        </xdr:from>
        <xdr:to>
          <xdr:col>12</xdr:col>
          <xdr:colOff>812800</xdr:colOff>
          <xdr:row>40</xdr:row>
          <xdr:rowOff>31750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3600-000012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copypaste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13</xdr:row>
          <xdr:rowOff>38100</xdr:rowOff>
        </xdr:from>
        <xdr:to>
          <xdr:col>5</xdr:col>
          <xdr:colOff>482600</xdr:colOff>
          <xdr:row>14</xdr:row>
          <xdr:rowOff>146050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3600-000013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800" b="1" i="0" u="none" strike="noStrike" baseline="0">
                  <a:solidFill>
                    <a:srgbClr val="0000FF"/>
                  </a:solidFill>
                  <a:latin typeface="Arial"/>
                  <a:cs typeface="Arial"/>
                </a:rPr>
                <a:t>GL?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69850</xdr:colOff>
          <xdr:row>11</xdr:row>
          <xdr:rowOff>146050</xdr:rowOff>
        </xdr:from>
        <xdr:to>
          <xdr:col>12</xdr:col>
          <xdr:colOff>1270000</xdr:colOff>
          <xdr:row>15</xdr:row>
          <xdr:rowOff>6350</xdr:rowOff>
        </xdr:to>
        <xdr:sp macro="" textlink="">
          <xdr:nvSpPr>
            <xdr:cNvPr id="78868" name="Button 20" hidden="1">
              <a:extLst>
                <a:ext uri="{63B3BB69-23CF-44E3-9099-C40C66FF867C}">
                  <a14:compatExt spid="_x0000_s78868"/>
                </a:ext>
                <a:ext uri="{FF2B5EF4-FFF2-40B4-BE49-F238E27FC236}">
                  <a16:creationId xmlns:a16="http://schemas.microsoft.com/office/drawing/2014/main" id="{00000000-0008-0000-3600-000014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FF0000"/>
                  </a:solidFill>
                  <a:latin typeface="Arial"/>
                  <a:cs typeface="Arial"/>
                </a:rPr>
                <a:t>Go to R Calculator</a:t>
              </a:r>
            </a:p>
            <a:p>
              <a:pPr algn="ctr" rtl="0">
                <a:defRPr sz="1000"/>
              </a:pPr>
              <a:r>
                <a:rPr lang="en-GB" sz="1000" b="1" i="0" u="none" strike="noStrike" baseline="0">
                  <a:solidFill>
                    <a:srgbClr val="FF0000"/>
                  </a:solidFill>
                  <a:latin typeface="Arial"/>
                  <a:cs typeface="Arial"/>
                </a:rPr>
                <a:t>Go to S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127000</xdr:colOff>
          <xdr:row>18</xdr:row>
          <xdr:rowOff>12700</xdr:rowOff>
        </xdr:from>
        <xdr:to>
          <xdr:col>6</xdr:col>
          <xdr:colOff>793750</xdr:colOff>
          <xdr:row>19</xdr:row>
          <xdr:rowOff>76200</xdr:rowOff>
        </xdr:to>
        <xdr:sp macro="" textlink="">
          <xdr:nvSpPr>
            <xdr:cNvPr id="78869" name="Check Box 21" hidden="1">
              <a:extLst>
                <a:ext uri="{63B3BB69-23CF-44E3-9099-C40C66FF867C}">
                  <a14:compatExt spid="_x0000_s78869"/>
                </a:ext>
                <a:ext uri="{FF2B5EF4-FFF2-40B4-BE49-F238E27FC236}">
                  <a16:creationId xmlns:a16="http://schemas.microsoft.com/office/drawing/2014/main" id="{00000000-0008-0000-3600-000015340100}"/>
                </a:ext>
              </a:extLst>
            </xdr:cNvPr>
            <xdr:cNvSpPr/>
          </xdr:nvSpPr>
          <xdr:spPr bwMode="auto">
            <a:xfrm>
              <a:off x="0" y="0"/>
              <a:ext cx="0" cy="0"/>
            </a:xfrm>
            <a:prstGeom prst="rect">
              <a:avLst/>
            </a:prstGeom>
            <a:solidFill>
              <a:srgbClr val="FFFF99" mc:Ignorable="a14" a14:legacySpreadsheetColorIndex="43"/>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107950</xdr:colOff>
          <xdr:row>25</xdr:row>
          <xdr:rowOff>31750</xdr:rowOff>
        </xdr:from>
        <xdr:to>
          <xdr:col>12</xdr:col>
          <xdr:colOff>1308100</xdr:colOff>
          <xdr:row>29</xdr:row>
          <xdr:rowOff>44450</xdr:rowOff>
        </xdr:to>
        <xdr:sp macro="" textlink="">
          <xdr:nvSpPr>
            <xdr:cNvPr id="78874" name="Button 26" hidden="1">
              <a:extLst>
                <a:ext uri="{63B3BB69-23CF-44E3-9099-C40C66FF867C}">
                  <a14:compatExt spid="_x0000_s78874"/>
                </a:ext>
                <a:ext uri="{FF2B5EF4-FFF2-40B4-BE49-F238E27FC236}">
                  <a16:creationId xmlns:a16="http://schemas.microsoft.com/office/drawing/2014/main" id="{00000000-0008-0000-3600-00001A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FF0000"/>
                  </a:solidFill>
                  <a:latin typeface="Arial"/>
                  <a:cs typeface="Arial"/>
                </a:rPr>
                <a:t>Go to R Calculator</a:t>
              </a:r>
            </a:p>
            <a:p>
              <a:pPr algn="ctr" rtl="0">
                <a:defRPr sz="1000"/>
              </a:pPr>
              <a:r>
                <a:rPr lang="en-GB" sz="1000" b="1" i="0" u="none" strike="noStrike" baseline="0">
                  <a:solidFill>
                    <a:srgbClr val="FF0000"/>
                  </a:solidFill>
                  <a:latin typeface="Arial"/>
                  <a:cs typeface="Arial"/>
                </a:rPr>
                <a:t>Go to S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127000</xdr:colOff>
          <xdr:row>19</xdr:row>
          <xdr:rowOff>76200</xdr:rowOff>
        </xdr:from>
        <xdr:to>
          <xdr:col>6</xdr:col>
          <xdr:colOff>793750</xdr:colOff>
          <xdr:row>20</xdr:row>
          <xdr:rowOff>139700</xdr:rowOff>
        </xdr:to>
        <xdr:sp macro="" textlink="">
          <xdr:nvSpPr>
            <xdr:cNvPr id="78875" name="Check Box 27" hidden="1">
              <a:extLst>
                <a:ext uri="{63B3BB69-23CF-44E3-9099-C40C66FF867C}">
                  <a14:compatExt spid="_x0000_s78875"/>
                </a:ext>
                <a:ext uri="{FF2B5EF4-FFF2-40B4-BE49-F238E27FC236}">
                  <a16:creationId xmlns:a16="http://schemas.microsoft.com/office/drawing/2014/main" id="{00000000-0008-0000-3600-00001B340100}"/>
                </a:ext>
              </a:extLst>
            </xdr:cNvPr>
            <xdr:cNvSpPr/>
          </xdr:nvSpPr>
          <xdr:spPr bwMode="auto">
            <a:xfrm>
              <a:off x="0" y="0"/>
              <a:ext cx="0" cy="0"/>
            </a:xfrm>
            <a:prstGeom prst="rect">
              <a:avLst/>
            </a:prstGeom>
            <a:solidFill>
              <a:srgbClr val="CCFFCC" mc:Ignorable="a14" a14:legacySpreadsheetColorIndex="42"/>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127000</xdr:colOff>
          <xdr:row>20</xdr:row>
          <xdr:rowOff>139700</xdr:rowOff>
        </xdr:from>
        <xdr:to>
          <xdr:col>6</xdr:col>
          <xdr:colOff>793750</xdr:colOff>
          <xdr:row>22</xdr:row>
          <xdr:rowOff>31750</xdr:rowOff>
        </xdr:to>
        <xdr:sp macro="" textlink="">
          <xdr:nvSpPr>
            <xdr:cNvPr id="78876" name="Check Box 28" hidden="1">
              <a:extLst>
                <a:ext uri="{63B3BB69-23CF-44E3-9099-C40C66FF867C}">
                  <a14:compatExt spid="_x0000_s78876"/>
                </a:ext>
                <a:ext uri="{FF2B5EF4-FFF2-40B4-BE49-F238E27FC236}">
                  <a16:creationId xmlns:a16="http://schemas.microsoft.com/office/drawing/2014/main" id="{00000000-0008-0000-3600-00001C340100}"/>
                </a:ext>
              </a:extLst>
            </xdr:cNvPr>
            <xdr:cNvSpPr/>
          </xdr:nvSpPr>
          <xdr:spPr bwMode="auto">
            <a:xfrm>
              <a:off x="0" y="0"/>
              <a:ext cx="0" cy="0"/>
            </a:xfrm>
            <a:prstGeom prst="rect">
              <a:avLst/>
            </a:prstGeom>
            <a:solidFill>
              <a:srgbClr val="FF99CC" mc:Ignorable="a14" a14:legacySpreadsheetColorIndex="45"/>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177800</xdr:colOff>
          <xdr:row>18</xdr:row>
          <xdr:rowOff>12700</xdr:rowOff>
        </xdr:from>
        <xdr:to>
          <xdr:col>9</xdr:col>
          <xdr:colOff>838200</xdr:colOff>
          <xdr:row>19</xdr:row>
          <xdr:rowOff>76200</xdr:rowOff>
        </xdr:to>
        <xdr:sp macro="" textlink="">
          <xdr:nvSpPr>
            <xdr:cNvPr id="78877" name="Check Box 29" hidden="1">
              <a:extLst>
                <a:ext uri="{63B3BB69-23CF-44E3-9099-C40C66FF867C}">
                  <a14:compatExt spid="_x0000_s78877"/>
                </a:ext>
                <a:ext uri="{FF2B5EF4-FFF2-40B4-BE49-F238E27FC236}">
                  <a16:creationId xmlns:a16="http://schemas.microsoft.com/office/drawing/2014/main" id="{00000000-0008-0000-3600-00001D340100}"/>
                </a:ext>
              </a:extLst>
            </xdr:cNvPr>
            <xdr:cNvSpPr/>
          </xdr:nvSpPr>
          <xdr:spPr bwMode="auto">
            <a:xfrm>
              <a:off x="0" y="0"/>
              <a:ext cx="0" cy="0"/>
            </a:xfrm>
            <a:prstGeom prst="rect">
              <a:avLst/>
            </a:prstGeom>
            <a:solidFill>
              <a:srgbClr val="FFFF99" mc:Ignorable="a14" a14:legacySpreadsheetColorIndex="43"/>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charity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177800</xdr:colOff>
          <xdr:row>19</xdr:row>
          <xdr:rowOff>76200</xdr:rowOff>
        </xdr:from>
        <xdr:to>
          <xdr:col>9</xdr:col>
          <xdr:colOff>838200</xdr:colOff>
          <xdr:row>20</xdr:row>
          <xdr:rowOff>139700</xdr:rowOff>
        </xdr:to>
        <xdr:sp macro="" textlink="">
          <xdr:nvSpPr>
            <xdr:cNvPr id="78878" name="Check Box 30" hidden="1">
              <a:extLst>
                <a:ext uri="{63B3BB69-23CF-44E3-9099-C40C66FF867C}">
                  <a14:compatExt spid="_x0000_s78878"/>
                </a:ext>
                <a:ext uri="{FF2B5EF4-FFF2-40B4-BE49-F238E27FC236}">
                  <a16:creationId xmlns:a16="http://schemas.microsoft.com/office/drawing/2014/main" id="{00000000-0008-0000-3600-00001E340100}"/>
                </a:ext>
              </a:extLst>
            </xdr:cNvPr>
            <xdr:cNvSpPr/>
          </xdr:nvSpPr>
          <xdr:spPr bwMode="auto">
            <a:xfrm>
              <a:off x="0" y="0"/>
              <a:ext cx="0" cy="0"/>
            </a:xfrm>
            <a:prstGeom prst="rect">
              <a:avLst/>
            </a:prstGeom>
            <a:solidFill>
              <a:srgbClr val="CCFFCC" mc:Ignorable="a14" a14:legacySpreadsheetColorIndex="42"/>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empty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177800</xdr:colOff>
          <xdr:row>20</xdr:row>
          <xdr:rowOff>139700</xdr:rowOff>
        </xdr:from>
        <xdr:to>
          <xdr:col>9</xdr:col>
          <xdr:colOff>838200</xdr:colOff>
          <xdr:row>22</xdr:row>
          <xdr:rowOff>31750</xdr:rowOff>
        </xdr:to>
        <xdr:sp macro="" textlink="">
          <xdr:nvSpPr>
            <xdr:cNvPr id="78879" name="Check Box 31" hidden="1">
              <a:extLst>
                <a:ext uri="{63B3BB69-23CF-44E3-9099-C40C66FF867C}">
                  <a14:compatExt spid="_x0000_s78879"/>
                </a:ext>
                <a:ext uri="{FF2B5EF4-FFF2-40B4-BE49-F238E27FC236}">
                  <a16:creationId xmlns:a16="http://schemas.microsoft.com/office/drawing/2014/main" id="{00000000-0008-0000-3600-00001F340100}"/>
                </a:ext>
              </a:extLst>
            </xdr:cNvPr>
            <xdr:cNvSpPr/>
          </xdr:nvSpPr>
          <xdr:spPr bwMode="auto">
            <a:xfrm>
              <a:off x="0" y="0"/>
              <a:ext cx="0" cy="0"/>
            </a:xfrm>
            <a:prstGeom prst="rect">
              <a:avLst/>
            </a:prstGeom>
            <a:solidFill>
              <a:srgbClr val="FF99CC" mc:Ignorable="a14" a14:legacySpreadsheetColorIndex="45"/>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retail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800100</xdr:colOff>
          <xdr:row>0</xdr:row>
          <xdr:rowOff>368300</xdr:rowOff>
        </xdr:from>
        <xdr:to>
          <xdr:col>10</xdr:col>
          <xdr:colOff>546100</xdr:colOff>
          <xdr:row>1</xdr:row>
          <xdr:rowOff>196850</xdr:rowOff>
        </xdr:to>
        <xdr:sp macro="" textlink="">
          <xdr:nvSpPr>
            <xdr:cNvPr id="78913" name="Button 65" hidden="1">
              <a:extLst>
                <a:ext uri="{63B3BB69-23CF-44E3-9099-C40C66FF867C}">
                  <a14:compatExt spid="_x0000_s78913"/>
                </a:ext>
                <a:ext uri="{FF2B5EF4-FFF2-40B4-BE49-F238E27FC236}">
                  <a16:creationId xmlns:a16="http://schemas.microsoft.com/office/drawing/2014/main" id="{00000000-0008-0000-3600-000041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558800</xdr:colOff>
          <xdr:row>0</xdr:row>
          <xdr:rowOff>368300</xdr:rowOff>
        </xdr:from>
        <xdr:to>
          <xdr:col>12</xdr:col>
          <xdr:colOff>31750</xdr:colOff>
          <xdr:row>1</xdr:row>
          <xdr:rowOff>196850</xdr:rowOff>
        </xdr:to>
        <xdr:sp macro="" textlink="">
          <xdr:nvSpPr>
            <xdr:cNvPr id="78914" name="Button 66" hidden="1">
              <a:extLst>
                <a:ext uri="{63B3BB69-23CF-44E3-9099-C40C66FF867C}">
                  <a14:compatExt spid="_x0000_s78914"/>
                </a:ext>
                <a:ext uri="{FF2B5EF4-FFF2-40B4-BE49-F238E27FC236}">
                  <a16:creationId xmlns:a16="http://schemas.microsoft.com/office/drawing/2014/main" id="{00000000-0008-0000-3600-000042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368300</xdr:rowOff>
        </xdr:from>
        <xdr:to>
          <xdr:col>12</xdr:col>
          <xdr:colOff>565150</xdr:colOff>
          <xdr:row>1</xdr:row>
          <xdr:rowOff>196850</xdr:rowOff>
        </xdr:to>
        <xdr:sp macro="" textlink="">
          <xdr:nvSpPr>
            <xdr:cNvPr id="78915" name="Button 67" hidden="1">
              <a:extLst>
                <a:ext uri="{63B3BB69-23CF-44E3-9099-C40C66FF867C}">
                  <a14:compatExt spid="_x0000_s78915"/>
                </a:ext>
                <a:ext uri="{FF2B5EF4-FFF2-40B4-BE49-F238E27FC236}">
                  <a16:creationId xmlns:a16="http://schemas.microsoft.com/office/drawing/2014/main" id="{00000000-0008-0000-3600-0000433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577850</xdr:colOff>
          <xdr:row>0</xdr:row>
          <xdr:rowOff>368300</xdr:rowOff>
        </xdr:from>
        <xdr:to>
          <xdr:col>12</xdr:col>
          <xdr:colOff>1104900</xdr:colOff>
          <xdr:row>1</xdr:row>
          <xdr:rowOff>196850</xdr:rowOff>
        </xdr:to>
        <xdr:sp macro="" textlink="">
          <xdr:nvSpPr>
            <xdr:cNvPr id="78916" name="Button 68" hidden="1">
              <a:extLst>
                <a:ext uri="{63B3BB69-23CF-44E3-9099-C40C66FF867C}">
                  <a14:compatExt spid="_x0000_s78916"/>
                </a:ext>
                <a:ext uri="{FF2B5EF4-FFF2-40B4-BE49-F238E27FC236}">
                  <a16:creationId xmlns:a16="http://schemas.microsoft.com/office/drawing/2014/main" id="{00000000-0008-0000-3600-00004434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698500</xdr:colOff>
          <xdr:row>0</xdr:row>
          <xdr:rowOff>50800</xdr:rowOff>
        </xdr:from>
        <xdr:to>
          <xdr:col>12</xdr:col>
          <xdr:colOff>177800</xdr:colOff>
          <xdr:row>0</xdr:row>
          <xdr:rowOff>349250</xdr:rowOff>
        </xdr:to>
        <xdr:sp macro="" textlink="">
          <xdr:nvSpPr>
            <xdr:cNvPr id="78917" name="Button 69" hidden="1">
              <a:extLst>
                <a:ext uri="{63B3BB69-23CF-44E3-9099-C40C66FF867C}">
                  <a14:compatExt spid="_x0000_s78917"/>
                </a:ext>
                <a:ext uri="{FF2B5EF4-FFF2-40B4-BE49-F238E27FC236}">
                  <a16:creationId xmlns:a16="http://schemas.microsoft.com/office/drawing/2014/main" id="{00000000-0008-0000-3600-000045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800100</xdr:colOff>
          <xdr:row>0</xdr:row>
          <xdr:rowOff>50800</xdr:rowOff>
        </xdr:from>
        <xdr:to>
          <xdr:col>10</xdr:col>
          <xdr:colOff>692150</xdr:colOff>
          <xdr:row>0</xdr:row>
          <xdr:rowOff>349250</xdr:rowOff>
        </xdr:to>
        <xdr:sp macro="" textlink="">
          <xdr:nvSpPr>
            <xdr:cNvPr id="78918" name="Button 70" hidden="1">
              <a:extLst>
                <a:ext uri="{63B3BB69-23CF-44E3-9099-C40C66FF867C}">
                  <a14:compatExt spid="_x0000_s78918"/>
                </a:ext>
                <a:ext uri="{FF2B5EF4-FFF2-40B4-BE49-F238E27FC236}">
                  <a16:creationId xmlns:a16="http://schemas.microsoft.com/office/drawing/2014/main" id="{00000000-0008-0000-3600-000046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184150</xdr:colOff>
          <xdr:row>0</xdr:row>
          <xdr:rowOff>50800</xdr:rowOff>
        </xdr:from>
        <xdr:to>
          <xdr:col>12</xdr:col>
          <xdr:colOff>1104900</xdr:colOff>
          <xdr:row>0</xdr:row>
          <xdr:rowOff>349250</xdr:rowOff>
        </xdr:to>
        <xdr:sp macro="" textlink="">
          <xdr:nvSpPr>
            <xdr:cNvPr id="78919" name="Button 71" hidden="1">
              <a:extLst>
                <a:ext uri="{63B3BB69-23CF-44E3-9099-C40C66FF867C}">
                  <a14:compatExt spid="_x0000_s78919"/>
                </a:ext>
                <a:ext uri="{FF2B5EF4-FFF2-40B4-BE49-F238E27FC236}">
                  <a16:creationId xmlns:a16="http://schemas.microsoft.com/office/drawing/2014/main" id="{00000000-0008-0000-3600-000047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831850</xdr:colOff>
          <xdr:row>38</xdr:row>
          <xdr:rowOff>152400</xdr:rowOff>
        </xdr:from>
        <xdr:to>
          <xdr:col>12</xdr:col>
          <xdr:colOff>1612900</xdr:colOff>
          <xdr:row>40</xdr:row>
          <xdr:rowOff>31750</xdr:rowOff>
        </xdr:to>
        <xdr:sp macro="" textlink="">
          <xdr:nvSpPr>
            <xdr:cNvPr id="78920" name="Button 72" hidden="1">
              <a:extLst>
                <a:ext uri="{63B3BB69-23CF-44E3-9099-C40C66FF867C}">
                  <a14:compatExt spid="_x0000_s78920"/>
                </a:ext>
                <a:ext uri="{FF2B5EF4-FFF2-40B4-BE49-F238E27FC236}">
                  <a16:creationId xmlns:a16="http://schemas.microsoft.com/office/drawing/2014/main" id="{00000000-0008-0000-3600-000048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0" anchor="t" upright="1"/>
            <a:lstStyle/>
            <a:p>
              <a:pPr algn="ctr" rtl="0">
                <a:defRPr sz="1000"/>
              </a:pPr>
              <a:r>
                <a:rPr lang="en-GB" sz="1000" b="0" i="0" u="none" strike="noStrike" baseline="0">
                  <a:solidFill>
                    <a:srgbClr val="333399"/>
                  </a:solidFill>
                  <a:latin typeface="Arial"/>
                  <a:cs typeface="Arial"/>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127000</xdr:colOff>
          <xdr:row>22</xdr:row>
          <xdr:rowOff>38100</xdr:rowOff>
        </xdr:from>
        <xdr:to>
          <xdr:col>6</xdr:col>
          <xdr:colOff>793750</xdr:colOff>
          <xdr:row>23</xdr:row>
          <xdr:rowOff>101600</xdr:rowOff>
        </xdr:to>
        <xdr:sp macro="" textlink="">
          <xdr:nvSpPr>
            <xdr:cNvPr id="78921" name="Check Box 73" hidden="1">
              <a:extLst>
                <a:ext uri="{63B3BB69-23CF-44E3-9099-C40C66FF867C}">
                  <a14:compatExt spid="_x0000_s78921"/>
                </a:ext>
                <a:ext uri="{FF2B5EF4-FFF2-40B4-BE49-F238E27FC236}">
                  <a16:creationId xmlns:a16="http://schemas.microsoft.com/office/drawing/2014/main" id="{00000000-0008-0000-3600-000049340100}"/>
                </a:ext>
              </a:extLst>
            </xdr:cNvPr>
            <xdr:cNvSpPr/>
          </xdr:nvSpPr>
          <xdr:spPr bwMode="auto">
            <a:xfrm>
              <a:off x="0" y="0"/>
              <a:ext cx="0" cy="0"/>
            </a:xfrm>
            <a:prstGeom prst="rect">
              <a:avLst/>
            </a:prstGeom>
            <a:solidFill>
              <a:srgbClr val="CCCCFF" mc:Ignorable="a14" a14:legacySpreadsheetColorIndex="31"/>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SBRR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177800</xdr:colOff>
          <xdr:row>22</xdr:row>
          <xdr:rowOff>38100</xdr:rowOff>
        </xdr:from>
        <xdr:to>
          <xdr:col>9</xdr:col>
          <xdr:colOff>838200</xdr:colOff>
          <xdr:row>23</xdr:row>
          <xdr:rowOff>101600</xdr:rowOff>
        </xdr:to>
        <xdr:sp macro="" textlink="">
          <xdr:nvSpPr>
            <xdr:cNvPr id="78922" name="Check Box 74" hidden="1">
              <a:extLst>
                <a:ext uri="{63B3BB69-23CF-44E3-9099-C40C66FF867C}">
                  <a14:compatExt spid="_x0000_s78922"/>
                </a:ext>
                <a:ext uri="{FF2B5EF4-FFF2-40B4-BE49-F238E27FC236}">
                  <a16:creationId xmlns:a16="http://schemas.microsoft.com/office/drawing/2014/main" id="{00000000-0008-0000-3600-00004A340100}"/>
                </a:ext>
              </a:extLst>
            </xdr:cNvPr>
            <xdr:cNvSpPr/>
          </xdr:nvSpPr>
          <xdr:spPr bwMode="auto">
            <a:xfrm>
              <a:off x="0" y="0"/>
              <a:ext cx="0" cy="0"/>
            </a:xfrm>
            <a:prstGeom prst="rect">
              <a:avLst/>
            </a:prstGeom>
            <a:solidFill>
              <a:srgbClr val="CCCCFF" mc:Ignorable="a14" a14:legacySpreadsheetColorIndex="31"/>
            </a:solidFill>
            <a:ln w="9525">
              <a:solidFill>
                <a:srgbClr val="000000" mc:Ignorable="a14" a14:legacySpreadsheetColorIndex="64"/>
              </a:solidFill>
              <a:miter lim="800000"/>
              <a:headEnd/>
              <a:tailEnd/>
            </a:ln>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SBRR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2</xdr:row>
          <xdr:rowOff>101600</xdr:rowOff>
        </xdr:from>
        <xdr:to>
          <xdr:col>12</xdr:col>
          <xdr:colOff>1104900</xdr:colOff>
          <xdr:row>5</xdr:row>
          <xdr:rowOff>50800</xdr:rowOff>
        </xdr:to>
        <xdr:sp macro="" textlink="">
          <xdr:nvSpPr>
            <xdr:cNvPr id="78926" name="globalbacktobutton" hidden="1">
              <a:extLst>
                <a:ext uri="{63B3BB69-23CF-44E3-9099-C40C66FF867C}">
                  <a14:compatExt spid="_x0000_s78926"/>
                </a:ext>
                <a:ext uri="{FF2B5EF4-FFF2-40B4-BE49-F238E27FC236}">
                  <a16:creationId xmlns:a16="http://schemas.microsoft.com/office/drawing/2014/main" id="{00000000-0008-0000-3600-00004E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44450</xdr:colOff>
          <xdr:row>3</xdr:row>
          <xdr:rowOff>50800</xdr:rowOff>
        </xdr:from>
        <xdr:to>
          <xdr:col>7</xdr:col>
          <xdr:colOff>850900</xdr:colOff>
          <xdr:row>3</xdr:row>
          <xdr:rowOff>457200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3700-000001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Calculate R and S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63500</xdr:colOff>
          <xdr:row>2</xdr:row>
          <xdr:rowOff>12700</xdr:rowOff>
        </xdr:from>
        <xdr:to>
          <xdr:col>5</xdr:col>
          <xdr:colOff>0</xdr:colOff>
          <xdr:row>2</xdr:row>
          <xdr:rowOff>254000</xdr:rowOff>
        </xdr:to>
        <xdr:sp macro="" textlink="">
          <xdr:nvSpPr>
            <xdr:cNvPr id="77826" name="Button 2" hidden="1">
              <a:extLst>
                <a:ext uri="{63B3BB69-23CF-44E3-9099-C40C66FF867C}">
                  <a14:compatExt spid="_x0000_s77826"/>
                </a:ext>
                <a:ext uri="{FF2B5EF4-FFF2-40B4-BE49-F238E27FC236}">
                  <a16:creationId xmlns:a16="http://schemas.microsoft.com/office/drawing/2014/main" id="{00000000-0008-0000-3700-000002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get date from R x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7</xdr:row>
          <xdr:rowOff>31750</xdr:rowOff>
        </xdr:from>
        <xdr:to>
          <xdr:col>0</xdr:col>
          <xdr:colOff>800100</xdr:colOff>
          <xdr:row>8</xdr:row>
          <xdr:rowOff>184150</xdr:rowOff>
        </xdr:to>
        <xdr:sp macro="" textlink="">
          <xdr:nvSpPr>
            <xdr:cNvPr id="77827" name="Button 3" hidden="1">
              <a:extLst>
                <a:ext uri="{63B3BB69-23CF-44E3-9099-C40C66FF867C}">
                  <a14:compatExt spid="_x0000_s77827"/>
                </a:ext>
                <a:ext uri="{FF2B5EF4-FFF2-40B4-BE49-F238E27FC236}">
                  <a16:creationId xmlns:a16="http://schemas.microsoft.com/office/drawing/2014/main" id="{00000000-0008-0000-3700-000003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2</xdr:row>
          <xdr:rowOff>88900</xdr:rowOff>
        </xdr:from>
        <xdr:to>
          <xdr:col>0</xdr:col>
          <xdr:colOff>800100</xdr:colOff>
          <xdr:row>3</xdr:row>
          <xdr:rowOff>349250</xdr:rowOff>
        </xdr:to>
        <xdr:sp macro="" textlink="">
          <xdr:nvSpPr>
            <xdr:cNvPr id="77828" name="Button 4" hidden="1">
              <a:extLst>
                <a:ext uri="{63B3BB69-23CF-44E3-9099-C40C66FF867C}">
                  <a14:compatExt spid="_x0000_s77828"/>
                </a:ext>
                <a:ext uri="{FF2B5EF4-FFF2-40B4-BE49-F238E27FC236}">
                  <a16:creationId xmlns:a16="http://schemas.microsoft.com/office/drawing/2014/main" id="{00000000-0008-0000-3700-000004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3</xdr:row>
          <xdr:rowOff>393700</xdr:rowOff>
        </xdr:from>
        <xdr:to>
          <xdr:col>0</xdr:col>
          <xdr:colOff>800100</xdr:colOff>
          <xdr:row>4</xdr:row>
          <xdr:rowOff>101600</xdr:rowOff>
        </xdr:to>
        <xdr:sp macro="" textlink="">
          <xdr:nvSpPr>
            <xdr:cNvPr id="77829" name="Button 5" hidden="1">
              <a:extLst>
                <a:ext uri="{63B3BB69-23CF-44E3-9099-C40C66FF867C}">
                  <a14:compatExt spid="_x0000_s77829"/>
                </a:ext>
                <a:ext uri="{FF2B5EF4-FFF2-40B4-BE49-F238E27FC236}">
                  <a16:creationId xmlns:a16="http://schemas.microsoft.com/office/drawing/2014/main" id="{00000000-0008-0000-3700-000005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undo 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165100</xdr:colOff>
          <xdr:row>7</xdr:row>
          <xdr:rowOff>69850</xdr:rowOff>
        </xdr:from>
        <xdr:to>
          <xdr:col>11</xdr:col>
          <xdr:colOff>889000</xdr:colOff>
          <xdr:row>10</xdr:row>
          <xdr:rowOff>101600</xdr:rowOff>
        </xdr:to>
        <xdr:sp macro="" textlink="">
          <xdr:nvSpPr>
            <xdr:cNvPr id="77830" name="Button 6" hidden="1">
              <a:extLst>
                <a:ext uri="{63B3BB69-23CF-44E3-9099-C40C66FF867C}">
                  <a14:compatExt spid="_x0000_s77830"/>
                </a:ext>
                <a:ext uri="{FF2B5EF4-FFF2-40B4-BE49-F238E27FC236}">
                  <a16:creationId xmlns:a16="http://schemas.microsoft.com/office/drawing/2014/main" id="{00000000-0008-0000-3700-000006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Send to R x J / S </a:t>
              </a:r>
            </a:p>
            <a:p>
              <a:pPr algn="ctr" rtl="0">
                <a:defRPr sz="1000"/>
              </a:pPr>
              <a:r>
                <a:rPr lang="en-GB" sz="1000" b="1" i="0" u="none" strike="noStrike" baseline="0">
                  <a:solidFill>
                    <a:srgbClr val="000000"/>
                  </a:solidFill>
                  <a:latin typeface="Arial"/>
                  <a:cs typeface="Arial"/>
                </a:rPr>
                <a:t>(original)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165100</xdr:colOff>
          <xdr:row>10</xdr:row>
          <xdr:rowOff>107950</xdr:rowOff>
        </xdr:from>
        <xdr:to>
          <xdr:col>11</xdr:col>
          <xdr:colOff>889000</xdr:colOff>
          <xdr:row>13</xdr:row>
          <xdr:rowOff>146050</xdr:rowOff>
        </xdr:to>
        <xdr:sp macro="" textlink="">
          <xdr:nvSpPr>
            <xdr:cNvPr id="77831" name="Button 7" hidden="1">
              <a:extLst>
                <a:ext uri="{63B3BB69-23CF-44E3-9099-C40C66FF867C}">
                  <a14:compatExt spid="_x0000_s77831"/>
                </a:ext>
                <a:ext uri="{FF2B5EF4-FFF2-40B4-BE49-F238E27FC236}">
                  <a16:creationId xmlns:a16="http://schemas.microsoft.com/office/drawing/2014/main" id="{00000000-0008-0000-3700-000007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Send to R x J / S </a:t>
              </a:r>
            </a:p>
            <a:p>
              <a:pPr algn="ctr" rtl="0">
                <a:defRPr sz="1000"/>
              </a:pPr>
              <a:r>
                <a:rPr lang="en-GB" sz="1000" b="1" i="0" u="none" strike="noStrike" baseline="0">
                  <a:solidFill>
                    <a:srgbClr val="000000"/>
                  </a:solidFill>
                  <a:latin typeface="Arial"/>
                  <a:cs typeface="Arial"/>
                </a:rPr>
                <a:t>(revised)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4</xdr:row>
          <xdr:rowOff>152400</xdr:rowOff>
        </xdr:from>
        <xdr:to>
          <xdr:col>0</xdr:col>
          <xdr:colOff>800100</xdr:colOff>
          <xdr:row>6</xdr:row>
          <xdr:rowOff>165100</xdr:rowOff>
        </xdr:to>
        <xdr:sp macro="" textlink="">
          <xdr:nvSpPr>
            <xdr:cNvPr id="77832" name="Button 8" hidden="1">
              <a:extLst>
                <a:ext uri="{63B3BB69-23CF-44E3-9099-C40C66FF867C}">
                  <a14:compatExt spid="_x0000_s77832"/>
                </a:ext>
                <a:ext uri="{FF2B5EF4-FFF2-40B4-BE49-F238E27FC236}">
                  <a16:creationId xmlns:a16="http://schemas.microsoft.com/office/drawing/2014/main" id="{00000000-0008-0000-3700-000008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146050</xdr:colOff>
          <xdr:row>3</xdr:row>
          <xdr:rowOff>139700</xdr:rowOff>
        </xdr:from>
        <xdr:to>
          <xdr:col>11</xdr:col>
          <xdr:colOff>1054100</xdr:colOff>
          <xdr:row>3</xdr:row>
          <xdr:rowOff>393700</xdr:rowOff>
        </xdr:to>
        <xdr:sp macro="" textlink="">
          <xdr:nvSpPr>
            <xdr:cNvPr id="77833" name="Button 9" hidden="1">
              <a:extLst>
                <a:ext uri="{63B3BB69-23CF-44E3-9099-C40C66FF867C}">
                  <a14:compatExt spid="_x0000_s77833"/>
                </a:ext>
                <a:ext uri="{FF2B5EF4-FFF2-40B4-BE49-F238E27FC236}">
                  <a16:creationId xmlns:a16="http://schemas.microsoft.com/office/drawing/2014/main" id="{00000000-0008-0000-3700-000009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go to R x J /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9</xdr:row>
          <xdr:rowOff>44450</xdr:rowOff>
        </xdr:from>
        <xdr:to>
          <xdr:col>0</xdr:col>
          <xdr:colOff>800100</xdr:colOff>
          <xdr:row>11</xdr:row>
          <xdr:rowOff>6350</xdr:rowOff>
        </xdr:to>
        <xdr:sp macro="" textlink="">
          <xdr:nvSpPr>
            <xdr:cNvPr id="77834" name="Button 10" hidden="1">
              <a:extLst>
                <a:ext uri="{63B3BB69-23CF-44E3-9099-C40C66FF867C}">
                  <a14:compatExt spid="_x0000_s77834"/>
                </a:ext>
                <a:ext uri="{FF2B5EF4-FFF2-40B4-BE49-F238E27FC236}">
                  <a16:creationId xmlns:a16="http://schemas.microsoft.com/office/drawing/2014/main" id="{00000000-0008-0000-3700-00000A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0</xdr:row>
          <xdr:rowOff>69850</xdr:rowOff>
        </xdr:from>
        <xdr:to>
          <xdr:col>0</xdr:col>
          <xdr:colOff>787400</xdr:colOff>
          <xdr:row>0</xdr:row>
          <xdr:rowOff>654050</xdr:rowOff>
        </xdr:to>
        <xdr:sp macro="" textlink="">
          <xdr:nvSpPr>
            <xdr:cNvPr id="77839" name="Button 15" hidden="1">
              <a:extLst>
                <a:ext uri="{63B3BB69-23CF-44E3-9099-C40C66FF867C}">
                  <a14:compatExt spid="_x0000_s77839"/>
                </a:ext>
                <a:ext uri="{FF2B5EF4-FFF2-40B4-BE49-F238E27FC236}">
                  <a16:creationId xmlns:a16="http://schemas.microsoft.com/office/drawing/2014/main" id="{00000000-0008-0000-3700-00000F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FF"/>
                  </a:solidFill>
                  <a:latin typeface="Arial"/>
                  <a:cs typeface="Arial"/>
                </a:rPr>
                <a:t>go to</a:t>
              </a:r>
            </a:p>
            <a:p>
              <a:pPr algn="ctr" rtl="0">
                <a:defRPr sz="1000"/>
              </a:pPr>
              <a:r>
                <a:rPr lang="en-GB" sz="1000" b="1" i="0" u="none" strike="noStrike" baseline="0">
                  <a:solidFill>
                    <a:srgbClr val="0000FF"/>
                  </a:solidFill>
                  <a:latin typeface="Arial"/>
                  <a:cs typeface="Arial"/>
                </a:rPr>
                <a:t>R x J /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0</xdr:row>
          <xdr:rowOff>635000</xdr:rowOff>
        </xdr:from>
        <xdr:to>
          <xdr:col>13</xdr:col>
          <xdr:colOff>717550</xdr:colOff>
          <xdr:row>2</xdr:row>
          <xdr:rowOff>107950</xdr:rowOff>
        </xdr:to>
        <xdr:sp macro="" textlink="">
          <xdr:nvSpPr>
            <xdr:cNvPr id="77840" name="Button 16" hidden="1">
              <a:extLst>
                <a:ext uri="{63B3BB69-23CF-44E3-9099-C40C66FF867C}">
                  <a14:compatExt spid="_x0000_s77840"/>
                </a:ext>
                <a:ext uri="{FF2B5EF4-FFF2-40B4-BE49-F238E27FC236}">
                  <a16:creationId xmlns:a16="http://schemas.microsoft.com/office/drawing/2014/main" id="{00000000-0008-0000-3700-000010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723900</xdr:colOff>
          <xdr:row>0</xdr:row>
          <xdr:rowOff>635000</xdr:rowOff>
        </xdr:from>
        <xdr:to>
          <xdr:col>37</xdr:col>
          <xdr:colOff>349250</xdr:colOff>
          <xdr:row>2</xdr:row>
          <xdr:rowOff>107950</xdr:rowOff>
        </xdr:to>
        <xdr:sp macro="" textlink="">
          <xdr:nvSpPr>
            <xdr:cNvPr id="77841" name="Button 17" hidden="1">
              <a:extLst>
                <a:ext uri="{63B3BB69-23CF-44E3-9099-C40C66FF867C}">
                  <a14:compatExt spid="_x0000_s77841"/>
                </a:ext>
                <a:ext uri="{FF2B5EF4-FFF2-40B4-BE49-F238E27FC236}">
                  <a16:creationId xmlns:a16="http://schemas.microsoft.com/office/drawing/2014/main" id="{00000000-0008-0000-3700-0000113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355600</xdr:colOff>
          <xdr:row>0</xdr:row>
          <xdr:rowOff>635000</xdr:rowOff>
        </xdr:from>
        <xdr:to>
          <xdr:col>38</xdr:col>
          <xdr:colOff>266700</xdr:colOff>
          <xdr:row>2</xdr:row>
          <xdr:rowOff>107950</xdr:rowOff>
        </xdr:to>
        <xdr:sp macro="" textlink="">
          <xdr:nvSpPr>
            <xdr:cNvPr id="77842" name="Button 18" hidden="1">
              <a:extLst>
                <a:ext uri="{63B3BB69-23CF-44E3-9099-C40C66FF867C}">
                  <a14:compatExt spid="_x0000_s77842"/>
                </a:ext>
                <a:ext uri="{FF2B5EF4-FFF2-40B4-BE49-F238E27FC236}">
                  <a16:creationId xmlns:a16="http://schemas.microsoft.com/office/drawing/2014/main" id="{00000000-0008-0000-3700-00001230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273050</xdr:colOff>
          <xdr:row>0</xdr:row>
          <xdr:rowOff>635000</xdr:rowOff>
        </xdr:from>
        <xdr:to>
          <xdr:col>39</xdr:col>
          <xdr:colOff>177800</xdr:colOff>
          <xdr:row>2</xdr:row>
          <xdr:rowOff>107950</xdr:rowOff>
        </xdr:to>
        <xdr:sp macro="" textlink="">
          <xdr:nvSpPr>
            <xdr:cNvPr id="77843" name="Button 19" hidden="1">
              <a:extLst>
                <a:ext uri="{63B3BB69-23CF-44E3-9099-C40C66FF867C}">
                  <a14:compatExt spid="_x0000_s77843"/>
                </a:ext>
                <a:ext uri="{FF2B5EF4-FFF2-40B4-BE49-F238E27FC236}">
                  <a16:creationId xmlns:a16="http://schemas.microsoft.com/office/drawing/2014/main" id="{00000000-0008-0000-3700-00001330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25400</xdr:colOff>
          <xdr:row>0</xdr:row>
          <xdr:rowOff>107950</xdr:rowOff>
        </xdr:from>
        <xdr:to>
          <xdr:col>13</xdr:col>
          <xdr:colOff>730250</xdr:colOff>
          <xdr:row>0</xdr:row>
          <xdr:rowOff>558800</xdr:rowOff>
        </xdr:to>
        <xdr:sp macro="" textlink="">
          <xdr:nvSpPr>
            <xdr:cNvPr id="77846" name="globalbacktobutton" hidden="1">
              <a:extLst>
                <a:ext uri="{63B3BB69-23CF-44E3-9099-C40C66FF867C}">
                  <a14:compatExt spid="_x0000_s77846"/>
                </a:ext>
                <a:ext uri="{FF2B5EF4-FFF2-40B4-BE49-F238E27FC236}">
                  <a16:creationId xmlns:a16="http://schemas.microsoft.com/office/drawing/2014/main" id="{00000000-0008-0000-3700-0000163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twoCellAnchor editAs="oneCell">
    <xdr:from>
      <xdr:col>1</xdr:col>
      <xdr:colOff>7620</xdr:colOff>
      <xdr:row>0</xdr:row>
      <xdr:rowOff>243840</xdr:rowOff>
    </xdr:from>
    <xdr:to>
      <xdr:col>2</xdr:col>
      <xdr:colOff>868680</xdr:colOff>
      <xdr:row>0</xdr:row>
      <xdr:rowOff>480060</xdr:rowOff>
    </xdr:to>
    <xdr:sp macro="" textlink="">
      <xdr:nvSpPr>
        <xdr:cNvPr id="77847" name="Text Box 23">
          <a:extLst>
            <a:ext uri="{FF2B5EF4-FFF2-40B4-BE49-F238E27FC236}">
              <a16:creationId xmlns:a16="http://schemas.microsoft.com/office/drawing/2014/main" id="{8C0C112E-B99B-5072-609C-E1DD5E6A853B}"/>
            </a:ext>
          </a:extLst>
        </xdr:cNvPr>
        <xdr:cNvSpPr txBox="1">
          <a:spLocks noChangeArrowheads="1"/>
        </xdr:cNvSpPr>
      </xdr:nvSpPr>
      <xdr:spPr bwMode="auto">
        <a:xfrm>
          <a:off x="830580" y="243840"/>
          <a:ext cx="960120" cy="236220"/>
        </a:xfrm>
        <a:prstGeom prst="rect">
          <a:avLst/>
        </a:prstGeom>
        <a:noFill/>
        <a:ln>
          <a:noFill/>
        </a:ln>
      </xdr:spPr>
      <xdr:txBody>
        <a:bodyPr vertOverflow="clip" wrap="square" lIns="36576" tIns="32004" rIns="0" bIns="0" anchor="t" upright="1"/>
        <a:lstStyle/>
        <a:p>
          <a:pPr algn="l" rtl="0">
            <a:defRPr sz="1000"/>
          </a:pPr>
          <a:r>
            <a:rPr lang="en-GB" sz="1200" b="1" i="0" u="none" strike="noStrike" baseline="0">
              <a:solidFill>
                <a:srgbClr val="0000FF"/>
              </a:solidFill>
              <a:latin typeface="Arial"/>
              <a:cs typeface="Arial"/>
            </a:rPr>
            <a:t>Step 1</a:t>
          </a:r>
        </a:p>
      </xdr:txBody>
    </xdr:sp>
    <xdr:clientData/>
  </xdr:twoCellAnchor>
  <xdr:twoCellAnchor editAs="oneCell">
    <xdr:from>
      <xdr:col>6</xdr:col>
      <xdr:colOff>0</xdr:colOff>
      <xdr:row>0</xdr:row>
      <xdr:rowOff>266700</xdr:rowOff>
    </xdr:from>
    <xdr:to>
      <xdr:col>6</xdr:col>
      <xdr:colOff>960120</xdr:colOff>
      <xdr:row>0</xdr:row>
      <xdr:rowOff>495300</xdr:rowOff>
    </xdr:to>
    <xdr:sp macro="" textlink="">
      <xdr:nvSpPr>
        <xdr:cNvPr id="77848" name="Text Box 24">
          <a:extLst>
            <a:ext uri="{FF2B5EF4-FFF2-40B4-BE49-F238E27FC236}">
              <a16:creationId xmlns:a16="http://schemas.microsoft.com/office/drawing/2014/main" id="{EE863907-FC10-E889-4D80-6AD4AB1BBAD1}"/>
            </a:ext>
          </a:extLst>
        </xdr:cNvPr>
        <xdr:cNvSpPr txBox="1">
          <a:spLocks noChangeArrowheads="1"/>
        </xdr:cNvSpPr>
      </xdr:nvSpPr>
      <xdr:spPr bwMode="auto">
        <a:xfrm>
          <a:off x="5052060" y="266700"/>
          <a:ext cx="960120" cy="228600"/>
        </a:xfrm>
        <a:prstGeom prst="rect">
          <a:avLst/>
        </a:prstGeom>
        <a:noFill/>
        <a:ln>
          <a:noFill/>
        </a:ln>
      </xdr:spPr>
      <xdr:txBody>
        <a:bodyPr vertOverflow="clip" wrap="square" lIns="36576" tIns="32004" rIns="0" bIns="0" anchor="t" upright="1"/>
        <a:lstStyle/>
        <a:p>
          <a:pPr algn="l" rtl="0">
            <a:defRPr sz="1000"/>
          </a:pPr>
          <a:r>
            <a:rPr lang="en-GB" sz="1200" b="1" i="0" u="none" strike="noStrike" baseline="0">
              <a:solidFill>
                <a:srgbClr val="0000FF"/>
              </a:solidFill>
              <a:latin typeface="Arial"/>
              <a:cs typeface="Arial"/>
            </a:rPr>
            <a:t>Step 2</a:t>
          </a:r>
        </a:p>
      </xdr:txBody>
    </xdr:sp>
    <xdr:clientData/>
  </xdr:twoCellAnchor>
  <xdr:twoCellAnchor editAs="oneCell">
    <xdr:from>
      <xdr:col>10</xdr:col>
      <xdr:colOff>0</xdr:colOff>
      <xdr:row>15</xdr:row>
      <xdr:rowOff>152400</xdr:rowOff>
    </xdr:from>
    <xdr:to>
      <xdr:col>11</xdr:col>
      <xdr:colOff>434340</xdr:colOff>
      <xdr:row>16</xdr:row>
      <xdr:rowOff>182880</xdr:rowOff>
    </xdr:to>
    <xdr:sp macro="" textlink="">
      <xdr:nvSpPr>
        <xdr:cNvPr id="77849" name="Text Box 25">
          <a:extLst>
            <a:ext uri="{FF2B5EF4-FFF2-40B4-BE49-F238E27FC236}">
              <a16:creationId xmlns:a16="http://schemas.microsoft.com/office/drawing/2014/main" id="{EBE2309A-3F3B-E026-538A-D68C6059032E}"/>
            </a:ext>
          </a:extLst>
        </xdr:cNvPr>
        <xdr:cNvSpPr txBox="1">
          <a:spLocks noChangeArrowheads="1"/>
        </xdr:cNvSpPr>
      </xdr:nvSpPr>
      <xdr:spPr bwMode="auto">
        <a:xfrm>
          <a:off x="7208520" y="4198620"/>
          <a:ext cx="960120" cy="228600"/>
        </a:xfrm>
        <a:prstGeom prst="rect">
          <a:avLst/>
        </a:prstGeom>
        <a:noFill/>
        <a:ln>
          <a:noFill/>
        </a:ln>
      </xdr:spPr>
      <xdr:txBody>
        <a:bodyPr vertOverflow="clip" wrap="square" lIns="36576" tIns="32004" rIns="0" bIns="0" anchor="t" upright="1"/>
        <a:lstStyle/>
        <a:p>
          <a:pPr algn="l" rtl="0">
            <a:defRPr sz="1000"/>
          </a:pPr>
          <a:r>
            <a:rPr lang="en-GB" sz="1200" b="1" i="0" u="none" strike="noStrike" baseline="0">
              <a:solidFill>
                <a:srgbClr val="0000FF"/>
              </a:solidFill>
              <a:latin typeface="Arial"/>
              <a:cs typeface="Arial"/>
            </a:rPr>
            <a:t>Step 3</a:t>
          </a:r>
        </a:p>
      </xdr:txBody>
    </xdr:sp>
    <xdr:clientData/>
  </xdr:twoCellAnchor>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730250</xdr:colOff>
          <xdr:row>41</xdr:row>
          <xdr:rowOff>120650</xdr:rowOff>
        </xdr:from>
        <xdr:to>
          <xdr:col>10</xdr:col>
          <xdr:colOff>0</xdr:colOff>
          <xdr:row>42</xdr:row>
          <xdr:rowOff>184150</xdr:rowOff>
        </xdr:to>
        <xdr:sp macro="" textlink="">
          <xdr:nvSpPr>
            <xdr:cNvPr id="80897" name="Check Box 1" hidden="1">
              <a:extLst>
                <a:ext uri="{63B3BB69-23CF-44E3-9099-C40C66FF867C}">
                  <a14:compatExt spid="_x0000_s80897"/>
                </a:ext>
                <a:ext uri="{FF2B5EF4-FFF2-40B4-BE49-F238E27FC236}">
                  <a16:creationId xmlns:a16="http://schemas.microsoft.com/office/drawing/2014/main" id="{00000000-0008-0000-3B00-0000013C01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Tick here to compare with refund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xdr:row>
          <xdr:rowOff>6350</xdr:rowOff>
        </xdr:from>
        <xdr:to>
          <xdr:col>0</xdr:col>
          <xdr:colOff>1308100</xdr:colOff>
          <xdr:row>4</xdr:row>
          <xdr:rowOff>25400</xdr:rowOff>
        </xdr:to>
        <xdr:sp macro="" textlink="">
          <xdr:nvSpPr>
            <xdr:cNvPr id="80898" name="Button 2" hidden="1">
              <a:extLst>
                <a:ext uri="{63B3BB69-23CF-44E3-9099-C40C66FF867C}">
                  <a14:compatExt spid="_x0000_s80898"/>
                </a:ext>
                <a:ext uri="{FF2B5EF4-FFF2-40B4-BE49-F238E27FC236}">
                  <a16:creationId xmlns:a16="http://schemas.microsoft.com/office/drawing/2014/main" id="{00000000-0008-0000-3B00-000002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1714500</xdr:colOff>
          <xdr:row>2</xdr:row>
          <xdr:rowOff>0</xdr:rowOff>
        </xdr:from>
        <xdr:to>
          <xdr:col>10</xdr:col>
          <xdr:colOff>2451100</xdr:colOff>
          <xdr:row>4</xdr:row>
          <xdr:rowOff>0</xdr:rowOff>
        </xdr:to>
        <xdr:sp macro="" textlink="">
          <xdr:nvSpPr>
            <xdr:cNvPr id="80899" name="Button 3" hidden="1">
              <a:extLst>
                <a:ext uri="{63B3BB69-23CF-44E3-9099-C40C66FF867C}">
                  <a14:compatExt spid="_x0000_s80899"/>
                </a:ext>
                <a:ext uri="{FF2B5EF4-FFF2-40B4-BE49-F238E27FC236}">
                  <a16:creationId xmlns:a16="http://schemas.microsoft.com/office/drawing/2014/main" id="{00000000-0008-0000-3B00-0000033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2</xdr:row>
          <xdr:rowOff>6350</xdr:rowOff>
        </xdr:from>
        <xdr:to>
          <xdr:col>10</xdr:col>
          <xdr:colOff>685800</xdr:colOff>
          <xdr:row>4</xdr:row>
          <xdr:rowOff>6350</xdr:rowOff>
        </xdr:to>
        <xdr:sp macro="" textlink="">
          <xdr:nvSpPr>
            <xdr:cNvPr id="80900" name="Button 4" hidden="1">
              <a:extLst>
                <a:ext uri="{63B3BB69-23CF-44E3-9099-C40C66FF867C}">
                  <a14:compatExt spid="_x0000_s80900"/>
                </a:ext>
                <a:ext uri="{FF2B5EF4-FFF2-40B4-BE49-F238E27FC236}">
                  <a16:creationId xmlns:a16="http://schemas.microsoft.com/office/drawing/2014/main" id="{00000000-0008-0000-3B00-000004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450850</xdr:colOff>
          <xdr:row>21</xdr:row>
          <xdr:rowOff>260350</xdr:rowOff>
        </xdr:from>
        <xdr:to>
          <xdr:col>9</xdr:col>
          <xdr:colOff>114300</xdr:colOff>
          <xdr:row>23</xdr:row>
          <xdr:rowOff>25400</xdr:rowOff>
        </xdr:to>
        <xdr:sp macro="" textlink="">
          <xdr:nvSpPr>
            <xdr:cNvPr id="80901" name="Check Box 5" hidden="1">
              <a:extLst>
                <a:ext uri="{63B3BB69-23CF-44E3-9099-C40C66FF867C}">
                  <a14:compatExt spid="_x0000_s80901"/>
                </a:ext>
                <a:ext uri="{FF2B5EF4-FFF2-40B4-BE49-F238E27FC236}">
                  <a16:creationId xmlns:a16="http://schemas.microsoft.com/office/drawing/2014/main" id="{00000000-0008-0000-3B00-00000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69850</xdr:colOff>
          <xdr:row>15</xdr:row>
          <xdr:rowOff>31750</xdr:rowOff>
        </xdr:from>
        <xdr:to>
          <xdr:col>10</xdr:col>
          <xdr:colOff>1460500</xdr:colOff>
          <xdr:row>16</xdr:row>
          <xdr:rowOff>158750</xdr:rowOff>
        </xdr:to>
        <xdr:sp macro="" textlink="">
          <xdr:nvSpPr>
            <xdr:cNvPr id="80902" name="getbasic" hidden="1">
              <a:extLst>
                <a:ext uri="{63B3BB69-23CF-44E3-9099-C40C66FF867C}">
                  <a14:compatExt spid="_x0000_s80902"/>
                </a:ext>
                <a:ext uri="{FF2B5EF4-FFF2-40B4-BE49-F238E27FC236}">
                  <a16:creationId xmlns:a16="http://schemas.microsoft.com/office/drawing/2014/main" id="{00000000-0008-0000-3B00-000006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Get details from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8</xdr:row>
          <xdr:rowOff>146050</xdr:rowOff>
        </xdr:from>
        <xdr:to>
          <xdr:col>0</xdr:col>
          <xdr:colOff>1250950</xdr:colOff>
          <xdr:row>11</xdr:row>
          <xdr:rowOff>44450</xdr:rowOff>
        </xdr:to>
        <xdr:sp macro="" textlink="">
          <xdr:nvSpPr>
            <xdr:cNvPr id="80903" name="Button 7" hidden="1">
              <a:extLst>
                <a:ext uri="{63B3BB69-23CF-44E3-9099-C40C66FF867C}">
                  <a14:compatExt spid="_x0000_s80903"/>
                </a:ext>
                <a:ext uri="{FF2B5EF4-FFF2-40B4-BE49-F238E27FC236}">
                  <a16:creationId xmlns:a16="http://schemas.microsoft.com/office/drawing/2014/main" id="{00000000-0008-0000-3B00-000007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FF"/>
                  </a:solidFill>
                  <a:latin typeface="Arial"/>
                  <a:cs typeface="Arial"/>
                </a:rPr>
                <a:t>goto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69850</xdr:colOff>
          <xdr:row>17</xdr:row>
          <xdr:rowOff>0</xdr:rowOff>
        </xdr:from>
        <xdr:to>
          <xdr:col>10</xdr:col>
          <xdr:colOff>1460500</xdr:colOff>
          <xdr:row>18</xdr:row>
          <xdr:rowOff>69850</xdr:rowOff>
        </xdr:to>
        <xdr:sp macro="" textlink="">
          <xdr:nvSpPr>
            <xdr:cNvPr id="80904" name="getadvanced" hidden="1">
              <a:extLst>
                <a:ext uri="{63B3BB69-23CF-44E3-9099-C40C66FF867C}">
                  <a14:compatExt spid="_x0000_s80904"/>
                </a:ext>
                <a:ext uri="{FF2B5EF4-FFF2-40B4-BE49-F238E27FC236}">
                  <a16:creationId xmlns:a16="http://schemas.microsoft.com/office/drawing/2014/main" id="{00000000-0008-0000-3B00-000008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Get details from 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69850</xdr:colOff>
          <xdr:row>18</xdr:row>
          <xdr:rowOff>76200</xdr:rowOff>
        </xdr:from>
        <xdr:to>
          <xdr:col>10</xdr:col>
          <xdr:colOff>1460500</xdr:colOff>
          <xdr:row>19</xdr:row>
          <xdr:rowOff>146050</xdr:rowOff>
        </xdr:to>
        <xdr:sp macro="" textlink="">
          <xdr:nvSpPr>
            <xdr:cNvPr id="80905" name="getsplit" hidden="1">
              <a:extLst>
                <a:ext uri="{63B3BB69-23CF-44E3-9099-C40C66FF867C}">
                  <a14:compatExt spid="_x0000_s80905"/>
                </a:ext>
                <a:ext uri="{FF2B5EF4-FFF2-40B4-BE49-F238E27FC236}">
                  <a16:creationId xmlns:a16="http://schemas.microsoft.com/office/drawing/2014/main" id="{00000000-0008-0000-3B00-000009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Get details from Split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69850</xdr:colOff>
          <xdr:row>19</xdr:row>
          <xdr:rowOff>158750</xdr:rowOff>
        </xdr:from>
        <xdr:to>
          <xdr:col>10</xdr:col>
          <xdr:colOff>1460500</xdr:colOff>
          <xdr:row>21</xdr:row>
          <xdr:rowOff>63500</xdr:rowOff>
        </xdr:to>
        <xdr:sp macro="" textlink="">
          <xdr:nvSpPr>
            <xdr:cNvPr id="80906" name="getmerge" hidden="1">
              <a:extLst>
                <a:ext uri="{63B3BB69-23CF-44E3-9099-C40C66FF867C}">
                  <a14:compatExt spid="_x0000_s80906"/>
                </a:ext>
                <a:ext uri="{FF2B5EF4-FFF2-40B4-BE49-F238E27FC236}">
                  <a16:creationId xmlns:a16="http://schemas.microsoft.com/office/drawing/2014/main" id="{00000000-0008-0000-3B00-00000A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Get details from Merge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69850</xdr:colOff>
          <xdr:row>21</xdr:row>
          <xdr:rowOff>69850</xdr:rowOff>
        </xdr:from>
        <xdr:to>
          <xdr:col>10</xdr:col>
          <xdr:colOff>1460500</xdr:colOff>
          <xdr:row>22</xdr:row>
          <xdr:rowOff>0</xdr:rowOff>
        </xdr:to>
        <xdr:sp macro="" textlink="">
          <xdr:nvSpPr>
            <xdr:cNvPr id="80907" name="getrjs" hidden="1">
              <a:extLst>
                <a:ext uri="{63B3BB69-23CF-44E3-9099-C40C66FF867C}">
                  <a14:compatExt spid="_x0000_s80907"/>
                </a:ext>
                <a:ext uri="{FF2B5EF4-FFF2-40B4-BE49-F238E27FC236}">
                  <a16:creationId xmlns:a16="http://schemas.microsoft.com/office/drawing/2014/main" id="{00000000-0008-0000-3B00-00000B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Get details from R x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1479550</xdr:colOff>
          <xdr:row>15</xdr:row>
          <xdr:rowOff>31750</xdr:rowOff>
        </xdr:from>
        <xdr:to>
          <xdr:col>10</xdr:col>
          <xdr:colOff>1854200</xdr:colOff>
          <xdr:row>16</xdr:row>
          <xdr:rowOff>158750</xdr:rowOff>
        </xdr:to>
        <xdr:sp macro="" textlink="">
          <xdr:nvSpPr>
            <xdr:cNvPr id="80908" name="basic" hidden="1">
              <a:extLst>
                <a:ext uri="{63B3BB69-23CF-44E3-9099-C40C66FF867C}">
                  <a14:compatExt spid="_x0000_s80908"/>
                </a:ext>
                <a:ext uri="{FF2B5EF4-FFF2-40B4-BE49-F238E27FC236}">
                  <a16:creationId xmlns:a16="http://schemas.microsoft.com/office/drawing/2014/main" id="{00000000-0008-0000-3B00-00000C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1479550</xdr:colOff>
          <xdr:row>17</xdr:row>
          <xdr:rowOff>0</xdr:rowOff>
        </xdr:from>
        <xdr:to>
          <xdr:col>10</xdr:col>
          <xdr:colOff>1854200</xdr:colOff>
          <xdr:row>18</xdr:row>
          <xdr:rowOff>69850</xdr:rowOff>
        </xdr:to>
        <xdr:sp macro="" textlink="">
          <xdr:nvSpPr>
            <xdr:cNvPr id="80909" name="advanced" hidden="1">
              <a:extLst>
                <a:ext uri="{63B3BB69-23CF-44E3-9099-C40C66FF867C}">
                  <a14:compatExt spid="_x0000_s80909"/>
                </a:ext>
                <a:ext uri="{FF2B5EF4-FFF2-40B4-BE49-F238E27FC236}">
                  <a16:creationId xmlns:a16="http://schemas.microsoft.com/office/drawing/2014/main" id="{00000000-0008-0000-3B00-00000D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1479550</xdr:colOff>
          <xdr:row>18</xdr:row>
          <xdr:rowOff>76200</xdr:rowOff>
        </xdr:from>
        <xdr:to>
          <xdr:col>10</xdr:col>
          <xdr:colOff>1854200</xdr:colOff>
          <xdr:row>19</xdr:row>
          <xdr:rowOff>146050</xdr:rowOff>
        </xdr:to>
        <xdr:sp macro="" textlink="">
          <xdr:nvSpPr>
            <xdr:cNvPr id="80910" name="split" hidden="1">
              <a:extLst>
                <a:ext uri="{63B3BB69-23CF-44E3-9099-C40C66FF867C}">
                  <a14:compatExt spid="_x0000_s80910"/>
                </a:ext>
                <a:ext uri="{FF2B5EF4-FFF2-40B4-BE49-F238E27FC236}">
                  <a16:creationId xmlns:a16="http://schemas.microsoft.com/office/drawing/2014/main" id="{00000000-0008-0000-3B00-00000E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1479550</xdr:colOff>
          <xdr:row>19</xdr:row>
          <xdr:rowOff>158750</xdr:rowOff>
        </xdr:from>
        <xdr:to>
          <xdr:col>10</xdr:col>
          <xdr:colOff>1854200</xdr:colOff>
          <xdr:row>21</xdr:row>
          <xdr:rowOff>63500</xdr:rowOff>
        </xdr:to>
        <xdr:sp macro="" textlink="">
          <xdr:nvSpPr>
            <xdr:cNvPr id="80911" name="merge" hidden="1">
              <a:extLst>
                <a:ext uri="{63B3BB69-23CF-44E3-9099-C40C66FF867C}">
                  <a14:compatExt spid="_x0000_s80911"/>
                </a:ext>
                <a:ext uri="{FF2B5EF4-FFF2-40B4-BE49-F238E27FC236}">
                  <a16:creationId xmlns:a16="http://schemas.microsoft.com/office/drawing/2014/main" id="{00000000-0008-0000-3B00-00000F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1479550</xdr:colOff>
          <xdr:row>21</xdr:row>
          <xdr:rowOff>69850</xdr:rowOff>
        </xdr:from>
        <xdr:to>
          <xdr:col>10</xdr:col>
          <xdr:colOff>1854200</xdr:colOff>
          <xdr:row>22</xdr:row>
          <xdr:rowOff>0</xdr:rowOff>
        </xdr:to>
        <xdr:sp macro="" textlink="">
          <xdr:nvSpPr>
            <xdr:cNvPr id="80912" name="rjs" hidden="1">
              <a:extLst>
                <a:ext uri="{63B3BB69-23CF-44E3-9099-C40C66FF867C}">
                  <a14:compatExt spid="_x0000_s80912"/>
                </a:ext>
                <a:ext uri="{FF2B5EF4-FFF2-40B4-BE49-F238E27FC236}">
                  <a16:creationId xmlns:a16="http://schemas.microsoft.com/office/drawing/2014/main" id="{00000000-0008-0000-3B00-000010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go 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88900</xdr:colOff>
          <xdr:row>30</xdr:row>
          <xdr:rowOff>158750</xdr:rowOff>
        </xdr:from>
        <xdr:to>
          <xdr:col>10</xdr:col>
          <xdr:colOff>1225550</xdr:colOff>
          <xdr:row>32</xdr:row>
          <xdr:rowOff>0</xdr:rowOff>
        </xdr:to>
        <xdr:sp macro="" textlink="">
          <xdr:nvSpPr>
            <xdr:cNvPr id="80913" name="interest breakdown" hidden="1">
              <a:extLst>
                <a:ext uri="{63B3BB69-23CF-44E3-9099-C40C66FF867C}">
                  <a14:compatExt spid="_x0000_s80913"/>
                </a:ext>
                <a:ext uri="{FF2B5EF4-FFF2-40B4-BE49-F238E27FC236}">
                  <a16:creationId xmlns:a16="http://schemas.microsoft.com/office/drawing/2014/main" id="{00000000-0008-0000-3B00-0000113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view breakdown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xdr:row>
          <xdr:rowOff>25400</xdr:rowOff>
        </xdr:from>
        <xdr:to>
          <xdr:col>10</xdr:col>
          <xdr:colOff>723900</xdr:colOff>
          <xdr:row>7</xdr:row>
          <xdr:rowOff>88900</xdr:rowOff>
        </xdr:to>
        <xdr:sp macro="" textlink="">
          <xdr:nvSpPr>
            <xdr:cNvPr id="80914" name="Button 18" hidden="1">
              <a:extLst>
                <a:ext uri="{63B3BB69-23CF-44E3-9099-C40C66FF867C}">
                  <a14:compatExt spid="_x0000_s80914"/>
                </a:ext>
                <a:ext uri="{FF2B5EF4-FFF2-40B4-BE49-F238E27FC236}">
                  <a16:creationId xmlns:a16="http://schemas.microsoft.com/office/drawing/2014/main" id="{00000000-0008-0000-3B00-000012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736600</xdr:colOff>
          <xdr:row>5</xdr:row>
          <xdr:rowOff>25400</xdr:rowOff>
        </xdr:from>
        <xdr:to>
          <xdr:col>10</xdr:col>
          <xdr:colOff>1435100</xdr:colOff>
          <xdr:row>7</xdr:row>
          <xdr:rowOff>88900</xdr:rowOff>
        </xdr:to>
        <xdr:sp macro="" textlink="">
          <xdr:nvSpPr>
            <xdr:cNvPr id="80915" name="Button 19" hidden="1">
              <a:extLst>
                <a:ext uri="{63B3BB69-23CF-44E3-9099-C40C66FF867C}">
                  <a14:compatExt spid="_x0000_s80915"/>
                </a:ext>
                <a:ext uri="{FF2B5EF4-FFF2-40B4-BE49-F238E27FC236}">
                  <a16:creationId xmlns:a16="http://schemas.microsoft.com/office/drawing/2014/main" id="{00000000-0008-0000-3B00-0000133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1435100</xdr:colOff>
          <xdr:row>5</xdr:row>
          <xdr:rowOff>25400</xdr:rowOff>
        </xdr:from>
        <xdr:to>
          <xdr:col>10</xdr:col>
          <xdr:colOff>1974850</xdr:colOff>
          <xdr:row>7</xdr:row>
          <xdr:rowOff>88900</xdr:rowOff>
        </xdr:to>
        <xdr:sp macro="" textlink="">
          <xdr:nvSpPr>
            <xdr:cNvPr id="80916" name="Button 20" hidden="1">
              <a:extLst>
                <a:ext uri="{63B3BB69-23CF-44E3-9099-C40C66FF867C}">
                  <a14:compatExt spid="_x0000_s80916"/>
                </a:ext>
                <a:ext uri="{FF2B5EF4-FFF2-40B4-BE49-F238E27FC236}">
                  <a16:creationId xmlns:a16="http://schemas.microsoft.com/office/drawing/2014/main" id="{00000000-0008-0000-3B00-0000143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1981200</xdr:colOff>
          <xdr:row>5</xdr:row>
          <xdr:rowOff>25400</xdr:rowOff>
        </xdr:from>
        <xdr:to>
          <xdr:col>10</xdr:col>
          <xdr:colOff>2451100</xdr:colOff>
          <xdr:row>7</xdr:row>
          <xdr:rowOff>88900</xdr:rowOff>
        </xdr:to>
        <xdr:sp macro="" textlink="">
          <xdr:nvSpPr>
            <xdr:cNvPr id="80917" name="Button 21" hidden="1">
              <a:extLst>
                <a:ext uri="{63B3BB69-23CF-44E3-9099-C40C66FF867C}">
                  <a14:compatExt spid="_x0000_s80917"/>
                </a:ext>
                <a:ext uri="{FF2B5EF4-FFF2-40B4-BE49-F238E27FC236}">
                  <a16:creationId xmlns:a16="http://schemas.microsoft.com/office/drawing/2014/main" id="{00000000-0008-0000-3B00-0000153C01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723900</xdr:colOff>
          <xdr:row>2</xdr:row>
          <xdr:rowOff>6350</xdr:rowOff>
        </xdr:from>
        <xdr:to>
          <xdr:col>10</xdr:col>
          <xdr:colOff>1511300</xdr:colOff>
          <xdr:row>4</xdr:row>
          <xdr:rowOff>6350</xdr:rowOff>
        </xdr:to>
        <xdr:sp macro="" textlink="">
          <xdr:nvSpPr>
            <xdr:cNvPr id="80918" name="globalbacktobutton" hidden="1">
              <a:extLst>
                <a:ext uri="{63B3BB69-23CF-44E3-9099-C40C66FF867C}">
                  <a14:compatExt spid="_x0000_s80918"/>
                </a:ext>
                <a:ext uri="{FF2B5EF4-FFF2-40B4-BE49-F238E27FC236}">
                  <a16:creationId xmlns:a16="http://schemas.microsoft.com/office/drawing/2014/main" id="{00000000-0008-0000-3B00-0000163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18</xdr:row>
          <xdr:rowOff>120650</xdr:rowOff>
        </xdr:from>
        <xdr:to>
          <xdr:col>9</xdr:col>
          <xdr:colOff>889000</xdr:colOff>
          <xdr:row>20</xdr:row>
          <xdr:rowOff>63500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3B00-00001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Deletion?</a:t>
              </a:r>
            </a:p>
          </xdr:txBody>
        </xdr:sp>
        <xdr:clientData/>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88900</xdr:colOff>
          <xdr:row>3</xdr:row>
          <xdr:rowOff>127000</xdr:rowOff>
        </xdr:from>
        <xdr:to>
          <xdr:col>11</xdr:col>
          <xdr:colOff>508000</xdr:colOff>
          <xdr:row>5</xdr:row>
          <xdr:rowOff>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3C00-00000140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return to interest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88900</xdr:colOff>
          <xdr:row>2</xdr:row>
          <xdr:rowOff>0</xdr:rowOff>
        </xdr:from>
        <xdr:to>
          <xdr:col>11</xdr:col>
          <xdr:colOff>196850</xdr:colOff>
          <xdr:row>3</xdr:row>
          <xdr:rowOff>69850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3C00-0000024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xdr:row>
          <xdr:rowOff>31750</xdr:rowOff>
        </xdr:from>
        <xdr:to>
          <xdr:col>1</xdr:col>
          <xdr:colOff>565150</xdr:colOff>
          <xdr:row>3</xdr:row>
          <xdr:rowOff>25400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3C00-00000340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800" b="0" i="0" u="none" strike="noStrike" baseline="0">
                  <a:solidFill>
                    <a:srgbClr val="000000"/>
                  </a:solidFill>
                  <a:latin typeface="Arial"/>
                  <a:cs typeface="Arial"/>
                </a:rPr>
                <a:t>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107950</xdr:colOff>
          <xdr:row>5</xdr:row>
          <xdr:rowOff>165100</xdr:rowOff>
        </xdr:from>
        <xdr:to>
          <xdr:col>11</xdr:col>
          <xdr:colOff>279400</xdr:colOff>
          <xdr:row>8</xdr:row>
          <xdr:rowOff>38100</xdr:rowOff>
        </xdr:to>
        <xdr:sp macro="" textlink="">
          <xdr:nvSpPr>
            <xdr:cNvPr id="81924" name="globalbacktobutton" hidden="1">
              <a:extLst>
                <a:ext uri="{63B3BB69-23CF-44E3-9099-C40C66FF867C}">
                  <a14:compatExt spid="_x0000_s81924"/>
                </a:ext>
                <a:ext uri="{FF2B5EF4-FFF2-40B4-BE49-F238E27FC236}">
                  <a16:creationId xmlns:a16="http://schemas.microsoft.com/office/drawing/2014/main" id="{00000000-0008-0000-3C00-0000044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101600</xdr:rowOff>
        </xdr:from>
        <xdr:to>
          <xdr:col>9</xdr:col>
          <xdr:colOff>806450</xdr:colOff>
          <xdr:row>0</xdr:row>
          <xdr:rowOff>342900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3D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0</xdr:row>
          <xdr:rowOff>82550</xdr:rowOff>
        </xdr:from>
        <xdr:to>
          <xdr:col>11</xdr:col>
          <xdr:colOff>234950</xdr:colOff>
          <xdr:row>0</xdr:row>
          <xdr:rowOff>336550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3D00-000002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back</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273050</xdr:colOff>
          <xdr:row>0</xdr:row>
          <xdr:rowOff>190500</xdr:rowOff>
        </xdr:from>
        <xdr:to>
          <xdr:col>2</xdr:col>
          <xdr:colOff>63500</xdr:colOff>
          <xdr:row>2</xdr:row>
          <xdr:rowOff>101600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3E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xdr:row>
          <xdr:rowOff>139700</xdr:rowOff>
        </xdr:from>
        <xdr:to>
          <xdr:col>2</xdr:col>
          <xdr:colOff>44450</xdr:colOff>
          <xdr:row>6</xdr:row>
          <xdr:rowOff>69850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3E00-000002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Calcurate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355600</xdr:colOff>
          <xdr:row>7</xdr:row>
          <xdr:rowOff>69850</xdr:rowOff>
        </xdr:from>
        <xdr:to>
          <xdr:col>1</xdr:col>
          <xdr:colOff>577850</xdr:colOff>
          <xdr:row>10</xdr:row>
          <xdr:rowOff>12700</xdr:rowOff>
        </xdr:to>
        <xdr:sp macro="" textlink="">
          <xdr:nvSpPr>
            <xdr:cNvPr id="18435" name="globalbacktobutton" hidden="1">
              <a:extLst>
                <a:ext uri="{63B3BB69-23CF-44E3-9099-C40C66FF867C}">
                  <a14:compatExt spid="_x0000_s18435"/>
                </a:ext>
                <a:ext uri="{FF2B5EF4-FFF2-40B4-BE49-F238E27FC236}">
                  <a16:creationId xmlns:a16="http://schemas.microsoft.com/office/drawing/2014/main" id="{00000000-0008-0000-3E00-000003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127000</xdr:rowOff>
        </xdr:from>
        <xdr:to>
          <xdr:col>1</xdr:col>
          <xdr:colOff>368300</xdr:colOff>
          <xdr:row>2</xdr:row>
          <xdr:rowOff>139700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3F00-0000019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3</xdr:row>
          <xdr:rowOff>38100</xdr:rowOff>
        </xdr:from>
        <xdr:to>
          <xdr:col>1</xdr:col>
          <xdr:colOff>368300</xdr:colOff>
          <xdr:row>5</xdr:row>
          <xdr:rowOff>44450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3F00-0000029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488950</xdr:colOff>
          <xdr:row>0</xdr:row>
          <xdr:rowOff>146050</xdr:rowOff>
        </xdr:from>
        <xdr:to>
          <xdr:col>2</xdr:col>
          <xdr:colOff>450850</xdr:colOff>
          <xdr:row>2</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4000-00000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xdr:colOff>
          <xdr:row>23</xdr:row>
          <xdr:rowOff>107950</xdr:rowOff>
        </xdr:from>
        <xdr:to>
          <xdr:col>4</xdr:col>
          <xdr:colOff>25400</xdr:colOff>
          <xdr:row>26</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4000-000002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FF"/>
                  </a:solidFill>
                  <a:latin typeface="Arial"/>
                  <a:cs typeface="Arial"/>
                </a:rPr>
                <a:t>go to the Calcurate website</a:t>
              </a:r>
            </a:p>
          </xdr:txBody>
        </xdr:sp>
        <xdr:clientData fPrintsWithSheet="0"/>
      </xdr:twoCellAnchor>
    </mc:Choice>
    <mc:Fallback/>
  </mc:AlternateContent>
  <xdr:twoCellAnchor editAs="oneCell">
    <xdr:from>
      <xdr:col>0</xdr:col>
      <xdr:colOff>525780</xdr:colOff>
      <xdr:row>4</xdr:row>
      <xdr:rowOff>30480</xdr:rowOff>
    </xdr:from>
    <xdr:to>
      <xdr:col>10</xdr:col>
      <xdr:colOff>342900</xdr:colOff>
      <xdr:row>16</xdr:row>
      <xdr:rowOff>30480</xdr:rowOff>
    </xdr:to>
    <xdr:pic>
      <xdr:nvPicPr>
        <xdr:cNvPr id="119004" name="Picture 3">
          <a:extLst>
            <a:ext uri="{FF2B5EF4-FFF2-40B4-BE49-F238E27FC236}">
              <a16:creationId xmlns:a16="http://schemas.microsoft.com/office/drawing/2014/main" id="{48EC36EA-C4FD-00A5-4D27-549648C8A5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5780" y="754380"/>
          <a:ext cx="7833360" cy="2202180"/>
        </a:xfrm>
        <a:prstGeom prst="rect">
          <a:avLst/>
        </a:prstGeom>
        <a:noFill/>
        <a:ln w="1">
          <a:solidFill>
            <a:srgbClr xmlns:mc="http://schemas.openxmlformats.org/markup-compatibility/2006" xmlns:a14="http://schemas.microsoft.com/office/drawing/2010/main" val="FFFFFF" mc:Ignorable="a14" a14:legacySpreadsheetColorIndex="65"/>
          </a:solidFill>
          <a:miter lim="800000"/>
          <a:headEnd/>
          <a:tailEnd/>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xdr:col>
          <xdr:colOff>177800</xdr:colOff>
          <xdr:row>23</xdr:row>
          <xdr:rowOff>101600</xdr:rowOff>
        </xdr:from>
        <xdr:to>
          <xdr:col>7</xdr:col>
          <xdr:colOff>603250</xdr:colOff>
          <xdr:row>25</xdr:row>
          <xdr:rowOff>158750</xdr:rowOff>
        </xdr:to>
        <xdr:sp macro="" textlink="">
          <xdr:nvSpPr>
            <xdr:cNvPr id="23757" name="Button 205" hidden="1">
              <a:extLst>
                <a:ext uri="{63B3BB69-23CF-44E3-9099-C40C66FF867C}">
                  <a14:compatExt spid="_x0000_s23757"/>
                </a:ext>
                <a:ext uri="{FF2B5EF4-FFF2-40B4-BE49-F238E27FC236}">
                  <a16:creationId xmlns:a16="http://schemas.microsoft.com/office/drawing/2014/main" id="{00000000-0008-0000-4000-0000CD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Back to basic</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8</xdr:row>
          <xdr:rowOff>82550</xdr:rowOff>
        </xdr:from>
        <xdr:to>
          <xdr:col>4</xdr:col>
          <xdr:colOff>2298700</xdr:colOff>
          <xdr:row>8</xdr:row>
          <xdr:rowOff>266700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41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6350</xdr:colOff>
          <xdr:row>0</xdr:row>
          <xdr:rowOff>101600</xdr:rowOff>
        </xdr:from>
        <xdr:to>
          <xdr:col>3</xdr:col>
          <xdr:colOff>44450</xdr:colOff>
          <xdr:row>2</xdr:row>
          <xdr:rowOff>88900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4100-000002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107950</xdr:colOff>
          <xdr:row>7</xdr:row>
          <xdr:rowOff>44450</xdr:rowOff>
        </xdr:from>
        <xdr:to>
          <xdr:col>9</xdr:col>
          <xdr:colOff>2247900</xdr:colOff>
          <xdr:row>11</xdr:row>
          <xdr:rowOff>114300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4100-000003700000}"/>
                </a:ext>
              </a:extLst>
            </xdr:cNvPr>
            <xdr:cNvSpPr/>
          </xdr:nvSpPr>
          <xdr:spPr bwMode="auto">
            <a:xfrm>
              <a:off x="0" y="0"/>
              <a:ext cx="0" cy="0"/>
            </a:xfrm>
            <a:prstGeom prst="rect">
              <a:avLst/>
            </a:prstGeom>
            <a:noFill/>
            <a:ln w="9525">
              <a:miter lim="800000"/>
              <a:headEnd/>
              <a:tailEnd/>
            </a:ln>
          </xdr:spPr>
          <xdr:txBody>
            <a:bodyPr vertOverflow="clip" wrap="square" lIns="36576" tIns="27432" rIns="0" bIns="27432" anchor="ctr" upright="1"/>
            <a:lstStyle/>
            <a:p>
              <a:pPr algn="l" rtl="0">
                <a:defRPr sz="1000"/>
              </a:pPr>
              <a:r>
                <a:rPr lang="en-GB" sz="1000" b="0" i="0" u="none" strike="noStrike" baseline="0">
                  <a:solidFill>
                    <a:srgbClr val="000000"/>
                  </a:solidFill>
                  <a:latin typeface="Arial"/>
                  <a:cs typeface="Arial"/>
                </a:rPr>
                <a:t>Check the Name and Location of your Documents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25400</xdr:colOff>
          <xdr:row>12</xdr:row>
          <xdr:rowOff>228600</xdr:rowOff>
        </xdr:from>
        <xdr:to>
          <xdr:col>12</xdr:col>
          <xdr:colOff>565150</xdr:colOff>
          <xdr:row>14</xdr:row>
          <xdr:rowOff>120650</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00000000-0008-0000-4100-000005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open the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19</xdr:row>
          <xdr:rowOff>69850</xdr:rowOff>
        </xdr:from>
        <xdr:to>
          <xdr:col>10</xdr:col>
          <xdr:colOff>711200</xdr:colOff>
          <xdr:row>21</xdr:row>
          <xdr:rowOff>38100</xdr:rowOff>
        </xdr:to>
        <xdr:sp macro="" textlink="">
          <xdr:nvSpPr>
            <xdr:cNvPr id="28679" name="Button 7" hidden="1">
              <a:extLst>
                <a:ext uri="{63B3BB69-23CF-44E3-9099-C40C66FF867C}">
                  <a14:compatExt spid="_x0000_s28679"/>
                </a:ext>
                <a:ext uri="{FF2B5EF4-FFF2-40B4-BE49-F238E27FC236}">
                  <a16:creationId xmlns:a16="http://schemas.microsoft.com/office/drawing/2014/main" id="{00000000-0008-0000-4100-000007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21</xdr:row>
          <xdr:rowOff>114300</xdr:rowOff>
        </xdr:from>
        <xdr:to>
          <xdr:col>12</xdr:col>
          <xdr:colOff>69850</xdr:colOff>
          <xdr:row>23</xdr:row>
          <xdr:rowOff>107950</xdr:rowOff>
        </xdr:to>
        <xdr:sp macro="" textlink="">
          <xdr:nvSpPr>
            <xdr:cNvPr id="28680" name="Button 8" hidden="1">
              <a:extLst>
                <a:ext uri="{63B3BB69-23CF-44E3-9099-C40C66FF867C}">
                  <a14:compatExt spid="_x0000_s28680"/>
                </a:ext>
                <a:ext uri="{FF2B5EF4-FFF2-40B4-BE49-F238E27FC236}">
                  <a16:creationId xmlns:a16="http://schemas.microsoft.com/office/drawing/2014/main" id="{00000000-0008-0000-4100-000008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download a new blank memory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107950</xdr:colOff>
          <xdr:row>3</xdr:row>
          <xdr:rowOff>0</xdr:rowOff>
        </xdr:from>
        <xdr:to>
          <xdr:col>18</xdr:col>
          <xdr:colOff>304800</xdr:colOff>
          <xdr:row>5</xdr:row>
          <xdr:rowOff>76200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4100-000009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00FF"/>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2292350</xdr:colOff>
          <xdr:row>7</xdr:row>
          <xdr:rowOff>63500</xdr:rowOff>
        </xdr:from>
        <xdr:to>
          <xdr:col>10</xdr:col>
          <xdr:colOff>882650</xdr:colOff>
          <xdr:row>11</xdr:row>
          <xdr:rowOff>114300</xdr:rowOff>
        </xdr:to>
        <xdr:sp macro="" textlink="">
          <xdr:nvSpPr>
            <xdr:cNvPr id="28682" name="Button 10" hidden="1">
              <a:extLst>
                <a:ext uri="{63B3BB69-23CF-44E3-9099-C40C66FF867C}">
                  <a14:compatExt spid="_x0000_s28682"/>
                </a:ext>
                <a:ext uri="{FF2B5EF4-FFF2-40B4-BE49-F238E27FC236}">
                  <a16:creationId xmlns:a16="http://schemas.microsoft.com/office/drawing/2014/main" id="{00000000-0008-0000-4100-00000A700000}"/>
                </a:ext>
              </a:extLst>
            </xdr:cNvPr>
            <xdr:cNvSpPr/>
          </xdr:nvSpPr>
          <xdr:spPr bwMode="auto">
            <a:xfrm>
              <a:off x="0" y="0"/>
              <a:ext cx="0" cy="0"/>
            </a:xfrm>
            <a:prstGeom prst="rect">
              <a:avLst/>
            </a:prstGeom>
            <a:noFill/>
            <a:ln w="9525">
              <a:miter lim="800000"/>
              <a:headEnd/>
              <a:tailEnd/>
            </a:ln>
          </xdr:spPr>
          <xdr:txBody>
            <a:bodyPr vertOverflow="clip" wrap="square" lIns="36576" tIns="27432" rIns="0" bIns="27432" anchor="ctr" upright="1"/>
            <a:lstStyle/>
            <a:p>
              <a:pPr algn="l" rtl="0">
                <a:defRPr sz="1000"/>
              </a:pPr>
              <a:r>
                <a:rPr lang="en-GB" sz="1000" b="0" i="0" u="none" strike="noStrike" baseline="0">
                  <a:solidFill>
                    <a:srgbClr val="000000"/>
                  </a:solidFill>
                  <a:latin typeface="Arial"/>
                  <a:cs typeface="Arial"/>
                </a:rPr>
                <a:t>Open your Documents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603250</xdr:colOff>
          <xdr:row>12</xdr:row>
          <xdr:rowOff>228600</xdr:rowOff>
        </xdr:from>
        <xdr:to>
          <xdr:col>16</xdr:col>
          <xdr:colOff>38100</xdr:colOff>
          <xdr:row>14</xdr:row>
          <xdr:rowOff>114300</xdr:rowOff>
        </xdr:to>
        <xdr:sp macro="" textlink="">
          <xdr:nvSpPr>
            <xdr:cNvPr id="28685" name="Button 13" hidden="1">
              <a:extLst>
                <a:ext uri="{63B3BB69-23CF-44E3-9099-C40C66FF867C}">
                  <a14:compatExt spid="_x0000_s28685"/>
                </a:ext>
                <a:ext uri="{FF2B5EF4-FFF2-40B4-BE49-F238E27FC236}">
                  <a16:creationId xmlns:a16="http://schemas.microsoft.com/office/drawing/2014/main" id="{00000000-0008-0000-4100-00000D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create this folder and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755650</xdr:colOff>
          <xdr:row>19</xdr:row>
          <xdr:rowOff>50800</xdr:rowOff>
        </xdr:from>
        <xdr:to>
          <xdr:col>12</xdr:col>
          <xdr:colOff>69850</xdr:colOff>
          <xdr:row>21</xdr:row>
          <xdr:rowOff>38100</xdr:rowOff>
        </xdr:to>
        <xdr:sp macro="" textlink="">
          <xdr:nvSpPr>
            <xdr:cNvPr id="28686" name="Button 14" hidden="1">
              <a:extLst>
                <a:ext uri="{63B3BB69-23CF-44E3-9099-C40C66FF867C}">
                  <a14:compatExt spid="_x0000_s28686"/>
                </a:ext>
                <a:ext uri="{FF2B5EF4-FFF2-40B4-BE49-F238E27FC236}">
                  <a16:creationId xmlns:a16="http://schemas.microsoft.com/office/drawing/2014/main" id="{00000000-0008-0000-4100-00000E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create this folder and file</a:t>
              </a:r>
            </a:p>
          </xdr:txBody>
        </xdr:sp>
        <xdr:clientData fPrintsWithSheet="0"/>
      </xdr:twoCellAnchor>
    </mc:Choice>
    <mc:Fallback/>
  </mc:AlternateContent>
  <xdr:twoCellAnchor editAs="oneCell">
    <xdr:from>
      <xdr:col>12</xdr:col>
      <xdr:colOff>106680</xdr:colOff>
      <xdr:row>4</xdr:row>
      <xdr:rowOff>0</xdr:rowOff>
    </xdr:from>
    <xdr:to>
      <xdr:col>15</xdr:col>
      <xdr:colOff>510540</xdr:colOff>
      <xdr:row>6</xdr:row>
      <xdr:rowOff>53340</xdr:rowOff>
    </xdr:to>
    <xdr:pic macro="[0]!gotocalcurate">
      <xdr:nvPicPr>
        <xdr:cNvPr id="111308" name="Picture 33" descr="calcurate">
          <a:extLst>
            <a:ext uri="{FF2B5EF4-FFF2-40B4-BE49-F238E27FC236}">
              <a16:creationId xmlns:a16="http://schemas.microsoft.com/office/drawing/2014/main" id="{5CEB01BD-FF26-720E-3A7C-64BBBD37F6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007340" y="678180"/>
          <a:ext cx="2278380" cy="4800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12</xdr:col>
          <xdr:colOff>317500</xdr:colOff>
          <xdr:row>20</xdr:row>
          <xdr:rowOff>82550</xdr:rowOff>
        </xdr:from>
        <xdr:to>
          <xdr:col>13</xdr:col>
          <xdr:colOff>107950</xdr:colOff>
          <xdr:row>21</xdr:row>
          <xdr:rowOff>190500</xdr:rowOff>
        </xdr:to>
        <xdr:sp macro="" textlink="">
          <xdr:nvSpPr>
            <xdr:cNvPr id="28818" name="Button 146" hidden="1">
              <a:extLst>
                <a:ext uri="{63B3BB69-23CF-44E3-9099-C40C66FF867C}">
                  <a14:compatExt spid="_x0000_s28818"/>
                </a:ext>
                <a:ext uri="{FF2B5EF4-FFF2-40B4-BE49-F238E27FC236}">
                  <a16:creationId xmlns:a16="http://schemas.microsoft.com/office/drawing/2014/main" id="{00000000-0008-0000-4100-000092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t>
              </a:r>
            </a:p>
          </xdr:txBody>
        </xdr:sp>
        <xdr:clientData fPrintsWithSheet="0"/>
      </xdr:twoCellAnchor>
    </mc:Choice>
    <mc:Fallback/>
  </mc:AlternateContent>
  <xdr:twoCellAnchor>
    <xdr:from>
      <xdr:col>3</xdr:col>
      <xdr:colOff>2125980</xdr:colOff>
      <xdr:row>1</xdr:row>
      <xdr:rowOff>38100</xdr:rowOff>
    </xdr:from>
    <xdr:to>
      <xdr:col>9</xdr:col>
      <xdr:colOff>1455420</xdr:colOff>
      <xdr:row>16</xdr:row>
      <xdr:rowOff>160020</xdr:rowOff>
    </xdr:to>
    <xdr:sp macro="" textlink="">
      <xdr:nvSpPr>
        <xdr:cNvPr id="29289" name="Text Box 617">
          <a:extLst>
            <a:ext uri="{FF2B5EF4-FFF2-40B4-BE49-F238E27FC236}">
              <a16:creationId xmlns:a16="http://schemas.microsoft.com/office/drawing/2014/main" id="{D5D94E80-0F4F-4069-5B2C-61FF0353E9F5}"/>
            </a:ext>
          </a:extLst>
        </xdr:cNvPr>
        <xdr:cNvSpPr txBox="1">
          <a:spLocks noChangeArrowheads="1"/>
        </xdr:cNvSpPr>
      </xdr:nvSpPr>
      <xdr:spPr bwMode="auto">
        <a:xfrm>
          <a:off x="3810000" y="205740"/>
          <a:ext cx="5516880" cy="324612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2004" rIns="36576" bIns="0" anchor="t" upright="1"/>
        <a:lstStyle/>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a:p>
          <a:pPr algn="ctr" rtl="0">
            <a:defRPr sz="1000"/>
          </a:pPr>
          <a:r>
            <a:rPr lang="en-GB" sz="1800" b="0" i="0" u="none" strike="noStrike" baseline="0">
              <a:solidFill>
                <a:srgbClr val="000000"/>
              </a:solidFill>
              <a:latin typeface="Calibri"/>
              <a:ea typeface="Calibri"/>
              <a:cs typeface="Calibri"/>
            </a:rPr>
            <a:t>Do not use</a:t>
          </a:r>
        </a:p>
      </xdr:txBody>
    </xdr:sp>
    <xdr:clientData/>
  </xdr:twoCellAnchor>
</xdr:wsDr>
</file>

<file path=xl/drawings/drawing46.xml><?xml version="1.0" encoding="utf-8"?>
<xdr:wsDr xmlns:xdr="http://schemas.openxmlformats.org/drawingml/2006/spreadsheetDrawing" xmlns:a="http://schemas.openxmlformats.org/drawingml/2006/main">
  <xdr:twoCellAnchor editAs="oneCell">
    <xdr:from>
      <xdr:col>1</xdr:col>
      <xdr:colOff>106680</xdr:colOff>
      <xdr:row>1</xdr:row>
      <xdr:rowOff>45720</xdr:rowOff>
    </xdr:from>
    <xdr:to>
      <xdr:col>5</xdr:col>
      <xdr:colOff>510540</xdr:colOff>
      <xdr:row>5</xdr:row>
      <xdr:rowOff>38100</xdr:rowOff>
    </xdr:to>
    <xdr:pic macro="[0]!gotocalcurate">
      <xdr:nvPicPr>
        <xdr:cNvPr id="111956" name="Picture 33" descr="calcurate">
          <a:extLst>
            <a:ext uri="{FF2B5EF4-FFF2-40B4-BE49-F238E27FC236}">
              <a16:creationId xmlns:a16="http://schemas.microsoft.com/office/drawing/2014/main" id="{87621711-98BD-7546-16A2-5124F47B69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0" y="213360"/>
          <a:ext cx="2964180" cy="662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69850</xdr:colOff>
          <xdr:row>0</xdr:row>
          <xdr:rowOff>139700</xdr:rowOff>
        </xdr:from>
        <xdr:to>
          <xdr:col>0</xdr:col>
          <xdr:colOff>736600</xdr:colOff>
          <xdr:row>3</xdr:row>
          <xdr:rowOff>25400</xdr:rowOff>
        </xdr:to>
        <xdr:sp macro="" textlink="">
          <xdr:nvSpPr>
            <xdr:cNvPr id="20485" name="home" hidden="1">
              <a:extLst>
                <a:ext uri="{63B3BB69-23CF-44E3-9099-C40C66FF867C}">
                  <a14:compatExt spid="_x0000_s20485"/>
                </a:ext>
                <a:ext uri="{FF2B5EF4-FFF2-40B4-BE49-F238E27FC236}">
                  <a16:creationId xmlns:a16="http://schemas.microsoft.com/office/drawing/2014/main" id="{00000000-0008-0000-4200-000005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xdr:row>
          <xdr:rowOff>146050</xdr:rowOff>
        </xdr:from>
        <xdr:to>
          <xdr:col>0</xdr:col>
          <xdr:colOff>711200</xdr:colOff>
          <xdr:row>5</xdr:row>
          <xdr:rowOff>266700</xdr:rowOff>
        </xdr:to>
        <xdr:sp macro="" textlink="">
          <xdr:nvSpPr>
            <xdr:cNvPr id="21236" name="globalbacktobutton" hidden="1">
              <a:extLst>
                <a:ext uri="{63B3BB69-23CF-44E3-9099-C40C66FF867C}">
                  <a14:compatExt spid="_x0000_s21236"/>
                </a:ext>
                <a:ext uri="{FF2B5EF4-FFF2-40B4-BE49-F238E27FC236}">
                  <a16:creationId xmlns:a16="http://schemas.microsoft.com/office/drawing/2014/main" id="{00000000-0008-0000-4200-0000F452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88900</xdr:colOff>
          <xdr:row>2</xdr:row>
          <xdr:rowOff>146050</xdr:rowOff>
        </xdr:from>
        <xdr:to>
          <xdr:col>14</xdr:col>
          <xdr:colOff>774700</xdr:colOff>
          <xdr:row>5</xdr:row>
          <xdr:rowOff>44450</xdr:rowOff>
        </xdr:to>
        <xdr:sp macro="" textlink="">
          <xdr:nvSpPr>
            <xdr:cNvPr id="21268" name="Button 788" hidden="1">
              <a:extLst>
                <a:ext uri="{63B3BB69-23CF-44E3-9099-C40C66FF867C}">
                  <a14:compatExt spid="_x0000_s21268"/>
                </a:ext>
                <a:ext uri="{FF2B5EF4-FFF2-40B4-BE49-F238E27FC236}">
                  <a16:creationId xmlns:a16="http://schemas.microsoft.com/office/drawing/2014/main" id="{00000000-0008-0000-4200-0000145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787400</xdr:colOff>
          <xdr:row>2</xdr:row>
          <xdr:rowOff>146050</xdr:rowOff>
        </xdr:from>
        <xdr:to>
          <xdr:col>14</xdr:col>
          <xdr:colOff>1308100</xdr:colOff>
          <xdr:row>5</xdr:row>
          <xdr:rowOff>44450</xdr:rowOff>
        </xdr:to>
        <xdr:sp macro="" textlink="">
          <xdr:nvSpPr>
            <xdr:cNvPr id="21269" name="Button 789" hidden="1">
              <a:extLst>
                <a:ext uri="{63B3BB69-23CF-44E3-9099-C40C66FF867C}">
                  <a14:compatExt spid="_x0000_s21269"/>
                </a:ext>
                <a:ext uri="{FF2B5EF4-FFF2-40B4-BE49-F238E27FC236}">
                  <a16:creationId xmlns:a16="http://schemas.microsoft.com/office/drawing/2014/main" id="{00000000-0008-0000-4200-00001553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1327150</xdr:colOff>
          <xdr:row>2</xdr:row>
          <xdr:rowOff>146050</xdr:rowOff>
        </xdr:from>
        <xdr:to>
          <xdr:col>15</xdr:col>
          <xdr:colOff>203200</xdr:colOff>
          <xdr:row>5</xdr:row>
          <xdr:rowOff>44450</xdr:rowOff>
        </xdr:to>
        <xdr:sp macro="" textlink="">
          <xdr:nvSpPr>
            <xdr:cNvPr id="21270" name="Button 790" hidden="1">
              <a:extLst>
                <a:ext uri="{63B3BB69-23CF-44E3-9099-C40C66FF867C}">
                  <a14:compatExt spid="_x0000_s21270"/>
                </a:ext>
                <a:ext uri="{FF2B5EF4-FFF2-40B4-BE49-F238E27FC236}">
                  <a16:creationId xmlns:a16="http://schemas.microsoft.com/office/drawing/2014/main" id="{00000000-0008-0000-4200-000016530000}"/>
                </a:ext>
              </a:extLst>
            </xdr:cNvPr>
            <xdr:cNvSpPr/>
          </xdr:nvSpPr>
          <xdr:spPr bwMode="auto">
            <a:xfrm>
              <a:off x="0" y="0"/>
              <a:ext cx="0" cy="0"/>
            </a:xfrm>
            <a:prstGeom prst="rect">
              <a:avLst/>
            </a:prstGeom>
            <a:noFill/>
            <a:ln w="9525">
              <a:miter lim="800000"/>
              <a:headEnd/>
              <a:tailEnd/>
            </a:ln>
          </xdr:spPr>
          <xdr:txBody>
            <a:bodyPr vertOverflow="clip" wrap="square" lIns="118872" tIns="45720" rIns="118872" bIns="45720" anchor="ctr" upright="1"/>
            <a:lstStyle/>
            <a:p>
              <a:pPr algn="ctr" rtl="0">
                <a:defRPr sz="1000"/>
              </a:pPr>
              <a:r>
                <a:rPr lang="en-GB" sz="1800" b="0" i="0" u="none" strike="noStrike" baseline="0">
                  <a:solidFill>
                    <a:srgbClr val="000000"/>
                  </a:solidFill>
                  <a:latin typeface="Wingdings"/>
                </a:rPr>
                <a:t>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101600</xdr:colOff>
          <xdr:row>1</xdr:row>
          <xdr:rowOff>0</xdr:rowOff>
        </xdr:from>
        <xdr:to>
          <xdr:col>14</xdr:col>
          <xdr:colOff>920750</xdr:colOff>
          <xdr:row>2</xdr:row>
          <xdr:rowOff>139700</xdr:rowOff>
        </xdr:to>
        <xdr:sp macro="" textlink="">
          <xdr:nvSpPr>
            <xdr:cNvPr id="21271" name="Button 791" hidden="1">
              <a:extLst>
                <a:ext uri="{63B3BB69-23CF-44E3-9099-C40C66FF867C}">
                  <a14:compatExt spid="_x0000_s21271"/>
                </a:ext>
                <a:ext uri="{FF2B5EF4-FFF2-40B4-BE49-F238E27FC236}">
                  <a16:creationId xmlns:a16="http://schemas.microsoft.com/office/drawing/2014/main" id="{00000000-0008-0000-4200-0000175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927100</xdr:colOff>
          <xdr:row>1</xdr:row>
          <xdr:rowOff>0</xdr:rowOff>
        </xdr:from>
        <xdr:to>
          <xdr:col>15</xdr:col>
          <xdr:colOff>203200</xdr:colOff>
          <xdr:row>2</xdr:row>
          <xdr:rowOff>139700</xdr:rowOff>
        </xdr:to>
        <xdr:sp macro="" textlink="">
          <xdr:nvSpPr>
            <xdr:cNvPr id="21273" name="Button 793" hidden="1">
              <a:extLst>
                <a:ext uri="{63B3BB69-23CF-44E3-9099-C40C66FF867C}">
                  <a14:compatExt spid="_x0000_s21273"/>
                </a:ext>
                <a:ext uri="{FF2B5EF4-FFF2-40B4-BE49-F238E27FC236}">
                  <a16:creationId xmlns:a16="http://schemas.microsoft.com/office/drawing/2014/main" id="{00000000-0008-0000-4200-00001953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email settings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0</xdr:row>
          <xdr:rowOff>82550</xdr:rowOff>
        </xdr:from>
        <xdr:to>
          <xdr:col>0</xdr:col>
          <xdr:colOff>831850</xdr:colOff>
          <xdr:row>2</xdr:row>
          <xdr:rowOff>31750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44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146050</xdr:colOff>
          <xdr:row>2</xdr:row>
          <xdr:rowOff>101600</xdr:rowOff>
        </xdr:from>
        <xdr:to>
          <xdr:col>14</xdr:col>
          <xdr:colOff>419100</xdr:colOff>
          <xdr:row>4</xdr:row>
          <xdr:rowOff>152400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44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Match Riverlake with 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xdr:row>
          <xdr:rowOff>76200</xdr:rowOff>
        </xdr:from>
        <xdr:to>
          <xdr:col>0</xdr:col>
          <xdr:colOff>825500</xdr:colOff>
          <xdr:row>3</xdr:row>
          <xdr:rowOff>349250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44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Riverlake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xdr:row>
          <xdr:rowOff>222250</xdr:rowOff>
        </xdr:from>
        <xdr:to>
          <xdr:col>9</xdr:col>
          <xdr:colOff>1263650</xdr:colOff>
          <xdr:row>4</xdr:row>
          <xdr:rowOff>44450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4400-000006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CPI / RPI Website</a:t>
              </a:r>
            </a:p>
          </xdr:txBody>
        </xdr:sp>
        <xdr:clientData fPrintsWithSheet="0"/>
      </xdr:twoCellAnchor>
    </mc:Choice>
    <mc:Fallback/>
  </mc:AlternateContent>
  <xdr:twoCellAnchor editAs="oneCell">
    <xdr:from>
      <xdr:col>11</xdr:col>
      <xdr:colOff>160020</xdr:colOff>
      <xdr:row>4</xdr:row>
      <xdr:rowOff>45720</xdr:rowOff>
    </xdr:from>
    <xdr:to>
      <xdr:col>11</xdr:col>
      <xdr:colOff>769620</xdr:colOff>
      <xdr:row>4</xdr:row>
      <xdr:rowOff>236220</xdr:rowOff>
    </xdr:to>
    <xdr:pic macro="[0]!searchfor_B">
      <xdr:nvPicPr>
        <xdr:cNvPr id="107890" name="Picture 1">
          <a:extLst>
            <a:ext uri="{FF2B5EF4-FFF2-40B4-BE49-F238E27FC236}">
              <a16:creationId xmlns:a16="http://schemas.microsoft.com/office/drawing/2014/main" id="{763F615D-FEB6-5380-636C-D566B2148AC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052560" y="1257300"/>
          <a:ext cx="6096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10</xdr:col>
          <xdr:colOff>482600</xdr:colOff>
          <xdr:row>2</xdr:row>
          <xdr:rowOff>44450</xdr:rowOff>
        </xdr:from>
        <xdr:to>
          <xdr:col>11</xdr:col>
          <xdr:colOff>647700</xdr:colOff>
          <xdr:row>2</xdr:row>
          <xdr:rowOff>254000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4400-00000B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1" i="0" u="none" strike="noStrike" baseline="0">
                  <a:solidFill>
                    <a:srgbClr val="0000FF"/>
                  </a:solidFill>
                  <a:latin typeface="Calibri"/>
                  <a:ea typeface="Calibri"/>
                  <a:cs typeface="Calibri"/>
                </a:rPr>
                <a:t>contact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69850</xdr:colOff>
          <xdr:row>3</xdr:row>
          <xdr:rowOff>107950</xdr:rowOff>
        </xdr:from>
        <xdr:to>
          <xdr:col>3</xdr:col>
          <xdr:colOff>698500</xdr:colOff>
          <xdr:row>3</xdr:row>
          <xdr:rowOff>393700</xdr:rowOff>
        </xdr:to>
        <xdr:sp macro="" textlink="">
          <xdr:nvSpPr>
            <xdr:cNvPr id="7381" name="Button 213" hidden="1">
              <a:extLst>
                <a:ext uri="{63B3BB69-23CF-44E3-9099-C40C66FF867C}">
                  <a14:compatExt spid="_x0000_s7381"/>
                </a:ext>
                <a:ext uri="{FF2B5EF4-FFF2-40B4-BE49-F238E27FC236}">
                  <a16:creationId xmlns:a16="http://schemas.microsoft.com/office/drawing/2014/main" id="{00000000-0008-0000-4400-0000D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6</xdr:row>
          <xdr:rowOff>12700</xdr:rowOff>
        </xdr:from>
        <xdr:to>
          <xdr:col>0</xdr:col>
          <xdr:colOff>825500</xdr:colOff>
          <xdr:row>7</xdr:row>
          <xdr:rowOff>107950</xdr:rowOff>
        </xdr:to>
        <xdr:sp macro="" textlink="">
          <xdr:nvSpPr>
            <xdr:cNvPr id="7384" name="Button 216" hidden="1">
              <a:extLst>
                <a:ext uri="{63B3BB69-23CF-44E3-9099-C40C66FF867C}">
                  <a14:compatExt spid="_x0000_s7384"/>
                </a:ext>
                <a:ext uri="{FF2B5EF4-FFF2-40B4-BE49-F238E27FC236}">
                  <a16:creationId xmlns:a16="http://schemas.microsoft.com/office/drawing/2014/main" id="{00000000-0008-0000-4400-0000D8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127000</xdr:colOff>
          <xdr:row>0</xdr:row>
          <xdr:rowOff>69850</xdr:rowOff>
        </xdr:from>
        <xdr:to>
          <xdr:col>13</xdr:col>
          <xdr:colOff>755650</xdr:colOff>
          <xdr:row>1</xdr:row>
          <xdr:rowOff>336550</xdr:rowOff>
        </xdr:to>
        <xdr:sp macro="" textlink="">
          <xdr:nvSpPr>
            <xdr:cNvPr id="7959" name="globalbacktobutton" hidden="1">
              <a:extLst>
                <a:ext uri="{63B3BB69-23CF-44E3-9099-C40C66FF867C}">
                  <a14:compatExt spid="_x0000_s7959"/>
                </a:ext>
                <a:ext uri="{FF2B5EF4-FFF2-40B4-BE49-F238E27FC236}">
                  <a16:creationId xmlns:a16="http://schemas.microsoft.com/office/drawing/2014/main" id="{00000000-0008-0000-4400-0000171F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4</xdr:row>
          <xdr:rowOff>0</xdr:rowOff>
        </xdr:from>
        <xdr:to>
          <xdr:col>0</xdr:col>
          <xdr:colOff>825500</xdr:colOff>
          <xdr:row>5</xdr:row>
          <xdr:rowOff>165100</xdr:rowOff>
        </xdr:to>
        <xdr:sp macro="" textlink="">
          <xdr:nvSpPr>
            <xdr:cNvPr id="7999" name="Button 831" hidden="1">
              <a:extLst>
                <a:ext uri="{63B3BB69-23CF-44E3-9099-C40C66FF867C}">
                  <a14:compatExt spid="_x0000_s7999"/>
                </a:ext>
                <a:ext uri="{FF2B5EF4-FFF2-40B4-BE49-F238E27FC236}">
                  <a16:creationId xmlns:a16="http://schemas.microsoft.com/office/drawing/2014/main" id="{00000000-0008-0000-4400-00003F1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Go to Data Sheet</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xdr:from>
      <xdr:col>1</xdr:col>
      <xdr:colOff>876300</xdr:colOff>
      <xdr:row>1</xdr:row>
      <xdr:rowOff>30480</xdr:rowOff>
    </xdr:from>
    <xdr:to>
      <xdr:col>8</xdr:col>
      <xdr:colOff>403860</xdr:colOff>
      <xdr:row>16</xdr:row>
      <xdr:rowOff>0</xdr:rowOff>
    </xdr:to>
    <xdr:sp macro="" textlink="">
      <xdr:nvSpPr>
        <xdr:cNvPr id="17411" name="Text Box 3">
          <a:extLst>
            <a:ext uri="{FF2B5EF4-FFF2-40B4-BE49-F238E27FC236}">
              <a16:creationId xmlns:a16="http://schemas.microsoft.com/office/drawing/2014/main" id="{D12AB8DC-A3B1-B880-C0F9-BCF6B13452C6}"/>
            </a:ext>
          </a:extLst>
        </xdr:cNvPr>
        <xdr:cNvSpPr txBox="1">
          <a:spLocks noChangeArrowheads="1"/>
        </xdr:cNvSpPr>
      </xdr:nvSpPr>
      <xdr:spPr bwMode="auto">
        <a:xfrm>
          <a:off x="1485900" y="304800"/>
          <a:ext cx="4084320" cy="271272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6576" rIns="36576" bIns="0" anchor="t" upright="1"/>
        <a:lstStyle/>
        <a:p>
          <a:pPr algn="ctr" rtl="0">
            <a:defRPr sz="1000"/>
          </a:pPr>
          <a:endParaRPr lang="en-GB" sz="1400" b="1" i="0" u="none" strike="noStrike" baseline="0">
            <a:solidFill>
              <a:srgbClr val="000000"/>
            </a:solidFill>
            <a:latin typeface="Calibri"/>
            <a:ea typeface="Calibri"/>
            <a:cs typeface="Calibri"/>
          </a:endParaRPr>
        </a:p>
        <a:p>
          <a:pPr algn="ctr" rtl="0">
            <a:defRPr sz="1000"/>
          </a:pPr>
          <a:endParaRPr lang="en-GB" sz="1400" b="1" i="0" u="none" strike="noStrike" baseline="0">
            <a:solidFill>
              <a:srgbClr val="000000"/>
            </a:solidFill>
            <a:latin typeface="Calibri"/>
            <a:ea typeface="Calibri"/>
            <a:cs typeface="Calibri"/>
          </a:endParaRPr>
        </a:p>
        <a:p>
          <a:pPr algn="ctr" rtl="0">
            <a:defRPr sz="1000"/>
          </a:pPr>
          <a:endParaRPr lang="en-GB" sz="1400" b="1" i="0" u="none" strike="noStrike" baseline="0">
            <a:solidFill>
              <a:srgbClr val="000000"/>
            </a:solidFill>
            <a:latin typeface="Calibri"/>
            <a:ea typeface="Calibri"/>
            <a:cs typeface="Calibri"/>
          </a:endParaRPr>
        </a:p>
        <a:p>
          <a:pPr algn="ctr" rtl="0">
            <a:defRPr sz="1000"/>
          </a:pPr>
          <a:r>
            <a:rPr lang="en-GB" sz="1400" b="1" i="0" u="none" strike="noStrike" baseline="0">
              <a:solidFill>
                <a:srgbClr val="000000"/>
              </a:solidFill>
              <a:latin typeface="Calibri"/>
              <a:ea typeface="Calibri"/>
              <a:cs typeface="Calibri"/>
            </a:rPr>
            <a:t>system use only</a:t>
          </a:r>
        </a:p>
      </xdr:txBody>
    </xdr:sp>
    <xdr:clientData/>
  </xdr:twoCellAnchor>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xdr:row>
          <xdr:rowOff>63500</xdr:rowOff>
        </xdr:from>
        <xdr:to>
          <xdr:col>0</xdr:col>
          <xdr:colOff>501650</xdr:colOff>
          <xdr:row>3</xdr:row>
          <xdr:rowOff>44450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4D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292100</xdr:colOff>
          <xdr:row>1</xdr:row>
          <xdr:rowOff>6350</xdr:rowOff>
        </xdr:from>
        <xdr:to>
          <xdr:col>6</xdr:col>
          <xdr:colOff>292100</xdr:colOff>
          <xdr:row>4</xdr:row>
          <xdr:rowOff>31750</xdr:rowOff>
        </xdr:to>
        <xdr:sp macro="" textlink="">
          <xdr:nvSpPr>
            <xdr:cNvPr id="16386" name="globalbacktobutton" hidden="1">
              <a:extLst>
                <a:ext uri="{63B3BB69-23CF-44E3-9099-C40C66FF867C}">
                  <a14:compatExt spid="_x0000_s16386"/>
                </a:ext>
                <a:ext uri="{FF2B5EF4-FFF2-40B4-BE49-F238E27FC236}">
                  <a16:creationId xmlns:a16="http://schemas.microsoft.com/office/drawing/2014/main" id="{00000000-0008-0000-4D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FF"/>
                  </a:solidFill>
                  <a:latin typeface="Calibri"/>
                  <a:ea typeface="Calibri"/>
                  <a:cs typeface="Calibri"/>
                </a:rPr>
                <a:t>Back</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139700</xdr:colOff>
          <xdr:row>1</xdr:row>
          <xdr:rowOff>6350</xdr:rowOff>
        </xdr:from>
        <xdr:to>
          <xdr:col>0</xdr:col>
          <xdr:colOff>609600</xdr:colOff>
          <xdr:row>2</xdr:row>
          <xdr:rowOff>127000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4F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139700</xdr:colOff>
          <xdr:row>5</xdr:row>
          <xdr:rowOff>6350</xdr:rowOff>
        </xdr:from>
        <xdr:to>
          <xdr:col>0</xdr:col>
          <xdr:colOff>609600</xdr:colOff>
          <xdr:row>6</xdr:row>
          <xdr:rowOff>127000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4F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76200</xdr:colOff>
          <xdr:row>0</xdr:row>
          <xdr:rowOff>101600</xdr:rowOff>
        </xdr:from>
        <xdr:to>
          <xdr:col>29</xdr:col>
          <xdr:colOff>533400</xdr:colOff>
          <xdr:row>5</xdr:row>
          <xdr:rowOff>44450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4F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184150</xdr:colOff>
          <xdr:row>8</xdr:row>
          <xdr:rowOff>0</xdr:rowOff>
        </xdr:from>
        <xdr:to>
          <xdr:col>13</xdr:col>
          <xdr:colOff>330200</xdr:colOff>
          <xdr:row>17</xdr:row>
          <xdr:rowOff>31750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4F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goto</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165100</xdr:colOff>
          <xdr:row>1</xdr:row>
          <xdr:rowOff>6350</xdr:rowOff>
        </xdr:from>
        <xdr:to>
          <xdr:col>0</xdr:col>
          <xdr:colOff>831850</xdr:colOff>
          <xdr:row>3</xdr:row>
          <xdr:rowOff>25400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0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15</xdr:row>
          <xdr:rowOff>165100</xdr:rowOff>
        </xdr:from>
        <xdr:to>
          <xdr:col>2</xdr:col>
          <xdr:colOff>4013200</xdr:colOff>
          <xdr:row>18</xdr:row>
          <xdr:rowOff>63500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000-000002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Return to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6350</xdr:colOff>
          <xdr:row>21</xdr:row>
          <xdr:rowOff>31750</xdr:rowOff>
        </xdr:from>
        <xdr:to>
          <xdr:col>2</xdr:col>
          <xdr:colOff>952500</xdr:colOff>
          <xdr:row>22</xdr:row>
          <xdr:rowOff>38100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5000-000005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ea typeface="Calibri"/>
                  <a:cs typeface="Calibri"/>
                </a:rPr>
                <a:t>CBRE 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88900</xdr:colOff>
          <xdr:row>11</xdr:row>
          <xdr:rowOff>0</xdr:rowOff>
        </xdr:from>
        <xdr:to>
          <xdr:col>1</xdr:col>
          <xdr:colOff>565150</xdr:colOff>
          <xdr:row>12</xdr:row>
          <xdr:rowOff>6350</xdr:rowOff>
        </xdr:to>
        <xdr:sp macro="" textlink="">
          <xdr:nvSpPr>
            <xdr:cNvPr id="34822" name="Button 6" hidden="1">
              <a:extLst>
                <a:ext uri="{63B3BB69-23CF-44E3-9099-C40C66FF867C}">
                  <a14:compatExt spid="_x0000_s34822"/>
                </a:ext>
                <a:ext uri="{FF2B5EF4-FFF2-40B4-BE49-F238E27FC236}">
                  <a16:creationId xmlns:a16="http://schemas.microsoft.com/office/drawing/2014/main" id="{00000000-0008-0000-5000-000006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10</xdr:row>
          <xdr:rowOff>177800</xdr:rowOff>
        </xdr:from>
        <xdr:to>
          <xdr:col>3</xdr:col>
          <xdr:colOff>330200</xdr:colOff>
          <xdr:row>12</xdr:row>
          <xdr:rowOff>0</xdr:rowOff>
        </xdr:to>
        <xdr:sp macro="" textlink="">
          <xdr:nvSpPr>
            <xdr:cNvPr id="34823" name="Button 7" hidden="1">
              <a:extLst>
                <a:ext uri="{63B3BB69-23CF-44E3-9099-C40C66FF867C}">
                  <a14:compatExt spid="_x0000_s34823"/>
                </a:ext>
                <a:ext uri="{FF2B5EF4-FFF2-40B4-BE49-F238E27FC236}">
                  <a16:creationId xmlns:a16="http://schemas.microsoft.com/office/drawing/2014/main" id="{00000000-0008-0000-5000-000007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OK</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241300</xdr:colOff>
          <xdr:row>0</xdr:row>
          <xdr:rowOff>222250</xdr:rowOff>
        </xdr:from>
        <xdr:to>
          <xdr:col>0</xdr:col>
          <xdr:colOff>914400</xdr:colOff>
          <xdr:row>1</xdr:row>
          <xdr:rowOff>317500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51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menu</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266700</xdr:colOff>
          <xdr:row>2</xdr:row>
          <xdr:rowOff>0</xdr:rowOff>
        </xdr:from>
        <xdr:to>
          <xdr:col>11</xdr:col>
          <xdr:colOff>1155700</xdr:colOff>
          <xdr:row>3</xdr:row>
          <xdr:rowOff>158750</xdr:rowOff>
        </xdr:to>
        <xdr:sp macro="" textlink="">
          <xdr:nvSpPr>
            <xdr:cNvPr id="69691" name="basic2button" hidden="1">
              <a:extLst>
                <a:ext uri="{63B3BB69-23CF-44E3-9099-C40C66FF867C}">
                  <a14:compatExt spid="_x0000_s69691"/>
                </a:ext>
                <a:ext uri="{FF2B5EF4-FFF2-40B4-BE49-F238E27FC236}">
                  <a16:creationId xmlns:a16="http://schemas.microsoft.com/office/drawing/2014/main" id="{00000000-0008-0000-5400-00003B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266700</xdr:colOff>
          <xdr:row>3</xdr:row>
          <xdr:rowOff>184150</xdr:rowOff>
        </xdr:from>
        <xdr:to>
          <xdr:col>11</xdr:col>
          <xdr:colOff>1155700</xdr:colOff>
          <xdr:row>6</xdr:row>
          <xdr:rowOff>0</xdr:rowOff>
        </xdr:to>
        <xdr:sp macro="" textlink="">
          <xdr:nvSpPr>
            <xdr:cNvPr id="69692" name="basic2delbutton" hidden="1">
              <a:extLst>
                <a:ext uri="{63B3BB69-23CF-44E3-9099-C40C66FF867C}">
                  <a14:compatExt spid="_x0000_s69692"/>
                </a:ext>
                <a:ext uri="{FF2B5EF4-FFF2-40B4-BE49-F238E27FC236}">
                  <a16:creationId xmlns:a16="http://schemas.microsoft.com/office/drawing/2014/main" id="{00000000-0008-0000-5400-00003C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1250950</xdr:colOff>
          <xdr:row>2</xdr:row>
          <xdr:rowOff>158750</xdr:rowOff>
        </xdr:from>
        <xdr:to>
          <xdr:col>13</xdr:col>
          <xdr:colOff>38100</xdr:colOff>
          <xdr:row>4</xdr:row>
          <xdr:rowOff>152400</xdr:rowOff>
        </xdr:to>
        <xdr:sp macro="" textlink="">
          <xdr:nvSpPr>
            <xdr:cNvPr id="69693" name="pdfbutton" hidden="1">
              <a:extLst>
                <a:ext uri="{63B3BB69-23CF-44E3-9099-C40C66FF867C}">
                  <a14:compatExt spid="_x0000_s69693"/>
                </a:ext>
                <a:ext uri="{FF2B5EF4-FFF2-40B4-BE49-F238E27FC236}">
                  <a16:creationId xmlns:a16="http://schemas.microsoft.com/office/drawing/2014/main" id="{00000000-0008-0000-5400-00003D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939800</xdr:colOff>
          <xdr:row>3</xdr:row>
          <xdr:rowOff>0</xdr:rowOff>
        </xdr:from>
        <xdr:to>
          <xdr:col>9</xdr:col>
          <xdr:colOff>0</xdr:colOff>
          <xdr:row>4</xdr:row>
          <xdr:rowOff>0</xdr:rowOff>
        </xdr:to>
        <xdr:sp macro="" textlink="">
          <xdr:nvSpPr>
            <xdr:cNvPr id="52227" name="Group Box 3" hidden="1">
              <a:extLst>
                <a:ext uri="{63B3BB69-23CF-44E3-9099-C40C66FF867C}">
                  <a14:compatExt spid="_x0000_s52227"/>
                </a:ext>
                <a:ext uri="{FF2B5EF4-FFF2-40B4-BE49-F238E27FC236}">
                  <a16:creationId xmlns:a16="http://schemas.microsoft.com/office/drawing/2014/main" id="{00000000-0008-0000-5500-000003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76200</xdr:colOff>
          <xdr:row>0</xdr:row>
          <xdr:rowOff>298450</xdr:rowOff>
        </xdr:from>
        <xdr:to>
          <xdr:col>12</xdr:col>
          <xdr:colOff>965200</xdr:colOff>
          <xdr:row>2</xdr:row>
          <xdr:rowOff>152400</xdr:rowOff>
        </xdr:to>
        <xdr:sp macro="" textlink="">
          <xdr:nvSpPr>
            <xdr:cNvPr id="52248" name="basic2button" hidden="1">
              <a:extLst>
                <a:ext uri="{63B3BB69-23CF-44E3-9099-C40C66FF867C}">
                  <a14:compatExt spid="_x0000_s52248"/>
                </a:ext>
                <a:ext uri="{FF2B5EF4-FFF2-40B4-BE49-F238E27FC236}">
                  <a16:creationId xmlns:a16="http://schemas.microsoft.com/office/drawing/2014/main" id="{00000000-0008-0000-5500-000018C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2</xdr:row>
          <xdr:rowOff>177800</xdr:rowOff>
        </xdr:from>
        <xdr:to>
          <xdr:col>12</xdr:col>
          <xdr:colOff>965200</xdr:colOff>
          <xdr:row>4</xdr:row>
          <xdr:rowOff>158750</xdr:rowOff>
        </xdr:to>
        <xdr:sp macro="" textlink="">
          <xdr:nvSpPr>
            <xdr:cNvPr id="52249" name="basic2delbutton" hidden="1">
              <a:extLst>
                <a:ext uri="{63B3BB69-23CF-44E3-9099-C40C66FF867C}">
                  <a14:compatExt spid="_x0000_s52249"/>
                </a:ext>
                <a:ext uri="{FF2B5EF4-FFF2-40B4-BE49-F238E27FC236}">
                  <a16:creationId xmlns:a16="http://schemas.microsoft.com/office/drawing/2014/main" id="{00000000-0008-0000-5500-000019C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1060450</xdr:colOff>
          <xdr:row>1</xdr:row>
          <xdr:rowOff>76200</xdr:rowOff>
        </xdr:from>
        <xdr:to>
          <xdr:col>12</xdr:col>
          <xdr:colOff>1949450</xdr:colOff>
          <xdr:row>3</xdr:row>
          <xdr:rowOff>146050</xdr:rowOff>
        </xdr:to>
        <xdr:sp macro="" textlink="">
          <xdr:nvSpPr>
            <xdr:cNvPr id="52250" name="pdfbutton" hidden="1">
              <a:extLst>
                <a:ext uri="{63B3BB69-23CF-44E3-9099-C40C66FF867C}">
                  <a14:compatExt spid="_x0000_s52250"/>
                </a:ext>
                <a:ext uri="{FF2B5EF4-FFF2-40B4-BE49-F238E27FC236}">
                  <a16:creationId xmlns:a16="http://schemas.microsoft.com/office/drawing/2014/main" id="{00000000-0008-0000-5500-00001AC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44450</xdr:colOff>
          <xdr:row>0</xdr:row>
          <xdr:rowOff>127000</xdr:rowOff>
        </xdr:from>
        <xdr:to>
          <xdr:col>6</xdr:col>
          <xdr:colOff>946150</xdr:colOff>
          <xdr:row>2</xdr:row>
          <xdr:rowOff>120650</xdr:rowOff>
        </xdr:to>
        <xdr:sp macro="" textlink="">
          <xdr:nvSpPr>
            <xdr:cNvPr id="54284" name="basic2button" hidden="1">
              <a:extLst>
                <a:ext uri="{63B3BB69-23CF-44E3-9099-C40C66FF867C}">
                  <a14:compatExt spid="_x0000_s54284"/>
                </a:ext>
                <a:ext uri="{FF2B5EF4-FFF2-40B4-BE49-F238E27FC236}">
                  <a16:creationId xmlns:a16="http://schemas.microsoft.com/office/drawing/2014/main" id="{00000000-0008-0000-5600-00000CD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xdr:colOff>
          <xdr:row>2</xdr:row>
          <xdr:rowOff>146050</xdr:rowOff>
        </xdr:from>
        <xdr:to>
          <xdr:col>6</xdr:col>
          <xdr:colOff>946150</xdr:colOff>
          <xdr:row>4</xdr:row>
          <xdr:rowOff>215900</xdr:rowOff>
        </xdr:to>
        <xdr:sp macro="" textlink="">
          <xdr:nvSpPr>
            <xdr:cNvPr id="54285" name="basic2delbutton" hidden="1">
              <a:extLst>
                <a:ext uri="{63B3BB69-23CF-44E3-9099-C40C66FF867C}">
                  <a14:compatExt spid="_x0000_s54285"/>
                </a:ext>
                <a:ext uri="{FF2B5EF4-FFF2-40B4-BE49-F238E27FC236}">
                  <a16:creationId xmlns:a16="http://schemas.microsoft.com/office/drawing/2014/main" id="{00000000-0008-0000-5600-00000DD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1028700</xdr:colOff>
          <xdr:row>1</xdr:row>
          <xdr:rowOff>107950</xdr:rowOff>
        </xdr:from>
        <xdr:to>
          <xdr:col>7</xdr:col>
          <xdr:colOff>44450</xdr:colOff>
          <xdr:row>3</xdr:row>
          <xdr:rowOff>152400</xdr:rowOff>
        </xdr:to>
        <xdr:sp macro="" textlink="">
          <xdr:nvSpPr>
            <xdr:cNvPr id="54286" name="pdfbutton" hidden="1">
              <a:extLst>
                <a:ext uri="{63B3BB69-23CF-44E3-9099-C40C66FF867C}">
                  <a14:compatExt spid="_x0000_s54286"/>
                </a:ext>
                <a:ext uri="{FF2B5EF4-FFF2-40B4-BE49-F238E27FC236}">
                  <a16:creationId xmlns:a16="http://schemas.microsoft.com/office/drawing/2014/main" id="{00000000-0008-0000-5600-00000ED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38100</xdr:colOff>
          <xdr:row>0</xdr:row>
          <xdr:rowOff>190500</xdr:rowOff>
        </xdr:from>
        <xdr:to>
          <xdr:col>11</xdr:col>
          <xdr:colOff>927100</xdr:colOff>
          <xdr:row>3</xdr:row>
          <xdr:rowOff>44450</xdr:rowOff>
        </xdr:to>
        <xdr:sp macro="" textlink="">
          <xdr:nvSpPr>
            <xdr:cNvPr id="44046" name="basic2button" hidden="1">
              <a:extLst>
                <a:ext uri="{63B3BB69-23CF-44E3-9099-C40C66FF867C}">
                  <a14:compatExt spid="_x0000_s44046"/>
                </a:ext>
                <a:ext uri="{FF2B5EF4-FFF2-40B4-BE49-F238E27FC236}">
                  <a16:creationId xmlns:a16="http://schemas.microsoft.com/office/drawing/2014/main" id="{00000000-0008-0000-5700-00000EA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3</xdr:row>
          <xdr:rowOff>69850</xdr:rowOff>
        </xdr:from>
        <xdr:to>
          <xdr:col>11</xdr:col>
          <xdr:colOff>927100</xdr:colOff>
          <xdr:row>6</xdr:row>
          <xdr:rowOff>146050</xdr:rowOff>
        </xdr:to>
        <xdr:sp macro="" textlink="">
          <xdr:nvSpPr>
            <xdr:cNvPr id="44047" name="basic2delbutton" hidden="1">
              <a:extLst>
                <a:ext uri="{63B3BB69-23CF-44E3-9099-C40C66FF867C}">
                  <a14:compatExt spid="_x0000_s44047"/>
                </a:ext>
                <a:ext uri="{FF2B5EF4-FFF2-40B4-BE49-F238E27FC236}">
                  <a16:creationId xmlns:a16="http://schemas.microsoft.com/office/drawing/2014/main" id="{00000000-0008-0000-5700-00000FA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1022350</xdr:colOff>
          <xdr:row>1</xdr:row>
          <xdr:rowOff>146050</xdr:rowOff>
        </xdr:from>
        <xdr:to>
          <xdr:col>12</xdr:col>
          <xdr:colOff>412750</xdr:colOff>
          <xdr:row>5</xdr:row>
          <xdr:rowOff>0</xdr:rowOff>
        </xdr:to>
        <xdr:sp macro="" textlink="">
          <xdr:nvSpPr>
            <xdr:cNvPr id="44048" name="pdfbutton" hidden="1">
              <a:extLst>
                <a:ext uri="{63B3BB69-23CF-44E3-9099-C40C66FF867C}">
                  <a14:compatExt spid="_x0000_s44048"/>
                </a:ext>
                <a:ext uri="{FF2B5EF4-FFF2-40B4-BE49-F238E27FC236}">
                  <a16:creationId xmlns:a16="http://schemas.microsoft.com/office/drawing/2014/main" id="{00000000-0008-0000-5700-000010A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190500</xdr:colOff>
          <xdr:row>5</xdr:row>
          <xdr:rowOff>0</xdr:rowOff>
        </xdr:from>
        <xdr:to>
          <xdr:col>14</xdr:col>
          <xdr:colOff>1073150</xdr:colOff>
          <xdr:row>7</xdr:row>
          <xdr:rowOff>120650</xdr:rowOff>
        </xdr:to>
        <xdr:sp macro="" textlink="">
          <xdr:nvSpPr>
            <xdr:cNvPr id="46104" name="basic2button" hidden="1">
              <a:extLst>
                <a:ext uri="{63B3BB69-23CF-44E3-9099-C40C66FF867C}">
                  <a14:compatExt spid="_x0000_s46104"/>
                </a:ext>
                <a:ext uri="{FF2B5EF4-FFF2-40B4-BE49-F238E27FC236}">
                  <a16:creationId xmlns:a16="http://schemas.microsoft.com/office/drawing/2014/main" id="{00000000-0008-0000-5800-000018B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190500</xdr:colOff>
          <xdr:row>7</xdr:row>
          <xdr:rowOff>146050</xdr:rowOff>
        </xdr:from>
        <xdr:to>
          <xdr:col>14</xdr:col>
          <xdr:colOff>1079500</xdr:colOff>
          <xdr:row>7</xdr:row>
          <xdr:rowOff>711200</xdr:rowOff>
        </xdr:to>
        <xdr:sp macro="" textlink="">
          <xdr:nvSpPr>
            <xdr:cNvPr id="46105" name="basic2delbutton" hidden="1">
              <a:extLst>
                <a:ext uri="{63B3BB69-23CF-44E3-9099-C40C66FF867C}">
                  <a14:compatExt spid="_x0000_s46105"/>
                </a:ext>
                <a:ext uri="{FF2B5EF4-FFF2-40B4-BE49-F238E27FC236}">
                  <a16:creationId xmlns:a16="http://schemas.microsoft.com/office/drawing/2014/main" id="{00000000-0008-0000-5800-000019B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1168400</xdr:colOff>
          <xdr:row>6</xdr:row>
          <xdr:rowOff>0</xdr:rowOff>
        </xdr:from>
        <xdr:to>
          <xdr:col>14</xdr:col>
          <xdr:colOff>2057400</xdr:colOff>
          <xdr:row>7</xdr:row>
          <xdr:rowOff>406400</xdr:rowOff>
        </xdr:to>
        <xdr:sp macro="" textlink="">
          <xdr:nvSpPr>
            <xdr:cNvPr id="46106" name="pdfbutton" hidden="1">
              <a:extLst>
                <a:ext uri="{63B3BB69-23CF-44E3-9099-C40C66FF867C}">
                  <a14:compatExt spid="_x0000_s46106"/>
                </a:ext>
                <a:ext uri="{FF2B5EF4-FFF2-40B4-BE49-F238E27FC236}">
                  <a16:creationId xmlns:a16="http://schemas.microsoft.com/office/drawing/2014/main" id="{00000000-0008-0000-5800-00001AB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63500</xdr:colOff>
          <xdr:row>2</xdr:row>
          <xdr:rowOff>0</xdr:rowOff>
        </xdr:from>
        <xdr:to>
          <xdr:col>11</xdr:col>
          <xdr:colOff>952500</xdr:colOff>
          <xdr:row>5</xdr:row>
          <xdr:rowOff>0</xdr:rowOff>
        </xdr:to>
        <xdr:sp macro="" textlink="">
          <xdr:nvSpPr>
            <xdr:cNvPr id="50197" name="basic2button" hidden="1">
              <a:extLst>
                <a:ext uri="{63B3BB69-23CF-44E3-9099-C40C66FF867C}">
                  <a14:compatExt spid="_x0000_s50197"/>
                </a:ext>
                <a:ext uri="{FF2B5EF4-FFF2-40B4-BE49-F238E27FC236}">
                  <a16:creationId xmlns:a16="http://schemas.microsoft.com/office/drawing/2014/main" id="{00000000-0008-0000-5900-00001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63500</xdr:colOff>
          <xdr:row>5</xdr:row>
          <xdr:rowOff>25400</xdr:rowOff>
        </xdr:from>
        <xdr:to>
          <xdr:col>11</xdr:col>
          <xdr:colOff>952500</xdr:colOff>
          <xdr:row>8</xdr:row>
          <xdr:rowOff>12700</xdr:rowOff>
        </xdr:to>
        <xdr:sp macro="" textlink="">
          <xdr:nvSpPr>
            <xdr:cNvPr id="50198" name="basic2delbutton" hidden="1">
              <a:extLst>
                <a:ext uri="{63B3BB69-23CF-44E3-9099-C40C66FF867C}">
                  <a14:compatExt spid="_x0000_s50198"/>
                </a:ext>
                <a:ext uri="{FF2B5EF4-FFF2-40B4-BE49-F238E27FC236}">
                  <a16:creationId xmlns:a16="http://schemas.microsoft.com/office/drawing/2014/main" id="{00000000-0008-0000-5900-00001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1041400</xdr:colOff>
          <xdr:row>2</xdr:row>
          <xdr:rowOff>158750</xdr:rowOff>
        </xdr:from>
        <xdr:to>
          <xdr:col>11</xdr:col>
          <xdr:colOff>1936750</xdr:colOff>
          <xdr:row>6</xdr:row>
          <xdr:rowOff>120650</xdr:rowOff>
        </xdr:to>
        <xdr:sp macro="" textlink="">
          <xdr:nvSpPr>
            <xdr:cNvPr id="50199" name="pdfbutton" hidden="1">
              <a:extLst>
                <a:ext uri="{63B3BB69-23CF-44E3-9099-C40C66FF867C}">
                  <a14:compatExt spid="_x0000_s50199"/>
                </a:ext>
                <a:ext uri="{FF2B5EF4-FFF2-40B4-BE49-F238E27FC236}">
                  <a16:creationId xmlns:a16="http://schemas.microsoft.com/office/drawing/2014/main" id="{00000000-0008-0000-5900-000017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44450</xdr:colOff>
          <xdr:row>1</xdr:row>
          <xdr:rowOff>76200</xdr:rowOff>
        </xdr:from>
        <xdr:to>
          <xdr:col>11</xdr:col>
          <xdr:colOff>946150</xdr:colOff>
          <xdr:row>4</xdr:row>
          <xdr:rowOff>0</xdr:rowOff>
        </xdr:to>
        <xdr:sp macro="" textlink="">
          <xdr:nvSpPr>
            <xdr:cNvPr id="43021" name="basic2button" hidden="1">
              <a:extLst>
                <a:ext uri="{63B3BB69-23CF-44E3-9099-C40C66FF867C}">
                  <a14:compatExt spid="_x0000_s43021"/>
                </a:ext>
                <a:ext uri="{FF2B5EF4-FFF2-40B4-BE49-F238E27FC236}">
                  <a16:creationId xmlns:a16="http://schemas.microsoft.com/office/drawing/2014/main" id="{00000000-0008-0000-5A00-00000D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44450</xdr:colOff>
          <xdr:row>4</xdr:row>
          <xdr:rowOff>25400</xdr:rowOff>
        </xdr:from>
        <xdr:to>
          <xdr:col>11</xdr:col>
          <xdr:colOff>946150</xdr:colOff>
          <xdr:row>7</xdr:row>
          <xdr:rowOff>146050</xdr:rowOff>
        </xdr:to>
        <xdr:sp macro="" textlink="">
          <xdr:nvSpPr>
            <xdr:cNvPr id="43022" name="basic2delbutton" hidden="1">
              <a:extLst>
                <a:ext uri="{63B3BB69-23CF-44E3-9099-C40C66FF867C}">
                  <a14:compatExt spid="_x0000_s43022"/>
                </a:ext>
                <a:ext uri="{FF2B5EF4-FFF2-40B4-BE49-F238E27FC236}">
                  <a16:creationId xmlns:a16="http://schemas.microsoft.com/office/drawing/2014/main" id="{00000000-0008-0000-5A00-00000E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1092200</xdr:colOff>
          <xdr:row>1</xdr:row>
          <xdr:rowOff>44450</xdr:rowOff>
        </xdr:from>
        <xdr:to>
          <xdr:col>12</xdr:col>
          <xdr:colOff>406400</xdr:colOff>
          <xdr:row>4</xdr:row>
          <xdr:rowOff>82550</xdr:rowOff>
        </xdr:to>
        <xdr:sp macro="" textlink="">
          <xdr:nvSpPr>
            <xdr:cNvPr id="43023" name="pdfbutton" hidden="1">
              <a:extLst>
                <a:ext uri="{63B3BB69-23CF-44E3-9099-C40C66FF867C}">
                  <a14:compatExt spid="_x0000_s43023"/>
                </a:ext>
                <a:ext uri="{FF2B5EF4-FFF2-40B4-BE49-F238E27FC236}">
                  <a16:creationId xmlns:a16="http://schemas.microsoft.com/office/drawing/2014/main" id="{00000000-0008-0000-5A00-00000F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1</xdr:col>
      <xdr:colOff>106680</xdr:colOff>
      <xdr:row>1</xdr:row>
      <xdr:rowOff>45720</xdr:rowOff>
    </xdr:from>
    <xdr:to>
      <xdr:col>5</xdr:col>
      <xdr:colOff>510540</xdr:colOff>
      <xdr:row>5</xdr:row>
      <xdr:rowOff>38100</xdr:rowOff>
    </xdr:to>
    <xdr:pic macro="[0]!gotocalcurate">
      <xdr:nvPicPr>
        <xdr:cNvPr id="71229" name="Picture 33" descr="calcurate">
          <a:extLst>
            <a:ext uri="{FF2B5EF4-FFF2-40B4-BE49-F238E27FC236}">
              <a16:creationId xmlns:a16="http://schemas.microsoft.com/office/drawing/2014/main" id="{9B55D29A-E721-FA97-A28E-3AE3434BBD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0" y="213360"/>
          <a:ext cx="2964180" cy="662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15</xdr:col>
          <xdr:colOff>31750</xdr:colOff>
          <xdr:row>0</xdr:row>
          <xdr:rowOff>120650</xdr:rowOff>
        </xdr:from>
        <xdr:to>
          <xdr:col>15</xdr:col>
          <xdr:colOff>920750</xdr:colOff>
          <xdr:row>3</xdr:row>
          <xdr:rowOff>0</xdr:rowOff>
        </xdr:to>
        <xdr:sp macro="" textlink="">
          <xdr:nvSpPr>
            <xdr:cNvPr id="70665" name="basic2button" hidden="1">
              <a:extLst>
                <a:ext uri="{63B3BB69-23CF-44E3-9099-C40C66FF867C}">
                  <a14:compatExt spid="_x0000_s70665"/>
                </a:ext>
                <a:ext uri="{FF2B5EF4-FFF2-40B4-BE49-F238E27FC236}">
                  <a16:creationId xmlns:a16="http://schemas.microsoft.com/office/drawing/2014/main" id="{00000000-0008-0000-5B00-0000091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31750</xdr:colOff>
          <xdr:row>3</xdr:row>
          <xdr:rowOff>25400</xdr:rowOff>
        </xdr:from>
        <xdr:to>
          <xdr:col>15</xdr:col>
          <xdr:colOff>920750</xdr:colOff>
          <xdr:row>5</xdr:row>
          <xdr:rowOff>260350</xdr:rowOff>
        </xdr:to>
        <xdr:sp macro="" textlink="">
          <xdr:nvSpPr>
            <xdr:cNvPr id="70666" name="basic2delbutton" hidden="1">
              <a:extLst>
                <a:ext uri="{63B3BB69-23CF-44E3-9099-C40C66FF867C}">
                  <a14:compatExt spid="_x0000_s70666"/>
                </a:ext>
                <a:ext uri="{FF2B5EF4-FFF2-40B4-BE49-F238E27FC236}">
                  <a16:creationId xmlns:a16="http://schemas.microsoft.com/office/drawing/2014/main" id="{00000000-0008-0000-5B00-00000A1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1066800</xdr:colOff>
          <xdr:row>0</xdr:row>
          <xdr:rowOff>88900</xdr:rowOff>
        </xdr:from>
        <xdr:to>
          <xdr:col>16</xdr:col>
          <xdr:colOff>584200</xdr:colOff>
          <xdr:row>3</xdr:row>
          <xdr:rowOff>88900</xdr:rowOff>
        </xdr:to>
        <xdr:sp macro="" textlink="">
          <xdr:nvSpPr>
            <xdr:cNvPr id="70667" name="pdfbutton" hidden="1">
              <a:extLst>
                <a:ext uri="{63B3BB69-23CF-44E3-9099-C40C66FF867C}">
                  <a14:compatExt spid="_x0000_s70667"/>
                </a:ext>
                <a:ext uri="{FF2B5EF4-FFF2-40B4-BE49-F238E27FC236}">
                  <a16:creationId xmlns:a16="http://schemas.microsoft.com/office/drawing/2014/main" id="{00000000-0008-0000-5B00-00000B1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368300</xdr:colOff>
          <xdr:row>1</xdr:row>
          <xdr:rowOff>88900</xdr:rowOff>
        </xdr:from>
        <xdr:to>
          <xdr:col>14</xdr:col>
          <xdr:colOff>469900</xdr:colOff>
          <xdr:row>3</xdr:row>
          <xdr:rowOff>139700</xdr:rowOff>
        </xdr:to>
        <xdr:sp macro="" textlink="">
          <xdr:nvSpPr>
            <xdr:cNvPr id="71702" name="basic2button" hidden="1">
              <a:extLst>
                <a:ext uri="{63B3BB69-23CF-44E3-9099-C40C66FF867C}">
                  <a14:compatExt spid="_x0000_s71702"/>
                </a:ext>
                <a:ext uri="{FF2B5EF4-FFF2-40B4-BE49-F238E27FC236}">
                  <a16:creationId xmlns:a16="http://schemas.microsoft.com/office/drawing/2014/main" id="{00000000-0008-0000-5C00-000016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368300</xdr:colOff>
          <xdr:row>3</xdr:row>
          <xdr:rowOff>152400</xdr:rowOff>
        </xdr:from>
        <xdr:to>
          <xdr:col>14</xdr:col>
          <xdr:colOff>469900</xdr:colOff>
          <xdr:row>5</xdr:row>
          <xdr:rowOff>127000</xdr:rowOff>
        </xdr:to>
        <xdr:sp macro="" textlink="">
          <xdr:nvSpPr>
            <xdr:cNvPr id="71703" name="basic2delbutton" hidden="1">
              <a:extLst>
                <a:ext uri="{63B3BB69-23CF-44E3-9099-C40C66FF867C}">
                  <a14:compatExt spid="_x0000_s71703"/>
                </a:ext>
                <a:ext uri="{FF2B5EF4-FFF2-40B4-BE49-F238E27FC236}">
                  <a16:creationId xmlns:a16="http://schemas.microsoft.com/office/drawing/2014/main" id="{00000000-0008-0000-5C00-000017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615950</xdr:colOff>
          <xdr:row>1</xdr:row>
          <xdr:rowOff>63500</xdr:rowOff>
        </xdr:from>
        <xdr:to>
          <xdr:col>15</xdr:col>
          <xdr:colOff>882650</xdr:colOff>
          <xdr:row>3</xdr:row>
          <xdr:rowOff>222250</xdr:rowOff>
        </xdr:to>
        <xdr:sp macro="" textlink="">
          <xdr:nvSpPr>
            <xdr:cNvPr id="71704" name="pdfbutton" hidden="1">
              <a:extLst>
                <a:ext uri="{63B3BB69-23CF-44E3-9099-C40C66FF867C}">
                  <a14:compatExt spid="_x0000_s71704"/>
                </a:ext>
                <a:ext uri="{FF2B5EF4-FFF2-40B4-BE49-F238E27FC236}">
                  <a16:creationId xmlns:a16="http://schemas.microsoft.com/office/drawing/2014/main" id="{00000000-0008-0000-5C00-000018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355600</xdr:colOff>
          <xdr:row>1</xdr:row>
          <xdr:rowOff>0</xdr:rowOff>
        </xdr:from>
        <xdr:to>
          <xdr:col>14</xdr:col>
          <xdr:colOff>463550</xdr:colOff>
          <xdr:row>3</xdr:row>
          <xdr:rowOff>44450</xdr:rowOff>
        </xdr:to>
        <xdr:sp macro="" textlink="">
          <xdr:nvSpPr>
            <xdr:cNvPr id="102421" name="basic2button" hidden="1">
              <a:extLst>
                <a:ext uri="{63B3BB69-23CF-44E3-9099-C40C66FF867C}">
                  <a14:compatExt spid="_x0000_s102421"/>
                </a:ext>
                <a:ext uri="{FF2B5EF4-FFF2-40B4-BE49-F238E27FC236}">
                  <a16:creationId xmlns:a16="http://schemas.microsoft.com/office/drawing/2014/main" id="{00000000-0008-0000-5D00-0000159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355600</xdr:colOff>
          <xdr:row>3</xdr:row>
          <xdr:rowOff>63500</xdr:rowOff>
        </xdr:from>
        <xdr:to>
          <xdr:col>14</xdr:col>
          <xdr:colOff>463550</xdr:colOff>
          <xdr:row>5</xdr:row>
          <xdr:rowOff>38100</xdr:rowOff>
        </xdr:to>
        <xdr:sp macro="" textlink="">
          <xdr:nvSpPr>
            <xdr:cNvPr id="102422" name="basic2delbutton" hidden="1">
              <a:extLst>
                <a:ext uri="{63B3BB69-23CF-44E3-9099-C40C66FF867C}">
                  <a14:compatExt spid="_x0000_s102422"/>
                </a:ext>
                <a:ext uri="{FF2B5EF4-FFF2-40B4-BE49-F238E27FC236}">
                  <a16:creationId xmlns:a16="http://schemas.microsoft.com/office/drawing/2014/main" id="{00000000-0008-0000-5D00-0000169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609600</xdr:colOff>
          <xdr:row>0</xdr:row>
          <xdr:rowOff>139700</xdr:rowOff>
        </xdr:from>
        <xdr:to>
          <xdr:col>16</xdr:col>
          <xdr:colOff>254000</xdr:colOff>
          <xdr:row>3</xdr:row>
          <xdr:rowOff>127000</xdr:rowOff>
        </xdr:to>
        <xdr:sp macro="" textlink="">
          <xdr:nvSpPr>
            <xdr:cNvPr id="102423" name="pdfbutton" hidden="1">
              <a:extLst>
                <a:ext uri="{63B3BB69-23CF-44E3-9099-C40C66FF867C}">
                  <a14:compatExt spid="_x0000_s102423"/>
                </a:ext>
                <a:ext uri="{FF2B5EF4-FFF2-40B4-BE49-F238E27FC236}">
                  <a16:creationId xmlns:a16="http://schemas.microsoft.com/office/drawing/2014/main" id="{00000000-0008-0000-5D00-0000179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127000</xdr:colOff>
          <xdr:row>3</xdr:row>
          <xdr:rowOff>0</xdr:rowOff>
        </xdr:from>
        <xdr:to>
          <xdr:col>14</xdr:col>
          <xdr:colOff>1016000</xdr:colOff>
          <xdr:row>5</xdr:row>
          <xdr:rowOff>127000</xdr:rowOff>
        </xdr:to>
        <xdr:sp macro="" textlink="">
          <xdr:nvSpPr>
            <xdr:cNvPr id="73742" name="basic2button" hidden="1">
              <a:extLst>
                <a:ext uri="{63B3BB69-23CF-44E3-9099-C40C66FF867C}">
                  <a14:compatExt spid="_x0000_s73742"/>
                </a:ext>
                <a:ext uri="{FF2B5EF4-FFF2-40B4-BE49-F238E27FC236}">
                  <a16:creationId xmlns:a16="http://schemas.microsoft.com/office/drawing/2014/main" id="{00000000-0008-0000-5E00-00000E2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127000</xdr:colOff>
          <xdr:row>5</xdr:row>
          <xdr:rowOff>146050</xdr:rowOff>
        </xdr:from>
        <xdr:to>
          <xdr:col>14</xdr:col>
          <xdr:colOff>1016000</xdr:colOff>
          <xdr:row>7</xdr:row>
          <xdr:rowOff>381000</xdr:rowOff>
        </xdr:to>
        <xdr:sp macro="" textlink="">
          <xdr:nvSpPr>
            <xdr:cNvPr id="73743" name="basic2delbutton" hidden="1">
              <a:extLst>
                <a:ext uri="{63B3BB69-23CF-44E3-9099-C40C66FF867C}">
                  <a14:compatExt spid="_x0000_s73743"/>
                </a:ext>
                <a:ext uri="{FF2B5EF4-FFF2-40B4-BE49-F238E27FC236}">
                  <a16:creationId xmlns:a16="http://schemas.microsoft.com/office/drawing/2014/main" id="{00000000-0008-0000-5E00-00000F2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1104900</xdr:colOff>
          <xdr:row>4</xdr:row>
          <xdr:rowOff>0</xdr:rowOff>
        </xdr:from>
        <xdr:to>
          <xdr:col>15</xdr:col>
          <xdr:colOff>577850</xdr:colOff>
          <xdr:row>7</xdr:row>
          <xdr:rowOff>76200</xdr:rowOff>
        </xdr:to>
        <xdr:sp macro="" textlink="">
          <xdr:nvSpPr>
            <xdr:cNvPr id="73744" name="pdfbutton" hidden="1">
              <a:extLst>
                <a:ext uri="{63B3BB69-23CF-44E3-9099-C40C66FF867C}">
                  <a14:compatExt spid="_x0000_s73744"/>
                </a:ext>
                <a:ext uri="{FF2B5EF4-FFF2-40B4-BE49-F238E27FC236}">
                  <a16:creationId xmlns:a16="http://schemas.microsoft.com/office/drawing/2014/main" id="{00000000-0008-0000-5E00-0000102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76200</xdr:colOff>
          <xdr:row>2</xdr:row>
          <xdr:rowOff>44450</xdr:rowOff>
        </xdr:from>
        <xdr:to>
          <xdr:col>20</xdr:col>
          <xdr:colOff>342900</xdr:colOff>
          <xdr:row>4</xdr:row>
          <xdr:rowOff>88900</xdr:rowOff>
        </xdr:to>
        <xdr:sp macro="" textlink="">
          <xdr:nvSpPr>
            <xdr:cNvPr id="75783" name="basic2button" hidden="1">
              <a:extLst>
                <a:ext uri="{63B3BB69-23CF-44E3-9099-C40C66FF867C}">
                  <a14:compatExt spid="_x0000_s75783"/>
                </a:ext>
                <a:ext uri="{FF2B5EF4-FFF2-40B4-BE49-F238E27FC236}">
                  <a16:creationId xmlns:a16="http://schemas.microsoft.com/office/drawing/2014/main" id="{00000000-0008-0000-5F00-000007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4</xdr:row>
          <xdr:rowOff>107950</xdr:rowOff>
        </xdr:from>
        <xdr:to>
          <xdr:col>20</xdr:col>
          <xdr:colOff>342900</xdr:colOff>
          <xdr:row>8</xdr:row>
          <xdr:rowOff>6350</xdr:rowOff>
        </xdr:to>
        <xdr:sp macro="" textlink="">
          <xdr:nvSpPr>
            <xdr:cNvPr id="75784" name="basic2delbutton" hidden="1">
              <a:extLst>
                <a:ext uri="{63B3BB69-23CF-44E3-9099-C40C66FF867C}">
                  <a14:compatExt spid="_x0000_s75784"/>
                </a:ext>
                <a:ext uri="{FF2B5EF4-FFF2-40B4-BE49-F238E27FC236}">
                  <a16:creationId xmlns:a16="http://schemas.microsoft.com/office/drawing/2014/main" id="{00000000-0008-0000-5F00-000008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425450</xdr:colOff>
          <xdr:row>3</xdr:row>
          <xdr:rowOff>82550</xdr:rowOff>
        </xdr:from>
        <xdr:to>
          <xdr:col>22</xdr:col>
          <xdr:colOff>69850</xdr:colOff>
          <xdr:row>6</xdr:row>
          <xdr:rowOff>38100</xdr:rowOff>
        </xdr:to>
        <xdr:sp macro="" textlink="">
          <xdr:nvSpPr>
            <xdr:cNvPr id="75785" name="pdfbutton" hidden="1">
              <a:extLst>
                <a:ext uri="{63B3BB69-23CF-44E3-9099-C40C66FF867C}">
                  <a14:compatExt spid="_x0000_s75785"/>
                </a:ext>
                <a:ext uri="{FF2B5EF4-FFF2-40B4-BE49-F238E27FC236}">
                  <a16:creationId xmlns:a16="http://schemas.microsoft.com/office/drawing/2014/main" id="{00000000-0008-0000-5F00-000009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158750</xdr:colOff>
          <xdr:row>0</xdr:row>
          <xdr:rowOff>260350</xdr:rowOff>
        </xdr:from>
        <xdr:to>
          <xdr:col>16</xdr:col>
          <xdr:colOff>1054100</xdr:colOff>
          <xdr:row>4</xdr:row>
          <xdr:rowOff>44450</xdr:rowOff>
        </xdr:to>
        <xdr:sp macro="" textlink="">
          <xdr:nvSpPr>
            <xdr:cNvPr id="100367" name="basic2button" hidden="1">
              <a:extLst>
                <a:ext uri="{63B3BB69-23CF-44E3-9099-C40C66FF867C}">
                  <a14:compatExt spid="_x0000_s100367"/>
                </a:ext>
                <a:ext uri="{FF2B5EF4-FFF2-40B4-BE49-F238E27FC236}">
                  <a16:creationId xmlns:a16="http://schemas.microsoft.com/office/drawing/2014/main" id="{00000000-0008-0000-6000-00000F8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158750</xdr:colOff>
          <xdr:row>4</xdr:row>
          <xdr:rowOff>69850</xdr:rowOff>
        </xdr:from>
        <xdr:to>
          <xdr:col>16</xdr:col>
          <xdr:colOff>1054100</xdr:colOff>
          <xdr:row>7</xdr:row>
          <xdr:rowOff>203200</xdr:rowOff>
        </xdr:to>
        <xdr:sp macro="" textlink="">
          <xdr:nvSpPr>
            <xdr:cNvPr id="100368" name="basic2delbutton" hidden="1">
              <a:extLst>
                <a:ext uri="{63B3BB69-23CF-44E3-9099-C40C66FF867C}">
                  <a14:compatExt spid="_x0000_s100368"/>
                </a:ext>
                <a:ext uri="{FF2B5EF4-FFF2-40B4-BE49-F238E27FC236}">
                  <a16:creationId xmlns:a16="http://schemas.microsoft.com/office/drawing/2014/main" id="{00000000-0008-0000-6000-0000108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1136650</xdr:colOff>
          <xdr:row>2</xdr:row>
          <xdr:rowOff>44450</xdr:rowOff>
        </xdr:from>
        <xdr:to>
          <xdr:col>17</xdr:col>
          <xdr:colOff>863600</xdr:colOff>
          <xdr:row>6</xdr:row>
          <xdr:rowOff>69850</xdr:rowOff>
        </xdr:to>
        <xdr:sp macro="" textlink="">
          <xdr:nvSpPr>
            <xdr:cNvPr id="100369" name="pdfbutton" hidden="1">
              <a:extLst>
                <a:ext uri="{63B3BB69-23CF-44E3-9099-C40C66FF867C}">
                  <a14:compatExt spid="_x0000_s100369"/>
                </a:ext>
                <a:ext uri="{FF2B5EF4-FFF2-40B4-BE49-F238E27FC236}">
                  <a16:creationId xmlns:a16="http://schemas.microsoft.com/office/drawing/2014/main" id="{00000000-0008-0000-6000-0000118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69850</xdr:colOff>
          <xdr:row>0</xdr:row>
          <xdr:rowOff>450850</xdr:rowOff>
        </xdr:from>
        <xdr:to>
          <xdr:col>15</xdr:col>
          <xdr:colOff>336550</xdr:colOff>
          <xdr:row>1</xdr:row>
          <xdr:rowOff>215900</xdr:rowOff>
        </xdr:to>
        <xdr:sp macro="" textlink="">
          <xdr:nvSpPr>
            <xdr:cNvPr id="79888" name="basic2button" hidden="1">
              <a:extLst>
                <a:ext uri="{63B3BB69-23CF-44E3-9099-C40C66FF867C}">
                  <a14:compatExt spid="_x0000_s79888"/>
                </a:ext>
                <a:ext uri="{FF2B5EF4-FFF2-40B4-BE49-F238E27FC236}">
                  <a16:creationId xmlns:a16="http://schemas.microsoft.com/office/drawing/2014/main" id="{00000000-0008-0000-6100-0000103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69850</xdr:colOff>
          <xdr:row>2</xdr:row>
          <xdr:rowOff>0</xdr:rowOff>
        </xdr:from>
        <xdr:to>
          <xdr:col>15</xdr:col>
          <xdr:colOff>336550</xdr:colOff>
          <xdr:row>3</xdr:row>
          <xdr:rowOff>298450</xdr:rowOff>
        </xdr:to>
        <xdr:sp macro="" textlink="">
          <xdr:nvSpPr>
            <xdr:cNvPr id="79889" name="basic2delbutton" hidden="1">
              <a:extLst>
                <a:ext uri="{63B3BB69-23CF-44E3-9099-C40C66FF867C}">
                  <a14:compatExt spid="_x0000_s79889"/>
                </a:ext>
                <a:ext uri="{FF2B5EF4-FFF2-40B4-BE49-F238E27FC236}">
                  <a16:creationId xmlns:a16="http://schemas.microsoft.com/office/drawing/2014/main" id="{00000000-0008-0000-6100-0000113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419100</xdr:colOff>
          <xdr:row>0</xdr:row>
          <xdr:rowOff>609600</xdr:rowOff>
        </xdr:from>
        <xdr:to>
          <xdr:col>16</xdr:col>
          <xdr:colOff>685800</xdr:colOff>
          <xdr:row>2</xdr:row>
          <xdr:rowOff>260350</xdr:rowOff>
        </xdr:to>
        <xdr:sp macro="" textlink="">
          <xdr:nvSpPr>
            <xdr:cNvPr id="79890" name="pdfbutton" hidden="1">
              <a:extLst>
                <a:ext uri="{63B3BB69-23CF-44E3-9099-C40C66FF867C}">
                  <a14:compatExt spid="_x0000_s79890"/>
                </a:ext>
                <a:ext uri="{FF2B5EF4-FFF2-40B4-BE49-F238E27FC236}">
                  <a16:creationId xmlns:a16="http://schemas.microsoft.com/office/drawing/2014/main" id="{00000000-0008-0000-6100-0000123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622300</xdr:colOff>
          <xdr:row>0</xdr:row>
          <xdr:rowOff>152400</xdr:rowOff>
        </xdr:from>
        <xdr:to>
          <xdr:col>12</xdr:col>
          <xdr:colOff>1517650</xdr:colOff>
          <xdr:row>1</xdr:row>
          <xdr:rowOff>44450</xdr:rowOff>
        </xdr:to>
        <xdr:sp macro="" textlink="">
          <xdr:nvSpPr>
            <xdr:cNvPr id="84005" name="basic2button" hidden="1">
              <a:extLst>
                <a:ext uri="{63B3BB69-23CF-44E3-9099-C40C66FF867C}">
                  <a14:compatExt spid="_x0000_s84005"/>
                </a:ext>
                <a:ext uri="{FF2B5EF4-FFF2-40B4-BE49-F238E27FC236}">
                  <a16:creationId xmlns:a16="http://schemas.microsoft.com/office/drawing/2014/main" id="{00000000-0008-0000-6200-000025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622300</xdr:colOff>
          <xdr:row>1</xdr:row>
          <xdr:rowOff>69850</xdr:rowOff>
        </xdr:from>
        <xdr:to>
          <xdr:col>12</xdr:col>
          <xdr:colOff>1517650</xdr:colOff>
          <xdr:row>4</xdr:row>
          <xdr:rowOff>44450</xdr:rowOff>
        </xdr:to>
        <xdr:sp macro="" textlink="">
          <xdr:nvSpPr>
            <xdr:cNvPr id="84006" name="basic2delbutton" hidden="1">
              <a:extLst>
                <a:ext uri="{63B3BB69-23CF-44E3-9099-C40C66FF867C}">
                  <a14:compatExt spid="_x0000_s84006"/>
                </a:ext>
                <a:ext uri="{FF2B5EF4-FFF2-40B4-BE49-F238E27FC236}">
                  <a16:creationId xmlns:a16="http://schemas.microsoft.com/office/drawing/2014/main" id="{00000000-0008-0000-6200-000026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1606550</xdr:colOff>
          <xdr:row>0</xdr:row>
          <xdr:rowOff>311150</xdr:rowOff>
        </xdr:from>
        <xdr:to>
          <xdr:col>14</xdr:col>
          <xdr:colOff>158750</xdr:colOff>
          <xdr:row>2</xdr:row>
          <xdr:rowOff>69850</xdr:rowOff>
        </xdr:to>
        <xdr:sp macro="" textlink="">
          <xdr:nvSpPr>
            <xdr:cNvPr id="84007" name="pdfbutton" hidden="1">
              <a:extLst>
                <a:ext uri="{63B3BB69-23CF-44E3-9099-C40C66FF867C}">
                  <a14:compatExt spid="_x0000_s84007"/>
                </a:ext>
                <a:ext uri="{FF2B5EF4-FFF2-40B4-BE49-F238E27FC236}">
                  <a16:creationId xmlns:a16="http://schemas.microsoft.com/office/drawing/2014/main" id="{00000000-0008-0000-6200-000027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76200</xdr:colOff>
          <xdr:row>0</xdr:row>
          <xdr:rowOff>184150</xdr:rowOff>
        </xdr:from>
        <xdr:to>
          <xdr:col>18</xdr:col>
          <xdr:colOff>965200</xdr:colOff>
          <xdr:row>2</xdr:row>
          <xdr:rowOff>0</xdr:rowOff>
        </xdr:to>
        <xdr:sp macro="" textlink="">
          <xdr:nvSpPr>
            <xdr:cNvPr id="87064" name="basic2button" hidden="1">
              <a:extLst>
                <a:ext uri="{63B3BB69-23CF-44E3-9099-C40C66FF867C}">
                  <a14:compatExt spid="_x0000_s87064"/>
                </a:ext>
                <a:ext uri="{FF2B5EF4-FFF2-40B4-BE49-F238E27FC236}">
                  <a16:creationId xmlns:a16="http://schemas.microsoft.com/office/drawing/2014/main" id="{00000000-0008-0000-6300-0000185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76200</xdr:colOff>
          <xdr:row>2</xdr:row>
          <xdr:rowOff>25400</xdr:rowOff>
        </xdr:from>
        <xdr:to>
          <xdr:col>18</xdr:col>
          <xdr:colOff>965200</xdr:colOff>
          <xdr:row>6</xdr:row>
          <xdr:rowOff>101600</xdr:rowOff>
        </xdr:to>
        <xdr:sp macro="" textlink="">
          <xdr:nvSpPr>
            <xdr:cNvPr id="87065" name="basic2delbutton" hidden="1">
              <a:extLst>
                <a:ext uri="{63B3BB69-23CF-44E3-9099-C40C66FF867C}">
                  <a14:compatExt spid="_x0000_s87065"/>
                </a:ext>
                <a:ext uri="{FF2B5EF4-FFF2-40B4-BE49-F238E27FC236}">
                  <a16:creationId xmlns:a16="http://schemas.microsoft.com/office/drawing/2014/main" id="{00000000-0008-0000-6300-0000195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1003300</xdr:colOff>
          <xdr:row>0</xdr:row>
          <xdr:rowOff>342900</xdr:rowOff>
        </xdr:from>
        <xdr:to>
          <xdr:col>20</xdr:col>
          <xdr:colOff>450850</xdr:colOff>
          <xdr:row>4</xdr:row>
          <xdr:rowOff>120650</xdr:rowOff>
        </xdr:to>
        <xdr:sp macro="" textlink="">
          <xdr:nvSpPr>
            <xdr:cNvPr id="87066" name="pdfbutton" hidden="1">
              <a:extLst>
                <a:ext uri="{63B3BB69-23CF-44E3-9099-C40C66FF867C}">
                  <a14:compatExt spid="_x0000_s87066"/>
                </a:ext>
                <a:ext uri="{FF2B5EF4-FFF2-40B4-BE49-F238E27FC236}">
                  <a16:creationId xmlns:a16="http://schemas.microsoft.com/office/drawing/2014/main" id="{00000000-0008-0000-6300-00001A5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88900</xdr:colOff>
          <xdr:row>0</xdr:row>
          <xdr:rowOff>101600</xdr:rowOff>
        </xdr:from>
        <xdr:to>
          <xdr:col>19</xdr:col>
          <xdr:colOff>977900</xdr:colOff>
          <xdr:row>1</xdr:row>
          <xdr:rowOff>158750</xdr:rowOff>
        </xdr:to>
        <xdr:sp macro="" textlink="">
          <xdr:nvSpPr>
            <xdr:cNvPr id="90130" name="basic2button" hidden="1">
              <a:extLst>
                <a:ext uri="{63B3BB69-23CF-44E3-9099-C40C66FF867C}">
                  <a14:compatExt spid="_x0000_s90130"/>
                </a:ext>
                <a:ext uri="{FF2B5EF4-FFF2-40B4-BE49-F238E27FC236}">
                  <a16:creationId xmlns:a16="http://schemas.microsoft.com/office/drawing/2014/main" id="{00000000-0008-0000-6400-0000126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88900</xdr:colOff>
          <xdr:row>1</xdr:row>
          <xdr:rowOff>184150</xdr:rowOff>
        </xdr:from>
        <xdr:to>
          <xdr:col>19</xdr:col>
          <xdr:colOff>977900</xdr:colOff>
          <xdr:row>5</xdr:row>
          <xdr:rowOff>0</xdr:rowOff>
        </xdr:to>
        <xdr:sp macro="" textlink="">
          <xdr:nvSpPr>
            <xdr:cNvPr id="90131" name="basic2delbutton" hidden="1">
              <a:extLst>
                <a:ext uri="{63B3BB69-23CF-44E3-9099-C40C66FF867C}">
                  <a14:compatExt spid="_x0000_s90131"/>
                </a:ext>
                <a:ext uri="{FF2B5EF4-FFF2-40B4-BE49-F238E27FC236}">
                  <a16:creationId xmlns:a16="http://schemas.microsoft.com/office/drawing/2014/main" id="{00000000-0008-0000-6400-0000136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1022350</xdr:colOff>
          <xdr:row>0</xdr:row>
          <xdr:rowOff>260350</xdr:rowOff>
        </xdr:from>
        <xdr:to>
          <xdr:col>20</xdr:col>
          <xdr:colOff>596900</xdr:colOff>
          <xdr:row>3</xdr:row>
          <xdr:rowOff>25400</xdr:rowOff>
        </xdr:to>
        <xdr:sp macro="" textlink="">
          <xdr:nvSpPr>
            <xdr:cNvPr id="90132" name="pdfbutton" hidden="1">
              <a:extLst>
                <a:ext uri="{63B3BB69-23CF-44E3-9099-C40C66FF867C}">
                  <a14:compatExt spid="_x0000_s90132"/>
                </a:ext>
                <a:ext uri="{FF2B5EF4-FFF2-40B4-BE49-F238E27FC236}">
                  <a16:creationId xmlns:a16="http://schemas.microsoft.com/office/drawing/2014/main" id="{00000000-0008-0000-6400-0000146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101600</xdr:colOff>
          <xdr:row>1</xdr:row>
          <xdr:rowOff>25400</xdr:rowOff>
        </xdr:from>
        <xdr:to>
          <xdr:col>11</xdr:col>
          <xdr:colOff>990600</xdr:colOff>
          <xdr:row>3</xdr:row>
          <xdr:rowOff>190500</xdr:rowOff>
        </xdr:to>
        <xdr:sp macro="" textlink="">
          <xdr:nvSpPr>
            <xdr:cNvPr id="82967" name="basic2button" hidden="1">
              <a:extLst>
                <a:ext uri="{63B3BB69-23CF-44E3-9099-C40C66FF867C}">
                  <a14:compatExt spid="_x0000_s82967"/>
                </a:ext>
                <a:ext uri="{FF2B5EF4-FFF2-40B4-BE49-F238E27FC236}">
                  <a16:creationId xmlns:a16="http://schemas.microsoft.com/office/drawing/2014/main" id="{00000000-0008-0000-6500-000017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3</xdr:row>
          <xdr:rowOff>215900</xdr:rowOff>
        </xdr:from>
        <xdr:to>
          <xdr:col>11</xdr:col>
          <xdr:colOff>990600</xdr:colOff>
          <xdr:row>7</xdr:row>
          <xdr:rowOff>69850</xdr:rowOff>
        </xdr:to>
        <xdr:sp macro="" textlink="">
          <xdr:nvSpPr>
            <xdr:cNvPr id="82968" name="basic2delbutton" hidden="1">
              <a:extLst>
                <a:ext uri="{63B3BB69-23CF-44E3-9099-C40C66FF867C}">
                  <a14:compatExt spid="_x0000_s82968"/>
                </a:ext>
                <a:ext uri="{FF2B5EF4-FFF2-40B4-BE49-F238E27FC236}">
                  <a16:creationId xmlns:a16="http://schemas.microsoft.com/office/drawing/2014/main" id="{00000000-0008-0000-6500-000018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1073150</xdr:colOff>
          <xdr:row>2</xdr:row>
          <xdr:rowOff>76200</xdr:rowOff>
        </xdr:from>
        <xdr:to>
          <xdr:col>12</xdr:col>
          <xdr:colOff>317500</xdr:colOff>
          <xdr:row>5</xdr:row>
          <xdr:rowOff>88900</xdr:rowOff>
        </xdr:to>
        <xdr:sp macro="" textlink="">
          <xdr:nvSpPr>
            <xdr:cNvPr id="82969" name="pdfbutton" hidden="1">
              <a:extLst>
                <a:ext uri="{63B3BB69-23CF-44E3-9099-C40C66FF867C}">
                  <a14:compatExt spid="_x0000_s82969"/>
                </a:ext>
                <a:ext uri="{FF2B5EF4-FFF2-40B4-BE49-F238E27FC236}">
                  <a16:creationId xmlns:a16="http://schemas.microsoft.com/office/drawing/2014/main" id="{00000000-0008-0000-6500-0000194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184150</xdr:colOff>
          <xdr:row>0</xdr:row>
          <xdr:rowOff>158750</xdr:rowOff>
        </xdr:from>
        <xdr:to>
          <xdr:col>9</xdr:col>
          <xdr:colOff>1073150</xdr:colOff>
          <xdr:row>1</xdr:row>
          <xdr:rowOff>139700</xdr:rowOff>
        </xdr:to>
        <xdr:sp macro="" textlink="">
          <xdr:nvSpPr>
            <xdr:cNvPr id="92173" name="basic2button" hidden="1">
              <a:extLst>
                <a:ext uri="{63B3BB69-23CF-44E3-9099-C40C66FF867C}">
                  <a14:compatExt spid="_x0000_s92173"/>
                </a:ext>
                <a:ext uri="{FF2B5EF4-FFF2-40B4-BE49-F238E27FC236}">
                  <a16:creationId xmlns:a16="http://schemas.microsoft.com/office/drawing/2014/main" id="{00000000-0008-0000-6600-00000D6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Return to</a:t>
              </a:r>
            </a:p>
            <a:p>
              <a:pPr algn="ctr" rtl="0">
                <a:defRPr sz="1000"/>
              </a:pPr>
              <a:r>
                <a:rPr lang="en-GB" sz="1000" b="0" i="0" u="none" strike="noStrike" baseline="0">
                  <a:solidFill>
                    <a:srgbClr val="000000"/>
                  </a:solidFill>
                  <a:latin typeface="Arial"/>
                  <a:cs typeface="Arial"/>
                </a:rPr>
                <a:t>Calcurate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184150</xdr:colOff>
          <xdr:row>1</xdr:row>
          <xdr:rowOff>158750</xdr:rowOff>
        </xdr:from>
        <xdr:to>
          <xdr:col>9</xdr:col>
          <xdr:colOff>1073150</xdr:colOff>
          <xdr:row>4</xdr:row>
          <xdr:rowOff>69850</xdr:rowOff>
        </xdr:to>
        <xdr:sp macro="" textlink="">
          <xdr:nvSpPr>
            <xdr:cNvPr id="92174" name="basic2delbutton" hidden="1">
              <a:extLst>
                <a:ext uri="{63B3BB69-23CF-44E3-9099-C40C66FF867C}">
                  <a14:compatExt spid="_x0000_s92174"/>
                </a:ext>
                <a:ext uri="{FF2B5EF4-FFF2-40B4-BE49-F238E27FC236}">
                  <a16:creationId xmlns:a16="http://schemas.microsoft.com/office/drawing/2014/main" id="{00000000-0008-0000-6600-00000E6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Click here to delete these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1168400</xdr:colOff>
          <xdr:row>0</xdr:row>
          <xdr:rowOff>317500</xdr:rowOff>
        </xdr:from>
        <xdr:to>
          <xdr:col>9</xdr:col>
          <xdr:colOff>2057400</xdr:colOff>
          <xdr:row>3</xdr:row>
          <xdr:rowOff>44450</xdr:rowOff>
        </xdr:to>
        <xdr:sp macro="" textlink="">
          <xdr:nvSpPr>
            <xdr:cNvPr id="92175" name="pdfbutton" hidden="1">
              <a:extLst>
                <a:ext uri="{63B3BB69-23CF-44E3-9099-C40C66FF867C}">
                  <a14:compatExt spid="_x0000_s92175"/>
                </a:ext>
                <a:ext uri="{FF2B5EF4-FFF2-40B4-BE49-F238E27FC236}">
                  <a16:creationId xmlns:a16="http://schemas.microsoft.com/office/drawing/2014/main" id="{00000000-0008-0000-6600-00000F6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copy as pdf</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vmlDrawing" Target="../drawings/vmlDrawing1.v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drawing" Target="../drawings/drawing1.xml"/><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image" Target="../media/image1.png"/><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3.xml"/><Relationship Id="rId13" Type="http://schemas.openxmlformats.org/officeDocument/2006/relationships/ctrlProp" Target="../ctrlProps/ctrlProp38.xml"/><Relationship Id="rId18" Type="http://schemas.openxmlformats.org/officeDocument/2006/relationships/ctrlProp" Target="../ctrlProps/ctrlProp43.xml"/><Relationship Id="rId3" Type="http://schemas.openxmlformats.org/officeDocument/2006/relationships/vmlDrawing" Target="../drawings/vmlDrawing2.vml"/><Relationship Id="rId7" Type="http://schemas.openxmlformats.org/officeDocument/2006/relationships/ctrlProp" Target="../ctrlProps/ctrlProp32.xml"/><Relationship Id="rId12" Type="http://schemas.openxmlformats.org/officeDocument/2006/relationships/ctrlProp" Target="../ctrlProps/ctrlProp37.xml"/><Relationship Id="rId17" Type="http://schemas.openxmlformats.org/officeDocument/2006/relationships/ctrlProp" Target="../ctrlProps/ctrlProp42.xml"/><Relationship Id="rId2" Type="http://schemas.openxmlformats.org/officeDocument/2006/relationships/drawing" Target="../drawings/drawing2.xml"/><Relationship Id="rId16" Type="http://schemas.openxmlformats.org/officeDocument/2006/relationships/ctrlProp" Target="../ctrlProps/ctrlProp41.xml"/><Relationship Id="rId1" Type="http://schemas.openxmlformats.org/officeDocument/2006/relationships/printerSettings" Target="../printerSettings/printerSettings2.bin"/><Relationship Id="rId6" Type="http://schemas.openxmlformats.org/officeDocument/2006/relationships/ctrlProp" Target="../ctrlProps/ctrlProp31.xml"/><Relationship Id="rId11" Type="http://schemas.openxmlformats.org/officeDocument/2006/relationships/ctrlProp" Target="../ctrlProps/ctrlProp36.xml"/><Relationship Id="rId5" Type="http://schemas.openxmlformats.org/officeDocument/2006/relationships/ctrlProp" Target="../ctrlProps/ctrlProp30.xml"/><Relationship Id="rId15" Type="http://schemas.openxmlformats.org/officeDocument/2006/relationships/ctrlProp" Target="../ctrlProps/ctrlProp40.xml"/><Relationship Id="rId10" Type="http://schemas.openxmlformats.org/officeDocument/2006/relationships/ctrlProp" Target="../ctrlProps/ctrlProp35.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4.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50" Type="http://schemas.openxmlformats.org/officeDocument/2006/relationships/ctrlProp" Target="../ctrlProps/ctrlProp90.xml"/><Relationship Id="rId55" Type="http://schemas.openxmlformats.org/officeDocument/2006/relationships/ctrlProp" Target="../ctrlProps/ctrlProp95.xml"/><Relationship Id="rId63" Type="http://schemas.openxmlformats.org/officeDocument/2006/relationships/ctrlProp" Target="../ctrlProps/ctrlProp103.xml"/><Relationship Id="rId7" Type="http://schemas.openxmlformats.org/officeDocument/2006/relationships/ctrlProp" Target="../ctrlProps/ctrlProp47.xml"/><Relationship Id="rId2" Type="http://schemas.openxmlformats.org/officeDocument/2006/relationships/drawing" Target="../drawings/drawing4.xml"/><Relationship Id="rId16" Type="http://schemas.openxmlformats.org/officeDocument/2006/relationships/ctrlProp" Target="../ctrlProps/ctrlProp56.xml"/><Relationship Id="rId20" Type="http://schemas.openxmlformats.org/officeDocument/2006/relationships/ctrlProp" Target="../ctrlProps/ctrlProp60.xml"/><Relationship Id="rId29" Type="http://schemas.openxmlformats.org/officeDocument/2006/relationships/ctrlProp" Target="../ctrlProps/ctrlProp69.xml"/><Relationship Id="rId41" Type="http://schemas.openxmlformats.org/officeDocument/2006/relationships/ctrlProp" Target="../ctrlProps/ctrlProp81.xml"/><Relationship Id="rId54" Type="http://schemas.openxmlformats.org/officeDocument/2006/relationships/ctrlProp" Target="../ctrlProps/ctrlProp94.xml"/><Relationship Id="rId62" Type="http://schemas.openxmlformats.org/officeDocument/2006/relationships/ctrlProp" Target="../ctrlProps/ctrlProp102.xml"/><Relationship Id="rId1" Type="http://schemas.openxmlformats.org/officeDocument/2006/relationships/printerSettings" Target="../printerSettings/printerSettings4.bin"/><Relationship Id="rId6" Type="http://schemas.openxmlformats.org/officeDocument/2006/relationships/ctrlProp" Target="../ctrlProps/ctrlProp46.x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3" Type="http://schemas.openxmlformats.org/officeDocument/2006/relationships/ctrlProp" Target="../ctrlProps/ctrlProp93.xml"/><Relationship Id="rId58" Type="http://schemas.openxmlformats.org/officeDocument/2006/relationships/ctrlProp" Target="../ctrlProps/ctrlProp98.xml"/><Relationship Id="rId5" Type="http://schemas.openxmlformats.org/officeDocument/2006/relationships/ctrlProp" Target="../ctrlProps/ctrlProp45.x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49" Type="http://schemas.openxmlformats.org/officeDocument/2006/relationships/ctrlProp" Target="../ctrlProps/ctrlProp89.xml"/><Relationship Id="rId57" Type="http://schemas.openxmlformats.org/officeDocument/2006/relationships/ctrlProp" Target="../ctrlProps/ctrlProp97.xml"/><Relationship Id="rId61" Type="http://schemas.openxmlformats.org/officeDocument/2006/relationships/ctrlProp" Target="../ctrlProps/ctrlProp101.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52" Type="http://schemas.openxmlformats.org/officeDocument/2006/relationships/ctrlProp" Target="../ctrlProps/ctrlProp92.xml"/><Relationship Id="rId60" Type="http://schemas.openxmlformats.org/officeDocument/2006/relationships/ctrlProp" Target="../ctrlProps/ctrlProp100.xml"/><Relationship Id="rId4" Type="http://schemas.openxmlformats.org/officeDocument/2006/relationships/image" Target="../media/image10.png"/><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48" Type="http://schemas.openxmlformats.org/officeDocument/2006/relationships/ctrlProp" Target="../ctrlProps/ctrlProp88.xml"/><Relationship Id="rId56" Type="http://schemas.openxmlformats.org/officeDocument/2006/relationships/ctrlProp" Target="../ctrlProps/ctrlProp96.xml"/><Relationship Id="rId8" Type="http://schemas.openxmlformats.org/officeDocument/2006/relationships/ctrlProp" Target="../ctrlProps/ctrlProp48.xml"/><Relationship Id="rId51" Type="http://schemas.openxmlformats.org/officeDocument/2006/relationships/ctrlProp" Target="../ctrlProps/ctrlProp91.xml"/><Relationship Id="rId3" Type="http://schemas.openxmlformats.org/officeDocument/2006/relationships/vmlDrawing" Target="../drawings/vmlDrawing4.vml"/><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59" Type="http://schemas.openxmlformats.org/officeDocument/2006/relationships/ctrlProp" Target="../ctrlProps/ctrlProp9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08.xml"/><Relationship Id="rId13" Type="http://schemas.openxmlformats.org/officeDocument/2006/relationships/ctrlProp" Target="../ctrlProps/ctrlProp113.xml"/><Relationship Id="rId18" Type="http://schemas.openxmlformats.org/officeDocument/2006/relationships/ctrlProp" Target="../ctrlProps/ctrlProp118.xml"/><Relationship Id="rId26" Type="http://schemas.openxmlformats.org/officeDocument/2006/relationships/ctrlProp" Target="../ctrlProps/ctrlProp126.xml"/><Relationship Id="rId3" Type="http://schemas.openxmlformats.org/officeDocument/2006/relationships/vmlDrawing" Target="../drawings/vmlDrawing5.vml"/><Relationship Id="rId21" Type="http://schemas.openxmlformats.org/officeDocument/2006/relationships/ctrlProp" Target="../ctrlProps/ctrlProp121.xml"/><Relationship Id="rId7" Type="http://schemas.openxmlformats.org/officeDocument/2006/relationships/ctrlProp" Target="../ctrlProps/ctrlProp107.xml"/><Relationship Id="rId12" Type="http://schemas.openxmlformats.org/officeDocument/2006/relationships/ctrlProp" Target="../ctrlProps/ctrlProp112.xml"/><Relationship Id="rId17" Type="http://schemas.openxmlformats.org/officeDocument/2006/relationships/ctrlProp" Target="../ctrlProps/ctrlProp117.xml"/><Relationship Id="rId25" Type="http://schemas.openxmlformats.org/officeDocument/2006/relationships/ctrlProp" Target="../ctrlProps/ctrlProp125.xml"/><Relationship Id="rId2" Type="http://schemas.openxmlformats.org/officeDocument/2006/relationships/drawing" Target="../drawings/drawing5.xml"/><Relationship Id="rId16" Type="http://schemas.openxmlformats.org/officeDocument/2006/relationships/ctrlProp" Target="../ctrlProps/ctrlProp116.xml"/><Relationship Id="rId20" Type="http://schemas.openxmlformats.org/officeDocument/2006/relationships/ctrlProp" Target="../ctrlProps/ctrlProp120.xml"/><Relationship Id="rId1" Type="http://schemas.openxmlformats.org/officeDocument/2006/relationships/printerSettings" Target="../printerSettings/printerSettings5.bin"/><Relationship Id="rId6" Type="http://schemas.openxmlformats.org/officeDocument/2006/relationships/ctrlProp" Target="../ctrlProps/ctrlProp106.xml"/><Relationship Id="rId11" Type="http://schemas.openxmlformats.org/officeDocument/2006/relationships/ctrlProp" Target="../ctrlProps/ctrlProp111.xml"/><Relationship Id="rId24" Type="http://schemas.openxmlformats.org/officeDocument/2006/relationships/ctrlProp" Target="../ctrlProps/ctrlProp124.xml"/><Relationship Id="rId5" Type="http://schemas.openxmlformats.org/officeDocument/2006/relationships/ctrlProp" Target="../ctrlProps/ctrlProp105.xml"/><Relationship Id="rId15" Type="http://schemas.openxmlformats.org/officeDocument/2006/relationships/ctrlProp" Target="../ctrlProps/ctrlProp115.xml"/><Relationship Id="rId23" Type="http://schemas.openxmlformats.org/officeDocument/2006/relationships/ctrlProp" Target="../ctrlProps/ctrlProp123.xml"/><Relationship Id="rId10" Type="http://schemas.openxmlformats.org/officeDocument/2006/relationships/ctrlProp" Target="../ctrlProps/ctrlProp110.xml"/><Relationship Id="rId19" Type="http://schemas.openxmlformats.org/officeDocument/2006/relationships/ctrlProp" Target="../ctrlProps/ctrlProp119.xml"/><Relationship Id="rId4" Type="http://schemas.openxmlformats.org/officeDocument/2006/relationships/ctrlProp" Target="../ctrlProps/ctrlProp104.xml"/><Relationship Id="rId9" Type="http://schemas.openxmlformats.org/officeDocument/2006/relationships/ctrlProp" Target="../ctrlProps/ctrlProp109.xml"/><Relationship Id="rId14" Type="http://schemas.openxmlformats.org/officeDocument/2006/relationships/ctrlProp" Target="../ctrlProps/ctrlProp114.xml"/><Relationship Id="rId22" Type="http://schemas.openxmlformats.org/officeDocument/2006/relationships/ctrlProp" Target="../ctrlProps/ctrlProp122.xml"/><Relationship Id="rId27" Type="http://schemas.openxmlformats.org/officeDocument/2006/relationships/ctrlProp" Target="../ctrlProps/ctrlProp12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32.xml"/><Relationship Id="rId13" Type="http://schemas.openxmlformats.org/officeDocument/2006/relationships/ctrlProp" Target="../ctrlProps/ctrlProp137.xml"/><Relationship Id="rId18" Type="http://schemas.openxmlformats.org/officeDocument/2006/relationships/ctrlProp" Target="../ctrlProps/ctrlProp142.xml"/><Relationship Id="rId3" Type="http://schemas.openxmlformats.org/officeDocument/2006/relationships/vmlDrawing" Target="../drawings/vmlDrawing6.vml"/><Relationship Id="rId7" Type="http://schemas.openxmlformats.org/officeDocument/2006/relationships/ctrlProp" Target="../ctrlProps/ctrlProp131.xml"/><Relationship Id="rId12" Type="http://schemas.openxmlformats.org/officeDocument/2006/relationships/ctrlProp" Target="../ctrlProps/ctrlProp136.xml"/><Relationship Id="rId17" Type="http://schemas.openxmlformats.org/officeDocument/2006/relationships/ctrlProp" Target="../ctrlProps/ctrlProp141.xml"/><Relationship Id="rId2" Type="http://schemas.openxmlformats.org/officeDocument/2006/relationships/drawing" Target="../drawings/drawing6.xml"/><Relationship Id="rId16" Type="http://schemas.openxmlformats.org/officeDocument/2006/relationships/ctrlProp" Target="../ctrlProps/ctrlProp140.xml"/><Relationship Id="rId1" Type="http://schemas.openxmlformats.org/officeDocument/2006/relationships/printerSettings" Target="../printerSettings/printerSettings6.bin"/><Relationship Id="rId6" Type="http://schemas.openxmlformats.org/officeDocument/2006/relationships/ctrlProp" Target="../ctrlProps/ctrlProp130.xml"/><Relationship Id="rId11" Type="http://schemas.openxmlformats.org/officeDocument/2006/relationships/ctrlProp" Target="../ctrlProps/ctrlProp135.xml"/><Relationship Id="rId5" Type="http://schemas.openxmlformats.org/officeDocument/2006/relationships/ctrlProp" Target="../ctrlProps/ctrlProp129.xml"/><Relationship Id="rId15" Type="http://schemas.openxmlformats.org/officeDocument/2006/relationships/ctrlProp" Target="../ctrlProps/ctrlProp139.xml"/><Relationship Id="rId10" Type="http://schemas.openxmlformats.org/officeDocument/2006/relationships/ctrlProp" Target="../ctrlProps/ctrlProp134.xml"/><Relationship Id="rId4" Type="http://schemas.openxmlformats.org/officeDocument/2006/relationships/ctrlProp" Target="../ctrlProps/ctrlProp128.xml"/><Relationship Id="rId9" Type="http://schemas.openxmlformats.org/officeDocument/2006/relationships/ctrlProp" Target="../ctrlProps/ctrlProp133.xml"/><Relationship Id="rId14" Type="http://schemas.openxmlformats.org/officeDocument/2006/relationships/ctrlProp" Target="../ctrlProps/ctrlProp13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47.xml"/><Relationship Id="rId13" Type="http://schemas.openxmlformats.org/officeDocument/2006/relationships/ctrlProp" Target="../ctrlProps/ctrlProp152.xml"/><Relationship Id="rId18" Type="http://schemas.openxmlformats.org/officeDocument/2006/relationships/ctrlProp" Target="../ctrlProps/ctrlProp157.xml"/><Relationship Id="rId3" Type="http://schemas.openxmlformats.org/officeDocument/2006/relationships/vmlDrawing" Target="../drawings/vmlDrawing7.vml"/><Relationship Id="rId7" Type="http://schemas.openxmlformats.org/officeDocument/2006/relationships/ctrlProp" Target="../ctrlProps/ctrlProp146.xml"/><Relationship Id="rId12" Type="http://schemas.openxmlformats.org/officeDocument/2006/relationships/ctrlProp" Target="../ctrlProps/ctrlProp151.xml"/><Relationship Id="rId17" Type="http://schemas.openxmlformats.org/officeDocument/2006/relationships/ctrlProp" Target="../ctrlProps/ctrlProp156.xml"/><Relationship Id="rId2" Type="http://schemas.openxmlformats.org/officeDocument/2006/relationships/drawing" Target="../drawings/drawing7.xml"/><Relationship Id="rId16" Type="http://schemas.openxmlformats.org/officeDocument/2006/relationships/ctrlProp" Target="../ctrlProps/ctrlProp155.xml"/><Relationship Id="rId20" Type="http://schemas.openxmlformats.org/officeDocument/2006/relationships/ctrlProp" Target="../ctrlProps/ctrlProp159.xml"/><Relationship Id="rId1" Type="http://schemas.openxmlformats.org/officeDocument/2006/relationships/printerSettings" Target="../printerSettings/printerSettings7.bin"/><Relationship Id="rId6" Type="http://schemas.openxmlformats.org/officeDocument/2006/relationships/ctrlProp" Target="../ctrlProps/ctrlProp145.xml"/><Relationship Id="rId11" Type="http://schemas.openxmlformats.org/officeDocument/2006/relationships/ctrlProp" Target="../ctrlProps/ctrlProp150.xml"/><Relationship Id="rId5" Type="http://schemas.openxmlformats.org/officeDocument/2006/relationships/ctrlProp" Target="../ctrlProps/ctrlProp144.xml"/><Relationship Id="rId15" Type="http://schemas.openxmlformats.org/officeDocument/2006/relationships/ctrlProp" Target="../ctrlProps/ctrlProp154.xml"/><Relationship Id="rId10" Type="http://schemas.openxmlformats.org/officeDocument/2006/relationships/ctrlProp" Target="../ctrlProps/ctrlProp149.xml"/><Relationship Id="rId19" Type="http://schemas.openxmlformats.org/officeDocument/2006/relationships/ctrlProp" Target="../ctrlProps/ctrlProp158.xml"/><Relationship Id="rId4" Type="http://schemas.openxmlformats.org/officeDocument/2006/relationships/ctrlProp" Target="../ctrlProps/ctrlProp143.xml"/><Relationship Id="rId9" Type="http://schemas.openxmlformats.org/officeDocument/2006/relationships/ctrlProp" Target="../ctrlProps/ctrlProp148.xml"/><Relationship Id="rId14" Type="http://schemas.openxmlformats.org/officeDocument/2006/relationships/ctrlProp" Target="../ctrlProps/ctrlProp15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64.xml"/><Relationship Id="rId13" Type="http://schemas.openxmlformats.org/officeDocument/2006/relationships/ctrlProp" Target="../ctrlProps/ctrlProp169.xml"/><Relationship Id="rId18" Type="http://schemas.openxmlformats.org/officeDocument/2006/relationships/ctrlProp" Target="../ctrlProps/ctrlProp174.xml"/><Relationship Id="rId26" Type="http://schemas.openxmlformats.org/officeDocument/2006/relationships/ctrlProp" Target="../ctrlProps/ctrlProp182.xml"/><Relationship Id="rId3" Type="http://schemas.openxmlformats.org/officeDocument/2006/relationships/vmlDrawing" Target="../drawings/vmlDrawing8.vml"/><Relationship Id="rId21" Type="http://schemas.openxmlformats.org/officeDocument/2006/relationships/ctrlProp" Target="../ctrlProps/ctrlProp177.xml"/><Relationship Id="rId7" Type="http://schemas.openxmlformats.org/officeDocument/2006/relationships/ctrlProp" Target="../ctrlProps/ctrlProp163.xml"/><Relationship Id="rId12" Type="http://schemas.openxmlformats.org/officeDocument/2006/relationships/ctrlProp" Target="../ctrlProps/ctrlProp168.xml"/><Relationship Id="rId17" Type="http://schemas.openxmlformats.org/officeDocument/2006/relationships/ctrlProp" Target="../ctrlProps/ctrlProp173.xml"/><Relationship Id="rId25" Type="http://schemas.openxmlformats.org/officeDocument/2006/relationships/ctrlProp" Target="../ctrlProps/ctrlProp181.xml"/><Relationship Id="rId2" Type="http://schemas.openxmlformats.org/officeDocument/2006/relationships/drawing" Target="../drawings/drawing8.xml"/><Relationship Id="rId16" Type="http://schemas.openxmlformats.org/officeDocument/2006/relationships/ctrlProp" Target="../ctrlProps/ctrlProp172.xml"/><Relationship Id="rId20" Type="http://schemas.openxmlformats.org/officeDocument/2006/relationships/ctrlProp" Target="../ctrlProps/ctrlProp176.xml"/><Relationship Id="rId1" Type="http://schemas.openxmlformats.org/officeDocument/2006/relationships/printerSettings" Target="../printerSettings/printerSettings8.bin"/><Relationship Id="rId6" Type="http://schemas.openxmlformats.org/officeDocument/2006/relationships/ctrlProp" Target="../ctrlProps/ctrlProp162.xml"/><Relationship Id="rId11" Type="http://schemas.openxmlformats.org/officeDocument/2006/relationships/ctrlProp" Target="../ctrlProps/ctrlProp167.xml"/><Relationship Id="rId24" Type="http://schemas.openxmlformats.org/officeDocument/2006/relationships/ctrlProp" Target="../ctrlProps/ctrlProp180.xml"/><Relationship Id="rId5" Type="http://schemas.openxmlformats.org/officeDocument/2006/relationships/ctrlProp" Target="../ctrlProps/ctrlProp161.xml"/><Relationship Id="rId15" Type="http://schemas.openxmlformats.org/officeDocument/2006/relationships/ctrlProp" Target="../ctrlProps/ctrlProp171.xml"/><Relationship Id="rId23" Type="http://schemas.openxmlformats.org/officeDocument/2006/relationships/ctrlProp" Target="../ctrlProps/ctrlProp179.xml"/><Relationship Id="rId10" Type="http://schemas.openxmlformats.org/officeDocument/2006/relationships/ctrlProp" Target="../ctrlProps/ctrlProp166.xml"/><Relationship Id="rId19" Type="http://schemas.openxmlformats.org/officeDocument/2006/relationships/ctrlProp" Target="../ctrlProps/ctrlProp175.xml"/><Relationship Id="rId4" Type="http://schemas.openxmlformats.org/officeDocument/2006/relationships/ctrlProp" Target="../ctrlProps/ctrlProp160.xml"/><Relationship Id="rId9" Type="http://schemas.openxmlformats.org/officeDocument/2006/relationships/ctrlProp" Target="../ctrlProps/ctrlProp165.xml"/><Relationship Id="rId14" Type="http://schemas.openxmlformats.org/officeDocument/2006/relationships/ctrlProp" Target="../ctrlProps/ctrlProp170.xml"/><Relationship Id="rId22" Type="http://schemas.openxmlformats.org/officeDocument/2006/relationships/ctrlProp" Target="../ctrlProps/ctrlProp178.xml"/><Relationship Id="rId27" Type="http://schemas.openxmlformats.org/officeDocument/2006/relationships/ctrlProp" Target="../ctrlProps/ctrlProp18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88.xml"/><Relationship Id="rId13" Type="http://schemas.openxmlformats.org/officeDocument/2006/relationships/ctrlProp" Target="../ctrlProps/ctrlProp193.xml"/><Relationship Id="rId18" Type="http://schemas.openxmlformats.org/officeDocument/2006/relationships/ctrlProp" Target="../ctrlProps/ctrlProp198.xml"/><Relationship Id="rId3" Type="http://schemas.openxmlformats.org/officeDocument/2006/relationships/vmlDrawing" Target="../drawings/vmlDrawing9.vml"/><Relationship Id="rId21" Type="http://schemas.openxmlformats.org/officeDocument/2006/relationships/ctrlProp" Target="../ctrlProps/ctrlProp201.xml"/><Relationship Id="rId7" Type="http://schemas.openxmlformats.org/officeDocument/2006/relationships/ctrlProp" Target="../ctrlProps/ctrlProp187.xml"/><Relationship Id="rId12" Type="http://schemas.openxmlformats.org/officeDocument/2006/relationships/ctrlProp" Target="../ctrlProps/ctrlProp192.xml"/><Relationship Id="rId17" Type="http://schemas.openxmlformats.org/officeDocument/2006/relationships/ctrlProp" Target="../ctrlProps/ctrlProp197.xml"/><Relationship Id="rId2" Type="http://schemas.openxmlformats.org/officeDocument/2006/relationships/drawing" Target="../drawings/drawing9.xml"/><Relationship Id="rId16" Type="http://schemas.openxmlformats.org/officeDocument/2006/relationships/ctrlProp" Target="../ctrlProps/ctrlProp196.xml"/><Relationship Id="rId20" Type="http://schemas.openxmlformats.org/officeDocument/2006/relationships/ctrlProp" Target="../ctrlProps/ctrlProp200.xml"/><Relationship Id="rId1" Type="http://schemas.openxmlformats.org/officeDocument/2006/relationships/printerSettings" Target="../printerSettings/printerSettings9.bin"/><Relationship Id="rId6" Type="http://schemas.openxmlformats.org/officeDocument/2006/relationships/ctrlProp" Target="../ctrlProps/ctrlProp186.xml"/><Relationship Id="rId11" Type="http://schemas.openxmlformats.org/officeDocument/2006/relationships/ctrlProp" Target="../ctrlProps/ctrlProp191.xml"/><Relationship Id="rId5" Type="http://schemas.openxmlformats.org/officeDocument/2006/relationships/ctrlProp" Target="../ctrlProps/ctrlProp185.xml"/><Relationship Id="rId15" Type="http://schemas.openxmlformats.org/officeDocument/2006/relationships/ctrlProp" Target="../ctrlProps/ctrlProp195.xml"/><Relationship Id="rId23" Type="http://schemas.openxmlformats.org/officeDocument/2006/relationships/ctrlProp" Target="../ctrlProps/ctrlProp203.xml"/><Relationship Id="rId10" Type="http://schemas.openxmlformats.org/officeDocument/2006/relationships/ctrlProp" Target="../ctrlProps/ctrlProp190.xml"/><Relationship Id="rId19" Type="http://schemas.openxmlformats.org/officeDocument/2006/relationships/ctrlProp" Target="../ctrlProps/ctrlProp199.xml"/><Relationship Id="rId4" Type="http://schemas.openxmlformats.org/officeDocument/2006/relationships/ctrlProp" Target="../ctrlProps/ctrlProp184.xml"/><Relationship Id="rId9" Type="http://schemas.openxmlformats.org/officeDocument/2006/relationships/ctrlProp" Target="../ctrlProps/ctrlProp189.xml"/><Relationship Id="rId14" Type="http://schemas.openxmlformats.org/officeDocument/2006/relationships/ctrlProp" Target="../ctrlProps/ctrlProp194.xml"/><Relationship Id="rId22" Type="http://schemas.openxmlformats.org/officeDocument/2006/relationships/ctrlProp" Target="../ctrlProps/ctrlProp202.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08.xml"/><Relationship Id="rId13" Type="http://schemas.openxmlformats.org/officeDocument/2006/relationships/ctrlProp" Target="../ctrlProps/ctrlProp213.xml"/><Relationship Id="rId18" Type="http://schemas.openxmlformats.org/officeDocument/2006/relationships/ctrlProp" Target="../ctrlProps/ctrlProp218.xml"/><Relationship Id="rId26" Type="http://schemas.openxmlformats.org/officeDocument/2006/relationships/ctrlProp" Target="../ctrlProps/ctrlProp226.xml"/><Relationship Id="rId3" Type="http://schemas.openxmlformats.org/officeDocument/2006/relationships/vmlDrawing" Target="../drawings/vmlDrawing10.vml"/><Relationship Id="rId21" Type="http://schemas.openxmlformats.org/officeDocument/2006/relationships/ctrlProp" Target="../ctrlProps/ctrlProp221.xml"/><Relationship Id="rId7" Type="http://schemas.openxmlformats.org/officeDocument/2006/relationships/ctrlProp" Target="../ctrlProps/ctrlProp207.xml"/><Relationship Id="rId12" Type="http://schemas.openxmlformats.org/officeDocument/2006/relationships/ctrlProp" Target="../ctrlProps/ctrlProp212.xml"/><Relationship Id="rId17" Type="http://schemas.openxmlformats.org/officeDocument/2006/relationships/ctrlProp" Target="../ctrlProps/ctrlProp217.xml"/><Relationship Id="rId25" Type="http://schemas.openxmlformats.org/officeDocument/2006/relationships/ctrlProp" Target="../ctrlProps/ctrlProp225.xml"/><Relationship Id="rId2" Type="http://schemas.openxmlformats.org/officeDocument/2006/relationships/drawing" Target="../drawings/drawing10.xml"/><Relationship Id="rId16" Type="http://schemas.openxmlformats.org/officeDocument/2006/relationships/ctrlProp" Target="../ctrlProps/ctrlProp216.xml"/><Relationship Id="rId20" Type="http://schemas.openxmlformats.org/officeDocument/2006/relationships/ctrlProp" Target="../ctrlProps/ctrlProp220.xml"/><Relationship Id="rId1" Type="http://schemas.openxmlformats.org/officeDocument/2006/relationships/printerSettings" Target="../printerSettings/printerSettings10.bin"/><Relationship Id="rId6" Type="http://schemas.openxmlformats.org/officeDocument/2006/relationships/ctrlProp" Target="../ctrlProps/ctrlProp206.xml"/><Relationship Id="rId11" Type="http://schemas.openxmlformats.org/officeDocument/2006/relationships/ctrlProp" Target="../ctrlProps/ctrlProp211.xml"/><Relationship Id="rId24" Type="http://schemas.openxmlformats.org/officeDocument/2006/relationships/ctrlProp" Target="../ctrlProps/ctrlProp224.xml"/><Relationship Id="rId5" Type="http://schemas.openxmlformats.org/officeDocument/2006/relationships/ctrlProp" Target="../ctrlProps/ctrlProp205.xml"/><Relationship Id="rId15" Type="http://schemas.openxmlformats.org/officeDocument/2006/relationships/ctrlProp" Target="../ctrlProps/ctrlProp215.xml"/><Relationship Id="rId23" Type="http://schemas.openxmlformats.org/officeDocument/2006/relationships/ctrlProp" Target="../ctrlProps/ctrlProp223.xml"/><Relationship Id="rId10" Type="http://schemas.openxmlformats.org/officeDocument/2006/relationships/ctrlProp" Target="../ctrlProps/ctrlProp210.xml"/><Relationship Id="rId19" Type="http://schemas.openxmlformats.org/officeDocument/2006/relationships/ctrlProp" Target="../ctrlProps/ctrlProp219.xml"/><Relationship Id="rId4" Type="http://schemas.openxmlformats.org/officeDocument/2006/relationships/ctrlProp" Target="../ctrlProps/ctrlProp204.xml"/><Relationship Id="rId9" Type="http://schemas.openxmlformats.org/officeDocument/2006/relationships/ctrlProp" Target="../ctrlProps/ctrlProp209.xml"/><Relationship Id="rId14" Type="http://schemas.openxmlformats.org/officeDocument/2006/relationships/ctrlProp" Target="../ctrlProps/ctrlProp214.xml"/><Relationship Id="rId22" Type="http://schemas.openxmlformats.org/officeDocument/2006/relationships/ctrlProp" Target="../ctrlProps/ctrlProp2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31.xml"/><Relationship Id="rId13" Type="http://schemas.openxmlformats.org/officeDocument/2006/relationships/ctrlProp" Target="../ctrlProps/ctrlProp236.xml"/><Relationship Id="rId18" Type="http://schemas.openxmlformats.org/officeDocument/2006/relationships/ctrlProp" Target="../ctrlProps/ctrlProp241.xml"/><Relationship Id="rId3" Type="http://schemas.openxmlformats.org/officeDocument/2006/relationships/vmlDrawing" Target="../drawings/vmlDrawing11.vml"/><Relationship Id="rId7" Type="http://schemas.openxmlformats.org/officeDocument/2006/relationships/ctrlProp" Target="../ctrlProps/ctrlProp230.xml"/><Relationship Id="rId12" Type="http://schemas.openxmlformats.org/officeDocument/2006/relationships/ctrlProp" Target="../ctrlProps/ctrlProp235.xml"/><Relationship Id="rId17" Type="http://schemas.openxmlformats.org/officeDocument/2006/relationships/ctrlProp" Target="../ctrlProps/ctrlProp240.xml"/><Relationship Id="rId2" Type="http://schemas.openxmlformats.org/officeDocument/2006/relationships/drawing" Target="../drawings/drawing11.xml"/><Relationship Id="rId16" Type="http://schemas.openxmlformats.org/officeDocument/2006/relationships/ctrlProp" Target="../ctrlProps/ctrlProp239.xml"/><Relationship Id="rId1" Type="http://schemas.openxmlformats.org/officeDocument/2006/relationships/printerSettings" Target="../printerSettings/printerSettings11.bin"/><Relationship Id="rId6" Type="http://schemas.openxmlformats.org/officeDocument/2006/relationships/ctrlProp" Target="../ctrlProps/ctrlProp229.xml"/><Relationship Id="rId11" Type="http://schemas.openxmlformats.org/officeDocument/2006/relationships/ctrlProp" Target="../ctrlProps/ctrlProp234.xml"/><Relationship Id="rId5" Type="http://schemas.openxmlformats.org/officeDocument/2006/relationships/ctrlProp" Target="../ctrlProps/ctrlProp228.xml"/><Relationship Id="rId15" Type="http://schemas.openxmlformats.org/officeDocument/2006/relationships/ctrlProp" Target="../ctrlProps/ctrlProp238.xml"/><Relationship Id="rId10" Type="http://schemas.openxmlformats.org/officeDocument/2006/relationships/ctrlProp" Target="../ctrlProps/ctrlProp233.xml"/><Relationship Id="rId4" Type="http://schemas.openxmlformats.org/officeDocument/2006/relationships/ctrlProp" Target="../ctrlProps/ctrlProp227.xml"/><Relationship Id="rId9" Type="http://schemas.openxmlformats.org/officeDocument/2006/relationships/ctrlProp" Target="../ctrlProps/ctrlProp232.xml"/><Relationship Id="rId14" Type="http://schemas.openxmlformats.org/officeDocument/2006/relationships/ctrlProp" Target="../ctrlProps/ctrlProp237.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46.xml"/><Relationship Id="rId13" Type="http://schemas.openxmlformats.org/officeDocument/2006/relationships/ctrlProp" Target="../ctrlProps/ctrlProp251.xml"/><Relationship Id="rId18" Type="http://schemas.openxmlformats.org/officeDocument/2006/relationships/ctrlProp" Target="../ctrlProps/ctrlProp256.xml"/><Relationship Id="rId3" Type="http://schemas.openxmlformats.org/officeDocument/2006/relationships/vmlDrawing" Target="../drawings/vmlDrawing12.vml"/><Relationship Id="rId7" Type="http://schemas.openxmlformats.org/officeDocument/2006/relationships/ctrlProp" Target="../ctrlProps/ctrlProp245.xml"/><Relationship Id="rId12" Type="http://schemas.openxmlformats.org/officeDocument/2006/relationships/ctrlProp" Target="../ctrlProps/ctrlProp250.xml"/><Relationship Id="rId17" Type="http://schemas.openxmlformats.org/officeDocument/2006/relationships/ctrlProp" Target="../ctrlProps/ctrlProp255.xml"/><Relationship Id="rId2" Type="http://schemas.openxmlformats.org/officeDocument/2006/relationships/drawing" Target="../drawings/drawing12.xml"/><Relationship Id="rId16" Type="http://schemas.openxmlformats.org/officeDocument/2006/relationships/ctrlProp" Target="../ctrlProps/ctrlProp254.xml"/><Relationship Id="rId1" Type="http://schemas.openxmlformats.org/officeDocument/2006/relationships/printerSettings" Target="../printerSettings/printerSettings12.bin"/><Relationship Id="rId6" Type="http://schemas.openxmlformats.org/officeDocument/2006/relationships/ctrlProp" Target="../ctrlProps/ctrlProp244.xml"/><Relationship Id="rId11" Type="http://schemas.openxmlformats.org/officeDocument/2006/relationships/ctrlProp" Target="../ctrlProps/ctrlProp249.xml"/><Relationship Id="rId5" Type="http://schemas.openxmlformats.org/officeDocument/2006/relationships/ctrlProp" Target="../ctrlProps/ctrlProp243.xml"/><Relationship Id="rId15" Type="http://schemas.openxmlformats.org/officeDocument/2006/relationships/ctrlProp" Target="../ctrlProps/ctrlProp253.xml"/><Relationship Id="rId10" Type="http://schemas.openxmlformats.org/officeDocument/2006/relationships/ctrlProp" Target="../ctrlProps/ctrlProp248.xml"/><Relationship Id="rId4" Type="http://schemas.openxmlformats.org/officeDocument/2006/relationships/ctrlProp" Target="../ctrlProps/ctrlProp242.xml"/><Relationship Id="rId9" Type="http://schemas.openxmlformats.org/officeDocument/2006/relationships/ctrlProp" Target="../ctrlProps/ctrlProp247.xml"/><Relationship Id="rId14" Type="http://schemas.openxmlformats.org/officeDocument/2006/relationships/ctrlProp" Target="../ctrlProps/ctrlProp25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61.xml"/><Relationship Id="rId13" Type="http://schemas.openxmlformats.org/officeDocument/2006/relationships/ctrlProp" Target="../ctrlProps/ctrlProp266.xml"/><Relationship Id="rId18" Type="http://schemas.openxmlformats.org/officeDocument/2006/relationships/ctrlProp" Target="../ctrlProps/ctrlProp271.xml"/><Relationship Id="rId3" Type="http://schemas.openxmlformats.org/officeDocument/2006/relationships/vmlDrawing" Target="../drawings/vmlDrawing13.vml"/><Relationship Id="rId7" Type="http://schemas.openxmlformats.org/officeDocument/2006/relationships/ctrlProp" Target="../ctrlProps/ctrlProp260.xml"/><Relationship Id="rId12" Type="http://schemas.openxmlformats.org/officeDocument/2006/relationships/ctrlProp" Target="../ctrlProps/ctrlProp265.xml"/><Relationship Id="rId17" Type="http://schemas.openxmlformats.org/officeDocument/2006/relationships/ctrlProp" Target="../ctrlProps/ctrlProp270.xml"/><Relationship Id="rId2" Type="http://schemas.openxmlformats.org/officeDocument/2006/relationships/drawing" Target="../drawings/drawing13.xml"/><Relationship Id="rId16" Type="http://schemas.openxmlformats.org/officeDocument/2006/relationships/ctrlProp" Target="../ctrlProps/ctrlProp269.xml"/><Relationship Id="rId20" Type="http://schemas.openxmlformats.org/officeDocument/2006/relationships/ctrlProp" Target="../ctrlProps/ctrlProp273.xml"/><Relationship Id="rId1" Type="http://schemas.openxmlformats.org/officeDocument/2006/relationships/printerSettings" Target="../printerSettings/printerSettings13.bin"/><Relationship Id="rId6" Type="http://schemas.openxmlformats.org/officeDocument/2006/relationships/ctrlProp" Target="../ctrlProps/ctrlProp259.xml"/><Relationship Id="rId11" Type="http://schemas.openxmlformats.org/officeDocument/2006/relationships/ctrlProp" Target="../ctrlProps/ctrlProp264.xml"/><Relationship Id="rId5" Type="http://schemas.openxmlformats.org/officeDocument/2006/relationships/ctrlProp" Target="../ctrlProps/ctrlProp258.xml"/><Relationship Id="rId15" Type="http://schemas.openxmlformats.org/officeDocument/2006/relationships/ctrlProp" Target="../ctrlProps/ctrlProp268.xml"/><Relationship Id="rId10" Type="http://schemas.openxmlformats.org/officeDocument/2006/relationships/ctrlProp" Target="../ctrlProps/ctrlProp263.xml"/><Relationship Id="rId19" Type="http://schemas.openxmlformats.org/officeDocument/2006/relationships/ctrlProp" Target="../ctrlProps/ctrlProp272.xml"/><Relationship Id="rId4" Type="http://schemas.openxmlformats.org/officeDocument/2006/relationships/ctrlProp" Target="../ctrlProps/ctrlProp257.xml"/><Relationship Id="rId9" Type="http://schemas.openxmlformats.org/officeDocument/2006/relationships/ctrlProp" Target="../ctrlProps/ctrlProp262.xml"/><Relationship Id="rId14" Type="http://schemas.openxmlformats.org/officeDocument/2006/relationships/ctrlProp" Target="../ctrlProps/ctrlProp267.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18" Type="http://schemas.openxmlformats.org/officeDocument/2006/relationships/ctrlProp" Target="../ctrlProps/ctrlProp288.xml"/><Relationship Id="rId3" Type="http://schemas.openxmlformats.org/officeDocument/2006/relationships/vmlDrawing" Target="../drawings/vmlDrawing14.vml"/><Relationship Id="rId7" Type="http://schemas.openxmlformats.org/officeDocument/2006/relationships/ctrlProp" Target="../ctrlProps/ctrlProp277.xml"/><Relationship Id="rId12" Type="http://schemas.openxmlformats.org/officeDocument/2006/relationships/ctrlProp" Target="../ctrlProps/ctrlProp282.xml"/><Relationship Id="rId17" Type="http://schemas.openxmlformats.org/officeDocument/2006/relationships/ctrlProp" Target="../ctrlProps/ctrlProp287.xml"/><Relationship Id="rId2" Type="http://schemas.openxmlformats.org/officeDocument/2006/relationships/drawing" Target="../drawings/drawing14.xml"/><Relationship Id="rId16" Type="http://schemas.openxmlformats.org/officeDocument/2006/relationships/ctrlProp" Target="../ctrlProps/ctrlProp286.xml"/><Relationship Id="rId20" Type="http://schemas.openxmlformats.org/officeDocument/2006/relationships/ctrlProp" Target="../ctrlProps/ctrlProp290.xml"/><Relationship Id="rId1" Type="http://schemas.openxmlformats.org/officeDocument/2006/relationships/printerSettings" Target="../printerSettings/printerSettings14.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19" Type="http://schemas.openxmlformats.org/officeDocument/2006/relationships/ctrlProp" Target="../ctrlProps/ctrlProp289.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95.xml"/><Relationship Id="rId13" Type="http://schemas.openxmlformats.org/officeDocument/2006/relationships/ctrlProp" Target="../ctrlProps/ctrlProp300.xml"/><Relationship Id="rId18" Type="http://schemas.openxmlformats.org/officeDocument/2006/relationships/ctrlProp" Target="../ctrlProps/ctrlProp305.xml"/><Relationship Id="rId3" Type="http://schemas.openxmlformats.org/officeDocument/2006/relationships/vmlDrawing" Target="../drawings/vmlDrawing15.vml"/><Relationship Id="rId7" Type="http://schemas.openxmlformats.org/officeDocument/2006/relationships/ctrlProp" Target="../ctrlProps/ctrlProp294.xml"/><Relationship Id="rId12" Type="http://schemas.openxmlformats.org/officeDocument/2006/relationships/ctrlProp" Target="../ctrlProps/ctrlProp299.xml"/><Relationship Id="rId17" Type="http://schemas.openxmlformats.org/officeDocument/2006/relationships/ctrlProp" Target="../ctrlProps/ctrlProp304.xml"/><Relationship Id="rId2" Type="http://schemas.openxmlformats.org/officeDocument/2006/relationships/drawing" Target="../drawings/drawing15.xml"/><Relationship Id="rId16" Type="http://schemas.openxmlformats.org/officeDocument/2006/relationships/ctrlProp" Target="../ctrlProps/ctrlProp303.xml"/><Relationship Id="rId20" Type="http://schemas.openxmlformats.org/officeDocument/2006/relationships/ctrlProp" Target="../ctrlProps/ctrlProp307.xml"/><Relationship Id="rId1" Type="http://schemas.openxmlformats.org/officeDocument/2006/relationships/printerSettings" Target="../printerSettings/printerSettings15.bin"/><Relationship Id="rId6" Type="http://schemas.openxmlformats.org/officeDocument/2006/relationships/ctrlProp" Target="../ctrlProps/ctrlProp293.xml"/><Relationship Id="rId11" Type="http://schemas.openxmlformats.org/officeDocument/2006/relationships/ctrlProp" Target="../ctrlProps/ctrlProp298.xml"/><Relationship Id="rId5" Type="http://schemas.openxmlformats.org/officeDocument/2006/relationships/ctrlProp" Target="../ctrlProps/ctrlProp292.xml"/><Relationship Id="rId15" Type="http://schemas.openxmlformats.org/officeDocument/2006/relationships/ctrlProp" Target="../ctrlProps/ctrlProp302.xml"/><Relationship Id="rId10" Type="http://schemas.openxmlformats.org/officeDocument/2006/relationships/ctrlProp" Target="../ctrlProps/ctrlProp297.xml"/><Relationship Id="rId19" Type="http://schemas.openxmlformats.org/officeDocument/2006/relationships/ctrlProp" Target="../ctrlProps/ctrlProp306.xml"/><Relationship Id="rId4" Type="http://schemas.openxmlformats.org/officeDocument/2006/relationships/ctrlProp" Target="../ctrlProps/ctrlProp291.xml"/><Relationship Id="rId9" Type="http://schemas.openxmlformats.org/officeDocument/2006/relationships/ctrlProp" Target="../ctrlProps/ctrlProp296.xml"/><Relationship Id="rId14" Type="http://schemas.openxmlformats.org/officeDocument/2006/relationships/ctrlProp" Target="../ctrlProps/ctrlProp30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2.xml"/><Relationship Id="rId13" Type="http://schemas.openxmlformats.org/officeDocument/2006/relationships/ctrlProp" Target="../ctrlProps/ctrlProp317.xml"/><Relationship Id="rId18" Type="http://schemas.openxmlformats.org/officeDocument/2006/relationships/ctrlProp" Target="../ctrlProps/ctrlProp322.xml"/><Relationship Id="rId3" Type="http://schemas.openxmlformats.org/officeDocument/2006/relationships/vmlDrawing" Target="../drawings/vmlDrawing16.vml"/><Relationship Id="rId7" Type="http://schemas.openxmlformats.org/officeDocument/2006/relationships/ctrlProp" Target="../ctrlProps/ctrlProp311.xml"/><Relationship Id="rId12" Type="http://schemas.openxmlformats.org/officeDocument/2006/relationships/ctrlProp" Target="../ctrlProps/ctrlProp316.xml"/><Relationship Id="rId17" Type="http://schemas.openxmlformats.org/officeDocument/2006/relationships/ctrlProp" Target="../ctrlProps/ctrlProp321.xml"/><Relationship Id="rId2" Type="http://schemas.openxmlformats.org/officeDocument/2006/relationships/drawing" Target="../drawings/drawing16.xml"/><Relationship Id="rId16" Type="http://schemas.openxmlformats.org/officeDocument/2006/relationships/ctrlProp" Target="../ctrlProps/ctrlProp320.xml"/><Relationship Id="rId20" Type="http://schemas.openxmlformats.org/officeDocument/2006/relationships/ctrlProp" Target="../ctrlProps/ctrlProp324.xml"/><Relationship Id="rId1" Type="http://schemas.openxmlformats.org/officeDocument/2006/relationships/printerSettings" Target="../printerSettings/printerSettings16.bin"/><Relationship Id="rId6" Type="http://schemas.openxmlformats.org/officeDocument/2006/relationships/ctrlProp" Target="../ctrlProps/ctrlProp310.xml"/><Relationship Id="rId11" Type="http://schemas.openxmlformats.org/officeDocument/2006/relationships/ctrlProp" Target="../ctrlProps/ctrlProp315.xml"/><Relationship Id="rId5" Type="http://schemas.openxmlformats.org/officeDocument/2006/relationships/ctrlProp" Target="../ctrlProps/ctrlProp309.xml"/><Relationship Id="rId15" Type="http://schemas.openxmlformats.org/officeDocument/2006/relationships/ctrlProp" Target="../ctrlProps/ctrlProp319.xml"/><Relationship Id="rId10" Type="http://schemas.openxmlformats.org/officeDocument/2006/relationships/ctrlProp" Target="../ctrlProps/ctrlProp314.xml"/><Relationship Id="rId19" Type="http://schemas.openxmlformats.org/officeDocument/2006/relationships/ctrlProp" Target="../ctrlProps/ctrlProp323.xml"/><Relationship Id="rId4" Type="http://schemas.openxmlformats.org/officeDocument/2006/relationships/ctrlProp" Target="../ctrlProps/ctrlProp308.xml"/><Relationship Id="rId9" Type="http://schemas.openxmlformats.org/officeDocument/2006/relationships/ctrlProp" Target="../ctrlProps/ctrlProp313.xml"/><Relationship Id="rId14" Type="http://schemas.openxmlformats.org/officeDocument/2006/relationships/ctrlProp" Target="../ctrlProps/ctrlProp318.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329.xml"/><Relationship Id="rId13" Type="http://schemas.openxmlformats.org/officeDocument/2006/relationships/ctrlProp" Target="../ctrlProps/ctrlProp334.xml"/><Relationship Id="rId18" Type="http://schemas.openxmlformats.org/officeDocument/2006/relationships/ctrlProp" Target="../ctrlProps/ctrlProp339.xml"/><Relationship Id="rId3" Type="http://schemas.openxmlformats.org/officeDocument/2006/relationships/vmlDrawing" Target="../drawings/vmlDrawing17.vml"/><Relationship Id="rId7" Type="http://schemas.openxmlformats.org/officeDocument/2006/relationships/ctrlProp" Target="../ctrlProps/ctrlProp328.xml"/><Relationship Id="rId12" Type="http://schemas.openxmlformats.org/officeDocument/2006/relationships/ctrlProp" Target="../ctrlProps/ctrlProp333.xml"/><Relationship Id="rId17" Type="http://schemas.openxmlformats.org/officeDocument/2006/relationships/ctrlProp" Target="../ctrlProps/ctrlProp338.xml"/><Relationship Id="rId2" Type="http://schemas.openxmlformats.org/officeDocument/2006/relationships/drawing" Target="../drawings/drawing17.xml"/><Relationship Id="rId16" Type="http://schemas.openxmlformats.org/officeDocument/2006/relationships/ctrlProp" Target="../ctrlProps/ctrlProp337.xml"/><Relationship Id="rId1" Type="http://schemas.openxmlformats.org/officeDocument/2006/relationships/printerSettings" Target="../printerSettings/printerSettings17.bin"/><Relationship Id="rId6" Type="http://schemas.openxmlformats.org/officeDocument/2006/relationships/ctrlProp" Target="../ctrlProps/ctrlProp327.xml"/><Relationship Id="rId11" Type="http://schemas.openxmlformats.org/officeDocument/2006/relationships/ctrlProp" Target="../ctrlProps/ctrlProp332.xml"/><Relationship Id="rId5" Type="http://schemas.openxmlformats.org/officeDocument/2006/relationships/ctrlProp" Target="../ctrlProps/ctrlProp326.xml"/><Relationship Id="rId15" Type="http://schemas.openxmlformats.org/officeDocument/2006/relationships/ctrlProp" Target="../ctrlProps/ctrlProp336.xml"/><Relationship Id="rId10" Type="http://schemas.openxmlformats.org/officeDocument/2006/relationships/ctrlProp" Target="../ctrlProps/ctrlProp331.xml"/><Relationship Id="rId4" Type="http://schemas.openxmlformats.org/officeDocument/2006/relationships/ctrlProp" Target="../ctrlProps/ctrlProp325.xml"/><Relationship Id="rId9" Type="http://schemas.openxmlformats.org/officeDocument/2006/relationships/ctrlProp" Target="../ctrlProps/ctrlProp330.xml"/><Relationship Id="rId14" Type="http://schemas.openxmlformats.org/officeDocument/2006/relationships/ctrlProp" Target="../ctrlProps/ctrlProp335.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44.xml"/><Relationship Id="rId13" Type="http://schemas.openxmlformats.org/officeDocument/2006/relationships/ctrlProp" Target="../ctrlProps/ctrlProp349.xml"/><Relationship Id="rId18" Type="http://schemas.openxmlformats.org/officeDocument/2006/relationships/ctrlProp" Target="../ctrlProps/ctrlProp354.xml"/><Relationship Id="rId3" Type="http://schemas.openxmlformats.org/officeDocument/2006/relationships/vmlDrawing" Target="../drawings/vmlDrawing18.vml"/><Relationship Id="rId7" Type="http://schemas.openxmlformats.org/officeDocument/2006/relationships/ctrlProp" Target="../ctrlProps/ctrlProp343.xml"/><Relationship Id="rId12" Type="http://schemas.openxmlformats.org/officeDocument/2006/relationships/ctrlProp" Target="../ctrlProps/ctrlProp348.xml"/><Relationship Id="rId17" Type="http://schemas.openxmlformats.org/officeDocument/2006/relationships/ctrlProp" Target="../ctrlProps/ctrlProp353.xml"/><Relationship Id="rId2" Type="http://schemas.openxmlformats.org/officeDocument/2006/relationships/drawing" Target="../drawings/drawing18.xml"/><Relationship Id="rId16" Type="http://schemas.openxmlformats.org/officeDocument/2006/relationships/ctrlProp" Target="../ctrlProps/ctrlProp352.xml"/><Relationship Id="rId1" Type="http://schemas.openxmlformats.org/officeDocument/2006/relationships/printerSettings" Target="../printerSettings/printerSettings18.bin"/><Relationship Id="rId6" Type="http://schemas.openxmlformats.org/officeDocument/2006/relationships/ctrlProp" Target="../ctrlProps/ctrlProp342.xml"/><Relationship Id="rId11" Type="http://schemas.openxmlformats.org/officeDocument/2006/relationships/ctrlProp" Target="../ctrlProps/ctrlProp347.xml"/><Relationship Id="rId5" Type="http://schemas.openxmlformats.org/officeDocument/2006/relationships/ctrlProp" Target="../ctrlProps/ctrlProp341.xml"/><Relationship Id="rId15" Type="http://schemas.openxmlformats.org/officeDocument/2006/relationships/ctrlProp" Target="../ctrlProps/ctrlProp351.xml"/><Relationship Id="rId10" Type="http://schemas.openxmlformats.org/officeDocument/2006/relationships/ctrlProp" Target="../ctrlProps/ctrlProp346.xml"/><Relationship Id="rId4" Type="http://schemas.openxmlformats.org/officeDocument/2006/relationships/ctrlProp" Target="../ctrlProps/ctrlProp340.xml"/><Relationship Id="rId9" Type="http://schemas.openxmlformats.org/officeDocument/2006/relationships/ctrlProp" Target="../ctrlProps/ctrlProp345.xml"/><Relationship Id="rId14" Type="http://schemas.openxmlformats.org/officeDocument/2006/relationships/ctrlProp" Target="../ctrlProps/ctrlProp350.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359.xml"/><Relationship Id="rId13" Type="http://schemas.openxmlformats.org/officeDocument/2006/relationships/ctrlProp" Target="../ctrlProps/ctrlProp364.xml"/><Relationship Id="rId3" Type="http://schemas.openxmlformats.org/officeDocument/2006/relationships/vmlDrawing" Target="../drawings/vmlDrawing19.vml"/><Relationship Id="rId7" Type="http://schemas.openxmlformats.org/officeDocument/2006/relationships/ctrlProp" Target="../ctrlProps/ctrlProp358.xml"/><Relationship Id="rId12" Type="http://schemas.openxmlformats.org/officeDocument/2006/relationships/ctrlProp" Target="../ctrlProps/ctrlProp363.xml"/><Relationship Id="rId17" Type="http://schemas.openxmlformats.org/officeDocument/2006/relationships/ctrlProp" Target="../ctrlProps/ctrlProp368.xml"/><Relationship Id="rId2" Type="http://schemas.openxmlformats.org/officeDocument/2006/relationships/drawing" Target="../drawings/drawing19.xml"/><Relationship Id="rId16" Type="http://schemas.openxmlformats.org/officeDocument/2006/relationships/ctrlProp" Target="../ctrlProps/ctrlProp367.xml"/><Relationship Id="rId1" Type="http://schemas.openxmlformats.org/officeDocument/2006/relationships/printerSettings" Target="../printerSettings/printerSettings19.bin"/><Relationship Id="rId6" Type="http://schemas.openxmlformats.org/officeDocument/2006/relationships/ctrlProp" Target="../ctrlProps/ctrlProp357.xml"/><Relationship Id="rId11" Type="http://schemas.openxmlformats.org/officeDocument/2006/relationships/ctrlProp" Target="../ctrlProps/ctrlProp362.xml"/><Relationship Id="rId5" Type="http://schemas.openxmlformats.org/officeDocument/2006/relationships/ctrlProp" Target="../ctrlProps/ctrlProp356.xml"/><Relationship Id="rId15" Type="http://schemas.openxmlformats.org/officeDocument/2006/relationships/ctrlProp" Target="../ctrlProps/ctrlProp366.xml"/><Relationship Id="rId10" Type="http://schemas.openxmlformats.org/officeDocument/2006/relationships/ctrlProp" Target="../ctrlProps/ctrlProp361.xml"/><Relationship Id="rId4" Type="http://schemas.openxmlformats.org/officeDocument/2006/relationships/ctrlProp" Target="../ctrlProps/ctrlProp355.xml"/><Relationship Id="rId9" Type="http://schemas.openxmlformats.org/officeDocument/2006/relationships/ctrlProp" Target="../ctrlProps/ctrlProp360.xml"/><Relationship Id="rId14" Type="http://schemas.openxmlformats.org/officeDocument/2006/relationships/ctrlProp" Target="../ctrlProps/ctrlProp365.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373.xml"/><Relationship Id="rId13" Type="http://schemas.openxmlformats.org/officeDocument/2006/relationships/ctrlProp" Target="../ctrlProps/ctrlProp378.xml"/><Relationship Id="rId18" Type="http://schemas.openxmlformats.org/officeDocument/2006/relationships/ctrlProp" Target="../ctrlProps/ctrlProp383.xml"/><Relationship Id="rId3" Type="http://schemas.openxmlformats.org/officeDocument/2006/relationships/vmlDrawing" Target="../drawings/vmlDrawing20.vml"/><Relationship Id="rId7" Type="http://schemas.openxmlformats.org/officeDocument/2006/relationships/ctrlProp" Target="../ctrlProps/ctrlProp372.xml"/><Relationship Id="rId12" Type="http://schemas.openxmlformats.org/officeDocument/2006/relationships/ctrlProp" Target="../ctrlProps/ctrlProp377.xml"/><Relationship Id="rId17" Type="http://schemas.openxmlformats.org/officeDocument/2006/relationships/ctrlProp" Target="../ctrlProps/ctrlProp382.xml"/><Relationship Id="rId2" Type="http://schemas.openxmlformats.org/officeDocument/2006/relationships/drawing" Target="../drawings/drawing20.xml"/><Relationship Id="rId16" Type="http://schemas.openxmlformats.org/officeDocument/2006/relationships/ctrlProp" Target="../ctrlProps/ctrlProp381.xml"/><Relationship Id="rId1" Type="http://schemas.openxmlformats.org/officeDocument/2006/relationships/printerSettings" Target="../printerSettings/printerSettings20.bin"/><Relationship Id="rId6" Type="http://schemas.openxmlformats.org/officeDocument/2006/relationships/ctrlProp" Target="../ctrlProps/ctrlProp371.xml"/><Relationship Id="rId11" Type="http://schemas.openxmlformats.org/officeDocument/2006/relationships/ctrlProp" Target="../ctrlProps/ctrlProp376.xml"/><Relationship Id="rId5" Type="http://schemas.openxmlformats.org/officeDocument/2006/relationships/ctrlProp" Target="../ctrlProps/ctrlProp370.xml"/><Relationship Id="rId15" Type="http://schemas.openxmlformats.org/officeDocument/2006/relationships/ctrlProp" Target="../ctrlProps/ctrlProp380.xml"/><Relationship Id="rId10" Type="http://schemas.openxmlformats.org/officeDocument/2006/relationships/ctrlProp" Target="../ctrlProps/ctrlProp375.xml"/><Relationship Id="rId4" Type="http://schemas.openxmlformats.org/officeDocument/2006/relationships/ctrlProp" Target="../ctrlProps/ctrlProp369.xml"/><Relationship Id="rId9" Type="http://schemas.openxmlformats.org/officeDocument/2006/relationships/ctrlProp" Target="../ctrlProps/ctrlProp374.xml"/><Relationship Id="rId14" Type="http://schemas.openxmlformats.org/officeDocument/2006/relationships/ctrlProp" Target="../ctrlProps/ctrlProp37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392.xml"/><Relationship Id="rId18" Type="http://schemas.openxmlformats.org/officeDocument/2006/relationships/ctrlProp" Target="../ctrlProps/ctrlProp397.xml"/><Relationship Id="rId26" Type="http://schemas.openxmlformats.org/officeDocument/2006/relationships/ctrlProp" Target="../ctrlProps/ctrlProp405.xml"/><Relationship Id="rId39" Type="http://schemas.openxmlformats.org/officeDocument/2006/relationships/ctrlProp" Target="../ctrlProps/ctrlProp418.xml"/><Relationship Id="rId21" Type="http://schemas.openxmlformats.org/officeDocument/2006/relationships/ctrlProp" Target="../ctrlProps/ctrlProp400.xml"/><Relationship Id="rId34" Type="http://schemas.openxmlformats.org/officeDocument/2006/relationships/ctrlProp" Target="../ctrlProps/ctrlProp413.xml"/><Relationship Id="rId42" Type="http://schemas.openxmlformats.org/officeDocument/2006/relationships/ctrlProp" Target="../ctrlProps/ctrlProp421.xml"/><Relationship Id="rId47" Type="http://schemas.openxmlformats.org/officeDocument/2006/relationships/ctrlProp" Target="../ctrlProps/ctrlProp426.xml"/><Relationship Id="rId50" Type="http://schemas.openxmlformats.org/officeDocument/2006/relationships/ctrlProp" Target="../ctrlProps/ctrlProp429.xml"/><Relationship Id="rId55" Type="http://schemas.openxmlformats.org/officeDocument/2006/relationships/ctrlProp" Target="../ctrlProps/ctrlProp434.xml"/><Relationship Id="rId63" Type="http://schemas.openxmlformats.org/officeDocument/2006/relationships/ctrlProp" Target="../ctrlProps/ctrlProp442.xml"/><Relationship Id="rId68" Type="http://schemas.openxmlformats.org/officeDocument/2006/relationships/ctrlProp" Target="../ctrlProps/ctrlProp447.xml"/><Relationship Id="rId76" Type="http://schemas.openxmlformats.org/officeDocument/2006/relationships/ctrlProp" Target="../ctrlProps/ctrlProp455.xml"/><Relationship Id="rId84" Type="http://schemas.openxmlformats.org/officeDocument/2006/relationships/ctrlProp" Target="../ctrlProps/ctrlProp463.xml"/><Relationship Id="rId89" Type="http://schemas.openxmlformats.org/officeDocument/2006/relationships/ctrlProp" Target="../ctrlProps/ctrlProp468.xml"/><Relationship Id="rId7" Type="http://schemas.openxmlformats.org/officeDocument/2006/relationships/ctrlProp" Target="../ctrlProps/ctrlProp386.xml"/><Relationship Id="rId71" Type="http://schemas.openxmlformats.org/officeDocument/2006/relationships/ctrlProp" Target="../ctrlProps/ctrlProp450.xml"/><Relationship Id="rId92" Type="http://schemas.openxmlformats.org/officeDocument/2006/relationships/ctrlProp" Target="../ctrlProps/ctrlProp471.xml"/><Relationship Id="rId2" Type="http://schemas.openxmlformats.org/officeDocument/2006/relationships/drawing" Target="../drawings/drawing21.xml"/><Relationship Id="rId16" Type="http://schemas.openxmlformats.org/officeDocument/2006/relationships/ctrlProp" Target="../ctrlProps/ctrlProp395.xml"/><Relationship Id="rId29" Type="http://schemas.openxmlformats.org/officeDocument/2006/relationships/ctrlProp" Target="../ctrlProps/ctrlProp408.xml"/><Relationship Id="rId11" Type="http://schemas.openxmlformats.org/officeDocument/2006/relationships/ctrlProp" Target="../ctrlProps/ctrlProp390.xml"/><Relationship Id="rId24" Type="http://schemas.openxmlformats.org/officeDocument/2006/relationships/ctrlProp" Target="../ctrlProps/ctrlProp403.xml"/><Relationship Id="rId32" Type="http://schemas.openxmlformats.org/officeDocument/2006/relationships/ctrlProp" Target="../ctrlProps/ctrlProp411.xml"/><Relationship Id="rId37" Type="http://schemas.openxmlformats.org/officeDocument/2006/relationships/ctrlProp" Target="../ctrlProps/ctrlProp416.xml"/><Relationship Id="rId40" Type="http://schemas.openxmlformats.org/officeDocument/2006/relationships/ctrlProp" Target="../ctrlProps/ctrlProp419.xml"/><Relationship Id="rId45" Type="http://schemas.openxmlformats.org/officeDocument/2006/relationships/ctrlProp" Target="../ctrlProps/ctrlProp424.xml"/><Relationship Id="rId53" Type="http://schemas.openxmlformats.org/officeDocument/2006/relationships/ctrlProp" Target="../ctrlProps/ctrlProp432.xml"/><Relationship Id="rId58" Type="http://schemas.openxmlformats.org/officeDocument/2006/relationships/ctrlProp" Target="../ctrlProps/ctrlProp437.xml"/><Relationship Id="rId66" Type="http://schemas.openxmlformats.org/officeDocument/2006/relationships/ctrlProp" Target="../ctrlProps/ctrlProp445.xml"/><Relationship Id="rId74" Type="http://schemas.openxmlformats.org/officeDocument/2006/relationships/ctrlProp" Target="../ctrlProps/ctrlProp453.xml"/><Relationship Id="rId79" Type="http://schemas.openxmlformats.org/officeDocument/2006/relationships/ctrlProp" Target="../ctrlProps/ctrlProp458.xml"/><Relationship Id="rId87" Type="http://schemas.openxmlformats.org/officeDocument/2006/relationships/ctrlProp" Target="../ctrlProps/ctrlProp466.xml"/><Relationship Id="rId5" Type="http://schemas.openxmlformats.org/officeDocument/2006/relationships/ctrlProp" Target="../ctrlProps/ctrlProp384.xml"/><Relationship Id="rId61" Type="http://schemas.openxmlformats.org/officeDocument/2006/relationships/ctrlProp" Target="../ctrlProps/ctrlProp440.xml"/><Relationship Id="rId82" Type="http://schemas.openxmlformats.org/officeDocument/2006/relationships/ctrlProp" Target="../ctrlProps/ctrlProp461.xml"/><Relationship Id="rId90" Type="http://schemas.openxmlformats.org/officeDocument/2006/relationships/ctrlProp" Target="../ctrlProps/ctrlProp469.xml"/><Relationship Id="rId95" Type="http://schemas.openxmlformats.org/officeDocument/2006/relationships/ctrlProp" Target="../ctrlProps/ctrlProp474.xml"/><Relationship Id="rId19" Type="http://schemas.openxmlformats.org/officeDocument/2006/relationships/ctrlProp" Target="../ctrlProps/ctrlProp398.xml"/><Relationship Id="rId14" Type="http://schemas.openxmlformats.org/officeDocument/2006/relationships/ctrlProp" Target="../ctrlProps/ctrlProp393.xml"/><Relationship Id="rId22" Type="http://schemas.openxmlformats.org/officeDocument/2006/relationships/ctrlProp" Target="../ctrlProps/ctrlProp401.xml"/><Relationship Id="rId27" Type="http://schemas.openxmlformats.org/officeDocument/2006/relationships/ctrlProp" Target="../ctrlProps/ctrlProp406.xml"/><Relationship Id="rId30" Type="http://schemas.openxmlformats.org/officeDocument/2006/relationships/ctrlProp" Target="../ctrlProps/ctrlProp409.xml"/><Relationship Id="rId35" Type="http://schemas.openxmlformats.org/officeDocument/2006/relationships/ctrlProp" Target="../ctrlProps/ctrlProp414.xml"/><Relationship Id="rId43" Type="http://schemas.openxmlformats.org/officeDocument/2006/relationships/ctrlProp" Target="../ctrlProps/ctrlProp422.xml"/><Relationship Id="rId48" Type="http://schemas.openxmlformats.org/officeDocument/2006/relationships/ctrlProp" Target="../ctrlProps/ctrlProp427.xml"/><Relationship Id="rId56" Type="http://schemas.openxmlformats.org/officeDocument/2006/relationships/ctrlProp" Target="../ctrlProps/ctrlProp435.xml"/><Relationship Id="rId64" Type="http://schemas.openxmlformats.org/officeDocument/2006/relationships/ctrlProp" Target="../ctrlProps/ctrlProp443.xml"/><Relationship Id="rId69" Type="http://schemas.openxmlformats.org/officeDocument/2006/relationships/ctrlProp" Target="../ctrlProps/ctrlProp448.xml"/><Relationship Id="rId77" Type="http://schemas.openxmlformats.org/officeDocument/2006/relationships/ctrlProp" Target="../ctrlProps/ctrlProp456.xml"/><Relationship Id="rId8" Type="http://schemas.openxmlformats.org/officeDocument/2006/relationships/ctrlProp" Target="../ctrlProps/ctrlProp387.xml"/><Relationship Id="rId51" Type="http://schemas.openxmlformats.org/officeDocument/2006/relationships/ctrlProp" Target="../ctrlProps/ctrlProp430.xml"/><Relationship Id="rId72" Type="http://schemas.openxmlformats.org/officeDocument/2006/relationships/ctrlProp" Target="../ctrlProps/ctrlProp451.xml"/><Relationship Id="rId80" Type="http://schemas.openxmlformats.org/officeDocument/2006/relationships/ctrlProp" Target="../ctrlProps/ctrlProp459.xml"/><Relationship Id="rId85" Type="http://schemas.openxmlformats.org/officeDocument/2006/relationships/ctrlProp" Target="../ctrlProps/ctrlProp464.xml"/><Relationship Id="rId93" Type="http://schemas.openxmlformats.org/officeDocument/2006/relationships/ctrlProp" Target="../ctrlProps/ctrlProp472.xml"/><Relationship Id="rId3" Type="http://schemas.openxmlformats.org/officeDocument/2006/relationships/vmlDrawing" Target="../drawings/vmlDrawing21.vml"/><Relationship Id="rId12" Type="http://schemas.openxmlformats.org/officeDocument/2006/relationships/ctrlProp" Target="../ctrlProps/ctrlProp391.xml"/><Relationship Id="rId17" Type="http://schemas.openxmlformats.org/officeDocument/2006/relationships/ctrlProp" Target="../ctrlProps/ctrlProp396.xml"/><Relationship Id="rId25" Type="http://schemas.openxmlformats.org/officeDocument/2006/relationships/ctrlProp" Target="../ctrlProps/ctrlProp404.xml"/><Relationship Id="rId33" Type="http://schemas.openxmlformats.org/officeDocument/2006/relationships/ctrlProp" Target="../ctrlProps/ctrlProp412.xml"/><Relationship Id="rId38" Type="http://schemas.openxmlformats.org/officeDocument/2006/relationships/ctrlProp" Target="../ctrlProps/ctrlProp417.xml"/><Relationship Id="rId46" Type="http://schemas.openxmlformats.org/officeDocument/2006/relationships/ctrlProp" Target="../ctrlProps/ctrlProp425.xml"/><Relationship Id="rId59" Type="http://schemas.openxmlformats.org/officeDocument/2006/relationships/ctrlProp" Target="../ctrlProps/ctrlProp438.xml"/><Relationship Id="rId67" Type="http://schemas.openxmlformats.org/officeDocument/2006/relationships/ctrlProp" Target="../ctrlProps/ctrlProp446.xml"/><Relationship Id="rId20" Type="http://schemas.openxmlformats.org/officeDocument/2006/relationships/ctrlProp" Target="../ctrlProps/ctrlProp399.xml"/><Relationship Id="rId41" Type="http://schemas.openxmlformats.org/officeDocument/2006/relationships/ctrlProp" Target="../ctrlProps/ctrlProp420.xml"/><Relationship Id="rId54" Type="http://schemas.openxmlformats.org/officeDocument/2006/relationships/ctrlProp" Target="../ctrlProps/ctrlProp433.xml"/><Relationship Id="rId62" Type="http://schemas.openxmlformats.org/officeDocument/2006/relationships/ctrlProp" Target="../ctrlProps/ctrlProp441.xml"/><Relationship Id="rId70" Type="http://schemas.openxmlformats.org/officeDocument/2006/relationships/ctrlProp" Target="../ctrlProps/ctrlProp449.xml"/><Relationship Id="rId75" Type="http://schemas.openxmlformats.org/officeDocument/2006/relationships/ctrlProp" Target="../ctrlProps/ctrlProp454.xml"/><Relationship Id="rId83" Type="http://schemas.openxmlformats.org/officeDocument/2006/relationships/ctrlProp" Target="../ctrlProps/ctrlProp462.xml"/><Relationship Id="rId88" Type="http://schemas.openxmlformats.org/officeDocument/2006/relationships/ctrlProp" Target="../ctrlProps/ctrlProp467.xml"/><Relationship Id="rId91" Type="http://schemas.openxmlformats.org/officeDocument/2006/relationships/ctrlProp" Target="../ctrlProps/ctrlProp470.xml"/><Relationship Id="rId96" Type="http://schemas.openxmlformats.org/officeDocument/2006/relationships/ctrlProp" Target="../ctrlProps/ctrlProp475.xml"/><Relationship Id="rId1" Type="http://schemas.openxmlformats.org/officeDocument/2006/relationships/printerSettings" Target="../printerSettings/printerSettings23.bin"/><Relationship Id="rId6" Type="http://schemas.openxmlformats.org/officeDocument/2006/relationships/ctrlProp" Target="../ctrlProps/ctrlProp385.xml"/><Relationship Id="rId15" Type="http://schemas.openxmlformats.org/officeDocument/2006/relationships/ctrlProp" Target="../ctrlProps/ctrlProp394.xml"/><Relationship Id="rId23" Type="http://schemas.openxmlformats.org/officeDocument/2006/relationships/ctrlProp" Target="../ctrlProps/ctrlProp402.xml"/><Relationship Id="rId28" Type="http://schemas.openxmlformats.org/officeDocument/2006/relationships/ctrlProp" Target="../ctrlProps/ctrlProp407.xml"/><Relationship Id="rId36" Type="http://schemas.openxmlformats.org/officeDocument/2006/relationships/ctrlProp" Target="../ctrlProps/ctrlProp415.xml"/><Relationship Id="rId49" Type="http://schemas.openxmlformats.org/officeDocument/2006/relationships/ctrlProp" Target="../ctrlProps/ctrlProp428.xml"/><Relationship Id="rId57" Type="http://schemas.openxmlformats.org/officeDocument/2006/relationships/ctrlProp" Target="../ctrlProps/ctrlProp436.xml"/><Relationship Id="rId10" Type="http://schemas.openxmlformats.org/officeDocument/2006/relationships/ctrlProp" Target="../ctrlProps/ctrlProp389.xml"/><Relationship Id="rId31" Type="http://schemas.openxmlformats.org/officeDocument/2006/relationships/ctrlProp" Target="../ctrlProps/ctrlProp410.xml"/><Relationship Id="rId44" Type="http://schemas.openxmlformats.org/officeDocument/2006/relationships/ctrlProp" Target="../ctrlProps/ctrlProp423.xml"/><Relationship Id="rId52" Type="http://schemas.openxmlformats.org/officeDocument/2006/relationships/ctrlProp" Target="../ctrlProps/ctrlProp431.xml"/><Relationship Id="rId60" Type="http://schemas.openxmlformats.org/officeDocument/2006/relationships/ctrlProp" Target="../ctrlProps/ctrlProp439.xml"/><Relationship Id="rId65" Type="http://schemas.openxmlformats.org/officeDocument/2006/relationships/ctrlProp" Target="../ctrlProps/ctrlProp444.xml"/><Relationship Id="rId73" Type="http://schemas.openxmlformats.org/officeDocument/2006/relationships/ctrlProp" Target="../ctrlProps/ctrlProp452.xml"/><Relationship Id="rId78" Type="http://schemas.openxmlformats.org/officeDocument/2006/relationships/ctrlProp" Target="../ctrlProps/ctrlProp457.xml"/><Relationship Id="rId81" Type="http://schemas.openxmlformats.org/officeDocument/2006/relationships/ctrlProp" Target="../ctrlProps/ctrlProp460.xml"/><Relationship Id="rId86" Type="http://schemas.openxmlformats.org/officeDocument/2006/relationships/ctrlProp" Target="../ctrlProps/ctrlProp465.xml"/><Relationship Id="rId94" Type="http://schemas.openxmlformats.org/officeDocument/2006/relationships/ctrlProp" Target="../ctrlProps/ctrlProp473.xml"/><Relationship Id="rId4" Type="http://schemas.openxmlformats.org/officeDocument/2006/relationships/image" Target="../media/image11.png"/><Relationship Id="rId9" Type="http://schemas.openxmlformats.org/officeDocument/2006/relationships/ctrlProp" Target="../ctrlProps/ctrlProp38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480.xml"/><Relationship Id="rId13" Type="http://schemas.openxmlformats.org/officeDocument/2006/relationships/ctrlProp" Target="../ctrlProps/ctrlProp485.xml"/><Relationship Id="rId3" Type="http://schemas.openxmlformats.org/officeDocument/2006/relationships/vmlDrawing" Target="../drawings/vmlDrawing22.vml"/><Relationship Id="rId7" Type="http://schemas.openxmlformats.org/officeDocument/2006/relationships/ctrlProp" Target="../ctrlProps/ctrlProp479.xml"/><Relationship Id="rId12" Type="http://schemas.openxmlformats.org/officeDocument/2006/relationships/ctrlProp" Target="../ctrlProps/ctrlProp484.xml"/><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trlProp" Target="../ctrlProps/ctrlProp478.xml"/><Relationship Id="rId11" Type="http://schemas.openxmlformats.org/officeDocument/2006/relationships/ctrlProp" Target="../ctrlProps/ctrlProp483.xml"/><Relationship Id="rId5" Type="http://schemas.openxmlformats.org/officeDocument/2006/relationships/ctrlProp" Target="../ctrlProps/ctrlProp477.xml"/><Relationship Id="rId15" Type="http://schemas.openxmlformats.org/officeDocument/2006/relationships/ctrlProp" Target="../ctrlProps/ctrlProp487.xml"/><Relationship Id="rId10" Type="http://schemas.openxmlformats.org/officeDocument/2006/relationships/ctrlProp" Target="../ctrlProps/ctrlProp482.xml"/><Relationship Id="rId4" Type="http://schemas.openxmlformats.org/officeDocument/2006/relationships/ctrlProp" Target="../ctrlProps/ctrlProp476.xml"/><Relationship Id="rId9" Type="http://schemas.openxmlformats.org/officeDocument/2006/relationships/ctrlProp" Target="../ctrlProps/ctrlProp481.xml"/><Relationship Id="rId14" Type="http://schemas.openxmlformats.org/officeDocument/2006/relationships/ctrlProp" Target="../ctrlProps/ctrlProp486.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492.xml"/><Relationship Id="rId13" Type="http://schemas.openxmlformats.org/officeDocument/2006/relationships/ctrlProp" Target="../ctrlProps/ctrlProp497.xml"/><Relationship Id="rId18" Type="http://schemas.openxmlformats.org/officeDocument/2006/relationships/ctrlProp" Target="../ctrlProps/ctrlProp502.xml"/><Relationship Id="rId3" Type="http://schemas.openxmlformats.org/officeDocument/2006/relationships/vmlDrawing" Target="../drawings/vmlDrawing23.vml"/><Relationship Id="rId21" Type="http://schemas.openxmlformats.org/officeDocument/2006/relationships/ctrlProp" Target="../ctrlProps/ctrlProp505.xml"/><Relationship Id="rId7" Type="http://schemas.openxmlformats.org/officeDocument/2006/relationships/ctrlProp" Target="../ctrlProps/ctrlProp491.xml"/><Relationship Id="rId12" Type="http://schemas.openxmlformats.org/officeDocument/2006/relationships/ctrlProp" Target="../ctrlProps/ctrlProp496.xml"/><Relationship Id="rId17" Type="http://schemas.openxmlformats.org/officeDocument/2006/relationships/ctrlProp" Target="../ctrlProps/ctrlProp501.xml"/><Relationship Id="rId25" Type="http://schemas.openxmlformats.org/officeDocument/2006/relationships/ctrlProp" Target="../ctrlProps/ctrlProp509.xml"/><Relationship Id="rId2" Type="http://schemas.openxmlformats.org/officeDocument/2006/relationships/drawing" Target="../drawings/drawing23.xml"/><Relationship Id="rId16" Type="http://schemas.openxmlformats.org/officeDocument/2006/relationships/ctrlProp" Target="../ctrlProps/ctrlProp500.xml"/><Relationship Id="rId20" Type="http://schemas.openxmlformats.org/officeDocument/2006/relationships/ctrlProp" Target="../ctrlProps/ctrlProp504.xml"/><Relationship Id="rId1" Type="http://schemas.openxmlformats.org/officeDocument/2006/relationships/printerSettings" Target="../printerSettings/printerSettings25.bin"/><Relationship Id="rId6" Type="http://schemas.openxmlformats.org/officeDocument/2006/relationships/ctrlProp" Target="../ctrlProps/ctrlProp490.xml"/><Relationship Id="rId11" Type="http://schemas.openxmlformats.org/officeDocument/2006/relationships/ctrlProp" Target="../ctrlProps/ctrlProp495.xml"/><Relationship Id="rId24" Type="http://schemas.openxmlformats.org/officeDocument/2006/relationships/ctrlProp" Target="../ctrlProps/ctrlProp508.xml"/><Relationship Id="rId5" Type="http://schemas.openxmlformats.org/officeDocument/2006/relationships/ctrlProp" Target="../ctrlProps/ctrlProp489.xml"/><Relationship Id="rId15" Type="http://schemas.openxmlformats.org/officeDocument/2006/relationships/ctrlProp" Target="../ctrlProps/ctrlProp499.xml"/><Relationship Id="rId23" Type="http://schemas.openxmlformats.org/officeDocument/2006/relationships/ctrlProp" Target="../ctrlProps/ctrlProp507.xml"/><Relationship Id="rId10" Type="http://schemas.openxmlformats.org/officeDocument/2006/relationships/ctrlProp" Target="../ctrlProps/ctrlProp494.xml"/><Relationship Id="rId19" Type="http://schemas.openxmlformats.org/officeDocument/2006/relationships/ctrlProp" Target="../ctrlProps/ctrlProp503.xml"/><Relationship Id="rId4" Type="http://schemas.openxmlformats.org/officeDocument/2006/relationships/ctrlProp" Target="../ctrlProps/ctrlProp488.xml"/><Relationship Id="rId9" Type="http://schemas.openxmlformats.org/officeDocument/2006/relationships/ctrlProp" Target="../ctrlProps/ctrlProp493.xml"/><Relationship Id="rId14" Type="http://schemas.openxmlformats.org/officeDocument/2006/relationships/ctrlProp" Target="../ctrlProps/ctrlProp498.xml"/><Relationship Id="rId22" Type="http://schemas.openxmlformats.org/officeDocument/2006/relationships/ctrlProp" Target="../ctrlProps/ctrlProp506.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514.xml"/><Relationship Id="rId13" Type="http://schemas.openxmlformats.org/officeDocument/2006/relationships/ctrlProp" Target="../ctrlProps/ctrlProp519.xml"/><Relationship Id="rId18" Type="http://schemas.openxmlformats.org/officeDocument/2006/relationships/ctrlProp" Target="../ctrlProps/ctrlProp524.xml"/><Relationship Id="rId26" Type="http://schemas.openxmlformats.org/officeDocument/2006/relationships/ctrlProp" Target="../ctrlProps/ctrlProp532.xml"/><Relationship Id="rId3" Type="http://schemas.openxmlformats.org/officeDocument/2006/relationships/vmlDrawing" Target="../drawings/vmlDrawing24.vml"/><Relationship Id="rId21" Type="http://schemas.openxmlformats.org/officeDocument/2006/relationships/ctrlProp" Target="../ctrlProps/ctrlProp527.xml"/><Relationship Id="rId7" Type="http://schemas.openxmlformats.org/officeDocument/2006/relationships/ctrlProp" Target="../ctrlProps/ctrlProp513.xml"/><Relationship Id="rId12" Type="http://schemas.openxmlformats.org/officeDocument/2006/relationships/ctrlProp" Target="../ctrlProps/ctrlProp518.xml"/><Relationship Id="rId17" Type="http://schemas.openxmlformats.org/officeDocument/2006/relationships/ctrlProp" Target="../ctrlProps/ctrlProp523.xml"/><Relationship Id="rId25" Type="http://schemas.openxmlformats.org/officeDocument/2006/relationships/ctrlProp" Target="../ctrlProps/ctrlProp531.xml"/><Relationship Id="rId2" Type="http://schemas.openxmlformats.org/officeDocument/2006/relationships/drawing" Target="../drawings/drawing24.xml"/><Relationship Id="rId16" Type="http://schemas.openxmlformats.org/officeDocument/2006/relationships/ctrlProp" Target="../ctrlProps/ctrlProp522.xml"/><Relationship Id="rId20" Type="http://schemas.openxmlformats.org/officeDocument/2006/relationships/ctrlProp" Target="../ctrlProps/ctrlProp526.xml"/><Relationship Id="rId1" Type="http://schemas.openxmlformats.org/officeDocument/2006/relationships/printerSettings" Target="../printerSettings/printerSettings26.bin"/><Relationship Id="rId6" Type="http://schemas.openxmlformats.org/officeDocument/2006/relationships/ctrlProp" Target="../ctrlProps/ctrlProp512.xml"/><Relationship Id="rId11" Type="http://schemas.openxmlformats.org/officeDocument/2006/relationships/ctrlProp" Target="../ctrlProps/ctrlProp517.xml"/><Relationship Id="rId24" Type="http://schemas.openxmlformats.org/officeDocument/2006/relationships/ctrlProp" Target="../ctrlProps/ctrlProp530.xml"/><Relationship Id="rId5" Type="http://schemas.openxmlformats.org/officeDocument/2006/relationships/ctrlProp" Target="../ctrlProps/ctrlProp511.xml"/><Relationship Id="rId15" Type="http://schemas.openxmlformats.org/officeDocument/2006/relationships/ctrlProp" Target="../ctrlProps/ctrlProp521.xml"/><Relationship Id="rId23" Type="http://schemas.openxmlformats.org/officeDocument/2006/relationships/ctrlProp" Target="../ctrlProps/ctrlProp529.xml"/><Relationship Id="rId28" Type="http://schemas.openxmlformats.org/officeDocument/2006/relationships/ctrlProp" Target="../ctrlProps/ctrlProp534.xml"/><Relationship Id="rId10" Type="http://schemas.openxmlformats.org/officeDocument/2006/relationships/ctrlProp" Target="../ctrlProps/ctrlProp516.xml"/><Relationship Id="rId19" Type="http://schemas.openxmlformats.org/officeDocument/2006/relationships/ctrlProp" Target="../ctrlProps/ctrlProp525.xml"/><Relationship Id="rId4" Type="http://schemas.openxmlformats.org/officeDocument/2006/relationships/ctrlProp" Target="../ctrlProps/ctrlProp510.xml"/><Relationship Id="rId9" Type="http://schemas.openxmlformats.org/officeDocument/2006/relationships/ctrlProp" Target="../ctrlProps/ctrlProp515.xml"/><Relationship Id="rId14" Type="http://schemas.openxmlformats.org/officeDocument/2006/relationships/ctrlProp" Target="../ctrlProps/ctrlProp520.xml"/><Relationship Id="rId22" Type="http://schemas.openxmlformats.org/officeDocument/2006/relationships/ctrlProp" Target="../ctrlProps/ctrlProp528.xml"/><Relationship Id="rId27" Type="http://schemas.openxmlformats.org/officeDocument/2006/relationships/ctrlProp" Target="../ctrlProps/ctrlProp533.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539.xml"/><Relationship Id="rId13" Type="http://schemas.openxmlformats.org/officeDocument/2006/relationships/ctrlProp" Target="../ctrlProps/ctrlProp544.xml"/><Relationship Id="rId18" Type="http://schemas.openxmlformats.org/officeDocument/2006/relationships/ctrlProp" Target="../ctrlProps/ctrlProp549.xml"/><Relationship Id="rId3" Type="http://schemas.openxmlformats.org/officeDocument/2006/relationships/vmlDrawing" Target="../drawings/vmlDrawing25.vml"/><Relationship Id="rId21" Type="http://schemas.openxmlformats.org/officeDocument/2006/relationships/ctrlProp" Target="../ctrlProps/ctrlProp552.xml"/><Relationship Id="rId7" Type="http://schemas.openxmlformats.org/officeDocument/2006/relationships/ctrlProp" Target="../ctrlProps/ctrlProp538.xml"/><Relationship Id="rId12" Type="http://schemas.openxmlformats.org/officeDocument/2006/relationships/ctrlProp" Target="../ctrlProps/ctrlProp543.xml"/><Relationship Id="rId17" Type="http://schemas.openxmlformats.org/officeDocument/2006/relationships/ctrlProp" Target="../ctrlProps/ctrlProp548.xml"/><Relationship Id="rId2" Type="http://schemas.openxmlformats.org/officeDocument/2006/relationships/drawing" Target="../drawings/drawing25.xml"/><Relationship Id="rId16" Type="http://schemas.openxmlformats.org/officeDocument/2006/relationships/ctrlProp" Target="../ctrlProps/ctrlProp547.xml"/><Relationship Id="rId20" Type="http://schemas.openxmlformats.org/officeDocument/2006/relationships/ctrlProp" Target="../ctrlProps/ctrlProp551.xml"/><Relationship Id="rId1" Type="http://schemas.openxmlformats.org/officeDocument/2006/relationships/printerSettings" Target="../printerSettings/printerSettings27.bin"/><Relationship Id="rId6" Type="http://schemas.openxmlformats.org/officeDocument/2006/relationships/ctrlProp" Target="../ctrlProps/ctrlProp537.xml"/><Relationship Id="rId11" Type="http://schemas.openxmlformats.org/officeDocument/2006/relationships/ctrlProp" Target="../ctrlProps/ctrlProp542.xml"/><Relationship Id="rId5" Type="http://schemas.openxmlformats.org/officeDocument/2006/relationships/ctrlProp" Target="../ctrlProps/ctrlProp536.xml"/><Relationship Id="rId15" Type="http://schemas.openxmlformats.org/officeDocument/2006/relationships/ctrlProp" Target="../ctrlProps/ctrlProp546.xml"/><Relationship Id="rId23" Type="http://schemas.openxmlformats.org/officeDocument/2006/relationships/ctrlProp" Target="../ctrlProps/ctrlProp554.xml"/><Relationship Id="rId10" Type="http://schemas.openxmlformats.org/officeDocument/2006/relationships/ctrlProp" Target="../ctrlProps/ctrlProp541.xml"/><Relationship Id="rId19" Type="http://schemas.openxmlformats.org/officeDocument/2006/relationships/ctrlProp" Target="../ctrlProps/ctrlProp550.xml"/><Relationship Id="rId4" Type="http://schemas.openxmlformats.org/officeDocument/2006/relationships/ctrlProp" Target="../ctrlProps/ctrlProp535.xml"/><Relationship Id="rId9" Type="http://schemas.openxmlformats.org/officeDocument/2006/relationships/ctrlProp" Target="../ctrlProps/ctrlProp540.xml"/><Relationship Id="rId14" Type="http://schemas.openxmlformats.org/officeDocument/2006/relationships/ctrlProp" Target="../ctrlProps/ctrlProp545.xml"/><Relationship Id="rId22" Type="http://schemas.openxmlformats.org/officeDocument/2006/relationships/ctrlProp" Target="../ctrlProps/ctrlProp553.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559.xml"/><Relationship Id="rId13" Type="http://schemas.openxmlformats.org/officeDocument/2006/relationships/ctrlProp" Target="../ctrlProps/ctrlProp564.xml"/><Relationship Id="rId3" Type="http://schemas.openxmlformats.org/officeDocument/2006/relationships/vmlDrawing" Target="../drawings/vmlDrawing26.vml"/><Relationship Id="rId7" Type="http://schemas.openxmlformats.org/officeDocument/2006/relationships/ctrlProp" Target="../ctrlProps/ctrlProp558.xml"/><Relationship Id="rId12" Type="http://schemas.openxmlformats.org/officeDocument/2006/relationships/ctrlProp" Target="../ctrlProps/ctrlProp563.xml"/><Relationship Id="rId17" Type="http://schemas.openxmlformats.org/officeDocument/2006/relationships/ctrlProp" Target="../ctrlProps/ctrlProp568.xml"/><Relationship Id="rId2" Type="http://schemas.openxmlformats.org/officeDocument/2006/relationships/drawing" Target="../drawings/drawing26.xml"/><Relationship Id="rId16" Type="http://schemas.openxmlformats.org/officeDocument/2006/relationships/ctrlProp" Target="../ctrlProps/ctrlProp567.xml"/><Relationship Id="rId1" Type="http://schemas.openxmlformats.org/officeDocument/2006/relationships/printerSettings" Target="../printerSettings/printerSettings28.bin"/><Relationship Id="rId6" Type="http://schemas.openxmlformats.org/officeDocument/2006/relationships/ctrlProp" Target="../ctrlProps/ctrlProp557.xml"/><Relationship Id="rId11" Type="http://schemas.openxmlformats.org/officeDocument/2006/relationships/ctrlProp" Target="../ctrlProps/ctrlProp562.xml"/><Relationship Id="rId5" Type="http://schemas.openxmlformats.org/officeDocument/2006/relationships/ctrlProp" Target="../ctrlProps/ctrlProp556.xml"/><Relationship Id="rId15" Type="http://schemas.openxmlformats.org/officeDocument/2006/relationships/ctrlProp" Target="../ctrlProps/ctrlProp566.xml"/><Relationship Id="rId10" Type="http://schemas.openxmlformats.org/officeDocument/2006/relationships/ctrlProp" Target="../ctrlProps/ctrlProp561.xml"/><Relationship Id="rId4" Type="http://schemas.openxmlformats.org/officeDocument/2006/relationships/ctrlProp" Target="../ctrlProps/ctrlProp555.xml"/><Relationship Id="rId9" Type="http://schemas.openxmlformats.org/officeDocument/2006/relationships/ctrlProp" Target="../ctrlProps/ctrlProp560.xml"/><Relationship Id="rId14" Type="http://schemas.openxmlformats.org/officeDocument/2006/relationships/ctrlProp" Target="../ctrlProps/ctrlProp56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573.xml"/><Relationship Id="rId13" Type="http://schemas.openxmlformats.org/officeDocument/2006/relationships/ctrlProp" Target="../ctrlProps/ctrlProp578.xml"/><Relationship Id="rId3" Type="http://schemas.openxmlformats.org/officeDocument/2006/relationships/vmlDrawing" Target="../drawings/vmlDrawing27.vml"/><Relationship Id="rId7" Type="http://schemas.openxmlformats.org/officeDocument/2006/relationships/ctrlProp" Target="../ctrlProps/ctrlProp572.xml"/><Relationship Id="rId12" Type="http://schemas.openxmlformats.org/officeDocument/2006/relationships/ctrlProp" Target="../ctrlProps/ctrlProp577.xml"/><Relationship Id="rId17" Type="http://schemas.openxmlformats.org/officeDocument/2006/relationships/ctrlProp" Target="../ctrlProps/ctrlProp582.xml"/><Relationship Id="rId2" Type="http://schemas.openxmlformats.org/officeDocument/2006/relationships/drawing" Target="../drawings/drawing27.xml"/><Relationship Id="rId16" Type="http://schemas.openxmlformats.org/officeDocument/2006/relationships/ctrlProp" Target="../ctrlProps/ctrlProp581.xml"/><Relationship Id="rId1" Type="http://schemas.openxmlformats.org/officeDocument/2006/relationships/printerSettings" Target="../printerSettings/printerSettings45.bin"/><Relationship Id="rId6" Type="http://schemas.openxmlformats.org/officeDocument/2006/relationships/ctrlProp" Target="../ctrlProps/ctrlProp571.xml"/><Relationship Id="rId11" Type="http://schemas.openxmlformats.org/officeDocument/2006/relationships/ctrlProp" Target="../ctrlProps/ctrlProp576.xml"/><Relationship Id="rId5" Type="http://schemas.openxmlformats.org/officeDocument/2006/relationships/ctrlProp" Target="../ctrlProps/ctrlProp570.xml"/><Relationship Id="rId15" Type="http://schemas.openxmlformats.org/officeDocument/2006/relationships/ctrlProp" Target="../ctrlProps/ctrlProp580.xml"/><Relationship Id="rId10" Type="http://schemas.openxmlformats.org/officeDocument/2006/relationships/ctrlProp" Target="../ctrlProps/ctrlProp575.xml"/><Relationship Id="rId4" Type="http://schemas.openxmlformats.org/officeDocument/2006/relationships/ctrlProp" Target="../ctrlProps/ctrlProp569.xml"/><Relationship Id="rId9" Type="http://schemas.openxmlformats.org/officeDocument/2006/relationships/ctrlProp" Target="../ctrlProps/ctrlProp574.xml"/><Relationship Id="rId14" Type="http://schemas.openxmlformats.org/officeDocument/2006/relationships/ctrlProp" Target="../ctrlProps/ctrlProp579.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587.xml"/><Relationship Id="rId13" Type="http://schemas.openxmlformats.org/officeDocument/2006/relationships/ctrlProp" Target="../ctrlProps/ctrlProp592.xml"/><Relationship Id="rId3" Type="http://schemas.openxmlformats.org/officeDocument/2006/relationships/vmlDrawing" Target="../drawings/vmlDrawing28.vml"/><Relationship Id="rId7" Type="http://schemas.openxmlformats.org/officeDocument/2006/relationships/ctrlProp" Target="../ctrlProps/ctrlProp586.xml"/><Relationship Id="rId12" Type="http://schemas.openxmlformats.org/officeDocument/2006/relationships/ctrlProp" Target="../ctrlProps/ctrlProp591.xml"/><Relationship Id="rId17" Type="http://schemas.openxmlformats.org/officeDocument/2006/relationships/ctrlProp" Target="../ctrlProps/ctrlProp596.xml"/><Relationship Id="rId2" Type="http://schemas.openxmlformats.org/officeDocument/2006/relationships/drawing" Target="../drawings/drawing28.xml"/><Relationship Id="rId16" Type="http://schemas.openxmlformats.org/officeDocument/2006/relationships/ctrlProp" Target="../ctrlProps/ctrlProp595.xml"/><Relationship Id="rId1" Type="http://schemas.openxmlformats.org/officeDocument/2006/relationships/printerSettings" Target="../printerSettings/printerSettings46.bin"/><Relationship Id="rId6" Type="http://schemas.openxmlformats.org/officeDocument/2006/relationships/ctrlProp" Target="../ctrlProps/ctrlProp585.xml"/><Relationship Id="rId11" Type="http://schemas.openxmlformats.org/officeDocument/2006/relationships/ctrlProp" Target="../ctrlProps/ctrlProp590.xml"/><Relationship Id="rId5" Type="http://schemas.openxmlformats.org/officeDocument/2006/relationships/ctrlProp" Target="../ctrlProps/ctrlProp584.xml"/><Relationship Id="rId15" Type="http://schemas.openxmlformats.org/officeDocument/2006/relationships/ctrlProp" Target="../ctrlProps/ctrlProp594.xml"/><Relationship Id="rId10" Type="http://schemas.openxmlformats.org/officeDocument/2006/relationships/ctrlProp" Target="../ctrlProps/ctrlProp589.xml"/><Relationship Id="rId4" Type="http://schemas.openxmlformats.org/officeDocument/2006/relationships/ctrlProp" Target="../ctrlProps/ctrlProp583.xml"/><Relationship Id="rId9" Type="http://schemas.openxmlformats.org/officeDocument/2006/relationships/ctrlProp" Target="../ctrlProps/ctrlProp588.xml"/><Relationship Id="rId14" Type="http://schemas.openxmlformats.org/officeDocument/2006/relationships/ctrlProp" Target="../ctrlProps/ctrlProp593.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601.xml"/><Relationship Id="rId13" Type="http://schemas.openxmlformats.org/officeDocument/2006/relationships/ctrlProp" Target="../ctrlProps/ctrlProp606.xml"/><Relationship Id="rId3" Type="http://schemas.openxmlformats.org/officeDocument/2006/relationships/vmlDrawing" Target="../drawings/vmlDrawing29.vml"/><Relationship Id="rId7" Type="http://schemas.openxmlformats.org/officeDocument/2006/relationships/ctrlProp" Target="../ctrlProps/ctrlProp600.xml"/><Relationship Id="rId12" Type="http://schemas.openxmlformats.org/officeDocument/2006/relationships/ctrlProp" Target="../ctrlProps/ctrlProp605.xml"/><Relationship Id="rId17" Type="http://schemas.openxmlformats.org/officeDocument/2006/relationships/ctrlProp" Target="../ctrlProps/ctrlProp610.xml"/><Relationship Id="rId2" Type="http://schemas.openxmlformats.org/officeDocument/2006/relationships/drawing" Target="../drawings/drawing29.xml"/><Relationship Id="rId16" Type="http://schemas.openxmlformats.org/officeDocument/2006/relationships/ctrlProp" Target="../ctrlProps/ctrlProp609.xml"/><Relationship Id="rId1" Type="http://schemas.openxmlformats.org/officeDocument/2006/relationships/printerSettings" Target="../printerSettings/printerSettings47.bin"/><Relationship Id="rId6" Type="http://schemas.openxmlformats.org/officeDocument/2006/relationships/ctrlProp" Target="../ctrlProps/ctrlProp599.xml"/><Relationship Id="rId11" Type="http://schemas.openxmlformats.org/officeDocument/2006/relationships/ctrlProp" Target="../ctrlProps/ctrlProp604.xml"/><Relationship Id="rId5" Type="http://schemas.openxmlformats.org/officeDocument/2006/relationships/ctrlProp" Target="../ctrlProps/ctrlProp598.xml"/><Relationship Id="rId15" Type="http://schemas.openxmlformats.org/officeDocument/2006/relationships/ctrlProp" Target="../ctrlProps/ctrlProp608.xml"/><Relationship Id="rId10" Type="http://schemas.openxmlformats.org/officeDocument/2006/relationships/ctrlProp" Target="../ctrlProps/ctrlProp603.xml"/><Relationship Id="rId4" Type="http://schemas.openxmlformats.org/officeDocument/2006/relationships/ctrlProp" Target="../ctrlProps/ctrlProp597.xml"/><Relationship Id="rId9" Type="http://schemas.openxmlformats.org/officeDocument/2006/relationships/ctrlProp" Target="../ctrlProps/ctrlProp602.xml"/><Relationship Id="rId14" Type="http://schemas.openxmlformats.org/officeDocument/2006/relationships/ctrlProp" Target="../ctrlProps/ctrlProp607.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615.xml"/><Relationship Id="rId13" Type="http://schemas.openxmlformats.org/officeDocument/2006/relationships/ctrlProp" Target="../ctrlProps/ctrlProp620.xml"/><Relationship Id="rId3" Type="http://schemas.openxmlformats.org/officeDocument/2006/relationships/vmlDrawing" Target="../drawings/vmlDrawing30.vml"/><Relationship Id="rId7" Type="http://schemas.openxmlformats.org/officeDocument/2006/relationships/ctrlProp" Target="../ctrlProps/ctrlProp614.xml"/><Relationship Id="rId12" Type="http://schemas.openxmlformats.org/officeDocument/2006/relationships/ctrlProp" Target="../ctrlProps/ctrlProp619.xml"/><Relationship Id="rId17" Type="http://schemas.openxmlformats.org/officeDocument/2006/relationships/ctrlProp" Target="../ctrlProps/ctrlProp624.xml"/><Relationship Id="rId2" Type="http://schemas.openxmlformats.org/officeDocument/2006/relationships/drawing" Target="../drawings/drawing30.xml"/><Relationship Id="rId16" Type="http://schemas.openxmlformats.org/officeDocument/2006/relationships/ctrlProp" Target="../ctrlProps/ctrlProp623.xml"/><Relationship Id="rId1" Type="http://schemas.openxmlformats.org/officeDocument/2006/relationships/printerSettings" Target="../printerSettings/printerSettings48.bin"/><Relationship Id="rId6" Type="http://schemas.openxmlformats.org/officeDocument/2006/relationships/ctrlProp" Target="../ctrlProps/ctrlProp613.xml"/><Relationship Id="rId11" Type="http://schemas.openxmlformats.org/officeDocument/2006/relationships/ctrlProp" Target="../ctrlProps/ctrlProp618.xml"/><Relationship Id="rId5" Type="http://schemas.openxmlformats.org/officeDocument/2006/relationships/ctrlProp" Target="../ctrlProps/ctrlProp612.xml"/><Relationship Id="rId15" Type="http://schemas.openxmlformats.org/officeDocument/2006/relationships/ctrlProp" Target="../ctrlProps/ctrlProp622.xml"/><Relationship Id="rId10" Type="http://schemas.openxmlformats.org/officeDocument/2006/relationships/ctrlProp" Target="../ctrlProps/ctrlProp617.xml"/><Relationship Id="rId4" Type="http://schemas.openxmlformats.org/officeDocument/2006/relationships/ctrlProp" Target="../ctrlProps/ctrlProp611.xml"/><Relationship Id="rId9" Type="http://schemas.openxmlformats.org/officeDocument/2006/relationships/ctrlProp" Target="../ctrlProps/ctrlProp616.xml"/><Relationship Id="rId14" Type="http://schemas.openxmlformats.org/officeDocument/2006/relationships/ctrlProp" Target="../ctrlProps/ctrlProp621.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629.xml"/><Relationship Id="rId13" Type="http://schemas.openxmlformats.org/officeDocument/2006/relationships/ctrlProp" Target="../ctrlProps/ctrlProp634.xml"/><Relationship Id="rId3" Type="http://schemas.openxmlformats.org/officeDocument/2006/relationships/vmlDrawing" Target="../drawings/vmlDrawing31.vml"/><Relationship Id="rId7" Type="http://schemas.openxmlformats.org/officeDocument/2006/relationships/ctrlProp" Target="../ctrlProps/ctrlProp628.xml"/><Relationship Id="rId12" Type="http://schemas.openxmlformats.org/officeDocument/2006/relationships/ctrlProp" Target="../ctrlProps/ctrlProp633.xml"/><Relationship Id="rId17" Type="http://schemas.openxmlformats.org/officeDocument/2006/relationships/ctrlProp" Target="../ctrlProps/ctrlProp638.xml"/><Relationship Id="rId2" Type="http://schemas.openxmlformats.org/officeDocument/2006/relationships/drawing" Target="../drawings/drawing31.xml"/><Relationship Id="rId16" Type="http://schemas.openxmlformats.org/officeDocument/2006/relationships/ctrlProp" Target="../ctrlProps/ctrlProp637.xml"/><Relationship Id="rId1" Type="http://schemas.openxmlformats.org/officeDocument/2006/relationships/printerSettings" Target="../printerSettings/printerSettings49.bin"/><Relationship Id="rId6" Type="http://schemas.openxmlformats.org/officeDocument/2006/relationships/ctrlProp" Target="../ctrlProps/ctrlProp627.xml"/><Relationship Id="rId11" Type="http://schemas.openxmlformats.org/officeDocument/2006/relationships/ctrlProp" Target="../ctrlProps/ctrlProp632.xml"/><Relationship Id="rId5" Type="http://schemas.openxmlformats.org/officeDocument/2006/relationships/ctrlProp" Target="../ctrlProps/ctrlProp626.xml"/><Relationship Id="rId15" Type="http://schemas.openxmlformats.org/officeDocument/2006/relationships/ctrlProp" Target="../ctrlProps/ctrlProp636.xml"/><Relationship Id="rId10" Type="http://schemas.openxmlformats.org/officeDocument/2006/relationships/ctrlProp" Target="../ctrlProps/ctrlProp631.xml"/><Relationship Id="rId4" Type="http://schemas.openxmlformats.org/officeDocument/2006/relationships/ctrlProp" Target="../ctrlProps/ctrlProp625.xml"/><Relationship Id="rId9" Type="http://schemas.openxmlformats.org/officeDocument/2006/relationships/ctrlProp" Target="../ctrlProps/ctrlProp630.xml"/><Relationship Id="rId14" Type="http://schemas.openxmlformats.org/officeDocument/2006/relationships/ctrlProp" Target="../ctrlProps/ctrlProp635.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643.xml"/><Relationship Id="rId13" Type="http://schemas.openxmlformats.org/officeDocument/2006/relationships/ctrlProp" Target="../ctrlProps/ctrlProp648.xml"/><Relationship Id="rId3" Type="http://schemas.openxmlformats.org/officeDocument/2006/relationships/vmlDrawing" Target="../drawings/vmlDrawing32.vml"/><Relationship Id="rId7" Type="http://schemas.openxmlformats.org/officeDocument/2006/relationships/ctrlProp" Target="../ctrlProps/ctrlProp642.xml"/><Relationship Id="rId12" Type="http://schemas.openxmlformats.org/officeDocument/2006/relationships/ctrlProp" Target="../ctrlProps/ctrlProp647.xml"/><Relationship Id="rId17" Type="http://schemas.openxmlformats.org/officeDocument/2006/relationships/ctrlProp" Target="../ctrlProps/ctrlProp652.xml"/><Relationship Id="rId2" Type="http://schemas.openxmlformats.org/officeDocument/2006/relationships/drawing" Target="../drawings/drawing32.xml"/><Relationship Id="rId16" Type="http://schemas.openxmlformats.org/officeDocument/2006/relationships/ctrlProp" Target="../ctrlProps/ctrlProp651.xml"/><Relationship Id="rId1" Type="http://schemas.openxmlformats.org/officeDocument/2006/relationships/printerSettings" Target="../printerSettings/printerSettings50.bin"/><Relationship Id="rId6" Type="http://schemas.openxmlformats.org/officeDocument/2006/relationships/ctrlProp" Target="../ctrlProps/ctrlProp641.xml"/><Relationship Id="rId11" Type="http://schemas.openxmlformats.org/officeDocument/2006/relationships/ctrlProp" Target="../ctrlProps/ctrlProp646.xml"/><Relationship Id="rId5" Type="http://schemas.openxmlformats.org/officeDocument/2006/relationships/ctrlProp" Target="../ctrlProps/ctrlProp640.xml"/><Relationship Id="rId15" Type="http://schemas.openxmlformats.org/officeDocument/2006/relationships/ctrlProp" Target="../ctrlProps/ctrlProp650.xml"/><Relationship Id="rId10" Type="http://schemas.openxmlformats.org/officeDocument/2006/relationships/ctrlProp" Target="../ctrlProps/ctrlProp645.xml"/><Relationship Id="rId4" Type="http://schemas.openxmlformats.org/officeDocument/2006/relationships/ctrlProp" Target="../ctrlProps/ctrlProp639.xml"/><Relationship Id="rId9" Type="http://schemas.openxmlformats.org/officeDocument/2006/relationships/ctrlProp" Target="../ctrlProps/ctrlProp644.xml"/><Relationship Id="rId14" Type="http://schemas.openxmlformats.org/officeDocument/2006/relationships/ctrlProp" Target="../ctrlProps/ctrlProp649.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657.xml"/><Relationship Id="rId13" Type="http://schemas.openxmlformats.org/officeDocument/2006/relationships/ctrlProp" Target="../ctrlProps/ctrlProp662.xml"/><Relationship Id="rId18" Type="http://schemas.openxmlformats.org/officeDocument/2006/relationships/ctrlProp" Target="../ctrlProps/ctrlProp667.xml"/><Relationship Id="rId3" Type="http://schemas.openxmlformats.org/officeDocument/2006/relationships/vmlDrawing" Target="../drawings/vmlDrawing33.vml"/><Relationship Id="rId21" Type="http://schemas.openxmlformats.org/officeDocument/2006/relationships/ctrlProp" Target="../ctrlProps/ctrlProp670.xml"/><Relationship Id="rId7" Type="http://schemas.openxmlformats.org/officeDocument/2006/relationships/ctrlProp" Target="../ctrlProps/ctrlProp656.xml"/><Relationship Id="rId12" Type="http://schemas.openxmlformats.org/officeDocument/2006/relationships/ctrlProp" Target="../ctrlProps/ctrlProp661.xml"/><Relationship Id="rId17" Type="http://schemas.openxmlformats.org/officeDocument/2006/relationships/ctrlProp" Target="../ctrlProps/ctrlProp666.xml"/><Relationship Id="rId2" Type="http://schemas.openxmlformats.org/officeDocument/2006/relationships/drawing" Target="../drawings/drawing33.xml"/><Relationship Id="rId16" Type="http://schemas.openxmlformats.org/officeDocument/2006/relationships/ctrlProp" Target="../ctrlProps/ctrlProp665.xml"/><Relationship Id="rId20" Type="http://schemas.openxmlformats.org/officeDocument/2006/relationships/ctrlProp" Target="../ctrlProps/ctrlProp669.xml"/><Relationship Id="rId1" Type="http://schemas.openxmlformats.org/officeDocument/2006/relationships/printerSettings" Target="../printerSettings/printerSettings51.bin"/><Relationship Id="rId6" Type="http://schemas.openxmlformats.org/officeDocument/2006/relationships/ctrlProp" Target="../ctrlProps/ctrlProp655.xml"/><Relationship Id="rId11" Type="http://schemas.openxmlformats.org/officeDocument/2006/relationships/ctrlProp" Target="../ctrlProps/ctrlProp660.xml"/><Relationship Id="rId5" Type="http://schemas.openxmlformats.org/officeDocument/2006/relationships/ctrlProp" Target="../ctrlProps/ctrlProp654.xml"/><Relationship Id="rId15" Type="http://schemas.openxmlformats.org/officeDocument/2006/relationships/ctrlProp" Target="../ctrlProps/ctrlProp664.xml"/><Relationship Id="rId10" Type="http://schemas.openxmlformats.org/officeDocument/2006/relationships/ctrlProp" Target="../ctrlProps/ctrlProp659.xml"/><Relationship Id="rId19" Type="http://schemas.openxmlformats.org/officeDocument/2006/relationships/ctrlProp" Target="../ctrlProps/ctrlProp668.xml"/><Relationship Id="rId4" Type="http://schemas.openxmlformats.org/officeDocument/2006/relationships/ctrlProp" Target="../ctrlProps/ctrlProp653.xml"/><Relationship Id="rId9" Type="http://schemas.openxmlformats.org/officeDocument/2006/relationships/ctrlProp" Target="../ctrlProps/ctrlProp658.xml"/><Relationship Id="rId14" Type="http://schemas.openxmlformats.org/officeDocument/2006/relationships/ctrlProp" Target="../ctrlProps/ctrlProp663.xml"/><Relationship Id="rId22" Type="http://schemas.openxmlformats.org/officeDocument/2006/relationships/ctrlProp" Target="../ctrlProps/ctrlProp671.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676.xml"/><Relationship Id="rId13" Type="http://schemas.openxmlformats.org/officeDocument/2006/relationships/ctrlProp" Target="../ctrlProps/ctrlProp681.xml"/><Relationship Id="rId18" Type="http://schemas.openxmlformats.org/officeDocument/2006/relationships/ctrlProp" Target="../ctrlProps/ctrlProp686.xml"/><Relationship Id="rId26" Type="http://schemas.openxmlformats.org/officeDocument/2006/relationships/ctrlProp" Target="../ctrlProps/ctrlProp694.xml"/><Relationship Id="rId3" Type="http://schemas.openxmlformats.org/officeDocument/2006/relationships/vmlDrawing" Target="../drawings/vmlDrawing34.vml"/><Relationship Id="rId21" Type="http://schemas.openxmlformats.org/officeDocument/2006/relationships/ctrlProp" Target="../ctrlProps/ctrlProp689.xml"/><Relationship Id="rId7" Type="http://schemas.openxmlformats.org/officeDocument/2006/relationships/ctrlProp" Target="../ctrlProps/ctrlProp675.xml"/><Relationship Id="rId12" Type="http://schemas.openxmlformats.org/officeDocument/2006/relationships/ctrlProp" Target="../ctrlProps/ctrlProp680.xml"/><Relationship Id="rId17" Type="http://schemas.openxmlformats.org/officeDocument/2006/relationships/ctrlProp" Target="../ctrlProps/ctrlProp685.xml"/><Relationship Id="rId25" Type="http://schemas.openxmlformats.org/officeDocument/2006/relationships/ctrlProp" Target="../ctrlProps/ctrlProp693.xml"/><Relationship Id="rId2" Type="http://schemas.openxmlformats.org/officeDocument/2006/relationships/drawing" Target="../drawings/drawing34.xml"/><Relationship Id="rId16" Type="http://schemas.openxmlformats.org/officeDocument/2006/relationships/ctrlProp" Target="../ctrlProps/ctrlProp684.xml"/><Relationship Id="rId20" Type="http://schemas.openxmlformats.org/officeDocument/2006/relationships/ctrlProp" Target="../ctrlProps/ctrlProp688.xml"/><Relationship Id="rId1" Type="http://schemas.openxmlformats.org/officeDocument/2006/relationships/printerSettings" Target="../printerSettings/printerSettings52.bin"/><Relationship Id="rId6" Type="http://schemas.openxmlformats.org/officeDocument/2006/relationships/ctrlProp" Target="../ctrlProps/ctrlProp674.xml"/><Relationship Id="rId11" Type="http://schemas.openxmlformats.org/officeDocument/2006/relationships/ctrlProp" Target="../ctrlProps/ctrlProp679.xml"/><Relationship Id="rId24" Type="http://schemas.openxmlformats.org/officeDocument/2006/relationships/ctrlProp" Target="../ctrlProps/ctrlProp692.xml"/><Relationship Id="rId5" Type="http://schemas.openxmlformats.org/officeDocument/2006/relationships/ctrlProp" Target="../ctrlProps/ctrlProp673.xml"/><Relationship Id="rId15" Type="http://schemas.openxmlformats.org/officeDocument/2006/relationships/ctrlProp" Target="../ctrlProps/ctrlProp683.xml"/><Relationship Id="rId23" Type="http://schemas.openxmlformats.org/officeDocument/2006/relationships/ctrlProp" Target="../ctrlProps/ctrlProp691.xml"/><Relationship Id="rId10" Type="http://schemas.openxmlformats.org/officeDocument/2006/relationships/ctrlProp" Target="../ctrlProps/ctrlProp678.xml"/><Relationship Id="rId19" Type="http://schemas.openxmlformats.org/officeDocument/2006/relationships/ctrlProp" Target="../ctrlProps/ctrlProp687.xml"/><Relationship Id="rId4" Type="http://schemas.openxmlformats.org/officeDocument/2006/relationships/ctrlProp" Target="../ctrlProps/ctrlProp672.xml"/><Relationship Id="rId9" Type="http://schemas.openxmlformats.org/officeDocument/2006/relationships/ctrlProp" Target="../ctrlProps/ctrlProp677.xml"/><Relationship Id="rId14" Type="http://schemas.openxmlformats.org/officeDocument/2006/relationships/ctrlProp" Target="../ctrlProps/ctrlProp682.xml"/><Relationship Id="rId22" Type="http://schemas.openxmlformats.org/officeDocument/2006/relationships/ctrlProp" Target="../ctrlProps/ctrlProp690.xml"/></Relationships>
</file>

<file path=xl/worksheets/_rels/sheet53.xml.rels><?xml version="1.0" encoding="UTF-8" standalone="yes"?>
<Relationships xmlns="http://schemas.openxmlformats.org/package/2006/relationships"><Relationship Id="rId8" Type="http://schemas.openxmlformats.org/officeDocument/2006/relationships/ctrlProp" Target="../ctrlProps/ctrlProp699.xml"/><Relationship Id="rId13" Type="http://schemas.openxmlformats.org/officeDocument/2006/relationships/ctrlProp" Target="../ctrlProps/ctrlProp704.xml"/><Relationship Id="rId18" Type="http://schemas.openxmlformats.org/officeDocument/2006/relationships/ctrlProp" Target="../ctrlProps/ctrlProp709.xml"/><Relationship Id="rId26" Type="http://schemas.openxmlformats.org/officeDocument/2006/relationships/ctrlProp" Target="../ctrlProps/ctrlProp717.xml"/><Relationship Id="rId3" Type="http://schemas.openxmlformats.org/officeDocument/2006/relationships/vmlDrawing" Target="../drawings/vmlDrawing35.vml"/><Relationship Id="rId21" Type="http://schemas.openxmlformats.org/officeDocument/2006/relationships/ctrlProp" Target="../ctrlProps/ctrlProp712.xml"/><Relationship Id="rId34" Type="http://schemas.openxmlformats.org/officeDocument/2006/relationships/ctrlProp" Target="../ctrlProps/ctrlProp725.xml"/><Relationship Id="rId7" Type="http://schemas.openxmlformats.org/officeDocument/2006/relationships/ctrlProp" Target="../ctrlProps/ctrlProp698.xml"/><Relationship Id="rId12" Type="http://schemas.openxmlformats.org/officeDocument/2006/relationships/ctrlProp" Target="../ctrlProps/ctrlProp703.xml"/><Relationship Id="rId17" Type="http://schemas.openxmlformats.org/officeDocument/2006/relationships/ctrlProp" Target="../ctrlProps/ctrlProp708.xml"/><Relationship Id="rId25" Type="http://schemas.openxmlformats.org/officeDocument/2006/relationships/ctrlProp" Target="../ctrlProps/ctrlProp716.xml"/><Relationship Id="rId33" Type="http://schemas.openxmlformats.org/officeDocument/2006/relationships/ctrlProp" Target="../ctrlProps/ctrlProp724.xml"/><Relationship Id="rId2" Type="http://schemas.openxmlformats.org/officeDocument/2006/relationships/drawing" Target="../drawings/drawing35.xml"/><Relationship Id="rId16" Type="http://schemas.openxmlformats.org/officeDocument/2006/relationships/ctrlProp" Target="../ctrlProps/ctrlProp707.xml"/><Relationship Id="rId20" Type="http://schemas.openxmlformats.org/officeDocument/2006/relationships/ctrlProp" Target="../ctrlProps/ctrlProp711.xml"/><Relationship Id="rId29" Type="http://schemas.openxmlformats.org/officeDocument/2006/relationships/ctrlProp" Target="../ctrlProps/ctrlProp720.xml"/><Relationship Id="rId1" Type="http://schemas.openxmlformats.org/officeDocument/2006/relationships/printerSettings" Target="../printerSettings/printerSettings53.bin"/><Relationship Id="rId6" Type="http://schemas.openxmlformats.org/officeDocument/2006/relationships/ctrlProp" Target="../ctrlProps/ctrlProp697.xml"/><Relationship Id="rId11" Type="http://schemas.openxmlformats.org/officeDocument/2006/relationships/ctrlProp" Target="../ctrlProps/ctrlProp702.xml"/><Relationship Id="rId24" Type="http://schemas.openxmlformats.org/officeDocument/2006/relationships/ctrlProp" Target="../ctrlProps/ctrlProp715.xml"/><Relationship Id="rId32" Type="http://schemas.openxmlformats.org/officeDocument/2006/relationships/ctrlProp" Target="../ctrlProps/ctrlProp723.xml"/><Relationship Id="rId5" Type="http://schemas.openxmlformats.org/officeDocument/2006/relationships/ctrlProp" Target="../ctrlProps/ctrlProp696.xml"/><Relationship Id="rId15" Type="http://schemas.openxmlformats.org/officeDocument/2006/relationships/ctrlProp" Target="../ctrlProps/ctrlProp706.xml"/><Relationship Id="rId23" Type="http://schemas.openxmlformats.org/officeDocument/2006/relationships/ctrlProp" Target="../ctrlProps/ctrlProp714.xml"/><Relationship Id="rId28" Type="http://schemas.openxmlformats.org/officeDocument/2006/relationships/ctrlProp" Target="../ctrlProps/ctrlProp719.xml"/><Relationship Id="rId10" Type="http://schemas.openxmlformats.org/officeDocument/2006/relationships/ctrlProp" Target="../ctrlProps/ctrlProp701.xml"/><Relationship Id="rId19" Type="http://schemas.openxmlformats.org/officeDocument/2006/relationships/ctrlProp" Target="../ctrlProps/ctrlProp710.xml"/><Relationship Id="rId31" Type="http://schemas.openxmlformats.org/officeDocument/2006/relationships/ctrlProp" Target="../ctrlProps/ctrlProp722.xml"/><Relationship Id="rId4" Type="http://schemas.openxmlformats.org/officeDocument/2006/relationships/ctrlProp" Target="../ctrlProps/ctrlProp695.xml"/><Relationship Id="rId9" Type="http://schemas.openxmlformats.org/officeDocument/2006/relationships/ctrlProp" Target="../ctrlProps/ctrlProp700.xml"/><Relationship Id="rId14" Type="http://schemas.openxmlformats.org/officeDocument/2006/relationships/ctrlProp" Target="../ctrlProps/ctrlProp705.xml"/><Relationship Id="rId22" Type="http://schemas.openxmlformats.org/officeDocument/2006/relationships/ctrlProp" Target="../ctrlProps/ctrlProp713.xml"/><Relationship Id="rId27" Type="http://schemas.openxmlformats.org/officeDocument/2006/relationships/ctrlProp" Target="../ctrlProps/ctrlProp718.xml"/><Relationship Id="rId30" Type="http://schemas.openxmlformats.org/officeDocument/2006/relationships/ctrlProp" Target="../ctrlProps/ctrlProp721.xml"/><Relationship Id="rId35" Type="http://schemas.openxmlformats.org/officeDocument/2006/relationships/ctrlProp" Target="../ctrlProps/ctrlProp726.xml"/></Relationships>
</file>

<file path=xl/worksheets/_rels/sheet54.xml.rels><?xml version="1.0" encoding="UTF-8" standalone="yes"?>
<Relationships xmlns="http://schemas.openxmlformats.org/package/2006/relationships"><Relationship Id="rId8" Type="http://schemas.openxmlformats.org/officeDocument/2006/relationships/ctrlProp" Target="../ctrlProps/ctrlProp731.xml"/><Relationship Id="rId13" Type="http://schemas.openxmlformats.org/officeDocument/2006/relationships/ctrlProp" Target="../ctrlProps/ctrlProp736.xml"/><Relationship Id="rId18" Type="http://schemas.openxmlformats.org/officeDocument/2006/relationships/ctrlProp" Target="../ctrlProps/ctrlProp741.xml"/><Relationship Id="rId3" Type="http://schemas.openxmlformats.org/officeDocument/2006/relationships/vmlDrawing" Target="../drawings/vmlDrawing36.vml"/><Relationship Id="rId21" Type="http://schemas.openxmlformats.org/officeDocument/2006/relationships/ctrlProp" Target="../ctrlProps/ctrlProp744.xml"/><Relationship Id="rId7" Type="http://schemas.openxmlformats.org/officeDocument/2006/relationships/ctrlProp" Target="../ctrlProps/ctrlProp730.xml"/><Relationship Id="rId12" Type="http://schemas.openxmlformats.org/officeDocument/2006/relationships/ctrlProp" Target="../ctrlProps/ctrlProp735.xml"/><Relationship Id="rId17" Type="http://schemas.openxmlformats.org/officeDocument/2006/relationships/ctrlProp" Target="../ctrlProps/ctrlProp740.xml"/><Relationship Id="rId2" Type="http://schemas.openxmlformats.org/officeDocument/2006/relationships/drawing" Target="../drawings/drawing36.xml"/><Relationship Id="rId16" Type="http://schemas.openxmlformats.org/officeDocument/2006/relationships/ctrlProp" Target="../ctrlProps/ctrlProp739.xml"/><Relationship Id="rId20" Type="http://schemas.openxmlformats.org/officeDocument/2006/relationships/ctrlProp" Target="../ctrlProps/ctrlProp743.xml"/><Relationship Id="rId1" Type="http://schemas.openxmlformats.org/officeDocument/2006/relationships/printerSettings" Target="../printerSettings/printerSettings54.bin"/><Relationship Id="rId6" Type="http://schemas.openxmlformats.org/officeDocument/2006/relationships/ctrlProp" Target="../ctrlProps/ctrlProp729.xml"/><Relationship Id="rId11" Type="http://schemas.openxmlformats.org/officeDocument/2006/relationships/ctrlProp" Target="../ctrlProps/ctrlProp734.xml"/><Relationship Id="rId5" Type="http://schemas.openxmlformats.org/officeDocument/2006/relationships/ctrlProp" Target="../ctrlProps/ctrlProp728.xml"/><Relationship Id="rId15" Type="http://schemas.openxmlformats.org/officeDocument/2006/relationships/ctrlProp" Target="../ctrlProps/ctrlProp738.xml"/><Relationship Id="rId10" Type="http://schemas.openxmlformats.org/officeDocument/2006/relationships/ctrlProp" Target="../ctrlProps/ctrlProp733.xml"/><Relationship Id="rId19" Type="http://schemas.openxmlformats.org/officeDocument/2006/relationships/ctrlProp" Target="../ctrlProps/ctrlProp742.xml"/><Relationship Id="rId4" Type="http://schemas.openxmlformats.org/officeDocument/2006/relationships/ctrlProp" Target="../ctrlProps/ctrlProp727.xml"/><Relationship Id="rId9" Type="http://schemas.openxmlformats.org/officeDocument/2006/relationships/ctrlProp" Target="../ctrlProps/ctrlProp732.xml"/><Relationship Id="rId14" Type="http://schemas.openxmlformats.org/officeDocument/2006/relationships/ctrlProp" Target="../ctrlProps/ctrlProp737.xml"/></Relationships>
</file>

<file path=xl/worksheets/_rels/sheet55.xml.rels><?xml version="1.0" encoding="UTF-8" standalone="yes"?>
<Relationships xmlns="http://schemas.openxmlformats.org/package/2006/relationships"><Relationship Id="rId8" Type="http://schemas.openxmlformats.org/officeDocument/2006/relationships/ctrlProp" Target="../ctrlProps/ctrlProp749.xml"/><Relationship Id="rId13" Type="http://schemas.openxmlformats.org/officeDocument/2006/relationships/ctrlProp" Target="../ctrlProps/ctrlProp754.xml"/><Relationship Id="rId18" Type="http://schemas.openxmlformats.org/officeDocument/2006/relationships/ctrlProp" Target="../ctrlProps/ctrlProp759.xml"/><Relationship Id="rId26" Type="http://schemas.openxmlformats.org/officeDocument/2006/relationships/ctrlProp" Target="../ctrlProps/ctrlProp767.xml"/><Relationship Id="rId39" Type="http://schemas.openxmlformats.org/officeDocument/2006/relationships/ctrlProp" Target="../ctrlProps/ctrlProp780.xml"/><Relationship Id="rId3" Type="http://schemas.openxmlformats.org/officeDocument/2006/relationships/vmlDrawing" Target="../drawings/vmlDrawing37.vml"/><Relationship Id="rId21" Type="http://schemas.openxmlformats.org/officeDocument/2006/relationships/ctrlProp" Target="../ctrlProps/ctrlProp762.xml"/><Relationship Id="rId34" Type="http://schemas.openxmlformats.org/officeDocument/2006/relationships/ctrlProp" Target="../ctrlProps/ctrlProp775.xml"/><Relationship Id="rId7" Type="http://schemas.openxmlformats.org/officeDocument/2006/relationships/ctrlProp" Target="../ctrlProps/ctrlProp748.xml"/><Relationship Id="rId12" Type="http://schemas.openxmlformats.org/officeDocument/2006/relationships/ctrlProp" Target="../ctrlProps/ctrlProp753.xml"/><Relationship Id="rId17" Type="http://schemas.openxmlformats.org/officeDocument/2006/relationships/ctrlProp" Target="../ctrlProps/ctrlProp758.xml"/><Relationship Id="rId25" Type="http://schemas.openxmlformats.org/officeDocument/2006/relationships/ctrlProp" Target="../ctrlProps/ctrlProp766.xml"/><Relationship Id="rId33" Type="http://schemas.openxmlformats.org/officeDocument/2006/relationships/ctrlProp" Target="../ctrlProps/ctrlProp774.xml"/><Relationship Id="rId38" Type="http://schemas.openxmlformats.org/officeDocument/2006/relationships/ctrlProp" Target="../ctrlProps/ctrlProp779.xml"/><Relationship Id="rId2" Type="http://schemas.openxmlformats.org/officeDocument/2006/relationships/drawing" Target="../drawings/drawing37.xml"/><Relationship Id="rId16" Type="http://schemas.openxmlformats.org/officeDocument/2006/relationships/ctrlProp" Target="../ctrlProps/ctrlProp757.xml"/><Relationship Id="rId20" Type="http://schemas.openxmlformats.org/officeDocument/2006/relationships/ctrlProp" Target="../ctrlProps/ctrlProp761.xml"/><Relationship Id="rId29" Type="http://schemas.openxmlformats.org/officeDocument/2006/relationships/ctrlProp" Target="../ctrlProps/ctrlProp770.xml"/><Relationship Id="rId1" Type="http://schemas.openxmlformats.org/officeDocument/2006/relationships/printerSettings" Target="../printerSettings/printerSettings55.bin"/><Relationship Id="rId6" Type="http://schemas.openxmlformats.org/officeDocument/2006/relationships/ctrlProp" Target="../ctrlProps/ctrlProp747.xml"/><Relationship Id="rId11" Type="http://schemas.openxmlformats.org/officeDocument/2006/relationships/ctrlProp" Target="../ctrlProps/ctrlProp752.xml"/><Relationship Id="rId24" Type="http://schemas.openxmlformats.org/officeDocument/2006/relationships/ctrlProp" Target="../ctrlProps/ctrlProp765.xml"/><Relationship Id="rId32" Type="http://schemas.openxmlformats.org/officeDocument/2006/relationships/ctrlProp" Target="../ctrlProps/ctrlProp773.xml"/><Relationship Id="rId37" Type="http://schemas.openxmlformats.org/officeDocument/2006/relationships/ctrlProp" Target="../ctrlProps/ctrlProp778.xml"/><Relationship Id="rId5" Type="http://schemas.openxmlformats.org/officeDocument/2006/relationships/ctrlProp" Target="../ctrlProps/ctrlProp746.xml"/><Relationship Id="rId15" Type="http://schemas.openxmlformats.org/officeDocument/2006/relationships/ctrlProp" Target="../ctrlProps/ctrlProp756.xml"/><Relationship Id="rId23" Type="http://schemas.openxmlformats.org/officeDocument/2006/relationships/ctrlProp" Target="../ctrlProps/ctrlProp764.xml"/><Relationship Id="rId28" Type="http://schemas.openxmlformats.org/officeDocument/2006/relationships/ctrlProp" Target="../ctrlProps/ctrlProp769.xml"/><Relationship Id="rId36" Type="http://schemas.openxmlformats.org/officeDocument/2006/relationships/ctrlProp" Target="../ctrlProps/ctrlProp777.xml"/><Relationship Id="rId10" Type="http://schemas.openxmlformats.org/officeDocument/2006/relationships/ctrlProp" Target="../ctrlProps/ctrlProp751.xml"/><Relationship Id="rId19" Type="http://schemas.openxmlformats.org/officeDocument/2006/relationships/ctrlProp" Target="../ctrlProps/ctrlProp760.xml"/><Relationship Id="rId31" Type="http://schemas.openxmlformats.org/officeDocument/2006/relationships/ctrlProp" Target="../ctrlProps/ctrlProp772.xml"/><Relationship Id="rId4" Type="http://schemas.openxmlformats.org/officeDocument/2006/relationships/ctrlProp" Target="../ctrlProps/ctrlProp745.xml"/><Relationship Id="rId9" Type="http://schemas.openxmlformats.org/officeDocument/2006/relationships/ctrlProp" Target="../ctrlProps/ctrlProp750.xml"/><Relationship Id="rId14" Type="http://schemas.openxmlformats.org/officeDocument/2006/relationships/ctrlProp" Target="../ctrlProps/ctrlProp755.xml"/><Relationship Id="rId22" Type="http://schemas.openxmlformats.org/officeDocument/2006/relationships/ctrlProp" Target="../ctrlProps/ctrlProp763.xml"/><Relationship Id="rId27" Type="http://schemas.openxmlformats.org/officeDocument/2006/relationships/ctrlProp" Target="../ctrlProps/ctrlProp768.xml"/><Relationship Id="rId30" Type="http://schemas.openxmlformats.org/officeDocument/2006/relationships/ctrlProp" Target="../ctrlProps/ctrlProp771.xml"/><Relationship Id="rId35" Type="http://schemas.openxmlformats.org/officeDocument/2006/relationships/ctrlProp" Target="../ctrlProps/ctrlProp776.xml"/></Relationships>
</file>

<file path=xl/worksheets/_rels/sheet56.xml.rels><?xml version="1.0" encoding="UTF-8" standalone="yes"?>
<Relationships xmlns="http://schemas.openxmlformats.org/package/2006/relationships"><Relationship Id="rId8" Type="http://schemas.openxmlformats.org/officeDocument/2006/relationships/ctrlProp" Target="../ctrlProps/ctrlProp785.xml"/><Relationship Id="rId13" Type="http://schemas.openxmlformats.org/officeDocument/2006/relationships/ctrlProp" Target="../ctrlProps/ctrlProp790.xml"/><Relationship Id="rId18" Type="http://schemas.openxmlformats.org/officeDocument/2006/relationships/ctrlProp" Target="../ctrlProps/ctrlProp795.xml"/><Relationship Id="rId3" Type="http://schemas.openxmlformats.org/officeDocument/2006/relationships/vmlDrawing" Target="../drawings/vmlDrawing38.vml"/><Relationship Id="rId7" Type="http://schemas.openxmlformats.org/officeDocument/2006/relationships/ctrlProp" Target="../ctrlProps/ctrlProp784.xml"/><Relationship Id="rId12" Type="http://schemas.openxmlformats.org/officeDocument/2006/relationships/ctrlProp" Target="../ctrlProps/ctrlProp789.xml"/><Relationship Id="rId17" Type="http://schemas.openxmlformats.org/officeDocument/2006/relationships/ctrlProp" Target="../ctrlProps/ctrlProp794.xml"/><Relationship Id="rId2" Type="http://schemas.openxmlformats.org/officeDocument/2006/relationships/drawing" Target="../drawings/drawing38.xml"/><Relationship Id="rId16" Type="http://schemas.openxmlformats.org/officeDocument/2006/relationships/ctrlProp" Target="../ctrlProps/ctrlProp793.xml"/><Relationship Id="rId1" Type="http://schemas.openxmlformats.org/officeDocument/2006/relationships/printerSettings" Target="../printerSettings/printerSettings56.bin"/><Relationship Id="rId6" Type="http://schemas.openxmlformats.org/officeDocument/2006/relationships/ctrlProp" Target="../ctrlProps/ctrlProp783.xml"/><Relationship Id="rId11" Type="http://schemas.openxmlformats.org/officeDocument/2006/relationships/ctrlProp" Target="../ctrlProps/ctrlProp788.xml"/><Relationship Id="rId5" Type="http://schemas.openxmlformats.org/officeDocument/2006/relationships/ctrlProp" Target="../ctrlProps/ctrlProp782.xml"/><Relationship Id="rId15" Type="http://schemas.openxmlformats.org/officeDocument/2006/relationships/ctrlProp" Target="../ctrlProps/ctrlProp792.xml"/><Relationship Id="rId10" Type="http://schemas.openxmlformats.org/officeDocument/2006/relationships/ctrlProp" Target="../ctrlProps/ctrlProp787.xml"/><Relationship Id="rId19" Type="http://schemas.openxmlformats.org/officeDocument/2006/relationships/ctrlProp" Target="../ctrlProps/ctrlProp796.xml"/><Relationship Id="rId4" Type="http://schemas.openxmlformats.org/officeDocument/2006/relationships/ctrlProp" Target="../ctrlProps/ctrlProp781.xml"/><Relationship Id="rId9" Type="http://schemas.openxmlformats.org/officeDocument/2006/relationships/ctrlProp" Target="../ctrlProps/ctrlProp786.xml"/><Relationship Id="rId14" Type="http://schemas.openxmlformats.org/officeDocument/2006/relationships/ctrlProp" Target="../ctrlProps/ctrlProp791.xml"/></Relationships>
</file>

<file path=xl/worksheets/_rels/sheet60.xml.rels><?xml version="1.0" encoding="UTF-8" standalone="yes"?>
<Relationships xmlns="http://schemas.openxmlformats.org/package/2006/relationships"><Relationship Id="rId8" Type="http://schemas.openxmlformats.org/officeDocument/2006/relationships/ctrlProp" Target="../ctrlProps/ctrlProp801.xml"/><Relationship Id="rId13" Type="http://schemas.openxmlformats.org/officeDocument/2006/relationships/ctrlProp" Target="../ctrlProps/ctrlProp806.xml"/><Relationship Id="rId18" Type="http://schemas.openxmlformats.org/officeDocument/2006/relationships/ctrlProp" Target="../ctrlProps/ctrlProp811.xml"/><Relationship Id="rId26" Type="http://schemas.openxmlformats.org/officeDocument/2006/relationships/ctrlProp" Target="../ctrlProps/ctrlProp819.xml"/><Relationship Id="rId3" Type="http://schemas.openxmlformats.org/officeDocument/2006/relationships/vmlDrawing" Target="../drawings/vmlDrawing39.vml"/><Relationship Id="rId21" Type="http://schemas.openxmlformats.org/officeDocument/2006/relationships/ctrlProp" Target="../ctrlProps/ctrlProp814.xml"/><Relationship Id="rId7" Type="http://schemas.openxmlformats.org/officeDocument/2006/relationships/ctrlProp" Target="../ctrlProps/ctrlProp800.xml"/><Relationship Id="rId12" Type="http://schemas.openxmlformats.org/officeDocument/2006/relationships/ctrlProp" Target="../ctrlProps/ctrlProp805.xml"/><Relationship Id="rId17" Type="http://schemas.openxmlformats.org/officeDocument/2006/relationships/ctrlProp" Target="../ctrlProps/ctrlProp810.xml"/><Relationship Id="rId25" Type="http://schemas.openxmlformats.org/officeDocument/2006/relationships/ctrlProp" Target="../ctrlProps/ctrlProp818.xml"/><Relationship Id="rId2" Type="http://schemas.openxmlformats.org/officeDocument/2006/relationships/drawing" Target="../drawings/drawing39.xml"/><Relationship Id="rId16" Type="http://schemas.openxmlformats.org/officeDocument/2006/relationships/ctrlProp" Target="../ctrlProps/ctrlProp809.xml"/><Relationship Id="rId20" Type="http://schemas.openxmlformats.org/officeDocument/2006/relationships/ctrlProp" Target="../ctrlProps/ctrlProp813.xml"/><Relationship Id="rId1" Type="http://schemas.openxmlformats.org/officeDocument/2006/relationships/printerSettings" Target="../printerSettings/printerSettings57.bin"/><Relationship Id="rId6" Type="http://schemas.openxmlformats.org/officeDocument/2006/relationships/ctrlProp" Target="../ctrlProps/ctrlProp799.xml"/><Relationship Id="rId11" Type="http://schemas.openxmlformats.org/officeDocument/2006/relationships/ctrlProp" Target="../ctrlProps/ctrlProp804.xml"/><Relationship Id="rId24" Type="http://schemas.openxmlformats.org/officeDocument/2006/relationships/ctrlProp" Target="../ctrlProps/ctrlProp817.xml"/><Relationship Id="rId5" Type="http://schemas.openxmlformats.org/officeDocument/2006/relationships/ctrlProp" Target="../ctrlProps/ctrlProp798.xml"/><Relationship Id="rId15" Type="http://schemas.openxmlformats.org/officeDocument/2006/relationships/ctrlProp" Target="../ctrlProps/ctrlProp808.xml"/><Relationship Id="rId23" Type="http://schemas.openxmlformats.org/officeDocument/2006/relationships/ctrlProp" Target="../ctrlProps/ctrlProp816.xml"/><Relationship Id="rId10" Type="http://schemas.openxmlformats.org/officeDocument/2006/relationships/ctrlProp" Target="../ctrlProps/ctrlProp803.xml"/><Relationship Id="rId19" Type="http://schemas.openxmlformats.org/officeDocument/2006/relationships/ctrlProp" Target="../ctrlProps/ctrlProp812.xml"/><Relationship Id="rId4" Type="http://schemas.openxmlformats.org/officeDocument/2006/relationships/ctrlProp" Target="../ctrlProps/ctrlProp797.xml"/><Relationship Id="rId9" Type="http://schemas.openxmlformats.org/officeDocument/2006/relationships/ctrlProp" Target="../ctrlProps/ctrlProp802.xml"/><Relationship Id="rId14" Type="http://schemas.openxmlformats.org/officeDocument/2006/relationships/ctrlProp" Target="../ctrlProps/ctrlProp807.xml"/><Relationship Id="rId22" Type="http://schemas.openxmlformats.org/officeDocument/2006/relationships/ctrlProp" Target="../ctrlProps/ctrlProp815.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40.vml"/><Relationship Id="rId7" Type="http://schemas.openxmlformats.org/officeDocument/2006/relationships/ctrlProp" Target="../ctrlProps/ctrlProp823.xml"/><Relationship Id="rId2" Type="http://schemas.openxmlformats.org/officeDocument/2006/relationships/drawing" Target="../drawings/drawing40.xml"/><Relationship Id="rId1" Type="http://schemas.openxmlformats.org/officeDocument/2006/relationships/printerSettings" Target="../printerSettings/printerSettings58.bin"/><Relationship Id="rId6" Type="http://schemas.openxmlformats.org/officeDocument/2006/relationships/ctrlProp" Target="../ctrlProps/ctrlProp822.xml"/><Relationship Id="rId5" Type="http://schemas.openxmlformats.org/officeDocument/2006/relationships/ctrlProp" Target="../ctrlProps/ctrlProp821.xml"/><Relationship Id="rId4" Type="http://schemas.openxmlformats.org/officeDocument/2006/relationships/ctrlProp" Target="../ctrlProps/ctrlProp82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59.bin"/><Relationship Id="rId5" Type="http://schemas.openxmlformats.org/officeDocument/2006/relationships/ctrlProp" Target="../ctrlProps/ctrlProp825.xml"/><Relationship Id="rId4" Type="http://schemas.openxmlformats.org/officeDocument/2006/relationships/ctrlProp" Target="../ctrlProps/ctrlProp824.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2.xml"/><Relationship Id="rId1" Type="http://schemas.openxmlformats.org/officeDocument/2006/relationships/printerSettings" Target="../printerSettings/printerSettings60.bin"/><Relationship Id="rId6" Type="http://schemas.openxmlformats.org/officeDocument/2006/relationships/ctrlProp" Target="../ctrlProps/ctrlProp828.xml"/><Relationship Id="rId5" Type="http://schemas.openxmlformats.org/officeDocument/2006/relationships/ctrlProp" Target="../ctrlProps/ctrlProp827.xml"/><Relationship Id="rId4" Type="http://schemas.openxmlformats.org/officeDocument/2006/relationships/ctrlProp" Target="../ctrlProps/ctrlProp826.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3.xml"/><Relationship Id="rId1" Type="http://schemas.openxmlformats.org/officeDocument/2006/relationships/printerSettings" Target="../printerSettings/printerSettings61.bin"/><Relationship Id="rId5" Type="http://schemas.openxmlformats.org/officeDocument/2006/relationships/ctrlProp" Target="../ctrlProps/ctrlProp830.xml"/><Relationship Id="rId4" Type="http://schemas.openxmlformats.org/officeDocument/2006/relationships/ctrlProp" Target="../ctrlProps/ctrlProp829.xml"/></Relationships>
</file>

<file path=xl/worksheets/_rels/sheet65.xml.rels><?xml version="1.0" encoding="UTF-8" standalone="yes"?>
<Relationships xmlns="http://schemas.openxmlformats.org/package/2006/relationships"><Relationship Id="rId3" Type="http://schemas.openxmlformats.org/officeDocument/2006/relationships/ctrlProp" Target="../ctrlProps/ctrlProp831.xml"/><Relationship Id="rId2" Type="http://schemas.openxmlformats.org/officeDocument/2006/relationships/vmlDrawing" Target="../drawings/vmlDrawing44.vml"/><Relationship Id="rId1" Type="http://schemas.openxmlformats.org/officeDocument/2006/relationships/drawing" Target="../drawings/drawing44.xml"/><Relationship Id="rId5" Type="http://schemas.openxmlformats.org/officeDocument/2006/relationships/ctrlProp" Target="../ctrlProps/ctrlProp833.xml"/><Relationship Id="rId4" Type="http://schemas.openxmlformats.org/officeDocument/2006/relationships/ctrlProp" Target="../ctrlProps/ctrlProp832.xml"/></Relationships>
</file>

<file path=xl/worksheets/_rels/sheet66.xml.rels><?xml version="1.0" encoding="UTF-8" standalone="yes"?>
<Relationships xmlns="http://schemas.openxmlformats.org/package/2006/relationships"><Relationship Id="rId8" Type="http://schemas.openxmlformats.org/officeDocument/2006/relationships/ctrlProp" Target="../ctrlProps/ctrlProp838.xml"/><Relationship Id="rId13" Type="http://schemas.openxmlformats.org/officeDocument/2006/relationships/ctrlProp" Target="../ctrlProps/ctrlProp843.xml"/><Relationship Id="rId3" Type="http://schemas.openxmlformats.org/officeDocument/2006/relationships/vmlDrawing" Target="../drawings/vmlDrawing45.vml"/><Relationship Id="rId7" Type="http://schemas.openxmlformats.org/officeDocument/2006/relationships/ctrlProp" Target="../ctrlProps/ctrlProp837.xml"/><Relationship Id="rId12" Type="http://schemas.openxmlformats.org/officeDocument/2006/relationships/ctrlProp" Target="../ctrlProps/ctrlProp842.xml"/><Relationship Id="rId2" Type="http://schemas.openxmlformats.org/officeDocument/2006/relationships/drawing" Target="../drawings/drawing45.xml"/><Relationship Id="rId1" Type="http://schemas.openxmlformats.org/officeDocument/2006/relationships/printerSettings" Target="../printerSettings/printerSettings62.bin"/><Relationship Id="rId6" Type="http://schemas.openxmlformats.org/officeDocument/2006/relationships/ctrlProp" Target="../ctrlProps/ctrlProp836.xml"/><Relationship Id="rId11" Type="http://schemas.openxmlformats.org/officeDocument/2006/relationships/ctrlProp" Target="../ctrlProps/ctrlProp841.xml"/><Relationship Id="rId5" Type="http://schemas.openxmlformats.org/officeDocument/2006/relationships/ctrlProp" Target="../ctrlProps/ctrlProp835.xml"/><Relationship Id="rId10" Type="http://schemas.openxmlformats.org/officeDocument/2006/relationships/ctrlProp" Target="../ctrlProps/ctrlProp840.xml"/><Relationship Id="rId4" Type="http://schemas.openxmlformats.org/officeDocument/2006/relationships/ctrlProp" Target="../ctrlProps/ctrlProp834.xml"/><Relationship Id="rId9" Type="http://schemas.openxmlformats.org/officeDocument/2006/relationships/ctrlProp" Target="../ctrlProps/ctrlProp839.xml"/><Relationship Id="rId14" Type="http://schemas.openxmlformats.org/officeDocument/2006/relationships/ctrlProp" Target="../ctrlProps/ctrlProp844.xml"/></Relationships>
</file>

<file path=xl/worksheets/_rels/sheet67.xml.rels><?xml version="1.0" encoding="UTF-8" standalone="yes"?>
<Relationships xmlns="http://schemas.openxmlformats.org/package/2006/relationships"><Relationship Id="rId8" Type="http://schemas.openxmlformats.org/officeDocument/2006/relationships/ctrlProp" Target="../ctrlProps/ctrlProp849.xml"/><Relationship Id="rId3" Type="http://schemas.openxmlformats.org/officeDocument/2006/relationships/vmlDrawing" Target="../drawings/vmlDrawing46.vml"/><Relationship Id="rId7" Type="http://schemas.openxmlformats.org/officeDocument/2006/relationships/ctrlProp" Target="../ctrlProps/ctrlProp848.xml"/><Relationship Id="rId2" Type="http://schemas.openxmlformats.org/officeDocument/2006/relationships/drawing" Target="../drawings/drawing46.xml"/><Relationship Id="rId1" Type="http://schemas.openxmlformats.org/officeDocument/2006/relationships/printerSettings" Target="../printerSettings/printerSettings63.bin"/><Relationship Id="rId6" Type="http://schemas.openxmlformats.org/officeDocument/2006/relationships/ctrlProp" Target="../ctrlProps/ctrlProp847.xml"/><Relationship Id="rId5" Type="http://schemas.openxmlformats.org/officeDocument/2006/relationships/ctrlProp" Target="../ctrlProps/ctrlProp846.xml"/><Relationship Id="rId10" Type="http://schemas.openxmlformats.org/officeDocument/2006/relationships/ctrlProp" Target="../ctrlProps/ctrlProp851.xml"/><Relationship Id="rId4" Type="http://schemas.openxmlformats.org/officeDocument/2006/relationships/ctrlProp" Target="../ctrlProps/ctrlProp845.xml"/><Relationship Id="rId9" Type="http://schemas.openxmlformats.org/officeDocument/2006/relationships/ctrlProp" Target="../ctrlProps/ctrlProp850.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9.xml.rels><?xml version="1.0" encoding="UTF-8" standalone="yes"?>
<Relationships xmlns="http://schemas.openxmlformats.org/package/2006/relationships"><Relationship Id="rId8" Type="http://schemas.openxmlformats.org/officeDocument/2006/relationships/ctrlProp" Target="../ctrlProps/ctrlProp856.xml"/><Relationship Id="rId3" Type="http://schemas.openxmlformats.org/officeDocument/2006/relationships/vmlDrawing" Target="../drawings/vmlDrawing47.vml"/><Relationship Id="rId7" Type="http://schemas.openxmlformats.org/officeDocument/2006/relationships/ctrlProp" Target="../ctrlProps/ctrlProp855.xml"/><Relationship Id="rId12" Type="http://schemas.openxmlformats.org/officeDocument/2006/relationships/ctrlProp" Target="../ctrlProps/ctrlProp860.xml"/><Relationship Id="rId2" Type="http://schemas.openxmlformats.org/officeDocument/2006/relationships/drawing" Target="../drawings/drawing47.xml"/><Relationship Id="rId1" Type="http://schemas.openxmlformats.org/officeDocument/2006/relationships/printerSettings" Target="../printerSettings/printerSettings65.bin"/><Relationship Id="rId6" Type="http://schemas.openxmlformats.org/officeDocument/2006/relationships/ctrlProp" Target="../ctrlProps/ctrlProp854.xml"/><Relationship Id="rId11" Type="http://schemas.openxmlformats.org/officeDocument/2006/relationships/ctrlProp" Target="../ctrlProps/ctrlProp859.xml"/><Relationship Id="rId5" Type="http://schemas.openxmlformats.org/officeDocument/2006/relationships/ctrlProp" Target="../ctrlProps/ctrlProp853.xml"/><Relationship Id="rId10" Type="http://schemas.openxmlformats.org/officeDocument/2006/relationships/ctrlProp" Target="../ctrlProps/ctrlProp858.xml"/><Relationship Id="rId4" Type="http://schemas.openxmlformats.org/officeDocument/2006/relationships/ctrlProp" Target="../ctrlProps/ctrlProp852.xml"/><Relationship Id="rId9" Type="http://schemas.openxmlformats.org/officeDocument/2006/relationships/ctrlProp" Target="../ctrlProps/ctrlProp857.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72.xml.rels><?xml version="1.0" encoding="UTF-8" standalone="yes"?>
<Relationships xmlns="http://schemas.openxmlformats.org/package/2006/relationships"><Relationship Id="rId8" Type="http://schemas.openxmlformats.org/officeDocument/2006/relationships/hyperlink" Target="http://www.legislation.gov.uk/ukpga/1988/41/section/67" TargetMode="External"/><Relationship Id="rId13" Type="http://schemas.openxmlformats.org/officeDocument/2006/relationships/hyperlink" Target="https://www.legislation.gov.uk/uksi/2023/1357/contents/made" TargetMode="External"/><Relationship Id="rId3" Type="http://schemas.openxmlformats.org/officeDocument/2006/relationships/hyperlink" Target="https://www.tax.service.gov.uk/business-rates-find/search" TargetMode="External"/><Relationship Id="rId7" Type="http://schemas.openxmlformats.org/officeDocument/2006/relationships/hyperlink" Target="http://www.calcurate.co.uk/contact/" TargetMode="External"/><Relationship Id="rId12" Type="http://schemas.openxmlformats.org/officeDocument/2006/relationships/hyperlink" Target="https://www.legislation.gov.uk/uksi/2022/1403/schedule/made" TargetMode="External"/><Relationship Id="rId2" Type="http://schemas.openxmlformats.org/officeDocument/2006/relationships/hyperlink" Target="http://www.legislation.gov.uk/ukpga/1988/41/contents" TargetMode="External"/><Relationship Id="rId1" Type="http://schemas.openxmlformats.org/officeDocument/2006/relationships/hyperlink" Target="https://www.gov.uk/government/collections/business-rates-information-letters" TargetMode="External"/><Relationship Id="rId6" Type="http://schemas.openxmlformats.org/officeDocument/2006/relationships/hyperlink" Target="https://www.ons.gov.uk/economy/inflationandpriceindices/datasets/consumerpriceinflation" TargetMode="External"/><Relationship Id="rId11" Type="http://schemas.openxmlformats.org/officeDocument/2006/relationships/hyperlink" Target="https://www.legislation.gov.uk/uksi/2022/1403/contents/made" TargetMode="External"/><Relationship Id="rId5" Type="http://schemas.openxmlformats.org/officeDocument/2006/relationships/hyperlink" Target="https://www.helixdynamic.com/" TargetMode="External"/><Relationship Id="rId15" Type="http://schemas.openxmlformats.org/officeDocument/2006/relationships/drawing" Target="../drawings/drawing48.xml"/><Relationship Id="rId10" Type="http://schemas.openxmlformats.org/officeDocument/2006/relationships/hyperlink" Target="https://www.calcurate.co.uk/" TargetMode="External"/><Relationship Id="rId4" Type="http://schemas.openxmlformats.org/officeDocument/2006/relationships/hyperlink" Target="https://www.legislation.gov.uk/uksi/2008/386/made" TargetMode="External"/><Relationship Id="rId9" Type="http://schemas.openxmlformats.org/officeDocument/2006/relationships/hyperlink" Target="https://www.legislation.gov.uk/uksi/2022/1403/part/3/made" TargetMode="External"/><Relationship Id="rId14" Type="http://schemas.openxmlformats.org/officeDocument/2006/relationships/printerSettings" Target="../printerSettings/printerSettings67.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70.bin"/><Relationship Id="rId5" Type="http://schemas.openxmlformats.org/officeDocument/2006/relationships/ctrlProp" Target="../ctrlProps/ctrlProp862.xml"/><Relationship Id="rId4" Type="http://schemas.openxmlformats.org/officeDocument/2006/relationships/ctrlProp" Target="../ctrlProps/ctrlProp861.xm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80.xml.rels><?xml version="1.0" encoding="UTF-8" standalone="yes"?>
<Relationships xmlns="http://schemas.openxmlformats.org/package/2006/relationships"><Relationship Id="rId3" Type="http://schemas.openxmlformats.org/officeDocument/2006/relationships/vmlDrawing" Target="../drawings/vmlDrawing49.vml"/><Relationship Id="rId7" Type="http://schemas.openxmlformats.org/officeDocument/2006/relationships/ctrlProp" Target="../ctrlProps/ctrlProp866.xml"/><Relationship Id="rId2" Type="http://schemas.openxmlformats.org/officeDocument/2006/relationships/drawing" Target="../drawings/drawing50.xml"/><Relationship Id="rId1" Type="http://schemas.openxmlformats.org/officeDocument/2006/relationships/printerSettings" Target="../printerSettings/printerSettings72.bin"/><Relationship Id="rId6" Type="http://schemas.openxmlformats.org/officeDocument/2006/relationships/ctrlProp" Target="../ctrlProps/ctrlProp865.xml"/><Relationship Id="rId5" Type="http://schemas.openxmlformats.org/officeDocument/2006/relationships/ctrlProp" Target="../ctrlProps/ctrlProp864.xml"/><Relationship Id="rId4" Type="http://schemas.openxmlformats.org/officeDocument/2006/relationships/ctrlProp" Target="../ctrlProps/ctrlProp863.xml"/></Relationships>
</file>

<file path=xl/worksheets/_rels/sheet81.xml.rels><?xml version="1.0" encoding="UTF-8" standalone="yes"?>
<Relationships xmlns="http://schemas.openxmlformats.org/package/2006/relationships"><Relationship Id="rId3" Type="http://schemas.openxmlformats.org/officeDocument/2006/relationships/ctrlProp" Target="../ctrlProps/ctrlProp867.xml"/><Relationship Id="rId7" Type="http://schemas.openxmlformats.org/officeDocument/2006/relationships/ctrlProp" Target="../ctrlProps/ctrlProp871.xml"/><Relationship Id="rId2" Type="http://schemas.openxmlformats.org/officeDocument/2006/relationships/vmlDrawing" Target="../drawings/vmlDrawing50.vml"/><Relationship Id="rId1" Type="http://schemas.openxmlformats.org/officeDocument/2006/relationships/drawing" Target="../drawings/drawing51.xml"/><Relationship Id="rId6" Type="http://schemas.openxmlformats.org/officeDocument/2006/relationships/ctrlProp" Target="../ctrlProps/ctrlProp870.xml"/><Relationship Id="rId5" Type="http://schemas.openxmlformats.org/officeDocument/2006/relationships/ctrlProp" Target="../ctrlProps/ctrlProp869.xml"/><Relationship Id="rId4" Type="http://schemas.openxmlformats.org/officeDocument/2006/relationships/ctrlProp" Target="../ctrlProps/ctrlProp868.xml"/></Relationships>
</file>

<file path=xl/worksheets/_rels/sheet82.xml.rels><?xml version="1.0" encoding="UTF-8" standalone="yes"?>
<Relationships xmlns="http://schemas.openxmlformats.org/package/2006/relationships"><Relationship Id="rId3" Type="http://schemas.openxmlformats.org/officeDocument/2006/relationships/ctrlProp" Target="../ctrlProps/ctrlProp872.xml"/><Relationship Id="rId2" Type="http://schemas.openxmlformats.org/officeDocument/2006/relationships/vmlDrawing" Target="../drawings/vmlDrawing51.vml"/><Relationship Id="rId1" Type="http://schemas.openxmlformats.org/officeDocument/2006/relationships/drawing" Target="../drawings/drawing52.xml"/></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3.xml"/><Relationship Id="rId1" Type="http://schemas.openxmlformats.org/officeDocument/2006/relationships/printerSettings" Target="../printerSettings/printerSettings74.bin"/><Relationship Id="rId6" Type="http://schemas.openxmlformats.org/officeDocument/2006/relationships/ctrlProp" Target="../ctrlProps/ctrlProp875.xml"/><Relationship Id="rId5" Type="http://schemas.openxmlformats.org/officeDocument/2006/relationships/ctrlProp" Target="../ctrlProps/ctrlProp874.xml"/><Relationship Id="rId4" Type="http://schemas.openxmlformats.org/officeDocument/2006/relationships/ctrlProp" Target="../ctrlProps/ctrlProp873.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53.vml"/><Relationship Id="rId7" Type="http://schemas.openxmlformats.org/officeDocument/2006/relationships/ctrlProp" Target="../ctrlProps/ctrlProp879.xml"/><Relationship Id="rId2" Type="http://schemas.openxmlformats.org/officeDocument/2006/relationships/drawing" Target="../drawings/drawing54.xml"/><Relationship Id="rId1" Type="http://schemas.openxmlformats.org/officeDocument/2006/relationships/printerSettings" Target="../printerSettings/printerSettings75.bin"/><Relationship Id="rId6" Type="http://schemas.openxmlformats.org/officeDocument/2006/relationships/ctrlProp" Target="../ctrlProps/ctrlProp878.xml"/><Relationship Id="rId5" Type="http://schemas.openxmlformats.org/officeDocument/2006/relationships/ctrlProp" Target="../ctrlProps/ctrlProp877.xml"/><Relationship Id="rId4" Type="http://schemas.openxmlformats.org/officeDocument/2006/relationships/ctrlProp" Target="../ctrlProps/ctrlProp876.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5.xml"/><Relationship Id="rId1" Type="http://schemas.openxmlformats.org/officeDocument/2006/relationships/printerSettings" Target="../printerSettings/printerSettings76.bin"/><Relationship Id="rId6" Type="http://schemas.openxmlformats.org/officeDocument/2006/relationships/ctrlProp" Target="../ctrlProps/ctrlProp882.xml"/><Relationship Id="rId5" Type="http://schemas.openxmlformats.org/officeDocument/2006/relationships/ctrlProp" Target="../ctrlProps/ctrlProp881.xml"/><Relationship Id="rId4" Type="http://schemas.openxmlformats.org/officeDocument/2006/relationships/ctrlProp" Target="../ctrlProps/ctrlProp880.xml"/></Relationships>
</file>

<file path=xl/worksheets/_rels/sheet8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6.xml"/><Relationship Id="rId1" Type="http://schemas.openxmlformats.org/officeDocument/2006/relationships/printerSettings" Target="../printerSettings/printerSettings77.bin"/><Relationship Id="rId6" Type="http://schemas.openxmlformats.org/officeDocument/2006/relationships/ctrlProp" Target="../ctrlProps/ctrlProp885.xml"/><Relationship Id="rId5" Type="http://schemas.openxmlformats.org/officeDocument/2006/relationships/ctrlProp" Target="../ctrlProps/ctrlProp884.xml"/><Relationship Id="rId4" Type="http://schemas.openxmlformats.org/officeDocument/2006/relationships/ctrlProp" Target="../ctrlProps/ctrlProp883.xml"/></Relationships>
</file>

<file path=xl/worksheets/_rels/sheet89.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7.xml"/><Relationship Id="rId1" Type="http://schemas.openxmlformats.org/officeDocument/2006/relationships/printerSettings" Target="../printerSettings/printerSettings78.bin"/><Relationship Id="rId6" Type="http://schemas.openxmlformats.org/officeDocument/2006/relationships/ctrlProp" Target="../ctrlProps/ctrlProp888.xml"/><Relationship Id="rId5" Type="http://schemas.openxmlformats.org/officeDocument/2006/relationships/ctrlProp" Target="../ctrlProps/ctrlProp887.xml"/><Relationship Id="rId4" Type="http://schemas.openxmlformats.org/officeDocument/2006/relationships/ctrlProp" Target="../ctrlProps/ctrlProp886.xml"/></Relationships>
</file>

<file path=xl/worksheets/_rels/sheet9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8.xml"/><Relationship Id="rId1" Type="http://schemas.openxmlformats.org/officeDocument/2006/relationships/printerSettings" Target="../printerSettings/printerSettings79.bin"/><Relationship Id="rId6" Type="http://schemas.openxmlformats.org/officeDocument/2006/relationships/ctrlProp" Target="../ctrlProps/ctrlProp891.xml"/><Relationship Id="rId5" Type="http://schemas.openxmlformats.org/officeDocument/2006/relationships/ctrlProp" Target="../ctrlProps/ctrlProp890.xml"/><Relationship Id="rId4" Type="http://schemas.openxmlformats.org/officeDocument/2006/relationships/ctrlProp" Target="../ctrlProps/ctrlProp889.xml"/></Relationships>
</file>

<file path=xl/worksheets/_rels/sheet9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9.xml"/><Relationship Id="rId1" Type="http://schemas.openxmlformats.org/officeDocument/2006/relationships/printerSettings" Target="../printerSettings/printerSettings80.bin"/><Relationship Id="rId6" Type="http://schemas.openxmlformats.org/officeDocument/2006/relationships/ctrlProp" Target="../ctrlProps/ctrlProp894.xml"/><Relationship Id="rId5" Type="http://schemas.openxmlformats.org/officeDocument/2006/relationships/ctrlProp" Target="../ctrlProps/ctrlProp893.xml"/><Relationship Id="rId4" Type="http://schemas.openxmlformats.org/officeDocument/2006/relationships/ctrlProp" Target="../ctrlProps/ctrlProp892.xm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60.xml"/><Relationship Id="rId1" Type="http://schemas.openxmlformats.org/officeDocument/2006/relationships/printerSettings" Target="../printerSettings/printerSettings81.bin"/><Relationship Id="rId6" Type="http://schemas.openxmlformats.org/officeDocument/2006/relationships/ctrlProp" Target="../ctrlProps/ctrlProp897.xml"/><Relationship Id="rId5" Type="http://schemas.openxmlformats.org/officeDocument/2006/relationships/ctrlProp" Target="../ctrlProps/ctrlProp896.xml"/><Relationship Id="rId4" Type="http://schemas.openxmlformats.org/officeDocument/2006/relationships/ctrlProp" Target="../ctrlProps/ctrlProp895.xm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1.xml"/><Relationship Id="rId1" Type="http://schemas.openxmlformats.org/officeDocument/2006/relationships/printerSettings" Target="../printerSettings/printerSettings82.bin"/><Relationship Id="rId6" Type="http://schemas.openxmlformats.org/officeDocument/2006/relationships/ctrlProp" Target="../ctrlProps/ctrlProp900.xml"/><Relationship Id="rId5" Type="http://schemas.openxmlformats.org/officeDocument/2006/relationships/ctrlProp" Target="../ctrlProps/ctrlProp899.xml"/><Relationship Id="rId4" Type="http://schemas.openxmlformats.org/officeDocument/2006/relationships/ctrlProp" Target="../ctrlProps/ctrlProp898.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2.xml"/><Relationship Id="rId1" Type="http://schemas.openxmlformats.org/officeDocument/2006/relationships/printerSettings" Target="../printerSettings/printerSettings83.bin"/><Relationship Id="rId6" Type="http://schemas.openxmlformats.org/officeDocument/2006/relationships/ctrlProp" Target="../ctrlProps/ctrlProp903.xml"/><Relationship Id="rId5" Type="http://schemas.openxmlformats.org/officeDocument/2006/relationships/ctrlProp" Target="../ctrlProps/ctrlProp902.xml"/><Relationship Id="rId4" Type="http://schemas.openxmlformats.org/officeDocument/2006/relationships/ctrlProp" Target="../ctrlProps/ctrlProp901.xml"/></Relationships>
</file>

<file path=xl/worksheets/_rels/sheet95.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3.xml"/><Relationship Id="rId1" Type="http://schemas.openxmlformats.org/officeDocument/2006/relationships/printerSettings" Target="../printerSettings/printerSettings84.bin"/><Relationship Id="rId6" Type="http://schemas.openxmlformats.org/officeDocument/2006/relationships/ctrlProp" Target="../ctrlProps/ctrlProp906.xml"/><Relationship Id="rId5" Type="http://schemas.openxmlformats.org/officeDocument/2006/relationships/ctrlProp" Target="../ctrlProps/ctrlProp905.xml"/><Relationship Id="rId4" Type="http://schemas.openxmlformats.org/officeDocument/2006/relationships/ctrlProp" Target="../ctrlProps/ctrlProp904.xml"/></Relationships>
</file>

<file path=xl/worksheets/_rels/sheet96.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4.xml"/><Relationship Id="rId1" Type="http://schemas.openxmlformats.org/officeDocument/2006/relationships/printerSettings" Target="../printerSettings/printerSettings85.bin"/><Relationship Id="rId6" Type="http://schemas.openxmlformats.org/officeDocument/2006/relationships/ctrlProp" Target="../ctrlProps/ctrlProp909.xml"/><Relationship Id="rId5" Type="http://schemas.openxmlformats.org/officeDocument/2006/relationships/ctrlProp" Target="../ctrlProps/ctrlProp908.xml"/><Relationship Id="rId4" Type="http://schemas.openxmlformats.org/officeDocument/2006/relationships/ctrlProp" Target="../ctrlProps/ctrlProp907.xml"/></Relationships>
</file>

<file path=xl/worksheets/_rels/sheet97.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5.xml"/><Relationship Id="rId1" Type="http://schemas.openxmlformats.org/officeDocument/2006/relationships/printerSettings" Target="../printerSettings/printerSettings86.bin"/><Relationship Id="rId6" Type="http://schemas.openxmlformats.org/officeDocument/2006/relationships/ctrlProp" Target="../ctrlProps/ctrlProp912.xml"/><Relationship Id="rId5" Type="http://schemas.openxmlformats.org/officeDocument/2006/relationships/ctrlProp" Target="../ctrlProps/ctrlProp911.xml"/><Relationship Id="rId4" Type="http://schemas.openxmlformats.org/officeDocument/2006/relationships/ctrlProp" Target="../ctrlProps/ctrlProp910.xml"/></Relationships>
</file>

<file path=xl/worksheets/_rels/sheet98.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6.xml"/><Relationship Id="rId1" Type="http://schemas.openxmlformats.org/officeDocument/2006/relationships/printerSettings" Target="../printerSettings/printerSettings87.bin"/><Relationship Id="rId6" Type="http://schemas.openxmlformats.org/officeDocument/2006/relationships/ctrlProp" Target="../ctrlProps/ctrlProp915.xml"/><Relationship Id="rId5" Type="http://schemas.openxmlformats.org/officeDocument/2006/relationships/ctrlProp" Target="../ctrlProps/ctrlProp914.xml"/><Relationship Id="rId4" Type="http://schemas.openxmlformats.org/officeDocument/2006/relationships/ctrlProp" Target="../ctrlProps/ctrlProp913.xml"/></Relationships>
</file>

<file path=xl/worksheets/_rels/sheet99.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7.xml"/><Relationship Id="rId1" Type="http://schemas.openxmlformats.org/officeDocument/2006/relationships/printerSettings" Target="../printerSettings/printerSettings88.bin"/><Relationship Id="rId6" Type="http://schemas.openxmlformats.org/officeDocument/2006/relationships/ctrlProp" Target="../ctrlProps/ctrlProp918.xml"/><Relationship Id="rId5" Type="http://schemas.openxmlformats.org/officeDocument/2006/relationships/ctrlProp" Target="../ctrlProps/ctrlProp917.xml"/><Relationship Id="rId4" Type="http://schemas.openxmlformats.org/officeDocument/2006/relationships/ctrlProp" Target="../ctrlProps/ctrlProp916.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8.xml"/><Relationship Id="rId1" Type="http://schemas.openxmlformats.org/officeDocument/2006/relationships/printerSettings" Target="../printerSettings/printerSettings89.bin"/><Relationship Id="rId6" Type="http://schemas.openxmlformats.org/officeDocument/2006/relationships/ctrlProp" Target="../ctrlProps/ctrlProp921.xml"/><Relationship Id="rId5" Type="http://schemas.openxmlformats.org/officeDocument/2006/relationships/ctrlProp" Target="../ctrlProps/ctrlProp920.xml"/><Relationship Id="rId4" Type="http://schemas.openxmlformats.org/officeDocument/2006/relationships/ctrlProp" Target="../ctrlProps/ctrlProp919.xm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9.xml"/><Relationship Id="rId1" Type="http://schemas.openxmlformats.org/officeDocument/2006/relationships/printerSettings" Target="../printerSettings/printerSettings90.bin"/><Relationship Id="rId6" Type="http://schemas.openxmlformats.org/officeDocument/2006/relationships/ctrlProp" Target="../ctrlProps/ctrlProp924.xml"/><Relationship Id="rId5" Type="http://schemas.openxmlformats.org/officeDocument/2006/relationships/ctrlProp" Target="../ctrlProps/ctrlProp923.xml"/><Relationship Id="rId4" Type="http://schemas.openxmlformats.org/officeDocument/2006/relationships/ctrlProp" Target="../ctrlProps/ctrlProp922.xm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70.xml"/><Relationship Id="rId1" Type="http://schemas.openxmlformats.org/officeDocument/2006/relationships/printerSettings" Target="../printerSettings/printerSettings91.bin"/><Relationship Id="rId6" Type="http://schemas.openxmlformats.org/officeDocument/2006/relationships/ctrlProp" Target="../ctrlProps/ctrlProp927.xml"/><Relationship Id="rId5" Type="http://schemas.openxmlformats.org/officeDocument/2006/relationships/ctrlProp" Target="../ctrlProps/ctrlProp926.xml"/><Relationship Id="rId4" Type="http://schemas.openxmlformats.org/officeDocument/2006/relationships/ctrlProp" Target="../ctrlProps/ctrlProp925.xml"/></Relationships>
</file>

<file path=xl/worksheets/_rels/sheet103.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71.xml"/><Relationship Id="rId1" Type="http://schemas.openxmlformats.org/officeDocument/2006/relationships/printerSettings" Target="../printerSettings/printerSettings92.bin"/><Relationship Id="rId6" Type="http://schemas.openxmlformats.org/officeDocument/2006/relationships/ctrlProp" Target="../ctrlProps/ctrlProp930.xml"/><Relationship Id="rId5" Type="http://schemas.openxmlformats.org/officeDocument/2006/relationships/ctrlProp" Target="../ctrlProps/ctrlProp929.xml"/><Relationship Id="rId4" Type="http://schemas.openxmlformats.org/officeDocument/2006/relationships/ctrlProp" Target="../ctrlProps/ctrlProp9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123BB-2028-4820-8E25-02A3C10799CD}">
  <sheetPr codeName="Sheet22">
    <pageSetUpPr fitToPage="1"/>
  </sheetPr>
  <dimension ref="D1:Y31"/>
  <sheetViews>
    <sheetView showGridLines="0" tabSelected="1" zoomScaleNormal="100" workbookViewId="0">
      <selection activeCell="M38" sqref="M38"/>
    </sheetView>
  </sheetViews>
  <sheetFormatPr defaultColWidth="9.08984375" defaultRowHeight="14.5" x14ac:dyDescent="0.35"/>
  <cols>
    <col min="1" max="1" width="5.36328125" style="47" customWidth="1"/>
    <col min="2" max="3" width="5" style="47" customWidth="1"/>
    <col min="4" max="4" width="1.453125" style="47" customWidth="1"/>
    <col min="5" max="5" width="6.453125" style="47" customWidth="1"/>
    <col min="6" max="6" width="5.90625" style="47" customWidth="1"/>
    <col min="7" max="7" width="16.36328125" style="47" customWidth="1"/>
    <col min="8" max="8" width="6" style="47" customWidth="1"/>
    <col min="9" max="9" width="7.36328125" style="47" customWidth="1"/>
    <col min="10" max="10" width="25.6328125" style="47" customWidth="1"/>
    <col min="11" max="11" width="11" style="47" customWidth="1"/>
    <col min="12" max="12" width="6.54296875" style="47" customWidth="1"/>
    <col min="13" max="13" width="16.54296875" style="47" customWidth="1"/>
    <col min="14" max="16" width="9.08984375" style="47"/>
    <col min="17" max="17" width="9.54296875" style="47" bestFit="1" customWidth="1"/>
    <col min="18" max="18" width="1.54296875" style="47" customWidth="1"/>
    <col min="19" max="19" width="19.08984375" style="47" customWidth="1"/>
    <col min="20" max="20" width="9.08984375" style="1057" hidden="1" customWidth="1"/>
    <col min="21" max="21" width="15.453125" style="1057" hidden="1" customWidth="1"/>
    <col min="22" max="22" width="12.08984375" style="1057" hidden="1" customWidth="1"/>
    <col min="23" max="23" width="14.6328125" style="1057" hidden="1" customWidth="1"/>
    <col min="24" max="25" width="9.08984375" style="48" hidden="1" customWidth="1"/>
    <col min="26" max="16384" width="9.08984375" style="47"/>
  </cols>
  <sheetData>
    <row r="1" spans="4:25" x14ac:dyDescent="0.35">
      <c r="R1" s="111"/>
      <c r="S1" s="111"/>
    </row>
    <row r="2" spans="4:25" ht="4.5" customHeight="1" x14ac:dyDescent="0.35"/>
    <row r="3" spans="4:25" ht="5.25" customHeight="1" thickBot="1" x14ac:dyDescent="0.4"/>
    <row r="4" spans="4:25" ht="8.25" customHeight="1" x14ac:dyDescent="0.35">
      <c r="D4" s="77"/>
      <c r="E4" s="78"/>
      <c r="F4" s="78"/>
      <c r="G4" s="78"/>
      <c r="H4" s="78"/>
      <c r="I4" s="78"/>
      <c r="J4" s="78"/>
      <c r="K4" s="78"/>
      <c r="L4" s="78"/>
      <c r="M4" s="78"/>
      <c r="N4" s="78"/>
      <c r="O4" s="78"/>
      <c r="P4" s="78"/>
      <c r="Q4" s="78"/>
      <c r="R4" s="79"/>
      <c r="S4" s="111" t="str">
        <f>T5&amp;T6</f>
        <v/>
      </c>
    </row>
    <row r="5" spans="4:25" x14ac:dyDescent="0.35">
      <c r="D5" s="80"/>
      <c r="E5" s="48"/>
      <c r="F5" s="1918" t="str">
        <f ca="1">codes!$I$22&amp; "  "&amp;codes!I23</f>
        <v xml:space="preserve">  </v>
      </c>
      <c r="G5" s="48"/>
      <c r="H5" s="48"/>
      <c r="I5" s="48"/>
      <c r="J5" s="48"/>
      <c r="K5" s="48"/>
      <c r="L5" s="48"/>
      <c r="M5" s="48"/>
      <c r="N5" s="48"/>
      <c r="O5" s="48"/>
      <c r="P5" s="48"/>
      <c r="Q5" s="48"/>
      <c r="R5" s="81"/>
      <c r="U5" s="1200" t="b">
        <f ca="1">codes!I24</f>
        <v>0</v>
      </c>
      <c r="V5" s="1057" t="s">
        <v>2080</v>
      </c>
    </row>
    <row r="6" spans="4:25" x14ac:dyDescent="0.35">
      <c r="D6" s="80"/>
      <c r="E6" s="48"/>
      <c r="F6" s="48"/>
      <c r="G6" s="48"/>
      <c r="H6" s="48"/>
      <c r="I6" s="48"/>
      <c r="J6" s="48"/>
      <c r="K6" s="48"/>
      <c r="L6" s="48"/>
      <c r="M6" s="48"/>
      <c r="N6" s="48"/>
      <c r="O6" s="48"/>
      <c r="P6" s="49"/>
      <c r="Q6" s="48"/>
      <c r="R6" s="81"/>
    </row>
    <row r="7" spans="4:25" x14ac:dyDescent="0.35">
      <c r="D7" s="80"/>
      <c r="E7" s="48"/>
      <c r="F7" s="48"/>
      <c r="G7" s="74"/>
      <c r="H7" s="48"/>
      <c r="I7" s="48"/>
      <c r="J7" s="48"/>
      <c r="K7" s="48"/>
      <c r="L7" s="48"/>
      <c r="M7" s="48"/>
      <c r="N7" s="48"/>
      <c r="O7" s="48"/>
      <c r="P7" s="48"/>
      <c r="Q7" s="48"/>
      <c r="R7" s="81"/>
    </row>
    <row r="8" spans="4:25" ht="18" customHeight="1" x14ac:dyDescent="0.35">
      <c r="D8" s="80"/>
      <c r="E8" s="48"/>
      <c r="F8" s="1235" t="str">
        <f>"Business Rates Liability and Savings Calculator for the "&amp;text!F29&amp;" Rating List"</f>
        <v>Business Rates Liability and Savings Calculator for the 2023 Rating List</v>
      </c>
      <c r="G8" s="48"/>
      <c r="H8" s="48"/>
      <c r="I8" s="48"/>
      <c r="J8" s="48"/>
      <c r="K8" s="48"/>
      <c r="L8" s="48"/>
      <c r="M8" s="48"/>
      <c r="N8" s="48"/>
      <c r="O8" s="48"/>
      <c r="P8" s="48"/>
      <c r="Q8" s="48"/>
      <c r="R8" s="81"/>
      <c r="U8" s="1200" t="b">
        <f ca="1">codes!$I$20</f>
        <v>1</v>
      </c>
      <c r="V8" s="1057" t="s">
        <v>2079</v>
      </c>
    </row>
    <row r="9" spans="4:25" ht="12.75" customHeight="1" x14ac:dyDescent="0.35">
      <c r="D9" s="80"/>
      <c r="E9" s="48"/>
      <c r="F9" s="1235"/>
      <c r="G9" s="48"/>
      <c r="H9" s="48"/>
      <c r="I9" s="48"/>
      <c r="J9" s="48"/>
      <c r="K9" s="48"/>
      <c r="L9" s="48"/>
      <c r="M9" s="48"/>
      <c r="N9" s="48"/>
      <c r="O9" s="48"/>
      <c r="P9" s="48"/>
      <c r="Q9" s="48"/>
      <c r="R9" s="81"/>
    </row>
    <row r="10" spans="4:25" s="50" customFormat="1" ht="18" customHeight="1" x14ac:dyDescent="0.35">
      <c r="D10" s="82"/>
      <c r="E10" s="49"/>
      <c r="F10" s="49"/>
      <c r="G10" s="596" t="s">
        <v>692</v>
      </c>
      <c r="H10" s="49"/>
      <c r="I10" s="49"/>
      <c r="J10" s="75" t="s">
        <v>179</v>
      </c>
      <c r="K10" s="49"/>
      <c r="L10" s="49"/>
      <c r="M10" s="75" t="s">
        <v>697</v>
      </c>
      <c r="N10" s="49"/>
      <c r="O10" s="49"/>
      <c r="P10" s="49"/>
      <c r="Q10" s="49"/>
      <c r="R10" s="81"/>
      <c r="T10" s="1057"/>
      <c r="U10" s="1200" t="b">
        <f>codes!F2</f>
        <v>0</v>
      </c>
      <c r="V10" s="1057" t="s">
        <v>185</v>
      </c>
      <c r="W10" s="1057"/>
      <c r="X10" s="49"/>
      <c r="Y10" s="49"/>
    </row>
    <row r="11" spans="4:25" s="50" customFormat="1" ht="7.5" customHeight="1" x14ac:dyDescent="0.35">
      <c r="D11" s="82"/>
      <c r="E11" s="49"/>
      <c r="F11" s="49"/>
      <c r="G11" s="75"/>
      <c r="H11" s="49"/>
      <c r="I11" s="49"/>
      <c r="J11" s="75"/>
      <c r="K11" s="49"/>
      <c r="L11" s="49"/>
      <c r="M11" s="75"/>
      <c r="N11" s="49"/>
      <c r="O11" s="49"/>
      <c r="P11" s="49"/>
      <c r="Q11" s="49"/>
      <c r="R11" s="81"/>
      <c r="T11" s="1057"/>
      <c r="U11" s="1057"/>
      <c r="V11" s="1057"/>
      <c r="W11" s="1057"/>
      <c r="X11" s="49"/>
      <c r="Y11" s="49"/>
    </row>
    <row r="12" spans="4:25" s="50" customFormat="1" ht="18.899999999999999" customHeight="1" x14ac:dyDescent="0.35">
      <c r="D12" s="82"/>
      <c r="E12" s="2214" t="str">
        <f ca="1">$U$14</f>
        <v/>
      </c>
      <c r="F12" s="49"/>
      <c r="G12" s="1077" t="s">
        <v>693</v>
      </c>
      <c r="H12" s="49"/>
      <c r="I12" s="49"/>
      <c r="J12" s="1899" t="s">
        <v>731</v>
      </c>
      <c r="K12" s="49"/>
      <c r="L12" s="49"/>
      <c r="M12" s="75" t="s">
        <v>698</v>
      </c>
      <c r="N12" s="49"/>
      <c r="O12" s="49"/>
      <c r="P12" s="49"/>
      <c r="Q12" s="49"/>
      <c r="R12" s="81"/>
      <c r="T12" s="1057"/>
      <c r="U12" s="1057"/>
      <c r="V12" s="1057"/>
      <c r="W12" s="1057"/>
      <c r="X12" s="49"/>
      <c r="Y12" s="49"/>
    </row>
    <row r="13" spans="4:25" s="50" customFormat="1" ht="7.5" customHeight="1" x14ac:dyDescent="0.35">
      <c r="D13" s="82"/>
      <c r="E13" s="2215"/>
      <c r="F13" s="49"/>
      <c r="G13" s="75"/>
      <c r="H13" s="49"/>
      <c r="I13" s="49"/>
      <c r="J13" s="75"/>
      <c r="K13" s="49"/>
      <c r="L13" s="49"/>
      <c r="M13" s="75"/>
      <c r="N13" s="49"/>
      <c r="O13" s="49"/>
      <c r="P13" s="49"/>
      <c r="Q13" s="49"/>
      <c r="R13" s="81"/>
      <c r="T13" s="1057"/>
      <c r="U13" s="1057"/>
      <c r="V13" s="1057"/>
      <c r="W13" s="1057"/>
      <c r="X13" s="49"/>
      <c r="Y13" s="49"/>
    </row>
    <row r="14" spans="4:25" s="50" customFormat="1" ht="18.899999999999999" customHeight="1" x14ac:dyDescent="0.35">
      <c r="D14" s="82"/>
      <c r="E14" s="2214" t="str">
        <f ca="1">$U$14</f>
        <v/>
      </c>
      <c r="F14" s="49"/>
      <c r="G14" s="75" t="s">
        <v>694</v>
      </c>
      <c r="H14" s="49"/>
      <c r="I14" s="49"/>
      <c r="J14" s="75" t="s">
        <v>699</v>
      </c>
      <c r="K14" s="49"/>
      <c r="L14" s="49"/>
      <c r="M14" s="75" t="s">
        <v>707</v>
      </c>
      <c r="N14" s="49"/>
      <c r="O14" s="49"/>
      <c r="P14" s="49"/>
      <c r="Q14" s="49"/>
      <c r="R14" s="81"/>
      <c r="T14" s="1057"/>
      <c r="U14" s="1200" t="str">
        <f ca="1">IF($U$10=TRUE,"X",IF(U27=TRUE,"trial",""))</f>
        <v/>
      </c>
      <c r="V14" s="1057" t="s">
        <v>733</v>
      </c>
      <c r="W14" s="1057"/>
      <c r="X14" s="49"/>
      <c r="Y14" s="49"/>
    </row>
    <row r="15" spans="4:25" s="50" customFormat="1" ht="7.5" customHeight="1" x14ac:dyDescent="0.35">
      <c r="D15" s="82"/>
      <c r="E15" s="2215"/>
      <c r="F15" s="49"/>
      <c r="G15" s="75"/>
      <c r="H15" s="49"/>
      <c r="I15" s="49"/>
      <c r="J15" s="49"/>
      <c r="K15" s="49"/>
      <c r="L15" s="49"/>
      <c r="M15" s="75"/>
      <c r="N15" s="49"/>
      <c r="O15" s="49"/>
      <c r="P15" s="49"/>
      <c r="Q15" s="49"/>
      <c r="R15" s="81"/>
      <c r="T15" s="1057"/>
      <c r="U15" s="1057"/>
      <c r="V15" s="1057"/>
      <c r="W15" s="1057"/>
      <c r="X15" s="49"/>
      <c r="Y15" s="49"/>
    </row>
    <row r="16" spans="4:25" s="50" customFormat="1" ht="18.899999999999999" customHeight="1" x14ac:dyDescent="0.35">
      <c r="D16" s="82"/>
      <c r="E16" s="2214" t="str">
        <f ca="1">$U$14</f>
        <v/>
      </c>
      <c r="F16" s="49"/>
      <c r="G16" s="75" t="s">
        <v>695</v>
      </c>
      <c r="H16" s="49"/>
      <c r="I16" s="49"/>
      <c r="J16" s="75" t="s">
        <v>700</v>
      </c>
      <c r="K16" s="49"/>
      <c r="L16" s="49"/>
      <c r="M16" s="75" t="s">
        <v>701</v>
      </c>
      <c r="N16" s="49"/>
      <c r="O16" s="49"/>
      <c r="P16" s="49"/>
      <c r="Q16" s="49"/>
      <c r="R16" s="81"/>
      <c r="T16" s="1057"/>
      <c r="U16" s="1057"/>
      <c r="V16" s="1057"/>
      <c r="W16" s="1057"/>
      <c r="X16" s="49"/>
      <c r="Y16" s="49"/>
    </row>
    <row r="17" spans="4:25" s="50" customFormat="1" ht="7.5" customHeight="1" x14ac:dyDescent="0.35">
      <c r="D17" s="82"/>
      <c r="E17" s="2215"/>
      <c r="F17" s="49"/>
      <c r="G17" s="75"/>
      <c r="H17" s="49"/>
      <c r="I17" s="49"/>
      <c r="J17" s="49"/>
      <c r="K17" s="49"/>
      <c r="L17" s="49"/>
      <c r="M17" s="75"/>
      <c r="N17" s="49"/>
      <c r="O17" s="49"/>
      <c r="P17" s="49"/>
      <c r="Q17" s="49"/>
      <c r="R17" s="81"/>
      <c r="T17" s="1057"/>
      <c r="U17" s="1057"/>
      <c r="V17" s="1057"/>
      <c r="W17" s="1057"/>
      <c r="X17" s="49"/>
      <c r="Y17" s="49"/>
    </row>
    <row r="18" spans="4:25" s="50" customFormat="1" ht="18.899999999999999" customHeight="1" x14ac:dyDescent="0.35">
      <c r="D18" s="82"/>
      <c r="E18" s="2214" t="str">
        <f ca="1">$U$14</f>
        <v/>
      </c>
      <c r="F18" s="49"/>
      <c r="G18" s="75" t="s">
        <v>696</v>
      </c>
      <c r="H18" s="49"/>
      <c r="I18" s="49"/>
      <c r="J18" s="75" t="s">
        <v>217</v>
      </c>
      <c r="K18" s="49"/>
      <c r="L18" s="49"/>
      <c r="M18" s="75" t="s">
        <v>703</v>
      </c>
      <c r="N18" s="49"/>
      <c r="O18" s="76"/>
      <c r="P18" s="49"/>
      <c r="Q18" s="49"/>
      <c r="R18" s="81"/>
      <c r="T18" s="1057"/>
      <c r="U18" s="1057"/>
      <c r="V18" s="1057"/>
      <c r="W18" s="1057"/>
      <c r="X18" s="49"/>
      <c r="Y18" s="49"/>
    </row>
    <row r="19" spans="4:25" s="50" customFormat="1" ht="7.5" customHeight="1" x14ac:dyDescent="0.35">
      <c r="D19" s="82"/>
      <c r="E19" s="49"/>
      <c r="F19" s="49"/>
      <c r="G19" s="75"/>
      <c r="H19" s="49"/>
      <c r="I19" s="49"/>
      <c r="J19" s="49"/>
      <c r="K19" s="49"/>
      <c r="L19" s="49"/>
      <c r="M19" s="75"/>
      <c r="N19" s="49"/>
      <c r="O19" s="49"/>
      <c r="P19" s="49"/>
      <c r="Q19" s="49"/>
      <c r="R19" s="81"/>
      <c r="T19" s="1057"/>
      <c r="U19" s="1057"/>
      <c r="V19" s="1057"/>
      <c r="W19" s="1057"/>
      <c r="X19" s="49"/>
      <c r="Y19" s="49"/>
    </row>
    <row r="20" spans="4:25" s="50" customFormat="1" ht="10.5" customHeight="1" x14ac:dyDescent="0.35">
      <c r="D20" s="82"/>
      <c r="E20" s="49"/>
      <c r="F20" s="49"/>
      <c r="G20" s="49"/>
      <c r="H20" s="49"/>
      <c r="I20" s="49"/>
      <c r="J20" s="76"/>
      <c r="K20" s="49"/>
      <c r="L20" s="49"/>
      <c r="M20" s="49"/>
      <c r="N20" s="49"/>
      <c r="O20" s="76"/>
      <c r="P20" s="49"/>
      <c r="Q20" s="49"/>
      <c r="R20" s="81"/>
      <c r="T20" s="1057"/>
      <c r="U20" s="1057"/>
      <c r="V20" s="1057"/>
      <c r="W20" s="1057"/>
      <c r="X20" s="49"/>
      <c r="Y20" s="49"/>
    </row>
    <row r="21" spans="4:25" s="50" customFormat="1" ht="7.5" customHeight="1" x14ac:dyDescent="0.35">
      <c r="D21" s="82"/>
      <c r="E21" s="49"/>
      <c r="F21" s="49"/>
      <c r="G21" s="75"/>
      <c r="H21" s="49"/>
      <c r="I21" s="49"/>
      <c r="J21" s="49"/>
      <c r="K21" s="49"/>
      <c r="L21" s="49"/>
      <c r="M21" s="49"/>
      <c r="N21" s="49"/>
      <c r="O21" s="49"/>
      <c r="P21" s="49"/>
      <c r="Q21" s="49"/>
      <c r="R21" s="81"/>
      <c r="T21" s="1057"/>
      <c r="U21" s="1057"/>
      <c r="V21" s="1057"/>
      <c r="W21" s="1057"/>
      <c r="X21" s="49"/>
      <c r="Y21" s="49"/>
    </row>
    <row r="22" spans="4:25" s="50" customFormat="1" ht="18.899999999999999" customHeight="1" x14ac:dyDescent="0.35">
      <c r="D22" s="82"/>
      <c r="E22" s="49"/>
      <c r="F22" s="49"/>
      <c r="G22" s="75" t="s">
        <v>702</v>
      </c>
      <c r="H22" s="49"/>
      <c r="I22" s="49"/>
      <c r="J22" s="49"/>
      <c r="K22" s="49"/>
      <c r="L22" s="49"/>
      <c r="M22" s="49"/>
      <c r="N22" s="49"/>
      <c r="O22" s="49"/>
      <c r="P22" s="49"/>
      <c r="Q22" s="49"/>
      <c r="R22" s="81"/>
      <c r="T22" s="1057"/>
      <c r="U22" s="1057"/>
      <c r="V22" s="1057"/>
      <c r="W22" s="1057"/>
      <c r="X22" s="49"/>
      <c r="Y22" s="49"/>
    </row>
    <row r="23" spans="4:25" x14ac:dyDescent="0.35">
      <c r="D23" s="80"/>
      <c r="E23" s="48"/>
      <c r="F23" s="70"/>
      <c r="G23" s="70"/>
      <c r="H23" s="70"/>
      <c r="I23" s="70"/>
      <c r="J23" s="70"/>
      <c r="K23" s="70"/>
      <c r="L23" s="70"/>
      <c r="M23" s="70"/>
      <c r="N23" s="70"/>
      <c r="O23" s="70"/>
      <c r="P23" s="70"/>
      <c r="Q23" s="48"/>
      <c r="R23" s="81"/>
      <c r="U23" s="1200" t="str">
        <f>text!B28</f>
        <v>Calcurate 2017</v>
      </c>
    </row>
    <row r="24" spans="4:25" ht="7.5" customHeight="1" x14ac:dyDescent="0.35">
      <c r="D24" s="80"/>
      <c r="E24" s="48"/>
      <c r="F24" s="48"/>
      <c r="G24" s="48"/>
      <c r="H24" s="48"/>
      <c r="I24" s="48"/>
      <c r="J24" s="48"/>
      <c r="K24" s="48"/>
      <c r="L24" s="48"/>
      <c r="M24" s="48"/>
      <c r="N24" s="48"/>
      <c r="O24" s="48"/>
      <c r="P24" s="48"/>
      <c r="Q24" s="48"/>
      <c r="R24" s="81"/>
    </row>
    <row r="25" spans="4:25" x14ac:dyDescent="0.35">
      <c r="D25" s="80"/>
      <c r="E25" s="48"/>
      <c r="F25" s="48"/>
      <c r="G25" s="48" t="s">
        <v>704</v>
      </c>
      <c r="H25" s="2211" t="str">
        <f>codes!$H13</f>
        <v>CBRE</v>
      </c>
      <c r="I25" s="48"/>
      <c r="J25" s="48"/>
      <c r="K25" s="48"/>
      <c r="L25" s="48"/>
      <c r="M25" s="48"/>
      <c r="N25" s="48"/>
      <c r="O25" s="48"/>
      <c r="P25" s="48"/>
      <c r="Q25" s="48"/>
      <c r="R25" s="81"/>
      <c r="U25" s="1200" t="str">
        <f>text!B30</f>
        <v>Calcurate 2026</v>
      </c>
    </row>
    <row r="26" spans="4:25" x14ac:dyDescent="0.35">
      <c r="D26" s="80"/>
      <c r="E26" s="48"/>
      <c r="F26" s="48"/>
      <c r="G26" s="48" t="s">
        <v>678</v>
      </c>
      <c r="H26" s="2211" t="str">
        <f>codes!$H12</f>
        <v>Calcurate 2023 v 5.2 xlms</v>
      </c>
      <c r="I26" s="48"/>
      <c r="J26" s="48"/>
      <c r="K26" s="48"/>
      <c r="L26" s="48"/>
      <c r="M26" s="48"/>
      <c r="N26" s="48"/>
      <c r="O26" s="48"/>
      <c r="P26" s="48"/>
      <c r="Q26" s="48"/>
      <c r="R26" s="81"/>
    </row>
    <row r="27" spans="4:25" x14ac:dyDescent="0.35">
      <c r="D27" s="80"/>
      <c r="E27" s="48"/>
      <c r="F27" s="48"/>
      <c r="G27" s="48" t="s">
        <v>705</v>
      </c>
      <c r="H27" s="2213" t="str">
        <f>TEXT(codes!F5,"dd/mm/yyyy")</f>
        <v>01/05/2027</v>
      </c>
      <c r="I27" s="48"/>
      <c r="J27" s="1918" t="str">
        <f ca="1">codes!H42</f>
        <v/>
      </c>
      <c r="K27" s="48"/>
      <c r="L27" s="48"/>
      <c r="M27" s="48"/>
      <c r="N27" s="48"/>
      <c r="O27" s="48"/>
      <c r="P27" s="48"/>
      <c r="Q27" s="86"/>
      <c r="R27" s="81"/>
      <c r="U27" s="1200" t="b">
        <f ca="1">AND(codes!F1=FALSE,codes!J5&gt;=0)</f>
        <v>0</v>
      </c>
      <c r="V27" s="1057" t="s">
        <v>969</v>
      </c>
    </row>
    <row r="28" spans="4:25" x14ac:dyDescent="0.35">
      <c r="D28" s="80"/>
      <c r="E28" s="48"/>
      <c r="F28" s="48"/>
      <c r="G28" s="112"/>
      <c r="H28" s="113"/>
      <c r="I28" s="48"/>
      <c r="J28" s="48"/>
      <c r="K28" s="48"/>
      <c r="L28" s="48"/>
      <c r="M28" s="48"/>
      <c r="N28" s="48"/>
      <c r="O28" s="48"/>
      <c r="P28" s="48"/>
      <c r="Q28" s="48"/>
      <c r="R28" s="81"/>
    </row>
    <row r="29" spans="4:25" ht="15" thickBot="1" x14ac:dyDescent="0.4">
      <c r="D29" s="80"/>
      <c r="E29" s="48"/>
      <c r="F29" s="48"/>
      <c r="G29" s="2212" t="str">
        <f ca="1">text!B33</f>
        <v>Calcurate 2023 © Calcurate Ltd, October 2022 - May 2026</v>
      </c>
      <c r="H29" s="48"/>
      <c r="I29" s="48"/>
      <c r="J29" s="48"/>
      <c r="K29" s="48"/>
      <c r="L29" s="48"/>
      <c r="M29" s="48"/>
      <c r="N29" s="48"/>
      <c r="O29" s="48"/>
      <c r="P29" s="48"/>
      <c r="Q29" s="48"/>
      <c r="R29" s="81"/>
    </row>
    <row r="30" spans="4:25" x14ac:dyDescent="0.35">
      <c r="D30" s="80"/>
      <c r="E30" s="1480"/>
      <c r="F30" s="1918" t="str">
        <f>codes!$H$2</f>
        <v/>
      </c>
      <c r="G30" s="48"/>
      <c r="H30" s="48"/>
      <c r="I30" s="48"/>
      <c r="J30" s="48"/>
      <c r="K30" s="48"/>
      <c r="L30" s="48"/>
      <c r="M30" s="48"/>
      <c r="N30" s="48"/>
      <c r="O30" s="48"/>
      <c r="P30" s="48"/>
      <c r="Q30" s="74"/>
      <c r="R30" s="81"/>
    </row>
    <row r="31" spans="4:25" ht="11.25" customHeight="1" thickBot="1" x14ac:dyDescent="0.4">
      <c r="D31" s="83"/>
      <c r="E31" s="84"/>
      <c r="F31" s="84"/>
      <c r="G31" s="84"/>
      <c r="H31" s="84"/>
      <c r="I31" s="84"/>
      <c r="J31" s="84"/>
      <c r="K31" s="84"/>
      <c r="L31" s="84"/>
      <c r="M31" s="84"/>
      <c r="N31" s="84"/>
      <c r="O31" s="84"/>
      <c r="P31" s="84"/>
      <c r="Q31" s="2297"/>
      <c r="R31" s="85"/>
    </row>
  </sheetData>
  <sheetProtection algorithmName="SHA-512" hashValue="y0YJD5Jpj9FOuEQ2uRif9IdfmO5zK98eJ2LG8H9fkgjUdt/OiBqR2zZKC46mUJXQLpq5NEMDZZsQjg9soGqBFA==" saltValue="dOs29MoefzBF4h0qfSC3Tw==" spinCount="100000" sheet="1" objects="1" scenarios="1"/>
  <phoneticPr fontId="0" type="noConversion"/>
  <conditionalFormatting sqref="E7:Q7">
    <cfRule type="expression" dxfId="220" priority="1" stopIfTrue="1">
      <formula>$U$7=TRUE</formula>
    </cfRule>
  </conditionalFormatting>
  <conditionalFormatting sqref="F5:P5">
    <cfRule type="expression" dxfId="219" priority="3" stopIfTrue="1">
      <formula>OR($U$8=FALSE,$U$5=TRUE)</formula>
    </cfRule>
  </conditionalFormatting>
  <conditionalFormatting sqref="F10:P27">
    <cfRule type="expression" dxfId="218" priority="4" stopIfTrue="1">
      <formula>$U$8=FALSE</formula>
    </cfRule>
  </conditionalFormatting>
  <conditionalFormatting sqref="E30:Q30 E12:E18">
    <cfRule type="expression" dxfId="217" priority="5" stopIfTrue="1">
      <formula>$U$10=TRUE</formula>
    </cfRule>
  </conditionalFormatting>
  <hyperlinks>
    <hyperlink ref="G10" location="basic!I5" display="Basic" xr:uid="{B6F2DEB2-A68C-43C2-A7A6-3F6F0B6A1728}"/>
    <hyperlink ref="G12" location="advanced!I9" display="Advanced" xr:uid="{7CB02560-E3C5-4AD0-B8D0-FB55B9E73F99}"/>
    <hyperlink ref="J12" location="interest!G17" display="Interest Calculator" xr:uid="{8D9BEA18-056E-40F3-B43E-3B94F41AD5C6}"/>
  </hyperlinks>
  <pageMargins left="0.70866141732283472" right="0.70866141732283472" top="0.74803149606299213" bottom="0.74803149606299213" header="0.31496062992125984" footer="0.31496062992125984"/>
  <pageSetup paperSize="9" scale="90" orientation="landscape"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5377" r:id="rId5" name="Button 17">
              <controlPr defaultSize="0" print="0" autoFill="0" autoPict="0" macro="[0]!goto_basic">
                <anchor moveWithCells="1" sizeWithCells="1">
                  <from>
                    <xdr:col>5</xdr:col>
                    <xdr:colOff>101600</xdr:colOff>
                    <xdr:row>9</xdr:row>
                    <xdr:rowOff>12700</xdr:rowOff>
                  </from>
                  <to>
                    <xdr:col>5</xdr:col>
                    <xdr:colOff>336550</xdr:colOff>
                    <xdr:row>9</xdr:row>
                    <xdr:rowOff>228600</xdr:rowOff>
                  </to>
                </anchor>
              </controlPr>
            </control>
          </mc:Choice>
        </mc:AlternateContent>
        <mc:AlternateContent xmlns:mc="http://schemas.openxmlformats.org/markup-compatibility/2006">
          <mc:Choice Requires="x14">
            <control shapeId="15384" r:id="rId6" name="Button 24">
              <controlPr defaultSize="0" print="0" autoFill="0" autoPict="0" macro="[0]!goto_advanced">
                <anchor moveWithCells="1" sizeWithCells="1">
                  <from>
                    <xdr:col>5</xdr:col>
                    <xdr:colOff>101600</xdr:colOff>
                    <xdr:row>11</xdr:row>
                    <xdr:rowOff>31750</xdr:rowOff>
                  </from>
                  <to>
                    <xdr:col>5</xdr:col>
                    <xdr:colOff>336550</xdr:colOff>
                    <xdr:row>12</xdr:row>
                    <xdr:rowOff>0</xdr:rowOff>
                  </to>
                </anchor>
              </controlPr>
            </control>
          </mc:Choice>
        </mc:AlternateContent>
        <mc:AlternateContent xmlns:mc="http://schemas.openxmlformats.org/markup-compatibility/2006">
          <mc:Choice Requires="x14">
            <control shapeId="15385" r:id="rId7" name="Button 25">
              <controlPr defaultSize="0" print="0" autoFill="0" autoPict="0" macro="[0]!goto_split">
                <anchor moveWithCells="1" sizeWithCells="1">
                  <from>
                    <xdr:col>5</xdr:col>
                    <xdr:colOff>101600</xdr:colOff>
                    <xdr:row>13</xdr:row>
                    <xdr:rowOff>12700</xdr:rowOff>
                  </from>
                  <to>
                    <xdr:col>5</xdr:col>
                    <xdr:colOff>336550</xdr:colOff>
                    <xdr:row>13</xdr:row>
                    <xdr:rowOff>222250</xdr:rowOff>
                  </to>
                </anchor>
              </controlPr>
            </control>
          </mc:Choice>
        </mc:AlternateContent>
        <mc:AlternateContent xmlns:mc="http://schemas.openxmlformats.org/markup-compatibility/2006">
          <mc:Choice Requires="x14">
            <control shapeId="15386" r:id="rId8" name="Button 26">
              <controlPr defaultSize="0" print="0" autoFill="0" autoPict="0" macro="[0]!goto_merge">
                <anchor moveWithCells="1" sizeWithCells="1">
                  <from>
                    <xdr:col>5</xdr:col>
                    <xdr:colOff>101600</xdr:colOff>
                    <xdr:row>15</xdr:row>
                    <xdr:rowOff>12700</xdr:rowOff>
                  </from>
                  <to>
                    <xdr:col>5</xdr:col>
                    <xdr:colOff>336550</xdr:colOff>
                    <xdr:row>15</xdr:row>
                    <xdr:rowOff>222250</xdr:rowOff>
                  </to>
                </anchor>
              </controlPr>
            </control>
          </mc:Choice>
        </mc:AlternateContent>
        <mc:AlternateContent xmlns:mc="http://schemas.openxmlformats.org/markup-compatibility/2006">
          <mc:Choice Requires="x14">
            <control shapeId="15387" r:id="rId9" name="Button 27">
              <controlPr defaultSize="0" print="0" autoFill="0" autoPict="0" macro="[0]!goto_rjs">
                <anchor moveWithCells="1" sizeWithCells="1">
                  <from>
                    <xdr:col>5</xdr:col>
                    <xdr:colOff>101600</xdr:colOff>
                    <xdr:row>17</xdr:row>
                    <xdr:rowOff>31750</xdr:rowOff>
                  </from>
                  <to>
                    <xdr:col>5</xdr:col>
                    <xdr:colOff>336550</xdr:colOff>
                    <xdr:row>18</xdr:row>
                    <xdr:rowOff>0</xdr:rowOff>
                  </to>
                </anchor>
              </controlPr>
            </control>
          </mc:Choice>
        </mc:AlternateContent>
        <mc:AlternateContent xmlns:mc="http://schemas.openxmlformats.org/markup-compatibility/2006">
          <mc:Choice Requires="x14">
            <control shapeId="15389" r:id="rId10" name="Button 29">
              <controlPr defaultSize="0" print="0" autoFill="0" autoPict="0" macro="[0]!goto_details">
                <anchor moveWithCells="1" sizeWithCells="1">
                  <from>
                    <xdr:col>5</xdr:col>
                    <xdr:colOff>101600</xdr:colOff>
                    <xdr:row>21</xdr:row>
                    <xdr:rowOff>31750</xdr:rowOff>
                  </from>
                  <to>
                    <xdr:col>5</xdr:col>
                    <xdr:colOff>336550</xdr:colOff>
                    <xdr:row>22</xdr:row>
                    <xdr:rowOff>0</xdr:rowOff>
                  </to>
                </anchor>
              </controlPr>
            </control>
          </mc:Choice>
        </mc:AlternateContent>
        <mc:AlternateContent xmlns:mc="http://schemas.openxmlformats.org/markup-compatibility/2006">
          <mc:Choice Requires="x14">
            <control shapeId="15390" r:id="rId11" name="Button 30">
              <controlPr defaultSize="0" print="0" autoFill="0" autoPict="0" macro="[0]!goto_s44a">
                <anchor moveWithCells="1" sizeWithCells="1">
                  <from>
                    <xdr:col>8</xdr:col>
                    <xdr:colOff>101600</xdr:colOff>
                    <xdr:row>9</xdr:row>
                    <xdr:rowOff>31750</xdr:rowOff>
                  </from>
                  <to>
                    <xdr:col>8</xdr:col>
                    <xdr:colOff>336550</xdr:colOff>
                    <xdr:row>10</xdr:row>
                    <xdr:rowOff>0</xdr:rowOff>
                  </to>
                </anchor>
              </controlPr>
            </control>
          </mc:Choice>
        </mc:AlternateContent>
        <mc:AlternateContent xmlns:mc="http://schemas.openxmlformats.org/markup-compatibility/2006">
          <mc:Choice Requires="x14">
            <control shapeId="15391" r:id="rId12" name="Button 31">
              <controlPr defaultSize="0" print="0" autoFill="0" autoPict="0" macro="[0]!goto_interest">
                <anchor moveWithCells="1" sizeWithCells="1">
                  <from>
                    <xdr:col>8</xdr:col>
                    <xdr:colOff>101600</xdr:colOff>
                    <xdr:row>11</xdr:row>
                    <xdr:rowOff>12700</xdr:rowOff>
                  </from>
                  <to>
                    <xdr:col>8</xdr:col>
                    <xdr:colOff>336550</xdr:colOff>
                    <xdr:row>11</xdr:row>
                    <xdr:rowOff>222250</xdr:rowOff>
                  </to>
                </anchor>
              </controlPr>
            </control>
          </mc:Choice>
        </mc:AlternateContent>
        <mc:AlternateContent xmlns:mc="http://schemas.openxmlformats.org/markup-compatibility/2006">
          <mc:Choice Requires="x14">
            <control shapeId="15392" r:id="rId13" name="Button 32">
              <controlPr defaultSize="0" print="0" autoFill="0" autoPict="0" macro="[0]!goto_updates">
                <anchor moveWithCells="1" sizeWithCells="1">
                  <from>
                    <xdr:col>8</xdr:col>
                    <xdr:colOff>101600</xdr:colOff>
                    <xdr:row>13</xdr:row>
                    <xdr:rowOff>12700</xdr:rowOff>
                  </from>
                  <to>
                    <xdr:col>8</xdr:col>
                    <xdr:colOff>336550</xdr:colOff>
                    <xdr:row>13</xdr:row>
                    <xdr:rowOff>222250</xdr:rowOff>
                  </to>
                </anchor>
              </controlPr>
            </control>
          </mc:Choice>
        </mc:AlternateContent>
        <mc:AlternateContent xmlns:mc="http://schemas.openxmlformats.org/markup-compatibility/2006">
          <mc:Choice Requires="x14">
            <control shapeId="15393" r:id="rId14" name="Button 33">
              <controlPr defaultSize="0" print="0" autoFill="0" autoPict="0" macro="[0]!openscheduliser">
                <anchor moveWithCells="1" sizeWithCells="1">
                  <from>
                    <xdr:col>11</xdr:col>
                    <xdr:colOff>101600</xdr:colOff>
                    <xdr:row>9</xdr:row>
                    <xdr:rowOff>31750</xdr:rowOff>
                  </from>
                  <to>
                    <xdr:col>11</xdr:col>
                    <xdr:colOff>336550</xdr:colOff>
                    <xdr:row>10</xdr:row>
                    <xdr:rowOff>0</xdr:rowOff>
                  </to>
                </anchor>
              </controlPr>
            </control>
          </mc:Choice>
        </mc:AlternateContent>
        <mc:AlternateContent xmlns:mc="http://schemas.openxmlformats.org/markup-compatibility/2006">
          <mc:Choice Requires="x14">
            <control shapeId="15394" r:id="rId15" name="Button 34">
              <controlPr defaultSize="0" print="0" autoFill="0" autoPict="0" macro="[0]!switchtorecon">
                <anchor moveWithCells="1" sizeWithCells="1">
                  <from>
                    <xdr:col>11</xdr:col>
                    <xdr:colOff>101600</xdr:colOff>
                    <xdr:row>11</xdr:row>
                    <xdr:rowOff>31750</xdr:rowOff>
                  </from>
                  <to>
                    <xdr:col>11</xdr:col>
                    <xdr:colOff>336550</xdr:colOff>
                    <xdr:row>12</xdr:row>
                    <xdr:rowOff>0</xdr:rowOff>
                  </to>
                </anchor>
              </controlPr>
            </control>
          </mc:Choice>
        </mc:AlternateContent>
        <mc:AlternateContent xmlns:mc="http://schemas.openxmlformats.org/markup-compatibility/2006">
          <mc:Choice Requires="x14">
            <control shapeId="15395" r:id="rId16" name="Button 35">
              <controlPr defaultSize="0" print="0" autoFill="0" autoPict="0" macro="[0]!intocclauncher">
                <anchor moveWithCells="1" sizeWithCells="1">
                  <from>
                    <xdr:col>11</xdr:col>
                    <xdr:colOff>101600</xdr:colOff>
                    <xdr:row>13</xdr:row>
                    <xdr:rowOff>31750</xdr:rowOff>
                  </from>
                  <to>
                    <xdr:col>11</xdr:col>
                    <xdr:colOff>336550</xdr:colOff>
                    <xdr:row>14</xdr:row>
                    <xdr:rowOff>0</xdr:rowOff>
                  </to>
                </anchor>
              </controlPr>
            </control>
          </mc:Choice>
        </mc:AlternateContent>
        <mc:AlternateContent xmlns:mc="http://schemas.openxmlformats.org/markup-compatibility/2006">
          <mc:Choice Requires="x14">
            <control shapeId="15396" r:id="rId17" name="Button 36">
              <controlPr defaultSize="0" print="0" autoFill="0" autoPict="0" macro="[0]!goto_infosheet">
                <anchor moveWithCells="1" sizeWithCells="1">
                  <from>
                    <xdr:col>11</xdr:col>
                    <xdr:colOff>101600</xdr:colOff>
                    <xdr:row>15</xdr:row>
                    <xdr:rowOff>31750</xdr:rowOff>
                  </from>
                  <to>
                    <xdr:col>11</xdr:col>
                    <xdr:colOff>336550</xdr:colOff>
                    <xdr:row>16</xdr:row>
                    <xdr:rowOff>0</xdr:rowOff>
                  </to>
                </anchor>
              </controlPr>
            </control>
          </mc:Choice>
        </mc:AlternateContent>
        <mc:AlternateContent xmlns:mc="http://schemas.openxmlformats.org/markup-compatibility/2006">
          <mc:Choice Requires="x14">
            <control shapeId="15397" r:id="rId18" name="Button 37">
              <controlPr defaultSize="0" print="0" autoFill="0" autoPict="0" macro="[0]!goto_conditions">
                <anchor moveWithCells="1" sizeWithCells="1">
                  <from>
                    <xdr:col>11</xdr:col>
                    <xdr:colOff>101600</xdr:colOff>
                    <xdr:row>17</xdr:row>
                    <xdr:rowOff>12700</xdr:rowOff>
                  </from>
                  <to>
                    <xdr:col>11</xdr:col>
                    <xdr:colOff>336550</xdr:colOff>
                    <xdr:row>17</xdr:row>
                    <xdr:rowOff>222250</xdr:rowOff>
                  </to>
                </anchor>
              </controlPr>
            </control>
          </mc:Choice>
        </mc:AlternateContent>
        <mc:AlternateContent xmlns:mc="http://schemas.openxmlformats.org/markup-compatibility/2006">
          <mc:Choice Requires="x14">
            <control shapeId="15399" r:id="rId19" name="Button 39">
              <controlPr defaultSize="0" print="0" autoFill="0" autoPict="0" macro="[0]!goto_version_history">
                <anchor moveWithCells="1" sizeWithCells="1">
                  <from>
                    <xdr:col>5</xdr:col>
                    <xdr:colOff>101600</xdr:colOff>
                    <xdr:row>25</xdr:row>
                    <xdr:rowOff>12700</xdr:rowOff>
                  </from>
                  <to>
                    <xdr:col>5</xdr:col>
                    <xdr:colOff>336550</xdr:colOff>
                    <xdr:row>26</xdr:row>
                    <xdr:rowOff>44450</xdr:rowOff>
                  </to>
                </anchor>
              </controlPr>
            </control>
          </mc:Choice>
        </mc:AlternateContent>
        <mc:AlternateContent xmlns:mc="http://schemas.openxmlformats.org/markup-compatibility/2006">
          <mc:Choice Requires="x14">
            <control shapeId="15404" r:id="rId20" name="Button 44">
              <controlPr defaultSize="0" print="0" autoFill="0" autoPict="0" macro="[0]!exitworkbook">
                <anchor moveWithCells="1" sizeWithCells="1">
                  <from>
                    <xdr:col>14</xdr:col>
                    <xdr:colOff>292100</xdr:colOff>
                    <xdr:row>4</xdr:row>
                    <xdr:rowOff>177800</xdr:rowOff>
                  </from>
                  <to>
                    <xdr:col>16</xdr:col>
                    <xdr:colOff>412750</xdr:colOff>
                    <xdr:row>6</xdr:row>
                    <xdr:rowOff>152400</xdr:rowOff>
                  </to>
                </anchor>
              </controlPr>
            </control>
          </mc:Choice>
        </mc:AlternateContent>
        <mc:AlternateContent xmlns:mc="http://schemas.openxmlformats.org/markup-compatibility/2006">
          <mc:Choice Requires="x14">
            <control shapeId="15408" r:id="rId21" name="Button 48">
              <controlPr defaultSize="0" print="0" autoFill="0" autoPict="0" macro="[0]!whatisanalyse">
                <anchor moveWithCells="1" sizeWithCells="1">
                  <from>
                    <xdr:col>0</xdr:col>
                    <xdr:colOff>120650</xdr:colOff>
                    <xdr:row>6</xdr:row>
                    <xdr:rowOff>69850</xdr:rowOff>
                  </from>
                  <to>
                    <xdr:col>1</xdr:col>
                    <xdr:colOff>158750</xdr:colOff>
                    <xdr:row>7</xdr:row>
                    <xdr:rowOff>165100</xdr:rowOff>
                  </to>
                </anchor>
              </controlPr>
            </control>
          </mc:Choice>
        </mc:AlternateContent>
        <mc:AlternateContent xmlns:mc="http://schemas.openxmlformats.org/markup-compatibility/2006">
          <mc:Choice Requires="x14">
            <control shapeId="15413" r:id="rId22" name="Button 53">
              <controlPr defaultSize="0" print="0" autoFill="0" autoPict="0" macro="[0]!goto_ratingworkbookmenu">
                <anchor moveWithCells="1" sizeWithCells="1">
                  <from>
                    <xdr:col>0</xdr:col>
                    <xdr:colOff>44450</xdr:colOff>
                    <xdr:row>9</xdr:row>
                    <xdr:rowOff>44450</xdr:rowOff>
                  </from>
                  <to>
                    <xdr:col>2</xdr:col>
                    <xdr:colOff>279400</xdr:colOff>
                    <xdr:row>11</xdr:row>
                    <xdr:rowOff>165100</xdr:rowOff>
                  </to>
                </anchor>
              </controlPr>
            </control>
          </mc:Choice>
        </mc:AlternateContent>
        <mc:AlternateContent xmlns:mc="http://schemas.openxmlformats.org/markup-compatibility/2006">
          <mc:Choice Requires="x14">
            <control shapeId="15414" r:id="rId23" name="Button 54">
              <controlPr defaultSize="0" print="0" autoFill="0" autoPict="0" macro="[0]!about">
                <anchor moveWithCells="1" sizeWithCells="1">
                  <from>
                    <xdr:col>12</xdr:col>
                    <xdr:colOff>1054100</xdr:colOff>
                    <xdr:row>26</xdr:row>
                    <xdr:rowOff>63500</xdr:rowOff>
                  </from>
                  <to>
                    <xdr:col>14</xdr:col>
                    <xdr:colOff>222250</xdr:colOff>
                    <xdr:row>28</xdr:row>
                    <xdr:rowOff>127000</xdr:rowOff>
                  </to>
                </anchor>
              </controlPr>
            </control>
          </mc:Choice>
        </mc:AlternateContent>
        <mc:AlternateContent xmlns:mc="http://schemas.openxmlformats.org/markup-compatibility/2006">
          <mc:Choice Requires="x14">
            <control shapeId="15415" r:id="rId24" name="Button 55">
              <controlPr defaultSize="0" print="0" autoFill="0" autoPict="0" macro="[0]!helpform_general">
                <anchor moveWithCells="1" sizeWithCells="1">
                  <from>
                    <xdr:col>12</xdr:col>
                    <xdr:colOff>114300</xdr:colOff>
                    <xdr:row>26</xdr:row>
                    <xdr:rowOff>63500</xdr:rowOff>
                  </from>
                  <to>
                    <xdr:col>12</xdr:col>
                    <xdr:colOff>1060450</xdr:colOff>
                    <xdr:row>28</xdr:row>
                    <xdr:rowOff>127000</xdr:rowOff>
                  </to>
                </anchor>
              </controlPr>
            </control>
          </mc:Choice>
        </mc:AlternateContent>
        <mc:AlternateContent xmlns:mc="http://schemas.openxmlformats.org/markup-compatibility/2006">
          <mc:Choice Requires="x14">
            <control shapeId="15434" r:id="rId25" name="Button 74">
              <controlPr defaultSize="0" print="0" autoFill="0" autoPict="0" macro="[0]!goto_riverlake">
                <anchor moveWithCells="1" sizeWithCells="1">
                  <from>
                    <xdr:col>8</xdr:col>
                    <xdr:colOff>101600</xdr:colOff>
                    <xdr:row>15</xdr:row>
                    <xdr:rowOff>12700</xdr:rowOff>
                  </from>
                  <to>
                    <xdr:col>8</xdr:col>
                    <xdr:colOff>336550</xdr:colOff>
                    <xdr:row>15</xdr:row>
                    <xdr:rowOff>222250</xdr:rowOff>
                  </to>
                </anchor>
              </controlPr>
            </control>
          </mc:Choice>
        </mc:AlternateContent>
        <mc:AlternateContent xmlns:mc="http://schemas.openxmlformats.org/markup-compatibility/2006">
          <mc:Choice Requires="x14">
            <control shapeId="15473" r:id="rId26" name="Button 113">
              <controlPr defaultSize="0" print="0" autoFill="0" autoPict="0" macro="[0]!goto_folder_settings">
                <anchor moveWithCells="1" sizeWithCells="1">
                  <from>
                    <xdr:col>8</xdr:col>
                    <xdr:colOff>101600</xdr:colOff>
                    <xdr:row>17</xdr:row>
                    <xdr:rowOff>12700</xdr:rowOff>
                  </from>
                  <to>
                    <xdr:col>8</xdr:col>
                    <xdr:colOff>336550</xdr:colOff>
                    <xdr:row>17</xdr:row>
                    <xdr:rowOff>222250</xdr:rowOff>
                  </to>
                </anchor>
              </controlPr>
            </control>
          </mc:Choice>
        </mc:AlternateContent>
        <mc:AlternateContent xmlns:mc="http://schemas.openxmlformats.org/markup-compatibility/2006">
          <mc:Choice Requires="x14">
            <control shapeId="63019" r:id="rId27" name="Button 3627">
              <controlPr defaultSize="0" print="0" autoFill="0" autoPict="0" macro="[0]!goto_previous_list">
                <anchor moveWithCells="1" sizeWithCells="1">
                  <from>
                    <xdr:col>14</xdr:col>
                    <xdr:colOff>292100</xdr:colOff>
                    <xdr:row>6</xdr:row>
                    <xdr:rowOff>152400</xdr:rowOff>
                  </from>
                  <to>
                    <xdr:col>15</xdr:col>
                    <xdr:colOff>349250</xdr:colOff>
                    <xdr:row>9</xdr:row>
                    <xdr:rowOff>76200</xdr:rowOff>
                  </to>
                </anchor>
              </controlPr>
            </control>
          </mc:Choice>
        </mc:AlternateContent>
        <mc:AlternateContent xmlns:mc="http://schemas.openxmlformats.org/markup-compatibility/2006">
          <mc:Choice Requires="x14">
            <control shapeId="63020" r:id="rId28" name="Button 3628">
              <controlPr defaultSize="0" print="0" autoFill="0" autoPict="0" macro="[0]!open_next_list">
                <anchor moveWithCells="1" sizeWithCells="1">
                  <from>
                    <xdr:col>15</xdr:col>
                    <xdr:colOff>349250</xdr:colOff>
                    <xdr:row>6</xdr:row>
                    <xdr:rowOff>152400</xdr:rowOff>
                  </from>
                  <to>
                    <xdr:col>16</xdr:col>
                    <xdr:colOff>412750</xdr:colOff>
                    <xdr:row>9</xdr:row>
                    <xdr:rowOff>76200</xdr:rowOff>
                  </to>
                </anchor>
              </controlPr>
            </control>
          </mc:Choice>
        </mc:AlternateContent>
        <mc:AlternateContent xmlns:mc="http://schemas.openxmlformats.org/markup-compatibility/2006">
          <mc:Choice Requires="x14">
            <control shapeId="63021" r:id="rId29" name="Button 3629">
              <controlPr defaultSize="0" print="0" autoFill="0" autoPict="0" macro="[0]!whatisscheduliser">
                <anchor moveWithCells="1" sizeWithCells="1">
                  <from>
                    <xdr:col>13</xdr:col>
                    <xdr:colOff>336550</xdr:colOff>
                    <xdr:row>8</xdr:row>
                    <xdr:rowOff>152400</xdr:rowOff>
                  </from>
                  <to>
                    <xdr:col>13</xdr:col>
                    <xdr:colOff>565150</xdr:colOff>
                    <xdr:row>9</xdr:row>
                    <xdr:rowOff>190500</xdr:rowOff>
                  </to>
                </anchor>
              </controlPr>
            </control>
          </mc:Choice>
        </mc:AlternateContent>
        <mc:AlternateContent xmlns:mc="http://schemas.openxmlformats.org/markup-compatibility/2006">
          <mc:Choice Requires="x14">
            <control shapeId="63022" r:id="rId30" name="Button 3630">
              <controlPr defaultSize="0" print="0" autoFill="0" autoPict="0" macro="[0]!whatismultirecon">
                <anchor moveWithCells="1" sizeWithCells="1">
                  <from>
                    <xdr:col>13</xdr:col>
                    <xdr:colOff>577850</xdr:colOff>
                    <xdr:row>11</xdr:row>
                    <xdr:rowOff>6350</xdr:rowOff>
                  </from>
                  <to>
                    <xdr:col>14</xdr:col>
                    <xdr:colOff>184150</xdr:colOff>
                    <xdr:row>11</xdr:row>
                    <xdr:rowOff>203200</xdr:rowOff>
                  </to>
                </anchor>
              </controlPr>
            </control>
          </mc:Choice>
        </mc:AlternateContent>
        <mc:AlternateContent xmlns:mc="http://schemas.openxmlformats.org/markup-compatibility/2006">
          <mc:Choice Requires="x14">
            <control shapeId="63023" r:id="rId31" name="Button 3631">
              <controlPr defaultSize="0" print="0" autoFill="0" autoPict="0" macro="[0]!whatisintermittentoccupation">
                <anchor moveWithCells="1" sizeWithCells="1">
                  <from>
                    <xdr:col>14</xdr:col>
                    <xdr:colOff>565150</xdr:colOff>
                    <xdr:row>13</xdr:row>
                    <xdr:rowOff>12700</xdr:rowOff>
                  </from>
                  <to>
                    <xdr:col>15</xdr:col>
                    <xdr:colOff>177800</xdr:colOff>
                    <xdr:row>13</xdr:row>
                    <xdr:rowOff>222250</xdr:rowOff>
                  </to>
                </anchor>
              </controlPr>
            </control>
          </mc:Choice>
        </mc:AlternateContent>
        <mc:AlternateContent xmlns:mc="http://schemas.openxmlformats.org/markup-compatibility/2006">
          <mc:Choice Requires="x14">
            <control shapeId="63024" r:id="rId32" name="Button 3632">
              <controlPr defaultSize="0" print="0" autoFill="0" autoPict="0" macro="[0]!gotobrils">
                <anchor moveWithCells="1" sizeWithCells="1">
                  <from>
                    <xdr:col>0</xdr:col>
                    <xdr:colOff>101600</xdr:colOff>
                    <xdr:row>23</xdr:row>
                    <xdr:rowOff>69850</xdr:rowOff>
                  </from>
                  <to>
                    <xdr:col>2</xdr:col>
                    <xdr:colOff>196850</xdr:colOff>
                    <xdr:row>25</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F8D27-A0C7-4667-9557-E7B3FFDACAD4}">
  <sheetPr codeName="Sheet21"/>
  <dimension ref="A1:Z58"/>
  <sheetViews>
    <sheetView showGridLines="0" workbookViewId="0">
      <selection activeCell="D4" sqref="D4"/>
    </sheetView>
  </sheetViews>
  <sheetFormatPr defaultColWidth="9.08984375" defaultRowHeight="14.5" x14ac:dyDescent="0.35"/>
  <cols>
    <col min="1" max="1" width="18" style="256" customWidth="1"/>
    <col min="2" max="2" width="5.54296875" style="256" customWidth="1"/>
    <col min="3" max="3" width="19.08984375" style="256" customWidth="1"/>
    <col min="4" max="4" width="47.453125" style="256" customWidth="1"/>
    <col min="5" max="5" width="4.453125" style="256" customWidth="1"/>
    <col min="6" max="6" width="11.08984375" style="256" customWidth="1"/>
    <col min="7" max="8" width="9.08984375" style="256"/>
    <col min="9" max="9" width="22.36328125" style="149" hidden="1" customWidth="1"/>
    <col min="10" max="10" width="9.08984375" style="256"/>
    <col min="11" max="11" width="23" style="256" hidden="1" customWidth="1"/>
    <col min="12" max="25" width="9.08984375" style="256"/>
    <col min="26" max="26" width="63.08984375" style="256" customWidth="1"/>
    <col min="27" max="16384" width="9.08984375" style="256"/>
  </cols>
  <sheetData>
    <row r="1" spans="1:26" ht="15" thickBot="1" x14ac:dyDescent="0.4">
      <c r="A1" s="374"/>
      <c r="B1" s="374"/>
      <c r="C1" s="374"/>
      <c r="D1" s="374"/>
      <c r="E1" s="374"/>
      <c r="F1" s="374"/>
      <c r="G1" s="374"/>
      <c r="H1" s="374"/>
      <c r="J1" s="374"/>
      <c r="L1" s="374"/>
      <c r="M1" s="374"/>
      <c r="N1" s="374"/>
      <c r="O1" s="374"/>
      <c r="P1" s="374"/>
      <c r="Q1" s="374"/>
      <c r="R1" s="374"/>
      <c r="S1" s="374"/>
      <c r="T1" s="374"/>
      <c r="U1" s="374"/>
      <c r="V1" s="374"/>
      <c r="W1" s="374"/>
      <c r="X1" s="374"/>
      <c r="Y1" s="374"/>
      <c r="Z1" s="374"/>
    </row>
    <row r="2" spans="1:26" x14ac:dyDescent="0.35">
      <c r="A2" s="374"/>
      <c r="B2" s="375"/>
      <c r="C2" s="376"/>
      <c r="D2" s="376"/>
      <c r="E2" s="376"/>
      <c r="F2" s="377"/>
      <c r="G2" s="374"/>
      <c r="H2" s="374"/>
      <c r="J2" s="374"/>
      <c r="L2" s="374"/>
      <c r="M2" s="374"/>
      <c r="N2" s="374"/>
      <c r="O2" s="374"/>
      <c r="P2" s="374"/>
      <c r="Q2" s="374"/>
      <c r="R2" s="374"/>
      <c r="S2" s="374"/>
      <c r="T2" s="374"/>
      <c r="U2" s="374"/>
      <c r="V2" s="374"/>
      <c r="W2" s="374"/>
      <c r="X2" s="374"/>
      <c r="Y2" s="374"/>
      <c r="Z2" s="374"/>
    </row>
    <row r="3" spans="1:26" x14ac:dyDescent="0.35">
      <c r="A3" s="374"/>
      <c r="B3" s="378"/>
      <c r="C3" s="291" t="s">
        <v>662</v>
      </c>
      <c r="F3" s="379"/>
      <c r="G3" s="374"/>
      <c r="H3" s="374"/>
      <c r="J3" s="374"/>
      <c r="L3" s="374"/>
      <c r="M3" s="374"/>
      <c r="N3" s="374"/>
      <c r="O3" s="374"/>
      <c r="P3" s="374"/>
      <c r="Q3" s="374"/>
      <c r="R3" s="374"/>
      <c r="S3" s="374"/>
      <c r="T3" s="374"/>
      <c r="U3" s="374"/>
      <c r="V3" s="374"/>
      <c r="W3" s="374"/>
      <c r="X3" s="374"/>
      <c r="Y3" s="374"/>
      <c r="Z3" s="374"/>
    </row>
    <row r="4" spans="1:26" x14ac:dyDescent="0.35">
      <c r="A4" s="374"/>
      <c r="B4" s="378"/>
      <c r="C4" s="380" t="s">
        <v>663</v>
      </c>
      <c r="D4" s="31"/>
      <c r="F4" s="379"/>
      <c r="G4" s="374"/>
      <c r="H4" s="374"/>
      <c r="I4" s="387"/>
      <c r="J4" s="374"/>
      <c r="L4" s="374"/>
      <c r="M4" s="374"/>
      <c r="N4" s="374"/>
      <c r="O4" s="374"/>
      <c r="P4" s="374"/>
      <c r="Q4" s="374"/>
      <c r="R4" s="374"/>
      <c r="S4" s="374"/>
      <c r="T4" s="374"/>
      <c r="U4" s="374"/>
      <c r="V4" s="374"/>
      <c r="W4" s="374"/>
      <c r="X4" s="374"/>
      <c r="Y4" s="374"/>
      <c r="Z4" s="374"/>
    </row>
    <row r="5" spans="1:26" x14ac:dyDescent="0.35">
      <c r="A5" s="374"/>
      <c r="B5" s="378"/>
      <c r="C5" s="380" t="s">
        <v>664</v>
      </c>
      <c r="D5" s="31"/>
      <c r="F5" s="379"/>
      <c r="G5" s="374"/>
      <c r="H5" s="374"/>
      <c r="I5" s="1714"/>
      <c r="J5" s="374"/>
      <c r="K5" s="256" t="str">
        <f>IF(D5="","&gt;","X")</f>
        <v>&gt;</v>
      </c>
      <c r="L5" s="374"/>
      <c r="M5" s="374"/>
      <c r="N5" s="374"/>
      <c r="O5" s="374"/>
      <c r="P5" s="374"/>
      <c r="Q5" s="374"/>
      <c r="R5" s="374"/>
      <c r="S5" s="374"/>
      <c r="T5" s="374"/>
      <c r="U5" s="374"/>
      <c r="V5" s="374"/>
      <c r="W5" s="374"/>
      <c r="X5" s="374"/>
      <c r="Y5" s="374"/>
      <c r="Z5" s="374"/>
    </row>
    <row r="6" spans="1:26" x14ac:dyDescent="0.35">
      <c r="A6" s="374"/>
      <c r="B6" s="378"/>
      <c r="C6" s="380" t="s">
        <v>665</v>
      </c>
      <c r="D6" s="31"/>
      <c r="F6" s="379"/>
      <c r="G6" s="374"/>
      <c r="H6" s="374"/>
      <c r="I6" s="387"/>
      <c r="J6" s="374"/>
      <c r="L6" s="374"/>
      <c r="M6" s="374"/>
      <c r="N6" s="374"/>
      <c r="O6" s="374"/>
      <c r="P6" s="374"/>
      <c r="Q6" s="374"/>
      <c r="R6" s="374"/>
      <c r="S6" s="374"/>
      <c r="T6" s="374"/>
      <c r="U6" s="374"/>
      <c r="V6" s="374"/>
      <c r="W6" s="374"/>
      <c r="X6" s="374"/>
      <c r="Y6" s="374"/>
      <c r="Z6" s="374"/>
    </row>
    <row r="7" spans="1:26" x14ac:dyDescent="0.35">
      <c r="A7" s="374"/>
      <c r="B7" s="378"/>
      <c r="C7" s="380" t="s">
        <v>666</v>
      </c>
      <c r="D7" s="31"/>
      <c r="F7" s="379"/>
      <c r="G7" s="374"/>
      <c r="H7" s="374"/>
      <c r="I7" s="387"/>
      <c r="J7" s="374"/>
      <c r="L7" s="374"/>
      <c r="M7" s="374"/>
      <c r="N7" s="374"/>
      <c r="O7" s="374"/>
      <c r="P7" s="374"/>
      <c r="Q7" s="374"/>
      <c r="R7" s="374"/>
      <c r="S7" s="374"/>
      <c r="T7" s="374"/>
      <c r="U7" s="374"/>
      <c r="V7" s="374"/>
      <c r="W7" s="374"/>
      <c r="X7" s="374"/>
      <c r="Y7" s="374"/>
      <c r="Z7" s="374"/>
    </row>
    <row r="8" spans="1:26" x14ac:dyDescent="0.35">
      <c r="A8" s="374"/>
      <c r="B8" s="378"/>
      <c r="C8" s="380" t="s">
        <v>667</v>
      </c>
      <c r="D8" s="31"/>
      <c r="F8" s="379"/>
      <c r="G8" s="374"/>
      <c r="H8" s="374"/>
      <c r="I8" s="387"/>
      <c r="J8" s="374"/>
      <c r="L8" s="374"/>
      <c r="M8" s="374"/>
      <c r="N8" s="374"/>
      <c r="O8" s="374"/>
      <c r="P8" s="374"/>
      <c r="Q8" s="374"/>
      <c r="R8" s="374"/>
      <c r="S8" s="374"/>
      <c r="T8" s="374"/>
      <c r="U8" s="374"/>
      <c r="V8" s="374"/>
      <c r="W8" s="374"/>
      <c r="X8" s="374"/>
      <c r="Y8" s="374"/>
      <c r="Z8" s="374"/>
    </row>
    <row r="9" spans="1:26" x14ac:dyDescent="0.35">
      <c r="A9" s="374"/>
      <c r="B9" s="378"/>
      <c r="C9" s="380" t="s">
        <v>668</v>
      </c>
      <c r="D9" s="31"/>
      <c r="F9" s="379"/>
      <c r="G9" s="374"/>
      <c r="H9" s="374"/>
      <c r="I9" s="387"/>
      <c r="J9" s="374"/>
      <c r="K9" s="256" t="str">
        <f>"get details from "&amp;text!B28</f>
        <v>get details from Calcurate 2017</v>
      </c>
      <c r="L9" s="374"/>
      <c r="M9" s="374"/>
      <c r="N9" s="374"/>
      <c r="O9" s="374"/>
      <c r="P9" s="374"/>
      <c r="Q9" s="374"/>
      <c r="R9" s="374"/>
      <c r="S9" s="374"/>
      <c r="T9" s="374"/>
      <c r="U9" s="374"/>
      <c r="V9" s="374"/>
      <c r="W9" s="374"/>
      <c r="X9" s="374"/>
      <c r="Y9" s="374"/>
      <c r="Z9" s="374"/>
    </row>
    <row r="10" spans="1:26" x14ac:dyDescent="0.35">
      <c r="A10" s="374"/>
      <c r="B10" s="378"/>
      <c r="C10" s="380" t="s">
        <v>669</v>
      </c>
      <c r="D10" s="31"/>
      <c r="F10" s="379"/>
      <c r="G10" s="374"/>
      <c r="H10" s="374"/>
      <c r="I10" s="387"/>
      <c r="J10" s="374"/>
      <c r="K10" s="256" t="str">
        <f>"get details from "&amp;text!B30</f>
        <v>get details from Calcurate 2026</v>
      </c>
      <c r="L10" s="374"/>
      <c r="M10" s="374"/>
      <c r="N10" s="374"/>
      <c r="O10" s="374"/>
      <c r="P10" s="374"/>
      <c r="Q10" s="374"/>
      <c r="R10" s="374"/>
      <c r="S10" s="374"/>
      <c r="T10" s="374"/>
      <c r="U10" s="374"/>
      <c r="V10" s="374"/>
      <c r="W10" s="374"/>
      <c r="X10" s="374"/>
      <c r="Y10" s="374"/>
      <c r="Z10" s="374"/>
    </row>
    <row r="11" spans="1:26" x14ac:dyDescent="0.35">
      <c r="A11" s="374"/>
      <c r="B11" s="378"/>
      <c r="F11" s="379"/>
      <c r="G11" s="374"/>
      <c r="H11" s="374"/>
      <c r="I11" s="387"/>
      <c r="J11" s="374"/>
      <c r="L11" s="374"/>
      <c r="M11" s="374"/>
      <c r="N11" s="374"/>
      <c r="O11" s="374"/>
      <c r="P11" s="374"/>
      <c r="Q11" s="374"/>
      <c r="R11" s="374"/>
      <c r="S11" s="374"/>
      <c r="T11" s="374"/>
      <c r="U11" s="374"/>
      <c r="V11" s="374"/>
      <c r="W11" s="374"/>
      <c r="X11" s="374"/>
      <c r="Y11" s="374"/>
      <c r="Z11" s="374"/>
    </row>
    <row r="12" spans="1:26" x14ac:dyDescent="0.35">
      <c r="A12" s="374"/>
      <c r="B12" s="378"/>
      <c r="D12" s="291" t="str">
        <f>K12</f>
        <v>Enter Address Details</v>
      </c>
      <c r="F12" s="379"/>
      <c r="G12" s="374"/>
      <c r="H12" s="374"/>
      <c r="I12" s="387"/>
      <c r="J12" s="374"/>
      <c r="K12" s="381" t="str">
        <f>IF(K13&amp;K14&amp;K15&amp;K16="","Enter Address Details",K13&amp;K14&amp;K15&amp;K16)</f>
        <v>Enter Address Details</v>
      </c>
      <c r="L12" s="374"/>
      <c r="M12" s="374"/>
      <c r="N12" s="374"/>
      <c r="O12" s="374"/>
      <c r="P12" s="374"/>
      <c r="Q12" s="374"/>
      <c r="R12" s="374"/>
      <c r="S12" s="374"/>
      <c r="T12" s="374"/>
      <c r="U12" s="374"/>
      <c r="V12" s="374"/>
      <c r="W12" s="374"/>
      <c r="X12" s="374"/>
      <c r="Y12" s="374"/>
      <c r="Z12" s="374"/>
    </row>
    <row r="13" spans="1:26" x14ac:dyDescent="0.35">
      <c r="A13" s="374"/>
      <c r="B13" s="378"/>
      <c r="D13" s="291"/>
      <c r="F13" s="379"/>
      <c r="G13" s="374"/>
      <c r="H13" s="374"/>
      <c r="I13" s="387" t="s">
        <v>670</v>
      </c>
      <c r="J13" s="374"/>
      <c r="K13" s="382" t="str">
        <f>IF(D7="","",IF(AND(D8="",D9="",D10=""),D7,D7&amp;" - "))</f>
        <v/>
      </c>
      <c r="L13" s="374"/>
      <c r="M13" s="374"/>
      <c r="N13" s="374"/>
      <c r="O13" s="374"/>
      <c r="P13" s="374"/>
      <c r="Q13" s="374"/>
      <c r="R13" s="374"/>
      <c r="S13" s="374"/>
      <c r="T13" s="374"/>
      <c r="U13" s="374"/>
      <c r="V13" s="374"/>
      <c r="W13" s="374"/>
      <c r="X13" s="374"/>
      <c r="Y13" s="374"/>
      <c r="Z13" s="374"/>
    </row>
    <row r="14" spans="1:26" ht="15" thickBot="1" x14ac:dyDescent="0.4">
      <c r="A14" s="374"/>
      <c r="B14" s="383"/>
      <c r="C14" s="384"/>
      <c r="D14" s="384"/>
      <c r="E14" s="384"/>
      <c r="F14" s="385"/>
      <c r="G14" s="374"/>
      <c r="H14" s="374"/>
      <c r="I14" s="387">
        <v>11</v>
      </c>
      <c r="J14" s="374"/>
      <c r="K14" s="382" t="str">
        <f>IF(D8="","",IF(AND(D9="",D10=""),D8,D8&amp;", "))</f>
        <v/>
      </c>
      <c r="L14" s="374"/>
      <c r="M14" s="374"/>
      <c r="N14" s="374"/>
      <c r="O14" s="374"/>
      <c r="P14" s="374"/>
      <c r="Q14" s="374"/>
      <c r="R14" s="374"/>
      <c r="S14" s="374"/>
      <c r="T14" s="374"/>
      <c r="U14" s="374"/>
      <c r="V14" s="374"/>
      <c r="W14" s="374"/>
      <c r="X14" s="374"/>
      <c r="Y14" s="374"/>
      <c r="Z14" s="374"/>
    </row>
    <row r="15" spans="1:26" x14ac:dyDescent="0.35">
      <c r="A15" s="374"/>
      <c r="B15" s="374"/>
      <c r="C15" s="374"/>
      <c r="D15" s="374"/>
      <c r="E15" s="374"/>
      <c r="F15" s="374"/>
      <c r="G15" s="374"/>
      <c r="H15" s="374"/>
      <c r="I15" s="387">
        <v>2</v>
      </c>
      <c r="J15" s="374"/>
      <c r="K15" s="382" t="str">
        <f>IF(D9="","",IF(AND(D10="",D11=""),D9,D9&amp;", "))</f>
        <v/>
      </c>
      <c r="L15" s="374"/>
      <c r="M15" s="374"/>
      <c r="N15" s="374"/>
      <c r="O15" s="374"/>
      <c r="P15" s="374"/>
      <c r="Q15" s="374"/>
      <c r="R15" s="374"/>
      <c r="S15" s="374"/>
      <c r="T15" s="374"/>
      <c r="U15" s="374"/>
      <c r="V15" s="374"/>
      <c r="W15" s="374"/>
      <c r="X15" s="374"/>
      <c r="Y15" s="374"/>
      <c r="Z15" s="374"/>
    </row>
    <row r="16" spans="1:26" ht="11.25" customHeight="1" thickBot="1" x14ac:dyDescent="0.4">
      <c r="A16" s="374"/>
      <c r="B16" s="374"/>
      <c r="C16" s="374"/>
      <c r="D16" s="374"/>
      <c r="E16" s="374"/>
      <c r="F16" s="374"/>
      <c r="G16" s="374"/>
      <c r="H16" s="374"/>
      <c r="J16" s="374"/>
      <c r="K16" s="382" t="str">
        <f>IF(D10="","",D10)</f>
        <v/>
      </c>
      <c r="L16" s="374"/>
      <c r="M16" s="374"/>
      <c r="N16" s="374"/>
      <c r="O16" s="374"/>
      <c r="P16" s="374"/>
      <c r="Q16" s="374"/>
      <c r="R16" s="374"/>
      <c r="S16" s="374"/>
      <c r="T16" s="374"/>
      <c r="U16" s="374"/>
      <c r="V16" s="374"/>
      <c r="W16" s="374"/>
      <c r="X16" s="374"/>
      <c r="Y16" s="374"/>
      <c r="Z16" s="374"/>
    </row>
    <row r="17" spans="1:26" ht="17.25" customHeight="1" x14ac:dyDescent="0.35">
      <c r="A17" s="374"/>
      <c r="B17" s="374"/>
      <c r="C17" s="374"/>
      <c r="D17" s="388" t="s">
        <v>1278</v>
      </c>
      <c r="E17" s="374"/>
      <c r="F17" s="374"/>
      <c r="G17" s="374"/>
      <c r="H17" s="374"/>
      <c r="I17" s="149" t="str">
        <f>IF(I13="","Menu",PROPER(I13))</f>
        <v>Menu</v>
      </c>
      <c r="J17" s="374"/>
      <c r="L17" s="374"/>
      <c r="M17" s="374"/>
      <c r="N17" s="374"/>
      <c r="O17" s="374"/>
      <c r="P17" s="374"/>
      <c r="Q17" s="374"/>
      <c r="R17" s="374"/>
      <c r="S17" s="374"/>
      <c r="T17" s="374"/>
      <c r="U17" s="374"/>
      <c r="V17" s="374"/>
      <c r="W17" s="374"/>
      <c r="X17" s="374"/>
      <c r="Y17" s="374"/>
      <c r="Z17" s="374"/>
    </row>
    <row r="18" spans="1:26" x14ac:dyDescent="0.35">
      <c r="A18" s="374"/>
      <c r="B18" s="374"/>
      <c r="C18" s="374"/>
      <c r="D18" s="389"/>
      <c r="E18" s="374"/>
      <c r="F18" s="374"/>
      <c r="G18" s="374"/>
      <c r="H18" s="374"/>
      <c r="I18" s="149" t="str">
        <f>"Return to the "&amp;I17&amp;" Page"</f>
        <v>Return to the Menu Page</v>
      </c>
      <c r="J18" s="374"/>
      <c r="L18" s="374"/>
      <c r="M18" s="374"/>
      <c r="N18" s="374"/>
      <c r="O18" s="374"/>
      <c r="P18" s="374"/>
      <c r="Q18" s="374"/>
      <c r="R18" s="374"/>
      <c r="S18" s="374"/>
      <c r="T18" s="374"/>
      <c r="U18" s="374"/>
      <c r="V18" s="374"/>
      <c r="W18" s="374"/>
      <c r="X18" s="374"/>
      <c r="Y18" s="374"/>
      <c r="Z18" s="374"/>
    </row>
    <row r="19" spans="1:26" x14ac:dyDescent="0.35">
      <c r="A19" s="374"/>
      <c r="B19" s="374"/>
      <c r="C19" s="374"/>
      <c r="D19" s="389"/>
      <c r="E19" s="374"/>
      <c r="F19" s="374"/>
      <c r="G19" s="374"/>
      <c r="H19" s="374"/>
      <c r="J19" s="374"/>
      <c r="L19" s="374"/>
      <c r="M19" s="374"/>
      <c r="N19" s="374"/>
      <c r="O19" s="374"/>
      <c r="P19" s="374"/>
      <c r="Q19" s="374"/>
      <c r="R19" s="374"/>
      <c r="S19" s="374"/>
      <c r="T19" s="374"/>
      <c r="U19" s="374"/>
      <c r="V19" s="374"/>
      <c r="W19" s="374"/>
      <c r="X19" s="374"/>
      <c r="Y19" s="374"/>
      <c r="Z19" s="374"/>
    </row>
    <row r="20" spans="1:26" ht="18" customHeight="1" thickBot="1" x14ac:dyDescent="0.4">
      <c r="A20" s="386"/>
      <c r="B20" s="386"/>
      <c r="C20" s="386"/>
      <c r="D20" s="390"/>
      <c r="E20" s="386"/>
      <c r="F20" s="386"/>
      <c r="G20" s="374"/>
      <c r="H20" s="374"/>
      <c r="J20" s="374"/>
      <c r="K20" s="241"/>
      <c r="L20" s="374"/>
      <c r="M20" s="374"/>
      <c r="N20" s="374"/>
      <c r="O20" s="374"/>
      <c r="P20" s="374"/>
      <c r="Q20" s="374"/>
      <c r="R20" s="374"/>
      <c r="S20" s="374"/>
      <c r="T20" s="374"/>
      <c r="U20" s="374"/>
      <c r="V20" s="374"/>
      <c r="W20" s="374"/>
      <c r="X20" s="374"/>
      <c r="Y20" s="374"/>
      <c r="Z20" s="374"/>
    </row>
    <row r="21" spans="1:26" x14ac:dyDescent="0.35">
      <c r="A21" s="374"/>
      <c r="B21" s="374"/>
      <c r="C21" s="374"/>
      <c r="D21" s="374"/>
      <c r="E21" s="374"/>
      <c r="F21" s="374"/>
      <c r="G21" s="374"/>
      <c r="H21" s="374"/>
      <c r="J21" s="374"/>
      <c r="L21" s="374"/>
      <c r="M21" s="374"/>
      <c r="N21" s="374"/>
      <c r="O21" s="374"/>
      <c r="P21" s="374"/>
      <c r="Q21" s="374"/>
      <c r="R21" s="374"/>
      <c r="S21" s="374"/>
      <c r="T21" s="374"/>
      <c r="U21" s="374"/>
      <c r="V21" s="374"/>
      <c r="W21" s="374"/>
      <c r="X21" s="374"/>
      <c r="Y21" s="374"/>
      <c r="Z21" s="374"/>
    </row>
    <row r="22" spans="1:26" x14ac:dyDescent="0.35">
      <c r="A22" s="374"/>
      <c r="B22" s="374"/>
      <c r="C22" s="374"/>
      <c r="D22" s="374"/>
      <c r="E22" s="374"/>
      <c r="F22" s="374"/>
      <c r="G22" s="374"/>
      <c r="H22" s="374"/>
      <c r="J22" s="374"/>
      <c r="L22" s="374"/>
      <c r="M22" s="374"/>
      <c r="N22" s="374"/>
      <c r="O22" s="374"/>
      <c r="P22" s="374"/>
      <c r="Q22" s="374"/>
      <c r="R22" s="374"/>
      <c r="S22" s="374"/>
      <c r="T22" s="374"/>
      <c r="U22" s="374"/>
      <c r="V22" s="374"/>
      <c r="W22" s="374"/>
      <c r="X22" s="374"/>
      <c r="Y22" s="374"/>
      <c r="Z22" s="374"/>
    </row>
    <row r="23" spans="1:26" x14ac:dyDescent="0.35">
      <c r="A23" s="374"/>
      <c r="B23" s="374"/>
      <c r="C23" s="374"/>
      <c r="D23" s="374"/>
      <c r="E23" s="374"/>
      <c r="F23" s="374"/>
      <c r="G23" s="374"/>
      <c r="H23" s="374"/>
      <c r="J23" s="374"/>
      <c r="L23" s="374"/>
      <c r="M23" s="374"/>
      <c r="N23" s="374"/>
      <c r="O23" s="374"/>
      <c r="P23" s="374"/>
      <c r="Q23" s="374"/>
      <c r="R23" s="374"/>
      <c r="S23" s="374"/>
      <c r="T23" s="374"/>
      <c r="U23" s="374"/>
      <c r="V23" s="374"/>
      <c r="W23" s="374"/>
      <c r="X23" s="374"/>
      <c r="Y23" s="374"/>
      <c r="Z23" s="374"/>
    </row>
    <row r="24" spans="1:26" x14ac:dyDescent="0.35">
      <c r="A24" s="374"/>
      <c r="B24" s="374"/>
      <c r="C24" s="374"/>
      <c r="D24" s="374"/>
      <c r="E24" s="374"/>
      <c r="F24" s="374"/>
      <c r="G24" s="374"/>
      <c r="H24" s="374"/>
      <c r="J24" s="374"/>
      <c r="L24" s="374"/>
      <c r="M24" s="374"/>
      <c r="N24" s="374"/>
      <c r="O24" s="374"/>
      <c r="P24" s="374"/>
      <c r="Q24" s="374"/>
      <c r="R24" s="374"/>
      <c r="S24" s="374"/>
      <c r="T24" s="374"/>
      <c r="U24" s="374"/>
      <c r="V24" s="374"/>
      <c r="W24" s="374"/>
      <c r="X24" s="374"/>
      <c r="Y24" s="374"/>
      <c r="Z24" s="374"/>
    </row>
    <row r="25" spans="1:26" x14ac:dyDescent="0.35">
      <c r="A25" s="374"/>
      <c r="B25" s="374"/>
      <c r="C25" s="374"/>
      <c r="D25" s="374"/>
      <c r="E25" s="374"/>
      <c r="F25" s="374"/>
      <c r="G25" s="374"/>
      <c r="H25" s="374"/>
      <c r="J25" s="374"/>
      <c r="L25" s="374"/>
      <c r="M25" s="374"/>
      <c r="N25" s="374"/>
      <c r="O25" s="374"/>
      <c r="P25" s="374"/>
      <c r="Q25" s="374"/>
      <c r="R25" s="374"/>
      <c r="S25" s="374"/>
      <c r="T25" s="374"/>
      <c r="U25" s="374"/>
      <c r="V25" s="374"/>
      <c r="W25" s="374"/>
      <c r="X25" s="374"/>
      <c r="Y25" s="374"/>
      <c r="Z25" s="374"/>
    </row>
    <row r="26" spans="1:26" x14ac:dyDescent="0.35">
      <c r="A26" s="374"/>
      <c r="B26" s="374"/>
      <c r="C26" s="374"/>
      <c r="D26" s="374"/>
      <c r="E26" s="374"/>
      <c r="F26" s="374"/>
      <c r="G26" s="374"/>
      <c r="H26" s="374"/>
      <c r="J26" s="374"/>
      <c r="L26" s="374"/>
      <c r="M26" s="374"/>
      <c r="N26" s="374"/>
      <c r="O26" s="374"/>
      <c r="P26" s="374"/>
      <c r="Q26" s="374"/>
      <c r="R26" s="374"/>
      <c r="S26" s="374"/>
      <c r="T26" s="374"/>
      <c r="U26" s="374"/>
      <c r="V26" s="374"/>
      <c r="W26" s="374"/>
      <c r="X26" s="374"/>
      <c r="Y26" s="374"/>
      <c r="Z26" s="374"/>
    </row>
    <row r="27" spans="1:26" x14ac:dyDescent="0.35">
      <c r="A27" s="374"/>
      <c r="B27" s="374"/>
      <c r="C27" s="374"/>
      <c r="D27" s="374"/>
      <c r="E27" s="374"/>
      <c r="F27" s="374"/>
      <c r="G27" s="374"/>
      <c r="H27" s="374"/>
      <c r="J27" s="374"/>
      <c r="L27" s="374"/>
      <c r="M27" s="374"/>
      <c r="N27" s="374"/>
      <c r="O27" s="374"/>
      <c r="P27" s="374"/>
      <c r="Q27" s="374"/>
      <c r="R27" s="374"/>
      <c r="S27" s="374"/>
      <c r="T27" s="374"/>
      <c r="U27" s="374"/>
      <c r="V27" s="374"/>
      <c r="W27" s="374"/>
      <c r="X27" s="374"/>
      <c r="Y27" s="374"/>
      <c r="Z27" s="374"/>
    </row>
    <row r="28" spans="1:26" x14ac:dyDescent="0.35">
      <c r="A28" s="374"/>
      <c r="B28" s="374"/>
      <c r="C28" s="374"/>
      <c r="D28" s="374"/>
      <c r="E28" s="374"/>
      <c r="F28" s="374"/>
      <c r="G28" s="374"/>
      <c r="H28" s="374"/>
      <c r="J28" s="374"/>
      <c r="L28" s="374"/>
      <c r="M28" s="374"/>
      <c r="N28" s="374"/>
      <c r="O28" s="374"/>
      <c r="P28" s="374"/>
      <c r="Q28" s="374"/>
      <c r="R28" s="374"/>
      <c r="S28" s="374"/>
      <c r="T28" s="374"/>
      <c r="U28" s="374"/>
      <c r="V28" s="374"/>
      <c r="W28" s="374"/>
      <c r="X28" s="374"/>
      <c r="Y28" s="374"/>
      <c r="Z28" s="374"/>
    </row>
    <row r="29" spans="1:26" x14ac:dyDescent="0.35">
      <c r="A29" s="374"/>
      <c r="B29" s="374"/>
      <c r="C29" s="374"/>
      <c r="D29" s="374"/>
      <c r="E29" s="374"/>
      <c r="F29" s="374"/>
      <c r="G29" s="374"/>
      <c r="H29" s="374"/>
      <c r="J29" s="374"/>
      <c r="L29" s="374"/>
      <c r="M29" s="374"/>
      <c r="N29" s="374"/>
      <c r="O29" s="374"/>
      <c r="P29" s="374"/>
      <c r="Q29" s="374"/>
      <c r="R29" s="374"/>
      <c r="S29" s="374"/>
      <c r="T29" s="374"/>
      <c r="U29" s="374"/>
      <c r="V29" s="374"/>
      <c r="W29" s="374"/>
      <c r="X29" s="374"/>
      <c r="Y29" s="374"/>
      <c r="Z29" s="374"/>
    </row>
    <row r="30" spans="1:26" x14ac:dyDescent="0.35">
      <c r="A30" s="374"/>
      <c r="B30" s="374"/>
      <c r="C30" s="374"/>
      <c r="D30" s="374"/>
      <c r="E30" s="374"/>
      <c r="F30" s="374"/>
      <c r="G30" s="374"/>
      <c r="H30" s="374"/>
      <c r="J30" s="374"/>
      <c r="L30" s="374"/>
      <c r="M30" s="374"/>
      <c r="N30" s="374"/>
      <c r="O30" s="374"/>
      <c r="P30" s="374"/>
      <c r="Q30" s="374"/>
      <c r="R30" s="374"/>
      <c r="S30" s="374"/>
      <c r="T30" s="374"/>
      <c r="U30" s="374"/>
      <c r="V30" s="374"/>
      <c r="W30" s="374"/>
      <c r="X30" s="374"/>
      <c r="Y30" s="374"/>
      <c r="Z30" s="374"/>
    </row>
    <row r="31" spans="1:26" x14ac:dyDescent="0.35">
      <c r="A31" s="374"/>
      <c r="B31" s="374"/>
      <c r="C31" s="374"/>
      <c r="D31" s="374"/>
      <c r="E31" s="374"/>
      <c r="F31" s="374"/>
      <c r="G31" s="374"/>
      <c r="H31" s="374"/>
      <c r="J31" s="374"/>
      <c r="L31" s="374"/>
      <c r="M31" s="374"/>
      <c r="N31" s="374"/>
      <c r="O31" s="374"/>
      <c r="P31" s="374"/>
      <c r="Q31" s="374"/>
      <c r="R31" s="374"/>
      <c r="S31" s="374"/>
      <c r="T31" s="374"/>
      <c r="U31" s="374"/>
      <c r="V31" s="374"/>
      <c r="W31" s="374"/>
      <c r="X31" s="374"/>
      <c r="Y31" s="374"/>
      <c r="Z31" s="374"/>
    </row>
    <row r="32" spans="1:26" x14ac:dyDescent="0.35">
      <c r="A32" s="374"/>
      <c r="B32" s="374"/>
      <c r="C32" s="374"/>
      <c r="D32" s="374"/>
      <c r="E32" s="374"/>
      <c r="F32" s="374"/>
      <c r="G32" s="374"/>
      <c r="H32" s="374"/>
      <c r="J32" s="374"/>
      <c r="L32" s="374"/>
      <c r="M32" s="374"/>
      <c r="N32" s="374"/>
      <c r="O32" s="374"/>
      <c r="P32" s="374"/>
      <c r="Q32" s="374"/>
      <c r="R32" s="374"/>
      <c r="S32" s="374"/>
      <c r="T32" s="374"/>
      <c r="U32" s="374"/>
      <c r="V32" s="374"/>
      <c r="W32" s="374"/>
      <c r="X32" s="374"/>
      <c r="Y32" s="374"/>
      <c r="Z32" s="374"/>
    </row>
    <row r="33" spans="1:26" x14ac:dyDescent="0.35">
      <c r="A33" s="374"/>
      <c r="B33" s="374"/>
      <c r="C33" s="374"/>
      <c r="D33" s="374"/>
      <c r="E33" s="374"/>
      <c r="F33" s="374"/>
      <c r="G33" s="374"/>
      <c r="H33" s="374"/>
      <c r="J33" s="374"/>
      <c r="L33" s="374"/>
      <c r="M33" s="374"/>
      <c r="N33" s="374"/>
      <c r="O33" s="374"/>
      <c r="P33" s="374"/>
      <c r="Q33" s="374"/>
      <c r="R33" s="374"/>
      <c r="S33" s="374"/>
      <c r="T33" s="374"/>
      <c r="U33" s="374"/>
      <c r="V33" s="374"/>
      <c r="W33" s="374"/>
      <c r="X33" s="374"/>
      <c r="Y33" s="374"/>
      <c r="Z33" s="374"/>
    </row>
    <row r="34" spans="1:26" x14ac:dyDescent="0.35">
      <c r="A34" s="374"/>
      <c r="B34" s="374"/>
      <c r="C34" s="374"/>
      <c r="D34" s="374"/>
      <c r="E34" s="374"/>
      <c r="F34" s="374"/>
      <c r="G34" s="374"/>
      <c r="H34" s="374"/>
      <c r="J34" s="374"/>
      <c r="L34" s="374"/>
      <c r="M34" s="374"/>
      <c r="N34" s="374"/>
      <c r="O34" s="374"/>
      <c r="P34" s="374"/>
      <c r="Q34" s="374"/>
      <c r="R34" s="374"/>
      <c r="S34" s="374"/>
      <c r="T34" s="374"/>
      <c r="U34" s="374"/>
      <c r="V34" s="374"/>
      <c r="W34" s="374"/>
      <c r="X34" s="374"/>
      <c r="Y34" s="374"/>
      <c r="Z34" s="374"/>
    </row>
    <row r="35" spans="1:26" x14ac:dyDescent="0.35">
      <c r="A35" s="374"/>
      <c r="B35" s="374"/>
      <c r="C35" s="374"/>
      <c r="D35" s="374"/>
      <c r="E35" s="374"/>
      <c r="F35" s="374"/>
      <c r="G35" s="374"/>
      <c r="H35" s="374"/>
      <c r="J35" s="374"/>
      <c r="L35" s="374"/>
      <c r="M35" s="374"/>
      <c r="N35" s="374"/>
      <c r="O35" s="374"/>
      <c r="P35" s="374"/>
      <c r="Q35" s="374"/>
      <c r="R35" s="374"/>
      <c r="S35" s="374"/>
      <c r="T35" s="374"/>
      <c r="U35" s="374"/>
      <c r="V35" s="374"/>
      <c r="W35" s="374"/>
      <c r="X35" s="374"/>
      <c r="Y35" s="374"/>
      <c r="Z35" s="374"/>
    </row>
    <row r="36" spans="1:26" x14ac:dyDescent="0.35">
      <c r="A36" s="374"/>
      <c r="B36" s="374"/>
      <c r="C36" s="374"/>
      <c r="D36" s="374"/>
      <c r="E36" s="374"/>
      <c r="F36" s="374"/>
      <c r="G36" s="374"/>
      <c r="H36" s="374"/>
      <c r="J36" s="374"/>
      <c r="L36" s="374"/>
      <c r="M36" s="374"/>
      <c r="N36" s="374"/>
      <c r="O36" s="374"/>
      <c r="P36" s="374"/>
      <c r="Q36" s="374"/>
      <c r="R36" s="374"/>
      <c r="S36" s="374"/>
      <c r="T36" s="374"/>
      <c r="U36" s="374"/>
      <c r="V36" s="374"/>
      <c r="W36" s="374"/>
      <c r="X36" s="374"/>
      <c r="Y36" s="374"/>
      <c r="Z36" s="374"/>
    </row>
    <row r="37" spans="1:26" x14ac:dyDescent="0.35">
      <c r="A37" s="374"/>
      <c r="B37" s="374"/>
      <c r="C37" s="374"/>
      <c r="D37" s="374"/>
      <c r="E37" s="374"/>
      <c r="F37" s="374"/>
      <c r="G37" s="374"/>
      <c r="H37" s="374"/>
      <c r="J37" s="374"/>
      <c r="L37" s="374"/>
      <c r="M37" s="374"/>
      <c r="N37" s="374"/>
      <c r="O37" s="374"/>
      <c r="P37" s="374"/>
      <c r="Q37" s="374"/>
      <c r="R37" s="374"/>
      <c r="S37" s="374"/>
      <c r="T37" s="374"/>
      <c r="U37" s="374"/>
      <c r="V37" s="374"/>
      <c r="W37" s="374"/>
      <c r="X37" s="374"/>
      <c r="Y37" s="374"/>
      <c r="Z37" s="374"/>
    </row>
    <row r="38" spans="1:26" x14ac:dyDescent="0.35">
      <c r="A38" s="374"/>
      <c r="B38" s="374"/>
      <c r="C38" s="374"/>
      <c r="D38" s="374"/>
      <c r="E38" s="374"/>
      <c r="F38" s="374"/>
      <c r="G38" s="374"/>
      <c r="H38" s="374"/>
      <c r="J38" s="374"/>
      <c r="L38" s="374"/>
      <c r="M38" s="374"/>
      <c r="N38" s="374"/>
      <c r="O38" s="374"/>
      <c r="P38" s="374"/>
      <c r="Q38" s="374"/>
      <c r="R38" s="374"/>
      <c r="S38" s="374"/>
      <c r="T38" s="374"/>
      <c r="U38" s="374"/>
      <c r="V38" s="374"/>
      <c r="W38" s="374"/>
      <c r="X38" s="374"/>
      <c r="Y38" s="374"/>
      <c r="Z38" s="374"/>
    </row>
    <row r="39" spans="1:26" x14ac:dyDescent="0.35">
      <c r="A39" s="374"/>
      <c r="B39" s="374"/>
      <c r="C39" s="374"/>
      <c r="D39" s="374"/>
      <c r="E39" s="374"/>
      <c r="F39" s="374"/>
      <c r="G39" s="374"/>
      <c r="H39" s="374"/>
      <c r="J39" s="374"/>
      <c r="L39" s="374"/>
      <c r="M39" s="374"/>
      <c r="N39" s="374"/>
      <c r="O39" s="374"/>
      <c r="P39" s="374"/>
      <c r="Q39" s="374"/>
      <c r="R39" s="374"/>
      <c r="S39" s="374"/>
      <c r="T39" s="374"/>
      <c r="U39" s="374"/>
      <c r="V39" s="374"/>
      <c r="W39" s="374"/>
      <c r="X39" s="374"/>
      <c r="Y39" s="374"/>
      <c r="Z39" s="374"/>
    </row>
    <row r="40" spans="1:26" x14ac:dyDescent="0.35">
      <c r="A40" s="374"/>
      <c r="B40" s="374"/>
      <c r="C40" s="374"/>
      <c r="D40" s="374"/>
      <c r="E40" s="374"/>
      <c r="F40" s="374"/>
      <c r="G40" s="374"/>
      <c r="H40" s="374"/>
      <c r="J40" s="374"/>
      <c r="L40" s="374"/>
      <c r="M40" s="374"/>
      <c r="N40" s="374"/>
      <c r="O40" s="374"/>
      <c r="P40" s="374"/>
      <c r="Q40" s="374"/>
      <c r="R40" s="374"/>
      <c r="S40" s="374"/>
      <c r="T40" s="374"/>
      <c r="U40" s="374"/>
      <c r="V40" s="374"/>
      <c r="W40" s="374"/>
      <c r="X40" s="374"/>
      <c r="Y40" s="374"/>
      <c r="Z40" s="374"/>
    </row>
    <row r="41" spans="1:26" x14ac:dyDescent="0.35">
      <c r="A41" s="374"/>
      <c r="B41" s="374"/>
      <c r="C41" s="374"/>
      <c r="D41" s="374"/>
      <c r="E41" s="374"/>
      <c r="F41" s="374"/>
      <c r="G41" s="374"/>
      <c r="H41" s="374"/>
      <c r="J41" s="374"/>
      <c r="L41" s="374"/>
      <c r="M41" s="374"/>
      <c r="N41" s="374"/>
      <c r="O41" s="374"/>
      <c r="P41" s="374"/>
      <c r="Q41" s="374"/>
      <c r="R41" s="374"/>
      <c r="S41" s="374"/>
      <c r="T41" s="374"/>
      <c r="U41" s="374"/>
      <c r="V41" s="374"/>
      <c r="W41" s="374"/>
      <c r="X41" s="374"/>
      <c r="Y41" s="374"/>
      <c r="Z41" s="374"/>
    </row>
    <row r="42" spans="1:26" x14ac:dyDescent="0.35">
      <c r="A42" s="374"/>
      <c r="B42" s="374"/>
      <c r="C42" s="374"/>
      <c r="D42" s="374"/>
      <c r="E42" s="374"/>
      <c r="F42" s="374"/>
      <c r="G42" s="374"/>
      <c r="H42" s="374"/>
      <c r="J42" s="374"/>
      <c r="L42" s="374"/>
      <c r="M42" s="374"/>
      <c r="N42" s="374"/>
      <c r="O42" s="374"/>
      <c r="P42" s="374"/>
      <c r="Q42" s="374"/>
      <c r="R42" s="374"/>
      <c r="S42" s="374"/>
      <c r="T42" s="374"/>
      <c r="U42" s="374"/>
      <c r="V42" s="374"/>
      <c r="W42" s="374"/>
      <c r="X42" s="374"/>
      <c r="Y42" s="374"/>
      <c r="Z42" s="374"/>
    </row>
    <row r="43" spans="1:26" x14ac:dyDescent="0.35">
      <c r="A43" s="374"/>
      <c r="B43" s="374"/>
      <c r="C43" s="374"/>
      <c r="D43" s="374"/>
      <c r="E43" s="374"/>
      <c r="F43" s="374"/>
      <c r="G43" s="374"/>
      <c r="H43" s="374"/>
      <c r="J43" s="374"/>
      <c r="L43" s="374"/>
      <c r="M43" s="374"/>
      <c r="N43" s="374"/>
      <c r="O43" s="374"/>
      <c r="P43" s="374"/>
      <c r="Q43" s="374"/>
      <c r="R43" s="374"/>
      <c r="S43" s="374"/>
      <c r="T43" s="374"/>
      <c r="U43" s="374"/>
      <c r="V43" s="374"/>
      <c r="W43" s="374"/>
      <c r="X43" s="374"/>
      <c r="Y43" s="374"/>
      <c r="Z43" s="374"/>
    </row>
    <row r="44" spans="1:26" x14ac:dyDescent="0.35">
      <c r="A44" s="374"/>
      <c r="B44" s="374"/>
      <c r="C44" s="374"/>
      <c r="D44" s="374"/>
      <c r="E44" s="374"/>
      <c r="F44" s="374"/>
      <c r="G44" s="374"/>
      <c r="H44" s="374"/>
      <c r="J44" s="374"/>
      <c r="L44" s="374"/>
      <c r="M44" s="374"/>
      <c r="N44" s="374"/>
      <c r="O44" s="374"/>
      <c r="P44" s="374"/>
      <c r="Q44" s="374"/>
      <c r="R44" s="374"/>
      <c r="S44" s="374"/>
      <c r="T44" s="374"/>
      <c r="U44" s="374"/>
      <c r="V44" s="374"/>
      <c r="W44" s="374"/>
      <c r="X44" s="374"/>
      <c r="Y44" s="374"/>
      <c r="Z44" s="374"/>
    </row>
    <row r="45" spans="1:26" x14ac:dyDescent="0.35">
      <c r="A45" s="374"/>
      <c r="B45" s="374"/>
      <c r="C45" s="374"/>
      <c r="D45" s="374"/>
      <c r="E45" s="374"/>
      <c r="F45" s="374"/>
      <c r="G45" s="374"/>
      <c r="H45" s="374"/>
      <c r="J45" s="374"/>
      <c r="L45" s="374"/>
      <c r="M45" s="374"/>
      <c r="N45" s="374"/>
      <c r="O45" s="374"/>
      <c r="P45" s="374"/>
      <c r="Q45" s="374"/>
      <c r="R45" s="374"/>
      <c r="S45" s="374"/>
      <c r="T45" s="374"/>
      <c r="U45" s="374"/>
      <c r="V45" s="374"/>
      <c r="W45" s="374"/>
      <c r="X45" s="374"/>
      <c r="Y45" s="374"/>
      <c r="Z45" s="374"/>
    </row>
    <row r="46" spans="1:26" x14ac:dyDescent="0.35">
      <c r="A46" s="374"/>
      <c r="B46" s="374"/>
      <c r="C46" s="374"/>
      <c r="D46" s="374"/>
      <c r="E46" s="374"/>
      <c r="F46" s="374"/>
      <c r="G46" s="374"/>
      <c r="H46" s="374"/>
      <c r="J46" s="374"/>
      <c r="L46" s="374"/>
      <c r="M46" s="374"/>
      <c r="N46" s="374"/>
      <c r="O46" s="374"/>
      <c r="P46" s="374"/>
      <c r="Q46" s="374"/>
      <c r="R46" s="374"/>
      <c r="S46" s="374"/>
      <c r="T46" s="374"/>
      <c r="U46" s="374"/>
      <c r="V46" s="374"/>
      <c r="W46" s="374"/>
      <c r="X46" s="374"/>
      <c r="Y46" s="374"/>
      <c r="Z46" s="374"/>
    </row>
    <row r="47" spans="1:26" x14ac:dyDescent="0.35">
      <c r="A47" s="374"/>
      <c r="B47" s="374"/>
      <c r="C47" s="374"/>
      <c r="D47" s="374"/>
      <c r="E47" s="374"/>
      <c r="F47" s="374"/>
      <c r="G47" s="374"/>
      <c r="H47" s="374"/>
      <c r="J47" s="374"/>
      <c r="L47" s="374"/>
      <c r="M47" s="374"/>
      <c r="N47" s="374"/>
      <c r="O47" s="374"/>
      <c r="P47" s="374"/>
      <c r="Q47" s="374"/>
      <c r="R47" s="374"/>
      <c r="S47" s="374"/>
      <c r="T47" s="374"/>
      <c r="U47" s="374"/>
      <c r="V47" s="374"/>
      <c r="W47" s="374"/>
      <c r="X47" s="374"/>
      <c r="Y47" s="374"/>
      <c r="Z47" s="374"/>
    </row>
    <row r="48" spans="1:26" x14ac:dyDescent="0.35">
      <c r="A48" s="374"/>
      <c r="B48" s="374"/>
      <c r="C48" s="374"/>
      <c r="D48" s="374"/>
      <c r="E48" s="374"/>
      <c r="F48" s="374"/>
      <c r="G48" s="374"/>
      <c r="H48" s="374"/>
      <c r="J48" s="374"/>
      <c r="L48" s="374"/>
      <c r="M48" s="374"/>
      <c r="N48" s="374"/>
      <c r="O48" s="374"/>
      <c r="P48" s="374"/>
      <c r="Q48" s="374"/>
      <c r="R48" s="374"/>
      <c r="S48" s="374"/>
      <c r="T48" s="374"/>
      <c r="U48" s="374"/>
      <c r="V48" s="374"/>
      <c r="W48" s="374"/>
      <c r="X48" s="374"/>
      <c r="Y48" s="374"/>
      <c r="Z48" s="374"/>
    </row>
    <row r="49" spans="1:26" x14ac:dyDescent="0.35">
      <c r="A49" s="374"/>
      <c r="B49" s="374"/>
      <c r="C49" s="374"/>
      <c r="D49" s="374"/>
      <c r="E49" s="374"/>
      <c r="F49" s="374"/>
      <c r="G49" s="374"/>
      <c r="H49" s="374"/>
      <c r="J49" s="374"/>
      <c r="L49" s="374"/>
      <c r="M49" s="374"/>
      <c r="N49" s="374"/>
      <c r="O49" s="374"/>
      <c r="P49" s="374"/>
      <c r="Q49" s="374"/>
      <c r="R49" s="374"/>
      <c r="S49" s="374"/>
      <c r="T49" s="374"/>
      <c r="U49" s="374"/>
      <c r="V49" s="374"/>
      <c r="W49" s="374"/>
      <c r="X49" s="374"/>
      <c r="Y49" s="374"/>
      <c r="Z49" s="374"/>
    </row>
    <row r="50" spans="1:26" x14ac:dyDescent="0.35">
      <c r="A50" s="374"/>
      <c r="B50" s="374"/>
      <c r="C50" s="374"/>
      <c r="D50" s="374"/>
      <c r="E50" s="374"/>
      <c r="F50" s="374"/>
      <c r="G50" s="374"/>
      <c r="H50" s="374"/>
      <c r="J50" s="374"/>
      <c r="L50" s="374"/>
      <c r="M50" s="374"/>
      <c r="N50" s="374"/>
      <c r="O50" s="374"/>
      <c r="P50" s="374"/>
      <c r="Q50" s="374"/>
      <c r="R50" s="374"/>
      <c r="S50" s="374"/>
      <c r="T50" s="374"/>
      <c r="U50" s="374"/>
      <c r="V50" s="374"/>
      <c r="W50" s="374"/>
      <c r="X50" s="374"/>
      <c r="Y50" s="374"/>
      <c r="Z50" s="374"/>
    </row>
    <row r="51" spans="1:26" x14ac:dyDescent="0.35">
      <c r="A51" s="374"/>
      <c r="B51" s="374"/>
      <c r="C51" s="374"/>
      <c r="D51" s="374"/>
      <c r="E51" s="374"/>
      <c r="F51" s="374"/>
      <c r="G51" s="374"/>
      <c r="H51" s="374"/>
      <c r="J51" s="374"/>
      <c r="L51" s="374"/>
      <c r="M51" s="374"/>
      <c r="N51" s="374"/>
      <c r="O51" s="374"/>
      <c r="P51" s="374"/>
      <c r="Q51" s="374"/>
      <c r="R51" s="374"/>
      <c r="S51" s="374"/>
      <c r="T51" s="374"/>
      <c r="U51" s="374"/>
      <c r="V51" s="374"/>
      <c r="W51" s="374"/>
      <c r="X51" s="374"/>
      <c r="Y51" s="374"/>
      <c r="Z51" s="374"/>
    </row>
    <row r="52" spans="1:26" x14ac:dyDescent="0.35">
      <c r="A52" s="374"/>
      <c r="B52" s="374"/>
      <c r="C52" s="374"/>
      <c r="D52" s="374"/>
      <c r="E52" s="374"/>
      <c r="F52" s="374"/>
      <c r="G52" s="374"/>
      <c r="H52" s="374"/>
      <c r="J52" s="374"/>
      <c r="L52" s="374"/>
      <c r="M52" s="374"/>
      <c r="N52" s="374"/>
      <c r="O52" s="374"/>
      <c r="P52" s="374"/>
      <c r="Q52" s="374"/>
      <c r="R52" s="374"/>
      <c r="S52" s="374"/>
      <c r="T52" s="374"/>
      <c r="U52" s="374"/>
      <c r="V52" s="374"/>
      <c r="W52" s="374"/>
      <c r="X52" s="374"/>
      <c r="Y52" s="374"/>
      <c r="Z52" s="374"/>
    </row>
    <row r="53" spans="1:26" x14ac:dyDescent="0.35">
      <c r="A53" s="374"/>
      <c r="B53" s="374"/>
      <c r="C53" s="374"/>
      <c r="D53" s="374"/>
      <c r="E53" s="374"/>
      <c r="F53" s="374"/>
      <c r="G53" s="374"/>
      <c r="H53" s="374"/>
      <c r="J53" s="374"/>
      <c r="L53" s="374"/>
      <c r="M53" s="374"/>
      <c r="N53" s="374"/>
      <c r="O53" s="374"/>
      <c r="P53" s="374"/>
      <c r="Q53" s="374"/>
      <c r="R53" s="374"/>
      <c r="S53" s="374"/>
      <c r="T53" s="374"/>
      <c r="U53" s="374"/>
      <c r="V53" s="374"/>
      <c r="W53" s="374"/>
      <c r="X53" s="374"/>
      <c r="Y53" s="374"/>
      <c r="Z53" s="374"/>
    </row>
    <row r="54" spans="1:26" x14ac:dyDescent="0.35">
      <c r="A54" s="374"/>
      <c r="B54" s="374"/>
      <c r="C54" s="374"/>
      <c r="D54" s="374"/>
      <c r="E54" s="374"/>
      <c r="F54" s="374"/>
      <c r="G54" s="374"/>
      <c r="H54" s="374"/>
      <c r="J54" s="374"/>
      <c r="L54" s="374"/>
      <c r="M54" s="374"/>
      <c r="N54" s="374"/>
      <c r="O54" s="374"/>
      <c r="P54" s="374"/>
      <c r="Q54" s="374"/>
      <c r="R54" s="374"/>
      <c r="S54" s="374"/>
      <c r="T54" s="374"/>
      <c r="U54" s="374"/>
      <c r="V54" s="374"/>
      <c r="W54" s="374"/>
      <c r="X54" s="374"/>
      <c r="Y54" s="374"/>
      <c r="Z54" s="374"/>
    </row>
    <row r="55" spans="1:26" x14ac:dyDescent="0.35">
      <c r="A55" s="374"/>
      <c r="B55" s="374"/>
      <c r="C55" s="374"/>
      <c r="D55" s="374"/>
      <c r="E55" s="374"/>
      <c r="F55" s="374"/>
      <c r="G55" s="374"/>
      <c r="H55" s="374"/>
      <c r="J55" s="374"/>
      <c r="L55" s="374"/>
      <c r="M55" s="374"/>
      <c r="N55" s="374"/>
      <c r="O55" s="374"/>
      <c r="P55" s="374"/>
      <c r="Q55" s="374"/>
      <c r="R55" s="374"/>
      <c r="S55" s="374"/>
      <c r="T55" s="374"/>
      <c r="U55" s="374"/>
      <c r="V55" s="374"/>
      <c r="W55" s="374"/>
      <c r="X55" s="374"/>
      <c r="Y55" s="374"/>
      <c r="Z55" s="374"/>
    </row>
    <row r="56" spans="1:26" x14ac:dyDescent="0.35">
      <c r="A56" s="374"/>
      <c r="B56" s="374"/>
      <c r="C56" s="374"/>
      <c r="D56" s="374"/>
      <c r="E56" s="374"/>
      <c r="F56" s="374"/>
      <c r="G56" s="374"/>
      <c r="H56" s="374"/>
      <c r="J56" s="374"/>
      <c r="L56" s="374"/>
      <c r="M56" s="374"/>
      <c r="N56" s="374"/>
      <c r="O56" s="374"/>
      <c r="P56" s="374"/>
      <c r="Q56" s="374"/>
      <c r="R56" s="374"/>
      <c r="S56" s="374"/>
      <c r="T56" s="374"/>
      <c r="U56" s="374"/>
      <c r="V56" s="374"/>
      <c r="W56" s="374"/>
      <c r="X56" s="374"/>
      <c r="Y56" s="374"/>
      <c r="Z56" s="374"/>
    </row>
    <row r="57" spans="1:26" x14ac:dyDescent="0.35">
      <c r="A57" s="374"/>
      <c r="B57" s="374"/>
      <c r="C57" s="374"/>
      <c r="D57" s="374"/>
      <c r="E57" s="374"/>
      <c r="F57" s="374"/>
      <c r="G57" s="374"/>
      <c r="H57" s="374"/>
      <c r="J57" s="374"/>
      <c r="L57" s="374"/>
      <c r="M57" s="374"/>
      <c r="N57" s="374"/>
      <c r="O57" s="374"/>
      <c r="P57" s="374"/>
      <c r="Q57" s="374"/>
      <c r="R57" s="374"/>
      <c r="S57" s="374"/>
      <c r="T57" s="374"/>
      <c r="U57" s="374"/>
      <c r="V57" s="374"/>
      <c r="W57" s="374"/>
      <c r="X57" s="374"/>
      <c r="Y57" s="374"/>
      <c r="Z57" s="374"/>
    </row>
    <row r="58" spans="1:26" x14ac:dyDescent="0.35">
      <c r="A58" s="374"/>
      <c r="B58" s="374"/>
      <c r="C58" s="374"/>
      <c r="D58" s="374"/>
      <c r="E58" s="374"/>
      <c r="F58" s="374"/>
      <c r="G58" s="374"/>
      <c r="H58" s="374"/>
      <c r="J58" s="374"/>
      <c r="L58" s="374"/>
      <c r="M58" s="374"/>
      <c r="N58" s="374"/>
      <c r="O58" s="374"/>
      <c r="P58" s="374"/>
      <c r="Q58" s="374"/>
      <c r="R58" s="374"/>
      <c r="S58" s="374"/>
      <c r="T58" s="374"/>
      <c r="U58" s="374"/>
      <c r="V58" s="374"/>
      <c r="W58" s="374"/>
      <c r="X58" s="374"/>
      <c r="Y58" s="374"/>
      <c r="Z58" s="374"/>
    </row>
  </sheetData>
  <sheetProtection algorithmName="SHA-512" hashValue="Ua0WD0InHDcPg56+GNWwHutH+cx5GIJuCWrPOYX8z7zbQ7fPe9LDwU5NF0BEztaqZPzz0kfwcYMxlTogQQAIVg==" saltValue="AWdlX7kw2TAwxWv95qyN5w==" spinCount="100000" sheet="1" objects="1" scenarios="1"/>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7" r:id="rId4" name="home">
              <controlPr defaultSize="0" print="0" autoFill="0" autoPict="0" macro="[0]!globalgoto">
                <anchor moveWithCells="1" sizeWithCells="1">
                  <from>
                    <xdr:col>0</xdr:col>
                    <xdr:colOff>146050</xdr:colOff>
                    <xdr:row>0</xdr:row>
                    <xdr:rowOff>152400</xdr:rowOff>
                  </from>
                  <to>
                    <xdr:col>0</xdr:col>
                    <xdr:colOff>1098550</xdr:colOff>
                    <xdr:row>2</xdr:row>
                    <xdr:rowOff>139700</xdr:rowOff>
                  </to>
                </anchor>
              </controlPr>
            </control>
          </mc:Choice>
        </mc:AlternateContent>
        <mc:AlternateContent xmlns:mc="http://schemas.openxmlformats.org/markup-compatibility/2006">
          <mc:Choice Requires="x14">
            <control shapeId="14338" r:id="rId5" name="basic">
              <controlPr defaultSize="0" print="0" autoFill="0" autoPict="0" macro="[0]!globalgoto">
                <anchor moveWithCells="1" sizeWithCells="1">
                  <from>
                    <xdr:col>0</xdr:col>
                    <xdr:colOff>146050</xdr:colOff>
                    <xdr:row>2</xdr:row>
                    <xdr:rowOff>146050</xdr:rowOff>
                  </from>
                  <to>
                    <xdr:col>0</xdr:col>
                    <xdr:colOff>1098550</xdr:colOff>
                    <xdr:row>4</xdr:row>
                    <xdr:rowOff>139700</xdr:rowOff>
                  </to>
                </anchor>
              </controlPr>
            </control>
          </mc:Choice>
        </mc:AlternateContent>
        <mc:AlternateContent xmlns:mc="http://schemas.openxmlformats.org/markup-compatibility/2006">
          <mc:Choice Requires="x14">
            <control shapeId="14339" r:id="rId6" name="Button 3">
              <controlPr defaultSize="0" print="0" autoFill="0" autoPict="0" macro="[0]!reset_details">
                <anchor moveWithCells="1" sizeWithCells="1">
                  <from>
                    <xdr:col>4</xdr:col>
                    <xdr:colOff>76200</xdr:colOff>
                    <xdr:row>1</xdr:row>
                    <xdr:rowOff>120650</xdr:rowOff>
                  </from>
                  <to>
                    <xdr:col>6</xdr:col>
                    <xdr:colOff>177800</xdr:colOff>
                    <xdr:row>3</xdr:row>
                    <xdr:rowOff>63500</xdr:rowOff>
                  </to>
                </anchor>
              </controlPr>
            </control>
          </mc:Choice>
        </mc:AlternateContent>
        <mc:AlternateContent xmlns:mc="http://schemas.openxmlformats.org/markup-compatibility/2006">
          <mc:Choice Requires="x14">
            <control shapeId="14340" r:id="rId7" name="Button 4">
              <controlPr defaultSize="0" print="0" autoFill="0" autoPict="0" macro="[0]!recover_details">
                <anchor moveWithCells="1" sizeWithCells="1">
                  <from>
                    <xdr:col>4</xdr:col>
                    <xdr:colOff>76200</xdr:colOff>
                    <xdr:row>3</xdr:row>
                    <xdr:rowOff>76200</xdr:rowOff>
                  </from>
                  <to>
                    <xdr:col>6</xdr:col>
                    <xdr:colOff>177800</xdr:colOff>
                    <xdr:row>7</xdr:row>
                    <xdr:rowOff>6350</xdr:rowOff>
                  </to>
                </anchor>
              </controlPr>
            </control>
          </mc:Choice>
        </mc:AlternateContent>
        <mc:AlternateContent xmlns:mc="http://schemas.openxmlformats.org/markup-compatibility/2006">
          <mc:Choice Requires="x14">
            <control shapeId="14341" r:id="rId8" name="advanced">
              <controlPr defaultSize="0" print="0" autoFill="0" autoPict="0" macro="[0]!globalgoto">
                <anchor moveWithCells="1" sizeWithCells="1">
                  <from>
                    <xdr:col>0</xdr:col>
                    <xdr:colOff>146050</xdr:colOff>
                    <xdr:row>4</xdr:row>
                    <xdr:rowOff>146050</xdr:rowOff>
                  </from>
                  <to>
                    <xdr:col>0</xdr:col>
                    <xdr:colOff>1098550</xdr:colOff>
                    <xdr:row>6</xdr:row>
                    <xdr:rowOff>139700</xdr:rowOff>
                  </to>
                </anchor>
              </controlPr>
            </control>
          </mc:Choice>
        </mc:AlternateContent>
        <mc:AlternateContent xmlns:mc="http://schemas.openxmlformats.org/markup-compatibility/2006">
          <mc:Choice Requires="x14">
            <control shapeId="14342" r:id="rId9" name="split">
              <controlPr defaultSize="0" print="0" autoFill="0" autoPict="0" macro="[0]!globalgoto">
                <anchor moveWithCells="1" sizeWithCells="1">
                  <from>
                    <xdr:col>0</xdr:col>
                    <xdr:colOff>146050</xdr:colOff>
                    <xdr:row>6</xdr:row>
                    <xdr:rowOff>146050</xdr:rowOff>
                  </from>
                  <to>
                    <xdr:col>0</xdr:col>
                    <xdr:colOff>1098550</xdr:colOff>
                    <xdr:row>8</xdr:row>
                    <xdr:rowOff>139700</xdr:rowOff>
                  </to>
                </anchor>
              </controlPr>
            </control>
          </mc:Choice>
        </mc:AlternateContent>
        <mc:AlternateContent xmlns:mc="http://schemas.openxmlformats.org/markup-compatibility/2006">
          <mc:Choice Requires="x14">
            <control shapeId="14343" r:id="rId10" name="merge">
              <controlPr defaultSize="0" print="0" autoFill="0" autoPict="0" macro="[0]!globalgoto">
                <anchor moveWithCells="1" sizeWithCells="1">
                  <from>
                    <xdr:col>0</xdr:col>
                    <xdr:colOff>146050</xdr:colOff>
                    <xdr:row>8</xdr:row>
                    <xdr:rowOff>146050</xdr:rowOff>
                  </from>
                  <to>
                    <xdr:col>0</xdr:col>
                    <xdr:colOff>1098550</xdr:colOff>
                    <xdr:row>10</xdr:row>
                    <xdr:rowOff>139700</xdr:rowOff>
                  </to>
                </anchor>
              </controlPr>
            </control>
          </mc:Choice>
        </mc:AlternateContent>
        <mc:AlternateContent xmlns:mc="http://schemas.openxmlformats.org/markup-compatibility/2006">
          <mc:Choice Requires="x14">
            <control shapeId="14344" r:id="rId11" name="rjs">
              <controlPr defaultSize="0" print="0" autoFill="0" autoPict="0" macro="[0]!globalgoto">
                <anchor moveWithCells="1" sizeWithCells="1">
                  <from>
                    <xdr:col>0</xdr:col>
                    <xdr:colOff>146050</xdr:colOff>
                    <xdr:row>10</xdr:row>
                    <xdr:rowOff>146050</xdr:rowOff>
                  </from>
                  <to>
                    <xdr:col>0</xdr:col>
                    <xdr:colOff>1098550</xdr:colOff>
                    <xdr:row>12</xdr:row>
                    <xdr:rowOff>139700</xdr:rowOff>
                  </to>
                </anchor>
              </controlPr>
            </control>
          </mc:Choice>
        </mc:AlternateContent>
        <mc:AlternateContent xmlns:mc="http://schemas.openxmlformats.org/markup-compatibility/2006">
          <mc:Choice Requires="x14">
            <control shapeId="14345" r:id="rId12" name="interest">
              <controlPr defaultSize="0" print="0" autoFill="0" autoPict="0" macro="[0]!globalgoto">
                <anchor moveWithCells="1" sizeWithCells="1">
                  <from>
                    <xdr:col>0</xdr:col>
                    <xdr:colOff>146050</xdr:colOff>
                    <xdr:row>12</xdr:row>
                    <xdr:rowOff>146050</xdr:rowOff>
                  </from>
                  <to>
                    <xdr:col>0</xdr:col>
                    <xdr:colOff>1098550</xdr:colOff>
                    <xdr:row>14</xdr:row>
                    <xdr:rowOff>127000</xdr:rowOff>
                  </to>
                </anchor>
              </controlPr>
            </control>
          </mc:Choice>
        </mc:AlternateContent>
        <mc:AlternateContent xmlns:mc="http://schemas.openxmlformats.org/markup-compatibility/2006">
          <mc:Choice Requires="x14">
            <control shapeId="14346" r:id="rId13" name="Button 10">
              <controlPr defaultSize="0" print="0" autoFill="0" autoPict="0" macro="[0]!get_details_from_previous_list">
                <anchor moveWithCells="1" sizeWithCells="1">
                  <from>
                    <xdr:col>4</xdr:col>
                    <xdr:colOff>76200</xdr:colOff>
                    <xdr:row>7</xdr:row>
                    <xdr:rowOff>12700</xdr:rowOff>
                  </from>
                  <to>
                    <xdr:col>6</xdr:col>
                    <xdr:colOff>177800</xdr:colOff>
                    <xdr:row>10</xdr:row>
                    <xdr:rowOff>107950</xdr:rowOff>
                  </to>
                </anchor>
              </controlPr>
            </control>
          </mc:Choice>
        </mc:AlternateContent>
        <mc:AlternateContent xmlns:mc="http://schemas.openxmlformats.org/markup-compatibility/2006">
          <mc:Choice Requires="x14">
            <control shapeId="14347" r:id="rId14" name="Button 11">
              <controlPr defaultSize="0" print="0" autoFill="0" autoPict="0" macro="[0]!returnfromdetail">
                <anchor moveWithCells="1" sizeWithCells="1">
                  <from>
                    <xdr:col>3</xdr:col>
                    <xdr:colOff>0</xdr:colOff>
                    <xdr:row>12</xdr:row>
                    <xdr:rowOff>38100</xdr:rowOff>
                  </from>
                  <to>
                    <xdr:col>4</xdr:col>
                    <xdr:colOff>0</xdr:colOff>
                    <xdr:row>13</xdr:row>
                    <xdr:rowOff>158750</xdr:rowOff>
                  </to>
                </anchor>
              </controlPr>
            </control>
          </mc:Choice>
        </mc:AlternateContent>
        <mc:AlternateContent xmlns:mc="http://schemas.openxmlformats.org/markup-compatibility/2006">
          <mc:Choice Requires="x14">
            <control shapeId="14348" r:id="rId15" name="Button 12">
              <controlPr defaultSize="0" print="0" autoFill="0" autoPict="0" macro="[0]!whatisvoimport">
                <anchor moveWithCells="1" sizeWithCells="1">
                  <from>
                    <xdr:col>1</xdr:col>
                    <xdr:colOff>38100</xdr:colOff>
                    <xdr:row>8</xdr:row>
                    <xdr:rowOff>107950</xdr:rowOff>
                  </from>
                  <to>
                    <xdr:col>1</xdr:col>
                    <xdr:colOff>317500</xdr:colOff>
                    <xdr:row>10</xdr:row>
                    <xdr:rowOff>44450</xdr:rowOff>
                  </to>
                </anchor>
              </controlPr>
            </control>
          </mc:Choice>
        </mc:AlternateContent>
        <mc:AlternateContent xmlns:mc="http://schemas.openxmlformats.org/markup-compatibility/2006">
          <mc:Choice Requires="x14">
            <control shapeId="14350" r:id="rId16" name="Button 14">
              <controlPr defaultSize="0" print="0" autoFill="0" autoPict="0" macro="[0]!get_details_from_next_list">
                <anchor moveWithCells="1" sizeWithCells="1">
                  <from>
                    <xdr:col>6</xdr:col>
                    <xdr:colOff>184150</xdr:colOff>
                    <xdr:row>7</xdr:row>
                    <xdr:rowOff>12700</xdr:rowOff>
                  </from>
                  <to>
                    <xdr:col>7</xdr:col>
                    <xdr:colOff>615950</xdr:colOff>
                    <xdr:row>10</xdr:row>
                    <xdr:rowOff>107950</xdr:rowOff>
                  </to>
                </anchor>
              </controlPr>
            </control>
          </mc:Choice>
        </mc:AlternateContent>
        <mc:AlternateContent xmlns:mc="http://schemas.openxmlformats.org/markup-compatibility/2006">
          <mc:Choice Requires="x14">
            <control shapeId="14352" r:id="rId17" name="Button 16">
              <controlPr defaultSize="0" print="0" autoFill="0" autoPict="0" macro="[0]!whatisanalyse">
                <anchor moveWithCells="1" sizeWithCells="1">
                  <from>
                    <xdr:col>1</xdr:col>
                    <xdr:colOff>63500</xdr:colOff>
                    <xdr:row>4</xdr:row>
                    <xdr:rowOff>50800</xdr:rowOff>
                  </from>
                  <to>
                    <xdr:col>1</xdr:col>
                    <xdr:colOff>311150</xdr:colOff>
                    <xdr:row>5</xdr:row>
                    <xdr:rowOff>101600</xdr:rowOff>
                  </to>
                </anchor>
              </controlPr>
            </control>
          </mc:Choice>
        </mc:AlternateContent>
        <mc:AlternateContent xmlns:mc="http://schemas.openxmlformats.org/markup-compatibility/2006">
          <mc:Choice Requires="x14">
            <control shapeId="38647" r:id="rId18" name="Button 2807">
              <controlPr defaultSize="0" print="0" autoFill="0" autoPict="0" macro="[0]!show_user_details">
                <anchor moveWithCells="1" sizeWithCells="1">
                  <from>
                    <xdr:col>2</xdr:col>
                    <xdr:colOff>1060450</xdr:colOff>
                    <xdr:row>4</xdr:row>
                    <xdr:rowOff>6350</xdr:rowOff>
                  </from>
                  <to>
                    <xdr:col>2</xdr:col>
                    <xdr:colOff>1263650</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A743D-4D9F-45A4-ABAD-82CDC6B3BA2E}">
  <sheetPr codeName="Sheet86"/>
  <dimension ref="A1:V53"/>
  <sheetViews>
    <sheetView showGridLines="0" workbookViewId="0">
      <pane ySplit="2" topLeftCell="A3" activePane="bottomLeft" state="frozen"/>
      <selection activeCell="F19" sqref="F19"/>
      <selection pane="bottomLeft" activeCell="A3" sqref="A3"/>
    </sheetView>
  </sheetViews>
  <sheetFormatPr defaultColWidth="9.08984375" defaultRowHeight="14.5" x14ac:dyDescent="0.35"/>
  <cols>
    <col min="1" max="1" width="8.36328125" style="1231" customWidth="1"/>
    <col min="2" max="2" width="3.08984375" style="1231" customWidth="1"/>
    <col min="3" max="3" width="52.54296875" style="1231" customWidth="1"/>
    <col min="4" max="4" width="9.08984375" style="1231"/>
    <col min="5" max="5" width="12.54296875" style="1231" customWidth="1"/>
    <col min="6" max="6" width="3.453125" style="1231" customWidth="1"/>
    <col min="7" max="7" width="14.08984375" style="1231" customWidth="1"/>
    <col min="8" max="8" width="24.36328125" style="1231" customWidth="1"/>
    <col min="9" max="12" width="0" style="1231" hidden="1" customWidth="1"/>
    <col min="13" max="13" width="14.36328125" style="1231" hidden="1" customWidth="1"/>
    <col min="14" max="14" width="14" style="1231" hidden="1" customWidth="1"/>
    <col min="15" max="15" width="13.6328125" style="1231" hidden="1" customWidth="1"/>
    <col min="16" max="16384" width="9.08984375" style="1231"/>
  </cols>
  <sheetData>
    <row r="1" spans="1:22" x14ac:dyDescent="0.35">
      <c r="A1" s="1230"/>
      <c r="B1" s="1230"/>
      <c r="C1" s="1230"/>
      <c r="D1" s="1230"/>
      <c r="E1" s="1230"/>
      <c r="F1" s="1230"/>
      <c r="G1" s="1230"/>
      <c r="H1" s="1230"/>
      <c r="P1" s="1230"/>
      <c r="Q1" s="1230"/>
      <c r="R1" s="1230"/>
      <c r="S1" s="1230"/>
      <c r="T1" s="1230"/>
      <c r="U1" s="1230"/>
      <c r="V1" s="1230"/>
    </row>
    <row r="2" spans="1:22" ht="46.5" customHeight="1" x14ac:dyDescent="0.45">
      <c r="A2" s="1230"/>
      <c r="C2" s="1232" t="s">
        <v>1065</v>
      </c>
      <c r="G2" s="1230"/>
      <c r="H2" s="1230"/>
      <c r="I2" s="1233" t="s">
        <v>449</v>
      </c>
      <c r="J2" s="1233">
        <v>5</v>
      </c>
      <c r="K2" s="1233">
        <v>9</v>
      </c>
      <c r="M2" s="1231" t="str">
        <f>PROPER("Return to "&amp;I2)</f>
        <v>Return To Basic</v>
      </c>
      <c r="P2" s="1230"/>
      <c r="Q2" s="1230"/>
      <c r="R2" s="1230"/>
      <c r="S2" s="1230"/>
      <c r="T2" s="1230"/>
      <c r="U2" s="1230"/>
      <c r="V2" s="1230"/>
    </row>
    <row r="3" spans="1:22" x14ac:dyDescent="0.35">
      <c r="A3" s="1230"/>
      <c r="C3" s="1233" t="s">
        <v>1227</v>
      </c>
      <c r="D3" s="1233"/>
      <c r="E3" s="1233"/>
      <c r="G3" s="1230"/>
      <c r="H3" s="1230"/>
      <c r="P3" s="1230"/>
      <c r="Q3" s="1230"/>
      <c r="R3" s="1230"/>
      <c r="S3" s="1230"/>
      <c r="T3" s="1230"/>
      <c r="U3" s="1230"/>
      <c r="V3" s="1230"/>
    </row>
    <row r="4" spans="1:22" x14ac:dyDescent="0.35">
      <c r="A4" s="1230"/>
      <c r="C4" s="1233" t="s">
        <v>1228</v>
      </c>
      <c r="D4" s="1233"/>
      <c r="E4" s="1233"/>
      <c r="G4" s="1230"/>
      <c r="H4" s="1230"/>
      <c r="P4" s="1230"/>
      <c r="Q4" s="1230"/>
      <c r="R4" s="1230"/>
      <c r="S4" s="1230"/>
      <c r="T4" s="1230"/>
      <c r="U4" s="1230"/>
      <c r="V4" s="1230"/>
    </row>
    <row r="5" spans="1:22" x14ac:dyDescent="0.35">
      <c r="A5" s="1230"/>
      <c r="C5" s="1233" t="s">
        <v>1229</v>
      </c>
      <c r="D5" s="1233"/>
      <c r="E5" s="1233"/>
      <c r="G5" s="1230"/>
      <c r="H5" s="1230"/>
      <c r="P5" s="1230"/>
      <c r="Q5" s="1230"/>
      <c r="R5" s="1230"/>
      <c r="S5" s="1230"/>
      <c r="T5" s="1230"/>
      <c r="U5" s="1230"/>
      <c r="V5" s="1230"/>
    </row>
    <row r="6" spans="1:22" x14ac:dyDescent="0.35">
      <c r="A6" s="1230"/>
      <c r="C6" s="1233" t="s">
        <v>1230</v>
      </c>
      <c r="D6" s="1233"/>
      <c r="E6" s="1233"/>
      <c r="G6" s="1230"/>
      <c r="H6" s="1230"/>
      <c r="P6" s="1230"/>
      <c r="Q6" s="1230"/>
      <c r="R6" s="1230"/>
      <c r="S6" s="1230"/>
      <c r="T6" s="1230"/>
      <c r="U6" s="1230"/>
      <c r="V6" s="1230"/>
    </row>
    <row r="7" spans="1:22" x14ac:dyDescent="0.35">
      <c r="A7" s="1230"/>
      <c r="C7" s="1233" t="s">
        <v>1231</v>
      </c>
      <c r="D7" s="1233"/>
      <c r="E7" s="1233"/>
      <c r="G7" s="1230"/>
      <c r="H7" s="1230"/>
      <c r="P7" s="1230"/>
      <c r="Q7" s="1230"/>
      <c r="R7" s="1230"/>
      <c r="S7" s="1230"/>
      <c r="T7" s="1230"/>
      <c r="U7" s="1230"/>
      <c r="V7" s="1230"/>
    </row>
    <row r="8" spans="1:22" x14ac:dyDescent="0.35">
      <c r="A8" s="1230"/>
      <c r="C8" s="1233" t="s">
        <v>1232</v>
      </c>
      <c r="D8" s="1233"/>
      <c r="E8" s="1233"/>
      <c r="G8" s="1230"/>
      <c r="H8" s="1230"/>
      <c r="P8" s="1230"/>
      <c r="Q8" s="1230"/>
      <c r="R8" s="1230"/>
      <c r="S8" s="1230"/>
      <c r="T8" s="1230"/>
      <c r="U8" s="1230"/>
      <c r="V8" s="1230"/>
    </row>
    <row r="9" spans="1:22" x14ac:dyDescent="0.35">
      <c r="A9" s="1230"/>
      <c r="C9" s="1233" t="s">
        <v>1233</v>
      </c>
      <c r="D9" s="1233"/>
      <c r="E9" s="1233"/>
      <c r="G9" s="1230"/>
      <c r="H9" s="1230"/>
      <c r="P9" s="1230"/>
      <c r="Q9" s="1230"/>
      <c r="R9" s="1230"/>
      <c r="S9" s="1230"/>
      <c r="T9" s="1230"/>
      <c r="U9" s="1230"/>
      <c r="V9" s="1230"/>
    </row>
    <row r="10" spans="1:22" x14ac:dyDescent="0.35">
      <c r="A10" s="1230"/>
      <c r="C10" s="1233" t="s">
        <v>1234</v>
      </c>
      <c r="D10" s="1233"/>
      <c r="E10" s="1233"/>
      <c r="G10" s="1230"/>
      <c r="H10" s="1230"/>
      <c r="P10" s="1230"/>
      <c r="Q10" s="1230"/>
      <c r="R10" s="1230"/>
      <c r="S10" s="1230"/>
      <c r="T10" s="1230"/>
      <c r="U10" s="1230"/>
      <c r="V10" s="1230"/>
    </row>
    <row r="11" spans="1:22" x14ac:dyDescent="0.35">
      <c r="A11" s="1230"/>
      <c r="C11" s="1233" t="s">
        <v>1235</v>
      </c>
      <c r="D11" s="1233"/>
      <c r="E11" s="1233"/>
      <c r="G11" s="1230"/>
      <c r="H11" s="1230"/>
      <c r="P11" s="1230"/>
      <c r="Q11" s="1230"/>
      <c r="R11" s="1230"/>
      <c r="S11" s="1230"/>
      <c r="T11" s="1230"/>
      <c r="U11" s="1230"/>
      <c r="V11" s="1230"/>
    </row>
    <row r="12" spans="1:22" x14ac:dyDescent="0.35">
      <c r="A12" s="1230"/>
      <c r="C12" s="1233" t="s">
        <v>1236</v>
      </c>
      <c r="D12" s="1233"/>
      <c r="E12" s="1233"/>
      <c r="G12" s="1230"/>
      <c r="H12" s="1230"/>
      <c r="P12" s="1230"/>
      <c r="Q12" s="1230"/>
      <c r="R12" s="1230"/>
      <c r="S12" s="1230"/>
      <c r="T12" s="1230"/>
      <c r="U12" s="1230"/>
      <c r="V12" s="1230"/>
    </row>
    <row r="13" spans="1:22" x14ac:dyDescent="0.35">
      <c r="A13" s="1230"/>
      <c r="C13" s="1233" t="s">
        <v>1237</v>
      </c>
      <c r="D13" s="1233"/>
      <c r="E13" s="1233"/>
      <c r="G13" s="1230"/>
      <c r="H13" s="1230"/>
      <c r="P13" s="1230"/>
      <c r="Q13" s="1230"/>
      <c r="R13" s="1230"/>
      <c r="S13" s="1230"/>
      <c r="T13" s="1230"/>
      <c r="U13" s="1230"/>
      <c r="V13" s="1230"/>
    </row>
    <row r="14" spans="1:22" x14ac:dyDescent="0.35">
      <c r="A14" s="1230"/>
      <c r="C14" s="1233" t="s">
        <v>1238</v>
      </c>
      <c r="D14" s="1233"/>
      <c r="E14" s="1233"/>
      <c r="G14" s="1230"/>
      <c r="H14" s="1230"/>
      <c r="P14" s="1230"/>
      <c r="Q14" s="1230"/>
      <c r="R14" s="1230"/>
      <c r="S14" s="1230"/>
      <c r="T14" s="1230"/>
      <c r="U14" s="1230"/>
      <c r="V14" s="1230"/>
    </row>
    <row r="15" spans="1:22" x14ac:dyDescent="0.35">
      <c r="A15" s="1230"/>
      <c r="C15" s="1233" t="s">
        <v>1239</v>
      </c>
      <c r="D15" s="1233"/>
      <c r="E15" s="1233"/>
      <c r="G15" s="1230"/>
      <c r="H15" s="1230"/>
      <c r="P15" s="1230"/>
      <c r="Q15" s="1230"/>
      <c r="R15" s="1230"/>
      <c r="S15" s="1230"/>
      <c r="T15" s="1230"/>
      <c r="U15" s="1230"/>
      <c r="V15" s="1230"/>
    </row>
    <row r="16" spans="1:22" x14ac:dyDescent="0.35">
      <c r="A16" s="1230"/>
      <c r="C16" s="1233" t="s">
        <v>1240</v>
      </c>
      <c r="D16" s="1233"/>
      <c r="E16" s="1233"/>
      <c r="G16" s="1230"/>
      <c r="H16" s="1230"/>
      <c r="P16" s="1230"/>
      <c r="Q16" s="1230"/>
      <c r="R16" s="1230"/>
      <c r="S16" s="1230"/>
      <c r="T16" s="1230"/>
      <c r="U16" s="1230"/>
      <c r="V16" s="1230"/>
    </row>
    <row r="17" spans="1:22" x14ac:dyDescent="0.35">
      <c r="A17" s="1230"/>
      <c r="C17" s="1233" t="s">
        <v>1241</v>
      </c>
      <c r="D17" s="1233"/>
      <c r="E17" s="1233"/>
      <c r="G17" s="1230"/>
      <c r="H17" s="1230"/>
      <c r="P17" s="1230"/>
      <c r="Q17" s="1230"/>
      <c r="R17" s="1230"/>
      <c r="S17" s="1230"/>
      <c r="T17" s="1230"/>
      <c r="U17" s="1230"/>
      <c r="V17" s="1230"/>
    </row>
    <row r="18" spans="1:22" x14ac:dyDescent="0.35">
      <c r="A18" s="1230"/>
      <c r="C18" s="1233" t="s">
        <v>1242</v>
      </c>
      <c r="D18" s="1233"/>
      <c r="E18" s="1233"/>
      <c r="G18" s="1230"/>
      <c r="H18" s="1230"/>
      <c r="P18" s="1230"/>
      <c r="Q18" s="1230"/>
      <c r="R18" s="1230"/>
      <c r="S18" s="1230"/>
      <c r="T18" s="1230"/>
      <c r="U18" s="1230"/>
      <c r="V18" s="1230"/>
    </row>
    <row r="19" spans="1:22" x14ac:dyDescent="0.35">
      <c r="A19" s="1230"/>
      <c r="C19" s="1233" t="s">
        <v>1243</v>
      </c>
      <c r="D19" s="1233"/>
      <c r="E19" s="1233"/>
      <c r="G19" s="1230"/>
      <c r="H19" s="1230"/>
      <c r="P19" s="1230"/>
      <c r="Q19" s="1230"/>
      <c r="R19" s="1230"/>
      <c r="S19" s="1230"/>
      <c r="T19" s="1230"/>
      <c r="U19" s="1230"/>
      <c r="V19" s="1230"/>
    </row>
    <row r="20" spans="1:22" x14ac:dyDescent="0.35">
      <c r="A20" s="1230"/>
      <c r="C20" s="1233" t="s">
        <v>1244</v>
      </c>
      <c r="D20" s="1233"/>
      <c r="E20" s="1233"/>
      <c r="G20" s="1230"/>
      <c r="H20" s="1230"/>
      <c r="P20" s="1230"/>
      <c r="Q20" s="1230"/>
      <c r="R20" s="1230"/>
      <c r="S20" s="1230"/>
      <c r="T20" s="1230"/>
      <c r="U20" s="1230"/>
      <c r="V20" s="1230"/>
    </row>
    <row r="21" spans="1:22" x14ac:dyDescent="0.35">
      <c r="A21" s="1230"/>
      <c r="C21" s="1233" t="s">
        <v>1245</v>
      </c>
      <c r="D21" s="1233"/>
      <c r="E21" s="1233"/>
      <c r="G21" s="1230"/>
      <c r="H21" s="1230"/>
      <c r="P21" s="1230"/>
      <c r="Q21" s="1230"/>
      <c r="R21" s="1230"/>
      <c r="S21" s="1230"/>
      <c r="T21" s="1230"/>
      <c r="U21" s="1230"/>
      <c r="V21" s="1230"/>
    </row>
    <row r="22" spans="1:22" x14ac:dyDescent="0.35">
      <c r="A22" s="1230"/>
      <c r="C22" s="1233" t="s">
        <v>1246</v>
      </c>
      <c r="D22" s="1233"/>
      <c r="E22" s="1233"/>
      <c r="G22" s="1230"/>
      <c r="H22" s="1230"/>
      <c r="P22" s="1230"/>
      <c r="Q22" s="1230"/>
      <c r="R22" s="1230"/>
      <c r="S22" s="1230"/>
      <c r="T22" s="1230"/>
      <c r="U22" s="1230"/>
      <c r="V22" s="1230"/>
    </row>
    <row r="23" spans="1:22" x14ac:dyDescent="0.35">
      <c r="A23" s="1230"/>
      <c r="C23" s="1233" t="s">
        <v>1247</v>
      </c>
      <c r="D23" s="1233"/>
      <c r="E23" s="1233"/>
      <c r="G23" s="1230"/>
      <c r="H23" s="1230"/>
      <c r="P23" s="1230"/>
      <c r="Q23" s="1230"/>
      <c r="R23" s="1230"/>
      <c r="S23" s="1230"/>
      <c r="T23" s="1230"/>
      <c r="U23" s="1230"/>
      <c r="V23" s="1230"/>
    </row>
    <row r="24" spans="1:22" x14ac:dyDescent="0.35">
      <c r="A24" s="1230"/>
      <c r="C24" s="1233" t="s">
        <v>1248</v>
      </c>
      <c r="D24" s="1233"/>
      <c r="E24" s="1233"/>
      <c r="G24" s="1230"/>
      <c r="H24" s="1230"/>
      <c r="P24" s="1230"/>
      <c r="Q24" s="1230"/>
      <c r="R24" s="1230"/>
      <c r="S24" s="1230"/>
      <c r="T24" s="1230"/>
      <c r="U24" s="1230"/>
      <c r="V24" s="1230"/>
    </row>
    <row r="25" spans="1:22" x14ac:dyDescent="0.35">
      <c r="A25" s="1230"/>
      <c r="C25" s="1233" t="s">
        <v>1249</v>
      </c>
      <c r="D25" s="1233"/>
      <c r="E25" s="1233"/>
      <c r="G25" s="1230"/>
      <c r="H25" s="1230"/>
      <c r="P25" s="1230"/>
      <c r="Q25" s="1230"/>
      <c r="R25" s="1230"/>
      <c r="S25" s="1230"/>
      <c r="T25" s="1230"/>
      <c r="U25" s="1230"/>
      <c r="V25" s="1230"/>
    </row>
    <row r="26" spans="1:22" x14ac:dyDescent="0.35">
      <c r="A26" s="1230"/>
      <c r="C26" s="1233" t="s">
        <v>1250</v>
      </c>
      <c r="D26" s="1233"/>
      <c r="E26" s="1233"/>
      <c r="G26" s="1230"/>
      <c r="H26" s="1230"/>
      <c r="P26" s="1230"/>
      <c r="Q26" s="1230"/>
      <c r="R26" s="1230"/>
      <c r="S26" s="1230"/>
      <c r="T26" s="1230"/>
      <c r="U26" s="1230"/>
      <c r="V26" s="1230"/>
    </row>
    <row r="27" spans="1:22" x14ac:dyDescent="0.35">
      <c r="A27" s="1230"/>
      <c r="C27" s="1233" t="s">
        <v>1251</v>
      </c>
      <c r="D27" s="1233"/>
      <c r="E27" s="1233"/>
      <c r="G27" s="1230"/>
      <c r="H27" s="1230"/>
      <c r="P27" s="1230"/>
      <c r="Q27" s="1230"/>
      <c r="R27" s="1230"/>
      <c r="S27" s="1230"/>
      <c r="T27" s="1230"/>
      <c r="U27" s="1230"/>
      <c r="V27" s="1230"/>
    </row>
    <row r="28" spans="1:22" x14ac:dyDescent="0.35">
      <c r="A28" s="1230"/>
      <c r="C28" s="1233" t="s">
        <v>1252</v>
      </c>
      <c r="D28" s="1233"/>
      <c r="E28" s="1233"/>
      <c r="G28" s="1230"/>
      <c r="H28" s="1230"/>
      <c r="P28" s="1230"/>
      <c r="Q28" s="1230"/>
      <c r="R28" s="1230"/>
      <c r="S28" s="1230"/>
      <c r="T28" s="1230"/>
      <c r="U28" s="1230"/>
      <c r="V28" s="1230"/>
    </row>
    <row r="29" spans="1:22" x14ac:dyDescent="0.35">
      <c r="A29" s="1230"/>
      <c r="C29" s="1233" t="s">
        <v>1253</v>
      </c>
      <c r="D29" s="1233"/>
      <c r="E29" s="1233"/>
      <c r="G29" s="1230"/>
      <c r="H29" s="1230"/>
      <c r="P29" s="1230"/>
      <c r="Q29" s="1230"/>
      <c r="R29" s="1230"/>
      <c r="S29" s="1230"/>
      <c r="T29" s="1230"/>
      <c r="U29" s="1230"/>
      <c r="V29" s="1230"/>
    </row>
    <row r="30" spans="1:22" x14ac:dyDescent="0.35">
      <c r="A30" s="1230"/>
      <c r="C30" s="1233" t="s">
        <v>1254</v>
      </c>
      <c r="D30" s="1233"/>
      <c r="E30" s="1233"/>
      <c r="G30" s="1230"/>
      <c r="H30" s="1230"/>
      <c r="P30" s="1230"/>
      <c r="Q30" s="1230"/>
      <c r="R30" s="1230"/>
      <c r="S30" s="1230"/>
      <c r="T30" s="1230"/>
      <c r="U30" s="1230"/>
      <c r="V30" s="1230"/>
    </row>
    <row r="31" spans="1:22" x14ac:dyDescent="0.35">
      <c r="A31" s="1230"/>
      <c r="C31" s="1233" t="s">
        <v>1255</v>
      </c>
      <c r="D31" s="1233"/>
      <c r="E31" s="1233"/>
      <c r="G31" s="1230"/>
      <c r="H31" s="1230"/>
      <c r="P31" s="1230"/>
      <c r="Q31" s="1230"/>
      <c r="R31" s="1230"/>
      <c r="S31" s="1230"/>
      <c r="T31" s="1230"/>
      <c r="U31" s="1230"/>
      <c r="V31" s="1230"/>
    </row>
    <row r="32" spans="1:22" x14ac:dyDescent="0.35">
      <c r="A32" s="1230"/>
      <c r="C32" s="1233" t="s">
        <v>1256</v>
      </c>
      <c r="D32" s="1233"/>
      <c r="E32" s="1233"/>
      <c r="G32" s="1230"/>
      <c r="H32" s="1230"/>
      <c r="P32" s="1230"/>
      <c r="Q32" s="1230"/>
      <c r="R32" s="1230"/>
      <c r="S32" s="1230"/>
      <c r="T32" s="1230"/>
      <c r="U32" s="1230"/>
      <c r="V32" s="1230"/>
    </row>
    <row r="33" spans="1:22" x14ac:dyDescent="0.35">
      <c r="A33" s="1230"/>
      <c r="C33" s="1233" t="s">
        <v>1257</v>
      </c>
      <c r="D33" s="1233"/>
      <c r="E33" s="1233"/>
      <c r="G33" s="1230"/>
      <c r="H33" s="1230"/>
      <c r="P33" s="1230"/>
      <c r="Q33" s="1230"/>
      <c r="R33" s="1230"/>
      <c r="S33" s="1230"/>
      <c r="T33" s="1230"/>
      <c r="U33" s="1230"/>
      <c r="V33" s="1230"/>
    </row>
    <row r="34" spans="1:22" x14ac:dyDescent="0.35">
      <c r="A34" s="1230"/>
      <c r="C34" s="1233" t="s">
        <v>1258</v>
      </c>
      <c r="D34" s="1233"/>
      <c r="E34" s="1233"/>
      <c r="G34" s="1230"/>
      <c r="H34" s="1230"/>
      <c r="P34" s="1230"/>
      <c r="Q34" s="1230"/>
      <c r="R34" s="1230"/>
      <c r="S34" s="1230"/>
      <c r="T34" s="1230"/>
      <c r="U34" s="1230"/>
      <c r="V34" s="1230"/>
    </row>
    <row r="35" spans="1:22" x14ac:dyDescent="0.35">
      <c r="A35" s="1230"/>
      <c r="C35" s="1233"/>
      <c r="D35" s="1233"/>
      <c r="E35" s="1233"/>
      <c r="G35" s="1230"/>
      <c r="H35" s="1230"/>
      <c r="P35" s="1230"/>
      <c r="Q35" s="1230"/>
      <c r="R35" s="1230"/>
      <c r="S35" s="1230"/>
      <c r="T35" s="1230"/>
      <c r="U35" s="1230"/>
      <c r="V35" s="1230"/>
    </row>
    <row r="36" spans="1:22" x14ac:dyDescent="0.35">
      <c r="A36" s="1230"/>
      <c r="C36" s="1233"/>
      <c r="D36" s="1233"/>
      <c r="E36" s="1233"/>
      <c r="G36" s="1230"/>
      <c r="H36" s="1230"/>
      <c r="P36" s="1230"/>
      <c r="Q36" s="1230"/>
      <c r="R36" s="1230"/>
      <c r="S36" s="1230"/>
      <c r="T36" s="1230"/>
      <c r="U36" s="1230"/>
      <c r="V36" s="1230"/>
    </row>
    <row r="37" spans="1:22" x14ac:dyDescent="0.35">
      <c r="A37" s="1230"/>
      <c r="C37" s="1233"/>
      <c r="D37" s="1233"/>
      <c r="E37" s="1233"/>
      <c r="G37" s="1230"/>
      <c r="H37" s="1230"/>
      <c r="P37" s="1230"/>
      <c r="Q37" s="1230"/>
      <c r="R37" s="1230"/>
      <c r="S37" s="1230"/>
      <c r="T37" s="1230"/>
      <c r="U37" s="1230"/>
      <c r="V37" s="1230"/>
    </row>
    <row r="38" spans="1:22" x14ac:dyDescent="0.35">
      <c r="A38" s="1230"/>
      <c r="C38" s="1233"/>
      <c r="D38" s="1233"/>
      <c r="E38" s="1233"/>
      <c r="G38" s="1230"/>
      <c r="H38" s="1230"/>
      <c r="P38" s="1230"/>
      <c r="Q38" s="1230"/>
      <c r="R38" s="1230"/>
      <c r="S38" s="1230"/>
      <c r="T38" s="1230"/>
      <c r="U38" s="1230"/>
      <c r="V38" s="1230"/>
    </row>
    <row r="39" spans="1:22" x14ac:dyDescent="0.35">
      <c r="A39" s="1230"/>
      <c r="C39" s="1233"/>
      <c r="D39" s="1233"/>
      <c r="E39" s="1233"/>
      <c r="G39" s="1230"/>
      <c r="H39" s="1230"/>
      <c r="P39" s="1230"/>
      <c r="Q39" s="1230"/>
      <c r="R39" s="1230"/>
      <c r="S39" s="1230"/>
      <c r="T39" s="1230"/>
      <c r="U39" s="1230"/>
      <c r="V39" s="1230"/>
    </row>
    <row r="40" spans="1:22" x14ac:dyDescent="0.35">
      <c r="A40" s="1230"/>
      <c r="C40" s="1233"/>
      <c r="D40" s="1233"/>
      <c r="E40" s="1233"/>
      <c r="G40" s="1230"/>
      <c r="H40" s="1230"/>
      <c r="P40" s="1230"/>
      <c r="Q40" s="1230"/>
      <c r="R40" s="1230"/>
      <c r="S40" s="1230"/>
      <c r="T40" s="1230"/>
      <c r="U40" s="1230"/>
      <c r="V40" s="1230"/>
    </row>
    <row r="41" spans="1:22" x14ac:dyDescent="0.35">
      <c r="A41" s="1230"/>
      <c r="C41" s="1233"/>
      <c r="D41" s="1233"/>
      <c r="E41" s="1233"/>
      <c r="G41" s="1230"/>
      <c r="H41" s="1230"/>
      <c r="P41" s="1230"/>
      <c r="Q41" s="1230"/>
      <c r="R41" s="1230"/>
      <c r="S41" s="1230"/>
      <c r="T41" s="1230"/>
      <c r="U41" s="1230"/>
      <c r="V41" s="1230"/>
    </row>
    <row r="42" spans="1:22" x14ac:dyDescent="0.35">
      <c r="A42" s="1230"/>
      <c r="C42" s="1233"/>
      <c r="D42" s="1233"/>
      <c r="E42" s="1233"/>
      <c r="G42" s="1230"/>
      <c r="H42" s="1230"/>
      <c r="P42" s="1230"/>
      <c r="Q42" s="1230"/>
      <c r="R42" s="1230"/>
      <c r="S42" s="1230"/>
      <c r="T42" s="1230"/>
      <c r="U42" s="1230"/>
      <c r="V42" s="1230"/>
    </row>
    <row r="43" spans="1:22" x14ac:dyDescent="0.35">
      <c r="A43" s="1230"/>
      <c r="C43" s="1233"/>
      <c r="D43" s="1233"/>
      <c r="E43" s="1233"/>
      <c r="G43" s="1230"/>
      <c r="H43" s="1230"/>
      <c r="P43" s="1230"/>
      <c r="Q43" s="1230"/>
      <c r="R43" s="1230"/>
      <c r="S43" s="1230"/>
      <c r="T43" s="1230"/>
      <c r="U43" s="1230"/>
      <c r="V43" s="1230"/>
    </row>
    <row r="44" spans="1:22" x14ac:dyDescent="0.35">
      <c r="A44" s="1230"/>
      <c r="C44" s="1233"/>
      <c r="D44" s="1233"/>
      <c r="E44" s="1233"/>
      <c r="G44" s="1230"/>
      <c r="H44" s="1230"/>
      <c r="P44" s="1230"/>
      <c r="Q44" s="1230"/>
      <c r="R44" s="1230"/>
      <c r="S44" s="1230"/>
      <c r="T44" s="1230"/>
      <c r="U44" s="1230"/>
      <c r="V44" s="1230"/>
    </row>
    <row r="45" spans="1:22" x14ac:dyDescent="0.35">
      <c r="A45" s="1230"/>
      <c r="G45" s="1230"/>
      <c r="H45" s="1230"/>
      <c r="P45" s="1230"/>
      <c r="Q45" s="1230"/>
      <c r="R45" s="1230"/>
      <c r="S45" s="1230"/>
      <c r="T45" s="1230"/>
      <c r="U45" s="1230"/>
      <c r="V45" s="1230"/>
    </row>
    <row r="46" spans="1:22" x14ac:dyDescent="0.35">
      <c r="A46" s="1230"/>
      <c r="B46" s="1230"/>
      <c r="C46" s="1230"/>
      <c r="D46" s="1230"/>
      <c r="E46" s="1230"/>
      <c r="F46" s="1230"/>
      <c r="G46" s="1230"/>
      <c r="H46" s="1230"/>
      <c r="P46" s="1230"/>
      <c r="Q46" s="1230"/>
      <c r="R46" s="1230"/>
      <c r="S46" s="1230"/>
      <c r="T46" s="1230"/>
      <c r="U46" s="1230"/>
      <c r="V46" s="1230"/>
    </row>
    <row r="47" spans="1:22" x14ac:dyDescent="0.35">
      <c r="A47" s="1230"/>
      <c r="B47" s="1230"/>
      <c r="C47" s="1230"/>
      <c r="D47" s="1230"/>
      <c r="E47" s="1230"/>
      <c r="F47" s="1230"/>
      <c r="G47" s="1230"/>
      <c r="H47" s="1230"/>
      <c r="P47" s="1230"/>
      <c r="Q47" s="1230"/>
      <c r="R47" s="1230"/>
      <c r="S47" s="1230"/>
      <c r="T47" s="1230"/>
      <c r="U47" s="1230"/>
      <c r="V47" s="1230"/>
    </row>
    <row r="48" spans="1:22" x14ac:dyDescent="0.35">
      <c r="A48" s="1230"/>
      <c r="B48" s="1230"/>
      <c r="C48" s="1230"/>
      <c r="D48" s="1230"/>
      <c r="E48" s="1230"/>
      <c r="F48" s="1230"/>
      <c r="G48" s="1230"/>
      <c r="H48" s="1230"/>
      <c r="P48" s="1230"/>
      <c r="Q48" s="1230"/>
      <c r="R48" s="1230"/>
      <c r="S48" s="1230"/>
      <c r="T48" s="1230"/>
      <c r="U48" s="1230"/>
      <c r="V48" s="1230"/>
    </row>
    <row r="49" spans="1:22" x14ac:dyDescent="0.35">
      <c r="A49" s="1230"/>
      <c r="B49" s="1230"/>
      <c r="C49" s="1230"/>
      <c r="D49" s="1230"/>
      <c r="E49" s="1230"/>
      <c r="F49" s="1230"/>
      <c r="G49" s="1230"/>
      <c r="H49" s="1230"/>
      <c r="P49" s="1230"/>
      <c r="Q49" s="1230"/>
      <c r="R49" s="1230"/>
      <c r="S49" s="1230"/>
      <c r="T49" s="1230"/>
      <c r="U49" s="1230"/>
      <c r="V49" s="1230"/>
    </row>
    <row r="50" spans="1:22" x14ac:dyDescent="0.35">
      <c r="A50" s="1230"/>
      <c r="B50" s="1230"/>
      <c r="C50" s="1230"/>
      <c r="D50" s="1230"/>
      <c r="E50" s="1230"/>
      <c r="F50" s="1230"/>
      <c r="G50" s="1230"/>
      <c r="H50" s="1230"/>
      <c r="P50" s="1230"/>
      <c r="Q50" s="1230"/>
      <c r="R50" s="1230"/>
      <c r="S50" s="1230"/>
      <c r="T50" s="1230"/>
      <c r="U50" s="1230"/>
      <c r="V50" s="1230"/>
    </row>
    <row r="51" spans="1:22" x14ac:dyDescent="0.35">
      <c r="A51" s="1230"/>
      <c r="B51" s="1230"/>
      <c r="C51" s="1230"/>
      <c r="D51" s="1230"/>
      <c r="E51" s="1230"/>
      <c r="F51" s="1230"/>
      <c r="G51" s="1230"/>
      <c r="H51" s="1230"/>
      <c r="P51" s="1230"/>
      <c r="Q51" s="1230"/>
      <c r="R51" s="1230"/>
      <c r="S51" s="1230"/>
      <c r="T51" s="1230"/>
      <c r="U51" s="1230"/>
      <c r="V51" s="1230"/>
    </row>
    <row r="52" spans="1:22" x14ac:dyDescent="0.35">
      <c r="A52" s="1230"/>
      <c r="B52" s="1230"/>
      <c r="C52" s="1230"/>
      <c r="D52" s="1230"/>
      <c r="E52" s="1230"/>
      <c r="F52" s="1230"/>
      <c r="G52" s="1230"/>
      <c r="H52" s="1230"/>
      <c r="P52" s="1230"/>
      <c r="Q52" s="1230"/>
      <c r="R52" s="1230"/>
      <c r="S52" s="1230"/>
      <c r="T52" s="1230"/>
      <c r="U52" s="1230"/>
      <c r="V52" s="1230"/>
    </row>
    <row r="53" spans="1:22" x14ac:dyDescent="0.35">
      <c r="A53" s="1230"/>
      <c r="B53" s="1230"/>
      <c r="C53" s="1230"/>
      <c r="D53" s="1230"/>
      <c r="E53" s="1230"/>
      <c r="F53" s="1230"/>
      <c r="G53" s="1230"/>
      <c r="H53" s="1230"/>
      <c r="P53" s="1230"/>
      <c r="Q53" s="1230"/>
      <c r="R53" s="1230"/>
      <c r="S53" s="1230"/>
      <c r="T53" s="1230"/>
      <c r="U53" s="1230"/>
      <c r="V53" s="1230"/>
    </row>
  </sheetData>
  <sheetProtection password="BCD8" sheet="1" objects="1" scenarios="1"/>
  <phoneticPr fontId="1" type="noConversion"/>
  <pageMargins left="0.7" right="0.7" top="0.75" bottom="0.75" header="0.3" footer="0.3"/>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8612" r:id="rId4" name="Button 4">
              <controlPr defaultSize="0" print="0" autoFill="0" autoPict="0" macro="[0]!returnfromgllist">
                <anchor moveWithCells="1" sizeWithCells="1">
                  <from>
                    <xdr:col>6</xdr:col>
                    <xdr:colOff>139700</xdr:colOff>
                    <xdr:row>0</xdr:row>
                    <xdr:rowOff>88900</xdr:rowOff>
                  </from>
                  <to>
                    <xdr:col>7</xdr:col>
                    <xdr:colOff>1485900</xdr:colOff>
                    <xdr:row>1</xdr:row>
                    <xdr:rowOff>450850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BB7F6-9620-4392-B21E-C86A5DC9CA0C}">
  <sheetPr codeName="Sheet1"/>
  <dimension ref="A1:AS51"/>
  <sheetViews>
    <sheetView showGridLines="0" zoomScaleNormal="100" workbookViewId="0">
      <selection activeCell="I5" sqref="I5"/>
    </sheetView>
  </sheetViews>
  <sheetFormatPr defaultColWidth="9.08984375" defaultRowHeight="15.5" x14ac:dyDescent="0.35"/>
  <cols>
    <col min="1" max="1" width="19" style="162" customWidth="1"/>
    <col min="2" max="2" width="13.08984375" style="162" customWidth="1"/>
    <col min="3" max="3" width="3.08984375" style="162" customWidth="1"/>
    <col min="4" max="4" width="15.08984375" style="162" customWidth="1"/>
    <col min="5" max="5" width="3.36328125" style="162" customWidth="1"/>
    <col min="6" max="6" width="18.453125" style="162" customWidth="1"/>
    <col min="7" max="7" width="3.36328125" style="162" customWidth="1"/>
    <col min="8" max="8" width="18.6328125" style="162" customWidth="1"/>
    <col min="9" max="9" width="16.6328125" style="162" customWidth="1"/>
    <col min="10" max="10" width="4" style="162" customWidth="1"/>
    <col min="11" max="11" width="2.6328125" style="162" customWidth="1"/>
    <col min="12" max="12" width="23.36328125" style="162" customWidth="1"/>
    <col min="13" max="13" width="7.36328125" style="162" customWidth="1"/>
    <col min="14" max="14" width="8.6328125" style="162" customWidth="1"/>
    <col min="15" max="16" width="9.08984375" style="162"/>
    <col min="17" max="17" width="12.6328125" style="162" customWidth="1"/>
    <col min="18" max="18" width="14.08984375" style="187" hidden="1" customWidth="1"/>
    <col min="19" max="19" width="9.08984375" style="187" hidden="1" customWidth="1"/>
    <col min="20" max="20" width="12.90625" style="187" hidden="1" customWidth="1"/>
    <col min="21" max="22" width="9.08984375" style="187" hidden="1" customWidth="1"/>
    <col min="23" max="23" width="64.90625" style="187" hidden="1" customWidth="1"/>
    <col min="24" max="26" width="9.08984375" style="187" hidden="1" customWidth="1"/>
    <col min="27" max="27" width="19.08984375" style="187" hidden="1" customWidth="1"/>
    <col min="28" max="28" width="19.54296875" style="187" hidden="1" customWidth="1"/>
    <col min="29" max="29" width="21.36328125" style="399" hidden="1" customWidth="1"/>
    <col min="30" max="30" width="16.90625" style="187" hidden="1" customWidth="1"/>
    <col min="31" max="31" width="13.36328125" style="187" hidden="1" customWidth="1"/>
    <col min="32" max="32" width="12.6328125" style="187" hidden="1" customWidth="1"/>
    <col min="33" max="33" width="11.453125" style="187" hidden="1" customWidth="1"/>
    <col min="34" max="34" width="10.453125" style="187" hidden="1" customWidth="1"/>
    <col min="35" max="45" width="9.08984375" style="187" hidden="1" customWidth="1"/>
    <col min="46" max="16384" width="9.08984375" style="162"/>
  </cols>
  <sheetData>
    <row r="1" spans="1:44" ht="30" customHeight="1" thickBot="1" x14ac:dyDescent="0.45">
      <c r="A1" s="163"/>
      <c r="B1" s="193" t="str">
        <f>"Business Rates Liability and Savings "&amp;text!F29&amp;" List "&amp;"("&amp;D22&amp;")"</f>
        <v>Business Rates Liability and Savings 2023 List (England)</v>
      </c>
      <c r="C1" s="163"/>
      <c r="D1" s="163"/>
      <c r="E1" s="163"/>
      <c r="F1" s="163"/>
      <c r="G1" s="163"/>
      <c r="H1" s="163"/>
      <c r="I1" s="163"/>
      <c r="J1" s="163"/>
      <c r="K1" s="163"/>
      <c r="L1" s="163"/>
      <c r="M1" s="163"/>
      <c r="N1" s="163"/>
      <c r="O1" s="163"/>
      <c r="P1" s="163"/>
      <c r="Q1" s="163"/>
      <c r="R1" s="194"/>
      <c r="S1" s="194"/>
      <c r="T1" s="204">
        <v>0</v>
      </c>
      <c r="U1" s="195"/>
      <c r="V1" s="194"/>
      <c r="W1" s="194"/>
      <c r="X1" s="194"/>
      <c r="Y1" s="205">
        <v>30</v>
      </c>
      <c r="AG1" s="399" t="str">
        <f>"col "&amp;COLUMN()</f>
        <v>col 33</v>
      </c>
      <c r="AH1" s="399" t="str">
        <f t="shared" ref="AH1:AN1" si="0">"col "&amp;COLUMN()</f>
        <v>col 34</v>
      </c>
      <c r="AI1" s="399" t="str">
        <f t="shared" si="0"/>
        <v>col 35</v>
      </c>
      <c r="AJ1" s="399" t="str">
        <f t="shared" si="0"/>
        <v>col 36</v>
      </c>
      <c r="AK1" s="399" t="str">
        <f t="shared" si="0"/>
        <v>col 37</v>
      </c>
      <c r="AL1" s="399" t="str">
        <f t="shared" si="0"/>
        <v>col 38</v>
      </c>
      <c r="AM1" s="399" t="str">
        <f t="shared" si="0"/>
        <v>col 39</v>
      </c>
      <c r="AN1" s="399" t="str">
        <f t="shared" si="0"/>
        <v>col 40</v>
      </c>
    </row>
    <row r="2" spans="1:44" ht="16.5" customHeight="1" thickBot="1" x14ac:dyDescent="0.4">
      <c r="A2" s="163"/>
      <c r="B2" s="168"/>
      <c r="C2" s="169"/>
      <c r="D2" s="169"/>
      <c r="E2" s="169"/>
      <c r="F2" s="169"/>
      <c r="G2" s="169"/>
      <c r="H2" s="169"/>
      <c r="I2" s="169"/>
      <c r="J2" s="169"/>
      <c r="K2" s="169"/>
      <c r="L2" s="169"/>
      <c r="M2" s="170"/>
      <c r="N2" s="163"/>
      <c r="O2" s="163"/>
      <c r="P2" s="163"/>
      <c r="Q2" s="163"/>
      <c r="R2" s="194"/>
      <c r="S2" s="194"/>
      <c r="T2" s="196"/>
      <c r="U2" s="48"/>
      <c r="V2" s="197"/>
      <c r="W2" s="197"/>
      <c r="X2" s="177">
        <v>1</v>
      </c>
      <c r="AE2" s="1281">
        <f>data!B3</f>
        <v>45017</v>
      </c>
      <c r="AF2" s="1281">
        <f>AE3-1</f>
        <v>45382</v>
      </c>
      <c r="AG2" s="1238"/>
      <c r="AH2" s="397">
        <f>calc1!$D$135</f>
        <v>0</v>
      </c>
      <c r="AI2" s="397">
        <f>calc2!$D$135</f>
        <v>0</v>
      </c>
    </row>
    <row r="3" spans="1:44" ht="22.5" customHeight="1" thickTop="1" x14ac:dyDescent="0.4">
      <c r="A3" s="163"/>
      <c r="B3" s="171"/>
      <c r="C3" s="183"/>
      <c r="D3" s="1748" t="str">
        <f>"Calcurate - Basic Calculator - "&amp;D22</f>
        <v>Calcurate - Basic Calculator - England</v>
      </c>
      <c r="E3" s="184"/>
      <c r="F3" s="184"/>
      <c r="G3" s="184"/>
      <c r="H3" s="184"/>
      <c r="I3" s="184"/>
      <c r="J3" s="185"/>
      <c r="K3" s="172"/>
      <c r="L3" s="181" t="s">
        <v>841</v>
      </c>
      <c r="M3" s="173"/>
      <c r="N3" s="163"/>
      <c r="O3" s="163"/>
      <c r="P3" s="163"/>
      <c r="Q3" s="163"/>
      <c r="R3" s="2367"/>
      <c r="S3" s="194" t="s">
        <v>2895</v>
      </c>
      <c r="T3" s="196"/>
      <c r="U3" s="48"/>
      <c r="V3" s="197">
        <f>global!D4</f>
        <v>3</v>
      </c>
      <c r="W3" s="197" t="str">
        <f>IF(V3=1,"c",IF(V3=2,"l","e"))</f>
        <v>e</v>
      </c>
      <c r="X3" s="197" t="s">
        <v>838</v>
      </c>
      <c r="AE3" s="1281">
        <f>data!B4</f>
        <v>45383</v>
      </c>
      <c r="AF3" s="1281">
        <f>AE4-1</f>
        <v>45747</v>
      </c>
      <c r="AG3" s="197"/>
      <c r="AH3" s="397">
        <f>calc1!$E$135</f>
        <v>0</v>
      </c>
      <c r="AI3" s="397">
        <f>calc2!$E$135</f>
        <v>0</v>
      </c>
      <c r="AM3" s="399" t="s">
        <v>182</v>
      </c>
      <c r="AN3" s="399" t="s">
        <v>183</v>
      </c>
    </row>
    <row r="4" spans="1:44" ht="22.5" customHeight="1" x14ac:dyDescent="0.35">
      <c r="A4" s="163"/>
      <c r="B4" s="171"/>
      <c r="C4" s="186"/>
      <c r="D4" s="1224" t="s">
        <v>830</v>
      </c>
      <c r="E4" s="1225"/>
      <c r="F4" s="1225"/>
      <c r="G4" s="1225"/>
      <c r="H4" s="1225"/>
      <c r="I4" s="1226" t="str">
        <f>D22</f>
        <v>England</v>
      </c>
      <c r="J4" s="188"/>
      <c r="K4" s="172"/>
      <c r="L4" s="172"/>
      <c r="M4" s="173"/>
      <c r="N4" s="163"/>
      <c r="O4" s="163"/>
      <c r="P4" s="163"/>
      <c r="Q4" s="163"/>
      <c r="R4" s="2366" t="str">
        <f>calc1!B168</f>
        <v>n</v>
      </c>
      <c r="S4" s="194" t="s">
        <v>2894</v>
      </c>
      <c r="T4" s="196"/>
      <c r="U4" s="48"/>
      <c r="AE4" s="1281">
        <f>data!B5</f>
        <v>45748</v>
      </c>
      <c r="AF4" s="1281">
        <f>AE5-1</f>
        <v>46112</v>
      </c>
      <c r="AG4" s="197"/>
      <c r="AH4" s="397">
        <f>calc1!$F$135</f>
        <v>0</v>
      </c>
      <c r="AI4" s="397">
        <f>calc2!$F$135</f>
        <v>0</v>
      </c>
      <c r="AM4" s="400">
        <f t="shared" ref="AM4:AN6" si="1">(AM15-10)/100</f>
        <v>0</v>
      </c>
      <c r="AN4" s="400">
        <f t="shared" si="1"/>
        <v>0</v>
      </c>
    </row>
    <row r="5" spans="1:44" ht="18" customHeight="1" thickBot="1" x14ac:dyDescent="0.4">
      <c r="A5" s="163"/>
      <c r="B5" s="393" t="str">
        <f>IF(R6=TRUE,"START ","")</f>
        <v xml:space="preserve">START </v>
      </c>
      <c r="C5" s="186" t="str">
        <f>IF(R6=TRUE,"&gt;","")</f>
        <v>&gt;</v>
      </c>
      <c r="D5" s="1749" t="str">
        <f>"Final "&amp;text!F28&amp;" List RV, or a zero if none"</f>
        <v>Final 2017 List RV, or a zero if none</v>
      </c>
      <c r="E5" s="211"/>
      <c r="F5" s="211"/>
      <c r="G5" s="1221"/>
      <c r="H5" s="2074" t="str">
        <f>IF(I5="","&gt;",IF(I5=0,"No Transition","BL = £ "&amp;TEXT(calc1!D19,"#,##0.00")))</f>
        <v>&gt;</v>
      </c>
      <c r="I5" s="213"/>
      <c r="J5" s="188"/>
      <c r="K5" s="172"/>
      <c r="L5" s="172"/>
      <c r="M5" s="173"/>
      <c r="N5" s="163"/>
      <c r="O5" s="163"/>
      <c r="P5" s="163"/>
      <c r="Q5" s="163"/>
      <c r="R5" s="194" t="b">
        <f>AND(W24=TRUE,reliefs!$D$32=TRUE,I23=R24)</f>
        <v>0</v>
      </c>
      <c r="S5" s="194" t="s">
        <v>2889</v>
      </c>
      <c r="T5" s="196" t="str">
        <f>IF(T1=0,"",100+T1)</f>
        <v/>
      </c>
      <c r="U5" s="48"/>
      <c r="V5" s="197" t="s">
        <v>418</v>
      </c>
      <c r="W5" s="197" t="s">
        <v>419</v>
      </c>
      <c r="X5" s="197"/>
      <c r="AE5" s="1281">
        <f>data!B6</f>
        <v>46113</v>
      </c>
      <c r="AF5" s="1281">
        <f>AE6-1</f>
        <v>46477</v>
      </c>
      <c r="AG5" s="197"/>
      <c r="AH5" s="397">
        <f>calc1!$G$135</f>
        <v>0</v>
      </c>
      <c r="AI5" s="397">
        <f>calc2!$G$135</f>
        <v>0</v>
      </c>
      <c r="AM5" s="400">
        <f t="shared" si="1"/>
        <v>0</v>
      </c>
      <c r="AN5" s="400">
        <f t="shared" si="1"/>
        <v>0</v>
      </c>
    </row>
    <row r="6" spans="1:44" ht="18" customHeight="1" x14ac:dyDescent="0.35">
      <c r="A6" s="163"/>
      <c r="B6" s="171"/>
      <c r="C6" s="186"/>
      <c r="D6" s="1749" t="str">
        <f>"RV at "&amp;TEXT(text!B9,"dd/mm/yyyy")</f>
        <v>RV at 01/04/2023</v>
      </c>
      <c r="E6" s="211"/>
      <c r="F6" s="211"/>
      <c r="G6" s="211"/>
      <c r="H6" s="1750" t="str">
        <f>IF(AND(I5&lt;&gt;"",I6=""),"&gt;","")</f>
        <v/>
      </c>
      <c r="I6" s="213"/>
      <c r="J6" s="188"/>
      <c r="K6" s="172"/>
      <c r="L6" s="165"/>
      <c r="M6" s="173"/>
      <c r="N6" s="163"/>
      <c r="O6" s="163"/>
      <c r="P6" s="163"/>
      <c r="Q6" s="163"/>
      <c r="R6" s="194" t="b">
        <f>I5=""</f>
        <v>1</v>
      </c>
      <c r="T6" s="196" t="str">
        <f>IF(T1=0,"","% view" )</f>
        <v/>
      </c>
      <c r="U6" s="48"/>
      <c r="V6" s="197" t="b">
        <f ca="1">codes!I20=FALSE</f>
        <v>0</v>
      </c>
      <c r="W6" s="197" t="s">
        <v>420</v>
      </c>
      <c r="X6" s="197"/>
      <c r="AA6" s="1223" t="s">
        <v>237</v>
      </c>
      <c r="AE6" s="1281">
        <f>data!B7</f>
        <v>46478</v>
      </c>
      <c r="AG6" s="197"/>
      <c r="AH6" s="397">
        <f>calc1!$H$135</f>
        <v>0</v>
      </c>
      <c r="AI6" s="397">
        <f>calc2!$H$135</f>
        <v>0</v>
      </c>
      <c r="AM6" s="400">
        <f t="shared" si="1"/>
        <v>0</v>
      </c>
      <c r="AN6" s="400">
        <f t="shared" si="1"/>
        <v>0</v>
      </c>
    </row>
    <row r="7" spans="1:44" ht="18" customHeight="1" x14ac:dyDescent="0.35">
      <c r="A7" s="163"/>
      <c r="B7" s="171"/>
      <c r="C7" s="186"/>
      <c r="D7" s="1749" t="str">
        <f>"Revised RV at "&amp;TEXT(text!B9,"dd/mm/yyyy")</f>
        <v>Revised RV at 01/04/2023</v>
      </c>
      <c r="E7" s="211"/>
      <c r="F7" s="211"/>
      <c r="G7" s="211"/>
      <c r="H7" s="1751" t="str">
        <f>IF(AND(I6&lt;&gt;"",I7=""),"&gt;",IF(AA7&lt;&gt;"","TC BL £ "&amp;TEXT(AA8,"#,##0.00"),""))</f>
        <v/>
      </c>
      <c r="I7" s="213"/>
      <c r="J7" s="188"/>
      <c r="K7" s="172"/>
      <c r="L7" s="166"/>
      <c r="M7" s="173"/>
      <c r="N7" s="163"/>
      <c r="O7" s="206" t="str">
        <f>T5&amp;T6</f>
        <v/>
      </c>
      <c r="P7" s="163"/>
      <c r="Q7" s="163"/>
      <c r="R7" s="194" t="b">
        <f>AND(R6=FALSE,I6="")</f>
        <v>0</v>
      </c>
      <c r="T7" s="198" t="s">
        <v>842</v>
      </c>
      <c r="U7" s="48"/>
      <c r="V7" s="197" t="b">
        <f>calc1!A99=FALSE</f>
        <v>0</v>
      </c>
      <c r="W7" s="197" t="str">
        <f>calc1!D100&amp; " (See the Tick Boxes on Row 12)"</f>
        <v>Retail Relief can't apply on an Empty Property (See the Tick Boxes on Row 12)</v>
      </c>
      <c r="X7" s="197"/>
      <c r="AA7" s="1227"/>
      <c r="AG7" s="197"/>
      <c r="AH7" s="397"/>
      <c r="AI7" s="397"/>
    </row>
    <row r="8" spans="1:44" x14ac:dyDescent="0.35">
      <c r="A8" s="163"/>
      <c r="B8" s="171"/>
      <c r="C8" s="186"/>
      <c r="D8" s="214" t="s">
        <v>833</v>
      </c>
      <c r="E8" s="215"/>
      <c r="F8" s="215"/>
      <c r="G8" s="215"/>
      <c r="H8" s="215"/>
      <c r="I8" s="216">
        <f>text!B9</f>
        <v>45017</v>
      </c>
      <c r="J8" s="188"/>
      <c r="K8" s="172"/>
      <c r="L8" s="166"/>
      <c r="M8" s="173"/>
      <c r="N8" s="163"/>
      <c r="O8" s="163"/>
      <c r="P8" s="163"/>
      <c r="Q8" s="163"/>
      <c r="R8" s="194" t="b">
        <f>AND(R6=FALSE,R7=FALSE,I7="")</f>
        <v>0</v>
      </c>
      <c r="V8" s="197" t="b">
        <f>calc1!A107=FALSE</f>
        <v>0</v>
      </c>
      <c r="W8" s="197" t="str">
        <f>calc1!D108</f>
        <v>Charitable Relief can't apply with SBRR, or on an Empty Property</v>
      </c>
      <c r="X8" s="197"/>
      <c r="AA8" s="1222">
        <f>AA7*data!C52</f>
        <v>0</v>
      </c>
      <c r="AG8" s="197"/>
      <c r="AH8" s="397"/>
      <c r="AI8" s="397"/>
    </row>
    <row r="9" spans="1:44" ht="20.25" customHeight="1" x14ac:dyDescent="0.35">
      <c r="A9" s="163"/>
      <c r="B9" s="171"/>
      <c r="C9" s="186"/>
      <c r="D9" s="1752" t="str">
        <f>IF(AA7&lt;&gt;"","TC Value of "&amp;TEXT(AA7,"#,###")&amp;" will be used in the REVISED calculation","")</f>
        <v/>
      </c>
      <c r="E9" s="1228"/>
      <c r="F9" s="1228"/>
      <c r="G9" s="232"/>
      <c r="H9" s="1229"/>
      <c r="I9" s="222" t="str">
        <f>IF(AA7&lt;&gt;"",text!C59,"")</f>
        <v/>
      </c>
      <c r="J9" s="188"/>
      <c r="K9" s="172"/>
      <c r="L9" s="166"/>
      <c r="M9" s="173"/>
      <c r="N9" s="163"/>
      <c r="O9" s="163"/>
      <c r="P9" s="163"/>
      <c r="Q9" s="163"/>
      <c r="R9" s="194"/>
      <c r="S9" s="194"/>
      <c r="V9" s="197" t="b">
        <f>AND(W23=TRUE,W21=TRUE)</f>
        <v>0</v>
      </c>
      <c r="W9" s="197" t="str">
        <f>"SBRR can't apply on an Empty Property"&amp; " (See the Tick Boxes on Row 12)"</f>
        <v>SBRR can't apply on an Empty Property (See the Tick Boxes on Row 12)</v>
      </c>
      <c r="X9" s="197"/>
      <c r="AA9" s="187" t="str">
        <f>IF(AA7="","TC?","&lt; clr")</f>
        <v>TC?</v>
      </c>
      <c r="AG9" s="197"/>
      <c r="AH9" s="397"/>
      <c r="AI9" s="397"/>
    </row>
    <row r="10" spans="1:44" ht="16.5" customHeight="1" x14ac:dyDescent="0.35">
      <c r="A10" s="163"/>
      <c r="B10" s="171"/>
      <c r="C10" s="186"/>
      <c r="D10" s="1749" t="str">
        <f>VLOOKUP(TRUE,V40:W44,2,FALSE)</f>
        <v/>
      </c>
      <c r="E10" s="211"/>
      <c r="F10" s="211"/>
      <c r="G10" s="211"/>
      <c r="H10" s="211"/>
      <c r="I10" s="2363" t="str">
        <f>IF(R5=TRUE,calc1!B165,"")</f>
        <v/>
      </c>
      <c r="J10" s="188"/>
      <c r="K10" s="172"/>
      <c r="L10" s="166"/>
      <c r="M10" s="173"/>
      <c r="N10" s="163"/>
      <c r="O10" s="163"/>
      <c r="P10" s="163"/>
      <c r="Q10" s="163"/>
      <c r="R10" s="391" t="b">
        <f>global!G14&lt;=authorities!U1</f>
        <v>1</v>
      </c>
      <c r="S10" s="392" t="s">
        <v>1353</v>
      </c>
      <c r="T10" s="197"/>
      <c r="V10" s="197" t="b">
        <f>S24&lt;&gt;TRUE</f>
        <v>0</v>
      </c>
      <c r="W10" s="197" t="s">
        <v>863</v>
      </c>
      <c r="X10" s="197"/>
      <c r="AA10" s="1237" t="b">
        <f>AND(W21=FALSE,W22=FALSE,AA11=TRUE)</f>
        <v>1</v>
      </c>
      <c r="AB10" s="187" t="s">
        <v>347</v>
      </c>
      <c r="AG10" s="197"/>
      <c r="AH10" s="397"/>
      <c r="AI10" s="397"/>
    </row>
    <row r="11" spans="1:44" ht="16.5" customHeight="1" x14ac:dyDescent="0.35">
      <c r="A11" s="163"/>
      <c r="B11" s="171"/>
      <c r="C11" s="186"/>
      <c r="D11" s="1753" t="str">
        <f ca="1">VLOOKUP(TRUE,V6:W16,2,FALSE)</f>
        <v>Please Enter the RV's Where Indicated Above</v>
      </c>
      <c r="E11" s="187"/>
      <c r="F11" s="187"/>
      <c r="G11" s="187"/>
      <c r="H11" s="187"/>
      <c r="I11" s="187"/>
      <c r="J11" s="188"/>
      <c r="K11" s="172"/>
      <c r="L11" s="166"/>
      <c r="M11" s="173"/>
      <c r="N11" s="163"/>
      <c r="O11" s="163"/>
      <c r="P11" s="163"/>
      <c r="Q11" s="163"/>
      <c r="R11" s="194" t="b">
        <f>AND(I5&lt;&gt;"",I5&lt;&gt;0,calc1!D149=TRUE,W21=FALSE,W22=FALSE)</f>
        <v>0</v>
      </c>
      <c r="S11" s="194" t="s">
        <v>2827</v>
      </c>
      <c r="V11" s="197" t="b">
        <f>S25&lt;&gt;TRUE</f>
        <v>0</v>
      </c>
      <c r="W11" s="197" t="s">
        <v>864</v>
      </c>
      <c r="X11" s="197"/>
      <c r="AA11" s="1237" t="b">
        <f>OR(AA12&lt;=15000,I5&lt;=15000)</f>
        <v>1</v>
      </c>
      <c r="AB11" s="187" t="s">
        <v>348</v>
      </c>
      <c r="AG11" s="197"/>
      <c r="AH11" s="397"/>
      <c r="AI11" s="397"/>
    </row>
    <row r="12" spans="1:44" ht="21" customHeight="1" x14ac:dyDescent="0.35">
      <c r="A12" s="163"/>
      <c r="B12" s="171"/>
      <c r="C12" s="186"/>
      <c r="D12" s="178" t="str">
        <f>IF(W21=TRUE,"  Empty - y","  Empty - n")</f>
        <v xml:space="preserve">  Empty - n</v>
      </c>
      <c r="E12" s="179"/>
      <c r="F12" s="179" t="str">
        <f>IF(W22=TRUE,"   Charity - y","   Charity - n")</f>
        <v xml:space="preserve">   Charity - n</v>
      </c>
      <c r="G12" s="179"/>
      <c r="H12" s="179" t="str">
        <f>IF(AND(W23=TRUE,S16=FALSE),"   SBRR - n",IF(W23=TRUE,"   SBRR - y","   SBRR - n"))</f>
        <v xml:space="preserve">   SBRR - n</v>
      </c>
      <c r="I12" s="180" t="str">
        <f>IF(AND(W24=TRUE,S17=FALSE),"        RV too high",IF(W24=TRUE,"   RHL - y","   RHL - n"))</f>
        <v xml:space="preserve">   RHL - n</v>
      </c>
      <c r="J12" s="188"/>
      <c r="K12" s="1201"/>
      <c r="L12" s="166"/>
      <c r="M12" s="173"/>
      <c r="N12" s="163"/>
      <c r="O12" s="163"/>
      <c r="P12" s="163"/>
      <c r="Q12" s="163"/>
      <c r="R12" s="391" t="b">
        <f ca="1">OR(calc1!B91=TRUE,calc2!B91=TRUE)</f>
        <v>0</v>
      </c>
      <c r="S12" s="392" t="s">
        <v>1064</v>
      </c>
      <c r="T12" s="197"/>
      <c r="V12" s="197" t="b">
        <f>OR(R6=TRUE,R7=TRUE,R8=TRUE)</f>
        <v>1</v>
      </c>
      <c r="W12" s="197" t="s">
        <v>1226</v>
      </c>
      <c r="X12" s="197"/>
      <c r="AA12" s="1900">
        <f>IF(AA7="",20000,AA7)</f>
        <v>20000</v>
      </c>
      <c r="AB12" s="187" t="s">
        <v>349</v>
      </c>
      <c r="AG12" s="1203" t="s">
        <v>188</v>
      </c>
      <c r="AH12" s="1222">
        <f>SUM(AH2:AH11)</f>
        <v>0</v>
      </c>
      <c r="AI12" s="1222">
        <f>SUM(AI2:AI11)</f>
        <v>0</v>
      </c>
    </row>
    <row r="13" spans="1:44" ht="21" customHeight="1" x14ac:dyDescent="0.35">
      <c r="A13" s="163"/>
      <c r="B13" s="171"/>
      <c r="C13" s="186"/>
      <c r="D13" s="1754"/>
      <c r="E13" s="1754"/>
      <c r="F13" s="1754"/>
      <c r="G13" s="2301" t="str">
        <f>IF(AND(I5&lt;&gt;"",I5&lt;&gt;0,calc1!D149=TRUE,W21=FALSE,W22=FALSE),"SSBR might apply. Click '?' For help &gt;","")</f>
        <v/>
      </c>
      <c r="H13" s="1914"/>
      <c r="I13" s="2399" t="str">
        <f>IF(OR(W25=TRUE,W26=TRUE),"ssbr in 22/23?","")</f>
        <v/>
      </c>
      <c r="J13" s="188"/>
      <c r="K13" s="172"/>
      <c r="L13" s="166"/>
      <c r="M13" s="173"/>
      <c r="N13" s="163"/>
      <c r="O13" s="163"/>
      <c r="P13" s="163"/>
      <c r="Q13" s="163"/>
      <c r="R13" s="391"/>
      <c r="S13" s="392"/>
      <c r="V13" s="197" t="b">
        <f>R10=FALSE</f>
        <v>0</v>
      </c>
      <c r="W13" s="197" t="s">
        <v>2105</v>
      </c>
      <c r="X13" s="197"/>
    </row>
    <row r="14" spans="1:44" ht="21" customHeight="1" x14ac:dyDescent="0.35">
      <c r="A14" s="163"/>
      <c r="B14" s="171"/>
      <c r="C14" s="186"/>
      <c r="D14" s="209" t="s">
        <v>831</v>
      </c>
      <c r="E14" s="210" t="str">
        <f>calc1!D40</f>
        <v>ta</v>
      </c>
      <c r="F14" s="210" t="str">
        <f>"Original "&amp;X21</f>
        <v>Original Liability</v>
      </c>
      <c r="G14" s="210" t="str">
        <f>calc2!D40</f>
        <v>ta</v>
      </c>
      <c r="H14" s="210" t="str">
        <f>"Revised "&amp;X21</f>
        <v>Revised Liability</v>
      </c>
      <c r="I14" s="210" t="s">
        <v>839</v>
      </c>
      <c r="J14" s="188"/>
      <c r="K14" s="172"/>
      <c r="L14" s="166"/>
      <c r="M14" s="173"/>
      <c r="N14" s="163"/>
      <c r="O14" s="163"/>
      <c r="P14" s="163"/>
      <c r="Q14" s="163"/>
      <c r="R14" s="194"/>
      <c r="S14" s="194" t="str">
        <f ca="1">IF(R12=FALSE,"other relief","relief entered")</f>
        <v>other relief</v>
      </c>
      <c r="V14" s="1237" t="b">
        <v>0</v>
      </c>
      <c r="W14" s="197" t="s">
        <v>1350</v>
      </c>
      <c r="X14" s="197"/>
      <c r="AA14" s="197" t="str">
        <f>UPPER(E14)&amp;"    Original"</f>
        <v>TA    Original</v>
      </c>
      <c r="AB14" s="197" t="str">
        <f>UPPER(G14)&amp;" Revised"</f>
        <v>TA Revised</v>
      </c>
      <c r="AH14" s="187" t="s">
        <v>221</v>
      </c>
      <c r="AJ14" s="187" t="s">
        <v>222</v>
      </c>
      <c r="AM14" s="187" t="s">
        <v>180</v>
      </c>
      <c r="AN14" s="187" t="s">
        <v>181</v>
      </c>
      <c r="AP14" s="187" t="s">
        <v>2160</v>
      </c>
      <c r="AQ14" s="187" t="s">
        <v>238</v>
      </c>
      <c r="AR14" s="187" t="s">
        <v>239</v>
      </c>
    </row>
    <row r="15" spans="1:44" ht="21.75" customHeight="1" x14ac:dyDescent="0.35">
      <c r="A15" s="163"/>
      <c r="B15" s="1755" t="str">
        <f>IF(OR($AH2&gt;0,$AI2&gt;0),IF($AG$2&lt;&gt;"",$AG$2&amp;" ","Other Relief "),"")</f>
        <v/>
      </c>
      <c r="C15" s="186"/>
      <c r="D15" s="220" t="str">
        <f>text!F9</f>
        <v xml:space="preserve">2023/24 </v>
      </c>
      <c r="E15" s="221" t="str">
        <f>IF(calc1!$D$38=TRUE,"*","")</f>
        <v/>
      </c>
      <c r="F15" s="222">
        <f ca="1">calc1!$D$92*$V$30*$AQ15</f>
        <v>0</v>
      </c>
      <c r="G15" s="221" t="str">
        <f>IF(calc2!$D$38=TRUE,"*","")</f>
        <v/>
      </c>
      <c r="H15" s="222">
        <f ca="1">calc2!$D$92*$V$30*$AR15</f>
        <v>0</v>
      </c>
      <c r="I15" s="223">
        <f t="shared" ref="I15:I20" ca="1" si="2">(F15-H15)*$V$36</f>
        <v>0</v>
      </c>
      <c r="J15" s="189"/>
      <c r="K15" s="172"/>
      <c r="L15" s="166"/>
      <c r="M15" s="173"/>
      <c r="N15" s="163"/>
      <c r="O15" s="163"/>
      <c r="P15" s="163"/>
      <c r="Q15" s="163"/>
      <c r="R15" s="194"/>
      <c r="S15" s="194"/>
      <c r="V15" s="197" t="b">
        <f>AND(W21=TRUE,W26=TRUE)</f>
        <v>0</v>
      </c>
      <c r="W15" s="197" t="s">
        <v>1697</v>
      </c>
      <c r="X15" s="197"/>
      <c r="AH15" s="197" t="b">
        <f ca="1">calc1!$D$96&gt;0.01</f>
        <v>0</v>
      </c>
      <c r="AI15" s="197" t="b">
        <f ca="1">calc2!$D$96&gt;0.01</f>
        <v>0</v>
      </c>
      <c r="AJ15" s="197" t="b">
        <f>calc1!D132&gt;0</f>
        <v>0</v>
      </c>
      <c r="AK15" s="197" t="b">
        <f>calc2!D125&gt;0</f>
        <v>0</v>
      </c>
      <c r="AM15" s="1239">
        <v>10</v>
      </c>
      <c r="AN15" s="1239">
        <v>10</v>
      </c>
      <c r="AP15" s="187" t="b">
        <f>data!G13</f>
        <v>1</v>
      </c>
      <c r="AQ15" s="187" t="b">
        <f>I6&lt;&gt;""</f>
        <v>0</v>
      </c>
      <c r="AR15" s="187" t="b">
        <f>I7&lt;&gt;""</f>
        <v>0</v>
      </c>
    </row>
    <row r="16" spans="1:44" ht="18" customHeight="1" x14ac:dyDescent="0.35">
      <c r="A16" s="163"/>
      <c r="B16" s="1755" t="str">
        <f>IF(OR($AH3&gt;0,$AI3&gt;0),IF($AG$2&lt;&gt;"",$AG$2&amp;" ","Other Relief "),"")</f>
        <v/>
      </c>
      <c r="C16" s="186"/>
      <c r="D16" s="220" t="str">
        <f>text!F10</f>
        <v xml:space="preserve">2024/25 </v>
      </c>
      <c r="E16" s="221" t="str">
        <f>IF(calc1!$E$38=TRUE,"*","")</f>
        <v/>
      </c>
      <c r="F16" s="222">
        <f ca="1">calc1!$E$92*$V$30*$AQ16</f>
        <v>0</v>
      </c>
      <c r="G16" s="221" t="str">
        <f>IF(calc2!$E$38=TRUE,"*","")</f>
        <v/>
      </c>
      <c r="H16" s="222">
        <f ca="1">calc2!$E$92*$V$30*$AR16</f>
        <v>0</v>
      </c>
      <c r="I16" s="223">
        <f t="shared" ca="1" si="2"/>
        <v>0</v>
      </c>
      <c r="J16" s="188"/>
      <c r="K16" s="172"/>
      <c r="L16" s="166"/>
      <c r="M16" s="173"/>
      <c r="N16" s="163"/>
      <c r="O16" s="163"/>
      <c r="P16" s="163"/>
      <c r="Q16" s="163"/>
      <c r="R16" s="194" t="s">
        <v>861</v>
      </c>
      <c r="S16" s="194" t="b">
        <f>OR(AND(I6&lt;&gt;"",I6&lt;=data!D33,W21=FALSE,W22=FALSE),AND(I7&lt;&gt;"",I7&lt;=data!D33,W21=FALSE,W22=FALSE))</f>
        <v>0</v>
      </c>
      <c r="V16" s="197" t="b">
        <v>1</v>
      </c>
      <c r="W16" s="199" t="s">
        <v>836</v>
      </c>
      <c r="X16" s="197" t="s">
        <v>837</v>
      </c>
      <c r="AH16" s="197" t="b">
        <f ca="1">calc1!$E$96&gt;0.01</f>
        <v>0</v>
      </c>
      <c r="AI16" s="197" t="b">
        <f ca="1">calc2!$E$96&gt;0.01</f>
        <v>0</v>
      </c>
      <c r="AJ16" s="197" t="b">
        <f>calc1!E132&gt;0</f>
        <v>0</v>
      </c>
      <c r="AK16" s="197" t="b">
        <f>calc2!E125&gt;0</f>
        <v>0</v>
      </c>
      <c r="AM16" s="1239">
        <v>10</v>
      </c>
      <c r="AN16" s="1239">
        <v>10</v>
      </c>
      <c r="AP16" s="187" t="b">
        <f>data!G14</f>
        <v>1</v>
      </c>
      <c r="AQ16" s="187" t="b">
        <f t="shared" ref="AQ16:AR20" si="3">AQ15</f>
        <v>0</v>
      </c>
      <c r="AR16" s="187" t="b">
        <f t="shared" si="3"/>
        <v>0</v>
      </c>
    </row>
    <row r="17" spans="1:44" ht="18" customHeight="1" thickBot="1" x14ac:dyDescent="0.4">
      <c r="A17" s="163"/>
      <c r="B17" s="1755" t="str">
        <f>IF(OR($AH4&gt;0,$AI4&gt;0),IF($AG$2&lt;&gt;"",$AG$2&amp;" ","Other Relief "),"")</f>
        <v/>
      </c>
      <c r="C17" s="186"/>
      <c r="D17" s="220" t="str">
        <f>text!F11</f>
        <v xml:space="preserve">2025/26 </v>
      </c>
      <c r="E17" s="221" t="str">
        <f>IF(calc1!$F$38=TRUE,"*","")</f>
        <v/>
      </c>
      <c r="F17" s="222">
        <f ca="1">calc1!$F$92*$V$30*$AQ17</f>
        <v>0</v>
      </c>
      <c r="G17" s="221" t="str">
        <f>IF(calc2!$F$38=TRUE,"*","")</f>
        <v/>
      </c>
      <c r="H17" s="222">
        <f ca="1">calc2!$F$92*$V$30*$AR17</f>
        <v>0</v>
      </c>
      <c r="I17" s="223">
        <f t="shared" ca="1" si="2"/>
        <v>0</v>
      </c>
      <c r="J17" s="188"/>
      <c r="K17" s="172"/>
      <c r="L17" s="167"/>
      <c r="M17" s="173"/>
      <c r="N17" s="163"/>
      <c r="O17" s="163"/>
      <c r="P17" s="163"/>
      <c r="Q17" s="163"/>
      <c r="R17" s="194" t="s">
        <v>868</v>
      </c>
      <c r="S17" s="194" t="b">
        <f>OR(I6&lt;T17,I7&lt;T17)</f>
        <v>1</v>
      </c>
      <c r="T17" s="187">
        <f>MAX(data!C63:C70)</f>
        <v>1000000000000</v>
      </c>
      <c r="AH17" s="197" t="b">
        <f ca="1">calc1!$F$96&gt;0.01</f>
        <v>0</v>
      </c>
      <c r="AI17" s="197" t="b">
        <f ca="1">calc2!$F$96&gt;0.01</f>
        <v>0</v>
      </c>
      <c r="AJ17" s="197" t="b">
        <f>calc1!F132&gt;0</f>
        <v>0</v>
      </c>
      <c r="AK17" s="197" t="b">
        <f>calc2!F125&gt;0</f>
        <v>0</v>
      </c>
      <c r="AM17" s="1239">
        <v>10</v>
      </c>
      <c r="AN17" s="1239">
        <v>10</v>
      </c>
      <c r="AP17" s="187" t="b">
        <f>data!G15</f>
        <v>1</v>
      </c>
      <c r="AQ17" s="187" t="b">
        <f t="shared" si="3"/>
        <v>0</v>
      </c>
      <c r="AR17" s="187" t="b">
        <f t="shared" si="3"/>
        <v>0</v>
      </c>
    </row>
    <row r="18" spans="1:44" ht="18" hidden="1" customHeight="1" x14ac:dyDescent="0.35">
      <c r="A18" s="163"/>
      <c r="B18" s="171"/>
      <c r="C18" s="186"/>
      <c r="D18" s="220" t="str">
        <f>text!F12</f>
        <v xml:space="preserve">2026/27 </v>
      </c>
      <c r="E18" s="221" t="str">
        <f>IF(calc1!$G$38=TRUE,"*","")</f>
        <v/>
      </c>
      <c r="F18" s="222">
        <f ca="1">calc1!$G$92*$V$30*$AQ18</f>
        <v>0</v>
      </c>
      <c r="G18" s="221" t="str">
        <f>IF(calc2!$G$38=TRUE,"*","")</f>
        <v/>
      </c>
      <c r="H18" s="222">
        <f ca="1">calc2!$G$92*$V$30*$AR18</f>
        <v>0</v>
      </c>
      <c r="I18" s="223">
        <f t="shared" ca="1" si="2"/>
        <v>0</v>
      </c>
      <c r="J18" s="188"/>
      <c r="K18" s="172"/>
      <c r="L18" s="172"/>
      <c r="M18" s="173"/>
      <c r="N18" s="163"/>
      <c r="O18" s="163"/>
      <c r="P18" s="163"/>
      <c r="Q18" s="163"/>
      <c r="R18" s="194"/>
      <c r="S18" s="194"/>
      <c r="AH18" s="197" t="b">
        <f ca="1">calc1!G96&gt;0</f>
        <v>0</v>
      </c>
      <c r="AI18" s="197" t="b">
        <f ca="1">calc2!H96&gt;0</f>
        <v>0</v>
      </c>
      <c r="AJ18" s="197" t="b">
        <f>calc1!G132&gt;0</f>
        <v>0</v>
      </c>
      <c r="AK18" s="197" t="b">
        <f>calc2!G125&gt;0</f>
        <v>0</v>
      </c>
      <c r="AP18" s="187" t="b">
        <f>data!G16</f>
        <v>0</v>
      </c>
      <c r="AQ18" s="187" t="b">
        <f t="shared" si="3"/>
        <v>0</v>
      </c>
      <c r="AR18" s="187" t="b">
        <f t="shared" si="3"/>
        <v>0</v>
      </c>
    </row>
    <row r="19" spans="1:44" ht="18" hidden="1" customHeight="1" x14ac:dyDescent="0.35">
      <c r="A19" s="163"/>
      <c r="B19" s="171"/>
      <c r="C19" s="186"/>
      <c r="D19" s="220" t="str">
        <f>text!F13</f>
        <v xml:space="preserve">2027/28 </v>
      </c>
      <c r="E19" s="221" t="str">
        <f>IF(calc1!$H$38=TRUE,"*","")</f>
        <v/>
      </c>
      <c r="F19" s="222">
        <f ca="1">calc1!$H$92*$V$30*$AQ19</f>
        <v>0</v>
      </c>
      <c r="G19" s="221" t="str">
        <f>IF(calc2!$H$38=TRUE,"*","")</f>
        <v/>
      </c>
      <c r="H19" s="222">
        <f ca="1">calc2!$H$92*$V$30*$AR19</f>
        <v>0</v>
      </c>
      <c r="I19" s="223">
        <f t="shared" ca="1" si="2"/>
        <v>0</v>
      </c>
      <c r="J19" s="188"/>
      <c r="K19" s="172"/>
      <c r="L19" s="172"/>
      <c r="M19" s="173"/>
      <c r="N19" s="163"/>
      <c r="O19" s="163"/>
      <c r="P19" s="163"/>
      <c r="Q19" s="163"/>
      <c r="R19" s="194"/>
      <c r="S19" s="194"/>
      <c r="V19" s="187" t="s">
        <v>333</v>
      </c>
      <c r="W19" s="200"/>
      <c r="AA19" s="187" t="s">
        <v>1363</v>
      </c>
      <c r="AD19" s="187" t="s">
        <v>2102</v>
      </c>
      <c r="AH19" s="197" t="b">
        <f ca="1">calc1!H96&gt;0</f>
        <v>0</v>
      </c>
      <c r="AI19" s="197" t="b">
        <f ca="1">calc2!I96&gt;0</f>
        <v>0</v>
      </c>
      <c r="AJ19" s="197" t="b">
        <f>calc1!H132&gt;0</f>
        <v>0</v>
      </c>
      <c r="AK19" s="197" t="b">
        <f>calc2!H125&gt;0</f>
        <v>0</v>
      </c>
      <c r="AP19" s="187" t="b">
        <f>data!G17</f>
        <v>0</v>
      </c>
      <c r="AQ19" s="187" t="b">
        <f t="shared" si="3"/>
        <v>0</v>
      </c>
      <c r="AR19" s="187" t="b">
        <f t="shared" si="3"/>
        <v>0</v>
      </c>
    </row>
    <row r="20" spans="1:44" ht="18" hidden="1" customHeight="1" x14ac:dyDescent="0.35">
      <c r="A20" s="163"/>
      <c r="B20" s="171"/>
      <c r="C20" s="186"/>
      <c r="D20" s="220" t="str">
        <f>text!F14</f>
        <v xml:space="preserve">2028/29 </v>
      </c>
      <c r="E20" s="221" t="str">
        <f>IF(calc1!$I$38=TRUE,"*","")</f>
        <v/>
      </c>
      <c r="F20" s="222">
        <f ca="1">calc1!$I$92*$V$30*$AQ20</f>
        <v>0</v>
      </c>
      <c r="G20" s="221" t="str">
        <f>IF(calc2!$I$38=TRUE,"*","")</f>
        <v/>
      </c>
      <c r="H20" s="222">
        <f ca="1">calc2!$I$92*$V$30*$AR20</f>
        <v>0</v>
      </c>
      <c r="I20" s="223">
        <f t="shared" ca="1" si="2"/>
        <v>0</v>
      </c>
      <c r="J20" s="188"/>
      <c r="K20" s="172"/>
      <c r="L20" s="172"/>
      <c r="M20" s="173"/>
      <c r="N20" s="163"/>
      <c r="O20" s="163"/>
      <c r="P20" s="163"/>
      <c r="Q20" s="163"/>
      <c r="R20" s="194" t="s">
        <v>2164</v>
      </c>
      <c r="S20" s="1220" t="b">
        <v>1</v>
      </c>
      <c r="W20" s="200"/>
      <c r="AH20" s="197"/>
      <c r="AI20" s="197"/>
      <c r="AJ20" s="197"/>
      <c r="AK20" s="197"/>
      <c r="AP20" s="187" t="b">
        <f>data!G18</f>
        <v>0</v>
      </c>
      <c r="AQ20" s="187" t="b">
        <f t="shared" si="3"/>
        <v>0</v>
      </c>
      <c r="AR20" s="187" t="b">
        <f t="shared" si="3"/>
        <v>0</v>
      </c>
    </row>
    <row r="21" spans="1:44" ht="22.5" customHeight="1" thickBot="1" x14ac:dyDescent="0.4">
      <c r="A21" s="163"/>
      <c r="B21" s="171"/>
      <c r="C21" s="186"/>
      <c r="D21" s="224" t="s">
        <v>835</v>
      </c>
      <c r="E21" s="225"/>
      <c r="F21" s="226">
        <f ca="1">SUM(F15:F20)</f>
        <v>0</v>
      </c>
      <c r="G21" s="225"/>
      <c r="H21" s="226">
        <f ca="1">SUM(H15:H20)</f>
        <v>0</v>
      </c>
      <c r="I21" s="227">
        <f ca="1">SUM(I15:I20)</f>
        <v>0</v>
      </c>
      <c r="J21" s="188"/>
      <c r="K21" s="172"/>
      <c r="L21" s="172"/>
      <c r="M21" s="173"/>
      <c r="N21" s="163"/>
      <c r="O21" s="163"/>
      <c r="P21" s="163"/>
      <c r="Q21" s="163"/>
      <c r="R21" s="194"/>
      <c r="S21" s="194"/>
      <c r="V21" s="187" t="s">
        <v>317</v>
      </c>
      <c r="W21" s="164" t="b">
        <v>0</v>
      </c>
      <c r="X21" s="187" t="str">
        <f>IF(W21=TRUE,"Empty","Liability")</f>
        <v>Liability</v>
      </c>
      <c r="AA21" s="197" t="s">
        <v>1364</v>
      </c>
      <c r="AB21" s="197" t="s">
        <v>478</v>
      </c>
      <c r="AC21" s="400" t="s">
        <v>1365</v>
      </c>
      <c r="AD21" s="400" t="s">
        <v>444</v>
      </c>
      <c r="AE21" s="400" t="s">
        <v>65</v>
      </c>
      <c r="AF21" s="400" t="s">
        <v>2103</v>
      </c>
      <c r="AH21" s="197" t="b">
        <f ca="1">calc1!$G$96&gt;0.01</f>
        <v>0</v>
      </c>
      <c r="AI21" s="197" t="b">
        <f ca="1">calc2!$G$96&gt;0.01</f>
        <v>0</v>
      </c>
      <c r="AJ21" s="197" t="b">
        <f>calc1!I132&gt;0</f>
        <v>0</v>
      </c>
      <c r="AK21" s="197" t="b">
        <f>calc2!I125&gt;0</f>
        <v>0</v>
      </c>
    </row>
    <row r="22" spans="1:44" ht="16" thickTop="1" x14ac:dyDescent="0.35">
      <c r="A22" s="163"/>
      <c r="B22" s="171"/>
      <c r="C22" s="186"/>
      <c r="D22" s="1756" t="str">
        <f>VLOOKUP(global!D4,global!E4:G6,3,FALSE)</f>
        <v>England</v>
      </c>
      <c r="E22" s="86"/>
      <c r="F22" s="86"/>
      <c r="G22" s="86"/>
      <c r="H22" s="86"/>
      <c r="I22" s="357"/>
      <c r="J22" s="188"/>
      <c r="K22" s="172"/>
      <c r="L22" s="172"/>
      <c r="M22" s="173"/>
      <c r="N22" s="163"/>
      <c r="O22" s="163"/>
      <c r="P22" s="163"/>
      <c r="Q22" s="163"/>
      <c r="R22" s="194"/>
      <c r="S22" s="194"/>
      <c r="V22" s="187" t="s">
        <v>318</v>
      </c>
      <c r="W22" s="164" t="b">
        <v>0</v>
      </c>
      <c r="AA22" s="197" t="s">
        <v>1366</v>
      </c>
      <c r="AB22" s="197" t="str">
        <f>text!D29</f>
        <v>England7.xlsm</v>
      </c>
      <c r="AC22" s="400">
        <v>11</v>
      </c>
      <c r="AD22" s="400"/>
      <c r="AE22" s="400"/>
      <c r="AF22" s="400"/>
    </row>
    <row r="23" spans="1:44" x14ac:dyDescent="0.35">
      <c r="A23" s="163"/>
      <c r="B23" s="171"/>
      <c r="C23" s="186"/>
      <c r="D23" s="86"/>
      <c r="E23" s="86"/>
      <c r="F23" s="86"/>
      <c r="G23" s="86"/>
      <c r="H23" s="1757" t="str">
        <f>IF(V10=TRUE,"Error &gt;","First Day of Liability")</f>
        <v>First Day of Liability</v>
      </c>
      <c r="I23" s="234">
        <v>45017</v>
      </c>
      <c r="J23" s="188"/>
      <c r="K23" s="172"/>
      <c r="L23" s="172"/>
      <c r="M23" s="173"/>
      <c r="N23" s="163"/>
      <c r="O23" s="163"/>
      <c r="P23" s="163"/>
      <c r="Q23" s="163"/>
      <c r="R23" s="194"/>
      <c r="S23" s="194" t="s">
        <v>862</v>
      </c>
      <c r="V23" s="187" t="s">
        <v>319</v>
      </c>
      <c r="W23" s="164" t="b">
        <v>0</v>
      </c>
      <c r="AA23" s="197" t="s">
        <v>444</v>
      </c>
      <c r="AB23" s="197" t="s">
        <v>449</v>
      </c>
      <c r="AC23" s="400">
        <v>10</v>
      </c>
      <c r="AD23" s="400"/>
      <c r="AE23" s="400"/>
      <c r="AF23" s="400"/>
    </row>
    <row r="24" spans="1:44" x14ac:dyDescent="0.35">
      <c r="A24" s="163"/>
      <c r="B24" s="171"/>
      <c r="C24" s="186"/>
      <c r="D24" s="86"/>
      <c r="E24" s="86"/>
      <c r="F24" s="86"/>
      <c r="G24" s="86"/>
      <c r="H24" s="1757" t="str">
        <f>IF(V11=TRUE,"Error &gt;","Last Day of Liability")</f>
        <v>Last Day of Liability</v>
      </c>
      <c r="I24" s="234">
        <v>46112</v>
      </c>
      <c r="J24" s="188"/>
      <c r="K24" s="172"/>
      <c r="L24" s="172"/>
      <c r="M24" s="173"/>
      <c r="N24" s="163"/>
      <c r="O24" s="163"/>
      <c r="P24" s="163"/>
      <c r="Q24" s="163"/>
      <c r="R24" s="201">
        <f>text!C52</f>
        <v>45017</v>
      </c>
      <c r="S24" s="194" t="b">
        <f>AND(R24&lt;=I23,I23&lt;=R25)</f>
        <v>1</v>
      </c>
      <c r="V24" s="187" t="s">
        <v>379</v>
      </c>
      <c r="W24" s="164" t="b">
        <v>0</v>
      </c>
      <c r="AA24" s="197" t="s">
        <v>273</v>
      </c>
      <c r="AB24" s="197">
        <f>global!D4</f>
        <v>3</v>
      </c>
      <c r="AC24" s="400">
        <v>12</v>
      </c>
      <c r="AD24" s="400" t="s">
        <v>845</v>
      </c>
      <c r="AE24" s="400">
        <v>4</v>
      </c>
      <c r="AF24" s="400">
        <v>4</v>
      </c>
    </row>
    <row r="25" spans="1:44" x14ac:dyDescent="0.35">
      <c r="A25" s="163"/>
      <c r="B25" s="524" t="s">
        <v>760</v>
      </c>
      <c r="C25" s="186"/>
      <c r="D25" s="86"/>
      <c r="E25" s="86"/>
      <c r="F25" s="86"/>
      <c r="G25" s="86"/>
      <c r="H25" s="86"/>
      <c r="I25" s="86"/>
      <c r="J25" s="188"/>
      <c r="K25" s="172"/>
      <c r="L25" s="172"/>
      <c r="M25" s="173"/>
      <c r="N25" s="163"/>
      <c r="O25" s="163"/>
      <c r="P25" s="163"/>
      <c r="Q25" s="163"/>
      <c r="R25" s="201">
        <f>text!C53</f>
        <v>46112</v>
      </c>
      <c r="S25" s="194" t="b">
        <f>AND(R24&lt;=I24,I24&lt;=R25)</f>
        <v>1</v>
      </c>
      <c r="V25" s="187" t="s">
        <v>1715</v>
      </c>
      <c r="W25" s="164" t="b">
        <v>0</v>
      </c>
      <c r="AA25" s="197" t="s">
        <v>1367</v>
      </c>
      <c r="AB25" s="197">
        <f>global!G14</f>
        <v>1</v>
      </c>
      <c r="AC25" s="400">
        <v>13</v>
      </c>
      <c r="AD25" s="400" t="s">
        <v>845</v>
      </c>
      <c r="AE25" s="400">
        <v>14</v>
      </c>
      <c r="AF25" s="400">
        <v>7</v>
      </c>
    </row>
    <row r="26" spans="1:44" ht="18.75" customHeight="1" x14ac:dyDescent="0.35">
      <c r="A26" s="163"/>
      <c r="B26" s="171"/>
      <c r="C26" s="186"/>
      <c r="D26" s="203" t="str">
        <f>details!D12</f>
        <v>Enter Address Details</v>
      </c>
      <c r="E26" s="235"/>
      <c r="F26" s="235"/>
      <c r="G26" s="235"/>
      <c r="H26" s="235"/>
      <c r="I26" s="235"/>
      <c r="J26" s="188"/>
      <c r="K26" s="172"/>
      <c r="L26" s="172"/>
      <c r="M26" s="173"/>
      <c r="N26" s="163"/>
      <c r="O26" s="163"/>
      <c r="P26" s="163"/>
      <c r="Q26" s="163"/>
      <c r="R26" s="194"/>
      <c r="S26" s="194"/>
      <c r="V26" s="187" t="s">
        <v>2945</v>
      </c>
      <c r="W26" s="164" t="b">
        <v>0</v>
      </c>
      <c r="AA26" s="197" t="s">
        <v>1222</v>
      </c>
      <c r="AB26" s="396">
        <f>I5</f>
        <v>0</v>
      </c>
      <c r="AC26" s="400">
        <v>14</v>
      </c>
      <c r="AD26" s="400" t="s">
        <v>449</v>
      </c>
      <c r="AE26" s="400">
        <v>5</v>
      </c>
      <c r="AF26" s="400">
        <v>9</v>
      </c>
    </row>
    <row r="27" spans="1:44" x14ac:dyDescent="0.35">
      <c r="A27" s="163"/>
      <c r="B27" s="171"/>
      <c r="C27" s="186"/>
      <c r="D27" s="235"/>
      <c r="E27" s="235"/>
      <c r="F27" s="235"/>
      <c r="G27" s="235"/>
      <c r="H27" s="235"/>
      <c r="I27" s="235"/>
      <c r="J27" s="188"/>
      <c r="K27" s="172"/>
      <c r="L27" s="172"/>
      <c r="M27" s="173"/>
      <c r="N27" s="163"/>
      <c r="O27" s="163"/>
      <c r="P27" s="163"/>
      <c r="Q27" s="163"/>
      <c r="R27" s="194"/>
      <c r="S27" s="194"/>
      <c r="AA27" s="197" t="s">
        <v>1222</v>
      </c>
      <c r="AB27" s="396">
        <f>AB26</f>
        <v>0</v>
      </c>
      <c r="AC27" s="400">
        <v>15</v>
      </c>
      <c r="AD27" s="400" t="s">
        <v>449</v>
      </c>
      <c r="AE27" s="400">
        <v>5</v>
      </c>
      <c r="AF27" s="400">
        <v>9</v>
      </c>
    </row>
    <row r="28" spans="1:44" x14ac:dyDescent="0.35">
      <c r="A28" s="163"/>
      <c r="B28" s="171"/>
      <c r="C28" s="186"/>
      <c r="D28" s="86"/>
      <c r="E28" s="86"/>
      <c r="F28" s="86"/>
      <c r="G28" s="86"/>
      <c r="H28" s="86"/>
      <c r="I28" s="86"/>
      <c r="J28" s="188"/>
      <c r="K28" s="172"/>
      <c r="L28" s="172"/>
      <c r="M28" s="173"/>
      <c r="N28" s="163"/>
      <c r="O28" s="163"/>
      <c r="P28" s="163"/>
      <c r="Q28" s="163"/>
      <c r="R28" s="523" t="s">
        <v>215</v>
      </c>
      <c r="S28" s="164" t="b">
        <v>1</v>
      </c>
      <c r="V28" s="197" t="s">
        <v>840</v>
      </c>
      <c r="W28" s="202">
        <f>global!G14</f>
        <v>1</v>
      </c>
      <c r="AA28" s="197" t="s">
        <v>1223</v>
      </c>
      <c r="AB28" s="396">
        <f>I6</f>
        <v>0</v>
      </c>
      <c r="AC28" s="400">
        <v>16</v>
      </c>
      <c r="AD28" s="400" t="s">
        <v>449</v>
      </c>
      <c r="AE28" s="400">
        <v>6</v>
      </c>
      <c r="AF28" s="400">
        <v>9</v>
      </c>
    </row>
    <row r="29" spans="1:44" x14ac:dyDescent="0.35">
      <c r="A29" s="163"/>
      <c r="B29" s="171"/>
      <c r="C29" s="186"/>
      <c r="D29" s="86"/>
      <c r="E29" s="86"/>
      <c r="F29" s="86"/>
      <c r="G29" s="86"/>
      <c r="H29" s="86"/>
      <c r="I29" s="86"/>
      <c r="J29" s="188"/>
      <c r="K29" s="172"/>
      <c r="L29" s="208"/>
      <c r="M29" s="173"/>
      <c r="N29" s="163"/>
      <c r="O29" s="163"/>
      <c r="P29" s="163"/>
      <c r="Q29" s="163"/>
      <c r="R29" s="194"/>
      <c r="S29" s="194"/>
      <c r="AA29" s="197" t="s">
        <v>1224</v>
      </c>
      <c r="AB29" s="396">
        <f>I7</f>
        <v>0</v>
      </c>
      <c r="AC29" s="400">
        <v>17</v>
      </c>
      <c r="AD29" s="400" t="s">
        <v>449</v>
      </c>
      <c r="AE29" s="400">
        <v>7</v>
      </c>
      <c r="AF29" s="400">
        <v>9</v>
      </c>
    </row>
    <row r="30" spans="1:44" ht="16" thickBot="1" x14ac:dyDescent="0.4">
      <c r="A30" s="163"/>
      <c r="B30" s="171"/>
      <c r="C30" s="190"/>
      <c r="D30" s="236"/>
      <c r="E30" s="191"/>
      <c r="F30" s="236"/>
      <c r="G30" s="236"/>
      <c r="H30" s="236"/>
      <c r="I30" s="474"/>
      <c r="J30" s="192"/>
      <c r="K30" s="172"/>
      <c r="L30" s="172"/>
      <c r="M30" s="173"/>
      <c r="N30" s="163"/>
      <c r="O30" s="163"/>
      <c r="P30" s="163"/>
      <c r="Q30" s="163"/>
      <c r="R30" s="194"/>
      <c r="S30" s="194"/>
      <c r="V30" s="197" t="b">
        <f ca="1">V35+R10=2</f>
        <v>1</v>
      </c>
      <c r="W30" s="197" t="s">
        <v>869</v>
      </c>
      <c r="AA30" s="197" t="s">
        <v>317</v>
      </c>
      <c r="AB30" s="197" t="b">
        <f>W21</f>
        <v>0</v>
      </c>
      <c r="AC30" s="400">
        <v>22</v>
      </c>
      <c r="AD30" s="400" t="s">
        <v>449</v>
      </c>
      <c r="AE30" s="400">
        <v>20</v>
      </c>
      <c r="AF30" s="400">
        <v>23</v>
      </c>
    </row>
    <row r="31" spans="1:44" ht="21" customHeight="1" thickTop="1" x14ac:dyDescent="0.35">
      <c r="A31" s="163"/>
      <c r="B31" s="171"/>
      <c r="C31" s="237"/>
      <c r="D31" s="237"/>
      <c r="E31" s="237"/>
      <c r="F31" s="237"/>
      <c r="G31" s="237"/>
      <c r="H31" s="237"/>
      <c r="I31" s="238"/>
      <c r="J31" s="237"/>
      <c r="K31" s="172"/>
      <c r="L31" s="172"/>
      <c r="M31" s="173"/>
      <c r="N31" s="163"/>
      <c r="O31" s="163"/>
      <c r="P31" s="163"/>
      <c r="Q31" s="163"/>
      <c r="R31" s="194" t="s">
        <v>860</v>
      </c>
      <c r="S31" s="194"/>
      <c r="V31" s="197" t="b">
        <f>I5&lt;&gt;""</f>
        <v>0</v>
      </c>
      <c r="W31" s="197" t="s">
        <v>1222</v>
      </c>
      <c r="AA31" s="197" t="s">
        <v>318</v>
      </c>
      <c r="AB31" s="197" t="b">
        <f>W22</f>
        <v>0</v>
      </c>
      <c r="AC31" s="400">
        <v>20</v>
      </c>
      <c r="AD31" s="400" t="s">
        <v>449</v>
      </c>
      <c r="AE31" s="400">
        <v>21</v>
      </c>
      <c r="AF31" s="400">
        <v>23</v>
      </c>
    </row>
    <row r="32" spans="1:44" ht="24.75" customHeight="1" thickBot="1" x14ac:dyDescent="0.4">
      <c r="A32" s="163"/>
      <c r="B32" s="174"/>
      <c r="C32" s="175"/>
      <c r="D32" s="175"/>
      <c r="E32" s="175"/>
      <c r="F32" s="175"/>
      <c r="G32" s="175"/>
      <c r="H32" s="175"/>
      <c r="I32" s="175"/>
      <c r="J32" s="175"/>
      <c r="K32" s="175"/>
      <c r="L32" s="175"/>
      <c r="M32" s="176"/>
      <c r="N32" s="163"/>
      <c r="O32" s="163"/>
      <c r="P32" s="163"/>
      <c r="Q32" s="163"/>
      <c r="R32" s="194"/>
      <c r="S32" s="194"/>
      <c r="V32" s="197" t="b">
        <f>I6&lt;&gt;""</f>
        <v>0</v>
      </c>
      <c r="W32" s="197" t="s">
        <v>1223</v>
      </c>
      <c r="AA32" s="197" t="s">
        <v>319</v>
      </c>
      <c r="AB32" s="197" t="b">
        <f>W23</f>
        <v>0</v>
      </c>
      <c r="AC32" s="400">
        <v>18</v>
      </c>
      <c r="AD32" s="400" t="s">
        <v>449</v>
      </c>
      <c r="AE32" s="400">
        <v>22</v>
      </c>
      <c r="AF32" s="400">
        <v>23</v>
      </c>
    </row>
    <row r="33" spans="1:32" x14ac:dyDescent="0.35">
      <c r="A33" s="163"/>
      <c r="B33" s="163"/>
      <c r="C33" s="163"/>
      <c r="D33" s="163"/>
      <c r="E33" s="163"/>
      <c r="F33" s="163"/>
      <c r="G33" s="163"/>
      <c r="H33" s="163"/>
      <c r="I33" s="163"/>
      <c r="J33" s="163"/>
      <c r="K33" s="163"/>
      <c r="L33" s="163"/>
      <c r="M33" s="163"/>
      <c r="N33" s="163"/>
      <c r="O33" s="163"/>
      <c r="P33" s="163"/>
      <c r="Q33" s="163"/>
      <c r="R33" s="194" t="s">
        <v>1933</v>
      </c>
      <c r="S33" s="194" t="str">
        <f>"Effect on "&amp;text!F30</f>
        <v>Effect on 2026</v>
      </c>
      <c r="V33" s="197" t="b">
        <f>I7&lt;&gt;""</f>
        <v>0</v>
      </c>
      <c r="W33" s="197" t="s">
        <v>1224</v>
      </c>
      <c r="AA33" s="197" t="s">
        <v>379</v>
      </c>
      <c r="AB33" s="197" t="b">
        <f>W24</f>
        <v>0</v>
      </c>
      <c r="AC33" s="400">
        <v>23</v>
      </c>
      <c r="AD33" s="400" t="s">
        <v>449</v>
      </c>
      <c r="AE33" s="400">
        <v>23</v>
      </c>
      <c r="AF33" s="400">
        <v>23</v>
      </c>
    </row>
    <row r="34" spans="1:32" x14ac:dyDescent="0.35">
      <c r="A34" s="163"/>
      <c r="B34" s="163"/>
      <c r="C34" s="163"/>
      <c r="D34" s="163"/>
      <c r="E34" s="163"/>
      <c r="F34" s="163"/>
      <c r="G34" s="163"/>
      <c r="H34" s="163"/>
      <c r="I34" s="163"/>
      <c r="J34" s="163"/>
      <c r="K34" s="163"/>
      <c r="L34" s="163"/>
      <c r="M34" s="163"/>
      <c r="N34" s="163"/>
      <c r="O34" s="163"/>
      <c r="P34" s="163"/>
      <c r="Q34" s="163"/>
      <c r="R34" s="194"/>
      <c r="S34" s="194"/>
      <c r="V34" s="197"/>
      <c r="W34" s="197"/>
      <c r="AA34" s="197" t="s">
        <v>1371</v>
      </c>
      <c r="AB34" s="197" t="b">
        <f>W25</f>
        <v>0</v>
      </c>
      <c r="AC34" s="400">
        <v>35</v>
      </c>
      <c r="AD34" s="400" t="s">
        <v>449</v>
      </c>
      <c r="AE34" s="400">
        <v>24</v>
      </c>
      <c r="AF34" s="400">
        <v>23</v>
      </c>
    </row>
    <row r="35" spans="1:32" x14ac:dyDescent="0.35">
      <c r="A35" s="163"/>
      <c r="B35" s="163"/>
      <c r="C35" s="163"/>
      <c r="D35" s="163"/>
      <c r="E35" s="163"/>
      <c r="F35" s="163"/>
      <c r="G35" s="163"/>
      <c r="H35" s="163"/>
      <c r="I35" s="163"/>
      <c r="J35" s="163"/>
      <c r="K35" s="163"/>
      <c r="L35" s="163"/>
      <c r="M35" s="163"/>
      <c r="N35" s="163"/>
      <c r="O35" s="163"/>
      <c r="P35" s="163"/>
      <c r="Q35" s="163"/>
      <c r="R35" s="194" t="s">
        <v>2893</v>
      </c>
      <c r="S35" s="2365" t="str">
        <f>IF(R5=TRUE,"help &gt;",IF(R4="y","clr &gt;",""))</f>
        <v/>
      </c>
      <c r="V35" s="197" t="b">
        <f ca="1">V6+V7+V8+V9+V10+V11+V15=0</f>
        <v>1</v>
      </c>
      <c r="W35" s="197" t="s">
        <v>1225</v>
      </c>
      <c r="AA35" s="197" t="s">
        <v>1368</v>
      </c>
      <c r="AB35" s="397">
        <f>H9</f>
        <v>0</v>
      </c>
      <c r="AC35" s="400">
        <v>36</v>
      </c>
      <c r="AD35" s="400" t="s">
        <v>449</v>
      </c>
      <c r="AE35" s="400">
        <v>9</v>
      </c>
      <c r="AF35" s="400">
        <v>8</v>
      </c>
    </row>
    <row r="36" spans="1:32" x14ac:dyDescent="0.35">
      <c r="A36" s="163"/>
      <c r="B36" s="163"/>
      <c r="C36" s="163"/>
      <c r="D36" s="163"/>
      <c r="E36" s="163"/>
      <c r="F36" s="163"/>
      <c r="G36" s="163"/>
      <c r="H36" s="163"/>
      <c r="I36" s="163"/>
      <c r="J36" s="163"/>
      <c r="K36" s="163"/>
      <c r="L36" s="163"/>
      <c r="M36" s="163"/>
      <c r="N36" s="163"/>
      <c r="O36" s="163"/>
      <c r="P36" s="163"/>
      <c r="Q36" s="163"/>
      <c r="R36" s="194" t="s">
        <v>2893</v>
      </c>
      <c r="S36" s="2365" t="str">
        <f>IF(R5=TRUE,"&lt; ?",IF(R4="y","&lt; clr",""))</f>
        <v/>
      </c>
      <c r="V36" s="197" t="b">
        <f>V32+V33=2</f>
        <v>0</v>
      </c>
      <c r="W36" s="197" t="s">
        <v>1027</v>
      </c>
      <c r="AA36" s="197" t="s">
        <v>1369</v>
      </c>
      <c r="AB36" s="398">
        <f>I23</f>
        <v>45017</v>
      </c>
      <c r="AC36" s="400">
        <v>24</v>
      </c>
      <c r="AD36" s="400" t="s">
        <v>449</v>
      </c>
      <c r="AE36" s="400">
        <v>22</v>
      </c>
      <c r="AF36" s="400">
        <v>9</v>
      </c>
    </row>
    <row r="37" spans="1:32" x14ac:dyDescent="0.35">
      <c r="A37" s="163"/>
      <c r="B37" s="163"/>
      <c r="C37" s="163"/>
      <c r="D37" s="163"/>
      <c r="E37" s="163"/>
      <c r="F37" s="163"/>
      <c r="G37" s="163"/>
      <c r="H37" s="163"/>
      <c r="I37" s="163"/>
      <c r="J37" s="163"/>
      <c r="K37" s="163"/>
      <c r="L37" s="163"/>
      <c r="M37" s="163"/>
      <c r="N37" s="163"/>
      <c r="O37" s="163"/>
      <c r="P37" s="163"/>
      <c r="Q37" s="163"/>
      <c r="R37" s="187" t="s">
        <v>2896</v>
      </c>
      <c r="S37" s="187" t="b">
        <f>R3&lt;&gt;I5</f>
        <v>0</v>
      </c>
      <c r="AA37" s="197" t="s">
        <v>1370</v>
      </c>
      <c r="AB37" s="398">
        <f>I24</f>
        <v>46112</v>
      </c>
      <c r="AC37" s="400">
        <v>25</v>
      </c>
      <c r="AD37" s="400" t="s">
        <v>449</v>
      </c>
      <c r="AE37" s="400">
        <v>23</v>
      </c>
      <c r="AF37" s="400">
        <v>9</v>
      </c>
    </row>
    <row r="38" spans="1:32" x14ac:dyDescent="0.35">
      <c r="R38" s="187" t="s">
        <v>2923</v>
      </c>
      <c r="S38" s="187">
        <f>calc1!B166</f>
        <v>0</v>
      </c>
      <c r="AA38" s="197" t="s">
        <v>663</v>
      </c>
      <c r="AB38" s="197" t="str">
        <f>IF(details!D4="","",details!D4)</f>
        <v/>
      </c>
      <c r="AC38" s="400">
        <v>190</v>
      </c>
      <c r="AD38" s="400" t="s">
        <v>676</v>
      </c>
      <c r="AE38" s="400">
        <f>ROW(details!D4)</f>
        <v>4</v>
      </c>
      <c r="AF38" s="400">
        <v>4</v>
      </c>
    </row>
    <row r="39" spans="1:32" x14ac:dyDescent="0.35">
      <c r="V39" s="197" t="s">
        <v>2897</v>
      </c>
      <c r="W39" s="197" t="s">
        <v>2898</v>
      </c>
      <c r="AA39" s="197" t="s">
        <v>664</v>
      </c>
      <c r="AB39" s="197" t="str">
        <f>IF(details!D5="","",details!D5)</f>
        <v/>
      </c>
      <c r="AC39" s="400">
        <v>191</v>
      </c>
      <c r="AD39" s="400" t="s">
        <v>676</v>
      </c>
      <c r="AE39" s="400">
        <f>ROW(details!D5)</f>
        <v>5</v>
      </c>
      <c r="AF39" s="400">
        <v>4</v>
      </c>
    </row>
    <row r="40" spans="1:32" x14ac:dyDescent="0.35">
      <c r="V40" s="197" t="b">
        <f>AND(S37=TRUE,R4="y",R5=TRUE)</f>
        <v>0</v>
      </c>
      <c r="W40" s="197" t="str">
        <f>"Final "&amp;text!F28&amp;" List RV amended, please confirm input (click '&lt;?')"</f>
        <v>Final 2017 List RV amended, please confirm input (click '&lt;?')</v>
      </c>
      <c r="AA40" s="197" t="s">
        <v>665</v>
      </c>
      <c r="AB40" s="197" t="str">
        <f>IF(details!D6="","",details!D6)</f>
        <v/>
      </c>
      <c r="AC40" s="400">
        <v>5</v>
      </c>
      <c r="AD40" s="400" t="s">
        <v>676</v>
      </c>
      <c r="AE40" s="400">
        <f>ROW(details!D6)</f>
        <v>6</v>
      </c>
      <c r="AF40" s="400">
        <v>4</v>
      </c>
    </row>
    <row r="41" spans="1:32" x14ac:dyDescent="0.35">
      <c r="V41" s="197" t="b">
        <f>AND(R4="y",R5=TRUE)</f>
        <v>0</v>
      </c>
      <c r="W41" s="197" t="str">
        <f>"RHL 2022/23 calculated as £"&amp;TEXT(calc1!B167,"#,###.00")&amp;" You entered £"&amp;TEXT(calc1!B166,"#,###.00")</f>
        <v>RHL 2022/23 calculated as £.00 You entered £.00</v>
      </c>
      <c r="AA41" s="197" t="s">
        <v>666</v>
      </c>
      <c r="AB41" s="197" t="str">
        <f>IF(details!D7="","",details!D7)</f>
        <v/>
      </c>
      <c r="AC41" s="400">
        <v>4</v>
      </c>
      <c r="AD41" s="400" t="s">
        <v>676</v>
      </c>
      <c r="AE41" s="400">
        <f>ROW(details!D7)</f>
        <v>7</v>
      </c>
      <c r="AF41" s="400">
        <v>4</v>
      </c>
    </row>
    <row r="42" spans="1:32" x14ac:dyDescent="0.35">
      <c r="V42" s="197" t="b">
        <f>R5=TRUE</f>
        <v>0</v>
      </c>
      <c r="W42" s="197" t="str">
        <f>"RHL may exceed 3 year cap.  Relief given in 2022/23  &gt;"</f>
        <v>RHL may exceed 3 year cap.  Relief given in 2022/23  &gt;</v>
      </c>
      <c r="AA42" s="197" t="s">
        <v>667</v>
      </c>
      <c r="AB42" s="197" t="str">
        <f>IF(details!D8="","",details!D8)</f>
        <v/>
      </c>
      <c r="AC42" s="400">
        <v>6</v>
      </c>
      <c r="AD42" s="400" t="s">
        <v>676</v>
      </c>
      <c r="AE42" s="400">
        <f>ROW(details!D8)</f>
        <v>8</v>
      </c>
      <c r="AF42" s="400">
        <v>4</v>
      </c>
    </row>
    <row r="43" spans="1:32" x14ac:dyDescent="0.35">
      <c r="V43" s="197" t="b">
        <f>AND(R5=FALSE,R4="y")</f>
        <v>0</v>
      </c>
      <c r="W43" s="197" t="s">
        <v>2922</v>
      </c>
      <c r="AA43" s="197" t="s">
        <v>668</v>
      </c>
      <c r="AB43" s="197" t="str">
        <f>IF(details!D9="","",details!D9)</f>
        <v/>
      </c>
      <c r="AC43" s="400">
        <v>7</v>
      </c>
      <c r="AD43" s="400" t="s">
        <v>676</v>
      </c>
      <c r="AE43" s="400">
        <f>ROW(details!D9)</f>
        <v>9</v>
      </c>
      <c r="AF43" s="400">
        <v>4</v>
      </c>
    </row>
    <row r="44" spans="1:32" x14ac:dyDescent="0.35">
      <c r="V44" s="197" t="b">
        <v>1</v>
      </c>
      <c r="W44" s="199" t="s">
        <v>836</v>
      </c>
      <c r="X44" s="187" t="s">
        <v>869</v>
      </c>
      <c r="AA44" s="197" t="s">
        <v>669</v>
      </c>
      <c r="AB44" s="197" t="str">
        <f>IF(details!D10="","",details!D10)</f>
        <v/>
      </c>
      <c r="AC44" s="400">
        <v>8</v>
      </c>
      <c r="AD44" s="400" t="s">
        <v>676</v>
      </c>
      <c r="AE44" s="400">
        <f>ROW(details!D10)</f>
        <v>10</v>
      </c>
      <c r="AF44" s="400">
        <v>4</v>
      </c>
    </row>
    <row r="45" spans="1:32" x14ac:dyDescent="0.35">
      <c r="V45" s="399">
        <f>V40+V41+V42+V43+V44</f>
        <v>1</v>
      </c>
      <c r="AA45" s="197"/>
      <c r="AB45" s="197"/>
      <c r="AC45" s="400"/>
      <c r="AD45" s="400"/>
      <c r="AE45" s="400"/>
      <c r="AF45" s="400"/>
    </row>
    <row r="46" spans="1:32" x14ac:dyDescent="0.35">
      <c r="V46" s="399"/>
      <c r="AA46" s="197"/>
      <c r="AB46" s="197"/>
      <c r="AC46" s="400"/>
      <c r="AD46" s="400"/>
      <c r="AE46" s="400"/>
      <c r="AF46" s="400"/>
    </row>
    <row r="47" spans="1:32" x14ac:dyDescent="0.35">
      <c r="AA47" s="197"/>
      <c r="AB47" s="197"/>
      <c r="AC47" s="400"/>
      <c r="AD47" s="400"/>
      <c r="AE47" s="400"/>
      <c r="AF47" s="400"/>
    </row>
    <row r="48" spans="1:32" x14ac:dyDescent="0.35">
      <c r="AA48" s="197"/>
      <c r="AB48" s="197"/>
      <c r="AC48" s="400"/>
      <c r="AD48" s="400"/>
      <c r="AE48" s="400"/>
      <c r="AF48" s="400"/>
    </row>
    <row r="49" spans="27:32" x14ac:dyDescent="0.35">
      <c r="AA49" s="197"/>
      <c r="AB49" s="197"/>
      <c r="AC49" s="400"/>
      <c r="AD49" s="400"/>
      <c r="AE49" s="400"/>
      <c r="AF49" s="400"/>
    </row>
    <row r="50" spans="27:32" x14ac:dyDescent="0.35">
      <c r="AA50" s="197"/>
      <c r="AB50" s="197"/>
      <c r="AC50" s="400"/>
      <c r="AD50" s="400"/>
      <c r="AE50" s="400"/>
      <c r="AF50" s="400"/>
    </row>
    <row r="51" spans="27:32" x14ac:dyDescent="0.35">
      <c r="AA51" s="197"/>
      <c r="AB51" s="197"/>
      <c r="AC51" s="400"/>
      <c r="AD51" s="400"/>
      <c r="AE51" s="400"/>
      <c r="AF51" s="400"/>
    </row>
  </sheetData>
  <sheetProtection algorithmName="SHA-512" hashValue="jVIJaBv+yEXHo286DurPSENTCBTCjAu2nENol80hG7Uk9iG1ZBFKvUaw+rm0lCQnWZ1j+L0Fkg6JCPXYeUGefA==" saltValue="9mU9QWcWhHsmmmgBBkwL7A==" spinCount="100000" sheet="1" objects="1" scenarios="1"/>
  <phoneticPr fontId="0" type="noConversion"/>
  <conditionalFormatting sqref="D14:H14">
    <cfRule type="expression" dxfId="216" priority="10" stopIfTrue="1">
      <formula>$V$35=FALSE</formula>
    </cfRule>
    <cfRule type="expression" dxfId="215" priority="25" stopIfTrue="1">
      <formula>$W$21=TRUE</formula>
    </cfRule>
  </conditionalFormatting>
  <conditionalFormatting sqref="D5:H5">
    <cfRule type="expression" dxfId="214" priority="22" stopIfTrue="1">
      <formula>$R$6=TRUE</formula>
    </cfRule>
  </conditionalFormatting>
  <conditionalFormatting sqref="D6:H6">
    <cfRule type="expression" dxfId="213" priority="21" stopIfTrue="1">
      <formula>$R$7=TRUE</formula>
    </cfRule>
  </conditionalFormatting>
  <conditionalFormatting sqref="D7:H7">
    <cfRule type="expression" dxfId="212" priority="20" stopIfTrue="1">
      <formula>$R$8=TRUE</formula>
    </cfRule>
  </conditionalFormatting>
  <conditionalFormatting sqref="D12">
    <cfRule type="expression" dxfId="211" priority="18" stopIfTrue="1">
      <formula>$W$21=TRUE</formula>
    </cfRule>
  </conditionalFormatting>
  <conditionalFormatting sqref="I23">
    <cfRule type="expression" dxfId="210" priority="16" stopIfTrue="1">
      <formula>$V$10=TRUE</formula>
    </cfRule>
  </conditionalFormatting>
  <conditionalFormatting sqref="I24">
    <cfRule type="expression" dxfId="209" priority="15" stopIfTrue="1">
      <formula>$V$11=TRUE</formula>
    </cfRule>
  </conditionalFormatting>
  <conditionalFormatting sqref="F12">
    <cfRule type="expression" dxfId="208" priority="38" stopIfTrue="1">
      <formula>$W$22=TRUE</formula>
    </cfRule>
  </conditionalFormatting>
  <conditionalFormatting sqref="B5:C5">
    <cfRule type="expression" dxfId="207" priority="11" stopIfTrue="1">
      <formula>$R$6=TRUE</formula>
    </cfRule>
  </conditionalFormatting>
  <conditionalFormatting sqref="D21:I21">
    <cfRule type="expression" dxfId="206" priority="9" stopIfTrue="1">
      <formula>$V$35=FALSE</formula>
    </cfRule>
  </conditionalFormatting>
  <conditionalFormatting sqref="F18:F20 H18:H20">
    <cfRule type="expression" dxfId="205" priority="51" stopIfTrue="1">
      <formula>AND($AH18=TRUE,$AJ18=TRUE)</formula>
    </cfRule>
    <cfRule type="expression" dxfId="204" priority="52" stopIfTrue="1">
      <formula>$AH18=TRUE</formula>
    </cfRule>
    <cfRule type="expression" dxfId="203" priority="53" stopIfTrue="1">
      <formula>$AJ18=TRUE</formula>
    </cfRule>
  </conditionalFormatting>
  <conditionalFormatting sqref="I12">
    <cfRule type="expression" dxfId="202" priority="54" stopIfTrue="1">
      <formula>AND($S$17=TRUE,$W$24=TRUE)</formula>
    </cfRule>
  </conditionalFormatting>
  <conditionalFormatting sqref="H12">
    <cfRule type="expression" dxfId="201" priority="55" stopIfTrue="1">
      <formula>AND($S$16=TRUE,$W$23=TRUE)</formula>
    </cfRule>
    <cfRule type="expression" dxfId="200" priority="56" stopIfTrue="1">
      <formula>$S$16=FALSE</formula>
    </cfRule>
  </conditionalFormatting>
  <conditionalFormatting sqref="D9:H9">
    <cfRule type="expression" dxfId="199" priority="57" stopIfTrue="1">
      <formula>$AA$7&lt;&gt;""</formula>
    </cfRule>
  </conditionalFormatting>
  <conditionalFormatting sqref="B12:C12">
    <cfRule type="expression" dxfId="198" priority="58" stopIfTrue="1">
      <formula>OR($AH$12&gt;0,$AI$12&gt;0)</formula>
    </cfRule>
  </conditionalFormatting>
  <conditionalFormatting sqref="I14">
    <cfRule type="expression" dxfId="197" priority="59" stopIfTrue="1">
      <formula>OR($V$35=FALSE,$V$36=FALSE)</formula>
    </cfRule>
    <cfRule type="expression" dxfId="196" priority="60" stopIfTrue="1">
      <formula>$W$21=TRUE</formula>
    </cfRule>
  </conditionalFormatting>
  <conditionalFormatting sqref="D11:I11">
    <cfRule type="expression" dxfId="195" priority="61" stopIfTrue="1">
      <formula>OR($V$30=FALSE,$V$36=FALSE)</formula>
    </cfRule>
  </conditionalFormatting>
  <conditionalFormatting sqref="B15:B17">
    <cfRule type="expression" dxfId="194" priority="62" stopIfTrue="1">
      <formula>OR($AH2&gt;0,$AI2&gt;0)</formula>
    </cfRule>
  </conditionalFormatting>
  <conditionalFormatting sqref="F15:F17">
    <cfRule type="expression" dxfId="193" priority="63" stopIfTrue="1">
      <formula>$AH15=TRUE</formula>
    </cfRule>
  </conditionalFormatting>
  <conditionalFormatting sqref="H15:H17">
    <cfRule type="expression" dxfId="192" priority="64" stopIfTrue="1">
      <formula>$AI15=TRUE</formula>
    </cfRule>
  </conditionalFormatting>
  <conditionalFormatting sqref="H13">
    <cfRule type="expression" dxfId="191" priority="65" stopIfTrue="1">
      <formula>$AA$10=FALSE</formula>
    </cfRule>
  </conditionalFormatting>
  <conditionalFormatting sqref="D13:G13">
    <cfRule type="expression" dxfId="190" priority="8" stopIfTrue="1">
      <formula>$R$11=TRUE</formula>
    </cfRule>
  </conditionalFormatting>
  <conditionalFormatting sqref="D10:H10">
    <cfRule type="expression" dxfId="189" priority="5" stopIfTrue="1">
      <formula>$V$45&gt;1</formula>
    </cfRule>
  </conditionalFormatting>
  <conditionalFormatting sqref="I10">
    <cfRule type="expression" dxfId="188" priority="2" stopIfTrue="1">
      <formula>$V$40=TRUE</formula>
    </cfRule>
    <cfRule type="expression" dxfId="187" priority="3" stopIfTrue="1">
      <formula>$R$4="y"</formula>
    </cfRule>
    <cfRule type="expression" dxfId="186" priority="4" stopIfTrue="1">
      <formula>$R$5=TRUE</formula>
    </cfRule>
  </conditionalFormatting>
  <conditionalFormatting sqref="I13">
    <cfRule type="expression" dxfId="185" priority="1" stopIfTrue="1">
      <formula>W25=TRUE</formula>
    </cfRule>
  </conditionalFormatting>
  <pageMargins left="0.70866141732283472" right="0.70866141732283472" top="0.74803149606299213" bottom="0.74803149606299213" header="0.31496062992125984" footer="0.31496062992125984"/>
  <pageSetup paperSize="9" orientation="portrait" r:id="rId1"/>
  <headerFooter>
    <oddFooter>&amp;R&amp;"Arial,Italic"&amp;8Created with Calcurate Business Rates Software</oddFooter>
  </headerFooter>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5</xdr:col>
                    <xdr:colOff>146050</xdr:colOff>
                    <xdr:row>11</xdr:row>
                    <xdr:rowOff>0</xdr:rowOff>
                  </from>
                  <to>
                    <xdr:col>5</xdr:col>
                    <xdr:colOff>1193800</xdr:colOff>
                    <xdr:row>11</xdr:row>
                    <xdr:rowOff>234950</xdr:rowOff>
                  </to>
                </anchor>
              </controlPr>
            </control>
          </mc:Choice>
        </mc:AlternateContent>
        <mc:AlternateContent xmlns:mc="http://schemas.openxmlformats.org/markup-compatibility/2006">
          <mc:Choice Requires="x14">
            <control shapeId="1026" r:id="rId6" name="Check Box 2">
              <controlPr defaultSize="0" autoFill="0" autoLine="0" autoPict="0">
                <anchor moveWithCells="1">
                  <from>
                    <xdr:col>3</xdr:col>
                    <xdr:colOff>69850</xdr:colOff>
                    <xdr:row>11</xdr:row>
                    <xdr:rowOff>0</xdr:rowOff>
                  </from>
                  <to>
                    <xdr:col>4</xdr:col>
                    <xdr:colOff>76200</xdr:colOff>
                    <xdr:row>11</xdr:row>
                    <xdr:rowOff>234950</xdr:rowOff>
                  </to>
                </anchor>
              </controlPr>
            </control>
          </mc:Choice>
        </mc:AlternateContent>
        <mc:AlternateContent xmlns:mc="http://schemas.openxmlformats.org/markup-compatibility/2006">
          <mc:Choice Requires="x14">
            <control shapeId="1027" r:id="rId7" name="Check Box 3">
              <controlPr defaultSize="0" autoFill="0" autoLine="0" autoPict="0" macro="[0]!check_sbrr_tick">
                <anchor moveWithCells="1">
                  <from>
                    <xdr:col>7</xdr:col>
                    <xdr:colOff>215900</xdr:colOff>
                    <xdr:row>11</xdr:row>
                    <xdr:rowOff>0</xdr:rowOff>
                  </from>
                  <to>
                    <xdr:col>7</xdr:col>
                    <xdr:colOff>1143000</xdr:colOff>
                    <xdr:row>11</xdr:row>
                    <xdr:rowOff>254000</xdr:rowOff>
                  </to>
                </anchor>
              </controlPr>
            </control>
          </mc:Choice>
        </mc:AlternateContent>
        <mc:AlternateContent xmlns:mc="http://schemas.openxmlformats.org/markup-compatibility/2006">
          <mc:Choice Requires="x14">
            <control shapeId="1028" r:id="rId8" name="Check Box 4">
              <controlPr defaultSize="0" autoFill="0" autoLine="0" autoPict="0" macro="[0]!check_basic_retail">
                <anchor moveWithCells="1">
                  <from>
                    <xdr:col>8</xdr:col>
                    <xdr:colOff>146050</xdr:colOff>
                    <xdr:row>11</xdr:row>
                    <xdr:rowOff>0</xdr:rowOff>
                  </from>
                  <to>
                    <xdr:col>8</xdr:col>
                    <xdr:colOff>1073150</xdr:colOff>
                    <xdr:row>11</xdr:row>
                    <xdr:rowOff>254000</xdr:rowOff>
                  </to>
                </anchor>
              </controlPr>
            </control>
          </mc:Choice>
        </mc:AlternateContent>
        <mc:AlternateContent xmlns:mc="http://schemas.openxmlformats.org/markup-compatibility/2006">
          <mc:Choice Requires="x14">
            <control shapeId="1034" r:id="rId9" name="home">
              <controlPr defaultSize="0" print="0" autoFill="0" autoPict="0" macro="[0]!globalgoto">
                <anchor moveWithCells="1" sizeWithCells="1">
                  <from>
                    <xdr:col>0</xdr:col>
                    <xdr:colOff>177800</xdr:colOff>
                    <xdr:row>0</xdr:row>
                    <xdr:rowOff>190500</xdr:rowOff>
                  </from>
                  <to>
                    <xdr:col>0</xdr:col>
                    <xdr:colOff>1104900</xdr:colOff>
                    <xdr:row>2</xdr:row>
                    <xdr:rowOff>44450</xdr:rowOff>
                  </to>
                </anchor>
              </controlPr>
            </control>
          </mc:Choice>
        </mc:AlternateContent>
        <mc:AlternateContent xmlns:mc="http://schemas.openxmlformats.org/markup-compatibility/2006">
          <mc:Choice Requires="x14">
            <control shapeId="1035" r:id="rId10" name="advanced">
              <controlPr defaultSize="0" print="0" autoFill="0" autoPict="0" macro="[0]!basic_to_advanced">
                <anchor moveWithCells="1" sizeWithCells="1">
                  <from>
                    <xdr:col>0</xdr:col>
                    <xdr:colOff>165100</xdr:colOff>
                    <xdr:row>2</xdr:row>
                    <xdr:rowOff>107950</xdr:rowOff>
                  </from>
                  <to>
                    <xdr:col>0</xdr:col>
                    <xdr:colOff>1098550</xdr:colOff>
                    <xdr:row>4</xdr:row>
                    <xdr:rowOff>146050</xdr:rowOff>
                  </to>
                </anchor>
              </controlPr>
            </control>
          </mc:Choice>
        </mc:AlternateContent>
        <mc:AlternateContent xmlns:mc="http://schemas.openxmlformats.org/markup-compatibility/2006">
          <mc:Choice Requires="x14">
            <control shapeId="1036" r:id="rId11" name="Group Box 12">
              <controlPr defaultSize="0" autoFill="0" autoPict="0">
                <anchor moveWithCells="1">
                  <from>
                    <xdr:col>3</xdr:col>
                    <xdr:colOff>939800</xdr:colOff>
                    <xdr:row>3</xdr:row>
                    <xdr:rowOff>0</xdr:rowOff>
                  </from>
                  <to>
                    <xdr:col>9</xdr:col>
                    <xdr:colOff>0</xdr:colOff>
                    <xdr:row>4</xdr:row>
                    <xdr:rowOff>0</xdr:rowOff>
                  </to>
                </anchor>
              </controlPr>
            </control>
          </mc:Choice>
        </mc:AlternateContent>
        <mc:AlternateContent xmlns:mc="http://schemas.openxmlformats.org/markup-compatibility/2006">
          <mc:Choice Requires="x14">
            <control shapeId="1041" r:id="rId12" name="Option Button 17">
              <controlPr defaultSize="0" autoFill="0" autoLine="0" autoPict="0">
                <anchor moveWithCells="1">
                  <from>
                    <xdr:col>4</xdr:col>
                    <xdr:colOff>152400</xdr:colOff>
                    <xdr:row>3</xdr:row>
                    <xdr:rowOff>44450</xdr:rowOff>
                  </from>
                  <to>
                    <xdr:col>5</xdr:col>
                    <xdr:colOff>952500</xdr:colOff>
                    <xdr:row>3</xdr:row>
                    <xdr:rowOff>228600</xdr:rowOff>
                  </to>
                </anchor>
              </controlPr>
            </control>
          </mc:Choice>
        </mc:AlternateContent>
        <mc:AlternateContent xmlns:mc="http://schemas.openxmlformats.org/markup-compatibility/2006">
          <mc:Choice Requires="x14">
            <control shapeId="1042" r:id="rId13" name="Option Button 18">
              <controlPr defaultSize="0" autoFill="0" autoLine="0" autoPict="0">
                <anchor moveWithCells="1">
                  <from>
                    <xdr:col>5</xdr:col>
                    <xdr:colOff>1060450</xdr:colOff>
                    <xdr:row>3</xdr:row>
                    <xdr:rowOff>44450</xdr:rowOff>
                  </from>
                  <to>
                    <xdr:col>7</xdr:col>
                    <xdr:colOff>565150</xdr:colOff>
                    <xdr:row>3</xdr:row>
                    <xdr:rowOff>228600</xdr:rowOff>
                  </to>
                </anchor>
              </controlPr>
            </control>
          </mc:Choice>
        </mc:AlternateContent>
        <mc:AlternateContent xmlns:mc="http://schemas.openxmlformats.org/markup-compatibility/2006">
          <mc:Choice Requires="x14">
            <control shapeId="1044" r:id="rId14" name="Option Button 20">
              <controlPr defaultSize="0" autoFill="0" autoLine="0" autoPict="0">
                <anchor moveWithCells="1">
                  <from>
                    <xdr:col>7</xdr:col>
                    <xdr:colOff>863600</xdr:colOff>
                    <xdr:row>3</xdr:row>
                    <xdr:rowOff>44450</xdr:rowOff>
                  </from>
                  <to>
                    <xdr:col>8</xdr:col>
                    <xdr:colOff>825500</xdr:colOff>
                    <xdr:row>3</xdr:row>
                    <xdr:rowOff>254000</xdr:rowOff>
                  </to>
                </anchor>
              </controlPr>
            </control>
          </mc:Choice>
        </mc:AlternateContent>
        <mc:AlternateContent xmlns:mc="http://schemas.openxmlformats.org/markup-compatibility/2006">
          <mc:Choice Requires="x14">
            <control shapeId="1059" r:id="rId15" name="Drop Down 35">
              <controlPr defaultSize="0" autoLine="0" autoPict="0" macro="[0]!set_clew_from_default">
                <anchor moveWithCells="1">
                  <from>
                    <xdr:col>10</xdr:col>
                    <xdr:colOff>177800</xdr:colOff>
                    <xdr:row>3</xdr:row>
                    <xdr:rowOff>6350</xdr:rowOff>
                  </from>
                  <to>
                    <xdr:col>11</xdr:col>
                    <xdr:colOff>1320800</xdr:colOff>
                    <xdr:row>3</xdr:row>
                    <xdr:rowOff>215900</xdr:rowOff>
                  </to>
                </anchor>
              </controlPr>
            </control>
          </mc:Choice>
        </mc:AlternateContent>
        <mc:AlternateContent xmlns:mc="http://schemas.openxmlformats.org/markup-compatibility/2006">
          <mc:Choice Requires="x14">
            <control shapeId="1060" r:id="rId16" name="Button 36">
              <controlPr defaultSize="0" print="0" autoFill="0" autoPict="0" macro="[0]!help_liability_dates">
                <anchor moveWithCells="1" sizeWithCells="1">
                  <from>
                    <xdr:col>5</xdr:col>
                    <xdr:colOff>1130300</xdr:colOff>
                    <xdr:row>22</xdr:row>
                    <xdr:rowOff>44450</xdr:rowOff>
                  </from>
                  <to>
                    <xdr:col>6</xdr:col>
                    <xdr:colOff>165100</xdr:colOff>
                    <xdr:row>23</xdr:row>
                    <xdr:rowOff>152400</xdr:rowOff>
                  </to>
                </anchor>
              </controlPr>
            </control>
          </mc:Choice>
        </mc:AlternateContent>
        <mc:AlternateContent xmlns:mc="http://schemas.openxmlformats.org/markup-compatibility/2006">
          <mc:Choice Requires="x14">
            <control shapeId="1061" r:id="rId17" name="Button 37">
              <controlPr defaultSize="0" print="0" autoFill="0" autoPict="0" macro="[0]!reset_basic_dates">
                <anchor moveWithCells="1" sizeWithCells="1">
                  <from>
                    <xdr:col>9</xdr:col>
                    <xdr:colOff>63500</xdr:colOff>
                    <xdr:row>22</xdr:row>
                    <xdr:rowOff>38100</xdr:rowOff>
                  </from>
                  <to>
                    <xdr:col>11</xdr:col>
                    <xdr:colOff>685800</xdr:colOff>
                    <xdr:row>23</xdr:row>
                    <xdr:rowOff>146050</xdr:rowOff>
                  </to>
                </anchor>
              </controlPr>
            </control>
          </mc:Choice>
        </mc:AlternateContent>
        <mc:AlternateContent xmlns:mc="http://schemas.openxmlformats.org/markup-compatibility/2006">
          <mc:Choice Requires="x14">
            <control shapeId="1062" r:id="rId18" name="Button 38">
              <controlPr defaultSize="0" print="0" autoFill="0" autoPict="0" macro="[0]!nya">
                <anchor moveWithCells="1" sizeWithCells="1">
                  <from>
                    <xdr:col>7</xdr:col>
                    <xdr:colOff>838200</xdr:colOff>
                    <xdr:row>27</xdr:row>
                    <xdr:rowOff>76200</xdr:rowOff>
                  </from>
                  <to>
                    <xdr:col>8</xdr:col>
                    <xdr:colOff>984250</xdr:colOff>
                    <xdr:row>29</xdr:row>
                    <xdr:rowOff>0</xdr:rowOff>
                  </to>
                </anchor>
              </controlPr>
            </control>
          </mc:Choice>
        </mc:AlternateContent>
        <mc:AlternateContent xmlns:mc="http://schemas.openxmlformats.org/markup-compatibility/2006">
          <mc:Choice Requires="x14">
            <control shapeId="1063" r:id="rId19" name="Button 39">
              <controlPr defaultSize="0" print="0" autoFill="0" autoPict="0" macro="[0]!nya">
                <anchor moveWithCells="1" sizeWithCells="1">
                  <from>
                    <xdr:col>5</xdr:col>
                    <xdr:colOff>965200</xdr:colOff>
                    <xdr:row>27</xdr:row>
                    <xdr:rowOff>76200</xdr:rowOff>
                  </from>
                  <to>
                    <xdr:col>7</xdr:col>
                    <xdr:colOff>831850</xdr:colOff>
                    <xdr:row>29</xdr:row>
                    <xdr:rowOff>0</xdr:rowOff>
                  </to>
                </anchor>
              </controlPr>
            </control>
          </mc:Choice>
        </mc:AlternateContent>
        <mc:AlternateContent xmlns:mc="http://schemas.openxmlformats.org/markup-compatibility/2006">
          <mc:Choice Requires="x14">
            <control shapeId="1064" r:id="rId20" name="Button 40">
              <controlPr defaultSize="0" print="0" autoFill="0" autoPict="0" macro="[0]!nya">
                <anchor moveWithCells="1" sizeWithCells="1">
                  <from>
                    <xdr:col>3</xdr:col>
                    <xdr:colOff>812800</xdr:colOff>
                    <xdr:row>27</xdr:row>
                    <xdr:rowOff>76200</xdr:rowOff>
                  </from>
                  <to>
                    <xdr:col>5</xdr:col>
                    <xdr:colOff>984250</xdr:colOff>
                    <xdr:row>29</xdr:row>
                    <xdr:rowOff>0</xdr:rowOff>
                  </to>
                </anchor>
              </controlPr>
            </control>
          </mc:Choice>
        </mc:AlternateContent>
        <mc:AlternateContent xmlns:mc="http://schemas.openxmlformats.org/markup-compatibility/2006">
          <mc:Choice Requires="x14">
            <control shapeId="1065" r:id="rId21" name="Button 41">
              <controlPr defaultSize="0" print="0" autoFill="0" autoPict="0" macro="[0]!nya">
                <anchor moveWithCells="1" sizeWithCells="1">
                  <from>
                    <xdr:col>3</xdr:col>
                    <xdr:colOff>381000</xdr:colOff>
                    <xdr:row>27</xdr:row>
                    <xdr:rowOff>76200</xdr:rowOff>
                  </from>
                  <to>
                    <xdr:col>3</xdr:col>
                    <xdr:colOff>793750</xdr:colOff>
                    <xdr:row>29</xdr:row>
                    <xdr:rowOff>0</xdr:rowOff>
                  </to>
                </anchor>
              </controlPr>
            </control>
          </mc:Choice>
        </mc:AlternateContent>
        <mc:AlternateContent xmlns:mc="http://schemas.openxmlformats.org/markup-compatibility/2006">
          <mc:Choice Requires="x14">
            <control shapeId="1066" r:id="rId22" name="Button 42">
              <controlPr defaultSize="0" print="0" autoFill="0" autoPict="0" macro="[0]!help_default_location">
                <anchor moveWithCells="1" sizeWithCells="1">
                  <from>
                    <xdr:col>11</xdr:col>
                    <xdr:colOff>1358900</xdr:colOff>
                    <xdr:row>2</xdr:row>
                    <xdr:rowOff>266700</xdr:rowOff>
                  </from>
                  <to>
                    <xdr:col>12</xdr:col>
                    <xdr:colOff>0</xdr:colOff>
                    <xdr:row>3</xdr:row>
                    <xdr:rowOff>222250</xdr:rowOff>
                  </to>
                </anchor>
              </controlPr>
            </control>
          </mc:Choice>
        </mc:AlternateContent>
        <mc:AlternateContent xmlns:mc="http://schemas.openxmlformats.org/markup-compatibility/2006">
          <mc:Choice Requires="x14">
            <control shapeId="1067" r:id="rId23" name="Button 43">
              <controlPr defaultSize="0" print="0" autoFill="0" autoPict="0" macro="[0]!reset_basic">
                <anchor moveWithCells="1" sizeWithCells="1">
                  <from>
                    <xdr:col>11</xdr:col>
                    <xdr:colOff>0</xdr:colOff>
                    <xdr:row>0</xdr:row>
                    <xdr:rowOff>292100</xdr:rowOff>
                  </from>
                  <to>
                    <xdr:col>12</xdr:col>
                    <xdr:colOff>44450</xdr:colOff>
                    <xdr:row>2</xdr:row>
                    <xdr:rowOff>38100</xdr:rowOff>
                  </to>
                </anchor>
              </controlPr>
            </control>
          </mc:Choice>
        </mc:AlternateContent>
        <mc:AlternateContent xmlns:mc="http://schemas.openxmlformats.org/markup-compatibility/2006">
          <mc:Choice Requires="x14">
            <control shapeId="1068" r:id="rId24" name="Button 44">
              <controlPr defaultSize="0" print="0" autoFill="0" autoPict="0" macro="[0]!goto_interest">
                <anchor moveWithCells="1">
                  <from>
                    <xdr:col>11</xdr:col>
                    <xdr:colOff>139700</xdr:colOff>
                    <xdr:row>14</xdr:row>
                    <xdr:rowOff>31750</xdr:rowOff>
                  </from>
                  <to>
                    <xdr:col>11</xdr:col>
                    <xdr:colOff>1454150</xdr:colOff>
                    <xdr:row>14</xdr:row>
                    <xdr:rowOff>266700</xdr:rowOff>
                  </to>
                </anchor>
              </controlPr>
            </control>
          </mc:Choice>
        </mc:AlternateContent>
        <mc:AlternateContent xmlns:mc="http://schemas.openxmlformats.org/markup-compatibility/2006">
          <mc:Choice Requires="x14">
            <control shapeId="1069" r:id="rId25" name="Button 45">
              <controlPr defaultSize="0" print="0" autoFill="0" autoPict="0" macro="[0]!goto_basicreport">
                <anchor moveWithCells="1" sizeWithCells="1">
                  <from>
                    <xdr:col>11</xdr:col>
                    <xdr:colOff>139700</xdr:colOff>
                    <xdr:row>5</xdr:row>
                    <xdr:rowOff>76200</xdr:rowOff>
                  </from>
                  <to>
                    <xdr:col>11</xdr:col>
                    <xdr:colOff>1454150</xdr:colOff>
                    <xdr:row>6</xdr:row>
                    <xdr:rowOff>184150</xdr:rowOff>
                  </to>
                </anchor>
              </controlPr>
            </control>
          </mc:Choice>
        </mc:AlternateContent>
        <mc:AlternateContent xmlns:mc="http://schemas.openxmlformats.org/markup-compatibility/2006">
          <mc:Choice Requires="x14">
            <control shapeId="1070" r:id="rId26" name="Button 46">
              <controlPr defaultSize="0" print="0" autoFill="0" autoPict="0" macro="[0]!goto_basic_analysis_original">
                <anchor moveWithCells="1" sizeWithCells="1">
                  <from>
                    <xdr:col>11</xdr:col>
                    <xdr:colOff>139700</xdr:colOff>
                    <xdr:row>6</xdr:row>
                    <xdr:rowOff>190500</xdr:rowOff>
                  </from>
                  <to>
                    <xdr:col>11</xdr:col>
                    <xdr:colOff>793750</xdr:colOff>
                    <xdr:row>8</xdr:row>
                    <xdr:rowOff>196850</xdr:rowOff>
                  </to>
                </anchor>
              </controlPr>
            </control>
          </mc:Choice>
        </mc:AlternateContent>
        <mc:AlternateContent xmlns:mc="http://schemas.openxmlformats.org/markup-compatibility/2006">
          <mc:Choice Requires="x14">
            <control shapeId="1071" r:id="rId27" name="Button 47">
              <controlPr defaultSize="0" print="0" autoFill="0" autoPict="0" macro="[0]!goto_basic_analysis_revised">
                <anchor moveWithCells="1" sizeWithCells="1">
                  <from>
                    <xdr:col>11</xdr:col>
                    <xdr:colOff>793750</xdr:colOff>
                    <xdr:row>6</xdr:row>
                    <xdr:rowOff>190500</xdr:rowOff>
                  </from>
                  <to>
                    <xdr:col>11</xdr:col>
                    <xdr:colOff>1454150</xdr:colOff>
                    <xdr:row>8</xdr:row>
                    <xdr:rowOff>196850</xdr:rowOff>
                  </to>
                </anchor>
              </controlPr>
            </control>
          </mc:Choice>
        </mc:AlternateContent>
        <mc:AlternateContent xmlns:mc="http://schemas.openxmlformats.org/markup-compatibility/2006">
          <mc:Choice Requires="x14">
            <control shapeId="1073" r:id="rId28" name="Button 49">
              <controlPr defaultSize="0" print="0" autoFill="0" autoPict="0" macro="[0]!get_instalments">
                <anchor moveWithCells="1">
                  <from>
                    <xdr:col>11</xdr:col>
                    <xdr:colOff>139700</xdr:colOff>
                    <xdr:row>15</xdr:row>
                    <xdr:rowOff>0</xdr:rowOff>
                  </from>
                  <to>
                    <xdr:col>11</xdr:col>
                    <xdr:colOff>1454150</xdr:colOff>
                    <xdr:row>16</xdr:row>
                    <xdr:rowOff>6350</xdr:rowOff>
                  </to>
                </anchor>
              </controlPr>
            </control>
          </mc:Choice>
        </mc:AlternateContent>
        <mc:AlternateContent xmlns:mc="http://schemas.openxmlformats.org/markup-compatibility/2006">
          <mc:Choice Requires="x14">
            <control shapeId="1074" r:id="rId29" name="payments">
              <controlPr defaultSize="0" print="0" autoFill="0" autoPict="0" macro="[0]!goto_basic_payments">
                <anchor moveWithCells="1" sizeWithCells="1">
                  <from>
                    <xdr:col>11</xdr:col>
                    <xdr:colOff>139700</xdr:colOff>
                    <xdr:row>13</xdr:row>
                    <xdr:rowOff>44450</xdr:rowOff>
                  </from>
                  <to>
                    <xdr:col>11</xdr:col>
                    <xdr:colOff>1454150</xdr:colOff>
                    <xdr:row>14</xdr:row>
                    <xdr:rowOff>25400</xdr:rowOff>
                  </to>
                </anchor>
              </controlPr>
            </control>
          </mc:Choice>
        </mc:AlternateContent>
        <mc:AlternateContent xmlns:mc="http://schemas.openxmlformats.org/markup-compatibility/2006">
          <mc:Choice Requires="x14">
            <control shapeId="1075" r:id="rId30" name="basicclient">
              <controlPr defaultSize="0" print="0" autoFill="0" autoPict="0" macro="[0]!goto_client_report_basic">
                <anchor moveWithCells="1" sizeWithCells="1">
                  <from>
                    <xdr:col>11</xdr:col>
                    <xdr:colOff>139700</xdr:colOff>
                    <xdr:row>10</xdr:row>
                    <xdr:rowOff>184150</xdr:rowOff>
                  </from>
                  <to>
                    <xdr:col>11</xdr:col>
                    <xdr:colOff>1454150</xdr:colOff>
                    <xdr:row>12</xdr:row>
                    <xdr:rowOff>63500</xdr:rowOff>
                  </to>
                </anchor>
              </controlPr>
            </control>
          </mc:Choice>
        </mc:AlternateContent>
        <mc:AlternateContent xmlns:mc="http://schemas.openxmlformats.org/markup-compatibility/2006">
          <mc:Choice Requires="x14">
            <control shapeId="1076" r:id="rId31" name="Button 52">
              <controlPr defaultSize="0" print="0" autoFill="0" autoPict="0" macro="[0]!copy_as_excel">
                <anchor moveWithCells="1" sizeWithCells="1">
                  <from>
                    <xdr:col>13</xdr:col>
                    <xdr:colOff>44450</xdr:colOff>
                    <xdr:row>2</xdr:row>
                    <xdr:rowOff>88900</xdr:rowOff>
                  </from>
                  <to>
                    <xdr:col>14</xdr:col>
                    <xdr:colOff>139700</xdr:colOff>
                    <xdr:row>3</xdr:row>
                    <xdr:rowOff>196850</xdr:rowOff>
                  </to>
                </anchor>
              </controlPr>
            </control>
          </mc:Choice>
        </mc:AlternateContent>
        <mc:AlternateContent xmlns:mc="http://schemas.openxmlformats.org/markup-compatibility/2006">
          <mc:Choice Requires="x14">
            <control shapeId="1077" r:id="rId32" name="Button 53">
              <controlPr defaultSize="0" print="0" autoFill="0" autoPict="0" macro="[0]!pdflauncher">
                <anchor moveWithCells="1" sizeWithCells="1">
                  <from>
                    <xdr:col>14</xdr:col>
                    <xdr:colOff>146050</xdr:colOff>
                    <xdr:row>2</xdr:row>
                    <xdr:rowOff>88900</xdr:rowOff>
                  </from>
                  <to>
                    <xdr:col>15</xdr:col>
                    <xdr:colOff>203200</xdr:colOff>
                    <xdr:row>3</xdr:row>
                    <xdr:rowOff>196850</xdr:rowOff>
                  </to>
                </anchor>
              </controlPr>
            </control>
          </mc:Choice>
        </mc:AlternateContent>
        <mc:AlternateContent xmlns:mc="http://schemas.openxmlformats.org/markup-compatibility/2006">
          <mc:Choice Requires="x14">
            <control shapeId="1078" r:id="rId33" name="Button 54">
              <controlPr defaultSize="0" print="0" autoFill="0" autoPict="0" macro="[0]!openfolder">
                <anchor moveWithCells="1" sizeWithCells="1">
                  <from>
                    <xdr:col>15</xdr:col>
                    <xdr:colOff>215900</xdr:colOff>
                    <xdr:row>2</xdr:row>
                    <xdr:rowOff>88900</xdr:rowOff>
                  </from>
                  <to>
                    <xdr:col>16</xdr:col>
                    <xdr:colOff>114300</xdr:colOff>
                    <xdr:row>3</xdr:row>
                    <xdr:rowOff>196850</xdr:rowOff>
                  </to>
                </anchor>
              </controlPr>
            </control>
          </mc:Choice>
        </mc:AlternateContent>
        <mc:AlternateContent xmlns:mc="http://schemas.openxmlformats.org/markup-compatibility/2006">
          <mc:Choice Requires="x14">
            <control shapeId="1079" r:id="rId34" name="Button 55">
              <controlPr defaultSize="0" print="0" autoFill="0" autoPict="0" macro="[0]!goto_folder_settings">
                <anchor moveWithCells="1" sizeWithCells="1">
                  <from>
                    <xdr:col>16</xdr:col>
                    <xdr:colOff>127000</xdr:colOff>
                    <xdr:row>2</xdr:row>
                    <xdr:rowOff>88900</xdr:rowOff>
                  </from>
                  <to>
                    <xdr:col>16</xdr:col>
                    <xdr:colOff>654050</xdr:colOff>
                    <xdr:row>3</xdr:row>
                    <xdr:rowOff>196850</xdr:rowOff>
                  </to>
                </anchor>
              </controlPr>
            </control>
          </mc:Choice>
        </mc:AlternateContent>
        <mc:AlternateContent xmlns:mc="http://schemas.openxmlformats.org/markup-compatibility/2006">
          <mc:Choice Requires="x14">
            <control shapeId="1080" r:id="rId35" name="Button 56">
              <controlPr defaultSize="0" print="0" autoFill="0" autoPict="0" macro="[0]!email_pdf_launch">
                <anchor moveWithCells="1" sizeWithCells="1">
                  <from>
                    <xdr:col>14</xdr:col>
                    <xdr:colOff>292100</xdr:colOff>
                    <xdr:row>1</xdr:row>
                    <xdr:rowOff>0</xdr:rowOff>
                  </from>
                  <to>
                    <xdr:col>15</xdr:col>
                    <xdr:colOff>349250</xdr:colOff>
                    <xdr:row>2</xdr:row>
                    <xdr:rowOff>82550</xdr:rowOff>
                  </to>
                </anchor>
              </controlPr>
            </control>
          </mc:Choice>
        </mc:AlternateContent>
        <mc:AlternateContent xmlns:mc="http://schemas.openxmlformats.org/markup-compatibility/2006">
          <mc:Choice Requires="x14">
            <control shapeId="1081" r:id="rId36" name="Button 57">
              <controlPr defaultSize="0" print="0" autoFill="0" autoPict="0" macro="[0]!email_copy_as_excel">
                <anchor moveWithCells="1" sizeWithCells="1">
                  <from>
                    <xdr:col>13</xdr:col>
                    <xdr:colOff>44450</xdr:colOff>
                    <xdr:row>1</xdr:row>
                    <xdr:rowOff>0</xdr:rowOff>
                  </from>
                  <to>
                    <xdr:col>14</xdr:col>
                    <xdr:colOff>279400</xdr:colOff>
                    <xdr:row>2</xdr:row>
                    <xdr:rowOff>82550</xdr:rowOff>
                  </to>
                </anchor>
              </controlPr>
            </control>
          </mc:Choice>
        </mc:AlternateContent>
        <mc:AlternateContent xmlns:mc="http://schemas.openxmlformats.org/markup-compatibility/2006">
          <mc:Choice Requires="x14">
            <control shapeId="1082" r:id="rId37" name="Button 58">
              <controlPr defaultSize="0" print="0" autoFill="0" autoPict="0" macro="[0]!emailsettings">
                <anchor moveWithCells="1" sizeWithCells="1">
                  <from>
                    <xdr:col>15</xdr:col>
                    <xdr:colOff>355600</xdr:colOff>
                    <xdr:row>1</xdr:row>
                    <xdr:rowOff>0</xdr:rowOff>
                  </from>
                  <to>
                    <xdr:col>16</xdr:col>
                    <xdr:colOff>654050</xdr:colOff>
                    <xdr:row>2</xdr:row>
                    <xdr:rowOff>82550</xdr:rowOff>
                  </to>
                </anchor>
              </controlPr>
            </control>
          </mc:Choice>
        </mc:AlternateContent>
        <mc:AlternateContent xmlns:mc="http://schemas.openxmlformats.org/markup-compatibility/2006">
          <mc:Choice Requires="x14">
            <control shapeId="1083" r:id="rId38" name="Button 59">
              <controlPr defaultSize="0" print="0" autoFill="0" autoPict="0" macro="[0]!_xludf.zoom">
                <anchor moveWithCells="1" sizeWithCells="1">
                  <from>
                    <xdr:col>13</xdr:col>
                    <xdr:colOff>76200</xdr:colOff>
                    <xdr:row>4</xdr:row>
                    <xdr:rowOff>190500</xdr:rowOff>
                  </from>
                  <to>
                    <xdr:col>14</xdr:col>
                    <xdr:colOff>6350</xdr:colOff>
                    <xdr:row>6</xdr:row>
                    <xdr:rowOff>101600</xdr:rowOff>
                  </to>
                </anchor>
              </controlPr>
            </control>
          </mc:Choice>
        </mc:AlternateContent>
        <mc:AlternateContent xmlns:mc="http://schemas.openxmlformats.org/markup-compatibility/2006">
          <mc:Choice Requires="x14">
            <control shapeId="1084" r:id="rId39" name="Button 60">
              <controlPr defaultSize="0" print="0" autoFill="0" autoPict="0" macro="[0]!shrink">
                <anchor moveWithCells="1" sizeWithCells="1">
                  <from>
                    <xdr:col>13</xdr:col>
                    <xdr:colOff>76200</xdr:colOff>
                    <xdr:row>6</xdr:row>
                    <xdr:rowOff>101600</xdr:rowOff>
                  </from>
                  <to>
                    <xdr:col>14</xdr:col>
                    <xdr:colOff>6350</xdr:colOff>
                    <xdr:row>8</xdr:row>
                    <xdr:rowOff>0</xdr:rowOff>
                  </to>
                </anchor>
              </controlPr>
            </control>
          </mc:Choice>
        </mc:AlternateContent>
        <mc:AlternateContent xmlns:mc="http://schemas.openxmlformats.org/markup-compatibility/2006">
          <mc:Choice Requires="x14">
            <control shapeId="1087" r:id="rId40" name="Button 63">
              <controlPr defaultSize="0" print="0" autoFill="0" autoPict="0" macro="[0]!whatisanalyse">
                <anchor moveWithCells="1" sizeWithCells="1">
                  <from>
                    <xdr:col>1</xdr:col>
                    <xdr:colOff>317500</xdr:colOff>
                    <xdr:row>27</xdr:row>
                    <xdr:rowOff>69850</xdr:rowOff>
                  </from>
                  <to>
                    <xdr:col>1</xdr:col>
                    <xdr:colOff>577850</xdr:colOff>
                    <xdr:row>28</xdr:row>
                    <xdr:rowOff>120650</xdr:rowOff>
                  </to>
                </anchor>
              </controlPr>
            </control>
          </mc:Choice>
        </mc:AlternateContent>
        <mc:AlternateContent xmlns:mc="http://schemas.openxmlformats.org/markup-compatibility/2006">
          <mc:Choice Requires="x14">
            <control shapeId="1088" r:id="rId41" name="Button 64">
              <controlPr defaultSize="0" print="0" autoFill="0" autoPict="0" macro="[0]!goto_details">
                <anchor moveWithCells="1" sizeWithCells="1">
                  <from>
                    <xdr:col>0</xdr:col>
                    <xdr:colOff>215900</xdr:colOff>
                    <xdr:row>24</xdr:row>
                    <xdr:rowOff>146050</xdr:rowOff>
                  </from>
                  <to>
                    <xdr:col>1</xdr:col>
                    <xdr:colOff>139700</xdr:colOff>
                    <xdr:row>27</xdr:row>
                    <xdr:rowOff>146050</xdr:rowOff>
                  </to>
                </anchor>
              </controlPr>
            </control>
          </mc:Choice>
        </mc:AlternateContent>
        <mc:AlternateContent xmlns:mc="http://schemas.openxmlformats.org/markup-compatibility/2006">
          <mc:Choice Requires="x14">
            <control shapeId="1091" r:id="rId42" name="Button 67">
              <controlPr defaultSize="0" print="0" autoFill="0" autoPict="0" macro="[0]!goto_gllist">
                <anchor moveWithCells="1" sizeWithCells="1">
                  <from>
                    <xdr:col>8</xdr:col>
                    <xdr:colOff>520700</xdr:colOff>
                    <xdr:row>3</xdr:row>
                    <xdr:rowOff>44450</xdr:rowOff>
                  </from>
                  <to>
                    <xdr:col>8</xdr:col>
                    <xdr:colOff>996950</xdr:colOff>
                    <xdr:row>3</xdr:row>
                    <xdr:rowOff>234950</xdr:rowOff>
                  </to>
                </anchor>
              </controlPr>
            </control>
          </mc:Choice>
        </mc:AlternateContent>
        <mc:AlternateContent xmlns:mc="http://schemas.openxmlformats.org/markup-compatibility/2006">
          <mc:Choice Requires="x14">
            <control shapeId="1146" r:id="rId43" name="Button 122">
              <controlPr defaultSize="0" print="0" autoFill="0" autoPict="0" macro="[0]!copypaste">
                <anchor moveWithCells="1" sizeWithCells="1">
                  <from>
                    <xdr:col>9</xdr:col>
                    <xdr:colOff>101600</xdr:colOff>
                    <xdr:row>20</xdr:row>
                    <xdr:rowOff>38100</xdr:rowOff>
                  </from>
                  <to>
                    <xdr:col>11</xdr:col>
                    <xdr:colOff>571500</xdr:colOff>
                    <xdr:row>21</xdr:row>
                    <xdr:rowOff>6350</xdr:rowOff>
                  </to>
                </anchor>
              </controlPr>
            </control>
          </mc:Choice>
        </mc:AlternateContent>
        <mc:AlternateContent xmlns:mc="http://schemas.openxmlformats.org/markup-compatibility/2006">
          <mc:Choice Requires="x14">
            <control shapeId="1147" r:id="rId44" name="Button 123">
              <controlPr defaultSize="0" print="0" autoFill="0" autoPict="0" macro="[0]!help_copypaste">
                <anchor moveWithCells="1" sizeWithCells="1">
                  <from>
                    <xdr:col>11</xdr:col>
                    <xdr:colOff>571500</xdr:colOff>
                    <xdr:row>20</xdr:row>
                    <xdr:rowOff>38100</xdr:rowOff>
                  </from>
                  <to>
                    <xdr:col>11</xdr:col>
                    <xdr:colOff>889000</xdr:colOff>
                    <xdr:row>21</xdr:row>
                    <xdr:rowOff>6350</xdr:rowOff>
                  </to>
                </anchor>
              </controlPr>
            </control>
          </mc:Choice>
        </mc:AlternateContent>
        <mc:AlternateContent xmlns:mc="http://schemas.openxmlformats.org/markup-compatibility/2006">
          <mc:Choice Requires="x14">
            <control shapeId="1150" r:id="rId45" name="Button 126">
              <controlPr defaultSize="0" print="0" autoFill="0" autoPict="0" macro="[0]!cancelcopypaste">
                <anchor moveWithCells="1" sizeWithCells="1">
                  <from>
                    <xdr:col>11</xdr:col>
                    <xdr:colOff>889000</xdr:colOff>
                    <xdr:row>20</xdr:row>
                    <xdr:rowOff>38100</xdr:rowOff>
                  </from>
                  <to>
                    <xdr:col>12</xdr:col>
                    <xdr:colOff>228600</xdr:colOff>
                    <xdr:row>21</xdr:row>
                    <xdr:rowOff>6350</xdr:rowOff>
                  </to>
                </anchor>
              </controlPr>
            </control>
          </mc:Choice>
        </mc:AlternateContent>
        <mc:AlternateContent xmlns:mc="http://schemas.openxmlformats.org/markup-compatibility/2006">
          <mc:Choice Requires="x14">
            <control shapeId="1727" r:id="rId46" name="Check Box 703">
              <controlPr defaultSize="0" autoFill="0" autoLine="0" autoPict="0" macro="[0]!check_basic_retail">
                <anchor moveWithCells="1">
                  <from>
                    <xdr:col>1</xdr:col>
                    <xdr:colOff>107950</xdr:colOff>
                    <xdr:row>28</xdr:row>
                    <xdr:rowOff>152400</xdr:rowOff>
                  </from>
                  <to>
                    <xdr:col>1</xdr:col>
                    <xdr:colOff>793750</xdr:colOff>
                    <xdr:row>30</xdr:row>
                    <xdr:rowOff>6350</xdr:rowOff>
                  </to>
                </anchor>
              </controlPr>
            </control>
          </mc:Choice>
        </mc:AlternateContent>
        <mc:AlternateContent xmlns:mc="http://schemas.openxmlformats.org/markup-compatibility/2006">
          <mc:Choice Requires="x14">
            <control shapeId="47810" r:id="rId47" name="Button 1730">
              <controlPr defaultSize="0" print="0" autoFill="0" autoPict="0" macro="[0]!nya">
                <anchor moveWithCells="1" sizeWithCells="1">
                  <from>
                    <xdr:col>10</xdr:col>
                    <xdr:colOff>120650</xdr:colOff>
                    <xdr:row>27</xdr:row>
                    <xdr:rowOff>31750</xdr:rowOff>
                  </from>
                  <to>
                    <xdr:col>11</xdr:col>
                    <xdr:colOff>1371600</xdr:colOff>
                    <xdr:row>28</xdr:row>
                    <xdr:rowOff>146050</xdr:rowOff>
                  </to>
                </anchor>
              </controlPr>
            </control>
          </mc:Choice>
        </mc:AlternateContent>
        <mc:AlternateContent xmlns:mc="http://schemas.openxmlformats.org/markup-compatibility/2006">
          <mc:Choice Requires="x14">
            <control shapeId="62248" r:id="rId48" name="Button 2856">
              <controlPr defaultSize="0" print="0" autoFill="0" autoPict="0" macro="[0]!basic_relief_input">
                <anchor moveWithCells="1" sizeWithCells="1">
                  <from>
                    <xdr:col>1</xdr:col>
                    <xdr:colOff>69850</xdr:colOff>
                    <xdr:row>11</xdr:row>
                    <xdr:rowOff>44450</xdr:rowOff>
                  </from>
                  <to>
                    <xdr:col>2</xdr:col>
                    <xdr:colOff>107950</xdr:colOff>
                    <xdr:row>11</xdr:row>
                    <xdr:rowOff>228600</xdr:rowOff>
                  </to>
                </anchor>
              </controlPr>
            </control>
          </mc:Choice>
        </mc:AlternateContent>
        <mc:AlternateContent xmlns:mc="http://schemas.openxmlformats.org/markup-compatibility/2006">
          <mc:Choice Requires="x14">
            <control shapeId="62314" r:id="rId49" name="Button 2922">
              <controlPr defaultSize="0" print="0" autoFill="0" autoPict="0" macro="[0]!basic_tc">
                <anchor moveWithCells="1" sizeWithCells="1">
                  <from>
                    <xdr:col>5</xdr:col>
                    <xdr:colOff>520700</xdr:colOff>
                    <xdr:row>6</xdr:row>
                    <xdr:rowOff>31750</xdr:rowOff>
                  </from>
                  <to>
                    <xdr:col>5</xdr:col>
                    <xdr:colOff>977900</xdr:colOff>
                    <xdr:row>6</xdr:row>
                    <xdr:rowOff>215900</xdr:rowOff>
                  </to>
                </anchor>
              </controlPr>
            </control>
          </mc:Choice>
        </mc:AlternateContent>
        <mc:AlternateContent xmlns:mc="http://schemas.openxmlformats.org/markup-compatibility/2006">
          <mc:Choice Requires="x14">
            <control shapeId="62315" r:id="rId50" name="Button 2923">
              <controlPr defaultSize="0" print="0" autoFill="0" autoPict="0" macro="[0]!clrbasictc">
                <anchor moveWithCells="1" sizeWithCells="1">
                  <from>
                    <xdr:col>9</xdr:col>
                    <xdr:colOff>44450</xdr:colOff>
                    <xdr:row>8</xdr:row>
                    <xdr:rowOff>6350</xdr:rowOff>
                  </from>
                  <to>
                    <xdr:col>10</xdr:col>
                    <xdr:colOff>146050</xdr:colOff>
                    <xdr:row>8</xdr:row>
                    <xdr:rowOff>228600</xdr:rowOff>
                  </to>
                </anchor>
              </controlPr>
            </control>
          </mc:Choice>
        </mc:AlternateContent>
        <mc:AlternateContent xmlns:mc="http://schemas.openxmlformats.org/markup-compatibility/2006">
          <mc:Choice Requires="x14">
            <control shapeId="62316" r:id="rId51" name="Button 2924">
              <controlPr defaultSize="0" print="0" autoFill="0" autoPict="0" macro="[0]!help_basiceffdate">
                <anchor moveWithCells="1" sizeWithCells="1">
                  <from>
                    <xdr:col>1</xdr:col>
                    <xdr:colOff>527050</xdr:colOff>
                    <xdr:row>7</xdr:row>
                    <xdr:rowOff>0</xdr:rowOff>
                  </from>
                  <to>
                    <xdr:col>2</xdr:col>
                    <xdr:colOff>184150</xdr:colOff>
                    <xdr:row>8</xdr:row>
                    <xdr:rowOff>6350</xdr:rowOff>
                  </to>
                </anchor>
              </controlPr>
            </control>
          </mc:Choice>
        </mc:AlternateContent>
        <mc:AlternateContent xmlns:mc="http://schemas.openxmlformats.org/markup-compatibility/2006">
          <mc:Choice Requires="x14">
            <control shapeId="62318" r:id="rId52" name="Button 2926">
              <controlPr defaultSize="0" print="0" autoFill="0" autoPict="0" macro="[0]!whatisanalyse">
                <anchor moveWithCells="1" sizeWithCells="1">
                  <from>
                    <xdr:col>1</xdr:col>
                    <xdr:colOff>508000</xdr:colOff>
                    <xdr:row>1</xdr:row>
                    <xdr:rowOff>127000</xdr:rowOff>
                  </from>
                  <to>
                    <xdr:col>1</xdr:col>
                    <xdr:colOff>730250</xdr:colOff>
                    <xdr:row>2</xdr:row>
                    <xdr:rowOff>228600</xdr:rowOff>
                  </to>
                </anchor>
              </controlPr>
            </control>
          </mc:Choice>
        </mc:AlternateContent>
        <mc:AlternateContent xmlns:mc="http://schemas.openxmlformats.org/markup-compatibility/2006">
          <mc:Choice Requires="x14">
            <control shapeId="62319" r:id="rId53" name="Check Box 2927">
              <controlPr defaultSize="0" autoFill="0" autoLine="0" autoPict="0" macro="[0]!check_basic_retail">
                <anchor moveWithCells="1">
                  <from>
                    <xdr:col>1</xdr:col>
                    <xdr:colOff>139700</xdr:colOff>
                    <xdr:row>3</xdr:row>
                    <xdr:rowOff>6350</xdr:rowOff>
                  </from>
                  <to>
                    <xdr:col>1</xdr:col>
                    <xdr:colOff>825500</xdr:colOff>
                    <xdr:row>3</xdr:row>
                    <xdr:rowOff>260350</xdr:rowOff>
                  </to>
                </anchor>
              </controlPr>
            </control>
          </mc:Choice>
        </mc:AlternateContent>
        <mc:AlternateContent xmlns:mc="http://schemas.openxmlformats.org/markup-compatibility/2006">
          <mc:Choice Requires="x14">
            <control shapeId="62320" r:id="rId54" name="Button 2928">
              <controlPr defaultSize="0" print="0" autoFill="0" autoPict="0" macro="[0]!help_enterrelief">
                <anchor moveWithCells="1" sizeWithCells="1">
                  <from>
                    <xdr:col>0</xdr:col>
                    <xdr:colOff>692150</xdr:colOff>
                    <xdr:row>11</xdr:row>
                    <xdr:rowOff>0</xdr:rowOff>
                  </from>
                  <to>
                    <xdr:col>0</xdr:col>
                    <xdr:colOff>1257300</xdr:colOff>
                    <xdr:row>12</xdr:row>
                    <xdr:rowOff>0</xdr:rowOff>
                  </to>
                </anchor>
              </controlPr>
            </control>
          </mc:Choice>
        </mc:AlternateContent>
        <mc:AlternateContent xmlns:mc="http://schemas.openxmlformats.org/markup-compatibility/2006">
          <mc:Choice Requires="x14">
            <control shapeId="62321" r:id="rId55" name="Button 2929">
              <controlPr defaultSize="0" print="0" autoFill="0" autoPict="0" macro="[0]!goto_trans_analysis_orig">
                <anchor moveWithCells="1" sizeWithCells="1">
                  <from>
                    <xdr:col>11</xdr:col>
                    <xdr:colOff>139700</xdr:colOff>
                    <xdr:row>8</xdr:row>
                    <xdr:rowOff>215900</xdr:rowOff>
                  </from>
                  <to>
                    <xdr:col>11</xdr:col>
                    <xdr:colOff>793750</xdr:colOff>
                    <xdr:row>10</xdr:row>
                    <xdr:rowOff>165100</xdr:rowOff>
                  </to>
                </anchor>
              </controlPr>
            </control>
          </mc:Choice>
        </mc:AlternateContent>
        <mc:AlternateContent xmlns:mc="http://schemas.openxmlformats.org/markup-compatibility/2006">
          <mc:Choice Requires="x14">
            <control shapeId="62322" r:id="rId56" name="Button 2930">
              <controlPr defaultSize="0" print="0" autoFill="0" autoPict="0" macro="[0]!goto_trans_analysis_revised">
                <anchor moveWithCells="1" sizeWithCells="1">
                  <from>
                    <xdr:col>11</xdr:col>
                    <xdr:colOff>793750</xdr:colOff>
                    <xdr:row>8</xdr:row>
                    <xdr:rowOff>215900</xdr:rowOff>
                  </from>
                  <to>
                    <xdr:col>11</xdr:col>
                    <xdr:colOff>1454150</xdr:colOff>
                    <xdr:row>10</xdr:row>
                    <xdr:rowOff>165100</xdr:rowOff>
                  </to>
                </anchor>
              </controlPr>
            </control>
          </mc:Choice>
        </mc:AlternateContent>
        <mc:AlternateContent xmlns:mc="http://schemas.openxmlformats.org/markup-compatibility/2006">
          <mc:Choice Requires="x14">
            <control shapeId="62326" r:id="rId57" name="Button 2934">
              <controlPr defaultSize="0" print="0" autoFill="0" autoPict="0" macro="[0]!help_rhl">
                <anchor moveWithCells="1" sizeWithCells="1">
                  <from>
                    <xdr:col>9</xdr:col>
                    <xdr:colOff>38100</xdr:colOff>
                    <xdr:row>11</xdr:row>
                    <xdr:rowOff>6350</xdr:rowOff>
                  </from>
                  <to>
                    <xdr:col>10</xdr:col>
                    <xdr:colOff>139700</xdr:colOff>
                    <xdr:row>11</xdr:row>
                    <xdr:rowOff>254000</xdr:rowOff>
                  </to>
                </anchor>
              </controlPr>
            </control>
          </mc:Choice>
        </mc:AlternateContent>
        <mc:AlternateContent xmlns:mc="http://schemas.openxmlformats.org/markup-compatibility/2006">
          <mc:Choice Requires="x14">
            <control shapeId="62327" r:id="rId58" name="Check Box 2935">
              <controlPr defaultSize="0" autoFill="0" autoLine="0" autoPict="0">
                <anchor moveWithCells="1">
                  <from>
                    <xdr:col>7</xdr:col>
                    <xdr:colOff>215900</xdr:colOff>
                    <xdr:row>12</xdr:row>
                    <xdr:rowOff>12700</xdr:rowOff>
                  </from>
                  <to>
                    <xdr:col>7</xdr:col>
                    <xdr:colOff>844550</xdr:colOff>
                    <xdr:row>12</xdr:row>
                    <xdr:rowOff>234950</xdr:rowOff>
                  </to>
                </anchor>
              </controlPr>
            </control>
          </mc:Choice>
        </mc:AlternateContent>
        <mc:AlternateContent xmlns:mc="http://schemas.openxmlformats.org/markup-compatibility/2006">
          <mc:Choice Requires="x14">
            <control shapeId="62329" r:id="rId59" name="Button 2937">
              <controlPr defaultSize="0" print="0" autoFill="0" autoPict="0" macro="[0]!help_ssbr">
                <anchor moveWithCells="1" sizeWithCells="1">
                  <from>
                    <xdr:col>7</xdr:col>
                    <xdr:colOff>965200</xdr:colOff>
                    <xdr:row>12</xdr:row>
                    <xdr:rowOff>44450</xdr:rowOff>
                  </from>
                  <to>
                    <xdr:col>7</xdr:col>
                    <xdr:colOff>1219200</xdr:colOff>
                    <xdr:row>12</xdr:row>
                    <xdr:rowOff>228600</xdr:rowOff>
                  </to>
                </anchor>
              </controlPr>
            </control>
          </mc:Choice>
        </mc:AlternateContent>
        <mc:AlternateContent xmlns:mc="http://schemas.openxmlformats.org/markup-compatibility/2006">
          <mc:Choice Requires="x14">
            <control shapeId="62330" r:id="rId60" name="globalbacktobutton">
              <controlPr defaultSize="0" print="0" autoFill="0" autoPict="0" macro="[0]!backto">
                <anchor moveWithCells="1" sizeWithCells="1">
                  <from>
                    <xdr:col>14</xdr:col>
                    <xdr:colOff>203200</xdr:colOff>
                    <xdr:row>5</xdr:row>
                    <xdr:rowOff>31750</xdr:rowOff>
                  </from>
                  <to>
                    <xdr:col>15</xdr:col>
                    <xdr:colOff>203200</xdr:colOff>
                    <xdr:row>7</xdr:row>
                    <xdr:rowOff>25400</xdr:rowOff>
                  </to>
                </anchor>
              </controlPr>
            </control>
          </mc:Choice>
        </mc:AlternateContent>
        <mc:AlternateContent xmlns:mc="http://schemas.openxmlformats.org/markup-compatibility/2006">
          <mc:Choice Requires="x14">
            <control shapeId="106047" r:id="rId61" name="Button 3647">
              <controlPr defaultSize="0" print="0" autoFill="0" autoPict="0" macro="[0]!help_rhlthreeyear">
                <anchor moveWithCells="1" sizeWithCells="1">
                  <from>
                    <xdr:col>9</xdr:col>
                    <xdr:colOff>44450</xdr:colOff>
                    <xdr:row>8</xdr:row>
                    <xdr:rowOff>241300</xdr:rowOff>
                  </from>
                  <to>
                    <xdr:col>10</xdr:col>
                    <xdr:colOff>146050</xdr:colOff>
                    <xdr:row>10</xdr:row>
                    <xdr:rowOff>31750</xdr:rowOff>
                  </to>
                </anchor>
              </controlPr>
            </control>
          </mc:Choice>
        </mc:AlternateContent>
        <mc:AlternateContent xmlns:mc="http://schemas.openxmlformats.org/markup-compatibility/2006">
          <mc:Choice Requires="x14">
            <control shapeId="106096" r:id="rId62" name="Button 3696">
              <controlPr defaultSize="0" print="0" autoFill="0" autoPict="0" macro="[0]!help_rhlthreeyear">
                <anchor moveWithCells="1" sizeWithCells="1">
                  <from>
                    <xdr:col>1</xdr:col>
                    <xdr:colOff>546100</xdr:colOff>
                    <xdr:row>9</xdr:row>
                    <xdr:rowOff>0</xdr:rowOff>
                  </from>
                  <to>
                    <xdr:col>2</xdr:col>
                    <xdr:colOff>165100</xdr:colOff>
                    <xdr:row>10</xdr:row>
                    <xdr:rowOff>0</xdr:rowOff>
                  </to>
                </anchor>
              </controlPr>
            </control>
          </mc:Choice>
        </mc:AlternateContent>
        <mc:AlternateContent xmlns:mc="http://schemas.openxmlformats.org/markup-compatibility/2006">
          <mc:Choice Requires="x14">
            <control shapeId="106493" r:id="rId63" name="Check Box 4093">
              <controlPr defaultSize="0" autoFill="0" autoLine="0" autoPict="0">
                <anchor moveWithCells="1">
                  <from>
                    <xdr:col>8</xdr:col>
                    <xdr:colOff>920750</xdr:colOff>
                    <xdr:row>12</xdr:row>
                    <xdr:rowOff>12700</xdr:rowOff>
                  </from>
                  <to>
                    <xdr:col>9</xdr:col>
                    <xdr:colOff>25400</xdr:colOff>
                    <xdr:row>12</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C8CAF-68D2-4E69-A916-351DD7EFBA21}">
  <sheetPr codeName="Sheet38"/>
  <dimension ref="A1:AS111"/>
  <sheetViews>
    <sheetView showGridLines="0" zoomScaleNormal="100" workbookViewId="0">
      <selection activeCell="I8" sqref="I8"/>
    </sheetView>
  </sheetViews>
  <sheetFormatPr defaultColWidth="9.08984375" defaultRowHeight="15.5" x14ac:dyDescent="0.35"/>
  <cols>
    <col min="1" max="1" width="19" style="162" customWidth="1"/>
    <col min="2" max="2" width="13.08984375" style="162" customWidth="1"/>
    <col min="3" max="3" width="3.08984375" style="162" customWidth="1"/>
    <col min="4" max="4" width="15.08984375" style="162" customWidth="1"/>
    <col min="5" max="5" width="3.36328125" style="162" customWidth="1"/>
    <col min="6" max="6" width="18.453125" style="162" customWidth="1"/>
    <col min="7" max="7" width="3.36328125" style="162" customWidth="1"/>
    <col min="8" max="8" width="18.6328125" style="162" customWidth="1"/>
    <col min="9" max="9" width="16.6328125" style="162" customWidth="1"/>
    <col min="10" max="10" width="4" style="162" customWidth="1"/>
    <col min="11" max="11" width="2.6328125" style="162" customWidth="1"/>
    <col min="12" max="12" width="23.36328125" style="162" customWidth="1"/>
    <col min="13" max="13" width="7.36328125" style="162" customWidth="1"/>
    <col min="14" max="14" width="8.6328125" style="162" customWidth="1"/>
    <col min="15" max="16" width="9.08984375" style="162"/>
    <col min="17" max="17" width="12.6328125" style="162" customWidth="1"/>
    <col min="18" max="18" width="9.08984375" style="187"/>
    <col min="19" max="19" width="11" style="162" hidden="1" customWidth="1"/>
    <col min="20" max="20" width="12.36328125" style="162" hidden="1" customWidth="1"/>
    <col min="21" max="21" width="11.90625" style="162" hidden="1" customWidth="1"/>
    <col min="22" max="22" width="14.453125" style="162" hidden="1" customWidth="1"/>
    <col min="23" max="23" width="11.453125" style="162" hidden="1" customWidth="1"/>
    <col min="24" max="24" width="13.08984375" style="162" hidden="1" customWidth="1"/>
    <col min="25" max="25" width="14.453125" style="162" hidden="1" customWidth="1"/>
    <col min="26" max="27" width="9.08984375" style="162" hidden="1" customWidth="1"/>
    <col min="28" max="16384" width="9.08984375" style="162"/>
  </cols>
  <sheetData>
    <row r="1" spans="1:45" ht="30" customHeight="1" thickBot="1" x14ac:dyDescent="0.45">
      <c r="A1" s="712"/>
      <c r="B1" s="711" t="s">
        <v>2414</v>
      </c>
      <c r="C1" s="712"/>
      <c r="D1" s="712"/>
      <c r="E1" s="712"/>
      <c r="F1" s="712"/>
      <c r="G1" s="712"/>
      <c r="H1" s="712"/>
      <c r="I1" s="712"/>
      <c r="J1" s="712"/>
      <c r="K1" s="712"/>
      <c r="L1" s="712"/>
      <c r="M1" s="712"/>
      <c r="N1" s="712"/>
      <c r="O1" s="712"/>
      <c r="P1" s="712"/>
      <c r="Q1" s="712"/>
      <c r="R1" s="713"/>
      <c r="S1" s="5">
        <v>10</v>
      </c>
      <c r="T1" s="5">
        <v>12</v>
      </c>
      <c r="U1" s="5">
        <f>IF($S$19=1,$T$1,$S$1)</f>
        <v>12</v>
      </c>
      <c r="V1" s="5">
        <f t="shared" ref="V1:AA1" si="0">IF($S$19=1,$T$1,$S$1)</f>
        <v>12</v>
      </c>
      <c r="W1" s="5">
        <f t="shared" si="0"/>
        <v>12</v>
      </c>
      <c r="X1" s="5">
        <f t="shared" si="0"/>
        <v>12</v>
      </c>
      <c r="Y1" s="5">
        <f t="shared" si="0"/>
        <v>12</v>
      </c>
      <c r="Z1" s="5">
        <f t="shared" si="0"/>
        <v>12</v>
      </c>
      <c r="AA1" s="5">
        <f t="shared" si="0"/>
        <v>12</v>
      </c>
      <c r="AB1" s="712"/>
      <c r="AC1" s="712"/>
      <c r="AD1" s="712"/>
      <c r="AE1" s="712"/>
      <c r="AF1" s="712"/>
      <c r="AG1" s="712"/>
      <c r="AH1" s="712"/>
      <c r="AI1" s="712"/>
      <c r="AJ1" s="712"/>
      <c r="AK1" s="712"/>
      <c r="AL1" s="712"/>
      <c r="AM1" s="712"/>
      <c r="AN1" s="712"/>
      <c r="AO1" s="712"/>
      <c r="AP1" s="712"/>
      <c r="AQ1" s="712"/>
      <c r="AR1" s="712"/>
      <c r="AS1" s="712"/>
    </row>
    <row r="2" spans="1:45" ht="16.5" customHeight="1" thickBot="1" x14ac:dyDescent="0.4">
      <c r="A2" s="712"/>
      <c r="B2" s="168"/>
      <c r="C2" s="169"/>
      <c r="D2" s="169"/>
      <c r="E2" s="169"/>
      <c r="F2" s="169"/>
      <c r="G2" s="169"/>
      <c r="H2" s="169"/>
      <c r="I2" s="169"/>
      <c r="J2" s="169"/>
      <c r="K2" s="169"/>
      <c r="L2" s="169"/>
      <c r="M2" s="170"/>
      <c r="N2" s="712"/>
      <c r="O2" s="712"/>
      <c r="P2" s="712"/>
      <c r="Q2" s="712"/>
      <c r="R2" s="713"/>
      <c r="S2" s="2446" t="s">
        <v>2422</v>
      </c>
      <c r="T2" s="2446"/>
      <c r="U2" s="720">
        <f ca="1">calc1!D92</f>
        <v>0</v>
      </c>
      <c r="V2" s="720">
        <f ca="1">calc1!E92</f>
        <v>0</v>
      </c>
      <c r="W2" s="720">
        <f ca="1">calc1!F92</f>
        <v>0</v>
      </c>
      <c r="X2" s="720">
        <f ca="1">calc1!G92</f>
        <v>0</v>
      </c>
      <c r="Y2" s="720">
        <f ca="1">calc1!H92</f>
        <v>0</v>
      </c>
      <c r="Z2" s="720">
        <f ca="1">calc1!I92</f>
        <v>0</v>
      </c>
      <c r="AA2" s="720">
        <f>calc1!J92</f>
        <v>0</v>
      </c>
      <c r="AB2" s="712"/>
      <c r="AC2" s="712"/>
      <c r="AD2" s="712"/>
      <c r="AE2" s="712"/>
      <c r="AF2" s="712"/>
      <c r="AG2" s="712"/>
      <c r="AH2" s="712"/>
      <c r="AI2" s="712"/>
      <c r="AJ2" s="712"/>
      <c r="AK2" s="712"/>
      <c r="AL2" s="712"/>
      <c r="AM2" s="712"/>
      <c r="AN2" s="712"/>
      <c r="AO2" s="712"/>
      <c r="AP2" s="712"/>
      <c r="AQ2" s="712"/>
      <c r="AR2" s="712"/>
      <c r="AS2" s="712"/>
    </row>
    <row r="3" spans="1:45" ht="22.5" customHeight="1" thickTop="1" x14ac:dyDescent="0.4">
      <c r="A3" s="712"/>
      <c r="B3" s="171"/>
      <c r="C3" s="183"/>
      <c r="D3" s="228" t="s">
        <v>2421</v>
      </c>
      <c r="E3" s="184"/>
      <c r="F3" s="184"/>
      <c r="G3" s="184"/>
      <c r="H3" s="184"/>
      <c r="I3" s="184"/>
      <c r="J3" s="185"/>
      <c r="K3" s="172"/>
      <c r="L3" s="181"/>
      <c r="M3" s="173"/>
      <c r="N3" s="712"/>
      <c r="O3" s="712"/>
      <c r="P3" s="712"/>
      <c r="Q3" s="712"/>
      <c r="R3" s="713"/>
      <c r="S3" s="2446" t="s">
        <v>2423</v>
      </c>
      <c r="T3" s="2446"/>
      <c r="U3" s="721"/>
      <c r="V3" s="721"/>
      <c r="W3" s="721"/>
      <c r="X3" s="721"/>
      <c r="Y3" s="721"/>
      <c r="Z3"/>
      <c r="AA3"/>
      <c r="AB3" s="712"/>
      <c r="AC3" s="712"/>
      <c r="AD3" s="712"/>
      <c r="AE3" s="712"/>
      <c r="AF3" s="712"/>
      <c r="AG3" s="712"/>
      <c r="AH3" s="712"/>
      <c r="AI3" s="712"/>
      <c r="AJ3" s="712"/>
      <c r="AK3" s="712"/>
      <c r="AL3" s="712"/>
      <c r="AM3" s="712"/>
      <c r="AN3" s="712"/>
      <c r="AO3" s="712"/>
      <c r="AP3" s="712"/>
      <c r="AQ3" s="712"/>
      <c r="AR3" s="712"/>
      <c r="AS3" s="712"/>
    </row>
    <row r="4" spans="1:45" ht="22.5" customHeight="1" x14ac:dyDescent="0.35">
      <c r="A4" s="712"/>
      <c r="B4" s="171"/>
      <c r="C4" s="186"/>
      <c r="D4" s="229" t="s">
        <v>830</v>
      </c>
      <c r="E4" s="207"/>
      <c r="F4" s="207"/>
      <c r="G4" s="207"/>
      <c r="H4" s="207"/>
      <c r="I4" s="1296" t="str">
        <f>basic!D22</f>
        <v>England</v>
      </c>
      <c r="J4" s="188"/>
      <c r="K4" s="172"/>
      <c r="L4" s="172"/>
      <c r="M4" s="173"/>
      <c r="N4" s="712"/>
      <c r="O4" s="712"/>
      <c r="P4" s="712"/>
      <c r="Q4" s="712"/>
      <c r="R4" s="713"/>
      <c r="S4" s="428">
        <v>1</v>
      </c>
      <c r="T4" s="428" t="s">
        <v>2424</v>
      </c>
      <c r="U4" s="722">
        <f ca="1">U2-(U5*(U1-1))</f>
        <v>0</v>
      </c>
      <c r="V4" s="722">
        <f t="shared" ref="V4:AA4" ca="1" si="1">V2-(V5*(V1-1))</f>
        <v>0</v>
      </c>
      <c r="W4" s="722">
        <f t="shared" ca="1" si="1"/>
        <v>0</v>
      </c>
      <c r="X4" s="722">
        <f t="shared" ca="1" si="1"/>
        <v>0</v>
      </c>
      <c r="Y4" s="722">
        <f t="shared" ca="1" si="1"/>
        <v>0</v>
      </c>
      <c r="Z4" s="722">
        <f t="shared" ca="1" si="1"/>
        <v>0</v>
      </c>
      <c r="AA4" s="722">
        <f t="shared" si="1"/>
        <v>0</v>
      </c>
      <c r="AB4" s="712"/>
      <c r="AC4" s="712"/>
      <c r="AD4" s="712"/>
      <c r="AE4" s="712"/>
      <c r="AF4" s="712"/>
      <c r="AG4" s="712"/>
      <c r="AH4" s="712"/>
      <c r="AI4" s="712"/>
      <c r="AJ4" s="712"/>
      <c r="AK4" s="712"/>
      <c r="AL4" s="712"/>
      <c r="AM4" s="712"/>
      <c r="AN4" s="712"/>
      <c r="AO4" s="712"/>
      <c r="AP4" s="712"/>
      <c r="AQ4" s="712"/>
      <c r="AR4" s="712"/>
      <c r="AS4" s="712"/>
    </row>
    <row r="5" spans="1:45" ht="16" thickBot="1" x14ac:dyDescent="0.4">
      <c r="A5" s="712"/>
      <c r="B5" s="393"/>
      <c r="C5" s="186"/>
      <c r="D5" s="717" t="str">
        <f>basic!D5</f>
        <v>Final 2017 List RV, or a zero if none</v>
      </c>
      <c r="E5" s="211"/>
      <c r="F5" s="211"/>
      <c r="G5" s="211"/>
      <c r="H5" s="212"/>
      <c r="I5" s="716">
        <f>basic!I5</f>
        <v>0</v>
      </c>
      <c r="J5" s="188"/>
      <c r="K5" s="172"/>
      <c r="L5" s="172"/>
      <c r="M5" s="173"/>
      <c r="N5" s="712"/>
      <c r="O5" s="712"/>
      <c r="P5" s="712"/>
      <c r="Q5" s="712"/>
      <c r="R5" s="713"/>
      <c r="S5" s="428">
        <v>2</v>
      </c>
      <c r="T5" s="428" t="s">
        <v>2425</v>
      </c>
      <c r="U5" s="722">
        <f t="shared" ref="U5:AA5" ca="1" si="2">ROUND(U$2/U1,0)</f>
        <v>0</v>
      </c>
      <c r="V5" s="722">
        <f t="shared" ca="1" si="2"/>
        <v>0</v>
      </c>
      <c r="W5" s="722">
        <f t="shared" ca="1" si="2"/>
        <v>0</v>
      </c>
      <c r="X5" s="722">
        <f t="shared" ca="1" si="2"/>
        <v>0</v>
      </c>
      <c r="Y5" s="722">
        <f t="shared" ca="1" si="2"/>
        <v>0</v>
      </c>
      <c r="Z5" s="722">
        <f t="shared" ca="1" si="2"/>
        <v>0</v>
      </c>
      <c r="AA5" s="722">
        <f t="shared" si="2"/>
        <v>0</v>
      </c>
      <c r="AB5" s="712"/>
      <c r="AC5" s="712"/>
      <c r="AD5" s="712"/>
      <c r="AE5" s="712"/>
      <c r="AF5" s="712"/>
      <c r="AG5" s="712"/>
      <c r="AH5" s="712"/>
      <c r="AI5" s="712"/>
      <c r="AJ5" s="712"/>
      <c r="AK5" s="712"/>
      <c r="AL5" s="712"/>
      <c r="AM5" s="712"/>
      <c r="AN5" s="712"/>
      <c r="AO5" s="712"/>
      <c r="AP5" s="712"/>
      <c r="AQ5" s="712"/>
      <c r="AR5" s="712"/>
      <c r="AS5" s="712"/>
    </row>
    <row r="6" spans="1:45" x14ac:dyDescent="0.35">
      <c r="A6" s="712"/>
      <c r="B6" s="171"/>
      <c r="C6" s="186"/>
      <c r="D6" s="717" t="str">
        <f>basic!D6</f>
        <v>RV at 01/04/2023</v>
      </c>
      <c r="E6" s="211"/>
      <c r="F6" s="211"/>
      <c r="G6" s="211"/>
      <c r="H6" s="212"/>
      <c r="I6" s="716">
        <f>basic!I6</f>
        <v>0</v>
      </c>
      <c r="J6" s="188"/>
      <c r="K6" s="172"/>
      <c r="L6" s="165"/>
      <c r="M6" s="173"/>
      <c r="N6" s="712"/>
      <c r="O6" s="712"/>
      <c r="P6" s="712"/>
      <c r="Q6" s="712"/>
      <c r="R6" s="713"/>
      <c r="S6" s="428"/>
      <c r="T6" s="428">
        <v>0</v>
      </c>
      <c r="U6" s="722">
        <v>0</v>
      </c>
      <c r="V6" s="722">
        <v>0</v>
      </c>
      <c r="W6" s="722">
        <v>0</v>
      </c>
      <c r="X6" s="722">
        <v>0</v>
      </c>
      <c r="Y6" s="722">
        <v>0</v>
      </c>
      <c r="Z6" s="722">
        <v>0</v>
      </c>
      <c r="AA6" s="722">
        <v>0</v>
      </c>
      <c r="AB6" s="712"/>
      <c r="AC6" s="712"/>
      <c r="AD6" s="712"/>
      <c r="AE6" s="712"/>
      <c r="AF6" s="712"/>
      <c r="AG6" s="712"/>
      <c r="AH6" s="712"/>
      <c r="AI6" s="712"/>
      <c r="AJ6" s="712"/>
      <c r="AK6" s="712"/>
      <c r="AL6" s="712"/>
      <c r="AM6" s="712"/>
      <c r="AN6" s="712"/>
      <c r="AO6" s="712"/>
      <c r="AP6" s="712"/>
      <c r="AQ6" s="712"/>
      <c r="AR6" s="712"/>
      <c r="AS6" s="712"/>
    </row>
    <row r="7" spans="1:45" x14ac:dyDescent="0.35">
      <c r="A7" s="712"/>
      <c r="B7" s="171"/>
      <c r="C7" s="186"/>
      <c r="D7" s="717" t="str">
        <f>basic!D7</f>
        <v>Revised RV at 01/04/2023</v>
      </c>
      <c r="E7" s="211"/>
      <c r="F7" s="211"/>
      <c r="G7" s="211"/>
      <c r="H7" s="212"/>
      <c r="I7" s="716">
        <f>basic!I7</f>
        <v>0</v>
      </c>
      <c r="J7" s="188"/>
      <c r="K7" s="172"/>
      <c r="L7" s="166"/>
      <c r="M7" s="173"/>
      <c r="N7" s="712"/>
      <c r="O7" s="714"/>
      <c r="P7" s="712"/>
      <c r="Q7" s="712"/>
      <c r="R7" s="713"/>
      <c r="S7" s="428"/>
      <c r="T7" s="428">
        <v>1</v>
      </c>
      <c r="U7" s="722">
        <f ca="1">U4</f>
        <v>0</v>
      </c>
      <c r="V7" s="722">
        <f t="shared" ref="V7:AA7" ca="1" si="3">V4</f>
        <v>0</v>
      </c>
      <c r="W7" s="722">
        <f t="shared" ca="1" si="3"/>
        <v>0</v>
      </c>
      <c r="X7" s="722">
        <f t="shared" ca="1" si="3"/>
        <v>0</v>
      </c>
      <c r="Y7" s="722">
        <f t="shared" ca="1" si="3"/>
        <v>0</v>
      </c>
      <c r="Z7" s="722">
        <f t="shared" ca="1" si="3"/>
        <v>0</v>
      </c>
      <c r="AA7" s="722">
        <f t="shared" si="3"/>
        <v>0</v>
      </c>
      <c r="AB7" s="712"/>
      <c r="AC7" s="712"/>
      <c r="AD7" s="712"/>
      <c r="AE7" s="712"/>
      <c r="AF7" s="712"/>
      <c r="AG7" s="712"/>
      <c r="AH7" s="712"/>
      <c r="AI7" s="712"/>
      <c r="AJ7" s="712"/>
      <c r="AK7" s="712"/>
      <c r="AL7" s="712"/>
      <c r="AM7" s="712"/>
      <c r="AN7" s="712"/>
      <c r="AO7" s="712"/>
      <c r="AP7" s="712"/>
      <c r="AQ7" s="712"/>
      <c r="AR7" s="712"/>
      <c r="AS7" s="712"/>
    </row>
    <row r="8" spans="1:45" x14ac:dyDescent="0.35">
      <c r="A8" s="712"/>
      <c r="B8" s="171"/>
      <c r="C8" s="186"/>
      <c r="D8" s="140" t="s">
        <v>2420</v>
      </c>
      <c r="E8" s="533"/>
      <c r="F8" s="533"/>
      <c r="G8" s="533"/>
      <c r="H8" s="533"/>
      <c r="I8" s="1740">
        <f ca="1">TODAY()</f>
        <v>46155</v>
      </c>
      <c r="J8" s="188"/>
      <c r="K8" s="172"/>
      <c r="L8" s="166"/>
      <c r="M8" s="173"/>
      <c r="N8" s="712"/>
      <c r="O8" s="712"/>
      <c r="P8" s="712"/>
      <c r="Q8" s="712"/>
      <c r="R8" s="713"/>
      <c r="S8" s="428"/>
      <c r="T8" s="428">
        <v>2</v>
      </c>
      <c r="U8" s="722">
        <f t="shared" ref="U8:AA18" ca="1" si="4">U7+U$5</f>
        <v>0</v>
      </c>
      <c r="V8" s="722">
        <f t="shared" ca="1" si="4"/>
        <v>0</v>
      </c>
      <c r="W8" s="722">
        <f t="shared" ca="1" si="4"/>
        <v>0</v>
      </c>
      <c r="X8" s="722">
        <f t="shared" ca="1" si="4"/>
        <v>0</v>
      </c>
      <c r="Y8" s="722">
        <f t="shared" ca="1" si="4"/>
        <v>0</v>
      </c>
      <c r="Z8" s="722">
        <f t="shared" ca="1" si="4"/>
        <v>0</v>
      </c>
      <c r="AA8" s="722">
        <f t="shared" si="4"/>
        <v>0</v>
      </c>
      <c r="AB8" s="712"/>
      <c r="AC8" s="712"/>
      <c r="AD8" s="712"/>
      <c r="AE8" s="712"/>
      <c r="AF8" s="712"/>
      <c r="AG8" s="712"/>
      <c r="AH8" s="712"/>
      <c r="AI8" s="712"/>
      <c r="AJ8" s="712"/>
      <c r="AK8" s="712"/>
      <c r="AL8" s="712"/>
      <c r="AM8" s="712"/>
      <c r="AN8" s="712"/>
      <c r="AO8" s="712"/>
      <c r="AP8" s="712"/>
      <c r="AQ8" s="712"/>
      <c r="AR8" s="712"/>
      <c r="AS8" s="712"/>
    </row>
    <row r="9" spans="1:45" ht="16.5" customHeight="1" x14ac:dyDescent="0.35">
      <c r="A9" s="712"/>
      <c r="B9" s="171"/>
      <c r="C9" s="186"/>
      <c r="D9" s="717" t="s">
        <v>834</v>
      </c>
      <c r="E9" s="211"/>
      <c r="F9" s="211"/>
      <c r="G9" s="232"/>
      <c r="H9" s="217"/>
      <c r="I9" s="218" t="str">
        <f>TEXT(calc1!D19,"#,##0.00")</f>
        <v>0.00</v>
      </c>
      <c r="J9" s="188"/>
      <c r="K9" s="172"/>
      <c r="L9" s="166"/>
      <c r="M9" s="173"/>
      <c r="N9" s="712"/>
      <c r="O9" s="712"/>
      <c r="P9" s="712"/>
      <c r="Q9" s="712"/>
      <c r="R9" s="713"/>
      <c r="S9" s="428"/>
      <c r="T9" s="428">
        <v>3</v>
      </c>
      <c r="U9" s="722">
        <f t="shared" ca="1" si="4"/>
        <v>0</v>
      </c>
      <c r="V9" s="722">
        <f t="shared" ca="1" si="4"/>
        <v>0</v>
      </c>
      <c r="W9" s="722">
        <f t="shared" ca="1" si="4"/>
        <v>0</v>
      </c>
      <c r="X9" s="722">
        <f t="shared" ca="1" si="4"/>
        <v>0</v>
      </c>
      <c r="Y9" s="722">
        <f t="shared" ca="1" si="4"/>
        <v>0</v>
      </c>
      <c r="Z9" s="722">
        <f t="shared" ca="1" si="4"/>
        <v>0</v>
      </c>
      <c r="AA9" s="722">
        <f t="shared" si="4"/>
        <v>0</v>
      </c>
      <c r="AB9" s="712"/>
      <c r="AC9" s="712"/>
      <c r="AD9" s="712"/>
      <c r="AE9" s="712"/>
      <c r="AF9" s="712"/>
      <c r="AG9" s="712"/>
      <c r="AH9" s="712"/>
      <c r="AI9" s="712"/>
      <c r="AJ9" s="712"/>
      <c r="AK9" s="712"/>
      <c r="AL9" s="712"/>
      <c r="AM9" s="712"/>
      <c r="AN9" s="712"/>
      <c r="AO9" s="712"/>
      <c r="AP9" s="712"/>
      <c r="AQ9" s="712"/>
      <c r="AR9" s="712"/>
      <c r="AS9" s="712"/>
    </row>
    <row r="10" spans="1:45" ht="16.5" customHeight="1" x14ac:dyDescent="0.35">
      <c r="A10" s="712"/>
      <c r="B10" s="171"/>
      <c r="C10" s="186"/>
      <c r="D10" s="717" t="str">
        <f>'basic analysis original'!D7</f>
        <v/>
      </c>
      <c r="E10" s="211"/>
      <c r="F10" s="211"/>
      <c r="G10" s="211"/>
      <c r="H10" s="211"/>
      <c r="I10" s="219"/>
      <c r="J10" s="188"/>
      <c r="K10" s="172"/>
      <c r="L10" s="166"/>
      <c r="M10" s="173"/>
      <c r="N10" s="712"/>
      <c r="O10" s="712"/>
      <c r="P10" s="712"/>
      <c r="Q10" s="712"/>
      <c r="R10" s="713"/>
      <c r="S10" s="428" t="s">
        <v>3041</v>
      </c>
      <c r="T10" s="428">
        <v>4</v>
      </c>
      <c r="U10" s="722">
        <f t="shared" ca="1" si="4"/>
        <v>0</v>
      </c>
      <c r="V10" s="722">
        <f t="shared" ca="1" si="4"/>
        <v>0</v>
      </c>
      <c r="W10" s="722">
        <f t="shared" ca="1" si="4"/>
        <v>0</v>
      </c>
      <c r="X10" s="722">
        <f t="shared" ca="1" si="4"/>
        <v>0</v>
      </c>
      <c r="Y10" s="722">
        <f t="shared" ca="1" si="4"/>
        <v>0</v>
      </c>
      <c r="Z10" s="722">
        <f t="shared" ca="1" si="4"/>
        <v>0</v>
      </c>
      <c r="AA10" s="722">
        <f t="shared" si="4"/>
        <v>0</v>
      </c>
      <c r="AB10" s="712"/>
      <c r="AC10" s="712"/>
      <c r="AD10" s="712"/>
      <c r="AE10" s="712"/>
      <c r="AF10" s="712"/>
      <c r="AG10" s="712"/>
      <c r="AH10" s="712"/>
      <c r="AI10" s="712"/>
      <c r="AJ10" s="712"/>
      <c r="AK10" s="712"/>
      <c r="AL10" s="712"/>
      <c r="AM10" s="712"/>
      <c r="AN10" s="712"/>
      <c r="AO10" s="712"/>
      <c r="AP10" s="712"/>
      <c r="AQ10" s="712"/>
      <c r="AR10" s="712"/>
      <c r="AS10" s="712"/>
    </row>
    <row r="11" spans="1:45" ht="16.5" customHeight="1" x14ac:dyDescent="0.35">
      <c r="A11" s="712"/>
      <c r="B11" s="171"/>
      <c r="C11" s="186"/>
      <c r="D11" s="230" t="str">
        <f ca="1">basic!D11</f>
        <v>Please Enter the RV's Where Indicated Above</v>
      </c>
      <c r="E11" s="187"/>
      <c r="F11" s="187"/>
      <c r="G11" s="187"/>
      <c r="H11" s="187"/>
      <c r="I11" s="187"/>
      <c r="J11" s="188"/>
      <c r="K11" s="172"/>
      <c r="L11" s="166"/>
      <c r="M11" s="173"/>
      <c r="N11" s="712"/>
      <c r="O11" s="712"/>
      <c r="P11" s="712"/>
      <c r="Q11" s="712"/>
      <c r="R11" s="713"/>
      <c r="S11" s="428"/>
      <c r="T11" s="428">
        <v>5</v>
      </c>
      <c r="U11" s="722">
        <f t="shared" ca="1" si="4"/>
        <v>0</v>
      </c>
      <c r="V11" s="722">
        <f t="shared" ca="1" si="4"/>
        <v>0</v>
      </c>
      <c r="W11" s="722">
        <f t="shared" ca="1" si="4"/>
        <v>0</v>
      </c>
      <c r="X11" s="722">
        <f t="shared" ca="1" si="4"/>
        <v>0</v>
      </c>
      <c r="Y11" s="722">
        <f t="shared" ca="1" si="4"/>
        <v>0</v>
      </c>
      <c r="Z11" s="722">
        <f t="shared" ca="1" si="4"/>
        <v>0</v>
      </c>
      <c r="AA11" s="722">
        <f t="shared" si="4"/>
        <v>0</v>
      </c>
      <c r="AB11" s="712"/>
      <c r="AC11" s="712"/>
      <c r="AD11" s="712"/>
      <c r="AE11" s="712"/>
      <c r="AF11" s="712"/>
      <c r="AG11" s="712"/>
      <c r="AH11" s="712"/>
      <c r="AI11" s="712"/>
      <c r="AJ11" s="712"/>
      <c r="AK11" s="712"/>
      <c r="AL11" s="712"/>
      <c r="AM11" s="712"/>
      <c r="AN11" s="712"/>
      <c r="AO11" s="712"/>
      <c r="AP11" s="712"/>
      <c r="AQ11" s="712"/>
      <c r="AR11" s="712"/>
      <c r="AS11" s="712"/>
    </row>
    <row r="12" spans="1:45" ht="21" customHeight="1" thickBot="1" x14ac:dyDescent="0.4">
      <c r="A12" s="712"/>
      <c r="B12" s="171"/>
      <c r="C12" s="186"/>
      <c r="D12" s="178" t="str">
        <f>basic!D12</f>
        <v xml:space="preserve">  Empty - n</v>
      </c>
      <c r="E12" s="179"/>
      <c r="F12" s="178" t="str">
        <f>basic!F12</f>
        <v xml:space="preserve">   Charity - n</v>
      </c>
      <c r="G12" s="179"/>
      <c r="H12" s="178" t="str">
        <f>basic!H12</f>
        <v xml:space="preserve">   SBRR - n</v>
      </c>
      <c r="I12" s="719" t="str">
        <f>basic!I12</f>
        <v xml:space="preserve">   RHL - n</v>
      </c>
      <c r="J12" s="188"/>
      <c r="K12" s="172"/>
      <c r="L12" s="167"/>
      <c r="M12" s="173"/>
      <c r="N12" s="712"/>
      <c r="O12" s="712"/>
      <c r="P12" s="712"/>
      <c r="Q12" s="712"/>
      <c r="R12" s="713"/>
      <c r="S12" s="428"/>
      <c r="T12" s="428">
        <v>6</v>
      </c>
      <c r="U12" s="722">
        <f t="shared" ca="1" si="4"/>
        <v>0</v>
      </c>
      <c r="V12" s="722">
        <f t="shared" ca="1" si="4"/>
        <v>0</v>
      </c>
      <c r="W12" s="722">
        <f t="shared" ca="1" si="4"/>
        <v>0</v>
      </c>
      <c r="X12" s="722">
        <f t="shared" ca="1" si="4"/>
        <v>0</v>
      </c>
      <c r="Y12" s="722">
        <f t="shared" ca="1" si="4"/>
        <v>0</v>
      </c>
      <c r="Z12" s="722">
        <f t="shared" ca="1" si="4"/>
        <v>0</v>
      </c>
      <c r="AA12" s="722">
        <f t="shared" si="4"/>
        <v>0</v>
      </c>
      <c r="AB12" s="712"/>
      <c r="AC12" s="712"/>
      <c r="AD12" s="712"/>
      <c r="AE12" s="712"/>
      <c r="AF12" s="712"/>
      <c r="AG12" s="712"/>
      <c r="AH12" s="712"/>
      <c r="AI12" s="712"/>
      <c r="AJ12" s="712"/>
      <c r="AK12" s="712"/>
      <c r="AL12" s="712"/>
      <c r="AM12" s="712"/>
      <c r="AN12" s="712"/>
      <c r="AO12" s="712"/>
      <c r="AP12" s="712"/>
      <c r="AQ12" s="712"/>
      <c r="AR12" s="712"/>
      <c r="AS12" s="712"/>
    </row>
    <row r="13" spans="1:45" ht="6.75" customHeight="1" x14ac:dyDescent="0.35">
      <c r="A13" s="712"/>
      <c r="B13" s="171"/>
      <c r="C13" s="186"/>
      <c r="D13" s="187"/>
      <c r="E13" s="187"/>
      <c r="F13" s="187"/>
      <c r="G13" s="187"/>
      <c r="H13" s="187"/>
      <c r="I13" s="187"/>
      <c r="J13" s="188"/>
      <c r="K13" s="172"/>
      <c r="L13" s="172"/>
      <c r="M13" s="173"/>
      <c r="N13" s="712"/>
      <c r="O13" s="712"/>
      <c r="P13" s="712"/>
      <c r="Q13" s="712"/>
      <c r="R13" s="713"/>
      <c r="S13" s="428"/>
      <c r="T13" s="428">
        <v>7</v>
      </c>
      <c r="U13" s="722">
        <f t="shared" ca="1" si="4"/>
        <v>0</v>
      </c>
      <c r="V13" s="722">
        <f t="shared" ca="1" si="4"/>
        <v>0</v>
      </c>
      <c r="W13" s="722">
        <f t="shared" ca="1" si="4"/>
        <v>0</v>
      </c>
      <c r="X13" s="722">
        <f t="shared" ca="1" si="4"/>
        <v>0</v>
      </c>
      <c r="Y13" s="722">
        <f t="shared" ca="1" si="4"/>
        <v>0</v>
      </c>
      <c r="Z13" s="722">
        <f t="shared" ca="1" si="4"/>
        <v>0</v>
      </c>
      <c r="AA13" s="722">
        <f t="shared" si="4"/>
        <v>0</v>
      </c>
      <c r="AB13" s="712"/>
      <c r="AC13" s="712"/>
      <c r="AD13" s="712"/>
      <c r="AE13" s="712"/>
      <c r="AF13" s="712"/>
      <c r="AG13" s="712"/>
      <c r="AH13" s="712"/>
      <c r="AI13" s="712"/>
      <c r="AJ13" s="712"/>
      <c r="AK13" s="712"/>
      <c r="AL13" s="712"/>
      <c r="AM13" s="712"/>
      <c r="AN13" s="712"/>
      <c r="AO13" s="712"/>
      <c r="AP13" s="712"/>
      <c r="AQ13" s="712"/>
      <c r="AR13" s="712"/>
      <c r="AS13" s="712"/>
    </row>
    <row r="14" spans="1:45" ht="21" customHeight="1" x14ac:dyDescent="0.35">
      <c r="A14" s="712"/>
      <c r="B14" s="171"/>
      <c r="C14" s="186"/>
      <c r="D14" s="209" t="s">
        <v>831</v>
      </c>
      <c r="E14" s="210" t="str">
        <f>basic!E14</f>
        <v>ta</v>
      </c>
      <c r="F14" s="210" t="s">
        <v>2416</v>
      </c>
      <c r="G14" s="210" t="str">
        <f>basic!G14</f>
        <v>ta</v>
      </c>
      <c r="H14" s="210" t="s">
        <v>2415</v>
      </c>
      <c r="I14" s="210" t="s">
        <v>2417</v>
      </c>
      <c r="J14" s="188"/>
      <c r="K14" s="172"/>
      <c r="L14" s="172"/>
      <c r="M14" s="173"/>
      <c r="N14" s="712"/>
      <c r="O14" s="712"/>
      <c r="P14" s="712"/>
      <c r="Q14" s="712"/>
      <c r="R14" s="713"/>
      <c r="S14" s="428"/>
      <c r="T14" s="428">
        <v>8</v>
      </c>
      <c r="U14" s="722">
        <f t="shared" ca="1" si="4"/>
        <v>0</v>
      </c>
      <c r="V14" s="722">
        <f t="shared" ca="1" si="4"/>
        <v>0</v>
      </c>
      <c r="W14" s="722">
        <f t="shared" ca="1" si="4"/>
        <v>0</v>
      </c>
      <c r="X14" s="722">
        <f t="shared" ca="1" si="4"/>
        <v>0</v>
      </c>
      <c r="Y14" s="722">
        <f t="shared" ca="1" si="4"/>
        <v>0</v>
      </c>
      <c r="Z14" s="722">
        <f t="shared" ca="1" si="4"/>
        <v>0</v>
      </c>
      <c r="AA14" s="722">
        <f t="shared" si="4"/>
        <v>0</v>
      </c>
      <c r="AB14" s="712"/>
      <c r="AC14" s="712"/>
      <c r="AD14" s="712"/>
      <c r="AE14" s="712"/>
      <c r="AF14" s="712"/>
      <c r="AG14" s="712"/>
      <c r="AH14" s="712"/>
      <c r="AI14" s="712"/>
      <c r="AJ14" s="712"/>
      <c r="AK14" s="712"/>
      <c r="AL14" s="712"/>
      <c r="AM14" s="712"/>
      <c r="AN14" s="712"/>
      <c r="AO14" s="712"/>
      <c r="AP14" s="712"/>
      <c r="AQ14" s="712"/>
      <c r="AR14" s="712"/>
      <c r="AS14" s="712"/>
    </row>
    <row r="15" spans="1:45" ht="20.25" customHeight="1" x14ac:dyDescent="0.35">
      <c r="A15" s="712"/>
      <c r="B15" s="171"/>
      <c r="C15" s="186"/>
      <c r="D15" s="220" t="str">
        <f>text!F9</f>
        <v xml:space="preserve">2023/24 </v>
      </c>
      <c r="E15" s="221" t="str">
        <f>basic!E15</f>
        <v/>
      </c>
      <c r="F15" s="715">
        <f ca="1">VLOOKUP(S21,$T$6:$AA$18,2,FALSE)</f>
        <v>0</v>
      </c>
      <c r="G15" s="221" t="str">
        <f>basic!G15</f>
        <v/>
      </c>
      <c r="H15" s="222">
        <f ca="1">basic!H15*AA22</f>
        <v>0</v>
      </c>
      <c r="I15" s="223">
        <f ca="1">H15-F15</f>
        <v>0</v>
      </c>
      <c r="J15" s="189"/>
      <c r="K15" s="172"/>
      <c r="L15" s="718" t="str">
        <f ca="1">IF(I15=0,"",IF(I15&lt;0,"in credit","debit balance"))</f>
        <v/>
      </c>
      <c r="M15" s="173"/>
      <c r="N15" s="712"/>
      <c r="O15" s="712"/>
      <c r="P15" s="712"/>
      <c r="Q15" s="712"/>
      <c r="R15" s="713"/>
      <c r="S15" s="428"/>
      <c r="T15" s="428">
        <v>9</v>
      </c>
      <c r="U15" s="722">
        <f t="shared" ca="1" si="4"/>
        <v>0</v>
      </c>
      <c r="V15" s="722">
        <f t="shared" ca="1" si="4"/>
        <v>0</v>
      </c>
      <c r="W15" s="722">
        <f t="shared" ca="1" si="4"/>
        <v>0</v>
      </c>
      <c r="X15" s="722">
        <f t="shared" ca="1" si="4"/>
        <v>0</v>
      </c>
      <c r="Y15" s="722">
        <f t="shared" ca="1" si="4"/>
        <v>0</v>
      </c>
      <c r="Z15" s="722">
        <f t="shared" ca="1" si="4"/>
        <v>0</v>
      </c>
      <c r="AA15" s="722">
        <f t="shared" si="4"/>
        <v>0</v>
      </c>
      <c r="AB15" s="712"/>
      <c r="AC15" s="712"/>
      <c r="AD15" s="712"/>
      <c r="AE15" s="712"/>
      <c r="AF15" s="712"/>
      <c r="AG15" s="712"/>
      <c r="AH15" s="712"/>
      <c r="AI15" s="712"/>
      <c r="AJ15" s="712"/>
      <c r="AK15" s="712"/>
      <c r="AL15" s="712"/>
      <c r="AM15" s="712"/>
      <c r="AN15" s="712"/>
      <c r="AO15" s="712"/>
      <c r="AP15" s="712"/>
      <c r="AQ15" s="712"/>
      <c r="AR15" s="712"/>
      <c r="AS15" s="712"/>
    </row>
    <row r="16" spans="1:45" ht="18" customHeight="1" x14ac:dyDescent="0.35">
      <c r="A16" s="712"/>
      <c r="B16" s="171"/>
      <c r="C16" s="186"/>
      <c r="D16" s="220" t="str">
        <f>text!F10</f>
        <v xml:space="preserve">2024/25 </v>
      </c>
      <c r="E16" s="221" t="str">
        <f>basic!E16</f>
        <v/>
      </c>
      <c r="F16" s="715">
        <f ca="1">VLOOKUP(S22,$T$6:$AA$18,3,FALSE)</f>
        <v>0</v>
      </c>
      <c r="G16" s="221" t="str">
        <f>basic!G16</f>
        <v/>
      </c>
      <c r="H16" s="222">
        <f ca="1">basic!H16*AA23</f>
        <v>0</v>
      </c>
      <c r="I16" s="223">
        <f ca="1">H16-F16</f>
        <v>0</v>
      </c>
      <c r="J16" s="188"/>
      <c r="K16" s="172"/>
      <c r="L16" s="718" t="str">
        <f ca="1">IF(I16=0,"",IF(I16&lt;0,"in credit","debit balance"))</f>
        <v/>
      </c>
      <c r="M16" s="173"/>
      <c r="N16" s="712"/>
      <c r="O16" s="712"/>
      <c r="P16" s="712"/>
      <c r="Q16" s="712"/>
      <c r="R16" s="713"/>
      <c r="S16" s="503"/>
      <c r="T16" s="428">
        <v>10</v>
      </c>
      <c r="U16" s="722">
        <f t="shared" ca="1" si="4"/>
        <v>0</v>
      </c>
      <c r="V16" s="722">
        <f t="shared" ca="1" si="4"/>
        <v>0</v>
      </c>
      <c r="W16" s="722">
        <f t="shared" ca="1" si="4"/>
        <v>0</v>
      </c>
      <c r="X16" s="722">
        <f t="shared" ca="1" si="4"/>
        <v>0</v>
      </c>
      <c r="Y16" s="722">
        <f t="shared" ca="1" si="4"/>
        <v>0</v>
      </c>
      <c r="Z16" s="722">
        <f t="shared" ca="1" si="4"/>
        <v>0</v>
      </c>
      <c r="AA16" s="722">
        <f t="shared" si="4"/>
        <v>0</v>
      </c>
      <c r="AB16" s="712"/>
      <c r="AC16" s="712"/>
      <c r="AD16" s="712"/>
      <c r="AE16" s="712"/>
      <c r="AF16" s="712"/>
      <c r="AG16" s="712"/>
      <c r="AH16" s="712"/>
      <c r="AI16" s="712"/>
      <c r="AJ16" s="712"/>
      <c r="AK16" s="712"/>
      <c r="AL16" s="712"/>
      <c r="AM16" s="712"/>
      <c r="AN16" s="712"/>
      <c r="AO16" s="712"/>
      <c r="AP16" s="712"/>
      <c r="AQ16" s="712"/>
      <c r="AR16" s="712"/>
      <c r="AS16" s="712"/>
    </row>
    <row r="17" spans="1:45" ht="18" customHeight="1" x14ac:dyDescent="0.35">
      <c r="A17" s="712"/>
      <c r="B17" s="171"/>
      <c r="C17" s="186"/>
      <c r="D17" s="220" t="str">
        <f>text!F11</f>
        <v xml:space="preserve">2025/26 </v>
      </c>
      <c r="E17" s="221" t="str">
        <f>basic!E17</f>
        <v/>
      </c>
      <c r="F17" s="715">
        <f ca="1">VLOOKUP(S23,$T$6:$AA$18,4,FALSE)</f>
        <v>0</v>
      </c>
      <c r="G17" s="221" t="str">
        <f>basic!G17</f>
        <v/>
      </c>
      <c r="H17" s="222">
        <f ca="1">basic!H17*AA24</f>
        <v>0</v>
      </c>
      <c r="I17" s="223">
        <f ca="1">H17-F17</f>
        <v>0</v>
      </c>
      <c r="J17" s="188"/>
      <c r="K17" s="172"/>
      <c r="L17" s="718" t="str">
        <f ca="1">IF(I17=0,"",IF(I17&lt;0,"in credit","debit balance"))</f>
        <v/>
      </c>
      <c r="M17" s="173"/>
      <c r="N17" s="712"/>
      <c r="O17" s="712"/>
      <c r="P17" s="712"/>
      <c r="Q17" s="712"/>
      <c r="R17" s="713"/>
      <c r="S17" s="503"/>
      <c r="T17" s="428">
        <v>11</v>
      </c>
      <c r="U17" s="722">
        <f t="shared" ca="1" si="4"/>
        <v>0</v>
      </c>
      <c r="V17" s="722">
        <f t="shared" ca="1" si="4"/>
        <v>0</v>
      </c>
      <c r="W17" s="722">
        <f t="shared" ca="1" si="4"/>
        <v>0</v>
      </c>
      <c r="X17" s="722">
        <f t="shared" ca="1" si="4"/>
        <v>0</v>
      </c>
      <c r="Y17" s="722">
        <f t="shared" ca="1" si="4"/>
        <v>0</v>
      </c>
      <c r="Z17" s="722">
        <f t="shared" ca="1" si="4"/>
        <v>0</v>
      </c>
      <c r="AA17" s="722">
        <f t="shared" si="4"/>
        <v>0</v>
      </c>
      <c r="AB17" s="712"/>
      <c r="AC17" s="712"/>
      <c r="AD17" s="712"/>
      <c r="AE17" s="712"/>
      <c r="AF17" s="712"/>
      <c r="AG17" s="712"/>
      <c r="AH17" s="712"/>
      <c r="AI17" s="712"/>
      <c r="AJ17" s="712"/>
      <c r="AK17" s="712"/>
      <c r="AL17" s="712"/>
      <c r="AM17" s="712"/>
      <c r="AN17" s="712"/>
      <c r="AO17" s="712"/>
      <c r="AP17" s="712"/>
      <c r="AQ17" s="712"/>
      <c r="AR17" s="712"/>
      <c r="AS17" s="712"/>
    </row>
    <row r="18" spans="1:45" ht="15" hidden="1" customHeight="1" x14ac:dyDescent="0.35">
      <c r="A18" s="712"/>
      <c r="B18" s="171"/>
      <c r="C18" s="186"/>
      <c r="D18" s="220" t="str">
        <f>text!F12</f>
        <v xml:space="preserve">2026/27 </v>
      </c>
      <c r="E18" s="221" t="str">
        <f>basic!E18</f>
        <v/>
      </c>
      <c r="F18" s="715"/>
      <c r="G18" s="221" t="str">
        <f>basic!G18</f>
        <v/>
      </c>
      <c r="H18" s="222"/>
      <c r="I18" s="223">
        <f>H18-F18</f>
        <v>0</v>
      </c>
      <c r="J18" s="188"/>
      <c r="K18" s="172"/>
      <c r="L18" s="718" t="str">
        <f>IF(I18=0,"",IF(I18&lt;0,"in credit","debit balance"))</f>
        <v/>
      </c>
      <c r="M18" s="173"/>
      <c r="N18" s="712"/>
      <c r="O18" s="712"/>
      <c r="P18" s="712"/>
      <c r="Q18" s="712"/>
      <c r="R18" s="713"/>
      <c r="S18" s="503"/>
      <c r="T18" s="428">
        <v>12</v>
      </c>
      <c r="U18" s="722">
        <f t="shared" ca="1" si="4"/>
        <v>0</v>
      </c>
      <c r="V18" s="722">
        <f t="shared" ca="1" si="4"/>
        <v>0</v>
      </c>
      <c r="W18" s="722">
        <f t="shared" ca="1" si="4"/>
        <v>0</v>
      </c>
      <c r="X18" s="722">
        <f t="shared" ca="1" si="4"/>
        <v>0</v>
      </c>
      <c r="Y18" s="722">
        <f t="shared" ca="1" si="4"/>
        <v>0</v>
      </c>
      <c r="Z18" s="722">
        <f t="shared" ca="1" si="4"/>
        <v>0</v>
      </c>
      <c r="AA18" s="722">
        <f t="shared" si="4"/>
        <v>0</v>
      </c>
      <c r="AB18" s="712"/>
      <c r="AC18" s="712"/>
      <c r="AD18" s="712"/>
      <c r="AE18" s="712"/>
      <c r="AF18" s="712"/>
      <c r="AG18" s="712"/>
      <c r="AH18" s="712"/>
      <c r="AI18" s="712"/>
      <c r="AJ18" s="712"/>
      <c r="AK18" s="712"/>
      <c r="AL18" s="712"/>
      <c r="AM18" s="712"/>
      <c r="AN18" s="712"/>
      <c r="AO18" s="712"/>
      <c r="AP18" s="712"/>
      <c r="AQ18" s="712"/>
      <c r="AR18" s="712"/>
      <c r="AS18" s="712"/>
    </row>
    <row r="19" spans="1:45" hidden="1" x14ac:dyDescent="0.35">
      <c r="A19" s="712"/>
      <c r="B19" s="171"/>
      <c r="C19" s="186"/>
      <c r="D19" s="220" t="str">
        <f>text!F13</f>
        <v xml:space="preserve">2027/28 </v>
      </c>
      <c r="E19" s="221" t="str">
        <f>basic!E19</f>
        <v/>
      </c>
      <c r="F19" s="715"/>
      <c r="G19" s="221" t="str">
        <f>basic!G19</f>
        <v/>
      </c>
      <c r="H19" s="222"/>
      <c r="I19" s="223">
        <f>H19-F19</f>
        <v>0</v>
      </c>
      <c r="J19" s="188"/>
      <c r="K19" s="172"/>
      <c r="L19" s="718" t="str">
        <f>IF(I19=0,"",IF(I19&lt;0,"in credit","debit balance"))</f>
        <v/>
      </c>
      <c r="M19" s="173"/>
      <c r="N19" s="712"/>
      <c r="O19" s="712"/>
      <c r="P19" s="712"/>
      <c r="Q19" s="712"/>
      <c r="R19" s="713"/>
      <c r="S19" s="723">
        <v>1</v>
      </c>
      <c r="T19"/>
      <c r="U19"/>
      <c r="V19"/>
      <c r="W19"/>
      <c r="X19"/>
      <c r="Y19"/>
      <c r="Z19"/>
      <c r="AA19"/>
      <c r="AB19" s="712"/>
      <c r="AC19" s="712"/>
      <c r="AD19" s="712"/>
      <c r="AE19" s="712"/>
      <c r="AF19" s="712"/>
      <c r="AG19" s="712"/>
      <c r="AH19" s="712"/>
      <c r="AI19" s="712"/>
      <c r="AJ19" s="712"/>
      <c r="AK19" s="712"/>
      <c r="AL19" s="712"/>
      <c r="AM19" s="712"/>
      <c r="AN19" s="712"/>
      <c r="AO19" s="712"/>
      <c r="AP19" s="712"/>
      <c r="AQ19" s="712"/>
      <c r="AR19" s="712"/>
      <c r="AS19" s="712"/>
    </row>
    <row r="20" spans="1:45" ht="24.75" customHeight="1" thickBot="1" x14ac:dyDescent="0.4">
      <c r="A20" s="712"/>
      <c r="B20" s="171"/>
      <c r="C20" s="186"/>
      <c r="D20" s="224" t="s">
        <v>835</v>
      </c>
      <c r="E20" s="225"/>
      <c r="F20" s="226">
        <f ca="1">SUM(F15:F19)</f>
        <v>0</v>
      </c>
      <c r="G20" s="225"/>
      <c r="H20" s="226">
        <f ca="1">SUM(H15:H19)</f>
        <v>0</v>
      </c>
      <c r="I20" s="227">
        <f ca="1">SUM(I15:I19)</f>
        <v>0</v>
      </c>
      <c r="J20" s="188"/>
      <c r="K20" s="172"/>
      <c r="L20" s="172"/>
      <c r="M20" s="173"/>
      <c r="N20" s="712"/>
      <c r="O20" s="712"/>
      <c r="P20" s="712"/>
      <c r="Q20" s="712"/>
      <c r="R20" s="713"/>
      <c r="S20" s="1">
        <f ca="1">I8</f>
        <v>46155</v>
      </c>
      <c r="T20" s="1" cm="1">
        <f t="array" aca="1" ref="T20" ca="1">INDEX(Y22:Y28,X22)</f>
        <v>46113</v>
      </c>
      <c r="U20">
        <v>0</v>
      </c>
      <c r="V20"/>
      <c r="W20"/>
      <c r="X20"/>
      <c r="Y20"/>
      <c r="Z20"/>
      <c r="AA20"/>
      <c r="AB20" s="712"/>
      <c r="AC20" s="712"/>
      <c r="AD20" s="712"/>
      <c r="AE20" s="712"/>
      <c r="AF20" s="712"/>
      <c r="AG20" s="712"/>
      <c r="AH20" s="712"/>
      <c r="AI20" s="712"/>
      <c r="AJ20" s="712"/>
      <c r="AK20" s="712"/>
      <c r="AL20" s="712"/>
      <c r="AM20" s="712"/>
      <c r="AN20" s="712"/>
      <c r="AO20" s="712"/>
      <c r="AP20" s="712"/>
      <c r="AQ20" s="712"/>
      <c r="AR20" s="712"/>
      <c r="AS20" s="712"/>
    </row>
    <row r="21" spans="1:45" ht="16" thickTop="1" x14ac:dyDescent="0.35">
      <c r="A21" s="712"/>
      <c r="B21" s="171"/>
      <c r="C21" s="186"/>
      <c r="D21" s="231" t="str">
        <f>basic!D22</f>
        <v>England</v>
      </c>
      <c r="E21" s="86"/>
      <c r="F21" s="86"/>
      <c r="G21" s="86"/>
      <c r="H21" s="86"/>
      <c r="I21" s="357"/>
      <c r="J21" s="188"/>
      <c r="K21" s="172"/>
      <c r="L21" s="172"/>
      <c r="M21" s="173"/>
      <c r="N21" s="712"/>
      <c r="O21" s="712"/>
      <c r="P21" s="712"/>
      <c r="Q21" s="712"/>
      <c r="R21" s="713"/>
      <c r="S21">
        <f ca="1">IF($S$20&gt;text!B10,U$1,IF($S$20&lt;text!B9,0,VLOOKUP($S$20,$T$20:$U$32,2,TRUE)))</f>
        <v>12</v>
      </c>
      <c r="T21" s="1">
        <f ca="1">DATE(YEAR(T20),MONTH(T20)+0,5)</f>
        <v>46117</v>
      </c>
      <c r="U21">
        <v>1</v>
      </c>
      <c r="V21"/>
      <c r="W21"/>
      <c r="X21" s="503" t="s">
        <v>2426</v>
      </c>
      <c r="Y21" s="503" t="s">
        <v>2427</v>
      </c>
      <c r="Z21" s="503" t="s">
        <v>269</v>
      </c>
      <c r="AA21" s="503" t="s">
        <v>2428</v>
      </c>
      <c r="AB21" s="712"/>
      <c r="AC21" s="712"/>
      <c r="AD21" s="712"/>
      <c r="AE21" s="712"/>
      <c r="AF21" s="712"/>
      <c r="AG21" s="712"/>
      <c r="AH21" s="712"/>
      <c r="AI21" s="712"/>
      <c r="AJ21" s="712"/>
      <c r="AK21" s="712"/>
      <c r="AL21" s="712"/>
      <c r="AM21" s="712"/>
      <c r="AN21" s="712"/>
      <c r="AO21" s="712"/>
      <c r="AP21" s="712"/>
      <c r="AQ21" s="712"/>
      <c r="AR21" s="712"/>
      <c r="AS21" s="712"/>
    </row>
    <row r="22" spans="1:45" x14ac:dyDescent="0.35">
      <c r="A22" s="712"/>
      <c r="B22" s="171"/>
      <c r="C22" s="186"/>
      <c r="D22" s="86"/>
      <c r="E22" s="86"/>
      <c r="F22" s="86"/>
      <c r="G22" s="86"/>
      <c r="H22" s="233" t="str">
        <f>basic!H23</f>
        <v>First Day of Liability</v>
      </c>
      <c r="I22" s="562">
        <f>basic!I23</f>
        <v>45017</v>
      </c>
      <c r="J22" s="188"/>
      <c r="K22" s="172"/>
      <c r="L22" s="172"/>
      <c r="M22" s="173"/>
      <c r="N22" s="712"/>
      <c r="O22" s="712"/>
      <c r="P22" s="712"/>
      <c r="Q22" s="712"/>
      <c r="R22" s="713"/>
      <c r="S22">
        <f ca="1">IF($S$20&gt;text!B11,V$1,IF($S$20&lt;text!B10,0,VLOOKUP($S$20,$T$20:$U$32,2,TRUE)))</f>
        <v>12</v>
      </c>
      <c r="T22" s="1">
        <f ca="1">DATE(YEAR(T21),MONTH(T21)+1,5)</f>
        <v>46147</v>
      </c>
      <c r="U22">
        <v>2</v>
      </c>
      <c r="V22"/>
      <c r="W22"/>
      <c r="X22" s="7">
        <f ca="1">VLOOKUP(I8,Y22:Z28,2,TRUE)</f>
        <v>4</v>
      </c>
      <c r="Y22" s="6">
        <f>text!B9</f>
        <v>45017</v>
      </c>
      <c r="Z22" s="503">
        <v>1</v>
      </c>
      <c r="AA22" s="503" t="b">
        <f ca="1">$X$22&gt;=Z22</f>
        <v>1</v>
      </c>
      <c r="AB22" s="712"/>
      <c r="AC22" s="712"/>
      <c r="AD22" s="712"/>
      <c r="AE22" s="712"/>
      <c r="AF22" s="712"/>
      <c r="AG22" s="712"/>
      <c r="AH22" s="712"/>
      <c r="AI22" s="712"/>
      <c r="AJ22" s="712"/>
      <c r="AK22" s="712"/>
      <c r="AL22" s="712"/>
      <c r="AM22" s="712"/>
      <c r="AN22" s="712"/>
      <c r="AO22" s="712"/>
      <c r="AP22" s="712"/>
      <c r="AQ22" s="712"/>
      <c r="AR22" s="712"/>
      <c r="AS22" s="712"/>
    </row>
    <row r="23" spans="1:45" x14ac:dyDescent="0.35">
      <c r="A23" s="712"/>
      <c r="B23" s="171"/>
      <c r="C23" s="186"/>
      <c r="D23" s="86"/>
      <c r="E23" s="86"/>
      <c r="F23" s="86"/>
      <c r="G23" s="86"/>
      <c r="H23" s="233" t="str">
        <f>basic!H24</f>
        <v>Last Day of Liability</v>
      </c>
      <c r="I23" s="562">
        <f>basic!I24</f>
        <v>46112</v>
      </c>
      <c r="J23" s="188"/>
      <c r="K23" s="172"/>
      <c r="L23" s="172"/>
      <c r="M23" s="173"/>
      <c r="N23" s="712"/>
      <c r="O23" s="712"/>
      <c r="P23" s="712"/>
      <c r="Q23" s="712"/>
      <c r="R23" s="713"/>
      <c r="S23">
        <f ca="1">IF($S$20&gt;text!B12,W$1,IF($S$20&lt;text!B11,0,VLOOKUP($S$20,$T$20:$U$32,2,TRUE)))</f>
        <v>12</v>
      </c>
      <c r="T23" s="1">
        <f t="shared" ref="T23:T84" ca="1" si="5">DATE(YEAR(T22),MONTH(T22)+1,5)</f>
        <v>46178</v>
      </c>
      <c r="U23">
        <v>3</v>
      </c>
      <c r="V23"/>
      <c r="W23"/>
      <c r="X23" s="503"/>
      <c r="Y23" s="6">
        <f>text!B10</f>
        <v>45383</v>
      </c>
      <c r="Z23" s="503">
        <v>2</v>
      </c>
      <c r="AA23" s="503" t="b">
        <f t="shared" ref="AA23:AA28" ca="1" si="6">$X$22&gt;=Z23</f>
        <v>1</v>
      </c>
      <c r="AB23" s="712"/>
      <c r="AC23" s="712"/>
      <c r="AD23" s="712"/>
      <c r="AE23" s="712"/>
      <c r="AF23" s="712"/>
      <c r="AG23" s="712"/>
      <c r="AH23" s="712"/>
      <c r="AI23" s="712"/>
      <c r="AJ23" s="712"/>
      <c r="AK23" s="712"/>
      <c r="AL23" s="712"/>
      <c r="AM23" s="712"/>
      <c r="AN23" s="712"/>
      <c r="AO23" s="712"/>
      <c r="AP23" s="712"/>
      <c r="AQ23" s="712"/>
      <c r="AR23" s="712"/>
      <c r="AS23" s="712"/>
    </row>
    <row r="24" spans="1:45" x14ac:dyDescent="0.35">
      <c r="A24" s="712"/>
      <c r="B24" s="524"/>
      <c r="C24" s="186"/>
      <c r="D24" s="86"/>
      <c r="E24" s="86"/>
      <c r="F24" s="86"/>
      <c r="G24" s="86"/>
      <c r="H24" s="86"/>
      <c r="I24" s="86"/>
      <c r="J24" s="188"/>
      <c r="K24" s="172"/>
      <c r="L24" s="172"/>
      <c r="M24" s="173"/>
      <c r="N24" s="712"/>
      <c r="O24" s="712"/>
      <c r="P24" s="712"/>
      <c r="Q24" s="712"/>
      <c r="R24" s="713"/>
      <c r="S24">
        <f ca="1">IF($S$20&gt;text!B13,X$1,IF($S$20&lt;text!B12,0,VLOOKUP($S$20,$T$20:$U$32,2,TRUE)))</f>
        <v>2</v>
      </c>
      <c r="T24" s="1">
        <f t="shared" ca="1" si="5"/>
        <v>46208</v>
      </c>
      <c r="U24">
        <v>4</v>
      </c>
      <c r="V24"/>
      <c r="W24"/>
      <c r="X24" s="503"/>
      <c r="Y24" s="6">
        <f>text!B11</f>
        <v>45748</v>
      </c>
      <c r="Z24" s="503">
        <v>3</v>
      </c>
      <c r="AA24" s="503" t="b">
        <f t="shared" ca="1" si="6"/>
        <v>1</v>
      </c>
      <c r="AB24" s="712"/>
      <c r="AC24" s="712"/>
      <c r="AD24" s="712"/>
      <c r="AE24" s="712"/>
      <c r="AF24" s="712"/>
      <c r="AG24" s="712"/>
      <c r="AH24" s="712"/>
      <c r="AI24" s="712"/>
      <c r="AJ24" s="712"/>
      <c r="AK24" s="712"/>
      <c r="AL24" s="712"/>
      <c r="AM24" s="712"/>
      <c r="AN24" s="712"/>
      <c r="AO24" s="712"/>
      <c r="AP24" s="712"/>
      <c r="AQ24" s="712"/>
      <c r="AR24" s="712"/>
      <c r="AS24" s="712"/>
    </row>
    <row r="25" spans="1:45" ht="18.75" customHeight="1" x14ac:dyDescent="0.35">
      <c r="A25" s="712"/>
      <c r="B25" s="171"/>
      <c r="C25" s="186"/>
      <c r="D25" s="203" t="str">
        <f>details!D12</f>
        <v>Enter Address Details</v>
      </c>
      <c r="E25" s="235"/>
      <c r="F25" s="235"/>
      <c r="G25" s="235"/>
      <c r="H25" s="235"/>
      <c r="I25" s="235"/>
      <c r="J25" s="188"/>
      <c r="K25" s="172"/>
      <c r="L25" s="172"/>
      <c r="M25" s="173"/>
      <c r="N25" s="712"/>
      <c r="O25" s="712"/>
      <c r="P25" s="712"/>
      <c r="Q25" s="712"/>
      <c r="R25" s="713"/>
      <c r="S25">
        <f ca="1">IF($S$20&gt;text!B14,Y$1,IF($S$20&lt;text!B13,0,VLOOKUP($S$20,$T$20:$U$32,2,TRUE)))</f>
        <v>0</v>
      </c>
      <c r="T25" s="1">
        <f t="shared" ca="1" si="5"/>
        <v>46239</v>
      </c>
      <c r="U25">
        <v>5</v>
      </c>
      <c r="V25"/>
      <c r="W25"/>
      <c r="X25" s="503"/>
      <c r="Y25" s="6">
        <f>text!B12</f>
        <v>46113</v>
      </c>
      <c r="Z25" s="503">
        <v>4</v>
      </c>
      <c r="AA25" s="503" t="b">
        <f t="shared" ca="1" si="6"/>
        <v>1</v>
      </c>
      <c r="AB25" s="712"/>
      <c r="AC25" s="712"/>
      <c r="AD25" s="712"/>
      <c r="AE25" s="712"/>
      <c r="AF25" s="712"/>
      <c r="AG25" s="712"/>
      <c r="AH25" s="712"/>
      <c r="AI25" s="712"/>
      <c r="AJ25" s="712"/>
      <c r="AK25" s="712"/>
      <c r="AL25" s="712"/>
      <c r="AM25" s="712"/>
      <c r="AN25" s="712"/>
      <c r="AO25" s="712"/>
      <c r="AP25" s="712"/>
      <c r="AQ25" s="712"/>
      <c r="AR25" s="712"/>
      <c r="AS25" s="712"/>
    </row>
    <row r="26" spans="1:45" x14ac:dyDescent="0.35">
      <c r="A26" s="712"/>
      <c r="B26" s="171"/>
      <c r="C26" s="186"/>
      <c r="D26" s="235"/>
      <c r="E26" s="235"/>
      <c r="F26" s="235"/>
      <c r="G26" s="235"/>
      <c r="H26" s="235"/>
      <c r="I26" s="235"/>
      <c r="J26" s="188"/>
      <c r="K26" s="172"/>
      <c r="L26" s="172"/>
      <c r="M26" s="173"/>
      <c r="N26" s="712"/>
      <c r="O26" s="712"/>
      <c r="P26" s="712"/>
      <c r="Q26" s="712"/>
      <c r="R26" s="713"/>
      <c r="S26">
        <f ca="1">IF($S$20&gt;text!B15,Z$1,IF($S$20&lt;text!B14,0,VLOOKUP($S$20,$T$20:$U$32,2,TRUE)))</f>
        <v>0</v>
      </c>
      <c r="T26" s="1">
        <f t="shared" ca="1" si="5"/>
        <v>46270</v>
      </c>
      <c r="U26">
        <v>6</v>
      </c>
      <c r="V26"/>
      <c r="W26"/>
      <c r="X26" s="503"/>
      <c r="Y26" s="6">
        <f>text!B13</f>
        <v>46478</v>
      </c>
      <c r="Z26" s="503">
        <v>5</v>
      </c>
      <c r="AA26" s="503" t="b">
        <f t="shared" ca="1" si="6"/>
        <v>0</v>
      </c>
      <c r="AB26" s="712"/>
      <c r="AC26" s="712"/>
      <c r="AD26" s="712"/>
      <c r="AE26" s="712"/>
      <c r="AF26" s="712"/>
      <c r="AG26" s="712"/>
      <c r="AH26" s="712"/>
      <c r="AI26" s="712"/>
      <c r="AJ26" s="712"/>
      <c r="AK26" s="712"/>
      <c r="AL26" s="712"/>
      <c r="AM26" s="712"/>
      <c r="AN26" s="712"/>
      <c r="AO26" s="712"/>
      <c r="AP26" s="712"/>
      <c r="AQ26" s="712"/>
      <c r="AR26" s="712"/>
      <c r="AS26" s="712"/>
    </row>
    <row r="27" spans="1:45" x14ac:dyDescent="0.35">
      <c r="A27" s="712"/>
      <c r="B27" s="171"/>
      <c r="C27" s="186"/>
      <c r="D27" s="86"/>
      <c r="E27" s="86"/>
      <c r="F27" s="86"/>
      <c r="G27" s="86"/>
      <c r="H27" s="86"/>
      <c r="I27" s="86"/>
      <c r="J27" s="188"/>
      <c r="K27" s="172"/>
      <c r="L27" s="172"/>
      <c r="M27" s="173"/>
      <c r="N27" s="712"/>
      <c r="O27" s="712"/>
      <c r="P27" s="712"/>
      <c r="Q27" s="712"/>
      <c r="R27" s="713"/>
      <c r="S27">
        <f ca="1">IF($S$20&gt;text!B16,AA$1,IF($S$20&lt;text!B15,0,VLOOKUP($S$20,$T$20:$U$32,2,TRUE)))</f>
        <v>0</v>
      </c>
      <c r="T27" s="1">
        <f t="shared" ca="1" si="5"/>
        <v>46300</v>
      </c>
      <c r="U27">
        <v>7</v>
      </c>
      <c r="V27"/>
      <c r="W27"/>
      <c r="X27" s="503"/>
      <c r="Y27" s="6">
        <f>text!B14</f>
        <v>46844</v>
      </c>
      <c r="Z27" s="503">
        <v>6</v>
      </c>
      <c r="AA27" s="503" t="b">
        <f t="shared" ca="1" si="6"/>
        <v>0</v>
      </c>
      <c r="AB27" s="712"/>
      <c r="AC27" s="712"/>
      <c r="AD27" s="712"/>
      <c r="AE27" s="712"/>
      <c r="AF27" s="712"/>
      <c r="AG27" s="712"/>
      <c r="AH27" s="712"/>
      <c r="AI27" s="712"/>
      <c r="AJ27" s="712"/>
      <c r="AK27" s="712"/>
      <c r="AL27" s="712"/>
      <c r="AM27" s="712"/>
      <c r="AN27" s="712"/>
      <c r="AO27" s="712"/>
      <c r="AP27" s="712"/>
      <c r="AQ27" s="712"/>
      <c r="AR27" s="712"/>
      <c r="AS27" s="712"/>
    </row>
    <row r="28" spans="1:45" x14ac:dyDescent="0.35">
      <c r="A28" s="712"/>
      <c r="B28" s="171"/>
      <c r="C28" s="186"/>
      <c r="D28" s="86"/>
      <c r="E28" s="86"/>
      <c r="F28" s="86"/>
      <c r="G28" s="86"/>
      <c r="H28" s="86"/>
      <c r="I28" s="86"/>
      <c r="J28" s="188"/>
      <c r="K28" s="172"/>
      <c r="L28" s="172"/>
      <c r="M28" s="173"/>
      <c r="N28" s="712"/>
      <c r="O28" s="712"/>
      <c r="P28" s="712"/>
      <c r="Q28" s="712"/>
      <c r="R28" s="713"/>
      <c r="S28"/>
      <c r="T28" s="1">
        <f t="shared" ca="1" si="5"/>
        <v>46331</v>
      </c>
      <c r="U28">
        <v>8</v>
      </c>
      <c r="V28"/>
      <c r="W28"/>
      <c r="X28" s="503"/>
      <c r="Y28" s="6">
        <f>text!B15</f>
        <v>47209</v>
      </c>
      <c r="Z28" s="503">
        <v>7</v>
      </c>
      <c r="AA28" s="503" t="b">
        <f t="shared" ca="1" si="6"/>
        <v>0</v>
      </c>
      <c r="AB28" s="712"/>
      <c r="AC28" s="712"/>
      <c r="AD28" s="712"/>
      <c r="AE28" s="712"/>
      <c r="AF28" s="712"/>
      <c r="AG28" s="712"/>
      <c r="AH28" s="712"/>
      <c r="AI28" s="712"/>
      <c r="AJ28" s="712"/>
      <c r="AK28" s="712"/>
      <c r="AL28" s="712"/>
      <c r="AM28" s="712"/>
      <c r="AN28" s="712"/>
      <c r="AO28" s="712"/>
      <c r="AP28" s="712"/>
      <c r="AQ28" s="712"/>
      <c r="AR28" s="712"/>
      <c r="AS28" s="712"/>
    </row>
    <row r="29" spans="1:45" ht="16" thickBot="1" x14ac:dyDescent="0.4">
      <c r="A29" s="712"/>
      <c r="B29" s="171"/>
      <c r="C29" s="190"/>
      <c r="D29" s="236"/>
      <c r="E29" s="191"/>
      <c r="F29" s="236"/>
      <c r="G29" s="236"/>
      <c r="H29" s="236"/>
      <c r="I29" s="474"/>
      <c r="J29" s="192"/>
      <c r="K29" s="172"/>
      <c r="L29" s="172"/>
      <c r="M29" s="173"/>
      <c r="N29" s="712"/>
      <c r="O29" s="712"/>
      <c r="P29" s="712"/>
      <c r="Q29" s="712"/>
      <c r="R29" s="713"/>
      <c r="S29"/>
      <c r="T29" s="1">
        <f t="shared" ca="1" si="5"/>
        <v>46361</v>
      </c>
      <c r="U29">
        <v>9</v>
      </c>
      <c r="V29"/>
      <c r="W29"/>
      <c r="X29"/>
      <c r="Y29"/>
      <c r="Z29"/>
      <c r="AA29"/>
      <c r="AB29" s="712"/>
      <c r="AC29" s="712"/>
      <c r="AD29" s="712"/>
      <c r="AE29" s="712"/>
      <c r="AF29" s="712"/>
      <c r="AG29" s="712"/>
      <c r="AH29" s="712"/>
      <c r="AI29" s="712"/>
      <c r="AJ29" s="712"/>
      <c r="AK29" s="712"/>
      <c r="AL29" s="712"/>
      <c r="AM29" s="712"/>
      <c r="AN29" s="712"/>
      <c r="AO29" s="712"/>
      <c r="AP29" s="712"/>
      <c r="AQ29" s="712"/>
      <c r="AR29" s="712"/>
      <c r="AS29" s="712"/>
    </row>
    <row r="30" spans="1:45" ht="21" customHeight="1" thickTop="1" x14ac:dyDescent="0.35">
      <c r="A30" s="712"/>
      <c r="B30" s="171"/>
      <c r="C30" s="237"/>
      <c r="D30" s="237"/>
      <c r="E30" s="237"/>
      <c r="F30" s="237"/>
      <c r="G30" s="237"/>
      <c r="H30" s="237"/>
      <c r="I30" s="238"/>
      <c r="J30" s="237"/>
      <c r="K30" s="172"/>
      <c r="L30" s="172"/>
      <c r="M30" s="173"/>
      <c r="N30" s="712"/>
      <c r="O30" s="712"/>
      <c r="P30" s="712"/>
      <c r="Q30" s="712"/>
      <c r="R30" s="713"/>
      <c r="S30"/>
      <c r="T30" s="1">
        <f t="shared" ca="1" si="5"/>
        <v>46392</v>
      </c>
      <c r="U30">
        <v>10</v>
      </c>
      <c r="V30"/>
      <c r="W30"/>
      <c r="X30"/>
      <c r="Y30"/>
      <c r="Z30"/>
      <c r="AA30"/>
      <c r="AB30" s="712"/>
      <c r="AC30" s="712"/>
      <c r="AD30" s="712"/>
      <c r="AE30" s="712"/>
      <c r="AF30" s="712"/>
      <c r="AG30" s="712"/>
      <c r="AH30" s="712"/>
      <c r="AI30" s="712"/>
      <c r="AJ30" s="712"/>
      <c r="AK30" s="712"/>
      <c r="AL30" s="712"/>
      <c r="AM30" s="712"/>
      <c r="AN30" s="712"/>
      <c r="AO30" s="712"/>
      <c r="AP30" s="712"/>
      <c r="AQ30" s="712"/>
      <c r="AR30" s="712"/>
      <c r="AS30" s="712"/>
    </row>
    <row r="31" spans="1:45" ht="24.75" customHeight="1" thickBot="1" x14ac:dyDescent="0.4">
      <c r="A31" s="712"/>
      <c r="B31" s="174"/>
      <c r="C31" s="175"/>
      <c r="D31" s="175"/>
      <c r="E31" s="175"/>
      <c r="F31" s="175"/>
      <c r="G31" s="175"/>
      <c r="H31" s="175"/>
      <c r="I31" s="175"/>
      <c r="J31" s="175"/>
      <c r="K31" s="175"/>
      <c r="L31" s="175"/>
      <c r="M31" s="176"/>
      <c r="N31" s="712"/>
      <c r="O31" s="712"/>
      <c r="P31" s="712"/>
      <c r="Q31" s="712"/>
      <c r="R31" s="713"/>
      <c r="S31"/>
      <c r="T31" s="1">
        <f t="shared" ca="1" si="5"/>
        <v>46423</v>
      </c>
      <c r="U31">
        <f>IF($R$19=2,10,11)</f>
        <v>11</v>
      </c>
      <c r="V31"/>
      <c r="W31"/>
      <c r="X31"/>
      <c r="Y31"/>
      <c r="Z31"/>
      <c r="AA31"/>
      <c r="AB31" s="712"/>
      <c r="AC31" s="712"/>
      <c r="AD31" s="712"/>
      <c r="AE31" s="712"/>
      <c r="AF31" s="712"/>
      <c r="AG31" s="712"/>
      <c r="AH31" s="712"/>
      <c r="AI31" s="712"/>
      <c r="AJ31" s="712"/>
      <c r="AK31" s="712"/>
      <c r="AL31" s="712"/>
      <c r="AM31" s="712"/>
      <c r="AN31" s="712"/>
      <c r="AO31" s="712"/>
      <c r="AP31" s="712"/>
      <c r="AQ31" s="712"/>
      <c r="AR31" s="712"/>
      <c r="AS31" s="712"/>
    </row>
    <row r="32" spans="1:45" x14ac:dyDescent="0.35">
      <c r="A32" s="712"/>
      <c r="B32" s="712"/>
      <c r="C32" s="712"/>
      <c r="D32" s="712"/>
      <c r="E32" s="712"/>
      <c r="F32" s="712"/>
      <c r="G32" s="712"/>
      <c r="H32" s="712"/>
      <c r="I32" s="712"/>
      <c r="J32" s="712"/>
      <c r="K32" s="712"/>
      <c r="L32" s="712"/>
      <c r="M32" s="712"/>
      <c r="N32" s="712"/>
      <c r="O32" s="712"/>
      <c r="P32" s="712"/>
      <c r="Q32" s="712"/>
      <c r="R32" s="713"/>
      <c r="S32"/>
      <c r="T32" s="1">
        <f t="shared" ca="1" si="5"/>
        <v>46451</v>
      </c>
      <c r="U32">
        <f>IF($R$19=2,10,12)</f>
        <v>12</v>
      </c>
      <c r="V32"/>
      <c r="W32"/>
      <c r="X32"/>
      <c r="Y32"/>
      <c r="Z32"/>
      <c r="AA32"/>
      <c r="AB32" s="712"/>
      <c r="AC32" s="712"/>
      <c r="AD32" s="712"/>
      <c r="AE32" s="712"/>
      <c r="AF32" s="712"/>
      <c r="AG32" s="712"/>
      <c r="AH32" s="712"/>
      <c r="AI32" s="712"/>
      <c r="AJ32" s="712"/>
      <c r="AK32" s="712"/>
      <c r="AL32" s="712"/>
      <c r="AM32" s="712"/>
      <c r="AN32" s="712"/>
      <c r="AO32" s="712"/>
      <c r="AP32" s="712"/>
      <c r="AQ32" s="712"/>
      <c r="AR32" s="712"/>
      <c r="AS32" s="712"/>
    </row>
    <row r="33" spans="1:45" x14ac:dyDescent="0.35">
      <c r="A33" s="712"/>
      <c r="B33" s="712"/>
      <c r="C33" s="712"/>
      <c r="D33" s="712"/>
      <c r="E33" s="712"/>
      <c r="F33" s="712"/>
      <c r="G33" s="712"/>
      <c r="H33" s="712"/>
      <c r="I33" s="712"/>
      <c r="J33" s="712"/>
      <c r="K33" s="712"/>
      <c r="L33" s="712"/>
      <c r="M33" s="712"/>
      <c r="N33" s="712"/>
      <c r="O33" s="712"/>
      <c r="P33" s="712"/>
      <c r="Q33" s="712"/>
      <c r="R33" s="713"/>
      <c r="S33"/>
      <c r="T33" s="1">
        <f ca="1">DATE(YEAR(T32),MONTH(T32)+1,1)</f>
        <v>46478</v>
      </c>
      <c r="U33">
        <v>0</v>
      </c>
      <c r="V33"/>
      <c r="W33"/>
      <c r="X33"/>
      <c r="Y33"/>
      <c r="Z33"/>
      <c r="AA33"/>
      <c r="AB33" s="712"/>
      <c r="AC33" s="712"/>
      <c r="AD33" s="712"/>
      <c r="AE33" s="712"/>
      <c r="AF33" s="712"/>
      <c r="AG33" s="712"/>
      <c r="AH33" s="712"/>
      <c r="AI33" s="712"/>
      <c r="AJ33" s="712"/>
      <c r="AK33" s="712"/>
      <c r="AL33" s="712"/>
      <c r="AM33" s="712"/>
      <c r="AN33" s="712"/>
      <c r="AO33" s="712"/>
      <c r="AP33" s="712"/>
      <c r="AQ33" s="712"/>
      <c r="AR33" s="712"/>
      <c r="AS33" s="712"/>
    </row>
    <row r="34" spans="1:45" x14ac:dyDescent="0.35">
      <c r="A34" s="712"/>
      <c r="B34" s="712"/>
      <c r="C34" s="712"/>
      <c r="D34" s="712"/>
      <c r="E34" s="712"/>
      <c r="F34" s="712"/>
      <c r="G34" s="712"/>
      <c r="H34" s="712"/>
      <c r="I34" s="712"/>
      <c r="J34" s="712"/>
      <c r="K34" s="712"/>
      <c r="L34" s="712"/>
      <c r="M34" s="712"/>
      <c r="N34" s="712"/>
      <c r="O34" s="712"/>
      <c r="P34" s="712"/>
      <c r="Q34" s="712"/>
      <c r="R34" s="713"/>
      <c r="S34"/>
      <c r="T34" s="1">
        <f ca="1">DATE(YEAR(T32),MONTH(T32)+1,5)</f>
        <v>46482</v>
      </c>
      <c r="U34">
        <v>1</v>
      </c>
      <c r="V34"/>
      <c r="W34"/>
      <c r="X34"/>
      <c r="Y34"/>
      <c r="Z34"/>
      <c r="AA34"/>
      <c r="AB34" s="712"/>
      <c r="AC34" s="712"/>
      <c r="AD34" s="712"/>
      <c r="AE34" s="712"/>
      <c r="AF34" s="712"/>
      <c r="AG34" s="712"/>
      <c r="AH34" s="712"/>
      <c r="AI34" s="712"/>
      <c r="AJ34" s="712"/>
      <c r="AK34" s="712"/>
      <c r="AL34" s="712"/>
      <c r="AM34" s="712"/>
      <c r="AN34" s="712"/>
      <c r="AO34" s="712"/>
      <c r="AP34" s="712"/>
      <c r="AQ34" s="712"/>
      <c r="AR34" s="712"/>
      <c r="AS34" s="712"/>
    </row>
    <row r="35" spans="1:45" x14ac:dyDescent="0.35">
      <c r="A35" s="712"/>
      <c r="B35" s="712"/>
      <c r="C35" s="712"/>
      <c r="D35" s="712"/>
      <c r="E35" s="712"/>
      <c r="F35" s="712"/>
      <c r="G35" s="712"/>
      <c r="H35" s="712"/>
      <c r="I35" s="712"/>
      <c r="J35" s="712"/>
      <c r="K35" s="712"/>
      <c r="L35" s="712"/>
      <c r="M35" s="712"/>
      <c r="N35" s="712"/>
      <c r="O35" s="712"/>
      <c r="P35" s="712"/>
      <c r="Q35" s="712"/>
      <c r="R35" s="713"/>
      <c r="S35"/>
      <c r="T35" s="1">
        <f t="shared" ca="1" si="5"/>
        <v>46512</v>
      </c>
      <c r="U35">
        <v>2</v>
      </c>
      <c r="V35"/>
      <c r="W35"/>
      <c r="X35"/>
      <c r="Y35"/>
      <c r="Z35"/>
      <c r="AA35"/>
      <c r="AB35" s="712"/>
      <c r="AC35" s="712"/>
      <c r="AD35" s="712"/>
      <c r="AE35" s="712"/>
      <c r="AF35" s="712"/>
      <c r="AG35" s="712"/>
      <c r="AH35" s="712"/>
      <c r="AI35" s="712"/>
      <c r="AJ35" s="712"/>
      <c r="AK35" s="712"/>
      <c r="AL35" s="712"/>
      <c r="AM35" s="712"/>
      <c r="AN35" s="712"/>
      <c r="AO35" s="712"/>
      <c r="AP35" s="712"/>
      <c r="AQ35" s="712"/>
      <c r="AR35" s="712"/>
      <c r="AS35" s="712"/>
    </row>
    <row r="36" spans="1:45" x14ac:dyDescent="0.35">
      <c r="A36" s="712"/>
      <c r="B36" s="712"/>
      <c r="C36" s="712"/>
      <c r="D36" s="712"/>
      <c r="E36" s="712"/>
      <c r="F36" s="712"/>
      <c r="G36" s="712"/>
      <c r="H36" s="712"/>
      <c r="I36" s="712"/>
      <c r="J36" s="712"/>
      <c r="K36" s="712"/>
      <c r="L36" s="712"/>
      <c r="M36" s="712"/>
      <c r="N36" s="712"/>
      <c r="O36" s="712"/>
      <c r="P36" s="712"/>
      <c r="Q36" s="712"/>
      <c r="R36" s="713"/>
      <c r="S36"/>
      <c r="T36" s="1">
        <f t="shared" ca="1" si="5"/>
        <v>46543</v>
      </c>
      <c r="U36">
        <v>3</v>
      </c>
      <c r="V36"/>
      <c r="W36"/>
      <c r="X36"/>
      <c r="Y36"/>
      <c r="Z36"/>
      <c r="AA36"/>
      <c r="AB36" s="712"/>
      <c r="AC36" s="712"/>
      <c r="AD36" s="712"/>
      <c r="AE36" s="712"/>
      <c r="AF36" s="712"/>
      <c r="AG36" s="712"/>
      <c r="AH36" s="712"/>
      <c r="AI36" s="712"/>
      <c r="AJ36" s="712"/>
      <c r="AK36" s="712"/>
      <c r="AL36" s="712"/>
      <c r="AM36" s="712"/>
      <c r="AN36" s="712"/>
      <c r="AO36" s="712"/>
      <c r="AP36" s="712"/>
      <c r="AQ36" s="712"/>
      <c r="AR36" s="712"/>
      <c r="AS36" s="712"/>
    </row>
    <row r="37" spans="1:45" x14ac:dyDescent="0.35">
      <c r="A37" s="713"/>
      <c r="B37" s="713"/>
      <c r="C37" s="713"/>
      <c r="D37" s="713"/>
      <c r="E37" s="713"/>
      <c r="F37" s="713"/>
      <c r="G37" s="713"/>
      <c r="H37" s="713"/>
      <c r="I37" s="713"/>
      <c r="J37" s="713"/>
      <c r="K37" s="713"/>
      <c r="L37" s="713"/>
      <c r="M37" s="713"/>
      <c r="N37" s="713"/>
      <c r="O37" s="713"/>
      <c r="P37" s="713"/>
      <c r="Q37" s="713"/>
      <c r="R37" s="713"/>
      <c r="S37"/>
      <c r="T37" s="1">
        <f t="shared" ca="1" si="5"/>
        <v>46573</v>
      </c>
      <c r="U37">
        <v>4</v>
      </c>
      <c r="V37"/>
      <c r="W37"/>
      <c r="X37"/>
      <c r="Y37"/>
      <c r="Z37"/>
      <c r="AA37"/>
      <c r="AB37" s="712"/>
      <c r="AC37" s="712"/>
      <c r="AD37" s="712"/>
      <c r="AE37" s="712"/>
      <c r="AF37" s="712"/>
      <c r="AG37" s="712"/>
      <c r="AH37" s="712"/>
      <c r="AI37" s="712"/>
      <c r="AJ37" s="712"/>
      <c r="AK37" s="712"/>
      <c r="AL37" s="712"/>
      <c r="AM37" s="712"/>
      <c r="AN37" s="712"/>
      <c r="AO37" s="712"/>
      <c r="AP37" s="712"/>
      <c r="AQ37" s="712"/>
      <c r="AR37" s="712"/>
      <c r="AS37" s="712"/>
    </row>
    <row r="38" spans="1:45" x14ac:dyDescent="0.35">
      <c r="A38" s="713"/>
      <c r="B38" s="713"/>
      <c r="C38" s="713"/>
      <c r="D38" s="713"/>
      <c r="E38" s="713"/>
      <c r="F38" s="713"/>
      <c r="G38" s="713"/>
      <c r="H38" s="713"/>
      <c r="I38" s="713"/>
      <c r="J38" s="713"/>
      <c r="K38" s="713"/>
      <c r="L38" s="713"/>
      <c r="M38" s="713"/>
      <c r="N38" s="713"/>
      <c r="O38" s="713"/>
      <c r="P38" s="713"/>
      <c r="Q38" s="713"/>
      <c r="R38" s="713"/>
      <c r="S38"/>
      <c r="T38" s="1">
        <f t="shared" ca="1" si="5"/>
        <v>46604</v>
      </c>
      <c r="U38">
        <v>5</v>
      </c>
      <c r="V38"/>
      <c r="W38"/>
      <c r="X38"/>
      <c r="Y38"/>
      <c r="Z38"/>
      <c r="AA38"/>
      <c r="AB38" s="712"/>
      <c r="AC38" s="712"/>
      <c r="AD38" s="712"/>
      <c r="AE38" s="712"/>
      <c r="AF38" s="712"/>
      <c r="AG38" s="712"/>
      <c r="AH38" s="712"/>
      <c r="AI38" s="712"/>
      <c r="AJ38" s="712"/>
      <c r="AK38" s="712"/>
      <c r="AL38" s="712"/>
      <c r="AM38" s="712"/>
      <c r="AN38" s="712"/>
      <c r="AO38" s="712"/>
      <c r="AP38" s="712"/>
      <c r="AQ38" s="712"/>
      <c r="AR38" s="712"/>
      <c r="AS38" s="712"/>
    </row>
    <row r="39" spans="1:45" x14ac:dyDescent="0.35">
      <c r="A39" s="713"/>
      <c r="B39" s="713"/>
      <c r="C39" s="713"/>
      <c r="D39" s="713"/>
      <c r="E39" s="713"/>
      <c r="F39" s="713"/>
      <c r="G39" s="713"/>
      <c r="H39" s="713"/>
      <c r="I39" s="713"/>
      <c r="J39" s="713"/>
      <c r="K39" s="713"/>
      <c r="L39" s="713"/>
      <c r="M39" s="713"/>
      <c r="N39" s="713"/>
      <c r="O39" s="713"/>
      <c r="P39" s="713"/>
      <c r="Q39" s="713"/>
      <c r="R39" s="713"/>
      <c r="S39"/>
      <c r="T39" s="1">
        <f t="shared" ca="1" si="5"/>
        <v>46635</v>
      </c>
      <c r="U39">
        <v>6</v>
      </c>
      <c r="V39"/>
      <c r="W39"/>
      <c r="X39"/>
      <c r="Y39"/>
      <c r="Z39"/>
      <c r="AA39"/>
      <c r="AB39" s="712"/>
      <c r="AC39" s="712"/>
      <c r="AD39" s="712"/>
      <c r="AE39" s="712"/>
      <c r="AF39" s="712"/>
      <c r="AG39" s="712"/>
      <c r="AH39" s="712"/>
      <c r="AI39" s="712"/>
      <c r="AJ39" s="712"/>
      <c r="AK39" s="712"/>
      <c r="AL39" s="712"/>
      <c r="AM39" s="712"/>
      <c r="AN39" s="712"/>
      <c r="AO39" s="712"/>
      <c r="AP39" s="712"/>
      <c r="AQ39" s="712"/>
      <c r="AR39" s="712"/>
      <c r="AS39" s="712"/>
    </row>
    <row r="40" spans="1:45" x14ac:dyDescent="0.35">
      <c r="A40" s="713"/>
      <c r="B40" s="713"/>
      <c r="C40" s="713"/>
      <c r="D40" s="713"/>
      <c r="E40" s="713"/>
      <c r="F40" s="713"/>
      <c r="G40" s="713"/>
      <c r="H40" s="713"/>
      <c r="I40" s="713"/>
      <c r="J40" s="713"/>
      <c r="K40" s="713"/>
      <c r="L40" s="713"/>
      <c r="M40" s="713"/>
      <c r="N40" s="713"/>
      <c r="O40" s="713"/>
      <c r="P40" s="713"/>
      <c r="Q40" s="713"/>
      <c r="R40" s="713"/>
      <c r="S40"/>
      <c r="T40" s="1">
        <f t="shared" ca="1" si="5"/>
        <v>46665</v>
      </c>
      <c r="U40">
        <v>7</v>
      </c>
      <c r="V40"/>
      <c r="W40"/>
      <c r="X40"/>
      <c r="Y40"/>
      <c r="Z40"/>
      <c r="AA40"/>
      <c r="AB40" s="712"/>
      <c r="AC40" s="712"/>
      <c r="AD40" s="712"/>
      <c r="AE40" s="712"/>
      <c r="AF40" s="712"/>
      <c r="AG40" s="712"/>
      <c r="AH40" s="712"/>
      <c r="AI40" s="712"/>
      <c r="AJ40" s="712"/>
      <c r="AK40" s="712"/>
      <c r="AL40" s="712"/>
      <c r="AM40" s="712"/>
      <c r="AN40" s="712"/>
      <c r="AO40" s="712"/>
      <c r="AP40" s="712"/>
      <c r="AQ40" s="712"/>
      <c r="AR40" s="712"/>
      <c r="AS40" s="712"/>
    </row>
    <row r="41" spans="1:45" x14ac:dyDescent="0.35">
      <c r="A41" s="713"/>
      <c r="B41" s="713"/>
      <c r="C41" s="713"/>
      <c r="D41" s="713"/>
      <c r="E41" s="713"/>
      <c r="F41" s="713"/>
      <c r="G41" s="713"/>
      <c r="H41" s="713"/>
      <c r="I41" s="713"/>
      <c r="J41" s="713"/>
      <c r="K41" s="713"/>
      <c r="L41" s="713"/>
      <c r="M41" s="713"/>
      <c r="N41" s="713"/>
      <c r="O41" s="713"/>
      <c r="P41" s="713"/>
      <c r="Q41" s="713"/>
      <c r="R41" s="713"/>
      <c r="S41"/>
      <c r="T41" s="1">
        <f t="shared" ca="1" si="5"/>
        <v>46696</v>
      </c>
      <c r="U41">
        <v>8</v>
      </c>
      <c r="V41"/>
      <c r="W41"/>
      <c r="X41"/>
      <c r="Y41"/>
      <c r="Z41"/>
      <c r="AA41"/>
      <c r="AB41" s="712"/>
      <c r="AC41" s="712"/>
      <c r="AD41" s="712"/>
      <c r="AE41" s="712"/>
      <c r="AF41" s="712"/>
      <c r="AG41" s="712"/>
      <c r="AH41" s="712"/>
      <c r="AI41" s="712"/>
      <c r="AJ41" s="712"/>
      <c r="AK41" s="712"/>
      <c r="AL41" s="712"/>
      <c r="AM41" s="712"/>
      <c r="AN41" s="712"/>
      <c r="AO41" s="712"/>
      <c r="AP41" s="712"/>
      <c r="AQ41" s="712"/>
      <c r="AR41" s="712"/>
      <c r="AS41" s="712"/>
    </row>
    <row r="42" spans="1:45" x14ac:dyDescent="0.35">
      <c r="A42" s="713"/>
      <c r="B42" s="713"/>
      <c r="C42" s="713"/>
      <c r="D42" s="713"/>
      <c r="E42" s="713"/>
      <c r="F42" s="713"/>
      <c r="G42" s="713"/>
      <c r="H42" s="713"/>
      <c r="I42" s="713"/>
      <c r="J42" s="713"/>
      <c r="K42" s="713"/>
      <c r="L42" s="713"/>
      <c r="M42" s="713"/>
      <c r="N42" s="713"/>
      <c r="O42" s="713"/>
      <c r="P42" s="713"/>
      <c r="Q42" s="713"/>
      <c r="R42" s="713"/>
      <c r="S42"/>
      <c r="T42" s="1">
        <f t="shared" ca="1" si="5"/>
        <v>46726</v>
      </c>
      <c r="U42">
        <v>9</v>
      </c>
      <c r="V42"/>
      <c r="W42"/>
      <c r="X42"/>
      <c r="Y42"/>
      <c r="Z42"/>
      <c r="AA42"/>
      <c r="AB42" s="712"/>
      <c r="AC42" s="712"/>
      <c r="AD42" s="712"/>
      <c r="AE42" s="712"/>
      <c r="AF42" s="712"/>
      <c r="AG42" s="712"/>
      <c r="AH42" s="712"/>
      <c r="AI42" s="712"/>
      <c r="AJ42" s="712"/>
      <c r="AK42" s="712"/>
      <c r="AL42" s="712"/>
      <c r="AM42" s="712"/>
      <c r="AN42" s="712"/>
      <c r="AO42" s="712"/>
      <c r="AP42" s="712"/>
      <c r="AQ42" s="712"/>
      <c r="AR42" s="712"/>
      <c r="AS42" s="712"/>
    </row>
    <row r="43" spans="1:45" x14ac:dyDescent="0.35">
      <c r="A43" s="713"/>
      <c r="B43" s="713"/>
      <c r="C43" s="713"/>
      <c r="D43" s="713"/>
      <c r="E43" s="713"/>
      <c r="F43" s="713"/>
      <c r="G43" s="713"/>
      <c r="H43" s="713"/>
      <c r="I43" s="713"/>
      <c r="J43" s="713"/>
      <c r="K43" s="713"/>
      <c r="L43" s="713"/>
      <c r="M43" s="713"/>
      <c r="N43" s="713"/>
      <c r="O43" s="713"/>
      <c r="P43" s="713"/>
      <c r="Q43" s="713"/>
      <c r="R43" s="713"/>
      <c r="S43"/>
      <c r="T43" s="1">
        <f t="shared" ca="1" si="5"/>
        <v>46757</v>
      </c>
      <c r="U43">
        <v>10</v>
      </c>
      <c r="V43"/>
      <c r="W43"/>
      <c r="X43"/>
      <c r="Y43"/>
      <c r="Z43"/>
      <c r="AA43"/>
      <c r="AB43" s="712"/>
      <c r="AC43" s="712"/>
      <c r="AD43" s="712"/>
      <c r="AE43" s="712"/>
      <c r="AF43" s="712"/>
      <c r="AG43" s="712"/>
      <c r="AH43" s="712"/>
      <c r="AI43" s="712"/>
      <c r="AJ43" s="712"/>
      <c r="AK43" s="712"/>
      <c r="AL43" s="712"/>
      <c r="AM43" s="712"/>
      <c r="AN43" s="712"/>
      <c r="AO43" s="712"/>
      <c r="AP43" s="712"/>
      <c r="AQ43" s="712"/>
      <c r="AR43" s="712"/>
      <c r="AS43" s="712"/>
    </row>
    <row r="44" spans="1:45" x14ac:dyDescent="0.35">
      <c r="A44" s="713"/>
      <c r="B44" s="713"/>
      <c r="C44" s="713"/>
      <c r="D44" s="713"/>
      <c r="E44" s="713"/>
      <c r="F44" s="713"/>
      <c r="G44" s="713"/>
      <c r="H44" s="713"/>
      <c r="I44" s="713"/>
      <c r="J44" s="713"/>
      <c r="K44" s="713"/>
      <c r="L44" s="713"/>
      <c r="M44" s="713"/>
      <c r="N44" s="713"/>
      <c r="O44" s="713"/>
      <c r="P44" s="713"/>
      <c r="Q44" s="713"/>
      <c r="R44" s="713"/>
      <c r="S44"/>
      <c r="T44" s="1">
        <f t="shared" ca="1" si="5"/>
        <v>46788</v>
      </c>
      <c r="U44">
        <f>IF($R$19=2,10,11)</f>
        <v>11</v>
      </c>
      <c r="V44"/>
      <c r="W44"/>
      <c r="X44"/>
      <c r="Y44"/>
      <c r="Z44"/>
      <c r="AA44"/>
      <c r="AB44" s="712"/>
      <c r="AC44" s="712"/>
      <c r="AD44" s="712"/>
      <c r="AE44" s="712"/>
      <c r="AF44" s="712"/>
      <c r="AG44" s="712"/>
      <c r="AH44" s="712"/>
      <c r="AI44" s="712"/>
      <c r="AJ44" s="712"/>
      <c r="AK44" s="712"/>
      <c r="AL44" s="712"/>
      <c r="AM44" s="712"/>
      <c r="AN44" s="712"/>
      <c r="AO44" s="712"/>
      <c r="AP44" s="712"/>
      <c r="AQ44" s="712"/>
      <c r="AR44" s="712"/>
      <c r="AS44" s="712"/>
    </row>
    <row r="45" spans="1:45" x14ac:dyDescent="0.35">
      <c r="A45" s="713"/>
      <c r="B45" s="713"/>
      <c r="C45" s="713"/>
      <c r="D45" s="713"/>
      <c r="E45" s="713"/>
      <c r="F45" s="713"/>
      <c r="G45" s="713"/>
      <c r="H45" s="713"/>
      <c r="I45" s="713"/>
      <c r="J45" s="713"/>
      <c r="K45" s="713"/>
      <c r="L45" s="713"/>
      <c r="M45" s="713"/>
      <c r="N45" s="713"/>
      <c r="O45" s="713"/>
      <c r="P45" s="713"/>
      <c r="Q45" s="713"/>
      <c r="R45" s="713"/>
      <c r="S45"/>
      <c r="T45" s="1">
        <f t="shared" ca="1" si="5"/>
        <v>46817</v>
      </c>
      <c r="U45">
        <f>IF($R$19=2,10,12)</f>
        <v>12</v>
      </c>
      <c r="V45"/>
      <c r="W45"/>
      <c r="X45"/>
      <c r="Y45"/>
      <c r="Z45"/>
      <c r="AA45"/>
      <c r="AB45" s="712"/>
      <c r="AC45" s="712"/>
      <c r="AD45" s="712"/>
      <c r="AE45" s="712"/>
      <c r="AF45" s="712"/>
      <c r="AG45" s="712"/>
      <c r="AH45" s="712"/>
      <c r="AI45" s="712"/>
      <c r="AJ45" s="712"/>
      <c r="AK45" s="712"/>
      <c r="AL45" s="712"/>
      <c r="AM45" s="712"/>
      <c r="AN45" s="712"/>
      <c r="AO45" s="712"/>
      <c r="AP45" s="712"/>
      <c r="AQ45" s="712"/>
      <c r="AR45" s="712"/>
      <c r="AS45" s="712"/>
    </row>
    <row r="46" spans="1:45" x14ac:dyDescent="0.35">
      <c r="A46" s="713"/>
      <c r="B46" s="713"/>
      <c r="C46" s="713"/>
      <c r="D46" s="713"/>
      <c r="E46" s="713"/>
      <c r="F46" s="713"/>
      <c r="G46" s="713"/>
      <c r="H46" s="713"/>
      <c r="I46" s="713"/>
      <c r="J46" s="713"/>
      <c r="K46" s="713"/>
      <c r="L46" s="713"/>
      <c r="M46" s="713"/>
      <c r="N46" s="713"/>
      <c r="O46" s="713"/>
      <c r="P46" s="713"/>
      <c r="Q46" s="713"/>
      <c r="R46" s="713"/>
      <c r="S46"/>
      <c r="T46" s="1">
        <f ca="1">DATE(YEAR(T45),MONTH(T45)+1,1)</f>
        <v>46844</v>
      </c>
      <c r="U46">
        <v>0</v>
      </c>
      <c r="V46"/>
      <c r="W46"/>
      <c r="X46"/>
      <c r="Y46"/>
      <c r="Z46"/>
      <c r="AA46"/>
      <c r="AB46" s="712"/>
      <c r="AC46" s="712"/>
      <c r="AD46" s="712"/>
      <c r="AE46" s="712"/>
      <c r="AF46" s="712"/>
      <c r="AG46" s="712"/>
      <c r="AH46" s="712"/>
      <c r="AI46" s="712"/>
      <c r="AJ46" s="712"/>
      <c r="AK46" s="712"/>
      <c r="AL46" s="712"/>
      <c r="AM46" s="712"/>
      <c r="AN46" s="712"/>
      <c r="AO46" s="712"/>
      <c r="AP46" s="712"/>
      <c r="AQ46" s="712"/>
      <c r="AR46" s="712"/>
      <c r="AS46" s="712"/>
    </row>
    <row r="47" spans="1:45" x14ac:dyDescent="0.35">
      <c r="A47" s="713"/>
      <c r="B47" s="713"/>
      <c r="C47" s="713"/>
      <c r="D47" s="713"/>
      <c r="E47" s="713"/>
      <c r="F47" s="713"/>
      <c r="G47" s="713"/>
      <c r="H47" s="713"/>
      <c r="I47" s="713"/>
      <c r="J47" s="713"/>
      <c r="K47" s="713"/>
      <c r="L47" s="713"/>
      <c r="M47" s="713"/>
      <c r="N47" s="713"/>
      <c r="O47" s="713"/>
      <c r="P47" s="713"/>
      <c r="Q47" s="713"/>
      <c r="R47" s="713"/>
      <c r="S47"/>
      <c r="T47" s="1">
        <f ca="1">DATE(YEAR(T45),MONTH(T45)+1,5)</f>
        <v>46848</v>
      </c>
      <c r="U47">
        <v>1</v>
      </c>
      <c r="V47"/>
      <c r="W47"/>
      <c r="X47"/>
      <c r="Y47"/>
      <c r="Z47"/>
      <c r="AA47"/>
      <c r="AB47" s="712"/>
      <c r="AC47" s="712"/>
      <c r="AD47" s="712"/>
      <c r="AE47" s="712"/>
      <c r="AF47" s="712"/>
      <c r="AG47" s="712"/>
      <c r="AH47" s="712"/>
      <c r="AI47" s="712"/>
      <c r="AJ47" s="712"/>
      <c r="AK47" s="712"/>
      <c r="AL47" s="712"/>
      <c r="AM47" s="712"/>
      <c r="AN47" s="712"/>
      <c r="AO47" s="712"/>
      <c r="AP47" s="712"/>
      <c r="AQ47" s="712"/>
      <c r="AR47" s="712"/>
      <c r="AS47" s="712"/>
    </row>
    <row r="48" spans="1:45" x14ac:dyDescent="0.35">
      <c r="A48" s="713"/>
      <c r="B48" s="713"/>
      <c r="C48" s="713"/>
      <c r="D48" s="713"/>
      <c r="E48" s="713"/>
      <c r="F48" s="713"/>
      <c r="G48" s="713"/>
      <c r="H48" s="713"/>
      <c r="I48" s="713"/>
      <c r="J48" s="713"/>
      <c r="K48" s="713"/>
      <c r="L48" s="713"/>
      <c r="M48" s="713"/>
      <c r="N48" s="713"/>
      <c r="O48" s="713"/>
      <c r="P48" s="713"/>
      <c r="Q48" s="713"/>
      <c r="R48" s="713"/>
      <c r="S48"/>
      <c r="T48" s="1">
        <f t="shared" ca="1" si="5"/>
        <v>46878</v>
      </c>
      <c r="U48">
        <v>2</v>
      </c>
      <c r="V48"/>
      <c r="W48"/>
      <c r="X48"/>
      <c r="Y48"/>
      <c r="Z48"/>
      <c r="AA48"/>
      <c r="AB48" s="712"/>
      <c r="AC48" s="712"/>
      <c r="AD48" s="712"/>
      <c r="AE48" s="712"/>
      <c r="AF48" s="712"/>
      <c r="AG48" s="712"/>
      <c r="AH48" s="712"/>
      <c r="AI48" s="712"/>
      <c r="AJ48" s="712"/>
      <c r="AK48" s="712"/>
      <c r="AL48" s="712"/>
      <c r="AM48" s="712"/>
      <c r="AN48" s="712"/>
      <c r="AO48" s="712"/>
      <c r="AP48" s="712"/>
      <c r="AQ48" s="712"/>
      <c r="AR48" s="712"/>
      <c r="AS48" s="712"/>
    </row>
    <row r="49" spans="1:45" x14ac:dyDescent="0.35">
      <c r="A49" s="713"/>
      <c r="B49" s="713"/>
      <c r="C49" s="713"/>
      <c r="D49" s="713"/>
      <c r="E49" s="713"/>
      <c r="F49" s="713"/>
      <c r="G49" s="713"/>
      <c r="H49" s="713"/>
      <c r="I49" s="713"/>
      <c r="J49" s="713"/>
      <c r="K49" s="713"/>
      <c r="L49" s="713"/>
      <c r="M49" s="713"/>
      <c r="N49" s="713"/>
      <c r="O49" s="713"/>
      <c r="P49" s="713"/>
      <c r="Q49" s="713"/>
      <c r="R49" s="713"/>
      <c r="S49"/>
      <c r="T49" s="1">
        <f t="shared" ca="1" si="5"/>
        <v>46909</v>
      </c>
      <c r="U49">
        <v>3</v>
      </c>
      <c r="V49"/>
      <c r="W49"/>
      <c r="X49"/>
      <c r="Y49"/>
      <c r="Z49"/>
      <c r="AA49"/>
      <c r="AB49" s="712"/>
      <c r="AC49" s="712"/>
      <c r="AD49" s="712"/>
      <c r="AE49" s="712"/>
      <c r="AF49" s="712"/>
      <c r="AG49" s="712"/>
      <c r="AH49" s="712"/>
      <c r="AI49" s="712"/>
      <c r="AJ49" s="712"/>
      <c r="AK49" s="712"/>
      <c r="AL49" s="712"/>
      <c r="AM49" s="712"/>
      <c r="AN49" s="712"/>
      <c r="AO49" s="712"/>
      <c r="AP49" s="712"/>
      <c r="AQ49" s="712"/>
      <c r="AR49" s="712"/>
      <c r="AS49" s="712"/>
    </row>
    <row r="50" spans="1:45" x14ac:dyDescent="0.35">
      <c r="A50" s="713"/>
      <c r="B50" s="713"/>
      <c r="C50" s="713"/>
      <c r="D50" s="713"/>
      <c r="E50" s="713"/>
      <c r="F50" s="713"/>
      <c r="G50" s="713"/>
      <c r="H50" s="713"/>
      <c r="I50" s="713"/>
      <c r="J50" s="713"/>
      <c r="K50" s="713"/>
      <c r="L50" s="713"/>
      <c r="M50" s="713"/>
      <c r="N50" s="713"/>
      <c r="O50" s="713"/>
      <c r="P50" s="713"/>
      <c r="Q50" s="713"/>
      <c r="R50" s="713"/>
      <c r="S50"/>
      <c r="T50" s="1">
        <f t="shared" ca="1" si="5"/>
        <v>46939</v>
      </c>
      <c r="U50">
        <v>4</v>
      </c>
      <c r="V50"/>
      <c r="W50"/>
      <c r="X50"/>
      <c r="Y50"/>
      <c r="Z50"/>
      <c r="AA50"/>
      <c r="AB50" s="712"/>
      <c r="AC50" s="712"/>
      <c r="AD50" s="712"/>
      <c r="AE50" s="712"/>
      <c r="AF50" s="712"/>
      <c r="AG50" s="712"/>
      <c r="AH50" s="712"/>
      <c r="AI50" s="712"/>
      <c r="AJ50" s="712"/>
      <c r="AK50" s="712"/>
      <c r="AL50" s="712"/>
      <c r="AM50" s="712"/>
      <c r="AN50" s="712"/>
      <c r="AO50" s="712"/>
      <c r="AP50" s="712"/>
      <c r="AQ50" s="712"/>
      <c r="AR50" s="712"/>
      <c r="AS50" s="712"/>
    </row>
    <row r="51" spans="1:45" x14ac:dyDescent="0.35">
      <c r="A51" s="713"/>
      <c r="B51" s="713"/>
      <c r="C51" s="713"/>
      <c r="D51" s="713"/>
      <c r="E51" s="713"/>
      <c r="F51" s="713"/>
      <c r="G51" s="713"/>
      <c r="H51" s="713"/>
      <c r="I51" s="713"/>
      <c r="J51" s="713"/>
      <c r="K51" s="713"/>
      <c r="L51" s="713"/>
      <c r="M51" s="713"/>
      <c r="N51" s="713"/>
      <c r="O51" s="713"/>
      <c r="P51" s="713"/>
      <c r="Q51" s="713"/>
      <c r="R51" s="713"/>
      <c r="S51"/>
      <c r="T51" s="1">
        <f t="shared" ca="1" si="5"/>
        <v>46970</v>
      </c>
      <c r="U51">
        <v>5</v>
      </c>
      <c r="V51"/>
      <c r="W51"/>
      <c r="X51"/>
      <c r="Y51"/>
      <c r="Z51"/>
      <c r="AA51"/>
      <c r="AB51" s="712"/>
      <c r="AC51" s="712"/>
      <c r="AD51" s="712"/>
      <c r="AE51" s="712"/>
      <c r="AF51" s="712"/>
      <c r="AG51" s="712"/>
      <c r="AH51" s="712"/>
      <c r="AI51" s="712"/>
      <c r="AJ51" s="712"/>
      <c r="AK51" s="712"/>
      <c r="AL51" s="712"/>
      <c r="AM51" s="712"/>
      <c r="AN51" s="712"/>
      <c r="AO51" s="712"/>
      <c r="AP51" s="712"/>
      <c r="AQ51" s="712"/>
      <c r="AR51" s="712"/>
      <c r="AS51" s="712"/>
    </row>
    <row r="52" spans="1:45" x14ac:dyDescent="0.35">
      <c r="A52" s="713"/>
      <c r="B52" s="713"/>
      <c r="C52" s="713"/>
      <c r="D52" s="713"/>
      <c r="E52" s="713"/>
      <c r="F52" s="713"/>
      <c r="G52" s="713"/>
      <c r="H52" s="713"/>
      <c r="I52" s="713"/>
      <c r="J52" s="713"/>
      <c r="K52" s="713"/>
      <c r="L52" s="713"/>
      <c r="M52" s="713"/>
      <c r="N52" s="713"/>
      <c r="O52" s="713"/>
      <c r="P52" s="713"/>
      <c r="Q52" s="713"/>
      <c r="R52" s="713"/>
      <c r="S52"/>
      <c r="T52" s="1">
        <f t="shared" ca="1" si="5"/>
        <v>47001</v>
      </c>
      <c r="U52">
        <v>6</v>
      </c>
      <c r="V52"/>
      <c r="W52"/>
      <c r="X52"/>
      <c r="Y52"/>
      <c r="Z52"/>
      <c r="AA52"/>
      <c r="AB52" s="712"/>
      <c r="AC52" s="712"/>
      <c r="AD52" s="712"/>
      <c r="AE52" s="712"/>
      <c r="AF52" s="712"/>
      <c r="AG52" s="712"/>
      <c r="AH52" s="712"/>
      <c r="AI52" s="712"/>
      <c r="AJ52" s="712"/>
      <c r="AK52" s="712"/>
      <c r="AL52" s="712"/>
      <c r="AM52" s="712"/>
      <c r="AN52" s="712"/>
      <c r="AO52" s="712"/>
      <c r="AP52" s="712"/>
      <c r="AQ52" s="712"/>
      <c r="AR52" s="712"/>
      <c r="AS52" s="712"/>
    </row>
    <row r="53" spans="1:45" x14ac:dyDescent="0.35">
      <c r="A53" s="713"/>
      <c r="B53" s="713"/>
      <c r="C53" s="713"/>
      <c r="D53" s="713"/>
      <c r="E53" s="713"/>
      <c r="F53" s="713"/>
      <c r="G53" s="713"/>
      <c r="H53" s="713"/>
      <c r="I53" s="713"/>
      <c r="J53" s="713"/>
      <c r="K53" s="713"/>
      <c r="L53" s="713"/>
      <c r="M53" s="713"/>
      <c r="N53" s="713"/>
      <c r="O53" s="713"/>
      <c r="P53" s="713"/>
      <c r="Q53" s="713"/>
      <c r="R53" s="713"/>
      <c r="S53"/>
      <c r="T53" s="1">
        <f t="shared" ca="1" si="5"/>
        <v>47031</v>
      </c>
      <c r="U53">
        <v>7</v>
      </c>
      <c r="V53"/>
      <c r="W53"/>
      <c r="X53"/>
      <c r="Y53"/>
      <c r="Z53"/>
      <c r="AA53"/>
      <c r="AB53" s="712"/>
      <c r="AC53" s="712"/>
      <c r="AD53" s="712"/>
      <c r="AE53" s="712"/>
      <c r="AF53" s="712"/>
      <c r="AG53" s="712"/>
      <c r="AH53" s="712"/>
      <c r="AI53" s="712"/>
      <c r="AJ53" s="712"/>
      <c r="AK53" s="712"/>
      <c r="AL53" s="712"/>
      <c r="AM53" s="712"/>
      <c r="AN53" s="712"/>
      <c r="AO53" s="712"/>
      <c r="AP53" s="712"/>
      <c r="AQ53" s="712"/>
      <c r="AR53" s="712"/>
      <c r="AS53" s="712"/>
    </row>
    <row r="54" spans="1:45" x14ac:dyDescent="0.35">
      <c r="A54" s="713"/>
      <c r="B54" s="713"/>
      <c r="C54" s="713"/>
      <c r="D54" s="713"/>
      <c r="E54" s="713"/>
      <c r="F54" s="713"/>
      <c r="G54" s="713"/>
      <c r="H54" s="713"/>
      <c r="I54" s="713"/>
      <c r="J54" s="713"/>
      <c r="K54" s="713"/>
      <c r="L54" s="713"/>
      <c r="M54" s="713"/>
      <c r="N54" s="713"/>
      <c r="O54" s="713"/>
      <c r="P54" s="713"/>
      <c r="Q54" s="713"/>
      <c r="R54" s="713"/>
      <c r="S54"/>
      <c r="T54" s="1">
        <f t="shared" ca="1" si="5"/>
        <v>47062</v>
      </c>
      <c r="U54">
        <v>8</v>
      </c>
      <c r="V54"/>
      <c r="W54"/>
      <c r="X54"/>
      <c r="Y54"/>
      <c r="Z54"/>
      <c r="AA54"/>
      <c r="AB54" s="712"/>
      <c r="AC54" s="712"/>
      <c r="AD54" s="712"/>
      <c r="AE54" s="712"/>
      <c r="AF54" s="712"/>
      <c r="AG54" s="712"/>
      <c r="AH54" s="712"/>
      <c r="AI54" s="712"/>
      <c r="AJ54" s="712"/>
      <c r="AK54" s="712"/>
      <c r="AL54" s="712"/>
      <c r="AM54" s="712"/>
      <c r="AN54" s="712"/>
      <c r="AO54" s="712"/>
      <c r="AP54" s="712"/>
      <c r="AQ54" s="712"/>
      <c r="AR54" s="712"/>
      <c r="AS54" s="712"/>
    </row>
    <row r="55" spans="1:45" x14ac:dyDescent="0.35">
      <c r="A55" s="713"/>
      <c r="B55" s="713"/>
      <c r="C55" s="713"/>
      <c r="D55" s="713"/>
      <c r="E55" s="713"/>
      <c r="F55" s="713"/>
      <c r="G55" s="713"/>
      <c r="H55" s="713"/>
      <c r="I55" s="713"/>
      <c r="J55" s="713"/>
      <c r="K55" s="713"/>
      <c r="L55" s="713"/>
      <c r="M55" s="713"/>
      <c r="N55" s="713"/>
      <c r="O55" s="713"/>
      <c r="P55" s="713"/>
      <c r="Q55" s="713"/>
      <c r="R55" s="713"/>
      <c r="S55"/>
      <c r="T55" s="1">
        <f t="shared" ca="1" si="5"/>
        <v>47092</v>
      </c>
      <c r="U55">
        <v>9</v>
      </c>
      <c r="V55"/>
      <c r="W55"/>
      <c r="X55"/>
      <c r="Y55"/>
      <c r="Z55"/>
      <c r="AA55"/>
      <c r="AB55" s="712"/>
      <c r="AC55" s="712"/>
      <c r="AD55" s="712"/>
      <c r="AE55" s="712"/>
      <c r="AF55" s="712"/>
      <c r="AG55" s="712"/>
      <c r="AH55" s="712"/>
      <c r="AI55" s="712"/>
      <c r="AJ55" s="712"/>
      <c r="AK55" s="712"/>
      <c r="AL55" s="712"/>
      <c r="AM55" s="712"/>
      <c r="AN55" s="712"/>
      <c r="AO55" s="712"/>
      <c r="AP55" s="712"/>
      <c r="AQ55" s="712"/>
      <c r="AR55" s="712"/>
      <c r="AS55" s="712"/>
    </row>
    <row r="56" spans="1:45" x14ac:dyDescent="0.35">
      <c r="A56" s="713"/>
      <c r="B56" s="713"/>
      <c r="C56" s="713"/>
      <c r="D56" s="713"/>
      <c r="E56" s="713"/>
      <c r="F56" s="713"/>
      <c r="G56" s="713"/>
      <c r="H56" s="713"/>
      <c r="I56" s="713"/>
      <c r="J56" s="713"/>
      <c r="K56" s="713"/>
      <c r="L56" s="713"/>
      <c r="M56" s="713"/>
      <c r="N56" s="713"/>
      <c r="O56" s="713"/>
      <c r="P56" s="713"/>
      <c r="Q56" s="713"/>
      <c r="R56" s="713"/>
      <c r="S56"/>
      <c r="T56" s="1">
        <f t="shared" ca="1" si="5"/>
        <v>47123</v>
      </c>
      <c r="U56">
        <v>10</v>
      </c>
      <c r="V56"/>
      <c r="W56"/>
      <c r="X56"/>
      <c r="Y56"/>
      <c r="Z56"/>
      <c r="AA56"/>
      <c r="AB56" s="712"/>
      <c r="AC56" s="712"/>
      <c r="AD56" s="712"/>
      <c r="AE56" s="712"/>
      <c r="AF56" s="712"/>
      <c r="AG56" s="712"/>
      <c r="AH56" s="712"/>
      <c r="AI56" s="712"/>
      <c r="AJ56" s="712"/>
      <c r="AK56" s="712"/>
      <c r="AL56" s="712"/>
      <c r="AM56" s="712"/>
      <c r="AN56" s="712"/>
      <c r="AO56" s="712"/>
      <c r="AP56" s="712"/>
      <c r="AQ56" s="712"/>
      <c r="AR56" s="712"/>
      <c r="AS56" s="712"/>
    </row>
    <row r="57" spans="1:45" x14ac:dyDescent="0.35">
      <c r="A57" s="713"/>
      <c r="B57" s="713"/>
      <c r="C57" s="713"/>
      <c r="D57" s="713"/>
      <c r="E57" s="713"/>
      <c r="F57" s="713"/>
      <c r="G57" s="713"/>
      <c r="H57" s="713"/>
      <c r="I57" s="713"/>
      <c r="J57" s="713"/>
      <c r="K57" s="713"/>
      <c r="L57" s="713"/>
      <c r="M57" s="713"/>
      <c r="N57" s="713"/>
      <c r="O57" s="713"/>
      <c r="P57" s="713"/>
      <c r="Q57" s="713"/>
      <c r="R57" s="713"/>
      <c r="S57" s="713"/>
      <c r="T57" s="713"/>
      <c r="U57" s="713"/>
      <c r="V57" s="713"/>
      <c r="W57" s="713"/>
      <c r="X57" s="713"/>
      <c r="Y57" s="713"/>
      <c r="Z57" s="713"/>
      <c r="AA57" s="713"/>
      <c r="AB57" s="713"/>
      <c r="AC57" s="712"/>
      <c r="AD57" s="712"/>
      <c r="AE57" s="712"/>
      <c r="AF57" s="712"/>
      <c r="AG57" s="712"/>
      <c r="AH57" s="712"/>
      <c r="AI57" s="712"/>
      <c r="AJ57" s="712"/>
      <c r="AK57" s="712"/>
      <c r="AL57" s="712"/>
      <c r="AM57" s="712"/>
      <c r="AN57" s="712"/>
      <c r="AO57" s="712"/>
      <c r="AP57" s="712"/>
      <c r="AQ57" s="712"/>
      <c r="AR57" s="712"/>
      <c r="AS57" s="712"/>
    </row>
    <row r="58" spans="1:45" x14ac:dyDescent="0.35">
      <c r="S58"/>
      <c r="T58" s="1">
        <f t="shared" si="5"/>
        <v>36</v>
      </c>
      <c r="U58">
        <f>IF($R$19=2,10,12)</f>
        <v>12</v>
      </c>
      <c r="V58"/>
      <c r="W58"/>
      <c r="X58"/>
      <c r="Y58"/>
      <c r="Z58"/>
      <c r="AA58"/>
    </row>
    <row r="59" spans="1:45" x14ac:dyDescent="0.35">
      <c r="S59"/>
      <c r="T59" s="1">
        <f>DATE(YEAR(T58),MONTH(T58)+1,1)</f>
        <v>61</v>
      </c>
      <c r="U59">
        <v>0</v>
      </c>
      <c r="V59"/>
      <c r="W59"/>
      <c r="X59"/>
      <c r="Y59"/>
      <c r="Z59"/>
      <c r="AA59"/>
    </row>
    <row r="60" spans="1:45" x14ac:dyDescent="0.35">
      <c r="S60"/>
      <c r="T60" s="1">
        <f>DATE(YEAR(T58),MONTH(T58)+1,5)</f>
        <v>65</v>
      </c>
      <c r="U60">
        <v>1</v>
      </c>
      <c r="V60"/>
      <c r="W60"/>
      <c r="X60"/>
      <c r="Y60"/>
      <c r="Z60"/>
      <c r="AA60"/>
    </row>
    <row r="61" spans="1:45" x14ac:dyDescent="0.35">
      <c r="S61"/>
      <c r="T61" s="1">
        <f t="shared" si="5"/>
        <v>96</v>
      </c>
      <c r="U61">
        <v>2</v>
      </c>
      <c r="V61"/>
      <c r="W61"/>
      <c r="X61"/>
      <c r="Y61"/>
      <c r="Z61"/>
      <c r="AA61"/>
    </row>
    <row r="62" spans="1:45" x14ac:dyDescent="0.35">
      <c r="S62"/>
      <c r="T62" s="1">
        <f t="shared" si="5"/>
        <v>126</v>
      </c>
      <c r="U62">
        <v>3</v>
      </c>
      <c r="V62"/>
      <c r="W62"/>
      <c r="X62"/>
      <c r="Y62"/>
      <c r="Z62"/>
      <c r="AA62"/>
    </row>
    <row r="63" spans="1:45" x14ac:dyDescent="0.35">
      <c r="S63"/>
      <c r="T63" s="1">
        <f t="shared" si="5"/>
        <v>157</v>
      </c>
      <c r="U63">
        <v>4</v>
      </c>
      <c r="V63"/>
      <c r="W63"/>
      <c r="X63"/>
      <c r="Y63"/>
      <c r="Z63"/>
      <c r="AA63"/>
    </row>
    <row r="64" spans="1:45" x14ac:dyDescent="0.35">
      <c r="S64"/>
      <c r="T64" s="1">
        <f t="shared" si="5"/>
        <v>187</v>
      </c>
      <c r="U64">
        <v>5</v>
      </c>
      <c r="V64"/>
      <c r="W64"/>
      <c r="X64"/>
      <c r="Y64"/>
      <c r="Z64"/>
      <c r="AA64"/>
    </row>
    <row r="65" spans="19:27" x14ac:dyDescent="0.35">
      <c r="S65"/>
      <c r="T65" s="1">
        <f t="shared" si="5"/>
        <v>218</v>
      </c>
      <c r="U65">
        <v>6</v>
      </c>
      <c r="V65"/>
      <c r="W65"/>
      <c r="X65"/>
      <c r="Y65"/>
      <c r="Z65"/>
      <c r="AA65"/>
    </row>
    <row r="66" spans="19:27" x14ac:dyDescent="0.35">
      <c r="S66"/>
      <c r="T66" s="1">
        <f t="shared" si="5"/>
        <v>249</v>
      </c>
      <c r="U66">
        <v>7</v>
      </c>
      <c r="V66"/>
      <c r="W66"/>
      <c r="X66"/>
      <c r="Y66"/>
      <c r="Z66"/>
      <c r="AA66"/>
    </row>
    <row r="67" spans="19:27" x14ac:dyDescent="0.35">
      <c r="S67"/>
      <c r="T67" s="1">
        <f t="shared" si="5"/>
        <v>279</v>
      </c>
      <c r="U67">
        <v>8</v>
      </c>
      <c r="V67"/>
      <c r="W67"/>
      <c r="X67"/>
      <c r="Y67"/>
      <c r="Z67"/>
      <c r="AA67"/>
    </row>
    <row r="68" spans="19:27" x14ac:dyDescent="0.35">
      <c r="S68"/>
      <c r="T68" s="1">
        <f t="shared" si="5"/>
        <v>310</v>
      </c>
      <c r="U68">
        <v>9</v>
      </c>
      <c r="V68"/>
      <c r="W68"/>
      <c r="X68"/>
      <c r="Y68"/>
      <c r="Z68"/>
      <c r="AA68"/>
    </row>
    <row r="69" spans="19:27" x14ac:dyDescent="0.35">
      <c r="S69"/>
      <c r="T69" s="1">
        <f t="shared" si="5"/>
        <v>340</v>
      </c>
      <c r="U69">
        <v>10</v>
      </c>
      <c r="V69"/>
      <c r="W69"/>
      <c r="X69"/>
      <c r="Y69"/>
      <c r="Z69"/>
      <c r="AA69"/>
    </row>
    <row r="70" spans="19:27" x14ac:dyDescent="0.35">
      <c r="S70"/>
      <c r="T70" s="1">
        <f t="shared" si="5"/>
        <v>371</v>
      </c>
      <c r="U70">
        <f>IF($R$19=2,10,11)</f>
        <v>11</v>
      </c>
      <c r="V70"/>
      <c r="W70"/>
      <c r="X70"/>
      <c r="Y70"/>
      <c r="Z70"/>
      <c r="AA70"/>
    </row>
    <row r="71" spans="19:27" x14ac:dyDescent="0.35">
      <c r="S71"/>
      <c r="T71" s="1">
        <f t="shared" si="5"/>
        <v>402</v>
      </c>
      <c r="U71">
        <f>IF($R$19=2,10,12)</f>
        <v>12</v>
      </c>
      <c r="V71"/>
      <c r="W71"/>
      <c r="X71"/>
      <c r="Y71"/>
      <c r="Z71"/>
      <c r="AA71"/>
    </row>
    <row r="72" spans="19:27" x14ac:dyDescent="0.35">
      <c r="S72"/>
      <c r="T72" s="1">
        <f>DATE(YEAR(T71),MONTH(T71)+1,1)</f>
        <v>426</v>
      </c>
      <c r="U72">
        <v>0</v>
      </c>
      <c r="V72"/>
      <c r="W72"/>
      <c r="X72"/>
      <c r="Y72"/>
      <c r="Z72"/>
      <c r="AA72"/>
    </row>
    <row r="73" spans="19:27" x14ac:dyDescent="0.35">
      <c r="S73"/>
      <c r="T73" s="1">
        <f>DATE(YEAR(T71),MONTH(T71)+1,5)</f>
        <v>430</v>
      </c>
      <c r="U73">
        <v>1</v>
      </c>
      <c r="V73"/>
      <c r="W73"/>
      <c r="X73"/>
      <c r="Y73"/>
      <c r="Z73"/>
      <c r="AA73"/>
    </row>
    <row r="74" spans="19:27" x14ac:dyDescent="0.35">
      <c r="S74"/>
      <c r="T74" s="1">
        <f t="shared" si="5"/>
        <v>461</v>
      </c>
      <c r="U74">
        <v>2</v>
      </c>
      <c r="V74"/>
      <c r="W74"/>
      <c r="X74"/>
      <c r="Y74"/>
      <c r="Z74"/>
      <c r="AA74"/>
    </row>
    <row r="75" spans="19:27" x14ac:dyDescent="0.35">
      <c r="S75"/>
      <c r="T75" s="1">
        <f t="shared" si="5"/>
        <v>491</v>
      </c>
      <c r="U75">
        <v>3</v>
      </c>
      <c r="V75"/>
      <c r="W75"/>
      <c r="X75"/>
      <c r="Y75"/>
      <c r="Z75"/>
      <c r="AA75"/>
    </row>
    <row r="76" spans="19:27" x14ac:dyDescent="0.35">
      <c r="S76"/>
      <c r="T76" s="1">
        <f t="shared" si="5"/>
        <v>522</v>
      </c>
      <c r="U76">
        <v>4</v>
      </c>
      <c r="V76"/>
      <c r="W76"/>
      <c r="X76"/>
      <c r="Y76"/>
      <c r="Z76"/>
      <c r="AA76"/>
    </row>
    <row r="77" spans="19:27" x14ac:dyDescent="0.35">
      <c r="S77"/>
      <c r="T77" s="1">
        <f t="shared" si="5"/>
        <v>552</v>
      </c>
      <c r="U77">
        <v>5</v>
      </c>
      <c r="V77"/>
      <c r="W77"/>
      <c r="X77"/>
      <c r="Y77"/>
      <c r="Z77"/>
      <c r="AA77"/>
    </row>
    <row r="78" spans="19:27" x14ac:dyDescent="0.35">
      <c r="S78"/>
      <c r="T78" s="1">
        <f t="shared" si="5"/>
        <v>583</v>
      </c>
      <c r="U78">
        <v>6</v>
      </c>
      <c r="V78"/>
      <c r="W78"/>
      <c r="X78"/>
      <c r="Y78"/>
      <c r="Z78"/>
      <c r="AA78"/>
    </row>
    <row r="79" spans="19:27" x14ac:dyDescent="0.35">
      <c r="S79"/>
      <c r="T79" s="1">
        <f t="shared" si="5"/>
        <v>614</v>
      </c>
      <c r="U79">
        <v>7</v>
      </c>
      <c r="V79"/>
      <c r="W79"/>
      <c r="X79"/>
      <c r="Y79"/>
      <c r="Z79"/>
      <c r="AA79"/>
    </row>
    <row r="80" spans="19:27" x14ac:dyDescent="0.35">
      <c r="S80"/>
      <c r="T80" s="1">
        <f t="shared" si="5"/>
        <v>644</v>
      </c>
      <c r="U80">
        <v>8</v>
      </c>
      <c r="V80"/>
      <c r="W80"/>
      <c r="X80"/>
      <c r="Y80"/>
      <c r="Z80"/>
      <c r="AA80"/>
    </row>
    <row r="81" spans="19:27" x14ac:dyDescent="0.35">
      <c r="S81"/>
      <c r="T81" s="1">
        <f t="shared" si="5"/>
        <v>675</v>
      </c>
      <c r="U81">
        <v>9</v>
      </c>
      <c r="V81"/>
      <c r="W81"/>
      <c r="X81"/>
      <c r="Y81"/>
      <c r="Z81"/>
      <c r="AA81"/>
    </row>
    <row r="82" spans="19:27" x14ac:dyDescent="0.35">
      <c r="S82"/>
      <c r="T82" s="1">
        <f t="shared" si="5"/>
        <v>705</v>
      </c>
      <c r="U82">
        <v>10</v>
      </c>
      <c r="V82"/>
      <c r="W82"/>
      <c r="X82"/>
      <c r="Y82"/>
      <c r="Z82"/>
      <c r="AA82"/>
    </row>
    <row r="83" spans="19:27" x14ac:dyDescent="0.35">
      <c r="S83"/>
      <c r="T83" s="1">
        <f t="shared" si="5"/>
        <v>736</v>
      </c>
      <c r="U83" s="73">
        <f>IF($R$19=2,10,11)</f>
        <v>11</v>
      </c>
      <c r="V83"/>
      <c r="W83"/>
      <c r="X83"/>
      <c r="Y83"/>
      <c r="Z83"/>
      <c r="AA83"/>
    </row>
    <row r="84" spans="19:27" x14ac:dyDescent="0.35">
      <c r="S84"/>
      <c r="T84" s="1">
        <f t="shared" si="5"/>
        <v>767</v>
      </c>
      <c r="U84" s="73">
        <f>IF($R$19=2,10,12)</f>
        <v>12</v>
      </c>
      <c r="V84"/>
      <c r="W84"/>
      <c r="X84"/>
      <c r="Y84"/>
      <c r="Z84"/>
      <c r="AA84"/>
    </row>
    <row r="85" spans="19:27" x14ac:dyDescent="0.35">
      <c r="S85"/>
      <c r="T85" s="1">
        <f>DATE(YEAR(T83),MONTH(T83)+2,1)</f>
        <v>791</v>
      </c>
      <c r="U85">
        <v>0</v>
      </c>
      <c r="V85"/>
      <c r="W85"/>
      <c r="X85"/>
      <c r="Y85"/>
      <c r="Z85"/>
      <c r="AA85"/>
    </row>
    <row r="86" spans="19:27" x14ac:dyDescent="0.35">
      <c r="S86"/>
      <c r="T86" s="1">
        <f>DATE(YEAR(T85),MONTH(T83)+2,5)</f>
        <v>795</v>
      </c>
      <c r="U86">
        <v>1</v>
      </c>
      <c r="V86"/>
      <c r="W86"/>
      <c r="X86"/>
      <c r="Y86"/>
      <c r="Z86"/>
      <c r="AA86"/>
    </row>
    <row r="87" spans="19:27" x14ac:dyDescent="0.35">
      <c r="S87"/>
      <c r="T87" s="1">
        <f>DATE(YEAR(T85),MONTH(T85)+1,5)</f>
        <v>826</v>
      </c>
      <c r="U87">
        <v>2</v>
      </c>
      <c r="V87"/>
      <c r="W87"/>
      <c r="X87"/>
      <c r="Y87"/>
      <c r="Z87"/>
      <c r="AA87"/>
    </row>
    <row r="88" spans="19:27" x14ac:dyDescent="0.35">
      <c r="S88"/>
      <c r="T88" s="1">
        <f t="shared" ref="T88:T97" si="7">DATE(YEAR(T87),MONTH(T87)+1,5)</f>
        <v>856</v>
      </c>
      <c r="U88">
        <v>3</v>
      </c>
      <c r="V88"/>
      <c r="W88"/>
      <c r="X88"/>
      <c r="Y88"/>
      <c r="Z88"/>
      <c r="AA88"/>
    </row>
    <row r="89" spans="19:27" x14ac:dyDescent="0.35">
      <c r="S89"/>
      <c r="T89" s="1">
        <f t="shared" si="7"/>
        <v>887</v>
      </c>
      <c r="U89">
        <v>4</v>
      </c>
      <c r="V89"/>
      <c r="W89"/>
      <c r="X89"/>
      <c r="Y89"/>
      <c r="Z89"/>
      <c r="AA89"/>
    </row>
    <row r="90" spans="19:27" x14ac:dyDescent="0.35">
      <c r="S90"/>
      <c r="T90" s="1">
        <f t="shared" si="7"/>
        <v>917</v>
      </c>
      <c r="U90">
        <v>5</v>
      </c>
      <c r="V90"/>
      <c r="W90"/>
      <c r="X90"/>
      <c r="Y90"/>
      <c r="Z90"/>
      <c r="AA90"/>
    </row>
    <row r="91" spans="19:27" x14ac:dyDescent="0.35">
      <c r="S91"/>
      <c r="T91" s="1">
        <f t="shared" si="7"/>
        <v>948</v>
      </c>
      <c r="U91">
        <v>6</v>
      </c>
      <c r="V91"/>
      <c r="W91"/>
      <c r="X91"/>
      <c r="Y91"/>
      <c r="Z91"/>
      <c r="AA91"/>
    </row>
    <row r="92" spans="19:27" x14ac:dyDescent="0.35">
      <c r="S92"/>
      <c r="T92" s="1">
        <f t="shared" si="7"/>
        <v>979</v>
      </c>
      <c r="U92">
        <v>7</v>
      </c>
      <c r="V92"/>
      <c r="W92"/>
      <c r="X92"/>
      <c r="Y92"/>
      <c r="Z92"/>
      <c r="AA92"/>
    </row>
    <row r="93" spans="19:27" x14ac:dyDescent="0.35">
      <c r="S93"/>
      <c r="T93" s="1">
        <f t="shared" si="7"/>
        <v>1009</v>
      </c>
      <c r="U93">
        <v>8</v>
      </c>
      <c r="V93"/>
      <c r="W93"/>
      <c r="X93"/>
      <c r="Y93"/>
      <c r="Z93"/>
      <c r="AA93"/>
    </row>
    <row r="94" spans="19:27" x14ac:dyDescent="0.35">
      <c r="S94"/>
      <c r="T94" s="1">
        <f t="shared" si="7"/>
        <v>1040</v>
      </c>
      <c r="U94">
        <v>9</v>
      </c>
      <c r="V94"/>
      <c r="W94"/>
      <c r="X94"/>
      <c r="Y94"/>
      <c r="Z94"/>
      <c r="AA94"/>
    </row>
    <row r="95" spans="19:27" x14ac:dyDescent="0.35">
      <c r="S95"/>
      <c r="T95" s="1">
        <f t="shared" si="7"/>
        <v>1070</v>
      </c>
      <c r="U95">
        <v>10</v>
      </c>
      <c r="V95"/>
      <c r="W95"/>
      <c r="X95"/>
      <c r="Y95"/>
      <c r="Z95"/>
      <c r="AA95"/>
    </row>
    <row r="96" spans="19:27" x14ac:dyDescent="0.35">
      <c r="S96"/>
      <c r="T96" s="1">
        <f t="shared" si="7"/>
        <v>1101</v>
      </c>
      <c r="U96" s="73">
        <f>IF($R$19=2,10,11)</f>
        <v>11</v>
      </c>
      <c r="V96"/>
      <c r="W96"/>
      <c r="X96"/>
      <c r="Y96"/>
      <c r="Z96"/>
      <c r="AA96"/>
    </row>
    <row r="97" spans="19:27" x14ac:dyDescent="0.35">
      <c r="S97"/>
      <c r="T97" s="1">
        <f t="shared" si="7"/>
        <v>1132</v>
      </c>
      <c r="U97" s="73">
        <f>IF($R$19=2,10,12)</f>
        <v>12</v>
      </c>
      <c r="V97"/>
      <c r="W97"/>
      <c r="X97"/>
      <c r="Y97"/>
      <c r="Z97"/>
      <c r="AA97"/>
    </row>
    <row r="98" spans="19:27" x14ac:dyDescent="0.35">
      <c r="S98"/>
      <c r="T98" s="1">
        <f>DATE(YEAR(T97),MONTH(T97)+1,1)</f>
        <v>1156</v>
      </c>
      <c r="U98">
        <v>0</v>
      </c>
      <c r="V98"/>
      <c r="W98"/>
      <c r="X98"/>
      <c r="Y98"/>
      <c r="Z98"/>
      <c r="AA98"/>
    </row>
    <row r="99" spans="19:27" x14ac:dyDescent="0.35">
      <c r="S99"/>
      <c r="T99" s="1">
        <f>DATE(YEAR(T98),MONTH(T98)+0,5)</f>
        <v>1160</v>
      </c>
      <c r="U99">
        <v>1</v>
      </c>
      <c r="V99"/>
      <c r="W99"/>
      <c r="X99"/>
      <c r="Y99"/>
      <c r="Z99"/>
      <c r="AA99"/>
    </row>
    <row r="100" spans="19:27" x14ac:dyDescent="0.35">
      <c r="S100"/>
      <c r="T100" s="1">
        <f>DATE(YEAR(T98),MONTH(T98)+1,5)</f>
        <v>1191</v>
      </c>
      <c r="U100">
        <v>2</v>
      </c>
      <c r="V100"/>
      <c r="W100"/>
      <c r="X100"/>
      <c r="Y100"/>
      <c r="Z100"/>
      <c r="AA100"/>
    </row>
    <row r="101" spans="19:27" x14ac:dyDescent="0.35">
      <c r="S101"/>
      <c r="T101" s="1">
        <f t="shared" ref="T101:T110" si="8">DATE(YEAR(T100),MONTH(T100)+1,5)</f>
        <v>1221</v>
      </c>
      <c r="U101">
        <v>3</v>
      </c>
      <c r="V101"/>
      <c r="W101"/>
      <c r="X101"/>
      <c r="Y101"/>
      <c r="Z101"/>
      <c r="AA101"/>
    </row>
    <row r="102" spans="19:27" x14ac:dyDescent="0.35">
      <c r="S102"/>
      <c r="T102" s="1">
        <f t="shared" si="8"/>
        <v>1252</v>
      </c>
      <c r="U102">
        <v>4</v>
      </c>
      <c r="V102"/>
      <c r="W102"/>
      <c r="X102"/>
      <c r="Y102"/>
      <c r="Z102"/>
      <c r="AA102"/>
    </row>
    <row r="103" spans="19:27" x14ac:dyDescent="0.35">
      <c r="S103"/>
      <c r="T103" s="1">
        <f t="shared" si="8"/>
        <v>1282</v>
      </c>
      <c r="U103">
        <v>5</v>
      </c>
      <c r="V103"/>
      <c r="W103"/>
      <c r="X103"/>
      <c r="Y103"/>
      <c r="Z103"/>
      <c r="AA103"/>
    </row>
    <row r="104" spans="19:27" x14ac:dyDescent="0.35">
      <c r="S104"/>
      <c r="T104" s="1">
        <f t="shared" si="8"/>
        <v>1313</v>
      </c>
      <c r="U104">
        <v>6</v>
      </c>
      <c r="V104"/>
      <c r="W104"/>
      <c r="X104"/>
      <c r="Y104"/>
      <c r="Z104"/>
      <c r="AA104"/>
    </row>
    <row r="105" spans="19:27" x14ac:dyDescent="0.35">
      <c r="S105"/>
      <c r="T105" s="1">
        <f t="shared" si="8"/>
        <v>1344</v>
      </c>
      <c r="U105">
        <v>7</v>
      </c>
      <c r="V105"/>
      <c r="W105"/>
      <c r="X105"/>
      <c r="Y105"/>
      <c r="Z105"/>
      <c r="AA105"/>
    </row>
    <row r="106" spans="19:27" x14ac:dyDescent="0.35">
      <c r="S106"/>
      <c r="T106" s="1">
        <f t="shared" si="8"/>
        <v>1374</v>
      </c>
      <c r="U106">
        <v>8</v>
      </c>
      <c r="V106"/>
      <c r="W106"/>
      <c r="X106"/>
      <c r="Y106"/>
      <c r="Z106"/>
      <c r="AA106"/>
    </row>
    <row r="107" spans="19:27" x14ac:dyDescent="0.35">
      <c r="S107"/>
      <c r="T107" s="1">
        <f t="shared" si="8"/>
        <v>1405</v>
      </c>
      <c r="U107">
        <v>9</v>
      </c>
      <c r="V107"/>
      <c r="W107"/>
      <c r="X107"/>
      <c r="Y107"/>
      <c r="Z107"/>
      <c r="AA107"/>
    </row>
    <row r="108" spans="19:27" x14ac:dyDescent="0.35">
      <c r="S108"/>
      <c r="T108" s="1">
        <f t="shared" si="8"/>
        <v>1435</v>
      </c>
      <c r="U108">
        <v>10</v>
      </c>
      <c r="V108"/>
      <c r="W108"/>
      <c r="X108"/>
      <c r="Y108"/>
      <c r="Z108"/>
      <c r="AA108"/>
    </row>
    <row r="109" spans="19:27" x14ac:dyDescent="0.35">
      <c r="S109"/>
      <c r="T109" s="1">
        <f t="shared" si="8"/>
        <v>1466</v>
      </c>
      <c r="U109" s="73">
        <f>IF($R$19=2,10,11)</f>
        <v>11</v>
      </c>
      <c r="V109"/>
      <c r="W109"/>
      <c r="X109"/>
      <c r="Y109"/>
      <c r="Z109"/>
      <c r="AA109"/>
    </row>
    <row r="110" spans="19:27" x14ac:dyDescent="0.35">
      <c r="S110"/>
      <c r="T110" s="1">
        <f t="shared" si="8"/>
        <v>1497</v>
      </c>
      <c r="U110" s="73">
        <f>IF($R$19=2,10,12)</f>
        <v>12</v>
      </c>
      <c r="V110"/>
      <c r="W110"/>
      <c r="X110"/>
      <c r="Y110"/>
      <c r="Z110"/>
      <c r="AA110"/>
    </row>
    <row r="111" spans="19:27" x14ac:dyDescent="0.35">
      <c r="S111"/>
      <c r="T111" s="1">
        <f>DATE(YEAR(T110),MONTH(T110)+2,1)</f>
        <v>1553</v>
      </c>
      <c r="U111">
        <v>0</v>
      </c>
      <c r="V111"/>
      <c r="W111"/>
      <c r="X111"/>
      <c r="Y111"/>
      <c r="Z111"/>
      <c r="AA111"/>
    </row>
  </sheetData>
  <sheetProtection algorithmName="SHA-512" hashValue="7/lwYgNhfVlsuB/whJRDpF6dF2STIB/V/bw0e134UlRVXMgdsFIbcgxp2Uss57o17K8ZrH8SxhLpG4XOUaRFIg==" saltValue="DplKmWl5AnPg3iKO/E8NwQ==" spinCount="100000" sheet="1" objects="1" scenarios="1"/>
  <mergeCells count="2">
    <mergeCell ref="S2:T2"/>
    <mergeCell ref="S3:T3"/>
  </mergeCells>
  <phoneticPr fontId="0" type="noConversion"/>
  <pageMargins left="0.70866141732283472" right="0.70866141732283472" top="0.74803149606299213" bottom="0.74803149606299213" header="0.31496062992125984" footer="0.31496062992125984"/>
  <pageSetup paperSize="9" orientation="portrait" r:id="rId1"/>
  <headerFooter>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6" r:id="rId4" name="home">
              <controlPr defaultSize="0" print="0" autoFill="0" autoPict="0" macro="[0]!globalgoto">
                <anchor moveWithCells="1" sizeWithCells="1">
                  <from>
                    <xdr:col>0</xdr:col>
                    <xdr:colOff>266700</xdr:colOff>
                    <xdr:row>1</xdr:row>
                    <xdr:rowOff>88900</xdr:rowOff>
                  </from>
                  <to>
                    <xdr:col>0</xdr:col>
                    <xdr:colOff>1193800</xdr:colOff>
                    <xdr:row>3</xdr:row>
                    <xdr:rowOff>44450</xdr:rowOff>
                  </to>
                </anchor>
              </controlPr>
            </control>
          </mc:Choice>
        </mc:AlternateContent>
        <mc:AlternateContent xmlns:mc="http://schemas.openxmlformats.org/markup-compatibility/2006">
          <mc:Choice Requires="x14">
            <control shapeId="51207" r:id="rId5" name="advanced">
              <controlPr defaultSize="0" print="0" autoFill="0" autoPict="0" macro="[0]!basic_to_advanced">
                <anchor moveWithCells="1" sizeWithCells="1">
                  <from>
                    <xdr:col>0</xdr:col>
                    <xdr:colOff>266700</xdr:colOff>
                    <xdr:row>3</xdr:row>
                    <xdr:rowOff>50800</xdr:rowOff>
                  </from>
                  <to>
                    <xdr:col>0</xdr:col>
                    <xdr:colOff>1193800</xdr:colOff>
                    <xdr:row>5</xdr:row>
                    <xdr:rowOff>152400</xdr:rowOff>
                  </to>
                </anchor>
              </controlPr>
            </control>
          </mc:Choice>
        </mc:AlternateContent>
        <mc:AlternateContent xmlns:mc="http://schemas.openxmlformats.org/markup-compatibility/2006">
          <mc:Choice Requires="x14">
            <control shapeId="51208" r:id="rId6" name="Group Box 8">
              <controlPr defaultSize="0" autoFill="0" autoPict="0">
                <anchor moveWithCells="1">
                  <from>
                    <xdr:col>3</xdr:col>
                    <xdr:colOff>939800</xdr:colOff>
                    <xdr:row>3</xdr:row>
                    <xdr:rowOff>0</xdr:rowOff>
                  </from>
                  <to>
                    <xdr:col>9</xdr:col>
                    <xdr:colOff>0</xdr:colOff>
                    <xdr:row>4</xdr:row>
                    <xdr:rowOff>0</xdr:rowOff>
                  </to>
                </anchor>
              </controlPr>
            </control>
          </mc:Choice>
        </mc:AlternateContent>
        <mc:AlternateContent xmlns:mc="http://schemas.openxmlformats.org/markup-compatibility/2006">
          <mc:Choice Requires="x14">
            <control shapeId="51215" r:id="rId7" name="basicpaymentdatesbutton">
              <controlPr defaultSize="0" print="0" autoFill="0" autoPict="0" macro="[0]!goto_basic">
                <anchor moveWithCells="1" sizeWithCells="1">
                  <from>
                    <xdr:col>9</xdr:col>
                    <xdr:colOff>63500</xdr:colOff>
                    <xdr:row>21</xdr:row>
                    <xdr:rowOff>38100</xdr:rowOff>
                  </from>
                  <to>
                    <xdr:col>11</xdr:col>
                    <xdr:colOff>685800</xdr:colOff>
                    <xdr:row>22</xdr:row>
                    <xdr:rowOff>146050</xdr:rowOff>
                  </to>
                </anchor>
              </controlPr>
            </control>
          </mc:Choice>
        </mc:AlternateContent>
        <mc:AlternateContent xmlns:mc="http://schemas.openxmlformats.org/markup-compatibility/2006">
          <mc:Choice Requires="x14">
            <control shapeId="51221" r:id="rId8" name="Button 21">
              <controlPr defaultSize="0" print="0" autoFill="0" autoPict="0" macro="[0]!reset_basic_payments">
                <anchor moveWithCells="1" sizeWithCells="1">
                  <from>
                    <xdr:col>11</xdr:col>
                    <xdr:colOff>0</xdr:colOff>
                    <xdr:row>3</xdr:row>
                    <xdr:rowOff>0</xdr:rowOff>
                  </from>
                  <to>
                    <xdr:col>12</xdr:col>
                    <xdr:colOff>44450</xdr:colOff>
                    <xdr:row>4</xdr:row>
                    <xdr:rowOff>50800</xdr:rowOff>
                  </to>
                </anchor>
              </controlPr>
            </control>
          </mc:Choice>
        </mc:AlternateContent>
        <mc:AlternateContent xmlns:mc="http://schemas.openxmlformats.org/markup-compatibility/2006">
          <mc:Choice Requires="x14">
            <control shapeId="51223" r:id="rId9" name="Button 23">
              <controlPr defaultSize="0" print="0" autoFill="0" autoPict="0" macro="[0]!goto_basic">
                <anchor moveWithCells="1" sizeWithCells="1">
                  <from>
                    <xdr:col>11</xdr:col>
                    <xdr:colOff>139700</xdr:colOff>
                    <xdr:row>5</xdr:row>
                    <xdr:rowOff>120650</xdr:rowOff>
                  </from>
                  <to>
                    <xdr:col>11</xdr:col>
                    <xdr:colOff>1454150</xdr:colOff>
                    <xdr:row>7</xdr:row>
                    <xdr:rowOff>88900</xdr:rowOff>
                  </to>
                </anchor>
              </controlPr>
            </control>
          </mc:Choice>
        </mc:AlternateContent>
        <mc:AlternateContent xmlns:mc="http://schemas.openxmlformats.org/markup-compatibility/2006">
          <mc:Choice Requires="x14">
            <control shapeId="51224" r:id="rId10" name="Button 24">
              <controlPr defaultSize="0" print="0" autoFill="0" autoPict="0" macro="[0]!goto_basic_analysis_original">
                <anchor moveWithCells="1" sizeWithCells="1">
                  <from>
                    <xdr:col>11</xdr:col>
                    <xdr:colOff>139700</xdr:colOff>
                    <xdr:row>7</xdr:row>
                    <xdr:rowOff>107950</xdr:rowOff>
                  </from>
                  <to>
                    <xdr:col>11</xdr:col>
                    <xdr:colOff>793750</xdr:colOff>
                    <xdr:row>9</xdr:row>
                    <xdr:rowOff>82550</xdr:rowOff>
                  </to>
                </anchor>
              </controlPr>
            </control>
          </mc:Choice>
        </mc:AlternateContent>
        <mc:AlternateContent xmlns:mc="http://schemas.openxmlformats.org/markup-compatibility/2006">
          <mc:Choice Requires="x14">
            <control shapeId="51225" r:id="rId11" name="Button 25">
              <controlPr defaultSize="0" print="0" autoFill="0" autoPict="0" macro="[0]!goto_basic_analysis_revised">
                <anchor moveWithCells="1" sizeWithCells="1">
                  <from>
                    <xdr:col>11</xdr:col>
                    <xdr:colOff>793750</xdr:colOff>
                    <xdr:row>7</xdr:row>
                    <xdr:rowOff>107950</xdr:rowOff>
                  </from>
                  <to>
                    <xdr:col>11</xdr:col>
                    <xdr:colOff>1454150</xdr:colOff>
                    <xdr:row>9</xdr:row>
                    <xdr:rowOff>82550</xdr:rowOff>
                  </to>
                </anchor>
              </controlPr>
            </control>
          </mc:Choice>
        </mc:AlternateContent>
        <mc:AlternateContent xmlns:mc="http://schemas.openxmlformats.org/markup-compatibility/2006">
          <mc:Choice Requires="x14">
            <control shapeId="51229" r:id="rId12" name="basicclient">
              <controlPr defaultSize="0" print="0" autoFill="0" autoPict="0" macro="[0]!goto_client_report_basic">
                <anchor moveWithCells="1" sizeWithCells="1">
                  <from>
                    <xdr:col>11</xdr:col>
                    <xdr:colOff>139700</xdr:colOff>
                    <xdr:row>9</xdr:row>
                    <xdr:rowOff>88900</xdr:rowOff>
                  </from>
                  <to>
                    <xdr:col>11</xdr:col>
                    <xdr:colOff>1454150</xdr:colOff>
                    <xdr:row>11</xdr:row>
                    <xdr:rowOff>31750</xdr:rowOff>
                  </to>
                </anchor>
              </controlPr>
            </control>
          </mc:Choice>
        </mc:AlternateContent>
        <mc:AlternateContent xmlns:mc="http://schemas.openxmlformats.org/markup-compatibility/2006">
          <mc:Choice Requires="x14">
            <control shapeId="51230" r:id="rId13" name="Button 30">
              <controlPr defaultSize="0" print="0" autoFill="0" autoPict="0" macro="[0]!copy_as_excel">
                <anchor moveWithCells="1" sizeWithCells="1">
                  <from>
                    <xdr:col>13</xdr:col>
                    <xdr:colOff>44450</xdr:colOff>
                    <xdr:row>2</xdr:row>
                    <xdr:rowOff>88900</xdr:rowOff>
                  </from>
                  <to>
                    <xdr:col>14</xdr:col>
                    <xdr:colOff>139700</xdr:colOff>
                    <xdr:row>3</xdr:row>
                    <xdr:rowOff>196850</xdr:rowOff>
                  </to>
                </anchor>
              </controlPr>
            </control>
          </mc:Choice>
        </mc:AlternateContent>
        <mc:AlternateContent xmlns:mc="http://schemas.openxmlformats.org/markup-compatibility/2006">
          <mc:Choice Requires="x14">
            <control shapeId="51231" r:id="rId14" name="Button 31">
              <controlPr defaultSize="0" print="0" autoFill="0" autoPict="0" macro="[0]!pdflauncher">
                <anchor moveWithCells="1" sizeWithCells="1">
                  <from>
                    <xdr:col>14</xdr:col>
                    <xdr:colOff>146050</xdr:colOff>
                    <xdr:row>2</xdr:row>
                    <xdr:rowOff>88900</xdr:rowOff>
                  </from>
                  <to>
                    <xdr:col>15</xdr:col>
                    <xdr:colOff>203200</xdr:colOff>
                    <xdr:row>3</xdr:row>
                    <xdr:rowOff>196850</xdr:rowOff>
                  </to>
                </anchor>
              </controlPr>
            </control>
          </mc:Choice>
        </mc:AlternateContent>
        <mc:AlternateContent xmlns:mc="http://schemas.openxmlformats.org/markup-compatibility/2006">
          <mc:Choice Requires="x14">
            <control shapeId="51232" r:id="rId15" name="Button 32">
              <controlPr defaultSize="0" print="0" autoFill="0" autoPict="0" macro="[0]!openfolder">
                <anchor moveWithCells="1" sizeWithCells="1">
                  <from>
                    <xdr:col>15</xdr:col>
                    <xdr:colOff>215900</xdr:colOff>
                    <xdr:row>2</xdr:row>
                    <xdr:rowOff>88900</xdr:rowOff>
                  </from>
                  <to>
                    <xdr:col>16</xdr:col>
                    <xdr:colOff>114300</xdr:colOff>
                    <xdr:row>3</xdr:row>
                    <xdr:rowOff>196850</xdr:rowOff>
                  </to>
                </anchor>
              </controlPr>
            </control>
          </mc:Choice>
        </mc:AlternateContent>
        <mc:AlternateContent xmlns:mc="http://schemas.openxmlformats.org/markup-compatibility/2006">
          <mc:Choice Requires="x14">
            <control shapeId="51233" r:id="rId16" name="Button 33">
              <controlPr defaultSize="0" print="0" autoFill="0" autoPict="0" macro="[0]!goto_folder_settings">
                <anchor moveWithCells="1" sizeWithCells="1">
                  <from>
                    <xdr:col>16</xdr:col>
                    <xdr:colOff>127000</xdr:colOff>
                    <xdr:row>2</xdr:row>
                    <xdr:rowOff>88900</xdr:rowOff>
                  </from>
                  <to>
                    <xdr:col>16</xdr:col>
                    <xdr:colOff>654050</xdr:colOff>
                    <xdr:row>3</xdr:row>
                    <xdr:rowOff>196850</xdr:rowOff>
                  </to>
                </anchor>
              </controlPr>
            </control>
          </mc:Choice>
        </mc:AlternateContent>
        <mc:AlternateContent xmlns:mc="http://schemas.openxmlformats.org/markup-compatibility/2006">
          <mc:Choice Requires="x14">
            <control shapeId="51234" r:id="rId17" name="Button 34">
              <controlPr defaultSize="0" print="0" autoFill="0" autoPict="0" macro="[0]!email_pdf_launch">
                <anchor moveWithCells="1" sizeWithCells="1">
                  <from>
                    <xdr:col>14</xdr:col>
                    <xdr:colOff>292100</xdr:colOff>
                    <xdr:row>1</xdr:row>
                    <xdr:rowOff>0</xdr:rowOff>
                  </from>
                  <to>
                    <xdr:col>15</xdr:col>
                    <xdr:colOff>349250</xdr:colOff>
                    <xdr:row>2</xdr:row>
                    <xdr:rowOff>82550</xdr:rowOff>
                  </to>
                </anchor>
              </controlPr>
            </control>
          </mc:Choice>
        </mc:AlternateContent>
        <mc:AlternateContent xmlns:mc="http://schemas.openxmlformats.org/markup-compatibility/2006">
          <mc:Choice Requires="x14">
            <control shapeId="51235" r:id="rId18" name="Button 35">
              <controlPr defaultSize="0" print="0" autoFill="0" autoPict="0" macro="[0]!email_copy_as_excel">
                <anchor moveWithCells="1" sizeWithCells="1">
                  <from>
                    <xdr:col>13</xdr:col>
                    <xdr:colOff>44450</xdr:colOff>
                    <xdr:row>1</xdr:row>
                    <xdr:rowOff>0</xdr:rowOff>
                  </from>
                  <to>
                    <xdr:col>14</xdr:col>
                    <xdr:colOff>279400</xdr:colOff>
                    <xdr:row>2</xdr:row>
                    <xdr:rowOff>82550</xdr:rowOff>
                  </to>
                </anchor>
              </controlPr>
            </control>
          </mc:Choice>
        </mc:AlternateContent>
        <mc:AlternateContent xmlns:mc="http://schemas.openxmlformats.org/markup-compatibility/2006">
          <mc:Choice Requires="x14">
            <control shapeId="51236" r:id="rId19" name="Button 36">
              <controlPr defaultSize="0" print="0" autoFill="0" autoPict="0" macro="[0]!emailsettings">
                <anchor moveWithCells="1" sizeWithCells="1">
                  <from>
                    <xdr:col>15</xdr:col>
                    <xdr:colOff>355600</xdr:colOff>
                    <xdr:row>1</xdr:row>
                    <xdr:rowOff>0</xdr:rowOff>
                  </from>
                  <to>
                    <xdr:col>16</xdr:col>
                    <xdr:colOff>654050</xdr:colOff>
                    <xdr:row>2</xdr:row>
                    <xdr:rowOff>82550</xdr:rowOff>
                  </to>
                </anchor>
              </controlPr>
            </control>
          </mc:Choice>
        </mc:AlternateContent>
        <mc:AlternateContent xmlns:mc="http://schemas.openxmlformats.org/markup-compatibility/2006">
          <mc:Choice Requires="x14">
            <control shapeId="51245" r:id="rId20" name="Button 45">
              <controlPr defaultSize="0" print="0" autoFill="0" autoPict="0" macro="[0]!copypaste">
                <anchor moveWithCells="1" sizeWithCells="1">
                  <from>
                    <xdr:col>9</xdr:col>
                    <xdr:colOff>101600</xdr:colOff>
                    <xdr:row>19</xdr:row>
                    <xdr:rowOff>120650</xdr:rowOff>
                  </from>
                  <to>
                    <xdr:col>11</xdr:col>
                    <xdr:colOff>571500</xdr:colOff>
                    <xdr:row>20</xdr:row>
                    <xdr:rowOff>88900</xdr:rowOff>
                  </to>
                </anchor>
              </controlPr>
            </control>
          </mc:Choice>
        </mc:AlternateContent>
        <mc:AlternateContent xmlns:mc="http://schemas.openxmlformats.org/markup-compatibility/2006">
          <mc:Choice Requires="x14">
            <control shapeId="51246" r:id="rId21" name="Button 46">
              <controlPr defaultSize="0" print="0" autoFill="0" autoPict="0" macro="[0]!help_copypaste">
                <anchor moveWithCells="1" sizeWithCells="1">
                  <from>
                    <xdr:col>11</xdr:col>
                    <xdr:colOff>571500</xdr:colOff>
                    <xdr:row>19</xdr:row>
                    <xdr:rowOff>120650</xdr:rowOff>
                  </from>
                  <to>
                    <xdr:col>11</xdr:col>
                    <xdr:colOff>889000</xdr:colOff>
                    <xdr:row>20</xdr:row>
                    <xdr:rowOff>88900</xdr:rowOff>
                  </to>
                </anchor>
              </controlPr>
            </control>
          </mc:Choice>
        </mc:AlternateContent>
        <mc:AlternateContent xmlns:mc="http://schemas.openxmlformats.org/markup-compatibility/2006">
          <mc:Choice Requires="x14">
            <control shapeId="51247" r:id="rId22" name="Button 47">
              <controlPr defaultSize="0" print="0" autoFill="0" autoPict="0" macro="[0]!cancelcopypaste">
                <anchor moveWithCells="1" sizeWithCells="1">
                  <from>
                    <xdr:col>11</xdr:col>
                    <xdr:colOff>889000</xdr:colOff>
                    <xdr:row>19</xdr:row>
                    <xdr:rowOff>120650</xdr:rowOff>
                  </from>
                  <to>
                    <xdr:col>12</xdr:col>
                    <xdr:colOff>228600</xdr:colOff>
                    <xdr:row>20</xdr:row>
                    <xdr:rowOff>88900</xdr:rowOff>
                  </to>
                </anchor>
              </controlPr>
            </control>
          </mc:Choice>
        </mc:AlternateContent>
        <mc:AlternateContent xmlns:mc="http://schemas.openxmlformats.org/markup-compatibility/2006">
          <mc:Choice Requires="x14">
            <control shapeId="51259" r:id="rId23" name="Group Box 59">
              <controlPr defaultSize="0" autoFill="0" autoPict="0">
                <anchor moveWithCells="1">
                  <from>
                    <xdr:col>11</xdr:col>
                    <xdr:colOff>844550</xdr:colOff>
                    <xdr:row>13</xdr:row>
                    <xdr:rowOff>44450</xdr:rowOff>
                  </from>
                  <to>
                    <xdr:col>12</xdr:col>
                    <xdr:colOff>355600</xdr:colOff>
                    <xdr:row>15</xdr:row>
                    <xdr:rowOff>69850</xdr:rowOff>
                  </to>
                </anchor>
              </controlPr>
            </control>
          </mc:Choice>
        </mc:AlternateContent>
        <mc:AlternateContent xmlns:mc="http://schemas.openxmlformats.org/markup-compatibility/2006">
          <mc:Choice Requires="x14">
            <control shapeId="51260" r:id="rId24" name="Option Button 60">
              <controlPr defaultSize="0" autoFill="0" autoLine="0" autoPict="0">
                <anchor moveWithCells="1">
                  <from>
                    <xdr:col>11</xdr:col>
                    <xdr:colOff>927100</xdr:colOff>
                    <xdr:row>13</xdr:row>
                    <xdr:rowOff>184150</xdr:rowOff>
                  </from>
                  <to>
                    <xdr:col>11</xdr:col>
                    <xdr:colOff>1320800</xdr:colOff>
                    <xdr:row>14</xdr:row>
                    <xdr:rowOff>120650</xdr:rowOff>
                  </to>
                </anchor>
              </controlPr>
            </control>
          </mc:Choice>
        </mc:AlternateContent>
        <mc:AlternateContent xmlns:mc="http://schemas.openxmlformats.org/markup-compatibility/2006">
          <mc:Choice Requires="x14">
            <control shapeId="51261" r:id="rId25" name="Option Button 61">
              <controlPr defaultSize="0" autoFill="0" autoLine="0" autoPict="0">
                <anchor moveWithCells="1">
                  <from>
                    <xdr:col>11</xdr:col>
                    <xdr:colOff>1422400</xdr:colOff>
                    <xdr:row>13</xdr:row>
                    <xdr:rowOff>184150</xdr:rowOff>
                  </from>
                  <to>
                    <xdr:col>12</xdr:col>
                    <xdr:colOff>215900</xdr:colOff>
                    <xdr:row>14</xdr:row>
                    <xdr:rowOff>139700</xdr:rowOff>
                  </to>
                </anchor>
              </controlPr>
            </control>
          </mc:Choice>
        </mc:AlternateContent>
        <mc:AlternateContent xmlns:mc="http://schemas.openxmlformats.org/markup-compatibility/2006">
          <mc:Choice Requires="x14">
            <control shapeId="51649" r:id="rId26" name="globalbacktobutton">
              <controlPr defaultSize="0" print="0" autoFill="0" autoPict="0" macro="[0]!backto">
                <anchor moveWithCells="1" sizeWithCells="1">
                  <from>
                    <xdr:col>13</xdr:col>
                    <xdr:colOff>177800</xdr:colOff>
                    <xdr:row>7</xdr:row>
                    <xdr:rowOff>44450</xdr:rowOff>
                  </from>
                  <to>
                    <xdr:col>14</xdr:col>
                    <xdr:colOff>203200</xdr:colOff>
                    <xdr:row>9</xdr:row>
                    <xdr:rowOff>82550</xdr:rowOff>
                  </to>
                </anchor>
              </controlPr>
            </control>
          </mc:Choice>
        </mc:AlternateContent>
        <mc:AlternateContent xmlns:mc="http://schemas.openxmlformats.org/markup-compatibility/2006">
          <mc:Choice Requires="x14">
            <control shapeId="51650" r:id="rId27" name="globalbacktobutton">
              <controlPr defaultSize="0" print="0" autoFill="0" autoPict="0" macro="[0]!backto">
                <anchor moveWithCells="1" sizeWithCells="1">
                  <from>
                    <xdr:col>0</xdr:col>
                    <xdr:colOff>412750</xdr:colOff>
                    <xdr:row>7</xdr:row>
                    <xdr:rowOff>184150</xdr:rowOff>
                  </from>
                  <to>
                    <xdr:col>0</xdr:col>
                    <xdr:colOff>1035050</xdr:colOff>
                    <xdr:row>10</xdr:row>
                    <xdr:rowOff>6350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693BA-7211-4DA0-9DDE-33E724632029}">
  <sheetPr codeName="Sheet42"/>
  <dimension ref="A1:AC80"/>
  <sheetViews>
    <sheetView workbookViewId="0">
      <selection activeCell="D4" sqref="D4"/>
    </sheetView>
  </sheetViews>
  <sheetFormatPr defaultColWidth="9.08984375" defaultRowHeight="12.5" x14ac:dyDescent="0.25"/>
  <cols>
    <col min="1" max="1" width="20" style="736" customWidth="1"/>
    <col min="2" max="2" width="11.6328125" style="737" customWidth="1"/>
    <col min="3" max="3" width="20.6328125" style="737" customWidth="1"/>
    <col min="4" max="4" width="21" style="737" customWidth="1"/>
    <col min="5" max="5" width="5.453125" style="736" customWidth="1"/>
    <col min="6" max="6" width="6.08984375" style="736" customWidth="1"/>
    <col min="7" max="7" width="27.36328125" style="736" customWidth="1"/>
    <col min="8" max="8" width="10.453125" style="736" customWidth="1"/>
    <col min="9" max="9" width="9.08984375" style="736"/>
    <col min="10" max="10" width="17.453125" style="736" hidden="1" customWidth="1"/>
    <col min="11" max="11" width="15.453125" style="736" hidden="1" customWidth="1"/>
    <col min="12" max="12" width="13.08984375" style="736" hidden="1" customWidth="1"/>
    <col min="13" max="13" width="14" style="736" hidden="1" customWidth="1"/>
    <col min="14" max="14" width="14.36328125" style="736" hidden="1" customWidth="1"/>
    <col min="15" max="15" width="9.08984375" style="736" hidden="1" customWidth="1"/>
    <col min="16" max="16" width="20.08984375" style="736" hidden="1" customWidth="1"/>
    <col min="17" max="17" width="9.08984375" style="736" hidden="1" customWidth="1"/>
    <col min="18" max="28" width="9.08984375" style="736"/>
    <col min="29" max="29" width="54.36328125" style="736" customWidth="1"/>
    <col min="30" max="16384" width="9.08984375" style="736"/>
  </cols>
  <sheetData>
    <row r="1" spans="1:29" ht="16" thickBot="1" x14ac:dyDescent="0.4">
      <c r="A1" s="172"/>
      <c r="B1" s="172"/>
      <c r="C1" s="172"/>
      <c r="D1" s="172"/>
      <c r="E1" s="172"/>
      <c r="F1" s="172"/>
      <c r="G1" s="172"/>
      <c r="H1" s="172"/>
      <c r="I1" s="172"/>
      <c r="J1" s="162"/>
      <c r="K1" s="162"/>
      <c r="L1" s="162"/>
      <c r="M1" s="162"/>
      <c r="N1" s="162"/>
      <c r="O1" s="162"/>
      <c r="P1" s="162"/>
      <c r="Q1" s="162"/>
      <c r="R1" s="172"/>
      <c r="S1" s="172"/>
      <c r="T1" s="172"/>
      <c r="U1" s="172"/>
      <c r="V1" s="172"/>
      <c r="W1" s="172"/>
      <c r="X1" s="172"/>
      <c r="Y1" s="172"/>
      <c r="Z1" s="172"/>
      <c r="AA1" s="172"/>
      <c r="AB1" s="172"/>
      <c r="AC1" s="172"/>
    </row>
    <row r="2" spans="1:29" ht="21" customHeight="1" x14ac:dyDescent="0.35">
      <c r="A2" s="172"/>
      <c r="B2" s="774" t="str">
        <f>details!D12</f>
        <v>Enter Address Details</v>
      </c>
      <c r="C2" s="775"/>
      <c r="D2" s="776"/>
      <c r="E2" s="172"/>
      <c r="F2" s="172"/>
      <c r="G2" s="172"/>
      <c r="H2" s="172"/>
      <c r="I2" s="172"/>
      <c r="J2" s="162"/>
      <c r="K2" s="162"/>
      <c r="L2" s="162" t="s">
        <v>2172</v>
      </c>
      <c r="M2" s="162" t="s">
        <v>2173</v>
      </c>
      <c r="N2" s="162" t="s">
        <v>2175</v>
      </c>
      <c r="O2" s="162"/>
      <c r="P2" s="162"/>
      <c r="Q2" s="162"/>
      <c r="R2" s="172"/>
      <c r="S2" s="172"/>
      <c r="T2" s="172"/>
      <c r="U2" s="172"/>
      <c r="V2" s="172"/>
      <c r="W2" s="172"/>
      <c r="X2" s="172"/>
      <c r="Y2" s="172"/>
      <c r="Z2" s="172"/>
      <c r="AA2" s="172"/>
      <c r="AB2" s="172"/>
      <c r="AC2" s="172"/>
    </row>
    <row r="3" spans="1:29" ht="19.5" customHeight="1" x14ac:dyDescent="0.35">
      <c r="A3" s="172"/>
      <c r="B3" s="777" t="s">
        <v>2422</v>
      </c>
      <c r="C3" s="772"/>
      <c r="D3" s="778">
        <v>0</v>
      </c>
      <c r="E3" s="172"/>
      <c r="F3" s="172"/>
      <c r="G3" s="172"/>
      <c r="H3" s="172"/>
      <c r="I3" s="172"/>
      <c r="J3" s="757" t="s">
        <v>691</v>
      </c>
      <c r="K3" s="162"/>
      <c r="L3" s="1209">
        <v>50</v>
      </c>
      <c r="M3" s="1210">
        <v>100</v>
      </c>
      <c r="N3" s="1211">
        <v>10</v>
      </c>
      <c r="O3" s="162"/>
      <c r="P3" s="162"/>
      <c r="Q3" s="162"/>
      <c r="R3" s="172"/>
      <c r="S3" s="172"/>
      <c r="T3" s="172"/>
      <c r="U3" s="172"/>
      <c r="V3" s="172"/>
      <c r="W3" s="172"/>
      <c r="X3" s="172"/>
      <c r="Y3" s="172"/>
      <c r="Z3" s="172"/>
      <c r="AA3" s="172"/>
      <c r="AB3" s="172"/>
      <c r="AC3" s="172"/>
    </row>
    <row r="4" spans="1:29" ht="19.5" customHeight="1" x14ac:dyDescent="0.35">
      <c r="A4" s="172"/>
      <c r="B4" s="777" t="s">
        <v>1086</v>
      </c>
      <c r="C4" s="772"/>
      <c r="D4" s="779">
        <v>10</v>
      </c>
      <c r="E4" s="1216">
        <f>IF(D4&gt;D17,D17,"")</f>
        <v>1</v>
      </c>
      <c r="F4" s="172"/>
      <c r="G4" s="172"/>
      <c r="H4" s="172"/>
      <c r="I4" s="172"/>
      <c r="J4" s="162" t="str">
        <f>"Return to "&amp;J3</f>
        <v>Return to advanced</v>
      </c>
      <c r="K4" s="1205"/>
      <c r="L4" s="7" t="s">
        <v>2176</v>
      </c>
      <c r="M4" s="1204" t="s">
        <v>2171</v>
      </c>
      <c r="N4" s="1204">
        <f>IF(D3&lt;M3,1,VLOOKUP(TRUE,M5:N16,2,FALSE))</f>
        <v>1</v>
      </c>
      <c r="O4" s="162"/>
      <c r="P4" s="162" t="s">
        <v>655</v>
      </c>
      <c r="Q4" s="162"/>
      <c r="R4" s="172"/>
      <c r="S4" s="172"/>
      <c r="T4" s="172"/>
      <c r="U4" s="172"/>
      <c r="V4" s="172"/>
      <c r="W4" s="172"/>
      <c r="X4" s="172"/>
      <c r="Y4" s="172"/>
      <c r="Z4" s="172"/>
      <c r="AA4" s="172"/>
      <c r="AB4" s="172"/>
      <c r="AC4" s="172"/>
    </row>
    <row r="5" spans="1:29" ht="19.5" customHeight="1" x14ac:dyDescent="0.35">
      <c r="A5" s="172"/>
      <c r="B5" s="780">
        <v>1</v>
      </c>
      <c r="C5" s="771" t="str">
        <f>IF(B5&lt;=$D$17,P5,"")</f>
        <v>1st Payment</v>
      </c>
      <c r="D5" s="781">
        <f>IF(D17=1,D3,D3-(D6*(D17-1)))</f>
        <v>0</v>
      </c>
      <c r="E5" s="172"/>
      <c r="F5" s="172"/>
      <c r="G5" s="172"/>
      <c r="H5" s="172"/>
      <c r="I5" s="172"/>
      <c r="J5" s="162"/>
      <c r="K5" s="1206">
        <f>$D$3/N5</f>
        <v>0</v>
      </c>
      <c r="L5" s="1205" t="b">
        <f>K5&gt;=$L$3</f>
        <v>0</v>
      </c>
      <c r="M5" s="1205" t="b">
        <f>AND(L5=TRUE,L6=FALSE)</f>
        <v>0</v>
      </c>
      <c r="N5" s="1205">
        <v>1</v>
      </c>
      <c r="O5" s="162"/>
      <c r="P5" s="771" t="s">
        <v>2090</v>
      </c>
      <c r="Q5" s="162"/>
      <c r="R5" s="172"/>
      <c r="S5" s="172"/>
      <c r="T5" s="172"/>
      <c r="U5" s="172"/>
      <c r="V5" s="172"/>
      <c r="W5" s="172"/>
      <c r="X5" s="172"/>
      <c r="Y5" s="172"/>
      <c r="Z5" s="172"/>
      <c r="AA5" s="172"/>
      <c r="AB5" s="172"/>
      <c r="AC5" s="172"/>
    </row>
    <row r="6" spans="1:29" ht="19.5" customHeight="1" x14ac:dyDescent="0.35">
      <c r="A6" s="172"/>
      <c r="B6" s="782">
        <v>2</v>
      </c>
      <c r="C6" s="771" t="str">
        <f t="shared" ref="C6:C16" si="0">IF(B6&lt;=$D$17,P6,"")</f>
        <v/>
      </c>
      <c r="D6" s="781" t="str">
        <f>IF($D$17&gt;=B6,ROUND($D$3/$D$17,0),"")</f>
        <v/>
      </c>
      <c r="E6" s="172"/>
      <c r="F6" s="172"/>
      <c r="G6" s="172"/>
      <c r="H6" s="172"/>
      <c r="I6" s="172"/>
      <c r="J6" s="162"/>
      <c r="K6" s="1206">
        <f t="shared" ref="K6:K16" si="1">$D$3/N6</f>
        <v>0</v>
      </c>
      <c r="L6" s="1205" t="b">
        <f t="shared" ref="L6:L16" si="2">K6&gt;=$L$3</f>
        <v>0</v>
      </c>
      <c r="M6" s="1205" t="b">
        <f t="shared" ref="M6:M16" si="3">AND(L6=TRUE,L7=FALSE)</f>
        <v>0</v>
      </c>
      <c r="N6" s="1205">
        <v>2</v>
      </c>
      <c r="O6" s="162"/>
      <c r="P6" s="758" t="s">
        <v>2091</v>
      </c>
      <c r="Q6" s="162"/>
      <c r="R6" s="172"/>
      <c r="S6" s="172"/>
      <c r="T6" s="172"/>
      <c r="U6" s="172"/>
      <c r="V6" s="172"/>
      <c r="W6" s="172"/>
      <c r="X6" s="172"/>
      <c r="Y6" s="172"/>
      <c r="Z6" s="172"/>
      <c r="AA6" s="172"/>
      <c r="AB6" s="172"/>
      <c r="AC6" s="172"/>
    </row>
    <row r="7" spans="1:29" ht="19.5" customHeight="1" x14ac:dyDescent="0.35">
      <c r="A7" s="172"/>
      <c r="B7" s="782">
        <v>3</v>
      </c>
      <c r="C7" s="771" t="str">
        <f t="shared" si="0"/>
        <v/>
      </c>
      <c r="D7" s="781" t="str">
        <f t="shared" ref="D7:D16" si="4">IF($D$17&gt;=B7,ROUND($D$3/$D$17,0),"")</f>
        <v/>
      </c>
      <c r="E7" s="172"/>
      <c r="F7" s="172"/>
      <c r="G7" s="172"/>
      <c r="H7" s="172"/>
      <c r="I7" s="172"/>
      <c r="J7" s="162"/>
      <c r="K7" s="1206">
        <f t="shared" si="1"/>
        <v>0</v>
      </c>
      <c r="L7" s="1205" t="b">
        <f t="shared" si="2"/>
        <v>0</v>
      </c>
      <c r="M7" s="1205" t="b">
        <f t="shared" si="3"/>
        <v>0</v>
      </c>
      <c r="N7" s="1205">
        <v>3</v>
      </c>
      <c r="O7" s="162"/>
      <c r="P7" s="758" t="s">
        <v>2092</v>
      </c>
      <c r="Q7" s="162"/>
      <c r="R7" s="172"/>
      <c r="S7" s="172"/>
      <c r="T7" s="172"/>
      <c r="U7" s="172"/>
      <c r="V7" s="172"/>
      <c r="W7" s="172"/>
      <c r="X7" s="172"/>
      <c r="Y7" s="172"/>
      <c r="Z7" s="172"/>
      <c r="AA7" s="172"/>
      <c r="AB7" s="172"/>
      <c r="AC7" s="172"/>
    </row>
    <row r="8" spans="1:29" ht="19.5" customHeight="1" x14ac:dyDescent="0.35">
      <c r="A8" s="172"/>
      <c r="B8" s="782">
        <v>4</v>
      </c>
      <c r="C8" s="771" t="str">
        <f t="shared" si="0"/>
        <v/>
      </c>
      <c r="D8" s="781" t="str">
        <f t="shared" si="4"/>
        <v/>
      </c>
      <c r="E8" s="172"/>
      <c r="F8" s="172"/>
      <c r="G8" s="172"/>
      <c r="H8" s="172"/>
      <c r="I8" s="172"/>
      <c r="J8" s="162"/>
      <c r="K8" s="1206">
        <f t="shared" si="1"/>
        <v>0</v>
      </c>
      <c r="L8" s="1205" t="b">
        <f t="shared" si="2"/>
        <v>0</v>
      </c>
      <c r="M8" s="1205" t="b">
        <f t="shared" si="3"/>
        <v>0</v>
      </c>
      <c r="N8" s="1205">
        <v>4</v>
      </c>
      <c r="O8" s="162"/>
      <c r="P8" s="758" t="s">
        <v>2093</v>
      </c>
      <c r="Q8" s="162"/>
      <c r="R8" s="172"/>
      <c r="S8" s="172"/>
      <c r="T8" s="172"/>
      <c r="U8" s="172"/>
      <c r="V8" s="172"/>
      <c r="W8" s="172"/>
      <c r="X8" s="172"/>
      <c r="Y8" s="172"/>
      <c r="Z8" s="172"/>
      <c r="AA8" s="172"/>
      <c r="AB8" s="172"/>
      <c r="AC8" s="172"/>
    </row>
    <row r="9" spans="1:29" ht="19.5" customHeight="1" x14ac:dyDescent="0.35">
      <c r="A9" s="172"/>
      <c r="B9" s="782">
        <v>5</v>
      </c>
      <c r="C9" s="771" t="str">
        <f t="shared" si="0"/>
        <v/>
      </c>
      <c r="D9" s="781" t="str">
        <f t="shared" si="4"/>
        <v/>
      </c>
      <c r="E9" s="172"/>
      <c r="F9" s="172"/>
      <c r="G9" s="172"/>
      <c r="H9" s="172"/>
      <c r="I9" s="172"/>
      <c r="J9" s="162"/>
      <c r="K9" s="1206">
        <f t="shared" si="1"/>
        <v>0</v>
      </c>
      <c r="L9" s="1205" t="b">
        <f t="shared" si="2"/>
        <v>0</v>
      </c>
      <c r="M9" s="1205" t="b">
        <f t="shared" si="3"/>
        <v>0</v>
      </c>
      <c r="N9" s="1205">
        <v>5</v>
      </c>
      <c r="O9" s="162"/>
      <c r="P9" s="758" t="s">
        <v>2094</v>
      </c>
      <c r="Q9" s="162"/>
      <c r="R9" s="172"/>
      <c r="S9" s="172"/>
      <c r="T9" s="172"/>
      <c r="U9" s="172"/>
      <c r="V9" s="172"/>
      <c r="W9" s="172"/>
      <c r="X9" s="172"/>
      <c r="Y9" s="172"/>
      <c r="Z9" s="172"/>
      <c r="AA9" s="172"/>
      <c r="AB9" s="172"/>
      <c r="AC9" s="172"/>
    </row>
    <row r="10" spans="1:29" ht="19.5" customHeight="1" x14ac:dyDescent="0.35">
      <c r="A10" s="172"/>
      <c r="B10" s="782">
        <v>6</v>
      </c>
      <c r="C10" s="771" t="str">
        <f t="shared" si="0"/>
        <v/>
      </c>
      <c r="D10" s="781" t="str">
        <f t="shared" si="4"/>
        <v/>
      </c>
      <c r="E10" s="172"/>
      <c r="F10" s="172"/>
      <c r="G10" s="172"/>
      <c r="H10" s="172"/>
      <c r="I10" s="172"/>
      <c r="J10" s="162"/>
      <c r="K10" s="1206">
        <f t="shared" si="1"/>
        <v>0</v>
      </c>
      <c r="L10" s="1205" t="b">
        <f t="shared" si="2"/>
        <v>0</v>
      </c>
      <c r="M10" s="1205" t="b">
        <f t="shared" si="3"/>
        <v>0</v>
      </c>
      <c r="N10" s="1205">
        <v>6</v>
      </c>
      <c r="O10" s="162"/>
      <c r="P10" s="758" t="s">
        <v>2095</v>
      </c>
      <c r="Q10" s="162"/>
      <c r="R10" s="172"/>
      <c r="S10" s="172"/>
      <c r="T10" s="172"/>
      <c r="U10" s="172"/>
      <c r="V10" s="172"/>
      <c r="W10" s="172"/>
      <c r="X10" s="172"/>
      <c r="Y10" s="172"/>
      <c r="Z10" s="172"/>
      <c r="AA10" s="172"/>
      <c r="AB10" s="172"/>
      <c r="AC10" s="172"/>
    </row>
    <row r="11" spans="1:29" ht="19.5" customHeight="1" x14ac:dyDescent="0.35">
      <c r="A11" s="172"/>
      <c r="B11" s="782">
        <v>7</v>
      </c>
      <c r="C11" s="771" t="str">
        <f t="shared" si="0"/>
        <v/>
      </c>
      <c r="D11" s="781" t="str">
        <f t="shared" si="4"/>
        <v/>
      </c>
      <c r="E11" s="172"/>
      <c r="F11" s="172"/>
      <c r="G11" s="172"/>
      <c r="H11" s="172"/>
      <c r="I11" s="172"/>
      <c r="J11" s="162"/>
      <c r="K11" s="1206">
        <f t="shared" si="1"/>
        <v>0</v>
      </c>
      <c r="L11" s="1205" t="b">
        <f t="shared" si="2"/>
        <v>0</v>
      </c>
      <c r="M11" s="1205" t="b">
        <f t="shared" si="3"/>
        <v>0</v>
      </c>
      <c r="N11" s="1205">
        <v>7</v>
      </c>
      <c r="O11" s="162"/>
      <c r="P11" s="758" t="s">
        <v>2096</v>
      </c>
      <c r="Q11" s="162"/>
      <c r="R11" s="172"/>
      <c r="S11" s="172"/>
      <c r="T11" s="172"/>
      <c r="U11" s="172"/>
      <c r="V11" s="172"/>
      <c r="W11" s="172"/>
      <c r="X11" s="172"/>
      <c r="Y11" s="172"/>
      <c r="Z11" s="172"/>
      <c r="AA11" s="172"/>
      <c r="AB11" s="172"/>
      <c r="AC11" s="172"/>
    </row>
    <row r="12" spans="1:29" ht="19.5" customHeight="1" x14ac:dyDescent="0.35">
      <c r="A12" s="172"/>
      <c r="B12" s="782">
        <v>8</v>
      </c>
      <c r="C12" s="771" t="str">
        <f t="shared" si="0"/>
        <v/>
      </c>
      <c r="D12" s="781" t="str">
        <f t="shared" si="4"/>
        <v/>
      </c>
      <c r="E12" s="172"/>
      <c r="F12" s="172"/>
      <c r="G12" s="172"/>
      <c r="H12" s="172"/>
      <c r="I12" s="172"/>
      <c r="J12" s="162"/>
      <c r="K12" s="1206">
        <f t="shared" si="1"/>
        <v>0</v>
      </c>
      <c r="L12" s="1205" t="b">
        <f t="shared" si="2"/>
        <v>0</v>
      </c>
      <c r="M12" s="1205" t="b">
        <f t="shared" si="3"/>
        <v>0</v>
      </c>
      <c r="N12" s="1205">
        <v>8</v>
      </c>
      <c r="O12" s="162"/>
      <c r="P12" s="758" t="s">
        <v>2097</v>
      </c>
      <c r="Q12" s="162"/>
      <c r="R12" s="172"/>
      <c r="S12" s="172"/>
      <c r="T12" s="172"/>
      <c r="U12" s="172"/>
      <c r="V12" s="172"/>
      <c r="W12" s="172"/>
      <c r="X12" s="172"/>
      <c r="Y12" s="172"/>
      <c r="Z12" s="172"/>
      <c r="AA12" s="172"/>
      <c r="AB12" s="172"/>
      <c r="AC12" s="172"/>
    </row>
    <row r="13" spans="1:29" ht="19.5" customHeight="1" x14ac:dyDescent="0.35">
      <c r="A13" s="172"/>
      <c r="B13" s="782">
        <v>9</v>
      </c>
      <c r="C13" s="771" t="str">
        <f t="shared" si="0"/>
        <v/>
      </c>
      <c r="D13" s="781" t="str">
        <f t="shared" si="4"/>
        <v/>
      </c>
      <c r="E13" s="172"/>
      <c r="F13" s="172"/>
      <c r="G13" s="172"/>
      <c r="H13" s="172"/>
      <c r="I13" s="172"/>
      <c r="J13" s="162"/>
      <c r="K13" s="1206">
        <f t="shared" si="1"/>
        <v>0</v>
      </c>
      <c r="L13" s="1205" t="b">
        <f t="shared" si="2"/>
        <v>0</v>
      </c>
      <c r="M13" s="1205" t="b">
        <f t="shared" si="3"/>
        <v>0</v>
      </c>
      <c r="N13" s="1205">
        <v>9</v>
      </c>
      <c r="O13" s="162"/>
      <c r="P13" s="758" t="s">
        <v>2098</v>
      </c>
      <c r="Q13" s="162"/>
      <c r="R13" s="172"/>
      <c r="S13" s="172"/>
      <c r="T13" s="172"/>
      <c r="U13" s="172"/>
      <c r="V13" s="172"/>
      <c r="W13" s="172"/>
      <c r="X13" s="172"/>
      <c r="Y13" s="172"/>
      <c r="Z13" s="172"/>
      <c r="AA13" s="172"/>
      <c r="AB13" s="172"/>
      <c r="AC13" s="172"/>
    </row>
    <row r="14" spans="1:29" ht="19.5" customHeight="1" x14ac:dyDescent="0.35">
      <c r="A14" s="172"/>
      <c r="B14" s="782">
        <v>10</v>
      </c>
      <c r="C14" s="771" t="str">
        <f t="shared" si="0"/>
        <v/>
      </c>
      <c r="D14" s="781" t="str">
        <f t="shared" si="4"/>
        <v/>
      </c>
      <c r="E14" s="172"/>
      <c r="F14" s="172"/>
      <c r="G14" s="172"/>
      <c r="H14" s="172"/>
      <c r="I14" s="172"/>
      <c r="J14" s="162"/>
      <c r="K14" s="1206">
        <f t="shared" si="1"/>
        <v>0</v>
      </c>
      <c r="L14" s="1205" t="b">
        <f t="shared" si="2"/>
        <v>0</v>
      </c>
      <c r="M14" s="1205" t="b">
        <f t="shared" si="3"/>
        <v>0</v>
      </c>
      <c r="N14" s="1205">
        <v>10</v>
      </c>
      <c r="O14" s="162"/>
      <c r="P14" s="758" t="s">
        <v>2099</v>
      </c>
      <c r="Q14" s="162"/>
      <c r="R14" s="172"/>
      <c r="S14" s="172"/>
      <c r="T14" s="172"/>
      <c r="U14" s="172"/>
      <c r="V14" s="172"/>
      <c r="W14" s="172"/>
      <c r="X14" s="172"/>
      <c r="Y14" s="172"/>
      <c r="Z14" s="172"/>
      <c r="AA14" s="172"/>
      <c r="AB14" s="172"/>
      <c r="AC14" s="172"/>
    </row>
    <row r="15" spans="1:29" ht="19.5" customHeight="1" x14ac:dyDescent="0.35">
      <c r="A15" s="172"/>
      <c r="B15" s="782">
        <v>11</v>
      </c>
      <c r="C15" s="771" t="str">
        <f t="shared" si="0"/>
        <v/>
      </c>
      <c r="D15" s="781" t="str">
        <f t="shared" si="4"/>
        <v/>
      </c>
      <c r="E15" s="172"/>
      <c r="F15" s="172"/>
      <c r="G15" s="172"/>
      <c r="H15" s="172"/>
      <c r="I15" s="172"/>
      <c r="J15" s="162"/>
      <c r="K15" s="1206">
        <f t="shared" si="1"/>
        <v>0</v>
      </c>
      <c r="L15" s="1205" t="b">
        <f t="shared" si="2"/>
        <v>0</v>
      </c>
      <c r="M15" s="1205" t="b">
        <f t="shared" si="3"/>
        <v>0</v>
      </c>
      <c r="N15" s="1205">
        <v>11</v>
      </c>
      <c r="O15" s="162"/>
      <c r="P15" s="758" t="s">
        <v>2100</v>
      </c>
      <c r="Q15" s="162"/>
      <c r="R15" s="172"/>
      <c r="S15" s="172"/>
      <c r="T15" s="172"/>
      <c r="U15" s="172"/>
      <c r="V15" s="172"/>
      <c r="W15" s="172"/>
      <c r="X15" s="172"/>
      <c r="Y15" s="172"/>
      <c r="Z15" s="172"/>
      <c r="AA15" s="172"/>
      <c r="AB15" s="172"/>
      <c r="AC15" s="172"/>
    </row>
    <row r="16" spans="1:29" ht="19.5" customHeight="1" x14ac:dyDescent="0.35">
      <c r="A16" s="172"/>
      <c r="B16" s="782">
        <v>12</v>
      </c>
      <c r="C16" s="771" t="str">
        <f t="shared" si="0"/>
        <v/>
      </c>
      <c r="D16" s="781" t="str">
        <f t="shared" si="4"/>
        <v/>
      </c>
      <c r="E16" s="172"/>
      <c r="F16" s="172"/>
      <c r="G16" s="172"/>
      <c r="H16" s="172"/>
      <c r="I16" s="172"/>
      <c r="J16" s="162"/>
      <c r="K16" s="1206">
        <f t="shared" si="1"/>
        <v>0</v>
      </c>
      <c r="L16" s="1205" t="b">
        <f t="shared" si="2"/>
        <v>0</v>
      </c>
      <c r="M16" s="1205" t="b">
        <f t="shared" si="3"/>
        <v>0</v>
      </c>
      <c r="N16" s="1205">
        <v>12</v>
      </c>
      <c r="O16" s="162"/>
      <c r="P16" s="758" t="s">
        <v>2101</v>
      </c>
      <c r="Q16" s="162"/>
      <c r="R16" s="172"/>
      <c r="S16" s="172"/>
      <c r="T16" s="172"/>
      <c r="U16" s="172"/>
      <c r="V16" s="172"/>
      <c r="W16" s="172"/>
      <c r="X16" s="172"/>
      <c r="Y16" s="172"/>
      <c r="Z16" s="172"/>
      <c r="AA16" s="172"/>
      <c r="AB16" s="172"/>
      <c r="AC16" s="172"/>
    </row>
    <row r="17" spans="1:29" ht="20.25" customHeight="1" thickBot="1" x14ac:dyDescent="0.4">
      <c r="A17" s="172"/>
      <c r="B17" s="1214" t="str">
        <f>IF(D3="","","Maximum number of instalments")</f>
        <v>Maximum number of instalments</v>
      </c>
      <c r="C17" s="1215"/>
      <c r="D17" s="1213">
        <f>IF(J17=TRUE,D4,MIN(D4,N4))</f>
        <v>1</v>
      </c>
      <c r="E17" s="172"/>
      <c r="F17" s="1217" t="str">
        <f>IF(J17=TRUE,J20,J19)</f>
        <v>Tick to disable £50 Minimum Instalment</v>
      </c>
      <c r="G17" s="1208"/>
      <c r="H17" s="172"/>
      <c r="I17" s="172"/>
      <c r="J17" s="1207" t="b">
        <v>0</v>
      </c>
      <c r="K17" s="1206"/>
      <c r="L17" s="1205"/>
      <c r="M17" s="503"/>
      <c r="N17" s="1205">
        <v>13</v>
      </c>
      <c r="O17" s="162"/>
      <c r="P17" s="162"/>
      <c r="Q17" s="162"/>
      <c r="R17" s="172"/>
      <c r="S17" s="172"/>
      <c r="T17" s="172"/>
      <c r="U17" s="172"/>
      <c r="V17" s="172"/>
      <c r="W17" s="172"/>
      <c r="X17" s="172"/>
      <c r="Y17" s="172"/>
      <c r="Z17" s="172"/>
      <c r="AA17" s="172"/>
      <c r="AB17" s="172"/>
      <c r="AC17" s="172"/>
    </row>
    <row r="18" spans="1:29" ht="15.5" x14ac:dyDescent="0.35">
      <c r="A18" s="172"/>
      <c r="B18" s="172"/>
      <c r="C18" s="1212" t="str">
        <f>IF(AND(D4&gt;12,J17=TRUE),"Only 12 payments will be shown","")</f>
        <v/>
      </c>
      <c r="D18" s="172"/>
      <c r="E18" s="172"/>
      <c r="F18" s="172"/>
      <c r="G18" s="172"/>
      <c r="H18" s="172"/>
      <c r="I18" s="172"/>
      <c r="J18" s="162"/>
      <c r="K18" s="162"/>
      <c r="L18"/>
      <c r="M18" s="162"/>
      <c r="N18" s="162"/>
      <c r="O18" s="162"/>
      <c r="P18" s="162"/>
      <c r="Q18" s="162"/>
      <c r="R18" s="172"/>
      <c r="S18" s="172"/>
      <c r="T18" s="172"/>
      <c r="U18" s="172"/>
      <c r="V18" s="172"/>
      <c r="W18" s="172"/>
      <c r="X18" s="172"/>
      <c r="Y18" s="172"/>
      <c r="Z18" s="172"/>
      <c r="AA18" s="172"/>
      <c r="AB18" s="172"/>
      <c r="AC18" s="172"/>
    </row>
    <row r="19" spans="1:29" ht="15.5" x14ac:dyDescent="0.35">
      <c r="A19" s="172"/>
      <c r="B19" s="172"/>
      <c r="C19" s="172"/>
      <c r="D19" s="172"/>
      <c r="E19" s="172"/>
      <c r="F19" s="172"/>
      <c r="G19" s="172"/>
      <c r="H19" s="172"/>
      <c r="I19" s="172"/>
      <c r="J19" s="162" t="str">
        <f>"Tick to disable £"&amp;TEXT(L3,"##")&amp;" Minimum Instalment"</f>
        <v>Tick to disable £50 Minimum Instalment</v>
      </c>
      <c r="K19" s="162"/>
      <c r="L19"/>
      <c r="M19" s="162"/>
      <c r="N19" s="162"/>
      <c r="O19" s="162"/>
      <c r="P19" s="162"/>
      <c r="Q19" s="162"/>
      <c r="R19" s="172"/>
      <c r="S19" s="172"/>
      <c r="T19" s="172"/>
      <c r="U19" s="172"/>
      <c r="V19" s="172"/>
      <c r="W19" s="172"/>
      <c r="X19" s="172"/>
      <c r="Y19" s="172"/>
      <c r="Z19" s="172"/>
      <c r="AA19" s="172"/>
      <c r="AB19" s="172"/>
      <c r="AC19" s="172"/>
    </row>
    <row r="20" spans="1:29" ht="15.5" x14ac:dyDescent="0.35">
      <c r="A20" s="172"/>
      <c r="B20" s="172"/>
      <c r="C20" s="172"/>
      <c r="D20" s="172"/>
      <c r="E20" s="172"/>
      <c r="F20" s="172"/>
      <c r="G20" s="172"/>
      <c r="H20" s="172"/>
      <c r="I20" s="172"/>
      <c r="J20" s="162" t="str">
        <f>"Untick to enable £"&amp;TEXT(L3,"##")&amp;" Minimum Instalment"</f>
        <v>Untick to enable £50 Minimum Instalment</v>
      </c>
      <c r="K20" s="162"/>
      <c r="L20" s="162"/>
      <c r="M20" s="162"/>
      <c r="N20" s="162"/>
      <c r="O20" s="162"/>
      <c r="P20" s="162"/>
      <c r="Q20" s="162"/>
      <c r="R20" s="172"/>
      <c r="S20" s="172"/>
      <c r="T20" s="172"/>
      <c r="U20" s="172"/>
      <c r="V20" s="172"/>
      <c r="W20" s="172"/>
      <c r="X20" s="172"/>
      <c r="Y20" s="172"/>
      <c r="Z20" s="172"/>
      <c r="AA20" s="172"/>
      <c r="AB20" s="172"/>
      <c r="AC20" s="172"/>
    </row>
    <row r="21" spans="1:29" ht="15.5" x14ac:dyDescent="0.35">
      <c r="A21" s="172"/>
      <c r="B21" s="172"/>
      <c r="C21" s="172"/>
      <c r="D21" s="172"/>
      <c r="E21" s="172"/>
      <c r="F21" s="172"/>
      <c r="G21" s="172"/>
      <c r="H21" s="172"/>
      <c r="I21" s="172"/>
      <c r="J21" s="162"/>
      <c r="K21" s="162"/>
      <c r="L21" s="162"/>
      <c r="M21" s="162"/>
      <c r="N21" s="162"/>
      <c r="O21" s="162"/>
      <c r="P21" s="162"/>
      <c r="Q21" s="162"/>
      <c r="R21" s="172"/>
      <c r="S21" s="172"/>
      <c r="T21" s="172"/>
      <c r="U21" s="172"/>
      <c r="V21" s="172"/>
      <c r="W21" s="172"/>
      <c r="X21" s="172"/>
      <c r="Y21" s="172"/>
      <c r="Z21" s="172"/>
      <c r="AA21" s="172"/>
      <c r="AB21" s="172"/>
      <c r="AC21" s="172"/>
    </row>
    <row r="22" spans="1:29" ht="15.5" x14ac:dyDescent="0.35">
      <c r="A22" s="172"/>
      <c r="B22" s="172"/>
      <c r="C22" s="172"/>
      <c r="D22" s="172"/>
      <c r="E22" s="172"/>
      <c r="F22" s="172"/>
      <c r="G22" s="172"/>
      <c r="H22" s="172"/>
      <c r="I22" s="172"/>
      <c r="J22" s="162"/>
      <c r="K22" s="162"/>
      <c r="L22" s="162"/>
      <c r="M22" s="162"/>
      <c r="N22" s="162"/>
      <c r="O22" s="162"/>
      <c r="P22" s="162"/>
      <c r="Q22" s="162"/>
      <c r="R22" s="172"/>
      <c r="S22" s="172"/>
      <c r="T22" s="172"/>
      <c r="U22" s="172"/>
      <c r="V22" s="172"/>
      <c r="W22" s="172"/>
      <c r="X22" s="172"/>
      <c r="Y22" s="172"/>
      <c r="Z22" s="172"/>
      <c r="AA22" s="172"/>
      <c r="AB22" s="172"/>
      <c r="AC22" s="172"/>
    </row>
    <row r="23" spans="1:29" ht="15.5" x14ac:dyDescent="0.35">
      <c r="A23" s="172"/>
      <c r="B23" s="172"/>
      <c r="C23" s="172"/>
      <c r="D23" s="172"/>
      <c r="E23" s="172"/>
      <c r="F23" s="172"/>
      <c r="G23" s="172"/>
      <c r="H23" s="172"/>
      <c r="I23" s="172"/>
      <c r="J23" s="162"/>
      <c r="K23" s="162"/>
      <c r="L23" s="162"/>
      <c r="M23" s="162"/>
      <c r="N23" s="162"/>
      <c r="O23" s="162"/>
      <c r="P23" s="162"/>
      <c r="Q23" s="162"/>
      <c r="R23" s="172"/>
      <c r="S23" s="172"/>
      <c r="T23" s="172"/>
      <c r="U23" s="172"/>
      <c r="V23" s="172"/>
      <c r="W23" s="172"/>
      <c r="X23" s="172"/>
      <c r="Y23" s="172"/>
      <c r="Z23" s="172"/>
      <c r="AA23" s="172"/>
      <c r="AB23" s="172"/>
      <c r="AC23" s="172"/>
    </row>
    <row r="24" spans="1:29" ht="15.5" x14ac:dyDescent="0.35">
      <c r="A24" s="172"/>
      <c r="B24" s="172"/>
      <c r="C24" s="172"/>
      <c r="D24" s="172"/>
      <c r="E24" s="172"/>
      <c r="F24" s="172"/>
      <c r="G24" s="172"/>
      <c r="H24" s="172"/>
      <c r="I24" s="172"/>
      <c r="J24" s="162"/>
      <c r="K24" s="162"/>
      <c r="L24" s="162"/>
      <c r="M24" s="162"/>
      <c r="N24" s="162"/>
      <c r="O24" s="162"/>
      <c r="P24" s="162"/>
      <c r="Q24" s="162"/>
      <c r="R24" s="172"/>
      <c r="S24" s="172"/>
      <c r="T24" s="172"/>
      <c r="U24" s="172"/>
      <c r="V24" s="172"/>
      <c r="W24" s="172"/>
      <c r="X24" s="172"/>
      <c r="Y24" s="172"/>
      <c r="Z24" s="172"/>
      <c r="AA24" s="172"/>
      <c r="AB24" s="172"/>
      <c r="AC24" s="172"/>
    </row>
    <row r="25" spans="1:29" ht="15.5" x14ac:dyDescent="0.35">
      <c r="A25" s="172"/>
      <c r="B25" s="172"/>
      <c r="C25" s="172"/>
      <c r="D25" s="172"/>
      <c r="E25" s="172"/>
      <c r="F25" s="172"/>
      <c r="G25" s="172"/>
      <c r="H25" s="172"/>
      <c r="I25" s="172"/>
      <c r="J25" s="162"/>
      <c r="K25" s="162"/>
      <c r="L25" s="162"/>
      <c r="M25" s="162"/>
      <c r="N25" s="162"/>
      <c r="O25" s="162"/>
      <c r="P25" s="162"/>
      <c r="Q25" s="162"/>
      <c r="R25" s="172"/>
      <c r="S25" s="172"/>
      <c r="T25" s="172"/>
      <c r="U25" s="172"/>
      <c r="V25" s="172"/>
      <c r="W25" s="172"/>
      <c r="X25" s="172"/>
      <c r="Y25" s="172"/>
      <c r="Z25" s="172"/>
      <c r="AA25" s="172"/>
      <c r="AB25" s="172"/>
      <c r="AC25" s="172"/>
    </row>
    <row r="26" spans="1:29" ht="15.5" x14ac:dyDescent="0.35">
      <c r="A26" s="172"/>
      <c r="B26" s="172"/>
      <c r="C26" s="172"/>
      <c r="D26" s="172"/>
      <c r="E26" s="172"/>
      <c r="F26" s="172"/>
      <c r="G26" s="172"/>
      <c r="H26" s="172"/>
      <c r="I26" s="172"/>
      <c r="J26" s="162"/>
      <c r="K26" s="162"/>
      <c r="L26" s="162"/>
      <c r="M26" s="162"/>
      <c r="N26" s="162"/>
      <c r="O26" s="162"/>
      <c r="P26" s="162"/>
      <c r="Q26" s="162"/>
      <c r="R26" s="172"/>
      <c r="S26" s="172"/>
      <c r="T26" s="172"/>
      <c r="U26" s="172"/>
      <c r="V26" s="172"/>
      <c r="W26" s="172"/>
      <c r="X26" s="172"/>
      <c r="Y26" s="172"/>
      <c r="Z26" s="172"/>
      <c r="AA26" s="172"/>
      <c r="AB26" s="172"/>
      <c r="AC26" s="172"/>
    </row>
    <row r="27" spans="1:29" ht="15.5" x14ac:dyDescent="0.35">
      <c r="A27" s="172"/>
      <c r="B27" s="172"/>
      <c r="C27" s="172"/>
      <c r="D27" s="172"/>
      <c r="E27" s="172"/>
      <c r="F27" s="172"/>
      <c r="G27" s="172"/>
      <c r="H27" s="172"/>
      <c r="I27" s="172"/>
      <c r="J27" s="162"/>
      <c r="K27" s="162"/>
      <c r="L27" s="162"/>
      <c r="M27" s="162"/>
      <c r="N27" s="162"/>
      <c r="O27" s="162"/>
      <c r="P27" s="162"/>
      <c r="Q27" s="162"/>
      <c r="R27" s="172"/>
      <c r="S27" s="172"/>
      <c r="T27" s="172"/>
      <c r="U27" s="172"/>
      <c r="V27" s="172"/>
      <c r="W27" s="172"/>
      <c r="X27" s="172"/>
      <c r="Y27" s="172"/>
      <c r="Z27" s="172"/>
      <c r="AA27" s="172"/>
      <c r="AB27" s="172"/>
      <c r="AC27" s="172"/>
    </row>
    <row r="28" spans="1:29" ht="15.5" x14ac:dyDescent="0.35">
      <c r="A28" s="172"/>
      <c r="B28" s="172"/>
      <c r="C28" s="172"/>
      <c r="D28" s="172"/>
      <c r="E28" s="172"/>
      <c r="F28" s="172"/>
      <c r="G28" s="172"/>
      <c r="H28" s="172"/>
      <c r="I28" s="172"/>
      <c r="J28" s="162"/>
      <c r="K28" s="162"/>
      <c r="L28" s="162"/>
      <c r="M28" s="162"/>
      <c r="N28" s="162"/>
      <c r="O28" s="162"/>
      <c r="P28" s="162"/>
      <c r="Q28" s="162"/>
      <c r="R28" s="172"/>
      <c r="S28" s="172"/>
      <c r="T28" s="172"/>
      <c r="U28" s="172"/>
      <c r="V28" s="172"/>
      <c r="W28" s="172"/>
      <c r="X28" s="172"/>
      <c r="Y28" s="172"/>
      <c r="Z28" s="172"/>
      <c r="AA28" s="172"/>
      <c r="AB28" s="172"/>
      <c r="AC28" s="172"/>
    </row>
    <row r="29" spans="1:29" ht="15.5" x14ac:dyDescent="0.35">
      <c r="A29" s="172"/>
      <c r="B29" s="172"/>
      <c r="C29" s="172"/>
      <c r="D29" s="172"/>
      <c r="E29" s="172"/>
      <c r="F29" s="172"/>
      <c r="G29" s="172"/>
      <c r="H29" s="172"/>
      <c r="I29" s="172"/>
      <c r="J29" s="162"/>
      <c r="K29" s="162"/>
      <c r="L29" s="162"/>
      <c r="M29" s="162"/>
      <c r="N29" s="162"/>
      <c r="O29" s="162"/>
      <c r="P29" s="162"/>
      <c r="Q29" s="162"/>
      <c r="R29" s="172"/>
      <c r="S29" s="172"/>
      <c r="T29" s="172"/>
      <c r="U29" s="172"/>
      <c r="V29" s="172"/>
      <c r="W29" s="172"/>
      <c r="X29" s="172"/>
      <c r="Y29" s="172"/>
      <c r="Z29" s="172"/>
      <c r="AA29" s="172"/>
      <c r="AB29" s="172"/>
      <c r="AC29" s="172"/>
    </row>
    <row r="30" spans="1:29" ht="15.5" x14ac:dyDescent="0.35">
      <c r="A30" s="172"/>
      <c r="B30" s="172"/>
      <c r="C30" s="172"/>
      <c r="D30" s="172"/>
      <c r="E30" s="172"/>
      <c r="F30" s="172"/>
      <c r="G30" s="172"/>
      <c r="H30" s="172"/>
      <c r="I30" s="172"/>
      <c r="J30" s="162"/>
      <c r="K30" s="162"/>
      <c r="L30" s="162"/>
      <c r="M30" s="162"/>
      <c r="N30" s="162"/>
      <c r="O30" s="162"/>
      <c r="P30" s="162"/>
      <c r="Q30" s="162"/>
      <c r="R30" s="172"/>
      <c r="S30" s="172"/>
      <c r="T30" s="172"/>
      <c r="U30" s="172"/>
      <c r="V30" s="172"/>
      <c r="W30" s="172"/>
      <c r="X30" s="172"/>
      <c r="Y30" s="172"/>
      <c r="Z30" s="172"/>
      <c r="AA30" s="172"/>
      <c r="AB30" s="172"/>
      <c r="AC30" s="172"/>
    </row>
    <row r="31" spans="1:29" ht="15.5" x14ac:dyDescent="0.35">
      <c r="A31" s="172"/>
      <c r="B31" s="172"/>
      <c r="C31" s="172"/>
      <c r="D31" s="172"/>
      <c r="E31" s="172"/>
      <c r="F31" s="172"/>
      <c r="G31" s="172"/>
      <c r="H31" s="172"/>
      <c r="I31" s="172"/>
      <c r="J31" s="162"/>
      <c r="K31" s="162"/>
      <c r="L31" s="162"/>
      <c r="M31" s="162"/>
      <c r="N31" s="162"/>
      <c r="O31" s="162"/>
      <c r="P31" s="162"/>
      <c r="Q31" s="162"/>
      <c r="R31" s="172"/>
      <c r="S31" s="172"/>
      <c r="T31" s="172"/>
      <c r="U31" s="172"/>
      <c r="V31" s="172"/>
      <c r="W31" s="172"/>
      <c r="X31" s="172"/>
      <c r="Y31" s="172"/>
      <c r="Z31" s="172"/>
      <c r="AA31" s="172"/>
      <c r="AB31" s="172"/>
      <c r="AC31" s="172"/>
    </row>
    <row r="32" spans="1:29" ht="15.5" x14ac:dyDescent="0.35">
      <c r="A32" s="172"/>
      <c r="B32" s="172"/>
      <c r="C32" s="172"/>
      <c r="D32" s="172"/>
      <c r="E32" s="172"/>
      <c r="F32" s="172"/>
      <c r="G32" s="172"/>
      <c r="H32" s="172"/>
      <c r="I32" s="172"/>
      <c r="J32" s="162"/>
      <c r="K32" s="162"/>
      <c r="L32" s="162"/>
      <c r="M32" s="162"/>
      <c r="N32" s="162"/>
      <c r="O32" s="162"/>
      <c r="P32" s="162"/>
      <c r="Q32" s="162"/>
      <c r="R32" s="172"/>
      <c r="S32" s="172"/>
      <c r="T32" s="172"/>
      <c r="U32" s="172"/>
      <c r="V32" s="172"/>
      <c r="W32" s="172"/>
      <c r="X32" s="172"/>
      <c r="Y32" s="172"/>
      <c r="Z32" s="172"/>
      <c r="AA32" s="172"/>
      <c r="AB32" s="172"/>
      <c r="AC32" s="172"/>
    </row>
    <row r="33" spans="1:29" ht="15.5" x14ac:dyDescent="0.35">
      <c r="A33" s="172"/>
      <c r="B33" s="172"/>
      <c r="C33" s="172"/>
      <c r="D33" s="172"/>
      <c r="E33" s="172"/>
      <c r="F33" s="172"/>
      <c r="G33" s="172"/>
      <c r="H33" s="172"/>
      <c r="I33" s="172"/>
      <c r="J33" s="162"/>
      <c r="K33" s="162"/>
      <c r="L33" s="162"/>
      <c r="M33" s="162"/>
      <c r="N33" s="162"/>
      <c r="O33" s="162"/>
      <c r="P33" s="162"/>
      <c r="Q33" s="162"/>
      <c r="R33" s="172"/>
      <c r="S33" s="172"/>
      <c r="T33" s="172"/>
      <c r="U33" s="172"/>
      <c r="V33" s="172"/>
      <c r="W33" s="172"/>
      <c r="X33" s="172"/>
      <c r="Y33" s="172"/>
      <c r="Z33" s="172"/>
      <c r="AA33" s="172"/>
      <c r="AB33" s="172"/>
      <c r="AC33" s="172"/>
    </row>
    <row r="34" spans="1:29" ht="15.5" x14ac:dyDescent="0.35">
      <c r="A34" s="172"/>
      <c r="B34" s="172"/>
      <c r="C34" s="172"/>
      <c r="D34" s="172"/>
      <c r="E34" s="172"/>
      <c r="F34" s="172"/>
      <c r="G34" s="172"/>
      <c r="H34" s="172"/>
      <c r="I34" s="172"/>
      <c r="J34" s="162"/>
      <c r="K34" s="162"/>
      <c r="L34" s="162"/>
      <c r="M34" s="162"/>
      <c r="N34" s="162"/>
      <c r="O34" s="162"/>
      <c r="P34" s="162"/>
      <c r="Q34" s="162"/>
      <c r="R34" s="172"/>
      <c r="S34" s="172"/>
      <c r="T34" s="172"/>
      <c r="U34" s="172"/>
      <c r="V34" s="172"/>
      <c r="W34" s="172"/>
      <c r="X34" s="172"/>
      <c r="Y34" s="172"/>
      <c r="Z34" s="172"/>
      <c r="AA34" s="172"/>
      <c r="AB34" s="172"/>
      <c r="AC34" s="172"/>
    </row>
    <row r="35" spans="1:29" ht="15.5" x14ac:dyDescent="0.35">
      <c r="A35" s="172"/>
      <c r="B35" s="172"/>
      <c r="C35" s="172"/>
      <c r="D35" s="172"/>
      <c r="E35" s="172"/>
      <c r="F35" s="172"/>
      <c r="G35" s="172"/>
      <c r="H35" s="172"/>
      <c r="I35" s="172"/>
      <c r="J35" s="162"/>
      <c r="K35" s="162"/>
      <c r="L35" s="162"/>
      <c r="M35" s="162"/>
      <c r="N35" s="162"/>
      <c r="O35" s="162"/>
      <c r="P35" s="162"/>
      <c r="Q35" s="162"/>
      <c r="R35" s="172"/>
      <c r="S35" s="172"/>
      <c r="T35" s="172"/>
      <c r="U35" s="172"/>
      <c r="V35" s="172"/>
      <c r="W35" s="172"/>
      <c r="X35" s="172"/>
      <c r="Y35" s="172"/>
      <c r="Z35" s="172"/>
      <c r="AA35" s="172"/>
      <c r="AB35" s="172"/>
      <c r="AC35" s="172"/>
    </row>
    <row r="36" spans="1:29" ht="15.5" x14ac:dyDescent="0.35">
      <c r="A36" s="172"/>
      <c r="B36" s="172"/>
      <c r="C36" s="172"/>
      <c r="D36" s="172"/>
      <c r="E36" s="172"/>
      <c r="F36" s="172"/>
      <c r="G36" s="172"/>
      <c r="H36" s="172"/>
      <c r="I36" s="172"/>
      <c r="J36" s="162"/>
      <c r="K36" s="162"/>
      <c r="L36" s="162"/>
      <c r="M36" s="162"/>
      <c r="N36" s="162"/>
      <c r="O36" s="162"/>
      <c r="P36" s="162"/>
      <c r="Q36" s="162"/>
      <c r="R36" s="172"/>
      <c r="S36" s="172"/>
      <c r="T36" s="172"/>
      <c r="U36" s="172"/>
      <c r="V36" s="172"/>
      <c r="W36" s="172"/>
      <c r="X36" s="172"/>
      <c r="Y36" s="172"/>
      <c r="Z36" s="172"/>
      <c r="AA36" s="172"/>
      <c r="AB36" s="172"/>
      <c r="AC36" s="172"/>
    </row>
    <row r="37" spans="1:29" ht="15.5" x14ac:dyDescent="0.35">
      <c r="A37" s="172"/>
      <c r="B37" s="172"/>
      <c r="C37" s="172"/>
      <c r="D37" s="172"/>
      <c r="E37" s="172"/>
      <c r="F37" s="172"/>
      <c r="G37" s="172"/>
      <c r="H37" s="172"/>
      <c r="I37" s="172"/>
      <c r="J37" s="162"/>
      <c r="K37" s="162"/>
      <c r="L37" s="162"/>
      <c r="M37" s="162"/>
      <c r="N37" s="162"/>
      <c r="O37" s="162"/>
      <c r="P37" s="162"/>
      <c r="Q37" s="162"/>
      <c r="R37" s="172"/>
      <c r="S37" s="172"/>
      <c r="T37" s="172"/>
      <c r="U37" s="172"/>
      <c r="V37" s="172"/>
      <c r="W37" s="172"/>
      <c r="X37" s="172"/>
      <c r="Y37" s="172"/>
      <c r="Z37" s="172"/>
      <c r="AA37" s="172"/>
      <c r="AB37" s="172"/>
      <c r="AC37" s="172"/>
    </row>
    <row r="38" spans="1:29" ht="15.5" x14ac:dyDescent="0.35">
      <c r="A38" s="172"/>
      <c r="B38" s="172"/>
      <c r="C38" s="172"/>
      <c r="D38" s="172"/>
      <c r="E38" s="172"/>
      <c r="F38" s="172"/>
      <c r="G38" s="172"/>
      <c r="H38" s="172"/>
      <c r="I38" s="172"/>
      <c r="J38" s="162"/>
      <c r="K38" s="162"/>
      <c r="L38" s="162"/>
      <c r="M38" s="162"/>
      <c r="N38" s="162"/>
      <c r="O38" s="162"/>
      <c r="P38" s="162"/>
      <c r="Q38" s="162"/>
      <c r="R38" s="172"/>
      <c r="S38" s="172"/>
      <c r="T38" s="172"/>
      <c r="U38" s="172"/>
      <c r="V38" s="172"/>
      <c r="W38" s="172"/>
      <c r="X38" s="172"/>
      <c r="Y38" s="172"/>
      <c r="Z38" s="172"/>
      <c r="AA38" s="172"/>
      <c r="AB38" s="172"/>
      <c r="AC38" s="172"/>
    </row>
    <row r="39" spans="1:29" ht="15.5" x14ac:dyDescent="0.35">
      <c r="A39" s="172"/>
      <c r="B39" s="172"/>
      <c r="C39" s="172"/>
      <c r="D39" s="172"/>
      <c r="E39" s="172"/>
      <c r="F39" s="172"/>
      <c r="G39" s="172"/>
      <c r="H39" s="172"/>
      <c r="I39" s="172"/>
      <c r="J39" s="162"/>
      <c r="K39" s="162"/>
      <c r="L39" s="162"/>
      <c r="M39" s="162"/>
      <c r="N39" s="162"/>
      <c r="O39" s="162"/>
      <c r="P39" s="162"/>
      <c r="Q39" s="162"/>
      <c r="R39" s="172"/>
      <c r="S39" s="172"/>
      <c r="T39" s="172"/>
      <c r="U39" s="172"/>
      <c r="V39" s="172"/>
      <c r="W39" s="172"/>
      <c r="X39" s="172"/>
      <c r="Y39" s="172"/>
      <c r="Z39" s="172"/>
      <c r="AA39" s="172"/>
      <c r="AB39" s="172"/>
      <c r="AC39" s="172"/>
    </row>
    <row r="40" spans="1:29" ht="15.5" x14ac:dyDescent="0.35">
      <c r="A40" s="172"/>
      <c r="B40" s="172"/>
      <c r="C40" s="172"/>
      <c r="D40" s="172"/>
      <c r="E40" s="172"/>
      <c r="F40" s="172"/>
      <c r="G40" s="172"/>
      <c r="H40" s="172"/>
      <c r="I40" s="172"/>
      <c r="J40" s="162"/>
      <c r="K40" s="162"/>
      <c r="L40" s="162"/>
      <c r="M40" s="162"/>
      <c r="N40" s="162"/>
      <c r="O40" s="162"/>
      <c r="P40" s="162"/>
      <c r="Q40" s="162"/>
      <c r="R40" s="172"/>
      <c r="S40" s="172"/>
      <c r="T40" s="172"/>
      <c r="U40" s="172"/>
      <c r="V40" s="172"/>
      <c r="W40" s="172"/>
      <c r="X40" s="172"/>
      <c r="Y40" s="172"/>
      <c r="Z40" s="172"/>
      <c r="AA40" s="172"/>
      <c r="AB40" s="172"/>
      <c r="AC40" s="172"/>
    </row>
    <row r="41" spans="1:29" ht="15.5" x14ac:dyDescent="0.35">
      <c r="A41" s="172"/>
      <c r="B41" s="172"/>
      <c r="C41" s="172"/>
      <c r="D41" s="172"/>
      <c r="E41" s="172"/>
      <c r="F41" s="172"/>
      <c r="G41" s="172"/>
      <c r="H41" s="172"/>
      <c r="I41" s="172"/>
      <c r="J41" s="162"/>
      <c r="K41" s="162"/>
      <c r="L41" s="162"/>
      <c r="M41" s="162"/>
      <c r="N41" s="162"/>
      <c r="O41" s="162"/>
      <c r="P41" s="162"/>
      <c r="Q41" s="162"/>
      <c r="R41" s="172"/>
      <c r="S41" s="172"/>
      <c r="T41" s="172"/>
      <c r="U41" s="172"/>
      <c r="V41" s="172"/>
      <c r="W41" s="172"/>
      <c r="X41" s="172"/>
      <c r="Y41" s="172"/>
      <c r="Z41" s="172"/>
      <c r="AA41" s="172"/>
      <c r="AB41" s="172"/>
      <c r="AC41" s="172"/>
    </row>
    <row r="42" spans="1:29" ht="15.5" x14ac:dyDescent="0.35">
      <c r="A42" s="172"/>
      <c r="B42" s="172"/>
      <c r="C42" s="172"/>
      <c r="D42" s="172"/>
      <c r="E42" s="172"/>
      <c r="F42" s="172"/>
      <c r="G42" s="172"/>
      <c r="H42" s="172"/>
      <c r="I42" s="172"/>
      <c r="J42" s="162"/>
      <c r="K42" s="162"/>
      <c r="L42" s="162"/>
      <c r="M42" s="162"/>
      <c r="N42" s="162"/>
      <c r="O42" s="162"/>
      <c r="P42" s="162"/>
      <c r="Q42" s="162"/>
      <c r="R42" s="172"/>
      <c r="S42" s="172"/>
      <c r="T42" s="172"/>
      <c r="U42" s="172"/>
      <c r="V42" s="172"/>
      <c r="W42" s="172"/>
      <c r="X42" s="172"/>
      <c r="Y42" s="172"/>
      <c r="Z42" s="172"/>
      <c r="AA42" s="172"/>
      <c r="AB42" s="172"/>
      <c r="AC42" s="172"/>
    </row>
    <row r="43" spans="1:29" ht="15.5" x14ac:dyDescent="0.35">
      <c r="A43" s="172"/>
      <c r="B43" s="172"/>
      <c r="C43" s="172"/>
      <c r="D43" s="172"/>
      <c r="E43" s="172"/>
      <c r="F43" s="172"/>
      <c r="G43" s="172"/>
      <c r="H43" s="172"/>
      <c r="I43" s="172"/>
      <c r="J43" s="162"/>
      <c r="K43" s="162"/>
      <c r="L43" s="162"/>
      <c r="M43" s="162"/>
      <c r="N43" s="162"/>
      <c r="O43" s="162"/>
      <c r="P43" s="162"/>
      <c r="Q43" s="162"/>
      <c r="R43" s="172"/>
      <c r="S43" s="172"/>
      <c r="T43" s="172"/>
      <c r="U43" s="172"/>
      <c r="V43" s="172"/>
      <c r="W43" s="172"/>
      <c r="X43" s="172"/>
      <c r="Y43" s="172"/>
      <c r="Z43" s="172"/>
      <c r="AA43" s="172"/>
      <c r="AB43" s="172"/>
      <c r="AC43" s="172"/>
    </row>
    <row r="44" spans="1:29" ht="15.5" x14ac:dyDescent="0.35">
      <c r="A44" s="172"/>
      <c r="B44" s="172"/>
      <c r="C44" s="172"/>
      <c r="D44" s="172"/>
      <c r="E44" s="172"/>
      <c r="F44" s="172"/>
      <c r="G44" s="172"/>
      <c r="H44" s="172"/>
      <c r="I44" s="172"/>
      <c r="J44" s="162"/>
      <c r="K44" s="162"/>
      <c r="L44" s="162"/>
      <c r="M44" s="162"/>
      <c r="N44" s="162"/>
      <c r="O44" s="162"/>
      <c r="P44" s="162"/>
      <c r="Q44" s="162"/>
      <c r="R44" s="172"/>
      <c r="S44" s="172"/>
      <c r="T44" s="172"/>
      <c r="U44" s="172"/>
      <c r="V44" s="172"/>
      <c r="W44" s="172"/>
      <c r="X44" s="172"/>
      <c r="Y44" s="172"/>
      <c r="Z44" s="172"/>
      <c r="AA44" s="172"/>
      <c r="AB44" s="172"/>
      <c r="AC44" s="172"/>
    </row>
    <row r="45" spans="1:29" ht="15.5" x14ac:dyDescent="0.35">
      <c r="A45" s="172"/>
      <c r="B45" s="172"/>
      <c r="C45" s="172"/>
      <c r="D45" s="172"/>
      <c r="E45" s="172"/>
      <c r="F45" s="172"/>
      <c r="G45" s="172"/>
      <c r="H45" s="172"/>
      <c r="I45" s="172"/>
      <c r="J45" s="162"/>
      <c r="K45" s="162"/>
      <c r="L45" s="162"/>
      <c r="M45" s="162"/>
      <c r="N45" s="162"/>
      <c r="O45" s="162"/>
      <c r="P45" s="162"/>
      <c r="Q45" s="162"/>
      <c r="R45" s="172"/>
      <c r="S45" s="172"/>
      <c r="T45" s="172"/>
      <c r="U45" s="172"/>
      <c r="V45" s="172"/>
      <c r="W45" s="172"/>
      <c r="X45" s="172"/>
      <c r="Y45" s="172"/>
      <c r="Z45" s="172"/>
      <c r="AA45" s="172"/>
      <c r="AB45" s="172"/>
      <c r="AC45" s="172"/>
    </row>
    <row r="46" spans="1:29" ht="15.5" x14ac:dyDescent="0.35">
      <c r="A46" s="172"/>
      <c r="B46" s="172"/>
      <c r="C46" s="172"/>
      <c r="D46" s="172"/>
      <c r="E46" s="172"/>
      <c r="F46" s="172"/>
      <c r="G46" s="172"/>
      <c r="H46" s="172"/>
      <c r="I46" s="172"/>
      <c r="J46" s="162"/>
      <c r="K46" s="162"/>
      <c r="L46" s="162"/>
      <c r="M46" s="162"/>
      <c r="N46" s="162"/>
      <c r="O46" s="162"/>
      <c r="P46" s="162"/>
      <c r="Q46" s="162"/>
      <c r="R46" s="172"/>
      <c r="S46" s="172"/>
      <c r="T46" s="172"/>
      <c r="U46" s="172"/>
      <c r="V46" s="172"/>
      <c r="W46" s="172"/>
      <c r="X46" s="172"/>
      <c r="Y46" s="172"/>
      <c r="Z46" s="172"/>
      <c r="AA46" s="172"/>
      <c r="AB46" s="172"/>
      <c r="AC46" s="172"/>
    </row>
    <row r="47" spans="1:29" ht="15.5" x14ac:dyDescent="0.35">
      <c r="A47" s="172"/>
      <c r="B47" s="172"/>
      <c r="C47" s="172"/>
      <c r="D47" s="172"/>
      <c r="E47" s="172"/>
      <c r="F47" s="172"/>
      <c r="G47" s="172"/>
      <c r="H47" s="172"/>
      <c r="I47" s="172"/>
      <c r="J47" s="162"/>
      <c r="K47" s="162"/>
      <c r="L47" s="162"/>
      <c r="M47" s="162"/>
      <c r="N47" s="162"/>
      <c r="O47" s="162"/>
      <c r="P47" s="162"/>
      <c r="Q47" s="162"/>
      <c r="R47" s="172"/>
      <c r="S47" s="172"/>
      <c r="T47" s="172"/>
      <c r="U47" s="172"/>
      <c r="V47" s="172"/>
      <c r="W47" s="172"/>
      <c r="X47" s="172"/>
      <c r="Y47" s="172"/>
      <c r="Z47" s="172"/>
      <c r="AA47" s="172"/>
      <c r="AB47" s="172"/>
      <c r="AC47" s="172"/>
    </row>
    <row r="48" spans="1:29" ht="15.5" x14ac:dyDescent="0.35">
      <c r="A48" s="172"/>
      <c r="B48" s="172"/>
      <c r="C48" s="172"/>
      <c r="D48" s="172"/>
      <c r="E48" s="172"/>
      <c r="F48" s="172"/>
      <c r="G48" s="172"/>
      <c r="H48" s="172"/>
      <c r="I48" s="172"/>
      <c r="J48" s="162"/>
      <c r="K48" s="162"/>
      <c r="L48" s="162"/>
      <c r="M48" s="162"/>
      <c r="N48" s="162"/>
      <c r="O48" s="162"/>
      <c r="P48" s="162"/>
      <c r="Q48" s="162"/>
      <c r="R48" s="172"/>
      <c r="S48" s="172"/>
      <c r="T48" s="172"/>
      <c r="U48" s="172"/>
      <c r="V48" s="172"/>
      <c r="W48" s="172"/>
      <c r="X48" s="172"/>
      <c r="Y48" s="172"/>
      <c r="Z48" s="172"/>
      <c r="AA48" s="172"/>
      <c r="AB48" s="172"/>
      <c r="AC48" s="172"/>
    </row>
    <row r="49" spans="1:29" ht="15.5" x14ac:dyDescent="0.35">
      <c r="A49" s="172"/>
      <c r="B49" s="172"/>
      <c r="C49" s="172"/>
      <c r="D49" s="172"/>
      <c r="E49" s="172"/>
      <c r="F49" s="172"/>
      <c r="G49" s="172"/>
      <c r="H49" s="172"/>
      <c r="I49" s="172"/>
      <c r="J49" s="162"/>
      <c r="K49" s="162"/>
      <c r="L49" s="162"/>
      <c r="M49" s="162"/>
      <c r="N49" s="162"/>
      <c r="O49" s="162"/>
      <c r="P49" s="162"/>
      <c r="Q49" s="162"/>
      <c r="R49" s="172"/>
      <c r="S49" s="172"/>
      <c r="T49" s="172"/>
      <c r="U49" s="172"/>
      <c r="V49" s="172"/>
      <c r="W49" s="172"/>
      <c r="X49" s="172"/>
      <c r="Y49" s="172"/>
      <c r="Z49" s="172"/>
      <c r="AA49" s="172"/>
      <c r="AB49" s="172"/>
      <c r="AC49" s="172"/>
    </row>
    <row r="50" spans="1:29" ht="15.5" x14ac:dyDescent="0.35">
      <c r="A50" s="172"/>
      <c r="B50" s="172"/>
      <c r="C50" s="172"/>
      <c r="D50" s="172"/>
      <c r="E50" s="172"/>
      <c r="F50" s="172"/>
      <c r="G50" s="172"/>
      <c r="H50" s="172"/>
      <c r="I50" s="172"/>
      <c r="J50" s="162"/>
      <c r="K50" s="162"/>
      <c r="L50" s="162"/>
      <c r="M50" s="162"/>
      <c r="N50" s="162"/>
      <c r="O50" s="162"/>
      <c r="P50" s="162"/>
      <c r="Q50" s="162"/>
      <c r="R50" s="172"/>
      <c r="S50" s="172"/>
      <c r="T50" s="172"/>
      <c r="U50" s="172"/>
      <c r="V50" s="172"/>
      <c r="W50" s="172"/>
      <c r="X50" s="172"/>
      <c r="Y50" s="172"/>
      <c r="Z50" s="172"/>
      <c r="AA50" s="172"/>
      <c r="AB50" s="172"/>
      <c r="AC50" s="172"/>
    </row>
    <row r="51" spans="1:29" ht="15.5" x14ac:dyDescent="0.35">
      <c r="A51" s="172"/>
      <c r="B51" s="172"/>
      <c r="C51" s="172"/>
      <c r="D51" s="172"/>
      <c r="E51" s="172"/>
      <c r="F51" s="172"/>
      <c r="G51" s="172"/>
      <c r="H51" s="172"/>
      <c r="I51" s="172"/>
      <c r="J51" s="162"/>
      <c r="K51" s="162"/>
      <c r="L51" s="162"/>
      <c r="M51" s="162"/>
      <c r="N51" s="162"/>
      <c r="O51" s="162"/>
      <c r="P51" s="162"/>
      <c r="Q51" s="162"/>
      <c r="R51" s="172"/>
      <c r="S51" s="172"/>
      <c r="T51" s="172"/>
      <c r="U51" s="172"/>
      <c r="V51" s="172"/>
      <c r="W51" s="172"/>
      <c r="X51" s="172"/>
      <c r="Y51" s="172"/>
      <c r="Z51" s="172"/>
      <c r="AA51" s="172"/>
      <c r="AB51" s="172"/>
      <c r="AC51" s="172"/>
    </row>
    <row r="52" spans="1:29" ht="15.5" x14ac:dyDescent="0.35">
      <c r="A52" s="172"/>
      <c r="B52" s="172"/>
      <c r="C52" s="172"/>
      <c r="D52" s="172"/>
      <c r="E52" s="172"/>
      <c r="F52" s="172"/>
      <c r="G52" s="172"/>
      <c r="H52" s="172"/>
      <c r="I52" s="172"/>
      <c r="J52" s="162"/>
      <c r="K52" s="162"/>
      <c r="L52" s="162"/>
      <c r="M52" s="162"/>
      <c r="N52" s="162"/>
      <c r="O52" s="162"/>
      <c r="P52" s="162"/>
      <c r="Q52" s="162"/>
      <c r="R52" s="172"/>
      <c r="S52" s="172"/>
      <c r="T52" s="172"/>
      <c r="U52" s="172"/>
      <c r="V52" s="172"/>
      <c r="W52" s="172"/>
      <c r="X52" s="172"/>
      <c r="Y52" s="172"/>
      <c r="Z52" s="172"/>
      <c r="AA52" s="172"/>
      <c r="AB52" s="172"/>
      <c r="AC52" s="172"/>
    </row>
    <row r="53" spans="1:29" ht="15.5" x14ac:dyDescent="0.35">
      <c r="A53" s="172"/>
      <c r="B53" s="172"/>
      <c r="C53" s="172"/>
      <c r="D53" s="172"/>
      <c r="E53" s="172"/>
      <c r="F53" s="172"/>
      <c r="G53" s="172"/>
      <c r="H53" s="172"/>
      <c r="I53" s="172"/>
      <c r="J53" s="162"/>
      <c r="K53" s="162"/>
      <c r="L53" s="162"/>
      <c r="M53" s="162"/>
      <c r="N53" s="162"/>
      <c r="O53" s="162"/>
      <c r="P53" s="162"/>
      <c r="Q53" s="162"/>
      <c r="R53" s="172"/>
      <c r="S53" s="172"/>
      <c r="T53" s="172"/>
      <c r="U53" s="172"/>
      <c r="V53" s="172"/>
      <c r="W53" s="172"/>
      <c r="X53" s="172"/>
      <c r="Y53" s="172"/>
      <c r="Z53" s="172"/>
      <c r="AA53" s="172"/>
      <c r="AB53" s="172"/>
      <c r="AC53" s="172"/>
    </row>
    <row r="54" spans="1:29" ht="15.5" x14ac:dyDescent="0.35">
      <c r="A54" s="172"/>
      <c r="B54" s="172"/>
      <c r="C54" s="172"/>
      <c r="D54" s="172"/>
      <c r="E54" s="172"/>
      <c r="F54" s="172"/>
      <c r="G54" s="172"/>
      <c r="H54" s="172"/>
      <c r="I54" s="172"/>
      <c r="J54" s="162"/>
      <c r="K54" s="162"/>
      <c r="L54" s="162"/>
      <c r="M54" s="162"/>
      <c r="N54" s="162"/>
      <c r="O54" s="162"/>
      <c r="P54" s="162"/>
      <c r="Q54" s="162"/>
      <c r="R54" s="172"/>
      <c r="S54" s="172"/>
      <c r="T54" s="172"/>
      <c r="U54" s="172"/>
      <c r="V54" s="172"/>
      <c r="W54" s="172"/>
      <c r="X54" s="172"/>
      <c r="Y54" s="172"/>
      <c r="Z54" s="172"/>
      <c r="AA54" s="172"/>
      <c r="AB54" s="172"/>
      <c r="AC54" s="172"/>
    </row>
    <row r="55" spans="1:29" ht="15.5" x14ac:dyDescent="0.35">
      <c r="A55" s="172"/>
      <c r="B55" s="172"/>
      <c r="C55" s="172"/>
      <c r="D55" s="172"/>
      <c r="E55" s="172"/>
      <c r="F55" s="172"/>
      <c r="G55" s="172"/>
      <c r="H55" s="172"/>
      <c r="I55" s="172"/>
      <c r="J55" s="162"/>
      <c r="K55" s="162"/>
      <c r="L55" s="162"/>
      <c r="M55" s="162"/>
      <c r="N55" s="162"/>
      <c r="O55" s="162"/>
      <c r="P55" s="162"/>
      <c r="Q55" s="162"/>
      <c r="R55" s="172"/>
      <c r="S55" s="172"/>
      <c r="T55" s="172"/>
      <c r="U55" s="172"/>
      <c r="V55" s="172"/>
      <c r="W55" s="172"/>
      <c r="X55" s="172"/>
      <c r="Y55" s="172"/>
      <c r="Z55" s="172"/>
      <c r="AA55" s="172"/>
      <c r="AB55" s="172"/>
      <c r="AC55" s="172"/>
    </row>
    <row r="56" spans="1:29" ht="15.5" x14ac:dyDescent="0.35">
      <c r="A56" s="172"/>
      <c r="B56" s="172"/>
      <c r="C56" s="172"/>
      <c r="D56" s="172"/>
      <c r="E56" s="172"/>
      <c r="F56" s="172"/>
      <c r="G56" s="172"/>
      <c r="H56" s="172"/>
      <c r="I56" s="172"/>
      <c r="J56" s="162"/>
      <c r="K56" s="162"/>
      <c r="L56" s="162"/>
      <c r="M56" s="162"/>
      <c r="N56" s="162"/>
      <c r="O56" s="162"/>
      <c r="P56" s="162"/>
      <c r="Q56" s="162"/>
      <c r="R56" s="172"/>
      <c r="S56" s="172"/>
      <c r="T56" s="172"/>
      <c r="U56" s="172"/>
      <c r="V56" s="172"/>
      <c r="W56" s="172"/>
      <c r="X56" s="172"/>
      <c r="Y56" s="172"/>
      <c r="Z56" s="172"/>
      <c r="AA56" s="172"/>
      <c r="AB56" s="172"/>
      <c r="AC56" s="172"/>
    </row>
    <row r="57" spans="1:29" ht="15.5" x14ac:dyDescent="0.35">
      <c r="A57" s="172"/>
      <c r="B57" s="172"/>
      <c r="C57" s="172"/>
      <c r="D57" s="172"/>
      <c r="E57" s="172"/>
      <c r="F57" s="172"/>
      <c r="G57" s="172"/>
      <c r="H57" s="172"/>
      <c r="I57" s="172"/>
      <c r="J57" s="162"/>
      <c r="K57" s="162"/>
      <c r="L57" s="162"/>
      <c r="M57" s="162"/>
      <c r="N57" s="162"/>
      <c r="O57" s="162"/>
      <c r="P57" s="162"/>
      <c r="Q57" s="162"/>
      <c r="R57" s="172"/>
      <c r="S57" s="172"/>
      <c r="T57" s="172"/>
      <c r="U57" s="172"/>
      <c r="V57" s="172"/>
      <c r="W57" s="172"/>
      <c r="X57" s="172"/>
      <c r="Y57" s="172"/>
      <c r="Z57" s="172"/>
      <c r="AA57" s="172"/>
      <c r="AB57" s="172"/>
      <c r="AC57" s="172"/>
    </row>
    <row r="58" spans="1:29" ht="15.5" x14ac:dyDescent="0.35">
      <c r="A58" s="172"/>
      <c r="B58" s="172"/>
      <c r="C58" s="172"/>
      <c r="D58" s="172"/>
      <c r="E58" s="172"/>
      <c r="F58" s="172"/>
      <c r="G58" s="172"/>
      <c r="H58" s="172"/>
      <c r="I58" s="172"/>
      <c r="J58" s="162"/>
      <c r="K58" s="162"/>
      <c r="L58" s="162"/>
      <c r="M58" s="162"/>
      <c r="N58" s="162"/>
      <c r="O58" s="162"/>
      <c r="P58" s="162"/>
      <c r="Q58" s="162"/>
      <c r="R58" s="172"/>
      <c r="S58" s="172"/>
      <c r="T58" s="172"/>
      <c r="U58" s="172"/>
      <c r="V58" s="172"/>
      <c r="W58" s="172"/>
      <c r="X58" s="172"/>
      <c r="Y58" s="172"/>
      <c r="Z58" s="172"/>
      <c r="AA58" s="172"/>
      <c r="AB58" s="172"/>
      <c r="AC58" s="172"/>
    </row>
    <row r="59" spans="1:29" ht="15.5" x14ac:dyDescent="0.35">
      <c r="A59" s="172"/>
      <c r="B59" s="172"/>
      <c r="C59" s="172"/>
      <c r="D59" s="172"/>
      <c r="E59" s="172"/>
      <c r="F59" s="172"/>
      <c r="G59" s="172"/>
      <c r="H59" s="172"/>
      <c r="I59" s="172"/>
      <c r="J59" s="162"/>
      <c r="K59" s="162"/>
      <c r="L59" s="162"/>
      <c r="M59" s="162"/>
      <c r="N59" s="162"/>
      <c r="O59" s="162"/>
      <c r="P59" s="162"/>
      <c r="Q59" s="162"/>
      <c r="R59" s="172"/>
      <c r="S59" s="172"/>
      <c r="T59" s="172"/>
      <c r="U59" s="172"/>
      <c r="V59" s="172"/>
      <c r="W59" s="172"/>
      <c r="X59" s="172"/>
      <c r="Y59" s="172"/>
      <c r="Z59" s="172"/>
      <c r="AA59" s="172"/>
      <c r="AB59" s="172"/>
      <c r="AC59" s="172"/>
    </row>
    <row r="60" spans="1:29" ht="15.5" x14ac:dyDescent="0.35">
      <c r="A60" s="172"/>
      <c r="B60" s="172"/>
      <c r="C60" s="172"/>
      <c r="D60" s="172"/>
      <c r="E60" s="172"/>
      <c r="F60" s="172"/>
      <c r="G60" s="172"/>
      <c r="H60" s="172"/>
      <c r="I60" s="172"/>
      <c r="J60" s="162"/>
      <c r="K60" s="162"/>
      <c r="L60" s="162"/>
      <c r="M60" s="162"/>
      <c r="N60" s="162"/>
      <c r="O60" s="162"/>
      <c r="P60" s="162"/>
      <c r="Q60" s="162"/>
      <c r="R60" s="172"/>
      <c r="S60" s="172"/>
      <c r="T60" s="172"/>
      <c r="U60" s="172"/>
      <c r="V60" s="172"/>
      <c r="W60" s="172"/>
      <c r="X60" s="172"/>
      <c r="Y60" s="172"/>
      <c r="Z60" s="172"/>
      <c r="AA60" s="172"/>
      <c r="AB60" s="172"/>
      <c r="AC60" s="172"/>
    </row>
    <row r="61" spans="1:29" ht="15.5" x14ac:dyDescent="0.35">
      <c r="A61" s="172"/>
      <c r="B61" s="172"/>
      <c r="C61" s="172"/>
      <c r="D61" s="172"/>
      <c r="E61" s="172"/>
      <c r="F61" s="172"/>
      <c r="G61" s="172"/>
      <c r="H61" s="172"/>
      <c r="I61" s="172"/>
      <c r="J61" s="162"/>
      <c r="K61" s="162"/>
      <c r="L61" s="162"/>
      <c r="M61" s="162"/>
      <c r="N61" s="162"/>
      <c r="O61" s="162"/>
      <c r="P61" s="162"/>
      <c r="Q61" s="162"/>
      <c r="R61" s="172"/>
      <c r="S61" s="172"/>
      <c r="T61" s="172"/>
      <c r="U61" s="172"/>
      <c r="V61" s="172"/>
      <c r="W61" s="172"/>
      <c r="X61" s="172"/>
      <c r="Y61" s="172"/>
      <c r="Z61" s="172"/>
      <c r="AA61" s="172"/>
      <c r="AB61" s="172"/>
      <c r="AC61" s="172"/>
    </row>
    <row r="62" spans="1:29" ht="15.5" x14ac:dyDescent="0.35">
      <c r="A62" s="172"/>
      <c r="B62" s="172"/>
      <c r="C62" s="172"/>
      <c r="D62" s="172"/>
      <c r="E62" s="172"/>
      <c r="F62" s="172"/>
      <c r="G62" s="172"/>
      <c r="H62" s="172"/>
      <c r="I62" s="172"/>
      <c r="J62" s="162"/>
      <c r="K62" s="162"/>
      <c r="L62" s="162"/>
      <c r="M62" s="162"/>
      <c r="N62" s="162"/>
      <c r="O62" s="162"/>
      <c r="P62" s="162"/>
      <c r="Q62" s="162"/>
      <c r="R62" s="172"/>
      <c r="S62" s="172"/>
      <c r="T62" s="172"/>
      <c r="U62" s="172"/>
      <c r="V62" s="172"/>
      <c r="W62" s="172"/>
      <c r="X62" s="172"/>
      <c r="Y62" s="172"/>
      <c r="Z62" s="172"/>
      <c r="AA62" s="172"/>
      <c r="AB62" s="172"/>
      <c r="AC62" s="172"/>
    </row>
    <row r="63" spans="1:29" ht="15.5" x14ac:dyDescent="0.35">
      <c r="A63" s="172"/>
      <c r="B63" s="172"/>
      <c r="C63" s="172"/>
      <c r="D63" s="172"/>
      <c r="E63" s="172"/>
      <c r="F63" s="172"/>
      <c r="G63" s="172"/>
      <c r="H63" s="172"/>
      <c r="I63" s="172"/>
      <c r="J63" s="162"/>
      <c r="K63" s="162"/>
      <c r="L63" s="162"/>
      <c r="M63" s="162"/>
      <c r="N63" s="162"/>
      <c r="O63" s="162"/>
      <c r="P63" s="162"/>
      <c r="Q63" s="162"/>
      <c r="R63" s="172"/>
      <c r="S63" s="172"/>
      <c r="T63" s="172"/>
      <c r="U63" s="172"/>
      <c r="V63" s="172"/>
      <c r="W63" s="172"/>
      <c r="X63" s="172"/>
      <c r="Y63" s="172"/>
      <c r="Z63" s="172"/>
      <c r="AA63" s="172"/>
      <c r="AB63" s="172"/>
      <c r="AC63" s="172"/>
    </row>
    <row r="64" spans="1:29" ht="15.5" x14ac:dyDescent="0.35">
      <c r="A64" s="172"/>
      <c r="B64" s="172"/>
      <c r="C64" s="172"/>
      <c r="D64" s="172"/>
      <c r="E64" s="172"/>
      <c r="F64" s="172"/>
      <c r="G64" s="172"/>
      <c r="H64" s="172"/>
      <c r="I64" s="172"/>
      <c r="J64" s="162"/>
      <c r="K64" s="162"/>
      <c r="L64" s="162"/>
      <c r="M64" s="162"/>
      <c r="N64" s="162"/>
      <c r="O64" s="162"/>
      <c r="P64" s="162"/>
      <c r="Q64" s="162"/>
      <c r="R64" s="172"/>
      <c r="S64" s="172"/>
      <c r="T64" s="172"/>
      <c r="U64" s="172"/>
      <c r="V64" s="172"/>
      <c r="W64" s="172"/>
      <c r="X64" s="172"/>
      <c r="Y64" s="172"/>
      <c r="Z64" s="172"/>
      <c r="AA64" s="172"/>
      <c r="AB64" s="172"/>
      <c r="AC64" s="172"/>
    </row>
    <row r="65" spans="1:29" ht="15.5" x14ac:dyDescent="0.35">
      <c r="A65" s="172"/>
      <c r="B65" s="172"/>
      <c r="C65" s="172"/>
      <c r="D65" s="172"/>
      <c r="E65" s="172"/>
      <c r="F65" s="172"/>
      <c r="G65" s="172"/>
      <c r="H65" s="172"/>
      <c r="I65" s="172"/>
      <c r="J65" s="162"/>
      <c r="K65" s="162"/>
      <c r="L65" s="162"/>
      <c r="M65" s="162"/>
      <c r="N65" s="162"/>
      <c r="O65" s="162"/>
      <c r="P65" s="162"/>
      <c r="Q65" s="162"/>
      <c r="R65" s="172"/>
      <c r="S65" s="172"/>
      <c r="T65" s="172"/>
      <c r="U65" s="172"/>
      <c r="V65" s="172"/>
      <c r="W65" s="172"/>
      <c r="X65" s="172"/>
      <c r="Y65" s="172"/>
      <c r="Z65" s="172"/>
      <c r="AA65" s="172"/>
      <c r="AB65" s="172"/>
      <c r="AC65" s="172"/>
    </row>
    <row r="66" spans="1:29" ht="15.5" x14ac:dyDescent="0.35">
      <c r="A66" s="172"/>
      <c r="B66" s="172"/>
      <c r="C66" s="172"/>
      <c r="D66" s="172"/>
      <c r="E66" s="172"/>
      <c r="F66" s="172"/>
      <c r="G66" s="172"/>
      <c r="H66" s="172"/>
      <c r="I66" s="172"/>
      <c r="J66" s="162"/>
      <c r="K66" s="162"/>
      <c r="L66" s="162"/>
      <c r="M66" s="162"/>
      <c r="N66" s="162"/>
      <c r="O66" s="162"/>
      <c r="P66" s="162"/>
      <c r="Q66" s="162"/>
      <c r="R66" s="172"/>
      <c r="S66" s="172"/>
      <c r="T66" s="172"/>
      <c r="U66" s="172"/>
      <c r="V66" s="172"/>
      <c r="W66" s="172"/>
      <c r="X66" s="172"/>
      <c r="Y66" s="172"/>
      <c r="Z66" s="172"/>
      <c r="AA66" s="172"/>
      <c r="AB66" s="172"/>
      <c r="AC66" s="172"/>
    </row>
    <row r="67" spans="1:29" ht="15.5" x14ac:dyDescent="0.35">
      <c r="A67" s="172"/>
      <c r="B67" s="172"/>
      <c r="C67" s="172"/>
      <c r="D67" s="172"/>
      <c r="E67" s="172"/>
      <c r="F67" s="172"/>
      <c r="G67" s="172"/>
      <c r="H67" s="172"/>
      <c r="I67" s="172"/>
      <c r="J67" s="162"/>
      <c r="K67" s="162"/>
      <c r="L67" s="162"/>
      <c r="M67" s="162"/>
      <c r="N67" s="162"/>
      <c r="O67" s="162"/>
      <c r="P67" s="162"/>
      <c r="Q67" s="162"/>
      <c r="R67" s="172"/>
      <c r="S67" s="172"/>
      <c r="T67" s="172"/>
      <c r="U67" s="172"/>
      <c r="V67" s="172"/>
      <c r="W67" s="172"/>
      <c r="X67" s="172"/>
      <c r="Y67" s="172"/>
      <c r="Z67" s="172"/>
      <c r="AA67" s="172"/>
      <c r="AB67" s="172"/>
      <c r="AC67" s="172"/>
    </row>
    <row r="68" spans="1:29" ht="15.5" x14ac:dyDescent="0.35">
      <c r="A68" s="172"/>
      <c r="B68" s="172"/>
      <c r="C68" s="172"/>
      <c r="D68" s="172"/>
      <c r="E68" s="172"/>
      <c r="F68" s="172"/>
      <c r="G68" s="172"/>
      <c r="H68" s="172"/>
      <c r="I68" s="172"/>
      <c r="J68" s="162"/>
      <c r="K68" s="162"/>
      <c r="L68" s="162"/>
      <c r="M68" s="162"/>
      <c r="N68" s="162"/>
      <c r="O68" s="162"/>
      <c r="P68" s="162"/>
      <c r="Q68" s="162"/>
      <c r="R68" s="172"/>
      <c r="S68" s="172"/>
      <c r="T68" s="172"/>
      <c r="U68" s="172"/>
      <c r="V68" s="172"/>
      <c r="W68" s="172"/>
      <c r="X68" s="172"/>
      <c r="Y68" s="172"/>
      <c r="Z68" s="172"/>
      <c r="AA68" s="172"/>
      <c r="AB68" s="172"/>
      <c r="AC68" s="172"/>
    </row>
    <row r="69" spans="1:29" ht="15.5" x14ac:dyDescent="0.35">
      <c r="A69" s="172"/>
      <c r="B69" s="172"/>
      <c r="C69" s="172"/>
      <c r="D69" s="172"/>
      <c r="E69" s="172"/>
      <c r="F69" s="172"/>
      <c r="G69" s="172"/>
      <c r="H69" s="172"/>
      <c r="I69" s="172"/>
      <c r="J69" s="162"/>
      <c r="K69" s="162"/>
      <c r="L69" s="162"/>
      <c r="M69" s="162"/>
      <c r="N69" s="162"/>
      <c r="O69" s="162"/>
      <c r="P69" s="162"/>
      <c r="Q69" s="162"/>
      <c r="R69" s="172"/>
      <c r="S69" s="172"/>
      <c r="T69" s="172"/>
      <c r="U69" s="172"/>
      <c r="V69" s="172"/>
      <c r="W69" s="172"/>
      <c r="X69" s="172"/>
      <c r="Y69" s="172"/>
      <c r="Z69" s="172"/>
      <c r="AA69" s="172"/>
      <c r="AB69" s="172"/>
      <c r="AC69" s="172"/>
    </row>
    <row r="70" spans="1:29" ht="15.5" x14ac:dyDescent="0.35">
      <c r="A70" s="172"/>
      <c r="B70" s="172"/>
      <c r="C70" s="172"/>
      <c r="D70" s="172"/>
      <c r="E70" s="172"/>
      <c r="F70" s="172"/>
      <c r="G70" s="172"/>
      <c r="H70" s="172"/>
      <c r="I70" s="172"/>
      <c r="J70" s="162"/>
      <c r="K70" s="162"/>
      <c r="L70" s="162"/>
      <c r="M70" s="162"/>
      <c r="N70" s="162"/>
      <c r="O70" s="162"/>
      <c r="P70" s="162"/>
      <c r="Q70" s="162"/>
      <c r="R70" s="172"/>
      <c r="S70" s="172"/>
      <c r="T70" s="172"/>
      <c r="U70" s="172"/>
      <c r="V70" s="172"/>
      <c r="W70" s="172"/>
      <c r="X70" s="172"/>
      <c r="Y70" s="172"/>
      <c r="Z70" s="172"/>
      <c r="AA70" s="172"/>
      <c r="AB70" s="172"/>
      <c r="AC70" s="172"/>
    </row>
    <row r="71" spans="1:29" ht="15.5" x14ac:dyDescent="0.35">
      <c r="A71" s="172"/>
      <c r="B71" s="172"/>
      <c r="C71" s="172"/>
      <c r="D71" s="172"/>
      <c r="E71" s="172"/>
      <c r="F71" s="172"/>
      <c r="G71" s="172"/>
      <c r="H71" s="172"/>
      <c r="I71" s="172"/>
      <c r="J71" s="162"/>
      <c r="K71" s="162"/>
      <c r="L71" s="162"/>
      <c r="M71" s="162"/>
      <c r="N71" s="162"/>
      <c r="O71" s="162"/>
      <c r="P71" s="162"/>
      <c r="Q71" s="162"/>
      <c r="R71" s="172"/>
      <c r="S71" s="172"/>
      <c r="T71" s="172"/>
      <c r="U71" s="172"/>
      <c r="V71" s="172"/>
      <c r="W71" s="172"/>
      <c r="X71" s="172"/>
      <c r="Y71" s="172"/>
      <c r="Z71" s="172"/>
      <c r="AA71" s="172"/>
      <c r="AB71" s="172"/>
      <c r="AC71" s="172"/>
    </row>
    <row r="72" spans="1:29" ht="15.5" x14ac:dyDescent="0.35">
      <c r="A72" s="172"/>
      <c r="B72" s="172"/>
      <c r="C72" s="172"/>
      <c r="D72" s="172"/>
      <c r="E72" s="172"/>
      <c r="F72" s="172"/>
      <c r="G72" s="172"/>
      <c r="H72" s="172"/>
      <c r="I72" s="172"/>
      <c r="J72" s="162"/>
      <c r="K72" s="162"/>
      <c r="L72" s="162"/>
      <c r="M72" s="162"/>
      <c r="N72" s="162"/>
      <c r="O72" s="162"/>
      <c r="P72" s="162"/>
      <c r="Q72" s="162"/>
      <c r="R72" s="172"/>
      <c r="S72" s="172"/>
      <c r="T72" s="172"/>
      <c r="U72" s="172"/>
      <c r="V72" s="172"/>
      <c r="W72" s="172"/>
      <c r="X72" s="172"/>
      <c r="Y72" s="172"/>
      <c r="Z72" s="172"/>
      <c r="AA72" s="172"/>
      <c r="AB72" s="172"/>
      <c r="AC72" s="172"/>
    </row>
    <row r="73" spans="1:29" ht="15.5" x14ac:dyDescent="0.35">
      <c r="A73" s="172"/>
      <c r="B73" s="172"/>
      <c r="C73" s="172"/>
      <c r="D73" s="172"/>
      <c r="E73" s="172"/>
      <c r="F73" s="172"/>
      <c r="G73" s="172"/>
      <c r="H73" s="172"/>
      <c r="I73" s="172"/>
      <c r="J73" s="162"/>
      <c r="K73" s="162"/>
      <c r="L73" s="162"/>
      <c r="M73" s="162"/>
      <c r="N73" s="162"/>
      <c r="O73" s="162"/>
      <c r="P73" s="162"/>
      <c r="Q73" s="162"/>
      <c r="R73" s="172"/>
      <c r="S73" s="172"/>
      <c r="T73" s="172"/>
      <c r="U73" s="172"/>
      <c r="V73" s="172"/>
      <c r="W73" s="172"/>
      <c r="X73" s="172"/>
      <c r="Y73" s="172"/>
      <c r="Z73" s="172"/>
      <c r="AA73" s="172"/>
      <c r="AB73" s="172"/>
      <c r="AC73" s="172"/>
    </row>
    <row r="74" spans="1:29" ht="15.5" x14ac:dyDescent="0.35">
      <c r="A74" s="172"/>
      <c r="B74" s="172"/>
      <c r="C74" s="172"/>
      <c r="D74" s="172"/>
      <c r="E74" s="172"/>
      <c r="F74" s="172"/>
      <c r="G74" s="172"/>
      <c r="H74" s="172"/>
      <c r="I74" s="172"/>
      <c r="J74" s="162"/>
      <c r="K74" s="162"/>
      <c r="L74" s="162"/>
      <c r="M74" s="162"/>
      <c r="N74" s="162"/>
      <c r="O74" s="162"/>
      <c r="P74" s="162"/>
      <c r="Q74" s="162"/>
      <c r="R74" s="172"/>
      <c r="S74" s="172"/>
      <c r="T74" s="172"/>
      <c r="U74" s="172"/>
      <c r="V74" s="172"/>
      <c r="W74" s="172"/>
      <c r="X74" s="172"/>
      <c r="Y74" s="172"/>
      <c r="Z74" s="172"/>
      <c r="AA74" s="172"/>
      <c r="AB74" s="172"/>
      <c r="AC74" s="172"/>
    </row>
    <row r="75" spans="1:29" ht="15.5" x14ac:dyDescent="0.35">
      <c r="A75" s="172"/>
      <c r="B75" s="172"/>
      <c r="C75" s="172"/>
      <c r="D75" s="172"/>
      <c r="E75" s="172"/>
      <c r="F75" s="172"/>
      <c r="G75" s="172"/>
      <c r="H75" s="172"/>
      <c r="I75" s="172"/>
      <c r="J75" s="162"/>
      <c r="K75" s="162"/>
      <c r="L75" s="162"/>
      <c r="M75" s="162"/>
      <c r="N75" s="162"/>
      <c r="O75" s="162"/>
      <c r="P75" s="162"/>
      <c r="Q75" s="162"/>
      <c r="R75" s="172"/>
      <c r="S75" s="172"/>
      <c r="T75" s="172"/>
      <c r="U75" s="172"/>
      <c r="V75" s="172"/>
      <c r="W75" s="172"/>
      <c r="X75" s="172"/>
      <c r="Y75" s="172"/>
      <c r="Z75" s="172"/>
      <c r="AA75" s="172"/>
      <c r="AB75" s="172"/>
      <c r="AC75" s="172"/>
    </row>
    <row r="76" spans="1:29" ht="15.5" x14ac:dyDescent="0.35">
      <c r="A76" s="172"/>
      <c r="B76" s="172"/>
      <c r="C76" s="172"/>
      <c r="D76" s="172"/>
      <c r="E76" s="172"/>
      <c r="F76" s="172"/>
      <c r="G76" s="172"/>
      <c r="H76" s="172"/>
      <c r="I76" s="172"/>
      <c r="J76" s="162"/>
      <c r="K76" s="162"/>
      <c r="L76" s="162"/>
      <c r="M76" s="162"/>
      <c r="N76" s="162"/>
      <c r="O76" s="162"/>
      <c r="P76" s="162"/>
      <c r="Q76" s="162"/>
      <c r="R76" s="172"/>
      <c r="S76" s="172"/>
      <c r="T76" s="172"/>
      <c r="U76" s="172"/>
      <c r="V76" s="172"/>
      <c r="W76" s="172"/>
      <c r="X76" s="172"/>
      <c r="Y76" s="172"/>
      <c r="Z76" s="172"/>
      <c r="AA76" s="172"/>
      <c r="AB76" s="172"/>
      <c r="AC76" s="172"/>
    </row>
    <row r="77" spans="1:29" ht="15.5" x14ac:dyDescent="0.35">
      <c r="A77" s="172"/>
      <c r="B77" s="172"/>
      <c r="C77" s="172"/>
      <c r="D77" s="172"/>
      <c r="E77" s="172"/>
      <c r="F77" s="172"/>
      <c r="G77" s="172"/>
      <c r="H77" s="172"/>
      <c r="I77" s="172"/>
      <c r="J77" s="162"/>
      <c r="K77" s="162"/>
      <c r="L77" s="162"/>
      <c r="M77" s="162"/>
      <c r="N77" s="162"/>
      <c r="O77" s="162"/>
      <c r="P77" s="162"/>
      <c r="Q77" s="162"/>
      <c r="R77" s="172"/>
      <c r="S77" s="172"/>
      <c r="T77" s="172"/>
      <c r="U77" s="172"/>
      <c r="V77" s="172"/>
      <c r="W77" s="172"/>
      <c r="X77" s="172"/>
      <c r="Y77" s="172"/>
      <c r="Z77" s="172"/>
      <c r="AA77" s="172"/>
      <c r="AB77" s="172"/>
      <c r="AC77" s="172"/>
    </row>
    <row r="78" spans="1:29" ht="15.5" x14ac:dyDescent="0.35">
      <c r="A78" s="172"/>
      <c r="B78" s="172"/>
      <c r="C78" s="172"/>
      <c r="D78" s="172"/>
      <c r="E78" s="172"/>
      <c r="F78" s="172"/>
      <c r="G78" s="172"/>
      <c r="H78" s="172"/>
      <c r="I78" s="172"/>
      <c r="J78" s="162"/>
      <c r="K78" s="162"/>
      <c r="L78" s="162"/>
      <c r="M78" s="162"/>
      <c r="N78" s="162"/>
      <c r="O78" s="162"/>
      <c r="P78" s="162"/>
      <c r="Q78" s="162"/>
      <c r="R78" s="172"/>
      <c r="S78" s="172"/>
      <c r="T78" s="172"/>
      <c r="U78" s="172"/>
      <c r="V78" s="172"/>
      <c r="W78" s="172"/>
      <c r="X78" s="172"/>
      <c r="Y78" s="172"/>
      <c r="Z78" s="172"/>
      <c r="AA78" s="172"/>
      <c r="AB78" s="172"/>
      <c r="AC78" s="172"/>
    </row>
    <row r="79" spans="1:29" ht="15.5" x14ac:dyDescent="0.35">
      <c r="A79" s="172"/>
      <c r="B79" s="172"/>
      <c r="C79" s="172"/>
      <c r="D79" s="172"/>
      <c r="E79" s="172"/>
      <c r="F79" s="172"/>
      <c r="G79" s="172"/>
      <c r="H79" s="172"/>
      <c r="I79" s="172"/>
      <c r="J79" s="162"/>
      <c r="K79" s="162"/>
      <c r="L79" s="162"/>
      <c r="M79" s="162"/>
      <c r="N79" s="162"/>
      <c r="O79" s="162"/>
      <c r="P79" s="162"/>
      <c r="Q79" s="162"/>
      <c r="R79" s="172"/>
      <c r="S79" s="172"/>
      <c r="T79" s="172"/>
      <c r="U79" s="172"/>
      <c r="V79" s="172"/>
      <c r="W79" s="172"/>
      <c r="X79" s="172"/>
      <c r="Y79" s="172"/>
      <c r="Z79" s="172"/>
      <c r="AA79" s="172"/>
      <c r="AB79" s="172"/>
      <c r="AC79" s="172"/>
    </row>
    <row r="80" spans="1:29" ht="15.5" x14ac:dyDescent="0.35">
      <c r="A80" s="172"/>
      <c r="B80" s="172"/>
      <c r="C80" s="172"/>
      <c r="D80" s="172"/>
      <c r="E80" s="172"/>
      <c r="F80" s="172"/>
      <c r="G80" s="172"/>
      <c r="H80" s="172"/>
      <c r="I80" s="172"/>
      <c r="J80" s="162"/>
      <c r="K80" s="162"/>
      <c r="L80" s="162"/>
      <c r="M80" s="162"/>
      <c r="N80" s="162"/>
      <c r="O80" s="162"/>
      <c r="P80" s="162"/>
      <c r="Q80" s="162"/>
      <c r="R80" s="172"/>
      <c r="S80" s="172"/>
      <c r="T80" s="172"/>
      <c r="U80" s="172"/>
      <c r="V80" s="172"/>
      <c r="W80" s="172"/>
      <c r="X80" s="172"/>
      <c r="Y80" s="172"/>
      <c r="Z80" s="172"/>
      <c r="AA80" s="172"/>
      <c r="AB80" s="172"/>
      <c r="AC80" s="172"/>
    </row>
  </sheetData>
  <sheetProtection password="BCD8" sheet="1" objects="1" scenarios="1"/>
  <phoneticPr fontId="86" type="noConversion"/>
  <conditionalFormatting sqref="E17:I17">
    <cfRule type="expression" dxfId="184" priority="1" stopIfTrue="1">
      <formula>$J$17=TRUE</formula>
    </cfRule>
  </conditionalFormatting>
  <conditionalFormatting sqref="E4">
    <cfRule type="cellIs" dxfId="183" priority="2" stopIfTrue="1" operator="notEqual">
      <formula>""</formula>
    </cfRule>
  </conditionalFormatting>
  <conditionalFormatting sqref="D4">
    <cfRule type="cellIs" dxfId="182" priority="3" stopIfTrue="1" operator="greaterThan">
      <formula>$D$17</formula>
    </cfRule>
  </conditionalFormatting>
  <conditionalFormatting sqref="D17">
    <cfRule type="cellIs" dxfId="181" priority="4" stopIfTrue="1" operator="lessThan">
      <formula>$D$4</formula>
    </cfRule>
    <cfRule type="expression" dxfId="180" priority="5" stopIfTrue="1">
      <formula>$D$3=""</formula>
    </cfRule>
  </conditionalFormatting>
  <pageMargins left="0.74803149606299213" right="0.74803149606299213" top="0.98425196850393704" bottom="0.98425196850393704" header="0.51181102362204722" footer="0.51181102362204722"/>
  <pageSetup paperSize="9" orientation="portrait" blackAndWhite="1" r:id="rId1"/>
  <headerFooter alignWithMargins="0">
    <oddFooter>&amp;R&amp;"-,Italic"Created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copypaste">
                <anchor moveWithCells="1" sizeWithCells="1">
                  <from>
                    <xdr:col>5</xdr:col>
                    <xdr:colOff>31750</xdr:colOff>
                    <xdr:row>5</xdr:row>
                    <xdr:rowOff>184150</xdr:rowOff>
                  </from>
                  <to>
                    <xdr:col>6</xdr:col>
                    <xdr:colOff>539750</xdr:colOff>
                    <xdr:row>6</xdr:row>
                    <xdr:rowOff>228600</xdr:rowOff>
                  </to>
                </anchor>
              </controlPr>
            </control>
          </mc:Choice>
        </mc:AlternateContent>
        <mc:AlternateContent xmlns:mc="http://schemas.openxmlformats.org/markup-compatibility/2006">
          <mc:Choice Requires="x14">
            <control shapeId="53250" r:id="rId5" name="Button 2">
              <controlPr defaultSize="0" print="0" autoFill="0" autoPict="0" macro="[0]!help_copypaste">
                <anchor moveWithCells="1" sizeWithCells="1">
                  <from>
                    <xdr:col>6</xdr:col>
                    <xdr:colOff>539750</xdr:colOff>
                    <xdr:row>5</xdr:row>
                    <xdr:rowOff>184150</xdr:rowOff>
                  </from>
                  <to>
                    <xdr:col>6</xdr:col>
                    <xdr:colOff>863600</xdr:colOff>
                    <xdr:row>6</xdr:row>
                    <xdr:rowOff>228600</xdr:rowOff>
                  </to>
                </anchor>
              </controlPr>
            </control>
          </mc:Choice>
        </mc:AlternateContent>
        <mc:AlternateContent xmlns:mc="http://schemas.openxmlformats.org/markup-compatibility/2006">
          <mc:Choice Requires="x14">
            <control shapeId="53251" r:id="rId6" name="Button 3">
              <controlPr defaultSize="0" print="0" autoFill="0" autoPict="0" macro="[0]!cancelcopypaste">
                <anchor moveWithCells="1" sizeWithCells="1">
                  <from>
                    <xdr:col>6</xdr:col>
                    <xdr:colOff>863600</xdr:colOff>
                    <xdr:row>5</xdr:row>
                    <xdr:rowOff>184150</xdr:rowOff>
                  </from>
                  <to>
                    <xdr:col>6</xdr:col>
                    <xdr:colOff>1797050</xdr:colOff>
                    <xdr:row>6</xdr:row>
                    <xdr:rowOff>228600</xdr:rowOff>
                  </to>
                </anchor>
              </controlPr>
            </control>
          </mc:Choice>
        </mc:AlternateContent>
        <mc:AlternateContent xmlns:mc="http://schemas.openxmlformats.org/markup-compatibility/2006">
          <mc:Choice Requires="x14">
            <control shapeId="53252" r:id="rId7" name="Button 4">
              <controlPr defaultSize="0" print="0" autoFill="0" autoPict="0" macro="[0]!copy_as_excel">
                <anchor moveWithCells="1" sizeWithCells="1">
                  <from>
                    <xdr:col>5</xdr:col>
                    <xdr:colOff>38100</xdr:colOff>
                    <xdr:row>3</xdr:row>
                    <xdr:rowOff>44450</xdr:rowOff>
                  </from>
                  <to>
                    <xdr:col>6</xdr:col>
                    <xdr:colOff>304800</xdr:colOff>
                    <xdr:row>4</xdr:row>
                    <xdr:rowOff>190500</xdr:rowOff>
                  </to>
                </anchor>
              </controlPr>
            </control>
          </mc:Choice>
        </mc:AlternateContent>
        <mc:AlternateContent xmlns:mc="http://schemas.openxmlformats.org/markup-compatibility/2006">
          <mc:Choice Requires="x14">
            <control shapeId="53253" r:id="rId8" name="Button 5">
              <controlPr defaultSize="0" print="0" autoFill="0" autoPict="0" macro="[0]!pdflauncher">
                <anchor moveWithCells="1" sizeWithCells="1">
                  <from>
                    <xdr:col>6</xdr:col>
                    <xdr:colOff>311150</xdr:colOff>
                    <xdr:row>3</xdr:row>
                    <xdr:rowOff>44450</xdr:rowOff>
                  </from>
                  <to>
                    <xdr:col>6</xdr:col>
                    <xdr:colOff>996950</xdr:colOff>
                    <xdr:row>4</xdr:row>
                    <xdr:rowOff>190500</xdr:rowOff>
                  </to>
                </anchor>
              </controlPr>
            </control>
          </mc:Choice>
        </mc:AlternateContent>
        <mc:AlternateContent xmlns:mc="http://schemas.openxmlformats.org/markup-compatibility/2006">
          <mc:Choice Requires="x14">
            <control shapeId="53254" r:id="rId9" name="Button 6">
              <controlPr defaultSize="0" print="0" autoFill="0" autoPict="0" macro="[0]!openfolder">
                <anchor moveWithCells="1" sizeWithCells="1">
                  <from>
                    <xdr:col>6</xdr:col>
                    <xdr:colOff>1016000</xdr:colOff>
                    <xdr:row>3</xdr:row>
                    <xdr:rowOff>44450</xdr:rowOff>
                  </from>
                  <to>
                    <xdr:col>6</xdr:col>
                    <xdr:colOff>1536700</xdr:colOff>
                    <xdr:row>4</xdr:row>
                    <xdr:rowOff>190500</xdr:rowOff>
                  </to>
                </anchor>
              </controlPr>
            </control>
          </mc:Choice>
        </mc:AlternateContent>
        <mc:AlternateContent xmlns:mc="http://schemas.openxmlformats.org/markup-compatibility/2006">
          <mc:Choice Requires="x14">
            <control shapeId="53255" r:id="rId10" name="Button 7">
              <controlPr defaultSize="0" print="0" autoFill="0" autoPict="0" macro="[0]!goto_folder_settings">
                <anchor moveWithCells="1" sizeWithCells="1">
                  <from>
                    <xdr:col>6</xdr:col>
                    <xdr:colOff>1549400</xdr:colOff>
                    <xdr:row>3</xdr:row>
                    <xdr:rowOff>44450</xdr:rowOff>
                  </from>
                  <to>
                    <xdr:col>7</xdr:col>
                    <xdr:colOff>203200</xdr:colOff>
                    <xdr:row>4</xdr:row>
                    <xdr:rowOff>190500</xdr:rowOff>
                  </to>
                </anchor>
              </controlPr>
            </control>
          </mc:Choice>
        </mc:AlternateContent>
        <mc:AlternateContent xmlns:mc="http://schemas.openxmlformats.org/markup-compatibility/2006">
          <mc:Choice Requires="x14">
            <control shapeId="53256" r:id="rId11" name="Button 8">
              <controlPr defaultSize="0" print="0" autoFill="0" autoPict="0" macro="[0]!email_pdf_launch">
                <anchor moveWithCells="1" sizeWithCells="1">
                  <from>
                    <xdr:col>6</xdr:col>
                    <xdr:colOff>463550</xdr:colOff>
                    <xdr:row>1</xdr:row>
                    <xdr:rowOff>260350</xdr:rowOff>
                  </from>
                  <to>
                    <xdr:col>6</xdr:col>
                    <xdr:colOff>1149350</xdr:colOff>
                    <xdr:row>3</xdr:row>
                    <xdr:rowOff>38100</xdr:rowOff>
                  </to>
                </anchor>
              </controlPr>
            </control>
          </mc:Choice>
        </mc:AlternateContent>
        <mc:AlternateContent xmlns:mc="http://schemas.openxmlformats.org/markup-compatibility/2006">
          <mc:Choice Requires="x14">
            <control shapeId="53257" r:id="rId12" name="Button 9">
              <controlPr defaultSize="0" print="0" autoFill="0" autoPict="0" macro="[0]!email_copy_as_excel">
                <anchor moveWithCells="1" sizeWithCells="1">
                  <from>
                    <xdr:col>5</xdr:col>
                    <xdr:colOff>38100</xdr:colOff>
                    <xdr:row>1</xdr:row>
                    <xdr:rowOff>260350</xdr:rowOff>
                  </from>
                  <to>
                    <xdr:col>6</xdr:col>
                    <xdr:colOff>450850</xdr:colOff>
                    <xdr:row>3</xdr:row>
                    <xdr:rowOff>38100</xdr:rowOff>
                  </to>
                </anchor>
              </controlPr>
            </control>
          </mc:Choice>
        </mc:AlternateContent>
        <mc:AlternateContent xmlns:mc="http://schemas.openxmlformats.org/markup-compatibility/2006">
          <mc:Choice Requires="x14">
            <control shapeId="53258" r:id="rId13" name="Button 10">
              <controlPr defaultSize="0" print="0" autoFill="0" autoPict="0" macro="[0]!emailsettings">
                <anchor moveWithCells="1" sizeWithCells="1">
                  <from>
                    <xdr:col>6</xdr:col>
                    <xdr:colOff>1155700</xdr:colOff>
                    <xdr:row>1</xdr:row>
                    <xdr:rowOff>260350</xdr:rowOff>
                  </from>
                  <to>
                    <xdr:col>7</xdr:col>
                    <xdr:colOff>203200</xdr:colOff>
                    <xdr:row>3</xdr:row>
                    <xdr:rowOff>38100</xdr:rowOff>
                  </to>
                </anchor>
              </controlPr>
            </control>
          </mc:Choice>
        </mc:AlternateContent>
        <mc:AlternateContent xmlns:mc="http://schemas.openxmlformats.org/markup-compatibility/2006">
          <mc:Choice Requires="x14">
            <control shapeId="53259" r:id="rId14" name="Button 11">
              <controlPr defaultSize="0" print="0" autoFill="0" autoPict="0" macro="[0]!returnfrominstalments">
                <anchor moveWithCells="1" sizeWithCells="1">
                  <from>
                    <xdr:col>0</xdr:col>
                    <xdr:colOff>107950</xdr:colOff>
                    <xdr:row>3</xdr:row>
                    <xdr:rowOff>25400</xdr:rowOff>
                  </from>
                  <to>
                    <xdr:col>0</xdr:col>
                    <xdr:colOff>1270000</xdr:colOff>
                    <xdr:row>6</xdr:row>
                    <xdr:rowOff>82550</xdr:rowOff>
                  </to>
                </anchor>
              </controlPr>
            </control>
          </mc:Choice>
        </mc:AlternateContent>
        <mc:AlternateContent xmlns:mc="http://schemas.openxmlformats.org/markup-compatibility/2006">
          <mc:Choice Requires="x14">
            <control shapeId="53260" r:id="rId15" name="Button 12">
              <controlPr defaultSize="0" print="0" autoFill="0" autoPict="0" macro="[0]!goto_details">
                <anchor moveWithCells="1" sizeWithCells="1">
                  <from>
                    <xdr:col>0</xdr:col>
                    <xdr:colOff>558800</xdr:colOff>
                    <xdr:row>1</xdr:row>
                    <xdr:rowOff>6350</xdr:rowOff>
                  </from>
                  <to>
                    <xdr:col>0</xdr:col>
                    <xdr:colOff>1295400</xdr:colOff>
                    <xdr:row>2</xdr:row>
                    <xdr:rowOff>25400</xdr:rowOff>
                  </to>
                </anchor>
              </controlPr>
            </control>
          </mc:Choice>
        </mc:AlternateContent>
        <mc:AlternateContent xmlns:mc="http://schemas.openxmlformats.org/markup-compatibility/2006">
          <mc:Choice Requires="x14">
            <control shapeId="53261" r:id="rId16" name="Check Box 13">
              <controlPr defaultSize="0" autoFill="0" autoLine="0" autoPict="0">
                <anchor moveWithCells="1">
                  <from>
                    <xdr:col>4</xdr:col>
                    <xdr:colOff>139700</xdr:colOff>
                    <xdr:row>16</xdr:row>
                    <xdr:rowOff>6350</xdr:rowOff>
                  </from>
                  <to>
                    <xdr:col>8</xdr:col>
                    <xdr:colOff>311150</xdr:colOff>
                    <xdr:row>17</xdr:row>
                    <xdr:rowOff>6350</xdr:rowOff>
                  </to>
                </anchor>
              </controlPr>
            </control>
          </mc:Choice>
        </mc:AlternateContent>
        <mc:AlternateContent xmlns:mc="http://schemas.openxmlformats.org/markup-compatibility/2006">
          <mc:Choice Requires="x14">
            <control shapeId="53288" r:id="rId17" name="Button 40">
              <controlPr defaultSize="0" print="0" autoFill="0" autoPict="0" macro="[0]!increase_instalment_number">
                <anchor moveWithCells="1" sizeWithCells="1">
                  <from>
                    <xdr:col>2</xdr:col>
                    <xdr:colOff>838200</xdr:colOff>
                    <xdr:row>3</xdr:row>
                    <xdr:rowOff>25400</xdr:rowOff>
                  </from>
                  <to>
                    <xdr:col>2</xdr:col>
                    <xdr:colOff>1035050</xdr:colOff>
                    <xdr:row>3</xdr:row>
                    <xdr:rowOff>241300</xdr:rowOff>
                  </to>
                </anchor>
              </controlPr>
            </control>
          </mc:Choice>
        </mc:AlternateContent>
        <mc:AlternateContent xmlns:mc="http://schemas.openxmlformats.org/markup-compatibility/2006">
          <mc:Choice Requires="x14">
            <control shapeId="53289" r:id="rId18" name="Button 41">
              <controlPr defaultSize="0" print="0" autoFill="0" autoPict="0" macro="[0]!decrease_instalment_number">
                <anchor moveWithCells="1" sizeWithCells="1">
                  <from>
                    <xdr:col>2</xdr:col>
                    <xdr:colOff>1060450</xdr:colOff>
                    <xdr:row>3</xdr:row>
                    <xdr:rowOff>25400</xdr:rowOff>
                  </from>
                  <to>
                    <xdr:col>2</xdr:col>
                    <xdr:colOff>1257300</xdr:colOff>
                    <xdr:row>3</xdr:row>
                    <xdr:rowOff>241300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EBEB4-B499-4BD8-B2A3-F4915B69CD88}">
  <sheetPr codeName="Sheet39"/>
  <dimension ref="A1:Z95"/>
  <sheetViews>
    <sheetView showGridLines="0" workbookViewId="0">
      <selection activeCell="I7" sqref="I7"/>
    </sheetView>
  </sheetViews>
  <sheetFormatPr defaultColWidth="9.08984375" defaultRowHeight="12.5" x14ac:dyDescent="0.25"/>
  <cols>
    <col min="1" max="1" width="19" style="249" customWidth="1"/>
    <col min="2" max="2" width="3" style="249" customWidth="1"/>
    <col min="3" max="3" width="9" style="249" customWidth="1"/>
    <col min="4" max="4" width="3.90625" style="249" customWidth="1"/>
    <col min="5" max="5" width="8.6328125" style="249" customWidth="1"/>
    <col min="6" max="6" width="15" style="249" customWidth="1"/>
    <col min="7" max="7" width="16" style="249" customWidth="1"/>
    <col min="8" max="8" width="14.453125" style="249" customWidth="1"/>
    <col min="9" max="9" width="16.54296875" style="249" customWidth="1"/>
    <col min="10" max="10" width="1.36328125" style="249" customWidth="1"/>
    <col min="11" max="11" width="3.08984375" style="249" customWidth="1"/>
    <col min="12" max="12" width="14" style="249" hidden="1" customWidth="1"/>
    <col min="13" max="13" width="31.6328125" style="249" customWidth="1"/>
    <col min="14" max="15" width="9.08984375" style="249"/>
    <col min="16" max="16" width="10.90625" style="249" customWidth="1"/>
    <col min="17" max="23" width="9.08984375" style="249"/>
    <col min="24" max="26" width="15.54296875" style="249" customWidth="1"/>
    <col min="27" max="30" width="9.08984375" style="249"/>
    <col min="31" max="31" width="10.08984375" style="249" customWidth="1"/>
    <col min="32" max="35" width="9.08984375" style="249"/>
    <col min="36" max="36" width="5" style="249" customWidth="1"/>
    <col min="37" max="16384" width="9.08984375" style="249"/>
  </cols>
  <sheetData>
    <row r="1" spans="1:26" ht="15.75" customHeight="1" x14ac:dyDescent="0.35">
      <c r="A1" s="243"/>
      <c r="B1" s="243"/>
      <c r="C1" s="244"/>
      <c r="D1" s="243"/>
      <c r="E1" s="245"/>
      <c r="F1" s="246"/>
      <c r="G1" s="247"/>
      <c r="H1" s="248"/>
      <c r="I1" s="247"/>
      <c r="J1" s="247"/>
      <c r="K1" s="247"/>
      <c r="M1" s="247"/>
      <c r="N1" s="247"/>
      <c r="O1" s="247"/>
      <c r="P1" s="247"/>
      <c r="Q1" s="247"/>
      <c r="R1" s="247"/>
      <c r="S1" s="247"/>
      <c r="T1" s="247"/>
      <c r="U1" s="247"/>
      <c r="V1" s="247"/>
      <c r="W1" s="247"/>
      <c r="X1" s="247"/>
      <c r="Y1" s="247"/>
      <c r="Z1" s="247"/>
    </row>
    <row r="2" spans="1:26" ht="17.5" x14ac:dyDescent="0.35">
      <c r="A2" s="250"/>
      <c r="B2" s="251"/>
      <c r="C2" s="354" t="str">
        <f>basic!B1</f>
        <v>Business Rates Liability and Savings 2023 List (England)</v>
      </c>
      <c r="D2" s="252"/>
      <c r="E2" s="253"/>
      <c r="F2" s="253"/>
      <c r="G2" s="253"/>
      <c r="H2" s="253"/>
      <c r="I2" s="253"/>
      <c r="J2" s="253"/>
      <c r="K2" s="247"/>
      <c r="M2" s="247"/>
      <c r="N2" s="247"/>
      <c r="O2" s="247"/>
      <c r="P2" s="247"/>
      <c r="Q2" s="247"/>
      <c r="R2" s="247"/>
      <c r="S2" s="247"/>
      <c r="T2" s="247"/>
      <c r="U2" s="247"/>
      <c r="V2" s="247"/>
      <c r="W2" s="247"/>
      <c r="X2" s="247"/>
      <c r="Y2" s="247"/>
      <c r="Z2" s="247"/>
    </row>
    <row r="3" spans="1:26" ht="13" x14ac:dyDescent="0.3">
      <c r="A3" s="250"/>
      <c r="B3" s="251"/>
      <c r="C3" s="251"/>
      <c r="D3" s="253"/>
      <c r="E3" s="253"/>
      <c r="F3" s="253"/>
      <c r="G3" s="253"/>
      <c r="H3" s="253"/>
      <c r="I3" s="254"/>
      <c r="J3" s="254"/>
      <c r="K3" s="247"/>
      <c r="M3" s="247"/>
      <c r="N3" s="247"/>
      <c r="O3" s="247"/>
      <c r="P3" s="247"/>
      <c r="Q3" s="247"/>
      <c r="R3" s="247"/>
      <c r="S3" s="247"/>
      <c r="T3" s="247"/>
      <c r="U3" s="247"/>
      <c r="V3" s="247"/>
      <c r="W3" s="247"/>
      <c r="X3" s="247"/>
      <c r="Y3" s="247"/>
      <c r="Z3" s="247"/>
    </row>
    <row r="4" spans="1:26" x14ac:dyDescent="0.25">
      <c r="A4" s="250"/>
      <c r="B4" s="251"/>
      <c r="C4" s="251"/>
      <c r="D4" s="253"/>
      <c r="E4" s="253"/>
      <c r="F4" s="253"/>
      <c r="G4" s="253"/>
      <c r="H4" s="253"/>
      <c r="I4" s="253"/>
      <c r="J4" s="253"/>
      <c r="K4" s="247"/>
      <c r="M4" s="247"/>
      <c r="N4" s="247"/>
      <c r="O4" s="247"/>
      <c r="P4" s="247"/>
      <c r="Q4" s="247"/>
      <c r="R4" s="247"/>
      <c r="S4" s="247"/>
      <c r="T4" s="247"/>
      <c r="U4" s="247"/>
      <c r="V4" s="247"/>
      <c r="W4" s="247"/>
      <c r="X4" s="247"/>
      <c r="Y4" s="247"/>
      <c r="Z4" s="247"/>
    </row>
    <row r="5" spans="1:26" ht="13" x14ac:dyDescent="0.3">
      <c r="A5" s="250"/>
      <c r="B5" s="251"/>
      <c r="C5" s="255" t="s">
        <v>1272</v>
      </c>
      <c r="D5" s="253"/>
      <c r="E5" s="256" t="str">
        <f>IF(details!D5="","please complete the details page",details!D5)</f>
        <v>please complete the details page</v>
      </c>
      <c r="F5" s="253"/>
      <c r="G5" s="253"/>
      <c r="H5" s="254" t="s">
        <v>1273</v>
      </c>
      <c r="I5" s="257" t="str">
        <f>IF(details!$D$6=0,"see details page",details!$D$6)</f>
        <v>see details page</v>
      </c>
      <c r="J5" s="258"/>
      <c r="K5" s="247"/>
      <c r="M5" s="247"/>
      <c r="N5" s="247"/>
      <c r="O5" s="247"/>
      <c r="P5" s="247"/>
      <c r="Q5" s="247"/>
      <c r="R5" s="247"/>
      <c r="S5" s="247"/>
      <c r="T5" s="247"/>
      <c r="U5" s="247"/>
      <c r="V5" s="247"/>
      <c r="W5" s="247"/>
      <c r="X5" s="247"/>
      <c r="Y5" s="247"/>
      <c r="Z5" s="247"/>
    </row>
    <row r="6" spans="1:26" ht="13" x14ac:dyDescent="0.3">
      <c r="A6" s="250"/>
      <c r="B6" s="251"/>
      <c r="D6" s="259"/>
      <c r="F6" s="253"/>
      <c r="G6" s="253"/>
      <c r="H6" s="254"/>
      <c r="I6" s="257"/>
      <c r="J6" s="258"/>
      <c r="K6" s="247"/>
      <c r="M6" s="247"/>
      <c r="N6" s="247"/>
      <c r="O6" s="247"/>
      <c r="P6" s="247"/>
      <c r="Q6" s="247"/>
      <c r="R6" s="247"/>
      <c r="S6" s="247"/>
      <c r="T6" s="247"/>
      <c r="U6" s="247"/>
      <c r="V6" s="247"/>
      <c r="W6" s="247"/>
      <c r="X6" s="247"/>
      <c r="Y6" s="247"/>
      <c r="Z6" s="247"/>
    </row>
    <row r="7" spans="1:26" ht="13" x14ac:dyDescent="0.3">
      <c r="A7" s="247"/>
      <c r="B7" s="251"/>
      <c r="C7" s="255" t="s">
        <v>1274</v>
      </c>
      <c r="D7" s="253"/>
      <c r="E7" s="256" t="str">
        <f>IF(details!$D$4="","please complete the details page",details!$D$4)</f>
        <v>please complete the details page</v>
      </c>
      <c r="F7" s="253"/>
      <c r="G7" s="253"/>
      <c r="H7" s="254" t="s">
        <v>1275</v>
      </c>
      <c r="I7" s="260">
        <f ca="1">TODAY()</f>
        <v>46155</v>
      </c>
      <c r="J7" s="260"/>
      <c r="K7" s="247"/>
      <c r="M7" s="247"/>
      <c r="N7" s="247"/>
      <c r="O7" s="247"/>
      <c r="P7" s="247"/>
      <c r="Q7" s="247"/>
      <c r="R7" s="247"/>
      <c r="S7" s="247"/>
      <c r="T7" s="247"/>
      <c r="U7" s="247"/>
      <c r="V7" s="247"/>
      <c r="W7" s="247"/>
      <c r="X7" s="247"/>
      <c r="Y7" s="247"/>
      <c r="Z7" s="247"/>
    </row>
    <row r="8" spans="1:26" x14ac:dyDescent="0.25">
      <c r="A8" s="247"/>
      <c r="B8" s="251"/>
      <c r="C8" s="261"/>
      <c r="D8" s="262"/>
      <c r="E8" s="262"/>
      <c r="F8" s="262"/>
      <c r="G8" s="262"/>
      <c r="H8" s="262"/>
      <c r="I8" s="262"/>
      <c r="J8" s="253"/>
      <c r="K8" s="247"/>
      <c r="M8" s="247"/>
      <c r="N8" s="247"/>
      <c r="O8" s="247"/>
      <c r="P8" s="247"/>
      <c r="Q8" s="247"/>
      <c r="R8" s="247"/>
      <c r="S8" s="247"/>
      <c r="T8" s="247"/>
      <c r="U8" s="247"/>
      <c r="V8" s="247"/>
      <c r="W8" s="247"/>
      <c r="X8" s="247"/>
      <c r="Y8" s="247"/>
      <c r="Z8" s="247"/>
    </row>
    <row r="9" spans="1:26" ht="13" x14ac:dyDescent="0.3">
      <c r="A9" s="250"/>
      <c r="B9" s="251"/>
      <c r="C9" s="263" t="str">
        <f>IF(details!$D$7&lt;&gt;"",details!$D$7,"address line 1 - please enter on the 'details' page")</f>
        <v>address line 1 - please enter on the 'details' page</v>
      </c>
      <c r="D9" s="264"/>
      <c r="E9" s="264"/>
      <c r="F9" s="264"/>
      <c r="G9" s="264"/>
      <c r="H9" s="264"/>
      <c r="I9" s="264"/>
      <c r="J9" s="253"/>
      <c r="K9" s="247"/>
      <c r="M9" s="247"/>
      <c r="N9" s="247"/>
      <c r="O9" s="247"/>
      <c r="P9" s="247"/>
      <c r="Q9" s="247"/>
      <c r="R9" s="247"/>
      <c r="S9" s="247"/>
      <c r="T9" s="247"/>
      <c r="U9" s="247"/>
      <c r="V9" s="247"/>
      <c r="W9" s="247"/>
      <c r="X9" s="247"/>
      <c r="Y9" s="247"/>
      <c r="Z9" s="247"/>
    </row>
    <row r="10" spans="1:26" ht="13" x14ac:dyDescent="0.3">
      <c r="A10" s="247"/>
      <c r="B10" s="251"/>
      <c r="C10" s="263" t="str">
        <f>IF(details!$D$8&lt;&gt;"",details!$D$8,"address line 2 - please enter on the 'details' page")</f>
        <v>address line 2 - please enter on the 'details' page</v>
      </c>
      <c r="D10" s="253"/>
      <c r="E10" s="253"/>
      <c r="F10" s="253"/>
      <c r="G10" s="253"/>
      <c r="H10" s="253"/>
      <c r="I10" s="253"/>
      <c r="J10" s="265"/>
      <c r="K10" s="247"/>
      <c r="M10" s="247"/>
      <c r="N10" s="247"/>
      <c r="O10" s="247"/>
      <c r="P10" s="247"/>
      <c r="Q10" s="247"/>
      <c r="R10" s="247"/>
      <c r="S10" s="247"/>
      <c r="T10" s="247"/>
      <c r="U10" s="247"/>
      <c r="V10" s="247"/>
      <c r="W10" s="247"/>
      <c r="X10" s="247"/>
      <c r="Y10" s="247"/>
      <c r="Z10" s="247"/>
    </row>
    <row r="11" spans="1:26" ht="13" x14ac:dyDescent="0.3">
      <c r="A11" s="247"/>
      <c r="B11" s="251"/>
      <c r="C11" s="263" t="str">
        <f>IF(details!$D$9&lt;&gt;"",details!$D$9,"address line 3 - please enter on the 'details' page")</f>
        <v>address line 3 - please enter on the 'details' page</v>
      </c>
      <c r="D11" s="253"/>
      <c r="E11" s="253"/>
      <c r="F11" s="253"/>
      <c r="G11" s="253"/>
      <c r="H11" s="253"/>
      <c r="I11" s="253"/>
      <c r="J11" s="265"/>
      <c r="K11" s="247"/>
      <c r="M11" s="247"/>
      <c r="N11" s="247"/>
      <c r="O11" s="247"/>
      <c r="P11" s="247"/>
      <c r="Q11" s="247"/>
      <c r="R11" s="247"/>
      <c r="S11" s="247"/>
      <c r="T11" s="247"/>
      <c r="U11" s="247"/>
      <c r="V11" s="247"/>
      <c r="W11" s="247"/>
      <c r="X11" s="247"/>
      <c r="Y11" s="247"/>
      <c r="Z11" s="247"/>
    </row>
    <row r="12" spans="1:26" ht="13" x14ac:dyDescent="0.3">
      <c r="A12" s="247"/>
      <c r="B12" s="251"/>
      <c r="C12" s="263" t="str">
        <f>IF(details!$D$10&lt;&gt;"",details!$D$10,"address line 4 - please enter on the 'details' page")</f>
        <v>address line 4 - please enter on the 'details' page</v>
      </c>
      <c r="D12" s="253"/>
      <c r="E12" s="253"/>
      <c r="F12" s="253"/>
      <c r="G12" s="253"/>
      <c r="H12" s="253"/>
      <c r="I12" s="253"/>
      <c r="J12" s="265"/>
      <c r="K12" s="247"/>
      <c r="M12" s="247"/>
      <c r="N12" s="247"/>
      <c r="O12" s="247"/>
      <c r="P12" s="247"/>
      <c r="Q12" s="247"/>
      <c r="R12" s="247"/>
      <c r="S12" s="247"/>
      <c r="T12" s="247"/>
      <c r="U12" s="247"/>
      <c r="V12" s="247"/>
      <c r="W12" s="247"/>
      <c r="X12" s="247"/>
      <c r="Y12" s="247"/>
      <c r="Z12" s="247"/>
    </row>
    <row r="13" spans="1:26" x14ac:dyDescent="0.25">
      <c r="A13" s="247"/>
      <c r="B13" s="251"/>
      <c r="C13" s="266"/>
      <c r="D13" s="262"/>
      <c r="E13" s="262"/>
      <c r="F13" s="262"/>
      <c r="G13" s="262"/>
      <c r="H13" s="262"/>
      <c r="I13" s="262"/>
      <c r="J13" s="265"/>
      <c r="K13" s="247"/>
      <c r="M13" s="247"/>
      <c r="N13" s="247"/>
      <c r="O13" s="247"/>
      <c r="P13" s="247"/>
      <c r="Q13" s="247"/>
      <c r="R13" s="247"/>
      <c r="S13" s="247"/>
      <c r="T13" s="247"/>
      <c r="U13" s="247"/>
      <c r="V13" s="247"/>
      <c r="W13" s="247"/>
      <c r="X13" s="247"/>
      <c r="Y13" s="247"/>
      <c r="Z13" s="247"/>
    </row>
    <row r="14" spans="1:26" x14ac:dyDescent="0.25">
      <c r="A14" s="247"/>
      <c r="B14" s="251"/>
      <c r="C14" s="267"/>
      <c r="D14" s="253"/>
      <c r="E14" s="253"/>
      <c r="F14" s="268"/>
      <c r="G14" s="253"/>
      <c r="H14" s="268"/>
      <c r="I14" s="253"/>
      <c r="J14" s="265"/>
      <c r="K14" s="247"/>
      <c r="M14" s="247"/>
      <c r="N14" s="247"/>
      <c r="O14" s="247"/>
      <c r="P14" s="247"/>
      <c r="Q14" s="247"/>
      <c r="R14" s="247"/>
      <c r="S14" s="247"/>
      <c r="T14" s="247"/>
      <c r="U14" s="247"/>
      <c r="V14" s="247"/>
      <c r="W14" s="247"/>
      <c r="X14" s="247"/>
      <c r="Y14" s="247"/>
      <c r="Z14" s="247"/>
    </row>
    <row r="15" spans="1:26" x14ac:dyDescent="0.25">
      <c r="A15" s="247"/>
      <c r="B15" s="251"/>
      <c r="C15" s="267"/>
      <c r="D15" s="253"/>
      <c r="E15" s="253"/>
      <c r="F15" s="268"/>
      <c r="G15" s="253"/>
      <c r="H15" s="268"/>
      <c r="I15" s="253"/>
      <c r="J15" s="253"/>
      <c r="K15" s="247"/>
      <c r="M15" s="247"/>
      <c r="N15" s="247"/>
      <c r="O15" s="247"/>
      <c r="P15" s="247"/>
      <c r="Q15" s="247"/>
      <c r="R15" s="247"/>
      <c r="S15" s="247"/>
      <c r="T15" s="247"/>
      <c r="U15" s="247"/>
      <c r="V15" s="247"/>
      <c r="W15" s="247"/>
      <c r="X15" s="247"/>
      <c r="Y15" s="247"/>
      <c r="Z15" s="247"/>
    </row>
    <row r="16" spans="1:26" x14ac:dyDescent="0.25">
      <c r="A16" s="247"/>
      <c r="B16" s="251"/>
      <c r="C16" s="267"/>
      <c r="D16" s="253"/>
      <c r="E16" s="253"/>
      <c r="F16" s="268"/>
      <c r="G16" s="253"/>
      <c r="H16" s="268"/>
      <c r="I16" s="253"/>
      <c r="J16" s="253"/>
      <c r="K16" s="247"/>
      <c r="M16" s="247"/>
      <c r="N16" s="247"/>
      <c r="O16" s="247"/>
      <c r="P16" s="247"/>
      <c r="Q16" s="247"/>
      <c r="R16" s="247"/>
      <c r="S16" s="247"/>
      <c r="T16" s="247"/>
      <c r="U16" s="247"/>
      <c r="V16" s="247"/>
      <c r="W16" s="247"/>
      <c r="X16" s="247"/>
      <c r="Y16" s="247"/>
      <c r="Z16" s="247"/>
    </row>
    <row r="17" spans="1:26" x14ac:dyDescent="0.25">
      <c r="A17" s="247"/>
      <c r="B17" s="251"/>
      <c r="C17" s="269"/>
      <c r="D17" s="253"/>
      <c r="E17" s="253"/>
      <c r="F17" s="253"/>
      <c r="G17" s="253"/>
      <c r="H17" s="253"/>
      <c r="I17" s="253"/>
      <c r="J17" s="253"/>
      <c r="K17" s="247"/>
      <c r="M17" s="247"/>
      <c r="N17" s="247"/>
      <c r="O17" s="247"/>
      <c r="P17" s="247"/>
      <c r="Q17" s="247"/>
      <c r="R17" s="247"/>
      <c r="S17" s="247"/>
      <c r="T17" s="247"/>
      <c r="U17" s="247"/>
      <c r="V17" s="247"/>
      <c r="W17" s="247"/>
      <c r="X17" s="247"/>
      <c r="Y17" s="247"/>
      <c r="Z17" s="247"/>
    </row>
    <row r="18" spans="1:26" ht="5.25" customHeight="1" x14ac:dyDescent="0.25">
      <c r="A18" s="247"/>
      <c r="B18" s="253"/>
      <c r="C18" s="262"/>
      <c r="D18" s="262"/>
      <c r="E18" s="262"/>
      <c r="F18" s="262"/>
      <c r="G18" s="262"/>
      <c r="H18" s="262"/>
      <c r="I18" s="262"/>
      <c r="J18" s="253"/>
      <c r="K18" s="247"/>
      <c r="M18" s="247"/>
      <c r="N18" s="247"/>
      <c r="O18" s="247"/>
      <c r="P18" s="247"/>
      <c r="Q18" s="247"/>
      <c r="R18" s="247"/>
      <c r="S18" s="247"/>
      <c r="T18" s="247"/>
      <c r="U18" s="247"/>
      <c r="V18" s="247"/>
      <c r="W18" s="247"/>
      <c r="X18" s="247"/>
      <c r="Y18" s="247"/>
      <c r="Z18" s="247"/>
    </row>
    <row r="19" spans="1:26" ht="5.25" customHeight="1" x14ac:dyDescent="0.3">
      <c r="A19" s="247"/>
      <c r="B19" s="251"/>
      <c r="C19" s="253"/>
      <c r="D19" s="253"/>
      <c r="E19" s="270" t="s">
        <v>836</v>
      </c>
      <c r="F19" s="271" t="s">
        <v>836</v>
      </c>
      <c r="G19" s="253"/>
      <c r="H19" s="253"/>
      <c r="I19" s="253"/>
      <c r="J19" s="253"/>
      <c r="K19" s="247"/>
      <c r="M19" s="247"/>
      <c r="N19" s="247"/>
      <c r="O19" s="247"/>
      <c r="P19" s="247"/>
      <c r="Q19" s="247"/>
      <c r="R19" s="247"/>
      <c r="S19" s="247"/>
      <c r="T19" s="247"/>
      <c r="U19" s="247"/>
      <c r="V19" s="247"/>
      <c r="W19" s="247"/>
      <c r="X19" s="247"/>
      <c r="Y19" s="247"/>
      <c r="Z19" s="247"/>
    </row>
    <row r="20" spans="1:26" ht="13" x14ac:dyDescent="0.3">
      <c r="A20" s="247"/>
      <c r="B20" s="251"/>
      <c r="C20" s="272" t="s">
        <v>1276</v>
      </c>
      <c r="D20" s="256"/>
      <c r="E20" s="256"/>
      <c r="F20" s="273"/>
      <c r="G20" s="256"/>
      <c r="H20" s="273"/>
      <c r="I20" s="256"/>
      <c r="J20" s="253"/>
      <c r="K20" s="247"/>
      <c r="M20" s="247"/>
      <c r="N20" s="247"/>
      <c r="O20" s="247"/>
      <c r="P20" s="247"/>
      <c r="Q20" s="247"/>
      <c r="R20" s="247"/>
      <c r="S20" s="247"/>
      <c r="T20" s="247"/>
      <c r="U20" s="247"/>
      <c r="V20" s="247"/>
      <c r="W20" s="247"/>
      <c r="X20" s="247"/>
      <c r="Y20" s="247"/>
      <c r="Z20" s="247"/>
    </row>
    <row r="21" spans="1:26" ht="13" x14ac:dyDescent="0.3">
      <c r="A21" s="247"/>
      <c r="B21" s="251"/>
      <c r="C21" s="274" t="str">
        <f>basic!D22</f>
        <v>England</v>
      </c>
      <c r="D21" s="256"/>
      <c r="E21" s="275"/>
      <c r="F21" s="276"/>
      <c r="G21" s="256"/>
      <c r="H21" s="276"/>
      <c r="I21" s="256"/>
      <c r="J21" s="253"/>
      <c r="K21" s="247"/>
      <c r="M21" s="247"/>
      <c r="N21" s="247"/>
      <c r="O21" s="247"/>
      <c r="P21" s="247"/>
      <c r="Q21" s="247"/>
      <c r="R21" s="247"/>
      <c r="S21" s="247"/>
      <c r="T21" s="247"/>
      <c r="U21" s="247"/>
      <c r="V21" s="247"/>
      <c r="W21" s="247"/>
      <c r="X21" s="247"/>
      <c r="Y21" s="247"/>
      <c r="Z21" s="247"/>
    </row>
    <row r="22" spans="1:26" ht="13" x14ac:dyDescent="0.3">
      <c r="A22" s="247"/>
      <c r="B22" s="251"/>
      <c r="C22" s="257" t="str">
        <f>"Final "&amp;text!F28&amp;" RV"</f>
        <v>Final 2017 RV</v>
      </c>
      <c r="D22" s="256"/>
      <c r="E22" s="277"/>
      <c r="F22" s="278">
        <f>basic!I5</f>
        <v>0</v>
      </c>
      <c r="G22" s="277" t="s">
        <v>836</v>
      </c>
      <c r="H22" s="278">
        <f>F22</f>
        <v>0</v>
      </c>
      <c r="I22" s="256"/>
      <c r="J22" s="253"/>
      <c r="K22" s="247"/>
      <c r="M22" s="247"/>
      <c r="N22" s="247"/>
      <c r="O22" s="247"/>
      <c r="P22" s="247"/>
      <c r="Q22" s="247"/>
      <c r="R22" s="247"/>
      <c r="S22" s="247"/>
      <c r="T22" s="247"/>
      <c r="U22" s="247"/>
      <c r="V22" s="247"/>
      <c r="W22" s="247"/>
      <c r="X22" s="247"/>
      <c r="Y22" s="247"/>
      <c r="Z22" s="247"/>
    </row>
    <row r="23" spans="1:26" ht="13" x14ac:dyDescent="0.3">
      <c r="A23" s="247"/>
      <c r="B23" s="279" t="s">
        <v>836</v>
      </c>
      <c r="C23" s="257" t="str">
        <f>IF(basic!I9&lt;&gt;"",basic!I9&amp;" TC","")</f>
        <v/>
      </c>
      <c r="D23" s="256"/>
      <c r="E23" s="256"/>
      <c r="F23" s="280"/>
      <c r="G23" s="281" t="s">
        <v>836</v>
      </c>
      <c r="H23" s="1234" t="str">
        <f>IF(basic!I9&lt;&gt;"",basic!AA7,"")</f>
        <v/>
      </c>
      <c r="I23" s="256" t="str">
        <f>IF(C23="","","&lt; "&amp;C23)</f>
        <v/>
      </c>
      <c r="J23" s="270"/>
      <c r="K23" s="247"/>
      <c r="M23" s="247"/>
      <c r="N23" s="247"/>
      <c r="O23" s="247"/>
      <c r="P23" s="247"/>
      <c r="Q23" s="247"/>
      <c r="R23" s="247"/>
      <c r="S23" s="247"/>
      <c r="T23" s="247"/>
      <c r="U23" s="247"/>
      <c r="V23" s="247"/>
      <c r="W23" s="247"/>
      <c r="X23" s="247"/>
      <c r="Y23" s="247"/>
      <c r="Z23" s="247"/>
    </row>
    <row r="24" spans="1:26" ht="13" x14ac:dyDescent="0.3">
      <c r="A24" s="247"/>
      <c r="B24" s="279" t="s">
        <v>836</v>
      </c>
      <c r="C24" s="257" t="s">
        <v>1340</v>
      </c>
      <c r="D24" s="256"/>
      <c r="E24" s="256"/>
      <c r="F24" s="282">
        <f>calc1!D19</f>
        <v>0</v>
      </c>
      <c r="G24" s="281" t="s">
        <v>836</v>
      </c>
      <c r="H24" s="282">
        <f>IF(basic!AA8&gt;0,basic!AA8,F24)</f>
        <v>0</v>
      </c>
      <c r="I24" s="256"/>
      <c r="J24" s="253"/>
      <c r="K24" s="247"/>
      <c r="M24" s="247"/>
      <c r="N24" s="247"/>
      <c r="O24" s="247"/>
      <c r="P24" s="247"/>
      <c r="Q24" s="247"/>
      <c r="R24" s="247"/>
      <c r="S24" s="247"/>
      <c r="T24" s="247"/>
      <c r="U24" s="247"/>
      <c r="V24" s="247"/>
      <c r="W24" s="247"/>
      <c r="X24" s="247"/>
      <c r="Y24" s="247"/>
      <c r="Z24" s="247"/>
    </row>
    <row r="25" spans="1:26" ht="6" customHeight="1" x14ac:dyDescent="0.3">
      <c r="A25" s="247"/>
      <c r="B25" s="279" t="s">
        <v>836</v>
      </c>
      <c r="C25" s="281" t="s">
        <v>836</v>
      </c>
      <c r="D25" s="256"/>
      <c r="E25" s="256"/>
      <c r="F25" s="273"/>
      <c r="G25" s="277"/>
      <c r="H25" s="256"/>
      <c r="I25" s="256"/>
      <c r="J25" s="253"/>
      <c r="K25" s="247"/>
      <c r="M25" s="247"/>
      <c r="N25" s="247"/>
      <c r="O25" s="247"/>
      <c r="P25" s="247"/>
      <c r="Q25" s="247"/>
      <c r="R25" s="247"/>
      <c r="S25" s="247"/>
      <c r="T25" s="247"/>
      <c r="U25" s="247"/>
      <c r="V25" s="247"/>
      <c r="W25" s="247"/>
      <c r="X25" s="247"/>
      <c r="Y25" s="247"/>
      <c r="Z25" s="247"/>
    </row>
    <row r="26" spans="1:26" ht="5.25" customHeight="1" x14ac:dyDescent="0.25">
      <c r="A26" s="247"/>
      <c r="B26" s="253"/>
      <c r="C26" s="283"/>
      <c r="D26" s="283"/>
      <c r="E26" s="283"/>
      <c r="F26" s="283"/>
      <c r="G26" s="283"/>
      <c r="H26" s="283"/>
      <c r="I26" s="283"/>
      <c r="J26" s="253"/>
      <c r="K26" s="247"/>
      <c r="M26" s="247"/>
      <c r="N26" s="247"/>
      <c r="O26" s="247"/>
      <c r="P26" s="247"/>
      <c r="Q26" s="247"/>
      <c r="R26" s="247"/>
      <c r="S26" s="247"/>
      <c r="T26" s="247"/>
      <c r="U26" s="247"/>
      <c r="V26" s="247"/>
      <c r="W26" s="247"/>
      <c r="X26" s="247"/>
      <c r="Y26" s="247"/>
      <c r="Z26" s="247"/>
    </row>
    <row r="27" spans="1:26" ht="5.25" customHeight="1" x14ac:dyDescent="0.3">
      <c r="A27" s="247"/>
      <c r="B27" s="251"/>
      <c r="C27" s="272"/>
      <c r="D27" s="256"/>
      <c r="E27" s="256"/>
      <c r="F27" s="256"/>
      <c r="G27" s="256"/>
      <c r="H27" s="256"/>
      <c r="I27" s="256"/>
      <c r="J27" s="253"/>
      <c r="K27" s="247"/>
      <c r="M27" s="247"/>
      <c r="N27" s="247"/>
      <c r="O27" s="247"/>
      <c r="P27" s="247"/>
      <c r="Q27" s="247"/>
      <c r="R27" s="247"/>
      <c r="S27" s="247"/>
      <c r="T27" s="247"/>
      <c r="U27" s="247"/>
      <c r="V27" s="247"/>
      <c r="W27" s="247"/>
      <c r="X27" s="247"/>
      <c r="Y27" s="247"/>
      <c r="Z27" s="247"/>
    </row>
    <row r="28" spans="1:26" hidden="1" x14ac:dyDescent="0.25">
      <c r="A28" s="247"/>
      <c r="B28" s="251"/>
      <c r="C28" s="256"/>
      <c r="D28" s="256"/>
      <c r="E28" s="256"/>
      <c r="F28" s="256"/>
      <c r="H28" s="256"/>
      <c r="I28" s="256"/>
      <c r="J28" s="253"/>
      <c r="K28" s="247"/>
      <c r="M28" s="247"/>
      <c r="N28" s="247"/>
      <c r="O28" s="247"/>
      <c r="P28" s="247"/>
      <c r="Q28" s="247"/>
      <c r="R28" s="247"/>
      <c r="S28" s="247"/>
      <c r="T28" s="247"/>
      <c r="U28" s="247"/>
      <c r="V28" s="247"/>
      <c r="W28" s="247"/>
      <c r="X28" s="247"/>
      <c r="Y28" s="247"/>
      <c r="Z28" s="247"/>
    </row>
    <row r="29" spans="1:26" ht="13" hidden="1" x14ac:dyDescent="0.3">
      <c r="A29" s="247"/>
      <c r="B29" s="251"/>
      <c r="D29" s="284"/>
      <c r="E29" s="284"/>
      <c r="G29" s="285"/>
      <c r="I29" s="273"/>
      <c r="J29" s="286"/>
      <c r="K29" s="247"/>
      <c r="M29" s="247"/>
      <c r="N29" s="247"/>
      <c r="O29" s="247"/>
      <c r="P29" s="247"/>
      <c r="Q29" s="247"/>
      <c r="R29" s="247"/>
      <c r="S29" s="247"/>
      <c r="T29" s="247"/>
      <c r="U29" s="247"/>
      <c r="V29" s="247"/>
      <c r="W29" s="247"/>
      <c r="X29" s="247"/>
      <c r="Y29" s="247"/>
      <c r="Z29" s="247"/>
    </row>
    <row r="30" spans="1:26" ht="13" hidden="1" x14ac:dyDescent="0.3">
      <c r="A30" s="247"/>
      <c r="B30" s="287" t="s">
        <v>836</v>
      </c>
      <c r="C30" s="256"/>
      <c r="D30" s="256"/>
      <c r="E30" s="256"/>
      <c r="F30" s="273"/>
      <c r="G30" s="256"/>
      <c r="H30" s="288" t="s">
        <v>836</v>
      </c>
      <c r="I30" s="273"/>
      <c r="J30" s="286"/>
      <c r="K30" s="247"/>
      <c r="M30" s="247"/>
      <c r="N30" s="247"/>
      <c r="O30" s="247"/>
      <c r="P30" s="247"/>
      <c r="Q30" s="247"/>
      <c r="R30" s="247"/>
      <c r="S30" s="247"/>
      <c r="T30" s="247"/>
      <c r="U30" s="247"/>
      <c r="V30" s="247"/>
      <c r="W30" s="247"/>
      <c r="X30" s="247"/>
      <c r="Y30" s="247"/>
      <c r="Z30" s="247"/>
    </row>
    <row r="31" spans="1:26" hidden="1" x14ac:dyDescent="0.25">
      <c r="A31" s="247"/>
      <c r="B31" s="251"/>
      <c r="C31" s="256"/>
      <c r="D31" s="256"/>
      <c r="E31" s="256"/>
      <c r="G31" s="289"/>
      <c r="J31" s="290"/>
      <c r="K31" s="247"/>
      <c r="M31" s="247"/>
      <c r="N31" s="247"/>
      <c r="O31" s="247"/>
      <c r="P31" s="247"/>
      <c r="Q31" s="247"/>
      <c r="R31" s="247"/>
      <c r="S31" s="247"/>
      <c r="T31" s="247"/>
      <c r="U31" s="247"/>
      <c r="V31" s="247"/>
      <c r="W31" s="247"/>
      <c r="X31" s="247"/>
      <c r="Y31" s="247"/>
      <c r="Z31" s="247"/>
    </row>
    <row r="32" spans="1:26" ht="13" x14ac:dyDescent="0.3">
      <c r="A32" s="247"/>
      <c r="B32" s="251"/>
      <c r="C32" s="291" t="s">
        <v>1337</v>
      </c>
      <c r="D32" s="281"/>
      <c r="E32" s="256"/>
      <c r="F32" s="256"/>
      <c r="H32" s="292"/>
      <c r="J32" s="293"/>
      <c r="K32" s="247"/>
      <c r="L32" s="595" t="str">
        <f>IF(calc1!$D$58=TRUE,"SBRR","")</f>
        <v/>
      </c>
      <c r="M32" s="247"/>
      <c r="N32" s="247"/>
      <c r="O32" s="247"/>
      <c r="P32" s="247"/>
      <c r="Q32" s="247"/>
      <c r="R32" s="247"/>
      <c r="S32" s="247"/>
      <c r="T32" s="247"/>
      <c r="U32" s="247"/>
      <c r="V32" s="247"/>
      <c r="W32" s="247"/>
      <c r="X32" s="247"/>
      <c r="Y32" s="247"/>
      <c r="Z32" s="247"/>
    </row>
    <row r="33" spans="1:26" ht="13" x14ac:dyDescent="0.3">
      <c r="A33" s="247"/>
      <c r="B33" s="251"/>
      <c r="C33" s="256"/>
      <c r="D33" s="281" t="s">
        <v>836</v>
      </c>
      <c r="E33" s="256"/>
      <c r="F33" s="256"/>
      <c r="G33" s="289"/>
      <c r="H33" s="292"/>
      <c r="I33" s="256"/>
      <c r="J33" s="253"/>
      <c r="K33" s="247"/>
      <c r="L33" s="595" t="str">
        <f>IF(calc2!$D$58=TRUE,"SBRR","")</f>
        <v/>
      </c>
      <c r="M33" s="247"/>
      <c r="N33" s="247"/>
      <c r="O33" s="247"/>
      <c r="P33" s="247"/>
      <c r="Q33" s="247"/>
      <c r="R33" s="247"/>
      <c r="S33" s="247"/>
      <c r="T33" s="247"/>
      <c r="U33" s="247"/>
      <c r="V33" s="247"/>
      <c r="W33" s="247"/>
      <c r="X33" s="247"/>
      <c r="Y33" s="247"/>
      <c r="Z33" s="247"/>
    </row>
    <row r="34" spans="1:26" ht="13" x14ac:dyDescent="0.3">
      <c r="A34" s="247"/>
      <c r="B34" s="294" t="s">
        <v>836</v>
      </c>
      <c r="C34" s="295" t="str">
        <f>"Original RV as at "&amp;TEXT(text!D1,"dd/mm/yy")</f>
        <v>Original RV as at 01/04/23</v>
      </c>
      <c r="D34" s="296"/>
      <c r="E34" s="296"/>
      <c r="F34" s="297">
        <f>basic!I6</f>
        <v>0</v>
      </c>
      <c r="G34" s="298" t="str">
        <f>"Revised RV  "&amp;TEXT(text!D1,"dd/mm/yy")</f>
        <v>Revised RV  01/04/23</v>
      </c>
      <c r="H34" s="299">
        <f>basic!I7</f>
        <v>0</v>
      </c>
      <c r="I34" s="300" t="s">
        <v>836</v>
      </c>
      <c r="J34" s="301"/>
      <c r="K34" s="247"/>
      <c r="L34" s="595" t="str">
        <f ca="1">IF(calc1!B130=TRUE,"RHL","")</f>
        <v/>
      </c>
      <c r="M34" s="247"/>
      <c r="N34" s="247"/>
      <c r="O34" s="247"/>
      <c r="P34" s="247"/>
      <c r="Q34" s="247"/>
      <c r="R34" s="247"/>
      <c r="S34" s="247"/>
      <c r="T34" s="247"/>
      <c r="U34" s="247"/>
      <c r="V34" s="247"/>
      <c r="W34" s="247"/>
      <c r="X34" s="247"/>
      <c r="Y34" s="247"/>
      <c r="Z34" s="247"/>
    </row>
    <row r="35" spans="1:26" ht="13" x14ac:dyDescent="0.3">
      <c r="A35" s="247"/>
      <c r="B35" s="294"/>
      <c r="C35" s="272" t="s">
        <v>908</v>
      </c>
      <c r="D35" s="296"/>
      <c r="E35" s="296"/>
      <c r="F35" s="594" t="str">
        <f ca="1">L32&amp;" "&amp;L34&amp;" "&amp;L36&amp;" "&amp;L39</f>
        <v xml:space="preserve">   </v>
      </c>
      <c r="G35" s="1078" t="str">
        <f>C35</f>
        <v>Reliefs</v>
      </c>
      <c r="H35" s="594" t="str">
        <f ca="1">L33&amp;" "&amp;L35&amp;" "&amp;L37&amp;" "&amp;L40</f>
        <v xml:space="preserve">   </v>
      </c>
      <c r="I35" s="300"/>
      <c r="J35" s="301"/>
      <c r="K35" s="247"/>
      <c r="L35" s="595" t="str">
        <f ca="1">IF(calc2!$B$130=TRUE,"RHL","")</f>
        <v/>
      </c>
      <c r="M35" s="247"/>
      <c r="N35" s="247"/>
      <c r="O35" s="247"/>
      <c r="P35" s="247"/>
      <c r="Q35" s="247"/>
      <c r="R35" s="247"/>
      <c r="S35" s="247"/>
      <c r="T35" s="247"/>
      <c r="U35" s="247"/>
      <c r="V35" s="247"/>
      <c r="W35" s="247"/>
      <c r="X35" s="247"/>
      <c r="Y35" s="247"/>
      <c r="Z35" s="247"/>
    </row>
    <row r="36" spans="1:26" ht="13" x14ac:dyDescent="0.3">
      <c r="A36" s="247"/>
      <c r="B36" s="251"/>
      <c r="C36" s="257" t="s">
        <v>1338</v>
      </c>
      <c r="D36" s="296"/>
      <c r="E36" s="296"/>
      <c r="F36" s="302">
        <f>basic!I8</f>
        <v>45017</v>
      </c>
      <c r="G36" s="303" t="s">
        <v>1338</v>
      </c>
      <c r="H36" s="304">
        <f>F36</f>
        <v>45017</v>
      </c>
      <c r="I36" s="277" t="s">
        <v>836</v>
      </c>
      <c r="J36" s="270"/>
      <c r="K36" s="247"/>
      <c r="L36" s="595" t="str">
        <f>IF(basic!AH12&gt;0,IF(basic!AG2="","Other",basic!AG2),"")</f>
        <v/>
      </c>
      <c r="M36" s="247"/>
      <c r="N36" s="247"/>
      <c r="O36" s="247"/>
      <c r="P36" s="247"/>
      <c r="Q36" s="247"/>
      <c r="R36" s="247"/>
      <c r="S36" s="247"/>
      <c r="T36" s="247"/>
      <c r="U36" s="247"/>
      <c r="V36" s="247"/>
      <c r="W36" s="247"/>
      <c r="X36" s="247"/>
      <c r="Y36" s="247"/>
      <c r="Z36" s="247"/>
    </row>
    <row r="37" spans="1:26" ht="13" x14ac:dyDescent="0.3">
      <c r="A37" s="247"/>
      <c r="B37" s="251"/>
      <c r="C37" s="257"/>
      <c r="D37" s="296"/>
      <c r="E37" s="296"/>
      <c r="F37" s="305"/>
      <c r="G37" s="306"/>
      <c r="H37" s="307" t="s">
        <v>836</v>
      </c>
      <c r="I37" s="277"/>
      <c r="J37" s="270"/>
      <c r="K37" s="247"/>
      <c r="L37" s="595" t="str">
        <f>IF(basic!AI12&gt;0,IF(basic!AG2="","Other",basic!AG2),"")</f>
        <v/>
      </c>
      <c r="M37" s="247"/>
      <c r="N37" s="247"/>
      <c r="O37" s="247"/>
      <c r="P37" s="247"/>
      <c r="Q37" s="247"/>
      <c r="R37" s="247"/>
      <c r="S37" s="247"/>
      <c r="T37" s="247"/>
      <c r="U37" s="247"/>
      <c r="V37" s="247"/>
      <c r="W37" s="247"/>
      <c r="X37" s="247"/>
      <c r="Y37" s="247"/>
      <c r="Z37" s="247"/>
    </row>
    <row r="38" spans="1:26" ht="6" customHeight="1" x14ac:dyDescent="0.3">
      <c r="A38" s="247"/>
      <c r="B38" s="251"/>
      <c r="C38" s="308"/>
      <c r="D38" s="309"/>
      <c r="E38" s="309"/>
      <c r="F38" s="310"/>
      <c r="G38" s="311"/>
      <c r="H38" s="312"/>
      <c r="I38" s="313"/>
      <c r="J38" s="270"/>
      <c r="K38" s="247"/>
      <c r="M38" s="247"/>
      <c r="N38" s="247"/>
      <c r="O38" s="247"/>
      <c r="P38" s="247"/>
      <c r="Q38" s="247"/>
      <c r="R38" s="247"/>
      <c r="S38" s="247"/>
      <c r="T38" s="247"/>
      <c r="U38" s="247"/>
      <c r="V38" s="247"/>
      <c r="W38" s="247"/>
      <c r="X38" s="247"/>
      <c r="Y38" s="247"/>
      <c r="Z38" s="247"/>
    </row>
    <row r="39" spans="1:26" ht="18" customHeight="1" x14ac:dyDescent="0.3">
      <c r="A39" s="247"/>
      <c r="B39" s="251"/>
      <c r="C39" s="272" t="s">
        <v>1339</v>
      </c>
      <c r="D39" s="296"/>
      <c r="E39" s="296"/>
      <c r="F39" s="305"/>
      <c r="H39" s="307"/>
      <c r="I39" s="277"/>
      <c r="J39" s="270"/>
      <c r="K39" s="247"/>
      <c r="L39" s="1898" t="str">
        <f ca="1">IF(calc1!B154&gt;0,"SSBR","")</f>
        <v/>
      </c>
      <c r="M39" s="247"/>
      <c r="N39" s="247"/>
      <c r="O39" s="247"/>
      <c r="P39" s="247"/>
      <c r="Q39" s="247"/>
      <c r="R39" s="247"/>
      <c r="S39" s="247"/>
      <c r="T39" s="247"/>
      <c r="U39" s="247"/>
      <c r="V39" s="247"/>
      <c r="W39" s="247"/>
      <c r="X39" s="247"/>
      <c r="Y39" s="247"/>
      <c r="Z39" s="247"/>
    </row>
    <row r="40" spans="1:26" ht="14.25" customHeight="1" x14ac:dyDescent="0.3">
      <c r="A40" s="247"/>
      <c r="B40" s="251"/>
      <c r="C40" s="257"/>
      <c r="D40" s="296"/>
      <c r="E40" s="296"/>
      <c r="F40" s="305"/>
      <c r="G40" s="314"/>
      <c r="H40" s="307"/>
      <c r="I40" s="277"/>
      <c r="J40" s="270"/>
      <c r="K40" s="247"/>
      <c r="L40" s="1898" t="str">
        <f ca="1">IF(calc2!B154&gt;0,"SSBR","")</f>
        <v/>
      </c>
      <c r="M40" s="247"/>
      <c r="N40" s="247"/>
      <c r="O40" s="247"/>
      <c r="P40" s="247"/>
      <c r="Q40" s="247"/>
      <c r="R40" s="247"/>
      <c r="S40" s="247"/>
      <c r="T40" s="247"/>
      <c r="U40" s="247"/>
      <c r="V40" s="247"/>
      <c r="W40" s="247"/>
      <c r="X40" s="247"/>
      <c r="Y40" s="247"/>
      <c r="Z40" s="247"/>
    </row>
    <row r="41" spans="1:26" ht="14.25" customHeight="1" x14ac:dyDescent="0.3">
      <c r="A41" s="247"/>
      <c r="B41" s="251"/>
      <c r="C41" s="257"/>
      <c r="D41" s="296"/>
      <c r="E41" s="296"/>
      <c r="F41" s="305"/>
      <c r="G41" s="314"/>
      <c r="H41" s="307"/>
      <c r="I41" s="277"/>
      <c r="J41" s="270"/>
      <c r="K41" s="247"/>
      <c r="M41" s="247"/>
      <c r="N41" s="247"/>
      <c r="O41" s="247"/>
      <c r="P41" s="247"/>
      <c r="Q41" s="247"/>
      <c r="R41" s="247"/>
      <c r="S41" s="247"/>
      <c r="T41" s="247"/>
      <c r="U41" s="247"/>
      <c r="V41" s="247"/>
      <c r="W41" s="247"/>
      <c r="X41" s="247"/>
      <c r="Y41" s="247"/>
      <c r="Z41" s="247"/>
    </row>
    <row r="42" spans="1:26" ht="18" customHeight="1" x14ac:dyDescent="0.3">
      <c r="A42" s="247"/>
      <c r="B42" s="251"/>
      <c r="C42" s="315" t="s">
        <v>1340</v>
      </c>
      <c r="D42" s="296"/>
      <c r="E42" s="316">
        <f>F24</f>
        <v>0</v>
      </c>
      <c r="F42" s="317"/>
      <c r="G42" s="318">
        <f>H24</f>
        <v>0</v>
      </c>
      <c r="H42" s="317"/>
      <c r="I42" s="277"/>
      <c r="J42" s="270"/>
      <c r="K42" s="247"/>
      <c r="M42" s="247"/>
      <c r="N42" s="247"/>
      <c r="O42" s="247"/>
      <c r="P42" s="247"/>
      <c r="Q42" s="247"/>
      <c r="R42" s="247"/>
      <c r="S42" s="247"/>
      <c r="T42" s="247"/>
      <c r="U42" s="247"/>
      <c r="V42" s="247"/>
      <c r="W42" s="247"/>
      <c r="X42" s="247"/>
      <c r="Y42" s="247"/>
      <c r="Z42" s="247"/>
    </row>
    <row r="43" spans="1:26" ht="13" x14ac:dyDescent="0.3">
      <c r="A43" s="247"/>
      <c r="B43" s="251"/>
      <c r="D43" s="296"/>
      <c r="E43" s="319" t="s">
        <v>1341</v>
      </c>
      <c r="F43" s="317"/>
      <c r="G43" s="320" t="s">
        <v>1342</v>
      </c>
      <c r="H43" s="317"/>
      <c r="I43" s="321" t="s">
        <v>839</v>
      </c>
      <c r="J43" s="270"/>
      <c r="K43" s="247"/>
      <c r="L43" s="249" t="s">
        <v>1343</v>
      </c>
      <c r="M43" s="247"/>
      <c r="N43" s="247"/>
      <c r="O43" s="247"/>
      <c r="P43" s="247"/>
      <c r="Q43" s="247"/>
      <c r="R43" s="247"/>
      <c r="S43" s="247"/>
      <c r="T43" s="247"/>
      <c r="U43" s="247"/>
      <c r="V43" s="247"/>
      <c r="W43" s="247"/>
      <c r="X43" s="247"/>
      <c r="Y43" s="247"/>
      <c r="Z43" s="247"/>
    </row>
    <row r="44" spans="1:26" ht="13" x14ac:dyDescent="0.3">
      <c r="A44" s="247"/>
      <c r="B44" s="251"/>
      <c r="C44" s="593" t="str">
        <f>IF(basic!W22=TRUE,"Charity","")</f>
        <v/>
      </c>
      <c r="D44" s="296"/>
      <c r="E44" s="322"/>
      <c r="F44" s="296"/>
      <c r="G44" s="323"/>
      <c r="H44" s="324"/>
      <c r="I44" s="277"/>
      <c r="J44" s="270"/>
      <c r="K44" s="247"/>
      <c r="M44" s="247"/>
      <c r="N44" s="247"/>
      <c r="O44" s="247"/>
      <c r="P44" s="247"/>
      <c r="Q44" s="247"/>
      <c r="R44" s="247"/>
      <c r="S44" s="247"/>
      <c r="T44" s="247"/>
      <c r="U44" s="247"/>
      <c r="V44" s="247"/>
      <c r="W44" s="247"/>
      <c r="X44" s="247"/>
      <c r="Y44" s="247"/>
      <c r="Z44" s="247"/>
    </row>
    <row r="45" spans="1:26" ht="13" x14ac:dyDescent="0.3">
      <c r="A45" s="247"/>
      <c r="B45" s="251"/>
      <c r="C45" s="593" t="str">
        <f>IF(basic!W21=TRUE,"Empty","Occupied")</f>
        <v>Occupied</v>
      </c>
      <c r="D45" s="325"/>
      <c r="E45" s="324" t="str">
        <f>IF(calc1!D38=FALSE,"No Phasing",IF(calc1!D22="w","Downward Phasing","Upward Phasing"))</f>
        <v>No Phasing</v>
      </c>
      <c r="F45" s="317"/>
      <c r="G45" s="324" t="str">
        <f>IF(calc2!D30=FALSE,"No Phasing",IF(calc2!D22="w","Downward Phasing","Upward Phasing"))</f>
        <v>No Phasing</v>
      </c>
      <c r="H45" s="324"/>
      <c r="J45" s="326"/>
      <c r="K45" s="247"/>
      <c r="M45" s="247"/>
      <c r="N45" s="247"/>
      <c r="O45" s="247"/>
      <c r="P45" s="247"/>
      <c r="Q45" s="247"/>
      <c r="R45" s="247"/>
      <c r="S45" s="247"/>
      <c r="T45" s="247"/>
      <c r="U45" s="247"/>
      <c r="V45" s="247"/>
      <c r="W45" s="247"/>
      <c r="X45" s="247"/>
      <c r="Y45" s="247"/>
      <c r="Z45" s="247"/>
    </row>
    <row r="46" spans="1:26" ht="18" customHeight="1" x14ac:dyDescent="0.25">
      <c r="A46" s="247"/>
      <c r="B46" s="251"/>
      <c r="C46" s="327" t="str">
        <f>basic!D15</f>
        <v xml:space="preserve">2023/24 </v>
      </c>
      <c r="D46" s="328"/>
      <c r="E46" s="329" t="str">
        <f>IF(calc1!D$38=TRUE,"Phased","True")</f>
        <v>True</v>
      </c>
      <c r="F46" s="330">
        <f ca="1">basic!F15</f>
        <v>0</v>
      </c>
      <c r="G46" s="329" t="str">
        <f>IF(calc2!D$30=TRUE,"Phased","True")</f>
        <v>True</v>
      </c>
      <c r="H46" s="330">
        <f ca="1">basic!H15</f>
        <v>0</v>
      </c>
      <c r="I46" s="331">
        <f ca="1">F46-H46</f>
        <v>0</v>
      </c>
      <c r="J46" s="332"/>
      <c r="K46" s="247"/>
      <c r="L46" s="249" t="b">
        <f ca="1">I46&lt;0</f>
        <v>0</v>
      </c>
      <c r="M46" s="247"/>
      <c r="N46" s="247"/>
      <c r="O46" s="247"/>
      <c r="P46" s="247"/>
      <c r="Q46" s="247"/>
      <c r="R46" s="247"/>
      <c r="S46" s="247"/>
      <c r="T46" s="247"/>
      <c r="U46" s="247"/>
      <c r="V46" s="247"/>
      <c r="W46" s="247"/>
      <c r="X46" s="247"/>
      <c r="Y46" s="247"/>
      <c r="Z46" s="247"/>
    </row>
    <row r="47" spans="1:26" ht="15.75" customHeight="1" x14ac:dyDescent="0.25">
      <c r="A47" s="247"/>
      <c r="B47" s="251"/>
      <c r="C47" s="327" t="str">
        <f>basic!D16</f>
        <v xml:space="preserve">2024/25 </v>
      </c>
      <c r="D47" s="328"/>
      <c r="E47" s="329" t="str">
        <f>IF(calc1!E$38=TRUE,"Phased","True")</f>
        <v>True</v>
      </c>
      <c r="F47" s="330">
        <f ca="1">basic!F16</f>
        <v>0</v>
      </c>
      <c r="G47" s="329" t="str">
        <f>IF(calc2!E$30=TRUE,"Phased","True")</f>
        <v>True</v>
      </c>
      <c r="H47" s="330">
        <f ca="1">basic!H16</f>
        <v>0</v>
      </c>
      <c r="I47" s="331">
        <f ca="1">F47-H47</f>
        <v>0</v>
      </c>
      <c r="J47" s="332"/>
      <c r="K47" s="247"/>
      <c r="L47" s="249" t="b">
        <f ca="1">I47&lt;0</f>
        <v>0</v>
      </c>
      <c r="M47" s="247"/>
      <c r="N47" s="247"/>
      <c r="O47" s="247"/>
      <c r="P47" s="247"/>
      <c r="Q47" s="247"/>
      <c r="R47" s="247"/>
      <c r="S47" s="247"/>
      <c r="T47" s="247"/>
      <c r="U47" s="247"/>
      <c r="V47" s="247"/>
      <c r="W47" s="247"/>
      <c r="X47" s="247"/>
      <c r="Y47" s="247"/>
      <c r="Z47" s="247"/>
    </row>
    <row r="48" spans="1:26" ht="15.75" customHeight="1" x14ac:dyDescent="0.25">
      <c r="A48" s="247"/>
      <c r="B48" s="251"/>
      <c r="C48" s="327" t="str">
        <f>basic!D17</f>
        <v xml:space="preserve">2025/26 </v>
      </c>
      <c r="D48" s="328"/>
      <c r="E48" s="329" t="str">
        <f>IF(calc1!F$38=TRUE,"Phased","True")</f>
        <v>True</v>
      </c>
      <c r="F48" s="330">
        <f ca="1">basic!F17</f>
        <v>0</v>
      </c>
      <c r="G48" s="329" t="str">
        <f>IF(calc2!F$30=TRUE,"Phased","True")</f>
        <v>True</v>
      </c>
      <c r="H48" s="330">
        <f ca="1">basic!H17</f>
        <v>0</v>
      </c>
      <c r="I48" s="331">
        <f ca="1">F48-H48</f>
        <v>0</v>
      </c>
      <c r="J48" s="332"/>
      <c r="K48" s="247"/>
      <c r="L48" s="249" t="b">
        <f ca="1">I48&lt;0</f>
        <v>0</v>
      </c>
      <c r="M48" s="247"/>
      <c r="N48" s="247"/>
      <c r="O48" s="247"/>
      <c r="P48" s="247"/>
      <c r="Q48" s="247"/>
      <c r="R48" s="247"/>
      <c r="S48" s="247"/>
      <c r="T48" s="247"/>
      <c r="U48" s="247"/>
      <c r="V48" s="247"/>
      <c r="W48" s="247"/>
      <c r="X48" s="247"/>
      <c r="Y48" s="247"/>
      <c r="Z48" s="247"/>
    </row>
    <row r="49" spans="1:26" x14ac:dyDescent="0.25">
      <c r="A49" s="247"/>
      <c r="B49" s="253"/>
      <c r="C49" s="334"/>
      <c r="D49" s="335"/>
      <c r="E49" s="335"/>
      <c r="F49" s="335"/>
      <c r="G49" s="335"/>
      <c r="H49" s="335"/>
      <c r="I49" s="335"/>
      <c r="J49" s="286"/>
      <c r="K49" s="247"/>
      <c r="M49" s="247"/>
      <c r="N49" s="247"/>
      <c r="O49" s="247"/>
      <c r="P49" s="247"/>
      <c r="Q49" s="247"/>
      <c r="R49" s="247"/>
      <c r="S49" s="247"/>
      <c r="T49" s="247"/>
      <c r="U49" s="247"/>
      <c r="V49" s="247"/>
      <c r="W49" s="247"/>
      <c r="X49" s="247"/>
      <c r="Y49" s="247"/>
      <c r="Z49" s="247"/>
    </row>
    <row r="50" spans="1:26" ht="21" customHeight="1" thickBot="1" x14ac:dyDescent="0.3">
      <c r="A50" s="247"/>
      <c r="B50" s="253"/>
      <c r="C50" s="336" t="s">
        <v>1344</v>
      </c>
      <c r="D50" s="337"/>
      <c r="E50" s="337"/>
      <c r="F50" s="338">
        <f ca="1">SUM(F46:F49)</f>
        <v>0</v>
      </c>
      <c r="G50" s="337"/>
      <c r="H50" s="338">
        <f ca="1">SUM(H46:H49)</f>
        <v>0</v>
      </c>
      <c r="I50" s="339">
        <f ca="1">SUM(I46:I49)</f>
        <v>0</v>
      </c>
      <c r="J50" s="340"/>
      <c r="K50" s="247"/>
      <c r="L50" s="249">
        <f ca="1">L46+L47+L48</f>
        <v>0</v>
      </c>
      <c r="M50" s="247"/>
      <c r="N50" s="247"/>
      <c r="O50" s="247"/>
      <c r="P50" s="247"/>
      <c r="Q50" s="247"/>
      <c r="R50" s="247"/>
      <c r="S50" s="247"/>
      <c r="T50" s="247"/>
      <c r="U50" s="247"/>
      <c r="V50" s="247"/>
      <c r="W50" s="247"/>
      <c r="X50" s="247"/>
      <c r="Y50" s="247"/>
      <c r="Z50" s="247"/>
    </row>
    <row r="51" spans="1:26" ht="13.5" customHeight="1" thickTop="1" x14ac:dyDescent="0.3">
      <c r="A51" s="247"/>
      <c r="B51" s="253"/>
      <c r="C51" s="341"/>
      <c r="D51" s="273"/>
      <c r="E51" s="257"/>
      <c r="F51" s="273"/>
      <c r="G51" s="342" t="s">
        <v>836</v>
      </c>
      <c r="H51" s="273"/>
      <c r="I51" s="343" t="str">
        <f ca="1">IF(L50&gt;0,"Increase shown in brackets","")</f>
        <v/>
      </c>
      <c r="J51" s="286"/>
      <c r="K51" s="247"/>
      <c r="M51" s="247"/>
      <c r="N51" s="247"/>
      <c r="O51" s="247"/>
      <c r="P51" s="247"/>
      <c r="Q51" s="247"/>
      <c r="R51" s="247"/>
      <c r="S51" s="247"/>
      <c r="T51" s="247"/>
      <c r="U51" s="247"/>
      <c r="V51" s="247"/>
      <c r="W51" s="247"/>
      <c r="X51" s="247"/>
      <c r="Y51" s="247"/>
      <c r="Z51" s="247"/>
    </row>
    <row r="52" spans="1:26" ht="13" x14ac:dyDescent="0.3">
      <c r="A52" s="247"/>
      <c r="B52" s="253"/>
      <c r="C52" s="356" t="str">
        <f>text!B38</f>
        <v xml:space="preserve">'e' indicates that the liability is estimated </v>
      </c>
      <c r="E52" s="284"/>
      <c r="F52" s="256"/>
      <c r="G52" s="344"/>
      <c r="H52" s="256"/>
      <c r="J52" s="253"/>
      <c r="K52" s="247"/>
      <c r="M52" s="247"/>
      <c r="N52" s="247"/>
      <c r="O52" s="247"/>
      <c r="P52" s="247"/>
      <c r="Q52" s="247"/>
      <c r="R52" s="247"/>
      <c r="S52" s="247"/>
      <c r="T52" s="247"/>
      <c r="U52" s="247"/>
      <c r="V52" s="247"/>
      <c r="W52" s="247"/>
      <c r="X52" s="247"/>
      <c r="Y52" s="247"/>
      <c r="Z52" s="247"/>
    </row>
    <row r="53" spans="1:26" ht="13" x14ac:dyDescent="0.3">
      <c r="A53" s="247"/>
      <c r="B53" s="253"/>
      <c r="C53" s="356" t="str">
        <f>text!B39</f>
        <v xml:space="preserve"> </v>
      </c>
      <c r="D53" s="257"/>
      <c r="E53" s="257"/>
      <c r="F53" s="257"/>
      <c r="G53" s="345"/>
      <c r="H53" s="257"/>
      <c r="I53" s="257"/>
      <c r="J53" s="259"/>
      <c r="K53" s="247"/>
      <c r="M53" s="247"/>
      <c r="N53" s="247"/>
      <c r="O53" s="247"/>
      <c r="P53" s="247"/>
      <c r="Q53" s="247"/>
      <c r="R53" s="247"/>
      <c r="S53" s="247"/>
      <c r="T53" s="247"/>
      <c r="U53" s="247"/>
      <c r="V53" s="247"/>
      <c r="W53" s="247"/>
      <c r="X53" s="247"/>
      <c r="Y53" s="247"/>
      <c r="Z53" s="247"/>
    </row>
    <row r="54" spans="1:26" ht="11.25" customHeight="1" x14ac:dyDescent="0.3">
      <c r="A54" s="247"/>
      <c r="B54" s="253"/>
      <c r="C54" s="346"/>
      <c r="D54" s="256"/>
      <c r="E54" s="257"/>
      <c r="F54" s="257"/>
      <c r="G54" s="256"/>
      <c r="H54" s="257"/>
      <c r="I54" s="257"/>
      <c r="J54" s="259"/>
      <c r="K54" s="247"/>
      <c r="M54" s="247"/>
      <c r="N54" s="247"/>
      <c r="O54" s="247"/>
      <c r="P54" s="247"/>
      <c r="Q54" s="247"/>
      <c r="R54" s="247"/>
      <c r="S54" s="247"/>
      <c r="T54" s="247"/>
      <c r="U54" s="247"/>
      <c r="V54" s="247"/>
      <c r="W54" s="247"/>
      <c r="X54" s="247"/>
      <c r="Y54" s="247"/>
      <c r="Z54" s="247"/>
    </row>
    <row r="55" spans="1:26" ht="21" customHeight="1" x14ac:dyDescent="0.3">
      <c r="A55" s="247"/>
      <c r="B55" s="253"/>
      <c r="C55" s="346" t="str">
        <f>"Liability is shown between "&amp;TEXT(basic!I23,"dd/mm/yy")&amp;" and "&amp;TEXT(basic!I24,"dd/mm/yy")</f>
        <v>Liability is shown between 01/04/23 and 31/03/26</v>
      </c>
      <c r="D55" s="256"/>
      <c r="E55" s="256"/>
      <c r="F55" s="256"/>
      <c r="G55" s="256"/>
      <c r="H55" s="257"/>
      <c r="I55" s="257"/>
      <c r="J55" s="259"/>
      <c r="K55" s="247"/>
      <c r="M55" s="247"/>
      <c r="N55" s="247"/>
      <c r="O55" s="247"/>
      <c r="P55" s="247"/>
      <c r="Q55" s="247"/>
      <c r="R55" s="247"/>
      <c r="S55" s="247"/>
      <c r="T55" s="247"/>
      <c r="U55" s="247"/>
      <c r="V55" s="247"/>
      <c r="W55" s="247"/>
      <c r="X55" s="247"/>
      <c r="Y55" s="247"/>
      <c r="Z55" s="247"/>
    </row>
    <row r="56" spans="1:26" ht="20.25" customHeight="1" x14ac:dyDescent="0.25">
      <c r="A56" s="247"/>
      <c r="B56" s="253"/>
      <c r="C56" s="256"/>
      <c r="D56" s="256"/>
      <c r="E56" s="347"/>
      <c r="F56" s="347"/>
      <c r="G56" s="347"/>
      <c r="H56" s="347"/>
      <c r="I56" s="257"/>
      <c r="J56" s="259"/>
      <c r="K56" s="247"/>
      <c r="M56" s="247"/>
      <c r="N56" s="247"/>
      <c r="O56" s="247"/>
      <c r="P56" s="247"/>
      <c r="Q56" s="247"/>
      <c r="R56" s="247"/>
      <c r="S56" s="247"/>
      <c r="T56" s="247"/>
      <c r="U56" s="247"/>
      <c r="V56" s="247"/>
      <c r="W56" s="247"/>
      <c r="X56" s="247"/>
      <c r="Y56" s="247"/>
      <c r="Z56" s="247"/>
    </row>
    <row r="57" spans="1:26" ht="15.5" x14ac:dyDescent="0.35">
      <c r="A57" s="247"/>
      <c r="B57" s="253"/>
      <c r="C57" s="284" t="s">
        <v>1345</v>
      </c>
      <c r="D57" s="315"/>
      <c r="E57" s="348" t="str">
        <f>codes!F4</f>
        <v>CBRE</v>
      </c>
      <c r="F57" s="257"/>
      <c r="G57" s="257"/>
      <c r="H57" s="257"/>
      <c r="I57" s="257"/>
      <c r="J57" s="259"/>
      <c r="K57" s="247"/>
      <c r="M57" s="247"/>
      <c r="N57" s="247"/>
      <c r="O57" s="247"/>
      <c r="P57" s="247"/>
      <c r="Q57" s="247"/>
      <c r="R57" s="247"/>
      <c r="S57" s="247"/>
      <c r="T57" s="247"/>
      <c r="U57" s="247"/>
      <c r="V57" s="247"/>
      <c r="W57" s="247"/>
      <c r="X57" s="247"/>
      <c r="Y57" s="247"/>
      <c r="Z57" s="247"/>
    </row>
    <row r="58" spans="1:26" ht="13" x14ac:dyDescent="0.3">
      <c r="A58" s="349"/>
      <c r="B58" s="349"/>
      <c r="C58" s="349"/>
      <c r="D58" s="350"/>
      <c r="E58" s="351"/>
      <c r="F58" s="351"/>
      <c r="G58" s="351"/>
      <c r="H58" s="351"/>
      <c r="I58" s="351"/>
      <c r="J58" s="351"/>
      <c r="K58" s="247"/>
      <c r="M58" s="247"/>
      <c r="N58" s="247"/>
      <c r="O58" s="247"/>
      <c r="P58" s="247"/>
      <c r="Q58" s="247"/>
      <c r="R58" s="247"/>
      <c r="S58" s="247"/>
      <c r="T58" s="247"/>
      <c r="U58" s="247"/>
      <c r="V58" s="247"/>
      <c r="W58" s="247"/>
      <c r="X58" s="247"/>
      <c r="Y58" s="247"/>
      <c r="Z58" s="247"/>
    </row>
    <row r="59" spans="1:26" ht="13" x14ac:dyDescent="0.3">
      <c r="A59" s="247"/>
      <c r="B59" s="247"/>
      <c r="C59" s="349"/>
      <c r="D59" s="350"/>
      <c r="E59" s="351"/>
      <c r="F59" s="351"/>
      <c r="G59" s="351"/>
      <c r="H59" s="351"/>
      <c r="I59" s="351"/>
      <c r="J59" s="351"/>
      <c r="K59" s="247"/>
      <c r="M59" s="247"/>
      <c r="N59" s="247"/>
      <c r="O59" s="247"/>
      <c r="P59" s="247"/>
      <c r="Q59" s="247"/>
      <c r="R59" s="247"/>
      <c r="S59" s="247"/>
      <c r="T59" s="247"/>
      <c r="U59" s="247"/>
      <c r="V59" s="247"/>
      <c r="W59" s="247"/>
      <c r="X59" s="247"/>
      <c r="Y59" s="247"/>
      <c r="Z59" s="247"/>
    </row>
    <row r="60" spans="1:26" ht="13" x14ac:dyDescent="0.3">
      <c r="A60" s="250"/>
      <c r="B60" s="247"/>
      <c r="C60" s="247"/>
      <c r="D60" s="352"/>
      <c r="E60" s="353"/>
      <c r="F60" s="353"/>
      <c r="G60" s="353"/>
      <c r="H60" s="353"/>
      <c r="I60" s="351"/>
      <c r="J60" s="351"/>
      <c r="K60" s="247"/>
      <c r="M60" s="247"/>
      <c r="N60" s="247"/>
      <c r="O60" s="247"/>
      <c r="P60" s="247"/>
      <c r="Q60" s="247"/>
      <c r="R60" s="247"/>
      <c r="S60" s="247"/>
      <c r="T60" s="247"/>
      <c r="U60" s="247"/>
      <c r="V60" s="247"/>
      <c r="W60" s="247"/>
      <c r="X60" s="247"/>
      <c r="Y60" s="247"/>
      <c r="Z60" s="247"/>
    </row>
    <row r="61" spans="1:26" x14ac:dyDescent="0.25">
      <c r="A61" s="247"/>
      <c r="B61" s="247"/>
      <c r="C61" s="247"/>
      <c r="D61" s="351"/>
      <c r="E61" s="351"/>
      <c r="F61" s="351"/>
      <c r="G61" s="351"/>
      <c r="H61" s="351"/>
      <c r="I61" s="351"/>
      <c r="J61" s="351"/>
      <c r="K61" s="247"/>
      <c r="M61" s="247"/>
      <c r="N61" s="247"/>
      <c r="O61" s="247"/>
      <c r="P61" s="247"/>
      <c r="Q61" s="247"/>
      <c r="R61" s="247"/>
      <c r="S61" s="247"/>
      <c r="T61" s="247"/>
      <c r="U61" s="247"/>
      <c r="V61" s="247"/>
      <c r="W61" s="247"/>
      <c r="X61" s="247"/>
      <c r="Y61" s="247"/>
      <c r="Z61" s="247"/>
    </row>
    <row r="62" spans="1:26" ht="65.25" customHeight="1" x14ac:dyDescent="0.25">
      <c r="A62" s="247"/>
      <c r="B62" s="247"/>
      <c r="C62" s="247"/>
      <c r="D62" s="247"/>
      <c r="E62" s="247"/>
      <c r="F62" s="247"/>
      <c r="G62" s="247"/>
      <c r="H62" s="247"/>
      <c r="I62" s="247"/>
      <c r="J62" s="247"/>
      <c r="K62" s="247"/>
      <c r="M62" s="247"/>
      <c r="N62" s="247"/>
      <c r="O62" s="247"/>
      <c r="P62" s="247"/>
      <c r="Q62" s="247"/>
      <c r="R62" s="247"/>
      <c r="S62" s="247"/>
      <c r="T62" s="247"/>
      <c r="U62" s="247"/>
      <c r="V62" s="247"/>
      <c r="W62" s="247"/>
      <c r="X62" s="247"/>
      <c r="Y62" s="247"/>
      <c r="Z62" s="247"/>
    </row>
    <row r="63" spans="1:26" x14ac:dyDescent="0.25">
      <c r="A63" s="247"/>
      <c r="B63" s="247"/>
      <c r="C63" s="247"/>
      <c r="D63" s="247"/>
      <c r="E63" s="247"/>
      <c r="F63" s="247"/>
      <c r="G63" s="247"/>
      <c r="H63" s="247"/>
      <c r="I63" s="247"/>
      <c r="J63" s="247"/>
      <c r="K63" s="247"/>
      <c r="M63" s="247"/>
      <c r="N63" s="247"/>
      <c r="O63" s="247"/>
      <c r="P63" s="247"/>
      <c r="Q63" s="247"/>
      <c r="R63" s="247"/>
      <c r="S63" s="247"/>
      <c r="T63" s="247"/>
      <c r="U63" s="247"/>
      <c r="V63" s="247"/>
      <c r="W63" s="247"/>
      <c r="X63" s="247"/>
      <c r="Y63" s="247"/>
      <c r="Z63" s="247"/>
    </row>
    <row r="64" spans="1:26" hidden="1" x14ac:dyDescent="0.25">
      <c r="A64" s="247"/>
      <c r="B64" s="247"/>
      <c r="C64" s="351" t="str">
        <f>C10</f>
        <v>address line 2 - please enter on the 'details' page</v>
      </c>
      <c r="D64" s="247"/>
      <c r="E64" s="247"/>
      <c r="F64" s="247"/>
      <c r="G64" s="247"/>
      <c r="H64" s="247"/>
      <c r="I64" s="247"/>
      <c r="J64" s="247"/>
      <c r="K64" s="247"/>
      <c r="M64" s="247"/>
      <c r="N64" s="247"/>
      <c r="O64" s="247"/>
      <c r="P64" s="247"/>
      <c r="Q64" s="247"/>
      <c r="R64" s="247"/>
      <c r="S64" s="247"/>
      <c r="T64" s="247"/>
      <c r="U64" s="247"/>
      <c r="V64" s="247"/>
      <c r="W64" s="247"/>
      <c r="X64" s="247"/>
      <c r="Y64" s="247"/>
      <c r="Z64" s="247"/>
    </row>
    <row r="65" spans="1:26" hidden="1" x14ac:dyDescent="0.25">
      <c r="A65" s="247"/>
      <c r="B65" s="247"/>
      <c r="C65" s="243" t="str">
        <f>SUBSTITUTE(C64,"\","-")</f>
        <v>address line 2 - please enter on the 'details' page</v>
      </c>
      <c r="D65" s="247"/>
      <c r="E65" s="247"/>
      <c r="F65" s="247"/>
      <c r="G65" s="247"/>
      <c r="H65" s="247"/>
      <c r="I65" s="247"/>
      <c r="J65" s="247"/>
      <c r="K65" s="247"/>
      <c r="M65" s="247"/>
      <c r="N65" s="247"/>
      <c r="O65" s="247"/>
      <c r="P65" s="247"/>
      <c r="Q65" s="247"/>
      <c r="R65" s="247"/>
      <c r="S65" s="247"/>
      <c r="T65" s="247"/>
      <c r="U65" s="247"/>
      <c r="V65" s="247"/>
      <c r="W65" s="247"/>
      <c r="X65" s="247"/>
      <c r="Y65" s="247"/>
      <c r="Z65" s="247"/>
    </row>
    <row r="66" spans="1:26" hidden="1" x14ac:dyDescent="0.25">
      <c r="A66" s="247"/>
      <c r="B66" s="247"/>
      <c r="C66" s="243" t="str">
        <f>SUBSTITUTE(C65,"/","-")</f>
        <v>address line 2 - please enter on the 'details' page</v>
      </c>
      <c r="D66" s="247"/>
      <c r="E66" s="247"/>
      <c r="F66" s="247"/>
      <c r="G66" s="247"/>
      <c r="H66" s="247"/>
      <c r="I66" s="247"/>
      <c r="J66" s="247"/>
      <c r="K66" s="247"/>
      <c r="M66" s="247"/>
      <c r="N66" s="247"/>
      <c r="O66" s="247"/>
      <c r="P66" s="247"/>
      <c r="Q66" s="247"/>
      <c r="R66" s="247"/>
      <c r="S66" s="247"/>
      <c r="T66" s="247"/>
      <c r="U66" s="247"/>
      <c r="V66" s="247"/>
      <c r="W66" s="247"/>
      <c r="X66" s="247"/>
      <c r="Y66" s="247"/>
      <c r="Z66" s="247"/>
    </row>
    <row r="67" spans="1:26" hidden="1" x14ac:dyDescent="0.25">
      <c r="A67" s="247"/>
      <c r="B67" s="247"/>
      <c r="C67" s="243" t="str">
        <f>SUBSTITUTE(C66,":","-")</f>
        <v>address line 2 - please enter on the 'details' page</v>
      </c>
      <c r="D67" s="247"/>
      <c r="E67" s="247"/>
      <c r="F67" s="247"/>
      <c r="G67" s="247"/>
      <c r="H67" s="247"/>
      <c r="I67" s="247"/>
      <c r="J67" s="247"/>
      <c r="K67" s="247"/>
      <c r="M67" s="247"/>
      <c r="N67" s="247"/>
      <c r="O67" s="247"/>
      <c r="P67" s="247"/>
      <c r="Q67" s="247"/>
      <c r="R67" s="247"/>
      <c r="S67" s="247"/>
      <c r="T67" s="247"/>
      <c r="U67" s="247"/>
      <c r="V67" s="247"/>
      <c r="W67" s="247"/>
      <c r="X67" s="247"/>
      <c r="Y67" s="247"/>
      <c r="Z67" s="247"/>
    </row>
    <row r="68" spans="1:26" hidden="1" x14ac:dyDescent="0.25">
      <c r="A68" s="247"/>
      <c r="B68" s="247"/>
      <c r="C68" s="243" t="str">
        <f>SUBSTITUTE(C67,"*","-")</f>
        <v>address line 2 - please enter on the 'details' page</v>
      </c>
      <c r="D68" s="247"/>
      <c r="E68" s="247"/>
      <c r="F68" s="247"/>
      <c r="G68" s="247"/>
      <c r="H68" s="247"/>
      <c r="I68" s="247"/>
      <c r="J68" s="247"/>
      <c r="K68" s="247"/>
      <c r="M68" s="247"/>
      <c r="N68" s="247"/>
      <c r="O68" s="247"/>
      <c r="P68" s="247"/>
      <c r="Q68" s="247"/>
      <c r="R68" s="247"/>
      <c r="S68" s="247"/>
      <c r="T68" s="247"/>
      <c r="U68" s="247"/>
      <c r="V68" s="247"/>
      <c r="W68" s="247"/>
      <c r="X68" s="247"/>
      <c r="Y68" s="247"/>
      <c r="Z68" s="247"/>
    </row>
    <row r="69" spans="1:26" hidden="1" x14ac:dyDescent="0.25">
      <c r="A69" s="247"/>
      <c r="B69" s="247"/>
      <c r="C69" s="243" t="str">
        <f>SUBSTITUTE(C68,"?","")</f>
        <v>address line 2 - please enter on the 'details' page</v>
      </c>
      <c r="D69" s="247"/>
      <c r="E69" s="247"/>
      <c r="F69" s="247"/>
      <c r="G69" s="247"/>
      <c r="H69" s="247"/>
      <c r="I69" s="247"/>
      <c r="J69" s="247"/>
      <c r="K69" s="247"/>
      <c r="M69" s="247"/>
      <c r="N69" s="247"/>
      <c r="O69" s="247"/>
      <c r="P69" s="247"/>
      <c r="Q69" s="247"/>
      <c r="R69" s="247"/>
      <c r="S69" s="247"/>
      <c r="T69" s="247"/>
      <c r="U69" s="247"/>
      <c r="V69" s="247"/>
      <c r="W69" s="247"/>
      <c r="X69" s="247"/>
      <c r="Y69" s="247"/>
      <c r="Z69" s="247"/>
    </row>
    <row r="70" spans="1:26" hidden="1" x14ac:dyDescent="0.25">
      <c r="A70" s="247"/>
      <c r="B70" s="247"/>
      <c r="C70" s="243" t="str">
        <f>SUBSTITUTE(C69,CHAR(34),"'")</f>
        <v>address line 2 - please enter on the 'details' page</v>
      </c>
      <c r="D70" s="247"/>
      <c r="E70" s="247"/>
      <c r="F70" s="247"/>
      <c r="G70" s="247"/>
      <c r="H70" s="247"/>
      <c r="I70" s="247"/>
      <c r="J70" s="247"/>
      <c r="K70" s="247"/>
      <c r="M70" s="247"/>
      <c r="N70" s="247"/>
      <c r="O70" s="247"/>
      <c r="P70" s="247"/>
      <c r="Q70" s="247"/>
      <c r="R70" s="247"/>
      <c r="S70" s="247"/>
      <c r="T70" s="247"/>
      <c r="U70" s="247"/>
      <c r="V70" s="247"/>
      <c r="W70" s="247"/>
      <c r="X70" s="247"/>
      <c r="Y70" s="247"/>
      <c r="Z70" s="247"/>
    </row>
    <row r="71" spans="1:26" hidden="1" x14ac:dyDescent="0.25">
      <c r="A71" s="247"/>
      <c r="B71" s="247"/>
      <c r="C71" s="243" t="str">
        <f>SUBSTITUTE(C70,"&lt;","~")</f>
        <v>address line 2 - please enter on the 'details' page</v>
      </c>
      <c r="D71" s="247"/>
      <c r="E71" s="247"/>
      <c r="F71" s="247"/>
      <c r="G71" s="247"/>
      <c r="H71" s="247"/>
      <c r="I71" s="247"/>
      <c r="J71" s="247"/>
      <c r="K71" s="247"/>
      <c r="M71" s="247"/>
      <c r="N71" s="247"/>
      <c r="O71" s="247"/>
      <c r="P71" s="247"/>
      <c r="Q71" s="247"/>
      <c r="R71" s="247"/>
      <c r="S71" s="247"/>
      <c r="T71" s="247"/>
      <c r="U71" s="247"/>
      <c r="V71" s="247"/>
      <c r="W71" s="247"/>
      <c r="X71" s="247"/>
      <c r="Y71" s="247"/>
      <c r="Z71" s="247"/>
    </row>
    <row r="72" spans="1:26" hidden="1" x14ac:dyDescent="0.25">
      <c r="A72" s="247"/>
      <c r="B72" s="247"/>
      <c r="C72" s="243" t="str">
        <f>SUBSTITUTE(C71,"&gt;","~")</f>
        <v>address line 2 - please enter on the 'details' page</v>
      </c>
      <c r="D72" s="247"/>
      <c r="E72" s="247"/>
      <c r="F72" s="247"/>
      <c r="G72" s="247"/>
      <c r="H72" s="247"/>
      <c r="I72" s="247"/>
      <c r="J72" s="247"/>
      <c r="K72" s="247"/>
      <c r="M72" s="247"/>
      <c r="N72" s="247"/>
      <c r="O72" s="247"/>
      <c r="P72" s="247"/>
      <c r="Q72" s="247"/>
      <c r="R72" s="247"/>
      <c r="S72" s="247"/>
      <c r="T72" s="247"/>
      <c r="U72" s="247"/>
      <c r="V72" s="247"/>
      <c r="W72" s="247"/>
      <c r="X72" s="247"/>
      <c r="Y72" s="247"/>
      <c r="Z72" s="247"/>
    </row>
    <row r="73" spans="1:26" hidden="1" x14ac:dyDescent="0.25">
      <c r="A73" s="247"/>
      <c r="B73" s="247"/>
      <c r="C73" s="243" t="str">
        <f>SUBSTITUTE(C72,"|","()")</f>
        <v>address line 2 - please enter on the 'details' page</v>
      </c>
      <c r="D73" s="247"/>
      <c r="E73" s="247"/>
      <c r="F73" s="247"/>
      <c r="G73" s="247"/>
      <c r="H73" s="247"/>
      <c r="I73" s="247"/>
      <c r="J73" s="247"/>
      <c r="K73" s="247"/>
      <c r="M73" s="247"/>
      <c r="N73" s="247"/>
      <c r="O73" s="247"/>
      <c r="P73" s="247"/>
      <c r="Q73" s="247"/>
      <c r="R73" s="247"/>
      <c r="S73" s="247"/>
      <c r="T73" s="247"/>
      <c r="U73" s="247"/>
      <c r="V73" s="247"/>
      <c r="W73" s="247"/>
      <c r="X73" s="247"/>
      <c r="Y73" s="247"/>
      <c r="Z73" s="247"/>
    </row>
    <row r="74" spans="1:26" x14ac:dyDescent="0.25">
      <c r="A74" s="247"/>
      <c r="B74" s="247"/>
      <c r="C74" s="247"/>
      <c r="D74" s="247"/>
      <c r="E74" s="247"/>
      <c r="F74" s="247"/>
      <c r="G74" s="247"/>
      <c r="H74" s="247"/>
      <c r="I74" s="247"/>
      <c r="J74" s="247"/>
      <c r="K74" s="247"/>
      <c r="M74" s="247"/>
      <c r="N74" s="247"/>
      <c r="O74" s="247"/>
      <c r="P74" s="247"/>
      <c r="Q74" s="247"/>
      <c r="R74" s="247"/>
      <c r="S74" s="247"/>
      <c r="T74" s="247"/>
      <c r="U74" s="247"/>
      <c r="V74" s="247"/>
      <c r="W74" s="247"/>
      <c r="X74" s="247"/>
      <c r="Y74" s="247"/>
      <c r="Z74" s="247"/>
    </row>
    <row r="75" spans="1:26" x14ac:dyDescent="0.25">
      <c r="A75" s="247"/>
      <c r="B75" s="247"/>
      <c r="C75" s="247"/>
      <c r="D75" s="247"/>
      <c r="E75" s="247"/>
      <c r="F75" s="247"/>
      <c r="G75" s="247"/>
      <c r="H75" s="247"/>
      <c r="I75" s="247"/>
      <c r="J75" s="247"/>
      <c r="K75" s="247"/>
      <c r="M75" s="247"/>
      <c r="N75" s="247"/>
      <c r="O75" s="247"/>
      <c r="P75" s="247"/>
      <c r="Q75" s="247"/>
      <c r="R75" s="247"/>
      <c r="S75" s="247"/>
      <c r="T75" s="247"/>
      <c r="U75" s="247"/>
      <c r="V75" s="247"/>
      <c r="W75" s="247"/>
      <c r="X75" s="247"/>
      <c r="Y75" s="247"/>
      <c r="Z75" s="247"/>
    </row>
    <row r="76" spans="1:26" x14ac:dyDescent="0.25">
      <c r="A76" s="247"/>
      <c r="B76" s="247"/>
      <c r="C76" s="247"/>
      <c r="D76" s="247"/>
      <c r="E76" s="247"/>
      <c r="F76" s="247"/>
      <c r="G76" s="247"/>
      <c r="H76" s="247"/>
      <c r="I76" s="247"/>
      <c r="J76" s="247"/>
      <c r="K76" s="247"/>
      <c r="M76" s="247"/>
      <c r="N76" s="247"/>
      <c r="O76" s="247"/>
      <c r="P76" s="247"/>
      <c r="Q76" s="247"/>
      <c r="R76" s="247"/>
      <c r="S76" s="247"/>
      <c r="T76" s="247"/>
      <c r="U76" s="247"/>
      <c r="V76" s="247"/>
      <c r="W76" s="247"/>
      <c r="X76" s="247"/>
      <c r="Y76" s="247"/>
      <c r="Z76" s="247"/>
    </row>
    <row r="77" spans="1:26" x14ac:dyDescent="0.25">
      <c r="A77" s="247"/>
      <c r="B77" s="247"/>
      <c r="C77" s="247"/>
      <c r="D77" s="247"/>
      <c r="E77" s="247"/>
      <c r="F77" s="247"/>
      <c r="G77" s="247"/>
      <c r="H77" s="247"/>
      <c r="I77" s="247"/>
      <c r="J77" s="247"/>
      <c r="K77" s="247"/>
      <c r="M77" s="247"/>
      <c r="N77" s="247"/>
      <c r="O77" s="247"/>
      <c r="P77" s="247"/>
      <c r="Q77" s="247"/>
      <c r="R77" s="247"/>
      <c r="S77" s="247"/>
      <c r="T77" s="247"/>
      <c r="U77" s="247"/>
      <c r="V77" s="247"/>
      <c r="W77" s="247"/>
      <c r="X77" s="247"/>
      <c r="Y77" s="247"/>
      <c r="Z77" s="247"/>
    </row>
    <row r="78" spans="1:26" x14ac:dyDescent="0.25">
      <c r="A78" s="247"/>
      <c r="B78" s="247"/>
      <c r="C78" s="247"/>
      <c r="D78" s="247"/>
      <c r="E78" s="247"/>
      <c r="F78" s="247"/>
      <c r="G78" s="247"/>
      <c r="H78" s="247"/>
      <c r="I78" s="247"/>
      <c r="J78" s="247"/>
      <c r="K78" s="247"/>
      <c r="M78" s="247"/>
      <c r="N78" s="247"/>
      <c r="O78" s="247"/>
      <c r="P78" s="247"/>
      <c r="Q78" s="247"/>
      <c r="R78" s="247"/>
      <c r="S78" s="247"/>
      <c r="T78" s="247"/>
      <c r="U78" s="247"/>
      <c r="V78" s="247"/>
      <c r="W78" s="247"/>
      <c r="X78" s="247"/>
      <c r="Y78" s="247"/>
      <c r="Z78" s="247"/>
    </row>
    <row r="79" spans="1:26" x14ac:dyDescent="0.25">
      <c r="A79" s="247"/>
      <c r="B79" s="247"/>
      <c r="C79" s="247"/>
      <c r="D79" s="247"/>
      <c r="E79" s="247"/>
      <c r="F79" s="247"/>
      <c r="G79" s="247"/>
      <c r="H79" s="247"/>
      <c r="I79" s="247"/>
      <c r="J79" s="247"/>
      <c r="K79" s="247"/>
      <c r="M79" s="247"/>
      <c r="N79" s="247"/>
      <c r="O79" s="247"/>
      <c r="P79" s="247"/>
      <c r="Q79" s="247"/>
      <c r="R79" s="247"/>
      <c r="S79" s="247"/>
      <c r="T79" s="247"/>
      <c r="U79" s="247"/>
      <c r="V79" s="247"/>
      <c r="W79" s="247"/>
      <c r="X79" s="247"/>
      <c r="Y79" s="247"/>
      <c r="Z79" s="247"/>
    </row>
    <row r="80" spans="1:26" x14ac:dyDescent="0.25">
      <c r="A80" s="247"/>
      <c r="B80" s="247"/>
      <c r="C80" s="247"/>
      <c r="D80" s="247"/>
      <c r="E80" s="247"/>
      <c r="F80" s="247"/>
      <c r="G80" s="247"/>
      <c r="H80" s="247"/>
      <c r="I80" s="247"/>
      <c r="J80" s="247"/>
      <c r="K80" s="247"/>
      <c r="M80" s="247"/>
      <c r="N80" s="247"/>
      <c r="O80" s="247"/>
      <c r="P80" s="247"/>
      <c r="Q80" s="247"/>
      <c r="R80" s="247"/>
      <c r="S80" s="247"/>
      <c r="T80" s="247"/>
      <c r="U80" s="247"/>
      <c r="V80" s="247"/>
      <c r="W80" s="247"/>
      <c r="X80" s="247"/>
      <c r="Y80" s="247"/>
      <c r="Z80" s="247"/>
    </row>
    <row r="81" spans="1:26" x14ac:dyDescent="0.25">
      <c r="A81" s="247"/>
      <c r="B81" s="247"/>
      <c r="C81" s="247"/>
      <c r="D81" s="247"/>
      <c r="E81" s="247"/>
      <c r="F81" s="247"/>
      <c r="G81" s="247"/>
      <c r="H81" s="247"/>
      <c r="I81" s="247"/>
      <c r="J81" s="247"/>
      <c r="K81" s="247"/>
      <c r="M81" s="247"/>
      <c r="N81" s="247"/>
      <c r="O81" s="247"/>
      <c r="P81" s="247"/>
      <c r="Q81" s="247"/>
      <c r="R81" s="247"/>
      <c r="S81" s="247"/>
      <c r="T81" s="247"/>
      <c r="U81" s="247"/>
      <c r="V81" s="247"/>
      <c r="W81" s="247"/>
      <c r="X81" s="247"/>
      <c r="Y81" s="247"/>
      <c r="Z81" s="247"/>
    </row>
    <row r="82" spans="1:26" x14ac:dyDescent="0.25">
      <c r="A82" s="247"/>
      <c r="B82" s="247"/>
      <c r="C82" s="247"/>
      <c r="D82" s="247"/>
      <c r="E82" s="247"/>
      <c r="F82" s="247"/>
      <c r="G82" s="247"/>
      <c r="H82" s="247"/>
      <c r="I82" s="247"/>
      <c r="J82" s="247"/>
      <c r="K82" s="247"/>
      <c r="M82" s="247"/>
      <c r="N82" s="247"/>
      <c r="O82" s="247"/>
      <c r="P82" s="247"/>
      <c r="Q82" s="247"/>
      <c r="R82" s="247"/>
      <c r="S82" s="247"/>
      <c r="T82" s="247"/>
      <c r="U82" s="247"/>
      <c r="V82" s="247"/>
      <c r="W82" s="247"/>
      <c r="X82" s="247"/>
      <c r="Y82" s="247"/>
      <c r="Z82" s="247"/>
    </row>
    <row r="83" spans="1:26" x14ac:dyDescent="0.25">
      <c r="A83" s="247"/>
      <c r="B83" s="247"/>
      <c r="C83" s="247"/>
      <c r="D83" s="247"/>
      <c r="E83" s="247"/>
      <c r="F83" s="247"/>
      <c r="G83" s="247"/>
      <c r="H83" s="247"/>
      <c r="I83" s="247"/>
      <c r="J83" s="247"/>
      <c r="K83" s="247"/>
      <c r="M83" s="247"/>
      <c r="N83" s="247"/>
      <c r="O83" s="247"/>
      <c r="P83" s="247"/>
      <c r="Q83" s="247"/>
      <c r="R83" s="247"/>
      <c r="S83" s="247"/>
      <c r="T83" s="247"/>
      <c r="U83" s="247"/>
      <c r="V83" s="247"/>
      <c r="W83" s="247"/>
      <c r="X83" s="247"/>
      <c r="Y83" s="247"/>
      <c r="Z83" s="247"/>
    </row>
    <row r="84" spans="1:26" x14ac:dyDescent="0.25">
      <c r="A84" s="247"/>
      <c r="B84" s="247"/>
      <c r="C84" s="247"/>
      <c r="D84" s="247"/>
      <c r="E84" s="247"/>
      <c r="F84" s="247"/>
      <c r="G84" s="247"/>
      <c r="H84" s="247"/>
      <c r="I84" s="247"/>
      <c r="J84" s="247"/>
      <c r="K84" s="247"/>
      <c r="M84" s="247"/>
      <c r="N84" s="247"/>
      <c r="O84" s="247"/>
      <c r="P84" s="247"/>
      <c r="Q84" s="247"/>
      <c r="R84" s="247"/>
      <c r="S84" s="247"/>
      <c r="T84" s="247"/>
      <c r="U84" s="247"/>
      <c r="V84" s="247"/>
      <c r="W84" s="247"/>
      <c r="X84" s="247"/>
      <c r="Y84" s="247"/>
      <c r="Z84" s="247"/>
    </row>
    <row r="85" spans="1:26" x14ac:dyDescent="0.25">
      <c r="A85" s="247"/>
      <c r="B85" s="247"/>
      <c r="C85" s="247"/>
      <c r="D85" s="247"/>
      <c r="E85" s="247"/>
      <c r="F85" s="247"/>
      <c r="G85" s="247"/>
      <c r="H85" s="247"/>
      <c r="I85" s="247"/>
      <c r="J85" s="247"/>
      <c r="K85" s="247"/>
      <c r="M85" s="247"/>
      <c r="N85" s="247"/>
      <c r="O85" s="247"/>
      <c r="P85" s="247"/>
      <c r="Q85" s="247"/>
      <c r="R85" s="247"/>
      <c r="S85" s="247"/>
      <c r="T85" s="247"/>
      <c r="U85" s="247"/>
      <c r="V85" s="247"/>
      <c r="W85" s="247"/>
      <c r="X85" s="247"/>
      <c r="Y85" s="247"/>
      <c r="Z85" s="247"/>
    </row>
    <row r="86" spans="1:26" x14ac:dyDescent="0.25">
      <c r="A86" s="247"/>
      <c r="B86" s="247"/>
      <c r="C86" s="247"/>
      <c r="D86" s="247"/>
      <c r="E86" s="247"/>
      <c r="F86" s="247"/>
      <c r="G86" s="247"/>
      <c r="H86" s="247"/>
      <c r="I86" s="247"/>
      <c r="J86" s="247"/>
      <c r="K86" s="247"/>
      <c r="M86" s="247"/>
      <c r="N86" s="247"/>
      <c r="O86" s="247"/>
      <c r="P86" s="247"/>
      <c r="Q86" s="247"/>
      <c r="R86" s="247"/>
      <c r="S86" s="247"/>
      <c r="T86" s="247"/>
      <c r="U86" s="247"/>
      <c r="V86" s="247"/>
      <c r="W86" s="247"/>
      <c r="X86" s="247"/>
      <c r="Y86" s="247"/>
      <c r="Z86" s="247"/>
    </row>
    <row r="87" spans="1:26" x14ac:dyDescent="0.25">
      <c r="A87" s="247"/>
      <c r="B87" s="247"/>
      <c r="C87" s="247"/>
      <c r="D87" s="247"/>
      <c r="E87" s="247"/>
      <c r="F87" s="247"/>
      <c r="G87" s="247"/>
      <c r="H87" s="247"/>
      <c r="I87" s="247"/>
      <c r="J87" s="247"/>
      <c r="K87" s="247"/>
      <c r="M87" s="247"/>
      <c r="N87" s="247"/>
      <c r="O87" s="247"/>
      <c r="P87" s="247"/>
      <c r="Q87" s="247"/>
      <c r="R87" s="247"/>
      <c r="S87" s="247"/>
      <c r="T87" s="247"/>
      <c r="U87" s="247"/>
      <c r="V87" s="247"/>
      <c r="W87" s="247"/>
      <c r="X87" s="247"/>
      <c r="Y87" s="247"/>
      <c r="Z87" s="247"/>
    </row>
    <row r="88" spans="1:26" x14ac:dyDescent="0.25">
      <c r="A88" s="247"/>
      <c r="B88" s="247"/>
      <c r="C88" s="247"/>
      <c r="D88" s="247"/>
      <c r="E88" s="247"/>
      <c r="F88" s="247"/>
      <c r="G88" s="247"/>
      <c r="H88" s="247"/>
      <c r="I88" s="247"/>
      <c r="J88" s="247"/>
      <c r="K88" s="247"/>
      <c r="M88" s="247"/>
      <c r="N88" s="247"/>
      <c r="O88" s="247"/>
      <c r="P88" s="247"/>
      <c r="Q88" s="247"/>
      <c r="R88" s="247"/>
      <c r="S88" s="247"/>
      <c r="T88" s="247"/>
      <c r="U88" s="247"/>
      <c r="V88" s="247"/>
      <c r="W88" s="247"/>
      <c r="X88" s="247"/>
      <c r="Y88" s="247"/>
      <c r="Z88" s="247"/>
    </row>
    <row r="89" spans="1:26" x14ac:dyDescent="0.25">
      <c r="A89" s="247"/>
      <c r="B89" s="247"/>
      <c r="C89" s="247"/>
      <c r="D89" s="247"/>
      <c r="E89" s="247"/>
      <c r="F89" s="247"/>
      <c r="G89" s="247"/>
      <c r="H89" s="247"/>
      <c r="I89" s="247"/>
      <c r="J89" s="247"/>
      <c r="K89" s="247"/>
      <c r="M89" s="247"/>
      <c r="N89" s="247"/>
      <c r="O89" s="247"/>
      <c r="P89" s="247"/>
      <c r="Q89" s="247"/>
      <c r="R89" s="247"/>
      <c r="S89" s="247"/>
      <c r="T89" s="247"/>
      <c r="U89" s="247"/>
      <c r="V89" s="247"/>
      <c r="W89" s="247"/>
      <c r="X89" s="247"/>
      <c r="Y89" s="247"/>
      <c r="Z89" s="247"/>
    </row>
    <row r="90" spans="1:26" x14ac:dyDescent="0.25">
      <c r="A90" s="247"/>
      <c r="B90" s="247"/>
      <c r="C90" s="247"/>
      <c r="D90" s="247"/>
      <c r="E90" s="247"/>
      <c r="F90" s="247"/>
      <c r="G90" s="247"/>
      <c r="H90" s="247"/>
      <c r="I90" s="247"/>
      <c r="J90" s="247"/>
      <c r="K90" s="247"/>
      <c r="M90" s="247"/>
      <c r="N90" s="247"/>
      <c r="O90" s="247"/>
      <c r="P90" s="247"/>
      <c r="Q90" s="247"/>
      <c r="R90" s="247"/>
      <c r="S90" s="247"/>
      <c r="T90" s="247"/>
      <c r="U90" s="247"/>
      <c r="V90" s="247"/>
      <c r="W90" s="247"/>
      <c r="X90" s="247"/>
      <c r="Y90" s="247"/>
      <c r="Z90" s="247"/>
    </row>
    <row r="91" spans="1:26" x14ac:dyDescent="0.25">
      <c r="A91" s="247"/>
      <c r="B91" s="247"/>
      <c r="C91" s="247"/>
      <c r="D91" s="247"/>
      <c r="E91" s="247"/>
      <c r="F91" s="247"/>
      <c r="G91" s="247"/>
      <c r="H91" s="247"/>
      <c r="I91" s="247"/>
      <c r="J91" s="247"/>
      <c r="K91" s="247"/>
      <c r="M91" s="247"/>
      <c r="N91" s="247"/>
      <c r="O91" s="247"/>
      <c r="P91" s="247"/>
      <c r="Q91" s="247"/>
      <c r="R91" s="247"/>
      <c r="S91" s="247"/>
      <c r="T91" s="247"/>
      <c r="U91" s="247"/>
      <c r="V91" s="247"/>
      <c r="W91" s="247"/>
      <c r="X91" s="247"/>
      <c r="Y91" s="247"/>
      <c r="Z91" s="247"/>
    </row>
    <row r="92" spans="1:26" x14ac:dyDescent="0.25">
      <c r="A92" s="247"/>
      <c r="B92" s="247"/>
      <c r="C92" s="247"/>
      <c r="D92" s="247"/>
      <c r="E92" s="247"/>
      <c r="F92" s="247"/>
      <c r="G92" s="247"/>
      <c r="H92" s="247"/>
      <c r="I92" s="247"/>
      <c r="J92" s="247"/>
      <c r="K92" s="247"/>
      <c r="M92" s="247"/>
      <c r="N92" s="247"/>
      <c r="O92" s="247"/>
      <c r="P92" s="247"/>
      <c r="Q92" s="247"/>
      <c r="R92" s="247"/>
      <c r="S92" s="247"/>
      <c r="T92" s="247"/>
      <c r="U92" s="247"/>
      <c r="V92" s="247"/>
      <c r="W92" s="247"/>
      <c r="X92" s="247"/>
      <c r="Y92" s="247"/>
      <c r="Z92" s="247"/>
    </row>
    <row r="93" spans="1:26" x14ac:dyDescent="0.25">
      <c r="A93" s="247"/>
      <c r="B93" s="247"/>
      <c r="C93" s="247"/>
      <c r="D93" s="247"/>
      <c r="E93" s="247"/>
      <c r="F93" s="247"/>
      <c r="G93" s="247"/>
      <c r="H93" s="247"/>
      <c r="I93" s="247"/>
      <c r="J93" s="247"/>
      <c r="K93" s="247"/>
      <c r="M93" s="247"/>
      <c r="N93" s="247"/>
      <c r="O93" s="247"/>
      <c r="P93" s="247"/>
      <c r="Q93" s="247"/>
      <c r="R93" s="247"/>
      <c r="S93" s="247"/>
      <c r="T93" s="247"/>
      <c r="U93" s="247"/>
      <c r="V93" s="247"/>
      <c r="W93" s="247"/>
      <c r="X93" s="247"/>
      <c r="Y93" s="247"/>
      <c r="Z93" s="247"/>
    </row>
    <row r="94" spans="1:26" x14ac:dyDescent="0.25">
      <c r="A94" s="247"/>
      <c r="B94" s="247"/>
      <c r="C94" s="247"/>
      <c r="D94" s="247"/>
      <c r="E94" s="247"/>
      <c r="F94" s="247"/>
      <c r="G94" s="247"/>
      <c r="H94" s="247"/>
      <c r="I94" s="247"/>
      <c r="J94" s="247"/>
      <c r="K94" s="247"/>
      <c r="M94" s="247"/>
      <c r="N94" s="247"/>
      <c r="O94" s="247"/>
      <c r="P94" s="247"/>
      <c r="Q94" s="247"/>
      <c r="R94" s="247"/>
      <c r="S94" s="247"/>
      <c r="T94" s="247"/>
      <c r="U94" s="247"/>
      <c r="V94" s="247"/>
      <c r="W94" s="247"/>
      <c r="X94" s="247"/>
      <c r="Y94" s="247"/>
      <c r="Z94" s="247"/>
    </row>
    <row r="95" spans="1:26" x14ac:dyDescent="0.25">
      <c r="A95" s="247"/>
      <c r="B95" s="247"/>
      <c r="C95" s="247"/>
      <c r="D95" s="247"/>
      <c r="E95" s="247"/>
      <c r="F95" s="247"/>
      <c r="G95" s="247"/>
      <c r="H95" s="247"/>
      <c r="I95" s="247"/>
      <c r="J95" s="247"/>
      <c r="K95" s="247"/>
      <c r="M95" s="247"/>
      <c r="N95" s="247"/>
      <c r="O95" s="247"/>
      <c r="P95" s="247"/>
      <c r="Q95" s="247"/>
      <c r="R95" s="247"/>
      <c r="S95" s="247"/>
      <c r="T95" s="247"/>
      <c r="U95" s="247"/>
      <c r="V95" s="247"/>
      <c r="W95" s="247"/>
      <c r="X95" s="247"/>
      <c r="Y95" s="247"/>
      <c r="Z95" s="247"/>
    </row>
  </sheetData>
  <sheetProtection password="BCD8" sheet="1" objects="1" scenarios="1"/>
  <phoneticPr fontId="0" type="noConversion"/>
  <pageMargins left="0.57999999999999996" right="0.75" top="0.5" bottom="0.28999999999999998" header="0.22" footer="0.2"/>
  <pageSetup paperSize="9" orientation="portrait"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asic">
              <controlPr defaultSize="0" print="0" autoFill="0" autoPict="0" macro="[0]!globalgoto">
                <anchor moveWithCells="1" sizeWithCells="1">
                  <from>
                    <xdr:col>0</xdr:col>
                    <xdr:colOff>44450</xdr:colOff>
                    <xdr:row>1</xdr:row>
                    <xdr:rowOff>63500</xdr:rowOff>
                  </from>
                  <to>
                    <xdr:col>0</xdr:col>
                    <xdr:colOff>996950</xdr:colOff>
                    <xdr:row>3</xdr:row>
                    <xdr:rowOff>44450</xdr:rowOff>
                  </to>
                </anchor>
              </controlPr>
            </control>
          </mc:Choice>
        </mc:AlternateContent>
        <mc:AlternateContent xmlns:mc="http://schemas.openxmlformats.org/markup-compatibility/2006">
          <mc:Choice Requires="x14">
            <control shapeId="24578" r:id="rId5" name="Button 2">
              <controlPr defaultSize="0" print="0" autoFill="0" autoPict="0" macro="[0]!goto_details">
                <anchor moveWithCells="1" sizeWithCells="1">
                  <from>
                    <xdr:col>0</xdr:col>
                    <xdr:colOff>69850</xdr:colOff>
                    <xdr:row>7</xdr:row>
                    <xdr:rowOff>146050</xdr:rowOff>
                  </from>
                  <to>
                    <xdr:col>0</xdr:col>
                    <xdr:colOff>996950</xdr:colOff>
                    <xdr:row>12</xdr:row>
                    <xdr:rowOff>63500</xdr:rowOff>
                  </to>
                </anchor>
              </controlPr>
            </control>
          </mc:Choice>
        </mc:AlternateContent>
        <mc:AlternateContent xmlns:mc="http://schemas.openxmlformats.org/markup-compatibility/2006">
          <mc:Choice Requires="x14">
            <control shapeId="24579" r:id="rId6" name="Button 3">
              <controlPr defaultSize="0" print="0" autoFill="0" autoPict="0" macro="[0]!copy_as_excel">
                <anchor moveWithCells="1" sizeWithCells="1">
                  <from>
                    <xdr:col>12</xdr:col>
                    <xdr:colOff>127000</xdr:colOff>
                    <xdr:row>2</xdr:row>
                    <xdr:rowOff>38100</xdr:rowOff>
                  </from>
                  <to>
                    <xdr:col>12</xdr:col>
                    <xdr:colOff>812800</xdr:colOff>
                    <xdr:row>4</xdr:row>
                    <xdr:rowOff>107950</xdr:rowOff>
                  </to>
                </anchor>
              </controlPr>
            </control>
          </mc:Choice>
        </mc:AlternateContent>
        <mc:AlternateContent xmlns:mc="http://schemas.openxmlformats.org/markup-compatibility/2006">
          <mc:Choice Requires="x14">
            <control shapeId="24580" r:id="rId7" name="Button 4">
              <controlPr defaultSize="0" print="0" autoFill="0" autoPict="0" macro="[0]!pdflauncher">
                <anchor moveWithCells="1" sizeWithCells="1">
                  <from>
                    <xdr:col>12</xdr:col>
                    <xdr:colOff>825500</xdr:colOff>
                    <xdr:row>2</xdr:row>
                    <xdr:rowOff>38100</xdr:rowOff>
                  </from>
                  <to>
                    <xdr:col>12</xdr:col>
                    <xdr:colOff>1511300</xdr:colOff>
                    <xdr:row>4</xdr:row>
                    <xdr:rowOff>107950</xdr:rowOff>
                  </to>
                </anchor>
              </controlPr>
            </control>
          </mc:Choice>
        </mc:AlternateContent>
        <mc:AlternateContent xmlns:mc="http://schemas.openxmlformats.org/markup-compatibility/2006">
          <mc:Choice Requires="x14">
            <control shapeId="24581" r:id="rId8" name="Button 5">
              <controlPr defaultSize="0" print="0" autoFill="0" autoPict="0" macro="[0]!openfolder">
                <anchor moveWithCells="1" sizeWithCells="1">
                  <from>
                    <xdr:col>12</xdr:col>
                    <xdr:colOff>1517650</xdr:colOff>
                    <xdr:row>2</xdr:row>
                    <xdr:rowOff>38100</xdr:rowOff>
                  </from>
                  <to>
                    <xdr:col>12</xdr:col>
                    <xdr:colOff>2044700</xdr:colOff>
                    <xdr:row>4</xdr:row>
                    <xdr:rowOff>107950</xdr:rowOff>
                  </to>
                </anchor>
              </controlPr>
            </control>
          </mc:Choice>
        </mc:AlternateContent>
        <mc:AlternateContent xmlns:mc="http://schemas.openxmlformats.org/markup-compatibility/2006">
          <mc:Choice Requires="x14">
            <control shapeId="24582" r:id="rId9" name="Button 6">
              <controlPr defaultSize="0" print="0" autoFill="0" autoPict="0" macro="[0]!goto_folder_settings">
                <anchor moveWithCells="1" sizeWithCells="1">
                  <from>
                    <xdr:col>12</xdr:col>
                    <xdr:colOff>2057400</xdr:colOff>
                    <xdr:row>2</xdr:row>
                    <xdr:rowOff>38100</xdr:rowOff>
                  </from>
                  <to>
                    <xdr:col>13</xdr:col>
                    <xdr:colOff>412750</xdr:colOff>
                    <xdr:row>4</xdr:row>
                    <xdr:rowOff>107950</xdr:rowOff>
                  </to>
                </anchor>
              </controlPr>
            </control>
          </mc:Choice>
        </mc:AlternateContent>
        <mc:AlternateContent xmlns:mc="http://schemas.openxmlformats.org/markup-compatibility/2006">
          <mc:Choice Requires="x14">
            <control shapeId="24583" r:id="rId10" name="Button 7">
              <controlPr defaultSize="0" print="0" autoFill="0" autoPict="0" macro="[0]!email_pdf_launch">
                <anchor moveWithCells="1" sizeWithCells="1">
                  <from>
                    <xdr:col>12</xdr:col>
                    <xdr:colOff>965200</xdr:colOff>
                    <xdr:row>0</xdr:row>
                    <xdr:rowOff>158750</xdr:rowOff>
                  </from>
                  <to>
                    <xdr:col>12</xdr:col>
                    <xdr:colOff>1651000</xdr:colOff>
                    <xdr:row>2</xdr:row>
                    <xdr:rowOff>31750</xdr:rowOff>
                  </to>
                </anchor>
              </controlPr>
            </control>
          </mc:Choice>
        </mc:AlternateContent>
        <mc:AlternateContent xmlns:mc="http://schemas.openxmlformats.org/markup-compatibility/2006">
          <mc:Choice Requires="x14">
            <control shapeId="24584" r:id="rId11" name="Button 8">
              <controlPr defaultSize="0" print="0" autoFill="0" autoPict="0" macro="[0]!email_copy_as_excel">
                <anchor moveWithCells="1" sizeWithCells="1">
                  <from>
                    <xdr:col>12</xdr:col>
                    <xdr:colOff>127000</xdr:colOff>
                    <xdr:row>0</xdr:row>
                    <xdr:rowOff>158750</xdr:rowOff>
                  </from>
                  <to>
                    <xdr:col>12</xdr:col>
                    <xdr:colOff>958850</xdr:colOff>
                    <xdr:row>2</xdr:row>
                    <xdr:rowOff>31750</xdr:rowOff>
                  </to>
                </anchor>
              </controlPr>
            </control>
          </mc:Choice>
        </mc:AlternateContent>
        <mc:AlternateContent xmlns:mc="http://schemas.openxmlformats.org/markup-compatibility/2006">
          <mc:Choice Requires="x14">
            <control shapeId="24585" r:id="rId12" name="Button 9">
              <controlPr defaultSize="0" print="0" autoFill="0" autoPict="0" macro="[0]!emailsettings">
                <anchor moveWithCells="1" sizeWithCells="1">
                  <from>
                    <xdr:col>12</xdr:col>
                    <xdr:colOff>1663700</xdr:colOff>
                    <xdr:row>0</xdr:row>
                    <xdr:rowOff>158750</xdr:rowOff>
                  </from>
                  <to>
                    <xdr:col>13</xdr:col>
                    <xdr:colOff>412750</xdr:colOff>
                    <xdr:row>2</xdr:row>
                    <xdr:rowOff>31750</xdr:rowOff>
                  </to>
                </anchor>
              </controlPr>
            </control>
          </mc:Choice>
        </mc:AlternateContent>
        <mc:AlternateContent xmlns:mc="http://schemas.openxmlformats.org/markup-compatibility/2006">
          <mc:Choice Requires="x14">
            <control shapeId="24586" r:id="rId13" name="basicclient">
              <controlPr defaultSize="0" print="0" autoFill="0" autoPict="0" macro="[0]!globalgoto">
                <anchor moveWithCells="1" sizeWithCells="1">
                  <from>
                    <xdr:col>12</xdr:col>
                    <xdr:colOff>25400</xdr:colOff>
                    <xdr:row>7</xdr:row>
                    <xdr:rowOff>146050</xdr:rowOff>
                  </from>
                  <to>
                    <xdr:col>12</xdr:col>
                    <xdr:colOff>965200</xdr:colOff>
                    <xdr:row>10</xdr:row>
                    <xdr:rowOff>31750</xdr:rowOff>
                  </to>
                </anchor>
              </controlPr>
            </control>
          </mc:Choice>
        </mc:AlternateContent>
        <mc:AlternateContent xmlns:mc="http://schemas.openxmlformats.org/markup-compatibility/2006">
          <mc:Choice Requires="x14">
            <control shapeId="24587" r:id="rId14" name="basic">
              <controlPr defaultSize="0" print="0" autoFill="0" autoPict="0" macro="[0]!globalgoto">
                <anchor moveWithCells="1" sizeWithCells="1">
                  <from>
                    <xdr:col>12</xdr:col>
                    <xdr:colOff>25400</xdr:colOff>
                    <xdr:row>10</xdr:row>
                    <xdr:rowOff>38100</xdr:rowOff>
                  </from>
                  <to>
                    <xdr:col>12</xdr:col>
                    <xdr:colOff>965200</xdr:colOff>
                    <xdr:row>12</xdr:row>
                    <xdr:rowOff>88900</xdr:rowOff>
                  </to>
                </anchor>
              </controlPr>
            </control>
          </mc:Choice>
        </mc:AlternateContent>
        <mc:AlternateContent xmlns:mc="http://schemas.openxmlformats.org/markup-compatibility/2006">
          <mc:Choice Requires="x14">
            <control shapeId="24588" r:id="rId15" name="print">
              <controlPr defaultSize="0" print="0" autoFill="0" autoPict="0" macro="[0]!PrintThis">
                <anchor moveWithCells="1" sizeWithCells="1">
                  <from>
                    <xdr:col>12</xdr:col>
                    <xdr:colOff>25400</xdr:colOff>
                    <xdr:row>12</xdr:row>
                    <xdr:rowOff>101600</xdr:rowOff>
                  </from>
                  <to>
                    <xdr:col>12</xdr:col>
                    <xdr:colOff>965200</xdr:colOff>
                    <xdr:row>14</xdr:row>
                    <xdr:rowOff>146050</xdr:rowOff>
                  </to>
                </anchor>
              </controlPr>
            </control>
          </mc:Choice>
        </mc:AlternateContent>
        <mc:AlternateContent xmlns:mc="http://schemas.openxmlformats.org/markup-compatibility/2006">
          <mc:Choice Requires="x14">
            <control shapeId="24589" r:id="rId16" name="menu">
              <controlPr defaultSize="0" print="0" autoFill="0" autoPict="0" macro="[0]!globalgoto">
                <anchor moveWithCells="1" sizeWithCells="1">
                  <from>
                    <xdr:col>0</xdr:col>
                    <xdr:colOff>44450</xdr:colOff>
                    <xdr:row>3</xdr:row>
                    <xdr:rowOff>88900</xdr:rowOff>
                  </from>
                  <to>
                    <xdr:col>0</xdr:col>
                    <xdr:colOff>996950</xdr:colOff>
                    <xdr:row>5</xdr:row>
                    <xdr:rowOff>139700</xdr:rowOff>
                  </to>
                </anchor>
              </controlPr>
            </control>
          </mc:Choice>
        </mc:AlternateContent>
        <mc:AlternateContent xmlns:mc="http://schemas.openxmlformats.org/markup-compatibility/2006">
          <mc:Choice Requires="x14">
            <control shapeId="24590" r:id="rId17" name="Button 14">
              <controlPr defaultSize="0" print="0" autoFill="0" autoPict="0" macro="[0]!goto_basic_analysis_original">
                <anchor moveWithCells="1" sizeWithCells="1">
                  <from>
                    <xdr:col>12</xdr:col>
                    <xdr:colOff>31750</xdr:colOff>
                    <xdr:row>41</xdr:row>
                    <xdr:rowOff>190500</xdr:rowOff>
                  </from>
                  <to>
                    <xdr:col>12</xdr:col>
                    <xdr:colOff>685800</xdr:colOff>
                    <xdr:row>44</xdr:row>
                    <xdr:rowOff>25400</xdr:rowOff>
                  </to>
                </anchor>
              </controlPr>
            </control>
          </mc:Choice>
        </mc:AlternateContent>
        <mc:AlternateContent xmlns:mc="http://schemas.openxmlformats.org/markup-compatibility/2006">
          <mc:Choice Requires="x14">
            <control shapeId="24591" r:id="rId18" name="Button 15">
              <controlPr defaultSize="0" print="0" autoFill="0" autoPict="0" macro="[0]!goto_basic_analysis_revised">
                <anchor moveWithCells="1" sizeWithCells="1">
                  <from>
                    <xdr:col>12</xdr:col>
                    <xdr:colOff>685800</xdr:colOff>
                    <xdr:row>41</xdr:row>
                    <xdr:rowOff>190500</xdr:rowOff>
                  </from>
                  <to>
                    <xdr:col>12</xdr:col>
                    <xdr:colOff>1339850</xdr:colOff>
                    <xdr:row>44</xdr:row>
                    <xdr:rowOff>25400</xdr:rowOff>
                  </to>
                </anchor>
              </controlPr>
            </control>
          </mc:Choice>
        </mc:AlternateContent>
        <mc:AlternateContent xmlns:mc="http://schemas.openxmlformats.org/markup-compatibility/2006">
          <mc:Choice Requires="x14">
            <control shapeId="24592" r:id="rId19" name="globalbacktobutton">
              <controlPr defaultSize="0" print="0" autoFill="0" autoPict="0" macro="[0]!backto">
                <anchor moveWithCells="1" sizeWithCells="1">
                  <from>
                    <xdr:col>0</xdr:col>
                    <xdr:colOff>203200</xdr:colOff>
                    <xdr:row>13</xdr:row>
                    <xdr:rowOff>146050</xdr:rowOff>
                  </from>
                  <to>
                    <xdr:col>0</xdr:col>
                    <xdr:colOff>831850</xdr:colOff>
                    <xdr:row>16</xdr:row>
                    <xdr:rowOff>107950</xdr:rowOff>
                  </to>
                </anchor>
              </controlPr>
            </control>
          </mc:Choice>
        </mc:AlternateContent>
        <mc:AlternateContent xmlns:mc="http://schemas.openxmlformats.org/markup-compatibility/2006">
          <mc:Choice Requires="x14">
            <control shapeId="24593" r:id="rId20" name="globalbacktobutton">
              <controlPr defaultSize="0" print="0" autoFill="0" autoPict="0" macro="[0]!backto">
                <anchor moveWithCells="1" sizeWithCells="1">
                  <from>
                    <xdr:col>12</xdr:col>
                    <xdr:colOff>1555750</xdr:colOff>
                    <xdr:row>9</xdr:row>
                    <xdr:rowOff>158750</xdr:rowOff>
                  </from>
                  <to>
                    <xdr:col>13</xdr:col>
                    <xdr:colOff>6350</xdr:colOff>
                    <xdr:row>12</xdr:row>
                    <xdr:rowOff>120650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1F28-7635-4DAF-9A31-628918D0CCC8}">
  <sheetPr codeName="Sheet33"/>
  <dimension ref="A1:Z55"/>
  <sheetViews>
    <sheetView showGridLines="0" workbookViewId="0"/>
  </sheetViews>
  <sheetFormatPr defaultColWidth="9.08984375" defaultRowHeight="12.5" x14ac:dyDescent="0.25"/>
  <cols>
    <col min="1" max="1" width="19" style="600" customWidth="1"/>
    <col min="2" max="2" width="2.36328125" style="600" customWidth="1"/>
    <col min="3" max="3" width="10.36328125" style="600" customWidth="1"/>
    <col min="4" max="4" width="6.6328125" style="600" customWidth="1"/>
    <col min="5" max="5" width="11.36328125" style="600" customWidth="1"/>
    <col min="6" max="6" width="3" style="600" customWidth="1"/>
    <col min="7" max="7" width="14.6328125" style="600" customWidth="1"/>
    <col min="8" max="8" width="3" style="600" customWidth="1"/>
    <col min="9" max="9" width="14.08984375" style="600" customWidth="1"/>
    <col min="10" max="10" width="3" style="600" customWidth="1"/>
    <col min="11" max="11" width="13.36328125" style="600" customWidth="1"/>
    <col min="12" max="12" width="4" style="600" customWidth="1"/>
    <col min="13" max="13" width="2" style="600" customWidth="1"/>
    <col min="14" max="14" width="15.08984375" style="600" customWidth="1"/>
    <col min="15" max="16" width="0" style="600" hidden="1" customWidth="1"/>
    <col min="17" max="17" width="44.453125" style="600" customWidth="1"/>
    <col min="18" max="25" width="9.08984375" style="600"/>
    <col min="26" max="26" width="84.6328125" style="600" customWidth="1"/>
    <col min="27" max="16384" width="9.08984375" style="600"/>
  </cols>
  <sheetData>
    <row r="1" spans="1:26" ht="31.5" customHeight="1" x14ac:dyDescent="0.25">
      <c r="A1" s="598"/>
      <c r="B1" s="598"/>
      <c r="C1" s="599"/>
      <c r="D1" s="598"/>
      <c r="E1" s="598"/>
      <c r="F1" s="598"/>
      <c r="G1" s="598"/>
      <c r="H1" s="598"/>
      <c r="I1" s="598"/>
      <c r="J1" s="598"/>
      <c r="K1" s="598"/>
      <c r="L1" s="598"/>
      <c r="M1" s="598"/>
      <c r="N1" s="598"/>
      <c r="Q1" s="598"/>
      <c r="R1" s="598"/>
      <c r="S1" s="598"/>
      <c r="T1" s="598"/>
      <c r="U1" s="598"/>
      <c r="V1" s="598"/>
      <c r="W1" s="598"/>
      <c r="X1" s="598"/>
      <c r="Y1" s="598"/>
      <c r="Z1" s="598"/>
    </row>
    <row r="2" spans="1:26" ht="30" customHeight="1" x14ac:dyDescent="0.25">
      <c r="A2" s="601"/>
      <c r="B2" s="602" t="s">
        <v>2652</v>
      </c>
      <c r="C2" s="603"/>
      <c r="D2" s="603"/>
      <c r="E2" s="604" t="s">
        <v>2653</v>
      </c>
      <c r="F2" s="605"/>
      <c r="G2" s="605"/>
      <c r="H2" s="605"/>
      <c r="I2" s="605"/>
      <c r="J2" s="605"/>
      <c r="K2" s="606"/>
      <c r="L2" s="598"/>
      <c r="M2" s="598"/>
      <c r="N2" s="598"/>
      <c r="Q2" s="598"/>
      <c r="R2" s="598"/>
      <c r="S2" s="598"/>
      <c r="T2" s="598"/>
      <c r="U2" s="598"/>
      <c r="V2" s="598"/>
      <c r="W2" s="598"/>
      <c r="X2" s="598"/>
      <c r="Y2" s="598"/>
      <c r="Z2" s="598"/>
    </row>
    <row r="3" spans="1:26" ht="15.75" customHeight="1" x14ac:dyDescent="0.25">
      <c r="A3" s="601"/>
      <c r="B3" s="598"/>
      <c r="C3" s="598"/>
      <c r="D3" s="598"/>
      <c r="E3" s="598"/>
      <c r="F3" s="598"/>
      <c r="G3" s="598"/>
      <c r="H3" s="598"/>
      <c r="I3" s="598"/>
      <c r="J3" s="598"/>
      <c r="K3" s="598"/>
      <c r="L3" s="598"/>
      <c r="M3" s="598"/>
      <c r="N3" s="598"/>
      <c r="Q3" s="598"/>
      <c r="R3" s="598"/>
      <c r="S3" s="598"/>
      <c r="T3" s="598"/>
      <c r="U3" s="598"/>
      <c r="V3" s="598"/>
      <c r="W3" s="598"/>
      <c r="X3" s="598"/>
      <c r="Y3" s="598"/>
      <c r="Z3" s="598"/>
    </row>
    <row r="4" spans="1:26" x14ac:dyDescent="0.25">
      <c r="A4" s="601"/>
      <c r="K4" s="607"/>
      <c r="L4" s="607"/>
      <c r="N4" s="598"/>
      <c r="Q4" s="598"/>
      <c r="R4" s="598"/>
      <c r="S4" s="598"/>
      <c r="T4" s="598"/>
      <c r="U4" s="598"/>
      <c r="V4" s="598"/>
      <c r="W4" s="598"/>
      <c r="X4" s="598"/>
      <c r="Y4" s="598"/>
      <c r="Z4" s="598"/>
    </row>
    <row r="5" spans="1:26" x14ac:dyDescent="0.25">
      <c r="A5" s="601"/>
      <c r="K5" s="607"/>
      <c r="L5" s="607"/>
      <c r="N5" s="598"/>
      <c r="Q5" s="598"/>
      <c r="R5" s="598"/>
      <c r="S5" s="598"/>
      <c r="T5" s="598"/>
      <c r="U5" s="598"/>
      <c r="V5" s="598"/>
      <c r="W5" s="598"/>
      <c r="X5" s="598"/>
      <c r="Y5" s="598"/>
      <c r="Z5" s="598"/>
    </row>
    <row r="6" spans="1:26" x14ac:dyDescent="0.25">
      <c r="A6" s="598"/>
      <c r="K6" s="607"/>
      <c r="L6" s="607"/>
      <c r="N6" s="598"/>
      <c r="Q6" s="598"/>
      <c r="R6" s="598"/>
      <c r="S6" s="598"/>
      <c r="T6" s="598"/>
      <c r="U6" s="598"/>
      <c r="V6" s="598"/>
      <c r="W6" s="598"/>
      <c r="X6" s="598"/>
      <c r="Y6" s="598"/>
      <c r="Z6" s="598"/>
    </row>
    <row r="7" spans="1:26" ht="13" x14ac:dyDescent="0.3">
      <c r="A7" s="598"/>
      <c r="K7" s="608" t="str">
        <f>IF(details!D6&lt;&gt;"",details!D6,"")</f>
        <v/>
      </c>
      <c r="L7" s="607"/>
      <c r="N7" s="598"/>
      <c r="Q7" s="598"/>
      <c r="R7" s="598"/>
      <c r="S7" s="598"/>
      <c r="T7" s="598"/>
      <c r="U7" s="598"/>
      <c r="V7" s="598"/>
      <c r="W7" s="598"/>
      <c r="X7" s="598"/>
      <c r="Y7" s="598"/>
      <c r="Z7" s="598"/>
    </row>
    <row r="8" spans="1:26" ht="69.75" customHeight="1" x14ac:dyDescent="0.25">
      <c r="A8" s="598"/>
      <c r="N8" s="598"/>
      <c r="Q8" s="598"/>
      <c r="R8" s="598"/>
      <c r="S8" s="598"/>
      <c r="T8" s="598"/>
      <c r="U8" s="598"/>
      <c r="V8" s="598"/>
      <c r="W8" s="598"/>
      <c r="X8" s="598"/>
      <c r="Y8" s="598"/>
      <c r="Z8" s="598"/>
    </row>
    <row r="9" spans="1:26" ht="22.5" x14ac:dyDescent="0.45">
      <c r="A9" s="598"/>
      <c r="C9" s="609" t="str">
        <f>text!B45</f>
        <v>Business Rates Liability and Savings 2023 List</v>
      </c>
      <c r="D9" s="610"/>
      <c r="E9" s="610"/>
      <c r="F9" s="610"/>
      <c r="G9" s="610"/>
      <c r="H9" s="610"/>
      <c r="I9" s="610"/>
      <c r="J9" s="610"/>
      <c r="K9" s="610"/>
      <c r="L9" s="610"/>
      <c r="N9" s="598"/>
      <c r="Q9" s="598"/>
      <c r="R9" s="598"/>
      <c r="S9" s="598"/>
      <c r="T9" s="598"/>
      <c r="U9" s="598"/>
      <c r="V9" s="598"/>
      <c r="W9" s="598"/>
      <c r="X9" s="598"/>
      <c r="Y9" s="598"/>
      <c r="Z9" s="598"/>
    </row>
    <row r="10" spans="1:26" x14ac:dyDescent="0.25">
      <c r="A10" s="598"/>
      <c r="N10" s="598"/>
      <c r="Q10" s="598"/>
      <c r="R10" s="598"/>
      <c r="S10" s="598"/>
      <c r="T10" s="598"/>
      <c r="U10" s="598"/>
      <c r="V10" s="598"/>
      <c r="W10" s="598"/>
      <c r="X10" s="598"/>
      <c r="Y10" s="598"/>
      <c r="Z10" s="598"/>
    </row>
    <row r="11" spans="1:26" ht="17.5" x14ac:dyDescent="0.35">
      <c r="A11" s="598"/>
      <c r="D11" s="611"/>
      <c r="E11" s="611"/>
      <c r="F11" s="611"/>
      <c r="G11" s="612" t="str">
        <f>IF(O11=2,"",IF(details!D7=0,"complete the property details page to show client here",details!D7))</f>
        <v>complete the property details page to show client here</v>
      </c>
      <c r="H11" s="611"/>
      <c r="I11" s="611"/>
      <c r="J11" s="611"/>
      <c r="K11" s="611"/>
      <c r="L11" s="611"/>
      <c r="N11" s="598"/>
      <c r="O11" s="613">
        <v>1</v>
      </c>
      <c r="Q11" s="598"/>
      <c r="R11" s="598"/>
      <c r="S11" s="598"/>
      <c r="T11" s="598"/>
      <c r="U11" s="598"/>
      <c r="V11" s="598"/>
      <c r="W11" s="598"/>
      <c r="X11" s="598"/>
      <c r="Y11" s="598"/>
      <c r="Z11" s="598"/>
    </row>
    <row r="12" spans="1:26" ht="17.5" x14ac:dyDescent="0.35">
      <c r="A12" s="598"/>
      <c r="D12" s="614"/>
      <c r="E12" s="614"/>
      <c r="F12" s="614"/>
      <c r="G12" s="612" t="str">
        <f>IF(O11=2,"",IF(details!D8=0,"complete the property details page to show address here",details!D8))</f>
        <v>complete the property details page to show address here</v>
      </c>
      <c r="H12" s="614"/>
      <c r="I12" s="614"/>
      <c r="J12" s="614"/>
      <c r="K12" s="614"/>
      <c r="L12" s="614"/>
      <c r="N12" s="598"/>
      <c r="Q12" s="598"/>
      <c r="R12" s="598"/>
      <c r="S12" s="598"/>
      <c r="T12" s="598"/>
      <c r="U12" s="598"/>
      <c r="V12" s="598"/>
      <c r="W12" s="598"/>
      <c r="X12" s="598"/>
      <c r="Y12" s="598"/>
      <c r="Z12" s="598"/>
    </row>
    <row r="13" spans="1:26" ht="17.5" x14ac:dyDescent="0.35">
      <c r="A13" s="598"/>
      <c r="C13" s="613"/>
      <c r="D13" s="613"/>
      <c r="E13" s="613"/>
      <c r="F13" s="613"/>
      <c r="G13" s="612" t="str">
        <f>IF(O11=2,"",details!D9&amp;", "&amp;details!D10)</f>
        <v xml:space="preserve">, </v>
      </c>
      <c r="H13" s="613"/>
      <c r="I13" s="613"/>
      <c r="J13" s="613"/>
      <c r="K13" s="613"/>
      <c r="L13" s="613"/>
      <c r="N13" s="598"/>
      <c r="Q13" s="598"/>
      <c r="R13" s="598"/>
      <c r="S13" s="598"/>
      <c r="T13" s="598"/>
      <c r="U13" s="598"/>
      <c r="V13" s="598"/>
      <c r="W13" s="598"/>
      <c r="X13" s="598"/>
      <c r="Y13" s="598"/>
      <c r="Z13" s="598"/>
    </row>
    <row r="14" spans="1:26" x14ac:dyDescent="0.25">
      <c r="A14" s="598"/>
      <c r="C14" s="613"/>
      <c r="D14" s="613"/>
      <c r="E14" s="613"/>
      <c r="F14" s="613"/>
      <c r="G14" s="613"/>
      <c r="H14" s="613"/>
      <c r="I14" s="613"/>
      <c r="J14" s="613"/>
      <c r="K14" s="613"/>
      <c r="L14" s="613"/>
      <c r="N14" s="598"/>
      <c r="O14" s="600" t="s">
        <v>2654</v>
      </c>
      <c r="Q14" s="598"/>
      <c r="R14" s="598"/>
      <c r="S14" s="598"/>
      <c r="T14" s="598"/>
      <c r="U14" s="598"/>
      <c r="V14" s="598"/>
      <c r="W14" s="598"/>
      <c r="X14" s="598"/>
      <c r="Y14" s="598"/>
      <c r="Z14" s="598"/>
    </row>
    <row r="15" spans="1:26" x14ac:dyDescent="0.25">
      <c r="A15" s="598"/>
      <c r="C15" s="613"/>
      <c r="D15" s="613"/>
      <c r="E15" s="613"/>
      <c r="F15" s="613"/>
      <c r="G15" s="613"/>
      <c r="H15" s="613"/>
      <c r="I15" s="613"/>
      <c r="J15" s="613"/>
      <c r="K15" s="613"/>
      <c r="L15" s="613"/>
      <c r="N15" s="598"/>
      <c r="O15" s="613" t="b">
        <v>1</v>
      </c>
      <c r="Q15" s="598"/>
      <c r="R15" s="598"/>
      <c r="S15" s="598"/>
      <c r="T15" s="598"/>
      <c r="U15" s="598"/>
      <c r="V15" s="598"/>
      <c r="W15" s="598"/>
      <c r="X15" s="598"/>
      <c r="Y15" s="598"/>
      <c r="Z15" s="598"/>
    </row>
    <row r="16" spans="1:26" ht="13" x14ac:dyDescent="0.3">
      <c r="A16" s="598"/>
      <c r="C16" s="615" t="str">
        <f>IF(calc1!B102=TRUE,text!B46,"")</f>
        <v/>
      </c>
      <c r="D16" s="615"/>
      <c r="E16" s="615"/>
      <c r="F16" s="615"/>
      <c r="G16" s="615"/>
      <c r="H16" s="615"/>
      <c r="I16" s="615"/>
      <c r="J16" s="615"/>
      <c r="K16" s="616"/>
      <c r="L16" s="615"/>
      <c r="N16" s="598"/>
      <c r="Q16" s="598"/>
      <c r="R16" s="598"/>
      <c r="S16" s="598"/>
      <c r="T16" s="598"/>
      <c r="U16" s="598"/>
      <c r="V16" s="598"/>
      <c r="W16" s="598"/>
      <c r="X16" s="598"/>
      <c r="Y16" s="598"/>
      <c r="Z16" s="598"/>
    </row>
    <row r="17" spans="1:26" x14ac:dyDescent="0.25">
      <c r="A17" s="598"/>
      <c r="C17" s="617"/>
      <c r="D17" s="617"/>
      <c r="E17" s="617"/>
      <c r="F17" s="617"/>
      <c r="N17" s="598"/>
      <c r="Q17" s="598"/>
      <c r="R17" s="598"/>
      <c r="S17" s="598"/>
      <c r="T17" s="598"/>
      <c r="U17" s="598"/>
      <c r="V17" s="598"/>
      <c r="W17" s="598"/>
      <c r="X17" s="598"/>
      <c r="Y17" s="598"/>
      <c r="Z17" s="598"/>
    </row>
    <row r="18" spans="1:26" s="619" customFormat="1" ht="25.5" customHeight="1" x14ac:dyDescent="0.25">
      <c r="A18" s="618"/>
      <c r="C18" s="620" t="s">
        <v>2655</v>
      </c>
      <c r="D18" s="621"/>
      <c r="E18" s="621"/>
      <c r="F18" s="622"/>
      <c r="G18" s="623" t="str">
        <f>IF(O15=TRUE,"Original Liability at RV","Original Liability")</f>
        <v>Original Liability at RV</v>
      </c>
      <c r="H18" s="624"/>
      <c r="I18" s="623" t="str">
        <f>IF(O15=TRUE,"Revised Liability at RV","Revised Liability")</f>
        <v>Revised Liability at RV</v>
      </c>
      <c r="J18" s="624"/>
      <c r="K18" s="625" t="str">
        <f ca="1">IF(P25&gt;0,"*Saving","Saving")</f>
        <v>Saving</v>
      </c>
      <c r="L18" s="624"/>
      <c r="N18" s="598"/>
      <c r="O18" s="626"/>
      <c r="Q18" s="618"/>
      <c r="R18" s="598"/>
      <c r="S18" s="598"/>
      <c r="T18" s="598"/>
      <c r="U18" s="598"/>
      <c r="V18" s="598"/>
      <c r="W18" s="598"/>
      <c r="X18" s="598"/>
      <c r="Y18" s="598"/>
      <c r="Z18" s="598"/>
    </row>
    <row r="19" spans="1:26" x14ac:dyDescent="0.25">
      <c r="A19" s="598"/>
      <c r="C19" s="627"/>
      <c r="D19" s="628"/>
      <c r="E19" s="628"/>
      <c r="F19" s="629"/>
      <c r="G19" s="630">
        <f>IF(O15=TRUE,basic!I6,"")</f>
        <v>0</v>
      </c>
      <c r="H19" s="631"/>
      <c r="I19" s="630">
        <f>IF(O15=TRUE,basic!I7,"")</f>
        <v>0</v>
      </c>
      <c r="J19" s="631"/>
      <c r="K19" s="627"/>
      <c r="L19" s="629"/>
      <c r="N19" s="598"/>
      <c r="Q19" s="598"/>
      <c r="R19" s="598"/>
      <c r="S19" s="598"/>
      <c r="T19" s="598"/>
      <c r="U19" s="598"/>
      <c r="V19" s="598"/>
      <c r="W19" s="598"/>
      <c r="X19" s="598"/>
      <c r="Y19" s="598"/>
      <c r="Z19" s="598"/>
    </row>
    <row r="20" spans="1:26" x14ac:dyDescent="0.25">
      <c r="A20" s="598"/>
      <c r="C20" s="627"/>
      <c r="D20" s="628"/>
      <c r="E20" s="628"/>
      <c r="F20" s="629"/>
      <c r="G20" s="632"/>
      <c r="H20" s="631"/>
      <c r="I20" s="632"/>
      <c r="J20" s="631"/>
      <c r="K20" s="627"/>
      <c r="L20" s="629"/>
      <c r="N20" s="598"/>
      <c r="Q20" s="598"/>
      <c r="R20" s="598"/>
      <c r="S20" s="598"/>
      <c r="T20" s="598"/>
      <c r="U20" s="598"/>
      <c r="V20" s="598"/>
      <c r="W20" s="598"/>
      <c r="X20" s="598"/>
      <c r="Y20" s="598"/>
      <c r="Z20" s="598"/>
    </row>
    <row r="21" spans="1:26" x14ac:dyDescent="0.25">
      <c r="A21" s="598"/>
      <c r="C21" s="633"/>
      <c r="D21" s="634"/>
      <c r="E21" s="634"/>
      <c r="F21" s="635"/>
      <c r="G21" s="636"/>
      <c r="H21" s="637"/>
      <c r="I21" s="638"/>
      <c r="J21" s="637"/>
      <c r="K21" s="633"/>
      <c r="L21" s="635"/>
      <c r="N21" s="598"/>
      <c r="Q21" s="598"/>
      <c r="R21" s="598"/>
      <c r="S21" s="598"/>
      <c r="T21" s="598"/>
      <c r="U21" s="598"/>
      <c r="V21" s="598"/>
      <c r="W21" s="598"/>
      <c r="X21" s="598"/>
      <c r="Y21" s="598"/>
      <c r="Z21" s="598"/>
    </row>
    <row r="22" spans="1:26" ht="21.75" customHeight="1" x14ac:dyDescent="0.25">
      <c r="A22" s="598"/>
      <c r="C22" s="639">
        <f>text!B9</f>
        <v>45017</v>
      </c>
      <c r="D22" s="640" t="s">
        <v>2656</v>
      </c>
      <c r="E22" s="640">
        <f>text!C9</f>
        <v>45382</v>
      </c>
      <c r="F22" s="628" t="str">
        <f>RIGHT(text!F9,1)</f>
        <v xml:space="preserve"> </v>
      </c>
      <c r="G22" s="641">
        <f ca="1">basic!F15</f>
        <v>0</v>
      </c>
      <c r="H22" s="642"/>
      <c r="I22" s="641">
        <f ca="1">basic!H15</f>
        <v>0</v>
      </c>
      <c r="J22" s="643"/>
      <c r="K22" s="644">
        <f ca="1">G22-I22</f>
        <v>0</v>
      </c>
      <c r="L22" s="642"/>
      <c r="N22" s="598"/>
      <c r="O22" s="645" t="b">
        <f ca="1">K22&lt;0</f>
        <v>0</v>
      </c>
      <c r="P22" s="645">
        <f ca="1">IF(O22=TRUE,1,0)</f>
        <v>0</v>
      </c>
      <c r="Q22" s="598"/>
      <c r="R22" s="598"/>
      <c r="S22" s="598"/>
      <c r="T22" s="598"/>
      <c r="U22" s="598"/>
      <c r="V22" s="598"/>
      <c r="W22" s="598"/>
      <c r="X22" s="598"/>
      <c r="Y22" s="598"/>
      <c r="Z22" s="598"/>
    </row>
    <row r="23" spans="1:26" ht="15" customHeight="1" x14ac:dyDescent="0.25">
      <c r="A23" s="598"/>
      <c r="C23" s="639">
        <f>text!B10</f>
        <v>45383</v>
      </c>
      <c r="D23" s="640" t="s">
        <v>2656</v>
      </c>
      <c r="E23" s="640">
        <f>text!C10</f>
        <v>45747</v>
      </c>
      <c r="F23" s="628" t="str">
        <f>RIGHT(text!F10,1)</f>
        <v xml:space="preserve"> </v>
      </c>
      <c r="G23" s="646">
        <f ca="1">basic!F16</f>
        <v>0</v>
      </c>
      <c r="H23" s="647"/>
      <c r="I23" s="646">
        <f ca="1">basic!H16</f>
        <v>0</v>
      </c>
      <c r="J23" s="648"/>
      <c r="K23" s="649">
        <f ca="1">G23-I23</f>
        <v>0</v>
      </c>
      <c r="L23" s="647"/>
      <c r="N23" s="598"/>
      <c r="O23" s="645" t="b">
        <f ca="1">K23&lt;0</f>
        <v>0</v>
      </c>
      <c r="P23" s="645">
        <f ca="1">IF(O23=TRUE,1,0)</f>
        <v>0</v>
      </c>
      <c r="Q23" s="598"/>
      <c r="R23" s="598"/>
      <c r="S23" s="598"/>
      <c r="T23" s="598"/>
      <c r="U23" s="598"/>
      <c r="V23" s="598"/>
      <c r="W23" s="598"/>
      <c r="X23" s="598"/>
      <c r="Y23" s="598"/>
      <c r="Z23" s="598"/>
    </row>
    <row r="24" spans="1:26" ht="15" customHeight="1" x14ac:dyDescent="0.25">
      <c r="A24" s="598"/>
      <c r="C24" s="639">
        <f>text!B11</f>
        <v>45748</v>
      </c>
      <c r="D24" s="640" t="s">
        <v>2656</v>
      </c>
      <c r="E24" s="640">
        <f>text!C11</f>
        <v>46112</v>
      </c>
      <c r="F24" s="628" t="str">
        <f>RIGHT(text!F11,1)</f>
        <v xml:space="preserve"> </v>
      </c>
      <c r="G24" s="646">
        <f ca="1">basic!F17</f>
        <v>0</v>
      </c>
      <c r="H24" s="647"/>
      <c r="I24" s="646">
        <f ca="1">basic!H17</f>
        <v>0</v>
      </c>
      <c r="J24" s="648"/>
      <c r="K24" s="649">
        <f ca="1">G24-I24</f>
        <v>0</v>
      </c>
      <c r="L24" s="647"/>
      <c r="N24" s="598"/>
      <c r="O24" s="645" t="b">
        <f ca="1">K24&lt;0</f>
        <v>0</v>
      </c>
      <c r="P24" s="645">
        <f ca="1">IF(O24=TRUE,1,0)</f>
        <v>0</v>
      </c>
      <c r="Q24" s="598"/>
      <c r="R24" s="598"/>
      <c r="S24" s="598"/>
      <c r="T24" s="598"/>
      <c r="U24" s="598"/>
      <c r="V24" s="598"/>
      <c r="W24" s="598"/>
      <c r="X24" s="598"/>
      <c r="Y24" s="598"/>
      <c r="Z24" s="598"/>
    </row>
    <row r="25" spans="1:26" x14ac:dyDescent="0.25">
      <c r="A25" s="598"/>
      <c r="C25" s="633"/>
      <c r="D25" s="634"/>
      <c r="E25" s="634"/>
      <c r="F25" s="635"/>
      <c r="G25" s="650"/>
      <c r="H25" s="651"/>
      <c r="I25" s="650"/>
      <c r="J25" s="652"/>
      <c r="K25" s="653"/>
      <c r="L25" s="651"/>
      <c r="N25" s="598"/>
      <c r="P25" s="600">
        <f ca="1">SUM(P22:P24)</f>
        <v>0</v>
      </c>
      <c r="Q25" s="598"/>
      <c r="R25" s="598"/>
      <c r="S25" s="598"/>
      <c r="T25" s="598"/>
      <c r="U25" s="598"/>
      <c r="V25" s="598"/>
      <c r="W25" s="598"/>
      <c r="X25" s="598"/>
      <c r="Y25" s="598"/>
      <c r="Z25" s="598"/>
    </row>
    <row r="26" spans="1:26" ht="25.5" customHeight="1" x14ac:dyDescent="0.3">
      <c r="A26" s="598"/>
      <c r="C26" s="654" t="str">
        <f>"Total Saving from "&amp;TEXT(basic!I23,("dd/mm/yy"))&amp;" to "&amp;TEXT(basic!I24,("dd/mm/yy"))</f>
        <v>Total Saving from 01/04/23 to 31/03/26</v>
      </c>
      <c r="D26" s="628"/>
      <c r="E26" s="628"/>
      <c r="F26" s="628"/>
      <c r="G26" s="648"/>
      <c r="H26" s="648"/>
      <c r="I26" s="648"/>
      <c r="J26" s="648"/>
      <c r="K26" s="655">
        <f ca="1">SUM(K22:K25)</f>
        <v>0</v>
      </c>
      <c r="L26" s="642"/>
      <c r="N26" s="598"/>
      <c r="Q26" s="598"/>
      <c r="R26" s="598"/>
      <c r="S26" s="598"/>
      <c r="T26" s="598"/>
      <c r="U26" s="598"/>
      <c r="V26" s="598"/>
      <c r="W26" s="598"/>
      <c r="X26" s="598"/>
      <c r="Y26" s="598"/>
      <c r="Z26" s="598"/>
    </row>
    <row r="27" spans="1:26" ht="13.5" thickBot="1" x14ac:dyDescent="0.35">
      <c r="A27" s="598"/>
      <c r="C27" s="656"/>
      <c r="D27" s="657"/>
      <c r="E27" s="657"/>
      <c r="F27" s="657"/>
      <c r="G27" s="657"/>
      <c r="H27" s="657"/>
      <c r="I27" s="657"/>
      <c r="J27" s="657"/>
      <c r="K27" s="657"/>
      <c r="L27" s="658"/>
      <c r="N27" s="598"/>
      <c r="Q27" s="598"/>
      <c r="R27" s="598"/>
      <c r="S27" s="598"/>
      <c r="T27" s="598"/>
      <c r="U27" s="598"/>
      <c r="V27" s="598"/>
      <c r="W27" s="598"/>
      <c r="X27" s="598"/>
      <c r="Y27" s="598"/>
      <c r="Z27" s="598"/>
    </row>
    <row r="28" spans="1:26" ht="13.5" thickTop="1" x14ac:dyDescent="0.3">
      <c r="A28" s="598"/>
      <c r="K28" s="659" t="str">
        <f ca="1">IF(P25&gt;0,"*an increase is shown in brackets","")</f>
        <v/>
      </c>
      <c r="N28" s="598"/>
      <c r="Q28" s="598"/>
      <c r="R28" s="598"/>
      <c r="S28" s="598"/>
      <c r="T28" s="598"/>
      <c r="U28" s="598"/>
      <c r="V28" s="598"/>
      <c r="W28" s="598"/>
      <c r="X28" s="598"/>
      <c r="Y28" s="598"/>
      <c r="Z28" s="598"/>
    </row>
    <row r="29" spans="1:26" ht="13" x14ac:dyDescent="0.3">
      <c r="A29" s="598"/>
      <c r="C29" s="670" t="str">
        <f>'basic output'!C53</f>
        <v xml:space="preserve"> </v>
      </c>
      <c r="G29" s="660"/>
      <c r="N29" s="598"/>
      <c r="Q29" s="598"/>
      <c r="R29" s="598"/>
      <c r="S29" s="598"/>
      <c r="T29" s="598"/>
      <c r="U29" s="598"/>
      <c r="V29" s="598"/>
      <c r="W29" s="598"/>
      <c r="X29" s="598"/>
      <c r="Y29" s="598"/>
      <c r="Z29" s="598"/>
    </row>
    <row r="30" spans="1:26" ht="13" x14ac:dyDescent="0.3">
      <c r="A30" s="598"/>
      <c r="C30" s="661" t="str">
        <f>'basic output'!C52</f>
        <v xml:space="preserve">'e' indicates that the liability is estimated </v>
      </c>
      <c r="D30" s="660"/>
      <c r="N30" s="598"/>
      <c r="Q30" s="598"/>
      <c r="R30" s="598"/>
      <c r="S30" s="598"/>
      <c r="T30" s="598"/>
      <c r="U30" s="598"/>
      <c r="V30" s="598"/>
      <c r="W30" s="598"/>
      <c r="X30" s="598"/>
      <c r="Y30" s="598"/>
      <c r="Z30" s="598"/>
    </row>
    <row r="31" spans="1:26" x14ac:dyDescent="0.25">
      <c r="A31" s="598"/>
      <c r="C31" s="661" t="str">
        <f>IF(calc1!D58 = TRUE,text!B47,"")</f>
        <v/>
      </c>
      <c r="N31" s="598"/>
      <c r="Q31" s="598"/>
      <c r="R31" s="598"/>
      <c r="S31" s="598"/>
      <c r="T31" s="598"/>
      <c r="U31" s="598"/>
      <c r="V31" s="598"/>
      <c r="W31" s="598"/>
      <c r="X31" s="598"/>
      <c r="Y31" s="598"/>
      <c r="Z31" s="598"/>
    </row>
    <row r="32" spans="1:26" ht="13" x14ac:dyDescent="0.3">
      <c r="A32" s="598"/>
      <c r="C32" s="661" t="str">
        <f>IF(calc2!D58 = TRUE,text!B48,"")</f>
        <v/>
      </c>
      <c r="H32" s="662"/>
      <c r="I32" s="663"/>
      <c r="J32" s="663"/>
      <c r="K32" s="664"/>
      <c r="L32" s="664"/>
      <c r="N32" s="598"/>
      <c r="Q32" s="598"/>
      <c r="R32" s="598"/>
      <c r="S32" s="598"/>
      <c r="T32" s="598"/>
      <c r="U32" s="598"/>
      <c r="V32" s="598"/>
      <c r="W32" s="598"/>
      <c r="X32" s="598"/>
      <c r="Y32" s="598"/>
      <c r="Z32" s="598"/>
    </row>
    <row r="33" spans="1:26" x14ac:dyDescent="0.25">
      <c r="A33" s="598"/>
      <c r="C33" s="661" t="str">
        <f ca="1">IF(calc1!B130 = TRUE,text!B49,"")</f>
        <v/>
      </c>
      <c r="N33" s="598"/>
      <c r="Q33" s="598"/>
      <c r="R33" s="598"/>
      <c r="S33" s="598"/>
      <c r="T33" s="598"/>
      <c r="U33" s="598"/>
      <c r="V33" s="598"/>
      <c r="W33" s="598"/>
      <c r="X33" s="598"/>
      <c r="Y33" s="598"/>
      <c r="Z33" s="598"/>
    </row>
    <row r="34" spans="1:26" x14ac:dyDescent="0.25">
      <c r="A34" s="598"/>
      <c r="C34" s="661" t="str">
        <f ca="1">IF(calc2!B130 = TRUE,text!B50,"")</f>
        <v/>
      </c>
      <c r="N34" s="598"/>
      <c r="Q34" s="598"/>
      <c r="R34" s="598"/>
      <c r="S34" s="598"/>
      <c r="T34" s="598"/>
      <c r="U34" s="598"/>
      <c r="V34" s="598"/>
      <c r="W34" s="598"/>
      <c r="X34" s="598"/>
      <c r="Y34" s="598"/>
      <c r="Z34" s="598"/>
    </row>
    <row r="35" spans="1:26" x14ac:dyDescent="0.25">
      <c r="A35" s="598"/>
      <c r="N35" s="598"/>
      <c r="Q35" s="598"/>
      <c r="R35" s="598"/>
      <c r="S35" s="598"/>
      <c r="T35" s="598"/>
      <c r="U35" s="598"/>
      <c r="V35" s="598"/>
      <c r="W35" s="598"/>
      <c r="X35" s="598"/>
      <c r="Y35" s="598"/>
      <c r="Z35" s="598"/>
    </row>
    <row r="36" spans="1:26" x14ac:dyDescent="0.25">
      <c r="A36" s="598"/>
      <c r="N36" s="598"/>
      <c r="Q36" s="598"/>
      <c r="R36" s="598"/>
      <c r="S36" s="598"/>
      <c r="T36" s="598"/>
      <c r="U36" s="598"/>
      <c r="V36" s="598"/>
      <c r="W36" s="598"/>
      <c r="X36" s="598"/>
      <c r="Y36" s="598"/>
      <c r="Z36" s="598"/>
    </row>
    <row r="37" spans="1:26" x14ac:dyDescent="0.25">
      <c r="A37" s="598"/>
      <c r="N37" s="598"/>
      <c r="Q37" s="598"/>
      <c r="R37" s="598"/>
      <c r="S37" s="598"/>
      <c r="T37" s="598"/>
      <c r="U37" s="598"/>
      <c r="V37" s="598"/>
      <c r="W37" s="598"/>
      <c r="X37" s="598"/>
      <c r="Y37" s="598"/>
      <c r="Z37" s="598"/>
    </row>
    <row r="38" spans="1:26" ht="13" x14ac:dyDescent="0.3">
      <c r="A38" s="598"/>
      <c r="K38" s="665"/>
      <c r="L38" s="665"/>
      <c r="N38" s="598"/>
      <c r="Q38" s="598"/>
      <c r="R38" s="598"/>
      <c r="S38" s="598"/>
      <c r="T38" s="598"/>
      <c r="U38" s="598"/>
      <c r="V38" s="598"/>
      <c r="W38" s="598"/>
      <c r="X38" s="598"/>
      <c r="Y38" s="598"/>
      <c r="Z38" s="598"/>
    </row>
    <row r="39" spans="1:26" ht="13" x14ac:dyDescent="0.3">
      <c r="A39" s="598"/>
      <c r="K39" s="665"/>
      <c r="L39" s="665"/>
      <c r="N39" s="598"/>
      <c r="Q39" s="598"/>
      <c r="R39" s="598"/>
      <c r="S39" s="598"/>
      <c r="T39" s="598"/>
      <c r="U39" s="598"/>
      <c r="V39" s="598"/>
      <c r="W39" s="598"/>
      <c r="X39" s="598"/>
      <c r="Y39" s="598"/>
      <c r="Z39" s="598"/>
    </row>
    <row r="40" spans="1:26" x14ac:dyDescent="0.25">
      <c r="A40" s="598"/>
      <c r="N40" s="598"/>
      <c r="Q40" s="598"/>
      <c r="R40" s="598"/>
      <c r="S40" s="598"/>
      <c r="T40" s="598"/>
      <c r="U40" s="598"/>
      <c r="V40" s="598"/>
      <c r="W40" s="598"/>
      <c r="X40" s="598"/>
      <c r="Y40" s="598"/>
      <c r="Z40" s="598"/>
    </row>
    <row r="41" spans="1:26" x14ac:dyDescent="0.25">
      <c r="A41" s="598"/>
      <c r="N41" s="598"/>
      <c r="Q41" s="598"/>
      <c r="R41" s="598"/>
      <c r="S41" s="598"/>
      <c r="T41" s="598"/>
      <c r="U41" s="598"/>
      <c r="V41" s="598"/>
      <c r="W41" s="598"/>
      <c r="X41" s="598"/>
      <c r="Y41" s="598"/>
      <c r="Z41" s="598"/>
    </row>
    <row r="42" spans="1:26" ht="13" x14ac:dyDescent="0.3">
      <c r="A42" s="598"/>
      <c r="C42" s="666"/>
      <c r="F42" s="666"/>
      <c r="K42" s="666"/>
      <c r="L42" s="666"/>
      <c r="N42" s="598"/>
      <c r="Q42" s="598"/>
      <c r="R42" s="598"/>
      <c r="S42" s="598"/>
      <c r="T42" s="598"/>
      <c r="U42" s="598"/>
      <c r="V42" s="598"/>
      <c r="W42" s="598"/>
      <c r="X42" s="598"/>
      <c r="Y42" s="598"/>
      <c r="Z42" s="598"/>
    </row>
    <row r="43" spans="1:26" x14ac:dyDescent="0.25">
      <c r="A43" s="598"/>
      <c r="N43" s="598"/>
      <c r="Q43" s="598"/>
      <c r="R43" s="598"/>
      <c r="S43" s="598"/>
      <c r="T43" s="598"/>
      <c r="U43" s="598"/>
      <c r="V43" s="598"/>
      <c r="W43" s="598"/>
      <c r="X43" s="598"/>
      <c r="Y43" s="598"/>
      <c r="Z43" s="598"/>
    </row>
    <row r="44" spans="1:26" ht="17.5" x14ac:dyDescent="0.35">
      <c r="A44" s="598"/>
      <c r="C44" s="667" t="s">
        <v>2657</v>
      </c>
      <c r="E44" s="668" t="str">
        <f>'basic output'!E57</f>
        <v>CBRE</v>
      </c>
      <c r="G44" s="662"/>
      <c r="H44" s="662"/>
      <c r="K44" s="669">
        <f ca="1">TODAY()</f>
        <v>46155</v>
      </c>
      <c r="L44" s="608"/>
      <c r="N44" s="598"/>
      <c r="Q44" s="598"/>
      <c r="R44" s="598"/>
      <c r="S44" s="598"/>
      <c r="T44" s="598"/>
      <c r="U44" s="598"/>
      <c r="V44" s="598"/>
      <c r="W44" s="598"/>
      <c r="X44" s="598"/>
      <c r="Y44" s="598"/>
      <c r="Z44" s="598"/>
    </row>
    <row r="45" spans="1:26" x14ac:dyDescent="0.25">
      <c r="A45" s="598"/>
      <c r="N45" s="598"/>
      <c r="Q45" s="598"/>
      <c r="R45" s="598"/>
      <c r="S45" s="598"/>
      <c r="T45" s="598"/>
      <c r="U45" s="598"/>
      <c r="V45" s="598"/>
      <c r="W45" s="598"/>
      <c r="X45" s="598"/>
      <c r="Y45" s="598"/>
      <c r="Z45" s="598"/>
    </row>
    <row r="46" spans="1:26" x14ac:dyDescent="0.25">
      <c r="A46" s="598"/>
      <c r="B46" s="598"/>
      <c r="C46" s="598"/>
      <c r="D46" s="598"/>
      <c r="E46" s="598"/>
      <c r="F46" s="598"/>
      <c r="G46" s="598"/>
      <c r="H46" s="598"/>
      <c r="I46" s="598"/>
      <c r="J46" s="598"/>
      <c r="K46" s="598"/>
      <c r="L46" s="598"/>
      <c r="M46" s="598"/>
      <c r="N46" s="598"/>
      <c r="Q46" s="598"/>
      <c r="R46" s="598"/>
      <c r="S46" s="598"/>
      <c r="T46" s="598"/>
      <c r="U46" s="598"/>
      <c r="V46" s="598"/>
      <c r="W46" s="598"/>
      <c r="X46" s="598"/>
      <c r="Y46" s="598"/>
      <c r="Z46" s="598"/>
    </row>
    <row r="47" spans="1:26" x14ac:dyDescent="0.25">
      <c r="A47" s="598"/>
      <c r="B47" s="598"/>
      <c r="C47" s="598"/>
      <c r="D47" s="598"/>
      <c r="E47" s="598"/>
      <c r="F47" s="598"/>
      <c r="G47" s="598"/>
      <c r="H47" s="598"/>
      <c r="I47" s="598"/>
      <c r="J47" s="598"/>
      <c r="K47" s="598"/>
      <c r="L47" s="598"/>
      <c r="M47" s="598"/>
      <c r="N47" s="598"/>
      <c r="Q47" s="598"/>
      <c r="R47" s="598"/>
      <c r="S47" s="598"/>
      <c r="T47" s="598"/>
      <c r="U47" s="598"/>
      <c r="V47" s="598"/>
      <c r="W47" s="598"/>
      <c r="X47" s="598"/>
      <c r="Y47" s="598"/>
      <c r="Z47" s="598"/>
    </row>
    <row r="48" spans="1:26" x14ac:dyDescent="0.25">
      <c r="A48" s="598"/>
      <c r="B48" s="598"/>
      <c r="C48" s="598"/>
      <c r="D48" s="598"/>
      <c r="E48" s="598"/>
      <c r="F48" s="598"/>
      <c r="G48" s="598"/>
      <c r="H48" s="598"/>
      <c r="I48" s="598"/>
      <c r="J48" s="598"/>
      <c r="K48" s="598"/>
      <c r="L48" s="598"/>
      <c r="M48" s="598"/>
      <c r="N48" s="598"/>
      <c r="Q48" s="598"/>
      <c r="R48" s="598"/>
      <c r="S48" s="598"/>
      <c r="T48" s="598"/>
      <c r="U48" s="598"/>
      <c r="V48" s="598"/>
      <c r="W48" s="598"/>
      <c r="X48" s="598"/>
      <c r="Y48" s="598"/>
      <c r="Z48" s="598"/>
    </row>
    <row r="49" spans="1:26" x14ac:dyDescent="0.25">
      <c r="A49" s="598"/>
      <c r="B49" s="598"/>
      <c r="C49" s="598"/>
      <c r="D49" s="598"/>
      <c r="E49" s="598"/>
      <c r="F49" s="598"/>
      <c r="G49" s="598"/>
      <c r="H49" s="598"/>
      <c r="I49" s="598"/>
      <c r="J49" s="598"/>
      <c r="K49" s="598"/>
      <c r="L49" s="598"/>
      <c r="M49" s="598"/>
      <c r="N49" s="598"/>
      <c r="Q49" s="598"/>
      <c r="R49" s="598"/>
      <c r="S49" s="598"/>
      <c r="T49" s="598"/>
      <c r="U49" s="598"/>
      <c r="V49" s="598"/>
      <c r="W49" s="598"/>
      <c r="X49" s="598"/>
      <c r="Y49" s="598"/>
      <c r="Z49" s="598"/>
    </row>
    <row r="50" spans="1:26" x14ac:dyDescent="0.25">
      <c r="A50" s="598"/>
      <c r="B50" s="598"/>
      <c r="C50" s="598"/>
      <c r="D50" s="598"/>
      <c r="E50" s="598"/>
      <c r="F50" s="598"/>
      <c r="G50" s="598"/>
      <c r="H50" s="598"/>
      <c r="I50" s="598"/>
      <c r="J50" s="598"/>
      <c r="K50" s="598"/>
      <c r="L50" s="598"/>
      <c r="M50" s="598"/>
      <c r="N50" s="598"/>
      <c r="Q50" s="598"/>
      <c r="R50" s="598"/>
      <c r="S50" s="598"/>
      <c r="T50" s="598"/>
      <c r="U50" s="598"/>
      <c r="V50" s="598"/>
      <c r="W50" s="598"/>
      <c r="X50" s="598"/>
      <c r="Y50" s="598"/>
      <c r="Z50" s="598"/>
    </row>
    <row r="51" spans="1:26" x14ac:dyDescent="0.25">
      <c r="A51" s="598"/>
      <c r="B51" s="598"/>
      <c r="C51" s="598"/>
      <c r="D51" s="598"/>
      <c r="E51" s="598"/>
      <c r="F51" s="598"/>
      <c r="G51" s="598"/>
      <c r="H51" s="598"/>
      <c r="I51" s="598"/>
      <c r="J51" s="598"/>
      <c r="K51" s="598"/>
      <c r="L51" s="598"/>
      <c r="M51" s="598"/>
      <c r="N51" s="598"/>
      <c r="Q51" s="598"/>
      <c r="R51" s="598"/>
      <c r="S51" s="598"/>
      <c r="T51" s="598"/>
      <c r="U51" s="598"/>
      <c r="V51" s="598"/>
      <c r="W51" s="598"/>
      <c r="X51" s="598"/>
      <c r="Y51" s="598"/>
      <c r="Z51" s="598"/>
    </row>
    <row r="52" spans="1:26" x14ac:dyDescent="0.25">
      <c r="A52" s="598"/>
      <c r="B52" s="598"/>
      <c r="C52" s="598"/>
      <c r="D52" s="598"/>
      <c r="E52" s="598"/>
      <c r="F52" s="598"/>
      <c r="G52" s="598"/>
      <c r="H52" s="598"/>
      <c r="I52" s="598"/>
      <c r="J52" s="598"/>
      <c r="K52" s="598"/>
      <c r="L52" s="598"/>
      <c r="M52" s="598"/>
      <c r="N52" s="598"/>
      <c r="Q52" s="598"/>
      <c r="R52" s="598"/>
      <c r="S52" s="598"/>
      <c r="T52" s="598"/>
      <c r="U52" s="598"/>
      <c r="V52" s="598"/>
      <c r="W52" s="598"/>
      <c r="X52" s="598"/>
      <c r="Y52" s="598"/>
      <c r="Z52" s="598"/>
    </row>
    <row r="53" spans="1:26" x14ac:dyDescent="0.25">
      <c r="A53" s="598"/>
      <c r="B53" s="598"/>
      <c r="C53" s="598"/>
      <c r="D53" s="598"/>
      <c r="E53" s="598"/>
      <c r="F53" s="598"/>
      <c r="G53" s="598"/>
      <c r="H53" s="598"/>
      <c r="I53" s="598"/>
      <c r="J53" s="598"/>
      <c r="K53" s="598"/>
      <c r="L53" s="598"/>
      <c r="M53" s="598"/>
      <c r="N53" s="598"/>
      <c r="Q53" s="598"/>
      <c r="R53" s="598"/>
      <c r="S53" s="598"/>
      <c r="T53" s="598"/>
      <c r="U53" s="598"/>
      <c r="V53" s="598"/>
      <c r="W53" s="598"/>
      <c r="X53" s="598"/>
      <c r="Y53" s="598"/>
      <c r="Z53" s="598"/>
    </row>
    <row r="54" spans="1:26" x14ac:dyDescent="0.25">
      <c r="A54" s="598"/>
      <c r="B54" s="598"/>
      <c r="C54" s="598"/>
      <c r="D54" s="598"/>
      <c r="E54" s="598"/>
      <c r="F54" s="598"/>
      <c r="G54" s="598"/>
      <c r="H54" s="598"/>
      <c r="I54" s="598"/>
      <c r="J54" s="598"/>
      <c r="K54" s="598"/>
      <c r="L54" s="598"/>
      <c r="M54" s="598"/>
      <c r="N54" s="598"/>
      <c r="Q54" s="598"/>
      <c r="R54" s="598"/>
      <c r="S54" s="598"/>
      <c r="T54" s="598"/>
      <c r="U54" s="598"/>
      <c r="V54" s="598"/>
      <c r="W54" s="598"/>
      <c r="X54" s="598"/>
      <c r="Y54" s="598"/>
      <c r="Z54" s="598"/>
    </row>
    <row r="55" spans="1:26" x14ac:dyDescent="0.25">
      <c r="A55" s="598"/>
      <c r="B55" s="598"/>
      <c r="C55" s="598"/>
      <c r="D55" s="598"/>
      <c r="E55" s="598"/>
      <c r="F55" s="598"/>
      <c r="G55" s="598"/>
      <c r="H55" s="598"/>
      <c r="I55" s="598"/>
      <c r="J55" s="598"/>
      <c r="K55" s="598"/>
      <c r="L55" s="598"/>
      <c r="M55" s="598"/>
      <c r="N55" s="598"/>
      <c r="Q55" s="598"/>
      <c r="R55" s="598"/>
      <c r="S55" s="598"/>
      <c r="T55" s="598"/>
      <c r="U55" s="598"/>
      <c r="V55" s="598"/>
      <c r="W55" s="598"/>
      <c r="X55" s="598"/>
      <c r="Y55" s="598"/>
      <c r="Z55" s="598"/>
    </row>
  </sheetData>
  <sheetProtection password="BCD8" sheet="1" objects="1" scenarios="1"/>
  <phoneticPr fontId="80" type="noConversion"/>
  <pageMargins left="0.59" right="0.53" top="0.31" bottom="1" header="0.5" footer="0.5"/>
  <pageSetup paperSize="9" orientation="portrait" blackAndWhite="1" horizontalDpi="4294967292"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Check Box 1">
              <controlPr defaultSize="0" autoFill="0" autoLine="0" autoPict="0">
                <anchor moveWithCells="1">
                  <from>
                    <xdr:col>13</xdr:col>
                    <xdr:colOff>139700</xdr:colOff>
                    <xdr:row>13</xdr:row>
                    <xdr:rowOff>158750</xdr:rowOff>
                  </from>
                  <to>
                    <xdr:col>13</xdr:col>
                    <xdr:colOff>965200</xdr:colOff>
                    <xdr:row>15</xdr:row>
                    <xdr:rowOff>44450</xdr:rowOff>
                  </to>
                </anchor>
              </controlPr>
            </control>
          </mc:Choice>
        </mc:AlternateContent>
        <mc:AlternateContent xmlns:mc="http://schemas.openxmlformats.org/markup-compatibility/2006">
          <mc:Choice Requires="x14">
            <control shapeId="45058" r:id="rId5" name="Check Box 2">
              <controlPr defaultSize="0" autoFill="0" autoLine="0" autoPict="0">
                <anchor moveWithCells="1">
                  <from>
                    <xdr:col>9</xdr:col>
                    <xdr:colOff>127000</xdr:colOff>
                    <xdr:row>1</xdr:row>
                    <xdr:rowOff>165100</xdr:rowOff>
                  </from>
                  <to>
                    <xdr:col>10</xdr:col>
                    <xdr:colOff>774700</xdr:colOff>
                    <xdr:row>2</xdr:row>
                    <xdr:rowOff>6350</xdr:rowOff>
                  </to>
                </anchor>
              </controlPr>
            </control>
          </mc:Choice>
        </mc:AlternateContent>
        <mc:AlternateContent xmlns:mc="http://schemas.openxmlformats.org/markup-compatibility/2006">
          <mc:Choice Requires="x14">
            <control shapeId="45059" r:id="rId6" name="Button 3">
              <controlPr defaultSize="0" print="0" autoFill="0" autoPict="0" macro="[0]!goto_top">
                <anchor moveWithCells="1" sizeWithCells="1">
                  <from>
                    <xdr:col>13</xdr:col>
                    <xdr:colOff>114300</xdr:colOff>
                    <xdr:row>27</xdr:row>
                    <xdr:rowOff>152400</xdr:rowOff>
                  </from>
                  <to>
                    <xdr:col>13</xdr:col>
                    <xdr:colOff>1016000</xdr:colOff>
                    <xdr:row>31</xdr:row>
                    <xdr:rowOff>101600</xdr:rowOff>
                  </to>
                </anchor>
              </controlPr>
            </control>
          </mc:Choice>
        </mc:AlternateContent>
        <mc:AlternateContent xmlns:mc="http://schemas.openxmlformats.org/markup-compatibility/2006">
          <mc:Choice Requires="x14">
            <control shapeId="45060" r:id="rId7" name="Button 4">
              <controlPr defaultSize="0" print="0" autoFill="0" autoPict="0" macro="[0]!goto_top">
                <anchor moveWithCells="1" sizeWithCells="1">
                  <from>
                    <xdr:col>9</xdr:col>
                    <xdr:colOff>165100</xdr:colOff>
                    <xdr:row>45</xdr:row>
                    <xdr:rowOff>63500</xdr:rowOff>
                  </from>
                  <to>
                    <xdr:col>12</xdr:col>
                    <xdr:colOff>63500</xdr:colOff>
                    <xdr:row>47</xdr:row>
                    <xdr:rowOff>76200</xdr:rowOff>
                  </to>
                </anchor>
              </controlPr>
            </control>
          </mc:Choice>
        </mc:AlternateContent>
        <mc:AlternateContent xmlns:mc="http://schemas.openxmlformats.org/markup-compatibility/2006">
          <mc:Choice Requires="x14">
            <control shapeId="45061" r:id="rId8" name="Button 5">
              <controlPr defaultSize="0" print="0" autoFill="0" autoPict="0" macro="[0]!goto_home">
                <anchor moveWithCells="1" sizeWithCells="1">
                  <from>
                    <xdr:col>1</xdr:col>
                    <xdr:colOff>25400</xdr:colOff>
                    <xdr:row>0</xdr:row>
                    <xdr:rowOff>184150</xdr:rowOff>
                  </from>
                  <to>
                    <xdr:col>3</xdr:col>
                    <xdr:colOff>63500</xdr:colOff>
                    <xdr:row>1</xdr:row>
                    <xdr:rowOff>0</xdr:rowOff>
                  </to>
                </anchor>
              </controlPr>
            </control>
          </mc:Choice>
        </mc:AlternateContent>
        <mc:AlternateContent xmlns:mc="http://schemas.openxmlformats.org/markup-compatibility/2006">
          <mc:Choice Requires="x14">
            <control shapeId="45062" r:id="rId9" name="Button 6">
              <controlPr defaultSize="0" print="0" autoFill="0" autoPict="0" macro="[0]!goto_details">
                <anchor moveWithCells="1" sizeWithCells="1">
                  <from>
                    <xdr:col>3</xdr:col>
                    <xdr:colOff>69850</xdr:colOff>
                    <xdr:row>0</xdr:row>
                    <xdr:rowOff>184150</xdr:rowOff>
                  </from>
                  <to>
                    <xdr:col>4</xdr:col>
                    <xdr:colOff>603250</xdr:colOff>
                    <xdr:row>1</xdr:row>
                    <xdr:rowOff>0</xdr:rowOff>
                  </to>
                </anchor>
              </controlPr>
            </control>
          </mc:Choice>
        </mc:AlternateContent>
        <mc:AlternateContent xmlns:mc="http://schemas.openxmlformats.org/markup-compatibility/2006">
          <mc:Choice Requires="x14">
            <control shapeId="45063" r:id="rId10" name="Button 7">
              <controlPr defaultSize="0" print="0" autoFill="0" autoPict="0" macro="[0]!goto_basic">
                <anchor moveWithCells="1" sizeWithCells="1">
                  <from>
                    <xdr:col>4</xdr:col>
                    <xdr:colOff>609600</xdr:colOff>
                    <xdr:row>0</xdr:row>
                    <xdr:rowOff>184150</xdr:rowOff>
                  </from>
                  <to>
                    <xdr:col>6</xdr:col>
                    <xdr:colOff>615950</xdr:colOff>
                    <xdr:row>1</xdr:row>
                    <xdr:rowOff>0</xdr:rowOff>
                  </to>
                </anchor>
              </controlPr>
            </control>
          </mc:Choice>
        </mc:AlternateContent>
        <mc:AlternateContent xmlns:mc="http://schemas.openxmlformats.org/markup-compatibility/2006">
          <mc:Choice Requires="x14">
            <control shapeId="45064" r:id="rId11" name="Button 8">
              <controlPr defaultSize="0" print="0" autoFill="0" autoPict="0" macro="[0]!goto_basicreport">
                <anchor moveWithCells="1" sizeWithCells="1">
                  <from>
                    <xdr:col>6</xdr:col>
                    <xdr:colOff>622300</xdr:colOff>
                    <xdr:row>0</xdr:row>
                    <xdr:rowOff>184150</xdr:rowOff>
                  </from>
                  <to>
                    <xdr:col>8</xdr:col>
                    <xdr:colOff>406400</xdr:colOff>
                    <xdr:row>1</xdr:row>
                    <xdr:rowOff>0</xdr:rowOff>
                  </to>
                </anchor>
              </controlPr>
            </control>
          </mc:Choice>
        </mc:AlternateContent>
        <mc:AlternateContent xmlns:mc="http://schemas.openxmlformats.org/markup-compatibility/2006">
          <mc:Choice Requires="x14">
            <control shapeId="45065" r:id="rId12" name="Button 9">
              <controlPr defaultSize="0" print="0" autoFill="0" autoPict="0" macro="[0]!PrintThis">
                <anchor moveWithCells="1" sizeWithCells="1">
                  <from>
                    <xdr:col>8</xdr:col>
                    <xdr:colOff>412750</xdr:colOff>
                    <xdr:row>0</xdr:row>
                    <xdr:rowOff>184150</xdr:rowOff>
                  </from>
                  <to>
                    <xdr:col>10</xdr:col>
                    <xdr:colOff>228600</xdr:colOff>
                    <xdr:row>1</xdr:row>
                    <xdr:rowOff>0</xdr:rowOff>
                  </to>
                </anchor>
              </controlPr>
            </control>
          </mc:Choice>
        </mc:AlternateContent>
        <mc:AlternateContent xmlns:mc="http://schemas.openxmlformats.org/markup-compatibility/2006">
          <mc:Choice Requires="x14">
            <control shapeId="45066" r:id="rId13" name="Group Box 10">
              <controlPr defaultSize="0" autoFill="0" autoPict="0">
                <anchor moveWithCells="1">
                  <from>
                    <xdr:col>13</xdr:col>
                    <xdr:colOff>69850</xdr:colOff>
                    <xdr:row>9</xdr:row>
                    <xdr:rowOff>69850</xdr:rowOff>
                  </from>
                  <to>
                    <xdr:col>13</xdr:col>
                    <xdr:colOff>889000</xdr:colOff>
                    <xdr:row>12</xdr:row>
                    <xdr:rowOff>12700</xdr:rowOff>
                  </to>
                </anchor>
              </controlPr>
            </control>
          </mc:Choice>
        </mc:AlternateContent>
        <mc:AlternateContent xmlns:mc="http://schemas.openxmlformats.org/markup-compatibility/2006">
          <mc:Choice Requires="x14">
            <control shapeId="45067" r:id="rId14" name="Option Button 11">
              <controlPr defaultSize="0" autoFill="0" autoLine="0" autoPict="0">
                <anchor moveWithCells="1">
                  <from>
                    <xdr:col>13</xdr:col>
                    <xdr:colOff>158750</xdr:colOff>
                    <xdr:row>9</xdr:row>
                    <xdr:rowOff>139700</xdr:rowOff>
                  </from>
                  <to>
                    <xdr:col>13</xdr:col>
                    <xdr:colOff>692150</xdr:colOff>
                    <xdr:row>10</xdr:row>
                    <xdr:rowOff>184150</xdr:rowOff>
                  </to>
                </anchor>
              </controlPr>
            </control>
          </mc:Choice>
        </mc:AlternateContent>
        <mc:AlternateContent xmlns:mc="http://schemas.openxmlformats.org/markup-compatibility/2006">
          <mc:Choice Requires="x14">
            <control shapeId="45068" r:id="rId15" name="Option Button 12">
              <controlPr defaultSize="0" autoFill="0" autoLine="0" autoPict="0">
                <anchor moveWithCells="1">
                  <from>
                    <xdr:col>13</xdr:col>
                    <xdr:colOff>158750</xdr:colOff>
                    <xdr:row>10</xdr:row>
                    <xdr:rowOff>215900</xdr:rowOff>
                  </from>
                  <to>
                    <xdr:col>13</xdr:col>
                    <xdr:colOff>635000</xdr:colOff>
                    <xdr:row>11</xdr:row>
                    <xdr:rowOff>190500</xdr:rowOff>
                  </to>
                </anchor>
              </controlPr>
            </control>
          </mc:Choice>
        </mc:AlternateContent>
        <mc:AlternateContent xmlns:mc="http://schemas.openxmlformats.org/markup-compatibility/2006">
          <mc:Choice Requires="x14">
            <control shapeId="45069" r:id="rId16" name="Button 13">
              <controlPr defaultSize="0" print="0" autoFill="0" autoPict="0" macro="[0]!goto_interest">
                <anchor moveWithCells="1" sizeWithCells="1">
                  <from>
                    <xdr:col>10</xdr:col>
                    <xdr:colOff>234950</xdr:colOff>
                    <xdr:row>0</xdr:row>
                    <xdr:rowOff>184150</xdr:rowOff>
                  </from>
                  <to>
                    <xdr:col>11</xdr:col>
                    <xdr:colOff>0</xdr:colOff>
                    <xdr:row>1</xdr:row>
                    <xdr:rowOff>0</xdr:rowOff>
                  </to>
                </anchor>
              </controlPr>
            </control>
          </mc:Choice>
        </mc:AlternateContent>
        <mc:AlternateContent xmlns:mc="http://schemas.openxmlformats.org/markup-compatibility/2006">
          <mc:Choice Requires="x14">
            <control shapeId="45070" r:id="rId17" name="Button 14">
              <controlPr defaultSize="0" print="0" autoFill="0" autoPict="0" macro="[0]!copy_as_excel">
                <anchor moveWithCells="1" sizeWithCells="1">
                  <from>
                    <xdr:col>13</xdr:col>
                    <xdr:colOff>203200</xdr:colOff>
                    <xdr:row>1</xdr:row>
                    <xdr:rowOff>50800</xdr:rowOff>
                  </from>
                  <to>
                    <xdr:col>13</xdr:col>
                    <xdr:colOff>889000</xdr:colOff>
                    <xdr:row>2</xdr:row>
                    <xdr:rowOff>69850</xdr:rowOff>
                  </to>
                </anchor>
              </controlPr>
            </control>
          </mc:Choice>
        </mc:AlternateContent>
        <mc:AlternateContent xmlns:mc="http://schemas.openxmlformats.org/markup-compatibility/2006">
          <mc:Choice Requires="x14">
            <control shapeId="45071" r:id="rId18" name="Button 15">
              <controlPr defaultSize="0" print="0" autoFill="0" autoPict="0" macro="[0]!pdflauncher">
                <anchor moveWithCells="1" sizeWithCells="1">
                  <from>
                    <xdr:col>13</xdr:col>
                    <xdr:colOff>901700</xdr:colOff>
                    <xdr:row>1</xdr:row>
                    <xdr:rowOff>50800</xdr:rowOff>
                  </from>
                  <to>
                    <xdr:col>16</xdr:col>
                    <xdr:colOff>546100</xdr:colOff>
                    <xdr:row>2</xdr:row>
                    <xdr:rowOff>69850</xdr:rowOff>
                  </to>
                </anchor>
              </controlPr>
            </control>
          </mc:Choice>
        </mc:AlternateContent>
        <mc:AlternateContent xmlns:mc="http://schemas.openxmlformats.org/markup-compatibility/2006">
          <mc:Choice Requires="x14">
            <control shapeId="45072" r:id="rId19" name="Button 16">
              <controlPr defaultSize="0" print="0" autoFill="0" autoPict="0" macro="[0]!openfolder">
                <anchor moveWithCells="1" sizeWithCells="1">
                  <from>
                    <xdr:col>16</xdr:col>
                    <xdr:colOff>558800</xdr:colOff>
                    <xdr:row>1</xdr:row>
                    <xdr:rowOff>50800</xdr:rowOff>
                  </from>
                  <to>
                    <xdr:col>16</xdr:col>
                    <xdr:colOff>1092200</xdr:colOff>
                    <xdr:row>2</xdr:row>
                    <xdr:rowOff>69850</xdr:rowOff>
                  </to>
                </anchor>
              </controlPr>
            </control>
          </mc:Choice>
        </mc:AlternateContent>
        <mc:AlternateContent xmlns:mc="http://schemas.openxmlformats.org/markup-compatibility/2006">
          <mc:Choice Requires="x14">
            <control shapeId="45073" r:id="rId20" name="Button 17">
              <controlPr defaultSize="0" print="0" autoFill="0" autoPict="0" macro="[0]!goto_folder_settings">
                <anchor moveWithCells="1" sizeWithCells="1">
                  <from>
                    <xdr:col>16</xdr:col>
                    <xdr:colOff>1098550</xdr:colOff>
                    <xdr:row>1</xdr:row>
                    <xdr:rowOff>50800</xdr:rowOff>
                  </from>
                  <to>
                    <xdr:col>16</xdr:col>
                    <xdr:colOff>1631950</xdr:colOff>
                    <xdr:row>2</xdr:row>
                    <xdr:rowOff>69850</xdr:rowOff>
                  </to>
                </anchor>
              </controlPr>
            </control>
          </mc:Choice>
        </mc:AlternateContent>
        <mc:AlternateContent xmlns:mc="http://schemas.openxmlformats.org/markup-compatibility/2006">
          <mc:Choice Requires="x14">
            <control shapeId="45074" r:id="rId21" name="Button 18">
              <controlPr defaultSize="0" print="0" autoFill="0" autoPict="0" macro="[0]!email_pdf_launch">
                <anchor moveWithCells="1" sizeWithCells="1">
                  <from>
                    <xdr:col>16</xdr:col>
                    <xdr:colOff>6350</xdr:colOff>
                    <xdr:row>0</xdr:row>
                    <xdr:rowOff>152400</xdr:rowOff>
                  </from>
                  <to>
                    <xdr:col>16</xdr:col>
                    <xdr:colOff>692150</xdr:colOff>
                    <xdr:row>1</xdr:row>
                    <xdr:rowOff>44450</xdr:rowOff>
                  </to>
                </anchor>
              </controlPr>
            </control>
          </mc:Choice>
        </mc:AlternateContent>
        <mc:AlternateContent xmlns:mc="http://schemas.openxmlformats.org/markup-compatibility/2006">
          <mc:Choice Requires="x14">
            <control shapeId="45075" r:id="rId22" name="Button 19">
              <controlPr defaultSize="0" print="0" autoFill="0" autoPict="0" macro="[0]!email_copy_as_excel">
                <anchor moveWithCells="1" sizeWithCells="1">
                  <from>
                    <xdr:col>13</xdr:col>
                    <xdr:colOff>203200</xdr:colOff>
                    <xdr:row>0</xdr:row>
                    <xdr:rowOff>152400</xdr:rowOff>
                  </from>
                  <to>
                    <xdr:col>14</xdr:col>
                    <xdr:colOff>0</xdr:colOff>
                    <xdr:row>1</xdr:row>
                    <xdr:rowOff>44450</xdr:rowOff>
                  </to>
                </anchor>
              </controlPr>
            </control>
          </mc:Choice>
        </mc:AlternateContent>
        <mc:AlternateContent xmlns:mc="http://schemas.openxmlformats.org/markup-compatibility/2006">
          <mc:Choice Requires="x14">
            <control shapeId="45076" r:id="rId23" name="Button 20">
              <controlPr defaultSize="0" print="0" autoFill="0" autoPict="0" macro="[0]!emailsettings">
                <anchor moveWithCells="1" sizeWithCells="1">
                  <from>
                    <xdr:col>16</xdr:col>
                    <xdr:colOff>711200</xdr:colOff>
                    <xdr:row>0</xdr:row>
                    <xdr:rowOff>152400</xdr:rowOff>
                  </from>
                  <to>
                    <xdr:col>16</xdr:col>
                    <xdr:colOff>1631950</xdr:colOff>
                    <xdr:row>1</xdr:row>
                    <xdr:rowOff>44450</xdr:rowOff>
                  </to>
                </anchor>
              </controlPr>
            </control>
          </mc:Choice>
        </mc:AlternateContent>
        <mc:AlternateContent xmlns:mc="http://schemas.openxmlformats.org/markup-compatibility/2006">
          <mc:Choice Requires="x14">
            <control shapeId="45077" r:id="rId24" name="Button 21">
              <controlPr defaultSize="0" print="0" autoFill="0" autoPict="0" macro="[0]!goto_details">
                <anchor moveWithCells="1" sizeWithCells="1">
                  <from>
                    <xdr:col>0</xdr:col>
                    <xdr:colOff>107950</xdr:colOff>
                    <xdr:row>9</xdr:row>
                    <xdr:rowOff>63500</xdr:rowOff>
                  </from>
                  <to>
                    <xdr:col>0</xdr:col>
                    <xdr:colOff>774700</xdr:colOff>
                    <xdr:row>11</xdr:row>
                    <xdr:rowOff>177800</xdr:rowOff>
                  </to>
                </anchor>
              </controlPr>
            </control>
          </mc:Choice>
        </mc:AlternateContent>
        <mc:AlternateContent xmlns:mc="http://schemas.openxmlformats.org/markup-compatibility/2006">
          <mc:Choice Requires="x14">
            <control shapeId="45078" r:id="rId25" name="Button 22">
              <controlPr defaultSize="0" print="0" autoFill="0" autoPict="0" macro="[0]!goto_basic">
                <anchor moveWithCells="1" sizeWithCells="1">
                  <from>
                    <xdr:col>0</xdr:col>
                    <xdr:colOff>107950</xdr:colOff>
                    <xdr:row>17</xdr:row>
                    <xdr:rowOff>6350</xdr:rowOff>
                  </from>
                  <to>
                    <xdr:col>0</xdr:col>
                    <xdr:colOff>774700</xdr:colOff>
                    <xdr:row>19</xdr:row>
                    <xdr:rowOff>44450</xdr:rowOff>
                  </to>
                </anchor>
              </controlPr>
            </control>
          </mc:Choice>
        </mc:AlternateContent>
        <mc:AlternateContent xmlns:mc="http://schemas.openxmlformats.org/markup-compatibility/2006">
          <mc:Choice Requires="x14">
            <control shapeId="45079" r:id="rId26" name="Button 23">
              <controlPr defaultSize="0" print="0" autoFill="0" autoPict="0" macro="[0]!goto_basicreport">
                <anchor moveWithCells="1" sizeWithCells="1">
                  <from>
                    <xdr:col>13</xdr:col>
                    <xdr:colOff>114300</xdr:colOff>
                    <xdr:row>17</xdr:row>
                    <xdr:rowOff>0</xdr:rowOff>
                  </from>
                  <to>
                    <xdr:col>13</xdr:col>
                    <xdr:colOff>920750</xdr:colOff>
                    <xdr:row>19</xdr:row>
                    <xdr:rowOff>76200</xdr:rowOff>
                  </to>
                </anchor>
              </controlPr>
            </control>
          </mc:Choice>
        </mc:AlternateContent>
        <mc:AlternateContent xmlns:mc="http://schemas.openxmlformats.org/markup-compatibility/2006">
          <mc:Choice Requires="x14">
            <control shapeId="45080" r:id="rId27" name="globalbacktobutton">
              <controlPr defaultSize="0" print="0" autoFill="0" autoPict="0" macro="[0]!backto">
                <anchor moveWithCells="1" sizeWithCells="1">
                  <from>
                    <xdr:col>13</xdr:col>
                    <xdr:colOff>165100</xdr:colOff>
                    <xdr:row>3</xdr:row>
                    <xdr:rowOff>0</xdr:rowOff>
                  </from>
                  <to>
                    <xdr:col>13</xdr:col>
                    <xdr:colOff>793750</xdr:colOff>
                    <xdr:row>5</xdr:row>
                    <xdr:rowOff>127000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BD182-0D2A-4C8A-A892-32F3ECE38072}">
  <sheetPr codeName="Sheet35">
    <pageSetUpPr fitToPage="1"/>
  </sheetPr>
  <dimension ref="A1:AR139"/>
  <sheetViews>
    <sheetView showGridLines="0" workbookViewId="0">
      <selection activeCell="L2" sqref="L2"/>
    </sheetView>
  </sheetViews>
  <sheetFormatPr defaultColWidth="9.08984375" defaultRowHeight="12.5" x14ac:dyDescent="0.25"/>
  <cols>
    <col min="1" max="1" width="16.6328125" style="30" customWidth="1"/>
    <col min="2" max="2" width="2.6328125" style="30" customWidth="1"/>
    <col min="3" max="3" width="10.90625" style="30" customWidth="1"/>
    <col min="4" max="4" width="24" style="30" bestFit="1" customWidth="1"/>
    <col min="5" max="5" width="12.08984375" style="698" customWidth="1"/>
    <col min="6" max="6" width="5.54296875" style="698" customWidth="1"/>
    <col min="7" max="7" width="7" style="698" customWidth="1"/>
    <col min="8" max="8" width="12.54296875" style="30" bestFit="1" customWidth="1"/>
    <col min="9" max="9" width="12.453125" style="699" customWidth="1"/>
    <col min="10" max="10" width="4.36328125" style="30" customWidth="1"/>
    <col min="11" max="11" width="5.54296875" style="30" customWidth="1"/>
    <col min="12" max="16384" width="9.08984375" style="30"/>
  </cols>
  <sheetData>
    <row r="1" spans="1:44" x14ac:dyDescent="0.25">
      <c r="A1" s="695"/>
      <c r="B1" s="695"/>
      <c r="C1" s="695"/>
      <c r="D1" s="695"/>
      <c r="E1" s="696"/>
      <c r="F1" s="696"/>
      <c r="G1" s="696"/>
      <c r="H1" s="695"/>
      <c r="I1" s="697"/>
      <c r="J1" s="695"/>
      <c r="K1" s="695"/>
      <c r="L1" s="695"/>
      <c r="M1" s="695"/>
      <c r="N1" s="695"/>
      <c r="O1" s="695"/>
      <c r="P1" s="695"/>
      <c r="Q1" s="695"/>
      <c r="R1" s="695"/>
      <c r="S1" s="695"/>
      <c r="T1" s="695"/>
      <c r="U1" s="695"/>
      <c r="V1" s="695"/>
      <c r="W1" s="695"/>
      <c r="X1" s="695"/>
      <c r="Y1" s="695"/>
      <c r="Z1" s="695"/>
      <c r="AA1" s="695"/>
      <c r="AB1" s="695"/>
      <c r="AC1" s="695"/>
      <c r="AD1" s="695"/>
      <c r="AE1" s="695"/>
      <c r="AF1" s="695"/>
      <c r="AG1" s="695"/>
      <c r="AH1" s="695"/>
      <c r="AI1" s="695"/>
      <c r="AJ1" s="695"/>
      <c r="AK1" s="695"/>
      <c r="AL1" s="695"/>
      <c r="AM1" s="695"/>
      <c r="AN1" s="695"/>
      <c r="AO1" s="695"/>
      <c r="AP1" s="695"/>
      <c r="AQ1" s="695"/>
      <c r="AR1" s="695"/>
    </row>
    <row r="2" spans="1:44" x14ac:dyDescent="0.25">
      <c r="A2" s="695"/>
      <c r="B2" s="695"/>
      <c r="C2" s="695"/>
      <c r="D2" s="695"/>
      <c r="E2" s="696"/>
      <c r="F2" s="696"/>
      <c r="G2" s="696"/>
      <c r="H2" s="695"/>
      <c r="I2" s="697"/>
      <c r="J2" s="695"/>
      <c r="K2" s="695"/>
      <c r="L2" s="695"/>
      <c r="M2" s="695"/>
      <c r="N2" s="695"/>
      <c r="O2" s="695"/>
      <c r="P2" s="695"/>
      <c r="Q2" s="695"/>
      <c r="R2" s="695"/>
      <c r="S2" s="695"/>
      <c r="T2" s="695"/>
      <c r="U2" s="695"/>
      <c r="V2" s="695"/>
      <c r="W2" s="695"/>
      <c r="X2" s="695"/>
      <c r="Y2" s="695"/>
      <c r="Z2" s="695"/>
      <c r="AA2" s="695"/>
      <c r="AB2" s="695"/>
      <c r="AC2" s="695"/>
      <c r="AD2" s="695"/>
      <c r="AE2" s="695"/>
      <c r="AF2" s="695"/>
      <c r="AG2" s="695"/>
      <c r="AH2" s="695"/>
      <c r="AI2" s="695"/>
      <c r="AJ2" s="695"/>
      <c r="AK2" s="695"/>
      <c r="AL2" s="695"/>
      <c r="AM2" s="695"/>
      <c r="AN2" s="695"/>
      <c r="AO2" s="695"/>
      <c r="AP2" s="695"/>
      <c r="AQ2" s="695"/>
      <c r="AR2" s="695"/>
    </row>
    <row r="3" spans="1:44" x14ac:dyDescent="0.25">
      <c r="A3" s="695"/>
      <c r="K3" s="695"/>
      <c r="L3" s="695"/>
      <c r="M3" s="695"/>
      <c r="N3" s="695"/>
      <c r="O3" s="695"/>
      <c r="P3" s="695"/>
      <c r="Q3" s="695"/>
      <c r="R3" s="695"/>
      <c r="S3" s="695"/>
      <c r="T3" s="695"/>
      <c r="U3" s="695"/>
      <c r="V3" s="695"/>
      <c r="W3" s="695"/>
      <c r="X3" s="695"/>
      <c r="Y3" s="695"/>
      <c r="Z3" s="695"/>
      <c r="AA3" s="695"/>
      <c r="AB3" s="695"/>
      <c r="AC3" s="695"/>
      <c r="AD3" s="695"/>
      <c r="AE3" s="695"/>
      <c r="AF3" s="695"/>
      <c r="AG3" s="695"/>
      <c r="AH3" s="695"/>
      <c r="AI3" s="695"/>
      <c r="AJ3" s="695"/>
      <c r="AK3" s="695"/>
      <c r="AL3" s="695"/>
      <c r="AM3" s="695"/>
      <c r="AN3" s="695"/>
      <c r="AO3" s="695"/>
      <c r="AP3" s="695"/>
      <c r="AQ3" s="695"/>
      <c r="AR3" s="695"/>
    </row>
    <row r="4" spans="1:44" ht="13" x14ac:dyDescent="0.3">
      <c r="A4" s="695"/>
      <c r="C4" s="291" t="str">
        <f>"Analysis of Liability from "&amp;TEXT(basic!I23,"dd/mm/yyy")&amp;" to "&amp;TEXT(basic!I24,"dd/mm/yyyy")</f>
        <v>Analysis of Liability from 01/04/2023 to 31/03/2026</v>
      </c>
      <c r="D4" s="256"/>
      <c r="E4" s="273"/>
      <c r="F4" s="273"/>
      <c r="G4" s="273"/>
      <c r="H4" s="291" t="str">
        <f>basic!D22</f>
        <v>England</v>
      </c>
      <c r="I4" s="475"/>
      <c r="K4" s="695"/>
      <c r="L4" s="695"/>
      <c r="M4" s="695"/>
      <c r="N4" s="695"/>
      <c r="O4" s="695"/>
      <c r="P4" s="695"/>
      <c r="Q4" s="695"/>
      <c r="R4" s="695"/>
      <c r="S4" s="695"/>
      <c r="T4" s="695"/>
      <c r="U4" s="695"/>
      <c r="V4" s="695"/>
      <c r="W4" s="695"/>
      <c r="X4" s="695"/>
      <c r="Y4" s="695"/>
      <c r="Z4" s="695"/>
      <c r="AA4" s="695"/>
      <c r="AB4" s="695"/>
      <c r="AC4" s="695"/>
      <c r="AD4" s="695"/>
      <c r="AE4" s="695"/>
      <c r="AF4" s="695"/>
      <c r="AG4" s="695"/>
      <c r="AH4" s="695"/>
      <c r="AI4" s="695"/>
      <c r="AJ4" s="695"/>
      <c r="AK4" s="695"/>
      <c r="AL4" s="695"/>
      <c r="AM4" s="695"/>
      <c r="AN4" s="695"/>
      <c r="AO4" s="695"/>
      <c r="AP4" s="695"/>
      <c r="AQ4" s="695"/>
      <c r="AR4" s="695"/>
    </row>
    <row r="5" spans="1:44" ht="9" customHeight="1" x14ac:dyDescent="0.3">
      <c r="A5" s="695"/>
      <c r="C5" s="291"/>
      <c r="D5" s="256"/>
      <c r="E5" s="273"/>
      <c r="F5" s="273"/>
      <c r="G5" s="273"/>
      <c r="H5" s="256"/>
      <c r="I5" s="475"/>
      <c r="K5" s="695"/>
      <c r="L5" s="695"/>
      <c r="M5" s="695"/>
      <c r="N5" s="695"/>
      <c r="O5" s="695"/>
      <c r="P5" s="695"/>
      <c r="Q5" s="695"/>
      <c r="R5" s="695"/>
      <c r="S5" s="695"/>
      <c r="T5" s="695"/>
      <c r="U5" s="695"/>
      <c r="V5" s="695"/>
      <c r="W5" s="695"/>
      <c r="X5" s="695"/>
      <c r="Y5" s="695"/>
      <c r="Z5" s="695"/>
      <c r="AA5" s="695"/>
      <c r="AB5" s="695"/>
      <c r="AC5" s="695"/>
      <c r="AD5" s="695"/>
      <c r="AE5" s="695"/>
      <c r="AF5" s="695"/>
      <c r="AG5" s="695"/>
      <c r="AH5" s="695"/>
      <c r="AI5" s="695"/>
      <c r="AJ5" s="695"/>
      <c r="AK5" s="695"/>
      <c r="AL5" s="695"/>
      <c r="AM5" s="695"/>
      <c r="AN5" s="695"/>
      <c r="AO5" s="695"/>
      <c r="AP5" s="695"/>
      <c r="AQ5" s="695"/>
      <c r="AR5" s="695"/>
    </row>
    <row r="6" spans="1:44" ht="13" x14ac:dyDescent="0.3">
      <c r="A6" s="695"/>
      <c r="C6" s="291" t="s">
        <v>667</v>
      </c>
      <c r="D6" s="291" t="str">
        <f>basic!D26</f>
        <v>Enter Address Details</v>
      </c>
      <c r="E6" s="273"/>
      <c r="F6" s="273"/>
      <c r="G6" s="273"/>
      <c r="H6" s="256"/>
      <c r="I6" s="475"/>
      <c r="K6" s="695"/>
      <c r="L6" s="695"/>
      <c r="M6" s="695"/>
      <c r="N6" s="695"/>
      <c r="O6" s="695"/>
      <c r="P6" s="695"/>
      <c r="Q6" s="695"/>
      <c r="R6" s="695"/>
      <c r="S6" s="695"/>
      <c r="T6" s="695"/>
      <c r="U6" s="695"/>
      <c r="V6" s="695"/>
      <c r="W6" s="695"/>
      <c r="X6" s="695"/>
      <c r="Y6" s="695"/>
      <c r="Z6" s="695"/>
      <c r="AA6" s="695"/>
      <c r="AB6" s="695"/>
      <c r="AC6" s="695"/>
      <c r="AD6" s="695"/>
      <c r="AE6" s="695"/>
      <c r="AF6" s="695"/>
      <c r="AG6" s="695"/>
      <c r="AH6" s="695"/>
      <c r="AI6" s="695"/>
      <c r="AJ6" s="695"/>
      <c r="AK6" s="695"/>
      <c r="AL6" s="695"/>
      <c r="AM6" s="695"/>
      <c r="AN6" s="695"/>
      <c r="AO6" s="695"/>
      <c r="AP6" s="695"/>
      <c r="AQ6" s="695"/>
      <c r="AR6" s="695"/>
    </row>
    <row r="7" spans="1:44" ht="13" x14ac:dyDescent="0.3">
      <c r="A7" s="695"/>
      <c r="C7" s="291"/>
      <c r="D7" s="291" t="str">
        <f>IF(OR(calc1!$D$62=TRUE,calc1!$D$49=TRUE),"BRS Levying Authority = "&amp;calc1!$B$62&amp;IF(AND(calc1!$D$62=TRUE,calc1!$D$49=TRUE)," and ","")&amp;calc1!B49,"")</f>
        <v/>
      </c>
      <c r="E7" s="273"/>
      <c r="F7" s="273"/>
      <c r="G7" s="273"/>
      <c r="H7" s="256"/>
      <c r="I7" s="475"/>
      <c r="K7" s="695"/>
      <c r="L7" s="695"/>
      <c r="M7" s="695"/>
      <c r="N7" s="695"/>
      <c r="O7" s="695"/>
      <c r="P7" s="695"/>
      <c r="Q7" s="695"/>
      <c r="R7" s="695"/>
      <c r="S7" s="695"/>
      <c r="T7" s="695"/>
      <c r="U7" s="695"/>
      <c r="V7" s="695"/>
      <c r="W7" s="695"/>
      <c r="X7" s="695"/>
      <c r="Y7" s="695"/>
      <c r="Z7" s="695"/>
      <c r="AA7" s="695"/>
      <c r="AB7" s="695"/>
      <c r="AC7" s="695"/>
      <c r="AD7" s="695"/>
      <c r="AE7" s="695"/>
      <c r="AF7" s="695"/>
      <c r="AG7" s="695"/>
      <c r="AH7" s="695"/>
      <c r="AI7" s="695"/>
      <c r="AJ7" s="695"/>
      <c r="AK7" s="695"/>
      <c r="AL7" s="695"/>
      <c r="AM7" s="695"/>
      <c r="AN7" s="695"/>
      <c r="AO7" s="695"/>
      <c r="AP7" s="695"/>
      <c r="AQ7" s="695"/>
      <c r="AR7" s="695"/>
    </row>
    <row r="8" spans="1:44" ht="18.75" customHeight="1" x14ac:dyDescent="0.3">
      <c r="A8" s="695"/>
      <c r="C8" s="291"/>
      <c r="D8" s="700" t="str">
        <f>IF(basic!W25=TRUE,"The Base Liability has been entered as","Base Liability = Prior List RV ( "&amp;TEXT(calc1!D15,"#,000")&amp;"  ) x "&amp;calc1!D16&amp;"  = ")</f>
        <v xml:space="preserve">Base Liability = Prior List RV ( 000  ) x 0.499  = </v>
      </c>
      <c r="E8" s="273"/>
      <c r="F8" s="273"/>
      <c r="G8" s="273"/>
      <c r="H8" s="701">
        <f>calc1!D19</f>
        <v>0</v>
      </c>
      <c r="I8" s="475"/>
      <c r="K8" s="695"/>
      <c r="L8" s="695"/>
      <c r="M8" s="695"/>
      <c r="N8" s="695"/>
      <c r="O8" s="695"/>
      <c r="P8" s="695"/>
      <c r="Q8" s="695"/>
      <c r="R8" s="695"/>
      <c r="S8" s="695"/>
      <c r="T8" s="695"/>
      <c r="U8" s="695"/>
      <c r="V8" s="695"/>
      <c r="W8" s="695"/>
      <c r="X8" s="695"/>
      <c r="Y8" s="695"/>
      <c r="Z8" s="695"/>
      <c r="AA8" s="695"/>
      <c r="AB8" s="695"/>
      <c r="AC8" s="695"/>
      <c r="AD8" s="695"/>
      <c r="AE8" s="695"/>
      <c r="AF8" s="695"/>
      <c r="AG8" s="695"/>
      <c r="AH8" s="695"/>
      <c r="AI8" s="695"/>
      <c r="AJ8" s="695"/>
      <c r="AK8" s="695"/>
      <c r="AL8" s="695"/>
      <c r="AM8" s="695"/>
      <c r="AN8" s="695"/>
      <c r="AO8" s="695"/>
      <c r="AP8" s="695"/>
      <c r="AQ8" s="695"/>
      <c r="AR8" s="695"/>
    </row>
    <row r="9" spans="1:44" ht="9.75" customHeight="1" x14ac:dyDescent="0.3">
      <c r="A9" s="695"/>
      <c r="C9" s="291"/>
      <c r="D9" s="256"/>
      <c r="E9" s="273"/>
      <c r="F9" s="273"/>
      <c r="G9" s="273"/>
      <c r="H9" s="256"/>
      <c r="I9" s="475"/>
      <c r="K9" s="695"/>
      <c r="L9" s="695"/>
      <c r="M9" s="695"/>
      <c r="N9" s="695"/>
      <c r="O9" s="695"/>
      <c r="P9" s="695"/>
      <c r="Q9" s="695"/>
      <c r="R9" s="695"/>
      <c r="S9" s="695"/>
      <c r="T9" s="695"/>
      <c r="U9" s="695"/>
      <c r="V9" s="695"/>
      <c r="W9" s="695"/>
      <c r="X9" s="695"/>
      <c r="Y9" s="695"/>
      <c r="Z9" s="695"/>
      <c r="AA9" s="695"/>
      <c r="AB9" s="695"/>
      <c r="AC9" s="695"/>
      <c r="AD9" s="695"/>
      <c r="AE9" s="695"/>
      <c r="AF9" s="695"/>
      <c r="AG9" s="695"/>
      <c r="AH9" s="695"/>
      <c r="AI9" s="695"/>
      <c r="AJ9" s="695"/>
      <c r="AK9" s="695"/>
      <c r="AL9" s="695"/>
      <c r="AM9" s="695"/>
      <c r="AN9" s="695"/>
      <c r="AO9" s="695"/>
      <c r="AP9" s="695"/>
      <c r="AQ9" s="695"/>
      <c r="AR9" s="695"/>
    </row>
    <row r="10" spans="1:44" ht="14.15" customHeight="1" x14ac:dyDescent="0.3">
      <c r="A10" s="695"/>
      <c r="C10" s="291" t="str">
        <f>basic!D15</f>
        <v xml:space="preserve">2023/24 </v>
      </c>
      <c r="D10" s="256" t="s">
        <v>2397</v>
      </c>
      <c r="E10" s="276">
        <f>calc1!D5</f>
        <v>0</v>
      </c>
      <c r="F10" s="273" t="s">
        <v>2396</v>
      </c>
      <c r="G10" s="273">
        <f>calc1!$D$20</f>
        <v>0.499</v>
      </c>
      <c r="H10" s="327" t="str">
        <f>"x "&amp;calc1!$D$65&amp;" / "&amp;calc1!$D$64&amp;" = "</f>
        <v xml:space="preserve">x 366 / 366 = </v>
      </c>
      <c r="I10" s="475">
        <f>calc1!$D$21/calc1!$D$64*calc1!$D$65</f>
        <v>0</v>
      </c>
      <c r="K10" s="695"/>
      <c r="L10" s="695"/>
      <c r="M10" s="695"/>
      <c r="N10" s="695"/>
      <c r="O10" s="695"/>
      <c r="P10" s="695"/>
      <c r="Q10" s="695"/>
      <c r="R10" s="695"/>
      <c r="S10" s="695"/>
      <c r="T10" s="695"/>
      <c r="U10" s="695"/>
      <c r="V10" s="695"/>
      <c r="W10" s="695"/>
      <c r="X10" s="695"/>
      <c r="Y10" s="695"/>
      <c r="Z10" s="695"/>
      <c r="AA10" s="695"/>
      <c r="AB10" s="695"/>
      <c r="AC10" s="695"/>
      <c r="AD10" s="695"/>
      <c r="AE10" s="695"/>
      <c r="AF10" s="695"/>
      <c r="AG10" s="695"/>
      <c r="AH10" s="695"/>
      <c r="AI10" s="695"/>
      <c r="AJ10" s="695"/>
      <c r="AK10" s="695"/>
      <c r="AL10" s="695"/>
      <c r="AM10" s="695"/>
      <c r="AN10" s="695"/>
      <c r="AO10" s="695"/>
      <c r="AP10" s="695"/>
      <c r="AQ10" s="695"/>
      <c r="AR10" s="695"/>
    </row>
    <row r="11" spans="1:44" ht="14.15" customHeight="1" x14ac:dyDescent="0.25">
      <c r="A11" s="695"/>
      <c r="C11" s="256"/>
      <c r="D11" s="256" t="str">
        <f>IF(calc1!D42=TRUE,"SBR Supplement","Supplement not applicable")</f>
        <v>Supplement not applicable</v>
      </c>
      <c r="E11" s="276">
        <f>$E$10</f>
        <v>0</v>
      </c>
      <c r="F11" s="273" t="str">
        <f>F10</f>
        <v>x</v>
      </c>
      <c r="G11" s="273">
        <f>calc1!$D$41</f>
        <v>1.2999999999999999E-2</v>
      </c>
      <c r="H11" s="256" t="str">
        <f>H10</f>
        <v xml:space="preserve">x 366 / 366 = </v>
      </c>
      <c r="I11" s="475">
        <f ca="1">calc1!$D$43/calc1!$D$64*calc1!$D$65</f>
        <v>0</v>
      </c>
      <c r="K11" s="695"/>
      <c r="L11" s="695"/>
      <c r="M11" s="695"/>
      <c r="N11" s="695"/>
      <c r="O11" s="695"/>
      <c r="P11" s="695"/>
      <c r="Q11" s="695"/>
      <c r="R11" s="695"/>
      <c r="S11" s="695"/>
      <c r="T11" s="695"/>
      <c r="U11" s="695"/>
      <c r="V11" s="695"/>
      <c r="W11" s="695"/>
      <c r="X11" s="695"/>
      <c r="Y11" s="695"/>
      <c r="Z11" s="695"/>
      <c r="AA11" s="695"/>
      <c r="AB11" s="695"/>
      <c r="AC11" s="695"/>
      <c r="AD11" s="695"/>
      <c r="AE11" s="695"/>
      <c r="AF11" s="695"/>
      <c r="AG11" s="695"/>
      <c r="AH11" s="695"/>
      <c r="AI11" s="695"/>
      <c r="AJ11" s="695"/>
      <c r="AK11" s="695"/>
      <c r="AL11" s="695"/>
      <c r="AM11" s="695"/>
      <c r="AN11" s="695"/>
      <c r="AO11" s="695"/>
      <c r="AP11" s="695"/>
      <c r="AQ11" s="695"/>
      <c r="AR11" s="695"/>
    </row>
    <row r="12" spans="1:44" ht="14.15" customHeight="1" x14ac:dyDescent="0.25">
      <c r="A12" s="695"/>
      <c r="C12" s="256"/>
      <c r="D12" s="256" t="s">
        <v>805</v>
      </c>
      <c r="E12" s="273"/>
      <c r="F12" s="273"/>
      <c r="G12" s="273"/>
      <c r="H12" s="256"/>
      <c r="I12" s="475">
        <f ca="1">calc1!$D$120/calc1!$D$64*calc1!$D$65</f>
        <v>0</v>
      </c>
      <c r="K12" s="695"/>
      <c r="L12" s="695"/>
      <c r="M12" s="695"/>
      <c r="N12" s="695"/>
      <c r="O12" s="695"/>
      <c r="P12" s="695"/>
      <c r="Q12" s="695"/>
      <c r="R12" s="695"/>
      <c r="S12" s="695"/>
      <c r="T12" s="695"/>
      <c r="U12" s="695"/>
      <c r="V12" s="695"/>
      <c r="W12" s="695"/>
      <c r="X12" s="695"/>
      <c r="Y12" s="695"/>
      <c r="Z12" s="695"/>
      <c r="AA12" s="695"/>
      <c r="AB12" s="695"/>
      <c r="AC12" s="695"/>
      <c r="AD12" s="695"/>
      <c r="AE12" s="695"/>
      <c r="AF12" s="695"/>
      <c r="AG12" s="695"/>
      <c r="AH12" s="695"/>
      <c r="AI12" s="695"/>
      <c r="AJ12" s="695"/>
      <c r="AK12" s="695"/>
      <c r="AL12" s="695"/>
      <c r="AM12" s="695"/>
      <c r="AN12" s="695"/>
      <c r="AO12" s="695"/>
      <c r="AP12" s="695"/>
      <c r="AQ12" s="695"/>
      <c r="AR12" s="695"/>
    </row>
    <row r="13" spans="1:44" ht="14.15" customHeight="1" x14ac:dyDescent="0.25">
      <c r="A13" s="695"/>
      <c r="C13" s="256"/>
      <c r="D13" s="256" t="s">
        <v>2398</v>
      </c>
      <c r="E13" s="276">
        <f>$E$11</f>
        <v>0</v>
      </c>
      <c r="F13" s="273" t="str">
        <f>F11</f>
        <v>x</v>
      </c>
      <c r="G13" s="273">
        <f>calc1!$D$44</f>
        <v>1.4E-2</v>
      </c>
      <c r="H13" s="256" t="str">
        <f>H11</f>
        <v xml:space="preserve">x 366 / 366 = </v>
      </c>
      <c r="I13" s="475">
        <f>calc1!$D$46/calc1!$D$64*calc1!$D$65</f>
        <v>0</v>
      </c>
      <c r="K13" s="695"/>
      <c r="L13" s="695"/>
      <c r="M13" s="695"/>
      <c r="N13" s="695"/>
      <c r="O13" s="695"/>
      <c r="P13" s="695"/>
      <c r="Q13" s="695"/>
      <c r="R13" s="695"/>
      <c r="S13" s="695"/>
      <c r="T13" s="695"/>
      <c r="U13" s="695"/>
      <c r="V13" s="695"/>
      <c r="W13" s="695"/>
      <c r="X13" s="695"/>
      <c r="Y13" s="695"/>
      <c r="Z13" s="695"/>
      <c r="AA13" s="695"/>
      <c r="AB13" s="695"/>
      <c r="AC13" s="695"/>
      <c r="AD13" s="695"/>
      <c r="AE13" s="695"/>
      <c r="AF13" s="695"/>
      <c r="AG13" s="695"/>
      <c r="AH13" s="695"/>
      <c r="AI13" s="695"/>
      <c r="AJ13" s="695"/>
      <c r="AK13" s="695"/>
      <c r="AL13" s="695"/>
      <c r="AM13" s="695"/>
      <c r="AN13" s="695"/>
      <c r="AO13" s="695"/>
      <c r="AP13" s="695"/>
      <c r="AQ13" s="695"/>
      <c r="AR13" s="695"/>
    </row>
    <row r="14" spans="1:44" ht="14.15" customHeight="1" x14ac:dyDescent="0.25">
      <c r="A14" s="695"/>
      <c r="C14" s="256"/>
      <c r="D14" s="256" t="s">
        <v>2399</v>
      </c>
      <c r="E14" s="273"/>
      <c r="F14" s="273"/>
      <c r="G14" s="273"/>
      <c r="H14" s="256"/>
      <c r="I14" s="475">
        <f>calc1!$D$123/calc1!$D$64*calc1!$D$65</f>
        <v>0</v>
      </c>
      <c r="K14" s="695"/>
      <c r="L14" s="695"/>
      <c r="M14" s="695"/>
      <c r="N14" s="695"/>
      <c r="O14" s="695"/>
      <c r="P14" s="695"/>
      <c r="Q14" s="695"/>
      <c r="R14" s="695"/>
      <c r="S14" s="695"/>
      <c r="T14" s="695"/>
      <c r="U14" s="695"/>
      <c r="V14" s="695"/>
      <c r="W14" s="695"/>
      <c r="X14" s="695"/>
      <c r="Y14" s="695"/>
      <c r="Z14" s="695"/>
      <c r="AA14" s="695"/>
      <c r="AB14" s="695"/>
      <c r="AC14" s="695"/>
      <c r="AD14" s="695"/>
      <c r="AE14" s="695"/>
      <c r="AF14" s="695"/>
      <c r="AG14" s="695"/>
      <c r="AH14" s="695"/>
      <c r="AI14" s="695"/>
      <c r="AJ14" s="695"/>
      <c r="AK14" s="695"/>
      <c r="AL14" s="695"/>
      <c r="AM14" s="695"/>
      <c r="AN14" s="695"/>
      <c r="AO14" s="695"/>
      <c r="AP14" s="695"/>
      <c r="AQ14" s="695"/>
      <c r="AR14" s="695"/>
    </row>
    <row r="15" spans="1:44" ht="14.15" customHeight="1" x14ac:dyDescent="0.25">
      <c r="A15" s="695"/>
      <c r="C15" s="256"/>
      <c r="D15" s="256" t="str">
        <f>IF(H4="England","BRS","Crossrail")</f>
        <v>BRS</v>
      </c>
      <c r="E15" s="276">
        <f>$E$13</f>
        <v>0</v>
      </c>
      <c r="F15" s="273" t="str">
        <f>F13</f>
        <v>x</v>
      </c>
      <c r="G15" s="273">
        <f>(calc1!$D$47*calc1!$D$49)+(calc1!$D$60*calc1!$D$62)</f>
        <v>0</v>
      </c>
      <c r="H15" s="256" t="str">
        <f>H13</f>
        <v xml:space="preserve">x 366 / 366 = </v>
      </c>
      <c r="I15" s="475">
        <f>(calc1!$D$50+calc1!$D$63)/calc1!$D$64*calc1!$D$65</f>
        <v>0</v>
      </c>
      <c r="K15" s="695"/>
      <c r="L15" s="695"/>
      <c r="M15" s="695"/>
      <c r="N15" s="695"/>
      <c r="O15" s="695"/>
      <c r="P15" s="695"/>
      <c r="Q15" s="695"/>
      <c r="R15" s="695"/>
      <c r="S15" s="695"/>
      <c r="T15" s="695"/>
      <c r="U15" s="695"/>
      <c r="V15" s="695"/>
      <c r="W15" s="695"/>
      <c r="X15" s="695"/>
      <c r="Y15" s="695"/>
      <c r="Z15" s="695"/>
      <c r="AA15" s="695"/>
      <c r="AB15" s="695"/>
      <c r="AC15" s="695"/>
      <c r="AD15" s="695"/>
      <c r="AE15" s="695"/>
      <c r="AF15" s="695"/>
      <c r="AG15" s="695"/>
      <c r="AH15" s="695"/>
      <c r="AI15" s="695"/>
      <c r="AJ15" s="695"/>
      <c r="AK15" s="695"/>
      <c r="AL15" s="695"/>
      <c r="AM15" s="695"/>
      <c r="AN15" s="695"/>
      <c r="AO15" s="695"/>
      <c r="AP15" s="695"/>
      <c r="AQ15" s="695"/>
      <c r="AR15" s="695"/>
    </row>
    <row r="16" spans="1:44" ht="14.15" customHeight="1" x14ac:dyDescent="0.25">
      <c r="A16" s="695"/>
      <c r="C16" s="256"/>
      <c r="D16" s="256" t="str">
        <f>IF(calc1!D7=TRUE,"Empty Exemption","Charitable Relief")</f>
        <v>Charitable Relief</v>
      </c>
      <c r="E16" s="273"/>
      <c r="F16" s="273"/>
      <c r="G16" s="273"/>
      <c r="H16" s="256"/>
      <c r="I16" s="475">
        <f ca="1">IF(calc1!D84&lt;0,calc1!D84/calc1!$D$64*calc1!$D$65,calc1!$D$82/calc1!$D$64*calc1!$D$65)</f>
        <v>0</v>
      </c>
      <c r="K16" s="695"/>
      <c r="L16" s="695"/>
      <c r="M16" s="695"/>
      <c r="N16" s="695"/>
      <c r="O16" s="695"/>
      <c r="P16" s="695"/>
      <c r="Q16" s="695"/>
      <c r="R16" s="695"/>
      <c r="S16" s="695"/>
      <c r="T16" s="695"/>
      <c r="U16" s="695"/>
      <c r="V16" s="695"/>
      <c r="W16" s="695"/>
      <c r="X16" s="695"/>
      <c r="Y16" s="695"/>
      <c r="Z16" s="695"/>
      <c r="AA16" s="695"/>
      <c r="AB16" s="695"/>
      <c r="AC16" s="695"/>
      <c r="AD16" s="695"/>
      <c r="AE16" s="695"/>
      <c r="AF16" s="695"/>
      <c r="AG16" s="695"/>
      <c r="AH16" s="695"/>
      <c r="AI16" s="695"/>
      <c r="AJ16" s="695"/>
      <c r="AK16" s="695"/>
      <c r="AL16" s="695"/>
      <c r="AM16" s="695"/>
      <c r="AN16" s="695"/>
      <c r="AO16" s="695"/>
      <c r="AP16" s="695"/>
      <c r="AQ16" s="695"/>
      <c r="AR16" s="695"/>
    </row>
    <row r="17" spans="1:44" ht="14.15" customHeight="1" x14ac:dyDescent="0.25">
      <c r="A17" s="695"/>
      <c r="C17" s="256"/>
      <c r="D17" s="256" t="str">
        <f ca="1">"adjustment for "&amp;"RHL"&amp;calc1!D169</f>
        <v>adjustment for RHL</v>
      </c>
      <c r="E17" s="273"/>
      <c r="F17" s="273"/>
      <c r="G17" s="273"/>
      <c r="H17" s="256"/>
      <c r="I17" s="475">
        <f ca="1">calc1!D130</f>
        <v>0</v>
      </c>
      <c r="K17" s="695"/>
      <c r="L17" s="695"/>
      <c r="M17" s="695"/>
      <c r="N17" s="695"/>
      <c r="O17" s="695"/>
      <c r="P17" s="695"/>
      <c r="Q17" s="695"/>
      <c r="R17" s="695"/>
      <c r="S17" s="695"/>
      <c r="T17" s="695"/>
      <c r="U17" s="695"/>
      <c r="V17" s="695"/>
      <c r="W17" s="695"/>
      <c r="X17" s="695"/>
      <c r="Y17" s="695"/>
      <c r="Z17" s="695"/>
      <c r="AA17" s="695"/>
      <c r="AB17" s="695"/>
      <c r="AC17" s="695"/>
      <c r="AD17" s="695"/>
      <c r="AE17" s="695"/>
      <c r="AF17" s="695"/>
      <c r="AG17" s="695"/>
      <c r="AH17" s="695"/>
      <c r="AI17" s="695"/>
      <c r="AJ17" s="695"/>
      <c r="AK17" s="695"/>
      <c r="AL17" s="695"/>
      <c r="AM17" s="695"/>
      <c r="AN17" s="695"/>
      <c r="AO17" s="695"/>
      <c r="AP17" s="695"/>
      <c r="AQ17" s="695"/>
      <c r="AR17" s="695"/>
    </row>
    <row r="18" spans="1:44" ht="14.15" customHeight="1" x14ac:dyDescent="0.25">
      <c r="A18" s="695"/>
      <c r="C18" s="256"/>
      <c r="D18" s="256" t="str">
        <f>"adjustment for "&amp;"Supporting Small Business Relief"</f>
        <v>adjustment for Supporting Small Business Relief</v>
      </c>
      <c r="E18" s="273"/>
      <c r="F18" s="273"/>
      <c r="G18" s="273"/>
      <c r="H18" s="256"/>
      <c r="I18" s="475">
        <f ca="1">calc1!D157</f>
        <v>0</v>
      </c>
      <c r="K18" s="695"/>
      <c r="L18" s="695"/>
      <c r="M18" s="695"/>
      <c r="N18" s="695"/>
      <c r="O18" s="695"/>
      <c r="P18" s="695"/>
      <c r="Q18" s="695"/>
      <c r="R18" s="695"/>
      <c r="S18" s="695"/>
      <c r="T18" s="695"/>
      <c r="U18" s="695"/>
      <c r="V18" s="695"/>
      <c r="W18" s="695"/>
      <c r="X18" s="695"/>
      <c r="Y18" s="695"/>
      <c r="Z18" s="695"/>
      <c r="AA18" s="695"/>
      <c r="AB18" s="695"/>
      <c r="AC18" s="695"/>
      <c r="AD18" s="695"/>
      <c r="AE18" s="695"/>
      <c r="AF18" s="695"/>
      <c r="AG18" s="695"/>
      <c r="AH18" s="695"/>
      <c r="AI18" s="695"/>
      <c r="AJ18" s="695"/>
      <c r="AK18" s="695"/>
      <c r="AL18" s="695"/>
      <c r="AM18" s="695"/>
      <c r="AN18" s="695"/>
      <c r="AO18" s="695"/>
      <c r="AP18" s="695"/>
      <c r="AQ18" s="695"/>
      <c r="AR18" s="695"/>
    </row>
    <row r="19" spans="1:44" ht="14.15" customHeight="1" x14ac:dyDescent="0.25">
      <c r="A19" s="695"/>
      <c r="C19" s="256"/>
      <c r="D19" s="256" t="str">
        <f>"adjustment for "&amp;" "&amp;basic!B15</f>
        <v xml:space="preserve">adjustment for  </v>
      </c>
      <c r="E19" s="273"/>
      <c r="F19" s="273"/>
      <c r="G19" s="273"/>
      <c r="H19" s="256"/>
      <c r="I19" s="475">
        <f ca="1">calc1!D91</f>
        <v>0</v>
      </c>
      <c r="K19" s="695"/>
      <c r="L19" s="695"/>
      <c r="M19" s="695"/>
      <c r="N19" s="695"/>
      <c r="O19" s="695"/>
      <c r="P19" s="695"/>
      <c r="Q19" s="695"/>
      <c r="R19" s="695"/>
      <c r="S19" s="695"/>
      <c r="T19" s="695"/>
      <c r="U19" s="695"/>
      <c r="V19" s="695"/>
      <c r="W19" s="695"/>
      <c r="X19" s="695"/>
      <c r="Y19" s="695"/>
      <c r="Z19" s="695"/>
      <c r="AA19" s="695"/>
      <c r="AB19" s="695"/>
      <c r="AC19" s="695"/>
      <c r="AD19" s="695"/>
      <c r="AE19" s="695"/>
      <c r="AF19" s="695"/>
      <c r="AG19" s="695"/>
      <c r="AH19" s="695"/>
      <c r="AI19" s="695"/>
      <c r="AJ19" s="695"/>
      <c r="AK19" s="695"/>
      <c r="AL19" s="695"/>
      <c r="AM19" s="695"/>
      <c r="AN19" s="695"/>
      <c r="AO19" s="695"/>
      <c r="AP19" s="695"/>
      <c r="AQ19" s="695"/>
      <c r="AR19" s="695"/>
    </row>
    <row r="20" spans="1:44" ht="14.15" customHeight="1" x14ac:dyDescent="0.25">
      <c r="A20" s="695"/>
      <c r="C20" s="256"/>
      <c r="D20" s="256" t="str">
        <f>"adjustment for "&amp;""</f>
        <v xml:space="preserve">adjustment for </v>
      </c>
      <c r="E20" s="273"/>
      <c r="F20" s="273"/>
      <c r="G20" s="273"/>
      <c r="H20" s="256"/>
      <c r="I20" s="475">
        <f>calc1!$D$87/calc1!$D$64*calc1!$D$65</f>
        <v>0</v>
      </c>
      <c r="K20" s="695"/>
      <c r="L20" s="695"/>
      <c r="M20" s="695"/>
      <c r="N20" s="695"/>
      <c r="O20" s="695"/>
      <c r="P20" s="695"/>
      <c r="Q20" s="695"/>
      <c r="R20" s="695"/>
      <c r="S20" s="695"/>
      <c r="T20" s="695"/>
      <c r="U20" s="695"/>
      <c r="V20" s="695"/>
      <c r="W20" s="695"/>
      <c r="X20" s="695"/>
      <c r="Y20" s="695"/>
      <c r="Z20" s="695"/>
      <c r="AA20" s="695"/>
      <c r="AB20" s="695"/>
      <c r="AC20" s="695"/>
      <c r="AD20" s="695"/>
      <c r="AE20" s="695"/>
      <c r="AF20" s="695"/>
      <c r="AG20" s="695"/>
      <c r="AH20" s="695"/>
      <c r="AI20" s="695"/>
      <c r="AJ20" s="695"/>
      <c r="AK20" s="695"/>
      <c r="AL20" s="695"/>
      <c r="AM20" s="695"/>
      <c r="AN20" s="695"/>
      <c r="AO20" s="695"/>
      <c r="AP20" s="695"/>
      <c r="AQ20" s="695"/>
      <c r="AR20" s="695"/>
    </row>
    <row r="21" spans="1:44" ht="15" customHeight="1" thickBot="1" x14ac:dyDescent="0.35">
      <c r="A21" s="695"/>
      <c r="C21" s="291"/>
      <c r="D21" s="702" t="s">
        <v>2409</v>
      </c>
      <c r="E21" s="703"/>
      <c r="F21" s="703"/>
      <c r="G21" s="703"/>
      <c r="H21" s="702"/>
      <c r="I21" s="704">
        <f ca="1">SUM(I10:I20)</f>
        <v>0</v>
      </c>
      <c r="K21" s="695"/>
      <c r="L21" s="695"/>
      <c r="M21" s="695"/>
      <c r="N21" s="695"/>
      <c r="O21" s="695"/>
      <c r="P21" s="695"/>
      <c r="Q21" s="695"/>
      <c r="R21" s="695"/>
      <c r="S21" s="695"/>
      <c r="T21" s="695"/>
      <c r="U21" s="695"/>
      <c r="V21" s="695"/>
      <c r="W21" s="695"/>
      <c r="X21" s="695"/>
      <c r="Y21" s="695"/>
      <c r="Z21" s="695"/>
      <c r="AA21" s="695"/>
      <c r="AB21" s="695"/>
      <c r="AC21" s="695"/>
      <c r="AD21" s="695"/>
      <c r="AE21" s="695"/>
      <c r="AF21" s="695"/>
      <c r="AG21" s="695"/>
      <c r="AH21" s="695"/>
      <c r="AI21" s="695"/>
      <c r="AJ21" s="695"/>
      <c r="AK21" s="695"/>
      <c r="AL21" s="695"/>
      <c r="AM21" s="695"/>
      <c r="AN21" s="695"/>
      <c r="AO21" s="695"/>
      <c r="AP21" s="695"/>
      <c r="AQ21" s="695"/>
      <c r="AR21" s="695"/>
    </row>
    <row r="22" spans="1:44" ht="9.75" customHeight="1" thickTop="1" x14ac:dyDescent="0.25">
      <c r="A22" s="695"/>
      <c r="C22" s="256"/>
      <c r="D22" s="256"/>
      <c r="E22" s="273"/>
      <c r="F22" s="273"/>
      <c r="G22" s="273"/>
      <c r="H22" s="256"/>
      <c r="I22" s="475"/>
      <c r="K22" s="695"/>
      <c r="L22" s="695"/>
      <c r="M22" s="695"/>
      <c r="N22" s="695"/>
      <c r="O22" s="695"/>
      <c r="P22" s="695"/>
      <c r="Q22" s="695"/>
      <c r="R22" s="695"/>
      <c r="S22" s="695"/>
      <c r="T22" s="695"/>
      <c r="U22" s="695"/>
      <c r="V22" s="695"/>
      <c r="W22" s="695"/>
      <c r="X22" s="695"/>
      <c r="Y22" s="695"/>
      <c r="Z22" s="695"/>
      <c r="AA22" s="695"/>
      <c r="AB22" s="695"/>
      <c r="AC22" s="695"/>
      <c r="AD22" s="695"/>
      <c r="AE22" s="695"/>
      <c r="AF22" s="695"/>
      <c r="AG22" s="695"/>
      <c r="AH22" s="695"/>
      <c r="AI22" s="695"/>
      <c r="AJ22" s="695"/>
      <c r="AK22" s="695"/>
      <c r="AL22" s="695"/>
      <c r="AM22" s="695"/>
      <c r="AN22" s="695"/>
      <c r="AO22" s="695"/>
      <c r="AP22" s="695"/>
      <c r="AQ22" s="695"/>
      <c r="AR22" s="695"/>
    </row>
    <row r="23" spans="1:44" ht="14.15" customHeight="1" x14ac:dyDescent="0.3">
      <c r="A23" s="695"/>
      <c r="C23" s="291" t="str">
        <f>basic!D16</f>
        <v xml:space="preserve">2024/25 </v>
      </c>
      <c r="D23" s="256" t="str">
        <f>D10</f>
        <v>Notional Liability</v>
      </c>
      <c r="E23" s="276">
        <f>calc1!E5</f>
        <v>0</v>
      </c>
      <c r="F23" s="273" t="s">
        <v>2396</v>
      </c>
      <c r="G23" s="273">
        <f>calc1!$E$20</f>
        <v>0.499</v>
      </c>
      <c r="H23" s="327" t="str">
        <f>"x "&amp;calc1!$E$65&amp;" / "&amp;calc1!$E$64&amp;" = "</f>
        <v xml:space="preserve">x 365 / 365 = </v>
      </c>
      <c r="I23" s="475">
        <f>calc1!$E$21/calc1!$E$64*calc1!$E$65</f>
        <v>0</v>
      </c>
      <c r="K23" s="695"/>
      <c r="L23" s="695"/>
      <c r="M23" s="695"/>
      <c r="N23" s="695"/>
      <c r="O23" s="695"/>
      <c r="P23" s="695"/>
      <c r="Q23" s="695"/>
      <c r="R23" s="695"/>
      <c r="S23" s="695"/>
      <c r="T23" s="695"/>
      <c r="U23" s="695"/>
      <c r="V23" s="695"/>
      <c r="W23" s="695"/>
      <c r="X23" s="695"/>
      <c r="Y23" s="695"/>
      <c r="Z23" s="695"/>
      <c r="AA23" s="695"/>
      <c r="AB23" s="695"/>
      <c r="AC23" s="695"/>
      <c r="AD23" s="695"/>
      <c r="AE23" s="695"/>
      <c r="AF23" s="695"/>
      <c r="AG23" s="695"/>
      <c r="AH23" s="695"/>
      <c r="AI23" s="695"/>
      <c r="AJ23" s="695"/>
      <c r="AK23" s="695"/>
      <c r="AL23" s="695"/>
      <c r="AM23" s="695"/>
      <c r="AN23" s="695"/>
      <c r="AO23" s="695"/>
      <c r="AP23" s="695"/>
      <c r="AQ23" s="695"/>
      <c r="AR23" s="695"/>
    </row>
    <row r="24" spans="1:44" ht="14.15" customHeight="1" x14ac:dyDescent="0.25">
      <c r="A24" s="695"/>
      <c r="C24" s="256"/>
      <c r="D24" s="256" t="str">
        <f t="shared" ref="D24:D33" si="0">D11</f>
        <v>Supplement not applicable</v>
      </c>
      <c r="E24" s="276">
        <f>$E$10</f>
        <v>0</v>
      </c>
      <c r="F24" s="273" t="str">
        <f>F23</f>
        <v>x</v>
      </c>
      <c r="G24" s="273">
        <f>calc1!$E$41</f>
        <v>4.7000000000000042E-2</v>
      </c>
      <c r="H24" s="256" t="str">
        <f>H23</f>
        <v xml:space="preserve">x 365 / 365 = </v>
      </c>
      <c r="I24" s="475">
        <f ca="1">calc1!$E$43/calc1!$E$64*calc1!$E$65</f>
        <v>0</v>
      </c>
      <c r="K24" s="695"/>
      <c r="L24" s="695"/>
      <c r="M24" s="695"/>
      <c r="N24" s="695"/>
      <c r="O24" s="695"/>
      <c r="P24" s="695"/>
      <c r="Q24" s="695"/>
      <c r="R24" s="695"/>
      <c r="S24" s="695"/>
      <c r="T24" s="695"/>
      <c r="U24" s="695"/>
      <c r="V24" s="695"/>
      <c r="W24" s="695"/>
      <c r="X24" s="695"/>
      <c r="Y24" s="695"/>
      <c r="Z24" s="695"/>
      <c r="AA24" s="695"/>
      <c r="AB24" s="695"/>
      <c r="AC24" s="695"/>
      <c r="AD24" s="695"/>
      <c r="AE24" s="695"/>
      <c r="AF24" s="695"/>
      <c r="AG24" s="695"/>
      <c r="AH24" s="695"/>
      <c r="AI24" s="695"/>
      <c r="AJ24" s="695"/>
      <c r="AK24" s="695"/>
      <c r="AL24" s="695"/>
      <c r="AM24" s="695"/>
      <c r="AN24" s="695"/>
      <c r="AO24" s="695"/>
      <c r="AP24" s="695"/>
      <c r="AQ24" s="695"/>
      <c r="AR24" s="695"/>
    </row>
    <row r="25" spans="1:44" ht="14.15" customHeight="1" x14ac:dyDescent="0.25">
      <c r="A25" s="695"/>
      <c r="C25" s="256"/>
      <c r="D25" s="256" t="str">
        <f t="shared" si="0"/>
        <v>Small Business Rate Relief</v>
      </c>
      <c r="E25" s="273"/>
      <c r="F25" s="273"/>
      <c r="G25" s="273"/>
      <c r="H25" s="256"/>
      <c r="I25" s="475">
        <f ca="1">calc1!$E$120/calc1!$E$64*calc1!$E$65</f>
        <v>0</v>
      </c>
      <c r="K25" s="695"/>
      <c r="L25" s="695"/>
      <c r="M25" s="695"/>
      <c r="N25" s="695"/>
      <c r="O25" s="695"/>
      <c r="P25" s="695"/>
      <c r="Q25" s="695"/>
      <c r="R25" s="695"/>
      <c r="S25" s="695"/>
      <c r="T25" s="695"/>
      <c r="U25" s="695"/>
      <c r="V25" s="695"/>
      <c r="W25" s="695"/>
      <c r="X25" s="695"/>
      <c r="Y25" s="695"/>
      <c r="Z25" s="695"/>
      <c r="AA25" s="695"/>
      <c r="AB25" s="695"/>
      <c r="AC25" s="695"/>
      <c r="AD25" s="695"/>
      <c r="AE25" s="695"/>
      <c r="AF25" s="695"/>
      <c r="AG25" s="695"/>
      <c r="AH25" s="695"/>
      <c r="AI25" s="695"/>
      <c r="AJ25" s="695"/>
      <c r="AK25" s="695"/>
      <c r="AL25" s="695"/>
      <c r="AM25" s="695"/>
      <c r="AN25" s="695"/>
      <c r="AO25" s="695"/>
      <c r="AP25" s="695"/>
      <c r="AQ25" s="695"/>
      <c r="AR25" s="695"/>
    </row>
    <row r="26" spans="1:44" ht="14.15" customHeight="1" x14ac:dyDescent="0.25">
      <c r="A26" s="695"/>
      <c r="C26" s="256"/>
      <c r="D26" s="256" t="str">
        <f t="shared" si="0"/>
        <v>City of London Supplement</v>
      </c>
      <c r="E26" s="276">
        <f>$E$11</f>
        <v>0</v>
      </c>
      <c r="F26" s="273" t="str">
        <f>F24</f>
        <v>x</v>
      </c>
      <c r="G26" s="273">
        <f>calc1!$E$44</f>
        <v>1.6E-2</v>
      </c>
      <c r="H26" s="256" t="str">
        <f>H24</f>
        <v xml:space="preserve">x 365 / 365 = </v>
      </c>
      <c r="I26" s="475">
        <f>calc1!$E$46/calc1!$E$64*calc1!$E$65</f>
        <v>0</v>
      </c>
      <c r="K26" s="695"/>
      <c r="L26" s="695"/>
      <c r="M26" s="695"/>
      <c r="N26" s="695"/>
      <c r="O26" s="695"/>
      <c r="P26" s="695"/>
      <c r="Q26" s="695"/>
      <c r="R26" s="695"/>
      <c r="S26" s="695"/>
      <c r="T26" s="695"/>
      <c r="U26" s="695"/>
      <c r="V26" s="695"/>
      <c r="W26" s="695"/>
      <c r="X26" s="695"/>
      <c r="Y26" s="695"/>
      <c r="Z26" s="695"/>
      <c r="AA26" s="695"/>
      <c r="AB26" s="695"/>
      <c r="AC26" s="695"/>
      <c r="AD26" s="695"/>
      <c r="AE26" s="695"/>
      <c r="AF26" s="695"/>
      <c r="AG26" s="695"/>
      <c r="AH26" s="695"/>
      <c r="AI26" s="695"/>
      <c r="AJ26" s="695"/>
      <c r="AK26" s="695"/>
      <c r="AL26" s="695"/>
      <c r="AM26" s="695"/>
      <c r="AN26" s="695"/>
      <c r="AO26" s="695"/>
      <c r="AP26" s="695"/>
      <c r="AQ26" s="695"/>
      <c r="AR26" s="695"/>
    </row>
    <row r="27" spans="1:44" ht="14.15" customHeight="1" x14ac:dyDescent="0.25">
      <c r="A27" s="695"/>
      <c r="C27" s="256"/>
      <c r="D27" s="256" t="str">
        <f t="shared" si="0"/>
        <v>Transitional Adjustment</v>
      </c>
      <c r="E27" s="273"/>
      <c r="F27" s="273"/>
      <c r="G27" s="273"/>
      <c r="H27" s="256"/>
      <c r="I27" s="475">
        <f>calc1!$E$123/calc1!$E$64*calc1!$E$65</f>
        <v>0</v>
      </c>
      <c r="K27" s="695"/>
      <c r="L27" s="695"/>
      <c r="M27" s="695"/>
      <c r="N27" s="695"/>
      <c r="O27" s="695"/>
      <c r="P27" s="695"/>
      <c r="Q27" s="695"/>
      <c r="R27" s="695"/>
      <c r="S27" s="695"/>
      <c r="T27" s="695"/>
      <c r="U27" s="695"/>
      <c r="V27" s="695"/>
      <c r="W27" s="695"/>
      <c r="X27" s="695"/>
      <c r="Y27" s="695"/>
      <c r="Z27" s="695"/>
      <c r="AA27" s="695"/>
      <c r="AB27" s="695"/>
      <c r="AC27" s="695"/>
      <c r="AD27" s="695"/>
      <c r="AE27" s="695"/>
      <c r="AF27" s="695"/>
      <c r="AG27" s="695"/>
      <c r="AH27" s="695"/>
      <c r="AI27" s="695"/>
      <c r="AJ27" s="695"/>
      <c r="AK27" s="695"/>
      <c r="AL27" s="695"/>
      <c r="AM27" s="695"/>
      <c r="AN27" s="695"/>
      <c r="AO27" s="695"/>
      <c r="AP27" s="695"/>
      <c r="AQ27" s="695"/>
      <c r="AR27" s="695"/>
    </row>
    <row r="28" spans="1:44" ht="14.15" customHeight="1" x14ac:dyDescent="0.25">
      <c r="A28" s="695"/>
      <c r="C28" s="256"/>
      <c r="D28" s="256" t="str">
        <f t="shared" si="0"/>
        <v>BRS</v>
      </c>
      <c r="E28" s="276">
        <f>$E$13</f>
        <v>0</v>
      </c>
      <c r="F28" s="273" t="str">
        <f>F26</f>
        <v>x</v>
      </c>
      <c r="G28" s="273">
        <f>(calc1!$E$47*calc1!$E$45)+(calc1!$E$60*calc1!$E$62)</f>
        <v>0</v>
      </c>
      <c r="H28" s="256" t="str">
        <f>H26</f>
        <v xml:space="preserve">x 365 / 365 = </v>
      </c>
      <c r="I28" s="475">
        <f>(calc1!$E$50+calc1!$E$63)/calc1!$E$64*calc1!$E$65</f>
        <v>0</v>
      </c>
      <c r="K28" s="695"/>
      <c r="L28" s="695"/>
      <c r="M28" s="695"/>
      <c r="N28" s="695"/>
      <c r="O28" s="695"/>
      <c r="P28" s="695"/>
      <c r="Q28" s="695"/>
      <c r="R28" s="695"/>
      <c r="S28" s="695"/>
      <c r="T28" s="695"/>
      <c r="U28" s="695"/>
      <c r="V28" s="695"/>
      <c r="W28" s="695"/>
      <c r="X28" s="695"/>
      <c r="Y28" s="695"/>
      <c r="Z28" s="695"/>
      <c r="AA28" s="695"/>
      <c r="AB28" s="695"/>
      <c r="AC28" s="695"/>
      <c r="AD28" s="695"/>
      <c r="AE28" s="695"/>
      <c r="AF28" s="695"/>
      <c r="AG28" s="695"/>
      <c r="AH28" s="695"/>
      <c r="AI28" s="695"/>
      <c r="AJ28" s="695"/>
      <c r="AK28" s="695"/>
      <c r="AL28" s="695"/>
      <c r="AM28" s="695"/>
      <c r="AN28" s="695"/>
      <c r="AO28" s="695"/>
      <c r="AP28" s="695"/>
      <c r="AQ28" s="695"/>
      <c r="AR28" s="695"/>
    </row>
    <row r="29" spans="1:44" ht="14.15" customHeight="1" x14ac:dyDescent="0.25">
      <c r="A29" s="695"/>
      <c r="C29" s="256"/>
      <c r="D29" s="256" t="str">
        <f t="shared" si="0"/>
        <v>Charitable Relief</v>
      </c>
      <c r="E29" s="273"/>
      <c r="F29" s="273"/>
      <c r="G29" s="273"/>
      <c r="H29" s="256"/>
      <c r="I29" s="475">
        <f ca="1">IF(calc1!E84&lt;0,calc1!E84/calc1!$E$64*calc1!$E$65,calc1!$E$82/calc1!$E$64*calc1!$E$65)</f>
        <v>0</v>
      </c>
      <c r="K29" s="695"/>
      <c r="L29" s="695"/>
      <c r="M29" s="695"/>
      <c r="N29" s="695"/>
      <c r="O29" s="695"/>
      <c r="P29" s="695"/>
      <c r="Q29" s="695"/>
      <c r="R29" s="695"/>
      <c r="S29" s="695"/>
      <c r="T29" s="695"/>
      <c r="U29" s="695"/>
      <c r="V29" s="695"/>
      <c r="W29" s="695"/>
      <c r="X29" s="695"/>
      <c r="Y29" s="695"/>
      <c r="Z29" s="695"/>
      <c r="AA29" s="695"/>
      <c r="AB29" s="695"/>
      <c r="AC29" s="695"/>
      <c r="AD29" s="695"/>
      <c r="AE29" s="695"/>
      <c r="AF29" s="695"/>
      <c r="AG29" s="695"/>
      <c r="AH29" s="695"/>
      <c r="AI29" s="695"/>
      <c r="AJ29" s="695"/>
      <c r="AK29" s="695"/>
      <c r="AL29" s="695"/>
      <c r="AM29" s="695"/>
      <c r="AN29" s="695"/>
      <c r="AO29" s="695"/>
      <c r="AP29" s="695"/>
      <c r="AQ29" s="695"/>
      <c r="AR29" s="695"/>
    </row>
    <row r="30" spans="1:44" ht="14.15" customHeight="1" x14ac:dyDescent="0.25">
      <c r="A30" s="695"/>
      <c r="C30" s="256"/>
      <c r="D30" s="256" t="str">
        <f ca="1">"adjustment for "&amp;"RHL"&amp;calc1!E169</f>
        <v>adjustment for RHL</v>
      </c>
      <c r="E30" s="273"/>
      <c r="F30" s="273"/>
      <c r="G30" s="273"/>
      <c r="H30" s="256"/>
      <c r="I30" s="475">
        <f ca="1">calc1!E130</f>
        <v>0</v>
      </c>
      <c r="K30" s="695"/>
      <c r="L30" s="695"/>
      <c r="M30" s="695"/>
      <c r="N30" s="695"/>
      <c r="O30" s="695"/>
      <c r="P30" s="695"/>
      <c r="Q30" s="695"/>
      <c r="R30" s="695"/>
      <c r="S30" s="695"/>
      <c r="T30" s="695"/>
      <c r="U30" s="695"/>
      <c r="V30" s="695"/>
      <c r="W30" s="695"/>
      <c r="X30" s="695"/>
      <c r="Y30" s="695"/>
      <c r="Z30" s="695"/>
      <c r="AA30" s="695"/>
      <c r="AB30" s="695"/>
      <c r="AC30" s="695"/>
      <c r="AD30" s="695"/>
      <c r="AE30" s="695"/>
      <c r="AF30" s="695"/>
      <c r="AG30" s="695"/>
      <c r="AH30" s="695"/>
      <c r="AI30" s="695"/>
      <c r="AJ30" s="695"/>
      <c r="AK30" s="695"/>
      <c r="AL30" s="695"/>
      <c r="AM30" s="695"/>
      <c r="AN30" s="695"/>
      <c r="AO30" s="695"/>
      <c r="AP30" s="695"/>
      <c r="AQ30" s="695"/>
      <c r="AR30" s="695"/>
    </row>
    <row r="31" spans="1:44" ht="14.15" customHeight="1" x14ac:dyDescent="0.25">
      <c r="A31" s="695"/>
      <c r="C31" s="256"/>
      <c r="D31" s="256" t="str">
        <f t="shared" si="0"/>
        <v>adjustment for Supporting Small Business Relief</v>
      </c>
      <c r="E31" s="273"/>
      <c r="F31" s="273"/>
      <c r="G31" s="273"/>
      <c r="H31" s="256"/>
      <c r="I31" s="475">
        <f ca="1">calc1!E157</f>
        <v>0</v>
      </c>
      <c r="K31" s="695"/>
      <c r="L31" s="695"/>
      <c r="M31" s="695"/>
      <c r="N31" s="695"/>
      <c r="O31" s="695"/>
      <c r="P31" s="695"/>
      <c r="Q31" s="695"/>
      <c r="R31" s="695"/>
      <c r="S31" s="695"/>
      <c r="T31" s="695"/>
      <c r="U31" s="695"/>
      <c r="V31" s="695"/>
      <c r="W31" s="695"/>
      <c r="X31" s="695"/>
      <c r="Y31" s="695"/>
      <c r="Z31" s="695"/>
      <c r="AA31" s="695"/>
      <c r="AB31" s="695"/>
      <c r="AC31" s="695"/>
      <c r="AD31" s="695"/>
      <c r="AE31" s="695"/>
      <c r="AF31" s="695"/>
      <c r="AG31" s="695"/>
      <c r="AH31" s="695"/>
      <c r="AI31" s="695"/>
      <c r="AJ31" s="695"/>
      <c r="AK31" s="695"/>
      <c r="AL31" s="695"/>
      <c r="AM31" s="695"/>
      <c r="AN31" s="695"/>
      <c r="AO31" s="695"/>
      <c r="AP31" s="695"/>
      <c r="AQ31" s="695"/>
      <c r="AR31" s="695"/>
    </row>
    <row r="32" spans="1:44" ht="14.15" customHeight="1" x14ac:dyDescent="0.25">
      <c r="A32" s="695"/>
      <c r="C32" s="256"/>
      <c r="D32" s="256" t="str">
        <f t="shared" si="0"/>
        <v xml:space="preserve">adjustment for  </v>
      </c>
      <c r="E32" s="273"/>
      <c r="F32" s="273"/>
      <c r="G32" s="273"/>
      <c r="H32" s="256"/>
      <c r="I32" s="475">
        <f ca="1">calc1!E91</f>
        <v>0</v>
      </c>
      <c r="K32" s="695"/>
      <c r="L32" s="695"/>
      <c r="M32" s="695"/>
      <c r="N32" s="695"/>
      <c r="O32" s="695"/>
      <c r="P32" s="695"/>
      <c r="Q32" s="695"/>
      <c r="R32" s="695"/>
      <c r="S32" s="695"/>
      <c r="T32" s="695"/>
      <c r="U32" s="695"/>
      <c r="V32" s="695"/>
      <c r="W32" s="695"/>
      <c r="X32" s="695"/>
      <c r="Y32" s="695"/>
      <c r="Z32" s="695"/>
      <c r="AA32" s="695"/>
      <c r="AB32" s="695"/>
      <c r="AC32" s="695"/>
      <c r="AD32" s="695"/>
      <c r="AE32" s="695"/>
      <c r="AF32" s="695"/>
      <c r="AG32" s="695"/>
      <c r="AH32" s="695"/>
      <c r="AI32" s="695"/>
      <c r="AJ32" s="695"/>
      <c r="AK32" s="695"/>
      <c r="AL32" s="695"/>
      <c r="AM32" s="695"/>
      <c r="AN32" s="695"/>
      <c r="AO32" s="695"/>
      <c r="AP32" s="695"/>
      <c r="AQ32" s="695"/>
      <c r="AR32" s="695"/>
    </row>
    <row r="33" spans="1:44" ht="14.15" customHeight="1" x14ac:dyDescent="0.25">
      <c r="A33" s="695"/>
      <c r="C33" s="256"/>
      <c r="D33" s="256" t="str">
        <f t="shared" si="0"/>
        <v xml:space="preserve">adjustment for </v>
      </c>
      <c r="E33" s="273"/>
      <c r="F33" s="273"/>
      <c r="G33" s="273"/>
      <c r="H33" s="256"/>
      <c r="I33" s="475">
        <f>calc1!$E$87/calc1!$E$64*calc1!$E$65</f>
        <v>0</v>
      </c>
      <c r="K33" s="695"/>
      <c r="L33" s="695"/>
      <c r="M33" s="695"/>
      <c r="N33" s="695"/>
      <c r="O33" s="695"/>
      <c r="P33" s="695"/>
      <c r="Q33" s="695"/>
      <c r="R33" s="695"/>
      <c r="S33" s="695"/>
      <c r="T33" s="695"/>
      <c r="U33" s="695"/>
      <c r="V33" s="695"/>
      <c r="W33" s="695"/>
      <c r="X33" s="695"/>
      <c r="Y33" s="695"/>
      <c r="Z33" s="695"/>
      <c r="AA33" s="695"/>
      <c r="AB33" s="695"/>
      <c r="AC33" s="695"/>
      <c r="AD33" s="695"/>
      <c r="AE33" s="695"/>
      <c r="AF33" s="695"/>
      <c r="AG33" s="695"/>
      <c r="AH33" s="695"/>
      <c r="AI33" s="695"/>
      <c r="AJ33" s="695"/>
      <c r="AK33" s="695"/>
      <c r="AL33" s="695"/>
      <c r="AM33" s="695"/>
      <c r="AN33" s="695"/>
      <c r="AO33" s="695"/>
      <c r="AP33" s="695"/>
      <c r="AQ33" s="695"/>
      <c r="AR33" s="695"/>
    </row>
    <row r="34" spans="1:44" ht="15" customHeight="1" thickBot="1" x14ac:dyDescent="0.35">
      <c r="A34" s="695"/>
      <c r="C34" s="291"/>
      <c r="D34" s="702" t="s">
        <v>2409</v>
      </c>
      <c r="E34" s="703"/>
      <c r="F34" s="703"/>
      <c r="G34" s="703"/>
      <c r="H34" s="702"/>
      <c r="I34" s="704">
        <f ca="1">SUM(I23:I33)</f>
        <v>0</v>
      </c>
      <c r="K34" s="695"/>
      <c r="L34" s="695"/>
      <c r="M34" s="695"/>
      <c r="N34" s="695"/>
      <c r="O34" s="695"/>
      <c r="P34" s="695"/>
      <c r="Q34" s="695"/>
      <c r="R34" s="695"/>
      <c r="S34" s="695"/>
      <c r="T34" s="695"/>
      <c r="U34" s="695"/>
      <c r="V34" s="695"/>
      <c r="W34" s="695"/>
      <c r="X34" s="695"/>
      <c r="Y34" s="695"/>
      <c r="Z34" s="695"/>
      <c r="AA34" s="695"/>
      <c r="AB34" s="695"/>
      <c r="AC34" s="695"/>
      <c r="AD34" s="695"/>
      <c r="AE34" s="695"/>
      <c r="AF34" s="695"/>
      <c r="AG34" s="695"/>
      <c r="AH34" s="695"/>
      <c r="AI34" s="695"/>
      <c r="AJ34" s="695"/>
      <c r="AK34" s="695"/>
      <c r="AL34" s="695"/>
      <c r="AM34" s="695"/>
      <c r="AN34" s="695"/>
      <c r="AO34" s="695"/>
      <c r="AP34" s="695"/>
      <c r="AQ34" s="695"/>
      <c r="AR34" s="695"/>
    </row>
    <row r="35" spans="1:44" ht="10.5" customHeight="1" thickTop="1" x14ac:dyDescent="0.25">
      <c r="A35" s="695"/>
      <c r="C35" s="256"/>
      <c r="D35" s="256"/>
      <c r="E35" s="273"/>
      <c r="F35" s="273"/>
      <c r="G35" s="273"/>
      <c r="H35" s="256"/>
      <c r="I35" s="475"/>
      <c r="K35" s="695"/>
      <c r="L35" s="695"/>
      <c r="M35" s="695"/>
      <c r="N35" s="695"/>
      <c r="O35" s="695"/>
      <c r="P35" s="695"/>
      <c r="Q35" s="695"/>
      <c r="R35" s="695"/>
      <c r="S35" s="695"/>
      <c r="T35" s="695"/>
      <c r="U35" s="695"/>
      <c r="V35" s="695"/>
      <c r="W35" s="695"/>
      <c r="X35" s="695"/>
      <c r="Y35" s="695"/>
      <c r="Z35" s="695"/>
      <c r="AA35" s="695"/>
      <c r="AB35" s="695"/>
      <c r="AC35" s="695"/>
      <c r="AD35" s="695"/>
      <c r="AE35" s="695"/>
      <c r="AF35" s="695"/>
      <c r="AG35" s="695"/>
      <c r="AH35" s="695"/>
      <c r="AI35" s="695"/>
      <c r="AJ35" s="695"/>
      <c r="AK35" s="695"/>
      <c r="AL35" s="695"/>
      <c r="AM35" s="695"/>
      <c r="AN35" s="695"/>
      <c r="AO35" s="695"/>
      <c r="AP35" s="695"/>
      <c r="AQ35" s="695"/>
      <c r="AR35" s="695"/>
    </row>
    <row r="36" spans="1:44" ht="14.15" customHeight="1" x14ac:dyDescent="0.3">
      <c r="A36" s="695"/>
      <c r="C36" s="291" t="str">
        <f>basic!D17</f>
        <v xml:space="preserve">2025/26 </v>
      </c>
      <c r="D36" s="256" t="str">
        <f>D23</f>
        <v>Notional Liability</v>
      </c>
      <c r="E36" s="276">
        <f>calc1!F5</f>
        <v>0</v>
      </c>
      <c r="F36" s="273" t="s">
        <v>2396</v>
      </c>
      <c r="G36" s="273">
        <f>calc1!$F$20</f>
        <v>0.499</v>
      </c>
      <c r="H36" s="327" t="str">
        <f>"x "&amp;calc1!$F$65&amp;" / "&amp;calc1!$F$64&amp;" = "</f>
        <v xml:space="preserve">x 365 / 365 = </v>
      </c>
      <c r="I36" s="475">
        <f>calc1!$F$21/calc1!$F$64*calc1!$F$65</f>
        <v>0</v>
      </c>
      <c r="K36" s="695"/>
      <c r="L36" s="695"/>
      <c r="M36" s="695"/>
      <c r="N36" s="695"/>
      <c r="O36" s="695"/>
      <c r="P36" s="695"/>
      <c r="Q36" s="695"/>
      <c r="R36" s="695"/>
      <c r="S36" s="695"/>
      <c r="T36" s="695"/>
      <c r="U36" s="695"/>
      <c r="V36" s="695"/>
      <c r="W36" s="695"/>
      <c r="X36" s="695"/>
      <c r="Y36" s="695"/>
      <c r="Z36" s="695"/>
      <c r="AA36" s="695"/>
      <c r="AB36" s="695"/>
      <c r="AC36" s="695"/>
      <c r="AD36" s="695"/>
      <c r="AE36" s="695"/>
      <c r="AF36" s="695"/>
      <c r="AG36" s="695"/>
      <c r="AH36" s="695"/>
      <c r="AI36" s="695"/>
      <c r="AJ36" s="695"/>
      <c r="AK36" s="695"/>
      <c r="AL36" s="695"/>
      <c r="AM36" s="695"/>
      <c r="AN36" s="695"/>
      <c r="AO36" s="695"/>
      <c r="AP36" s="695"/>
      <c r="AQ36" s="695"/>
      <c r="AR36" s="695"/>
    </row>
    <row r="37" spans="1:44" ht="14.15" customHeight="1" x14ac:dyDescent="0.25">
      <c r="A37" s="695"/>
      <c r="C37" s="256"/>
      <c r="D37" s="256" t="str">
        <f t="shared" ref="D37:D46" si="1">D24</f>
        <v>Supplement not applicable</v>
      </c>
      <c r="E37" s="276">
        <f>$E$10</f>
        <v>0</v>
      </c>
      <c r="F37" s="273" t="str">
        <f>F36</f>
        <v>x</v>
      </c>
      <c r="G37" s="273">
        <f>calc1!$F$41</f>
        <v>5.600000000000005E-2</v>
      </c>
      <c r="H37" s="256" t="str">
        <f>H36</f>
        <v xml:space="preserve">x 365 / 365 = </v>
      </c>
      <c r="I37" s="475">
        <f ca="1">calc1!$F$43/calc1!$F$64*calc1!$F$65</f>
        <v>0</v>
      </c>
      <c r="K37" s="695"/>
      <c r="L37" s="695"/>
      <c r="M37" s="695"/>
      <c r="N37" s="695"/>
      <c r="O37" s="695"/>
      <c r="P37" s="695"/>
      <c r="Q37" s="695"/>
      <c r="R37" s="695"/>
      <c r="S37" s="695"/>
      <c r="T37" s="695"/>
      <c r="U37" s="695"/>
      <c r="V37" s="695"/>
      <c r="W37" s="695"/>
      <c r="X37" s="695"/>
      <c r="Y37" s="695"/>
      <c r="Z37" s="695"/>
      <c r="AA37" s="695"/>
      <c r="AB37" s="695"/>
      <c r="AC37" s="695"/>
      <c r="AD37" s="695"/>
      <c r="AE37" s="695"/>
      <c r="AF37" s="695"/>
      <c r="AG37" s="695"/>
      <c r="AH37" s="695"/>
      <c r="AI37" s="695"/>
      <c r="AJ37" s="695"/>
      <c r="AK37" s="695"/>
      <c r="AL37" s="695"/>
      <c r="AM37" s="695"/>
      <c r="AN37" s="695"/>
      <c r="AO37" s="695"/>
      <c r="AP37" s="695"/>
      <c r="AQ37" s="695"/>
      <c r="AR37" s="695"/>
    </row>
    <row r="38" spans="1:44" ht="14.15" customHeight="1" x14ac:dyDescent="0.25">
      <c r="A38" s="695"/>
      <c r="C38" s="256"/>
      <c r="D38" s="256" t="str">
        <f t="shared" si="1"/>
        <v>Small Business Rate Relief</v>
      </c>
      <c r="E38" s="273"/>
      <c r="F38" s="273"/>
      <c r="G38" s="273"/>
      <c r="H38" s="256"/>
      <c r="I38" s="475">
        <f ca="1">calc1!$F$120/calc1!$F$64*calc1!$F$65</f>
        <v>0</v>
      </c>
      <c r="K38" s="695"/>
      <c r="L38" s="695"/>
      <c r="M38" s="695"/>
      <c r="N38" s="695"/>
      <c r="O38" s="695"/>
      <c r="P38" s="695"/>
      <c r="Q38" s="695"/>
      <c r="R38" s="695"/>
      <c r="S38" s="695"/>
      <c r="T38" s="695"/>
      <c r="U38" s="695"/>
      <c r="V38" s="695"/>
      <c r="W38" s="695"/>
      <c r="X38" s="695"/>
      <c r="Y38" s="695"/>
      <c r="Z38" s="695"/>
      <c r="AA38" s="695"/>
      <c r="AB38" s="695"/>
      <c r="AC38" s="695"/>
      <c r="AD38" s="695"/>
      <c r="AE38" s="695"/>
      <c r="AF38" s="695"/>
      <c r="AG38" s="695"/>
      <c r="AH38" s="695"/>
      <c r="AI38" s="695"/>
      <c r="AJ38" s="695"/>
      <c r="AK38" s="695"/>
      <c r="AL38" s="695"/>
      <c r="AM38" s="695"/>
      <c r="AN38" s="695"/>
      <c r="AO38" s="695"/>
      <c r="AP38" s="695"/>
      <c r="AQ38" s="695"/>
      <c r="AR38" s="695"/>
    </row>
    <row r="39" spans="1:44" ht="14.15" customHeight="1" x14ac:dyDescent="0.25">
      <c r="A39" s="695"/>
      <c r="C39" s="256"/>
      <c r="D39" s="256" t="str">
        <f t="shared" si="1"/>
        <v>City of London Supplement</v>
      </c>
      <c r="E39" s="276">
        <f>$E$11</f>
        <v>0</v>
      </c>
      <c r="F39" s="273" t="str">
        <f>F37</f>
        <v>x</v>
      </c>
      <c r="G39" s="273">
        <f>calc1!$F$44</f>
        <v>0.02</v>
      </c>
      <c r="H39" s="256" t="str">
        <f>H37</f>
        <v xml:space="preserve">x 365 / 365 = </v>
      </c>
      <c r="I39" s="475">
        <f>calc1!$F$46/calc1!$F$64*calc1!$F$65</f>
        <v>0</v>
      </c>
      <c r="K39" s="695"/>
      <c r="L39" s="695"/>
      <c r="M39" s="695"/>
      <c r="N39" s="695"/>
      <c r="O39" s="695"/>
      <c r="P39" s="695"/>
      <c r="Q39" s="695"/>
      <c r="R39" s="695"/>
      <c r="S39" s="695"/>
      <c r="T39" s="695"/>
      <c r="U39" s="695"/>
      <c r="V39" s="695"/>
      <c r="W39" s="695"/>
      <c r="X39" s="695"/>
      <c r="Y39" s="695"/>
      <c r="Z39" s="695"/>
      <c r="AA39" s="695"/>
      <c r="AB39" s="695"/>
      <c r="AC39" s="695"/>
      <c r="AD39" s="695"/>
      <c r="AE39" s="695"/>
      <c r="AF39" s="695"/>
      <c r="AG39" s="695"/>
      <c r="AH39" s="695"/>
      <c r="AI39" s="695"/>
      <c r="AJ39" s="695"/>
      <c r="AK39" s="695"/>
      <c r="AL39" s="695"/>
      <c r="AM39" s="695"/>
      <c r="AN39" s="695"/>
      <c r="AO39" s="695"/>
      <c r="AP39" s="695"/>
      <c r="AQ39" s="695"/>
      <c r="AR39" s="695"/>
    </row>
    <row r="40" spans="1:44" ht="14.15" customHeight="1" x14ac:dyDescent="0.25">
      <c r="A40" s="695"/>
      <c r="C40" s="256"/>
      <c r="D40" s="256" t="str">
        <f t="shared" si="1"/>
        <v>Transitional Adjustment</v>
      </c>
      <c r="E40" s="273"/>
      <c r="F40" s="273"/>
      <c r="G40" s="273"/>
      <c r="H40" s="256"/>
      <c r="I40" s="475">
        <f>calc1!$F$123/calc1!$F$64*calc1!$F$65</f>
        <v>0</v>
      </c>
      <c r="K40" s="695"/>
      <c r="L40" s="695"/>
      <c r="M40" s="695"/>
      <c r="N40" s="695"/>
      <c r="O40" s="695"/>
      <c r="P40" s="695"/>
      <c r="Q40" s="695"/>
      <c r="R40" s="695"/>
      <c r="S40" s="695"/>
      <c r="T40" s="695"/>
      <c r="U40" s="695"/>
      <c r="V40" s="695"/>
      <c r="W40" s="695"/>
      <c r="X40" s="695"/>
      <c r="Y40" s="695"/>
      <c r="Z40" s="695"/>
      <c r="AA40" s="695"/>
      <c r="AB40" s="695"/>
      <c r="AC40" s="695"/>
      <c r="AD40" s="695"/>
      <c r="AE40" s="695"/>
      <c r="AF40" s="695"/>
      <c r="AG40" s="695"/>
      <c r="AH40" s="695"/>
      <c r="AI40" s="695"/>
      <c r="AJ40" s="695"/>
      <c r="AK40" s="695"/>
      <c r="AL40" s="695"/>
      <c r="AM40" s="695"/>
      <c r="AN40" s="695"/>
      <c r="AO40" s="695"/>
      <c r="AP40" s="695"/>
      <c r="AQ40" s="695"/>
      <c r="AR40" s="695"/>
    </row>
    <row r="41" spans="1:44" ht="14.15" customHeight="1" x14ac:dyDescent="0.25">
      <c r="A41" s="695"/>
      <c r="C41" s="256"/>
      <c r="D41" s="256" t="str">
        <f t="shared" si="1"/>
        <v>BRS</v>
      </c>
      <c r="E41" s="276">
        <f>$E$13</f>
        <v>0</v>
      </c>
      <c r="F41" s="273" t="str">
        <f>F39</f>
        <v>x</v>
      </c>
      <c r="G41" s="273">
        <f>(calc1!$F$47*calc1!$F$45)+(calc1!$F$60*calc1!$F$62)</f>
        <v>0</v>
      </c>
      <c r="H41" s="256" t="str">
        <f>H39</f>
        <v xml:space="preserve">x 365 / 365 = </v>
      </c>
      <c r="I41" s="475">
        <f>(calc1!$F$50+calc1!$F$63)/calc1!$F$64*calc1!$F$65</f>
        <v>0</v>
      </c>
      <c r="K41" s="695"/>
      <c r="L41" s="695"/>
      <c r="M41" s="695"/>
      <c r="N41" s="695"/>
      <c r="O41" s="695"/>
      <c r="P41" s="695"/>
      <c r="Q41" s="695"/>
      <c r="R41" s="695"/>
      <c r="S41" s="695"/>
      <c r="T41" s="695"/>
      <c r="U41" s="695"/>
      <c r="V41" s="695"/>
      <c r="W41" s="695"/>
      <c r="X41" s="695"/>
      <c r="Y41" s="695"/>
      <c r="Z41" s="695"/>
      <c r="AA41" s="695"/>
      <c r="AB41" s="695"/>
      <c r="AC41" s="695"/>
      <c r="AD41" s="695"/>
      <c r="AE41" s="695"/>
      <c r="AF41" s="695"/>
      <c r="AG41" s="695"/>
      <c r="AH41" s="695"/>
      <c r="AI41" s="695"/>
      <c r="AJ41" s="695"/>
      <c r="AK41" s="695"/>
      <c r="AL41" s="695"/>
      <c r="AM41" s="695"/>
      <c r="AN41" s="695"/>
      <c r="AO41" s="695"/>
      <c r="AP41" s="695"/>
      <c r="AQ41" s="695"/>
      <c r="AR41" s="695"/>
    </row>
    <row r="42" spans="1:44" ht="14.15" customHeight="1" x14ac:dyDescent="0.25">
      <c r="A42" s="695"/>
      <c r="C42" s="256"/>
      <c r="D42" s="256" t="str">
        <f t="shared" si="1"/>
        <v>Charitable Relief</v>
      </c>
      <c r="E42" s="273"/>
      <c r="F42" s="273"/>
      <c r="G42" s="273"/>
      <c r="H42" s="256"/>
      <c r="I42" s="475">
        <f ca="1">IF(calc1!F84&lt;0,calc1!F84/calc1!$F$64*calc1!$F$65,calc1!$F$82/calc1!$F$64*calc1!$F$65)</f>
        <v>0</v>
      </c>
      <c r="K42" s="695"/>
      <c r="L42" s="695"/>
      <c r="M42" s="695"/>
      <c r="N42" s="695"/>
      <c r="O42" s="695"/>
      <c r="P42" s="695"/>
      <c r="Q42" s="695"/>
      <c r="R42" s="695"/>
      <c r="S42" s="695"/>
      <c r="T42" s="695"/>
      <c r="U42" s="695"/>
      <c r="V42" s="695"/>
      <c r="W42" s="695"/>
      <c r="X42" s="695"/>
      <c r="Y42" s="695"/>
      <c r="Z42" s="695"/>
      <c r="AA42" s="695"/>
      <c r="AB42" s="695"/>
      <c r="AC42" s="695"/>
      <c r="AD42" s="695"/>
      <c r="AE42" s="695"/>
      <c r="AF42" s="695"/>
      <c r="AG42" s="695"/>
      <c r="AH42" s="695"/>
      <c r="AI42" s="695"/>
      <c r="AJ42" s="695"/>
      <c r="AK42" s="695"/>
      <c r="AL42" s="695"/>
      <c r="AM42" s="695"/>
      <c r="AN42" s="695"/>
      <c r="AO42" s="695"/>
      <c r="AP42" s="695"/>
      <c r="AQ42" s="695"/>
      <c r="AR42" s="695"/>
    </row>
    <row r="43" spans="1:44" ht="14.15" customHeight="1" x14ac:dyDescent="0.25">
      <c r="A43" s="695"/>
      <c r="C43" s="256"/>
      <c r="D43" s="256" t="str">
        <f ca="1">"adjustment for "&amp;"RHL"&amp;calc1!F169</f>
        <v>adjustment for RHL</v>
      </c>
      <c r="E43" s="273"/>
      <c r="F43" s="273"/>
      <c r="G43" s="273"/>
      <c r="H43" s="256"/>
      <c r="I43" s="475">
        <f ca="1">calc1!F130</f>
        <v>0</v>
      </c>
      <c r="K43" s="695"/>
      <c r="L43" s="695"/>
      <c r="M43" s="695"/>
      <c r="N43" s="695"/>
      <c r="O43" s="695"/>
      <c r="P43" s="695"/>
      <c r="Q43" s="695"/>
      <c r="R43" s="695"/>
      <c r="S43" s="695"/>
      <c r="T43" s="695"/>
      <c r="U43" s="695"/>
      <c r="V43" s="695"/>
      <c r="W43" s="695"/>
      <c r="X43" s="695"/>
      <c r="Y43" s="695"/>
      <c r="Z43" s="695"/>
      <c r="AA43" s="695"/>
      <c r="AB43" s="695"/>
      <c r="AC43" s="695"/>
      <c r="AD43" s="695"/>
      <c r="AE43" s="695"/>
      <c r="AF43" s="695"/>
      <c r="AG43" s="695"/>
      <c r="AH43" s="695"/>
      <c r="AI43" s="695"/>
      <c r="AJ43" s="695"/>
      <c r="AK43" s="695"/>
      <c r="AL43" s="695"/>
      <c r="AM43" s="695"/>
      <c r="AN43" s="695"/>
      <c r="AO43" s="695"/>
      <c r="AP43" s="695"/>
      <c r="AQ43" s="695"/>
      <c r="AR43" s="695"/>
    </row>
    <row r="44" spans="1:44" ht="14.15" customHeight="1" x14ac:dyDescent="0.25">
      <c r="A44" s="695"/>
      <c r="C44" s="256"/>
      <c r="D44" s="256" t="str">
        <f t="shared" si="1"/>
        <v>adjustment for Supporting Small Business Relief</v>
      </c>
      <c r="E44" s="273"/>
      <c r="F44" s="273"/>
      <c r="G44" s="273"/>
      <c r="H44" s="256"/>
      <c r="I44" s="475">
        <f ca="1">calc1!F157</f>
        <v>0</v>
      </c>
      <c r="K44" s="695"/>
      <c r="L44" s="695"/>
      <c r="M44" s="695"/>
      <c r="N44" s="695"/>
      <c r="O44" s="695"/>
      <c r="P44" s="695"/>
      <c r="Q44" s="695"/>
      <c r="R44" s="695"/>
      <c r="S44" s="695"/>
      <c r="T44" s="695"/>
      <c r="U44" s="695"/>
      <c r="V44" s="695"/>
      <c r="W44" s="695"/>
      <c r="X44" s="695"/>
      <c r="Y44" s="695"/>
      <c r="Z44" s="695"/>
      <c r="AA44" s="695"/>
      <c r="AB44" s="695"/>
      <c r="AC44" s="695"/>
      <c r="AD44" s="695"/>
      <c r="AE44" s="695"/>
      <c r="AF44" s="695"/>
      <c r="AG44" s="695"/>
      <c r="AH44" s="695"/>
      <c r="AI44" s="695"/>
      <c r="AJ44" s="695"/>
      <c r="AK44" s="695"/>
      <c r="AL44" s="695"/>
      <c r="AM44" s="695"/>
      <c r="AN44" s="695"/>
      <c r="AO44" s="695"/>
      <c r="AP44" s="695"/>
      <c r="AQ44" s="695"/>
      <c r="AR44" s="695"/>
    </row>
    <row r="45" spans="1:44" ht="14.15" customHeight="1" x14ac:dyDescent="0.25">
      <c r="A45" s="695"/>
      <c r="C45" s="256"/>
      <c r="D45" s="256" t="str">
        <f t="shared" si="1"/>
        <v xml:space="preserve">adjustment for  </v>
      </c>
      <c r="E45" s="273"/>
      <c r="F45" s="273"/>
      <c r="G45" s="273"/>
      <c r="H45" s="256"/>
      <c r="I45" s="475">
        <f ca="1">calc1!F91</f>
        <v>0</v>
      </c>
      <c r="K45" s="695"/>
      <c r="L45" s="695"/>
      <c r="M45" s="695"/>
      <c r="N45" s="695"/>
      <c r="O45" s="695"/>
      <c r="P45" s="695"/>
      <c r="Q45" s="695"/>
      <c r="R45" s="695"/>
      <c r="S45" s="695"/>
      <c r="T45" s="695"/>
      <c r="U45" s="695"/>
      <c r="V45" s="695"/>
      <c r="W45" s="695"/>
      <c r="X45" s="695"/>
      <c r="Y45" s="695"/>
      <c r="Z45" s="695"/>
      <c r="AA45" s="695"/>
      <c r="AB45" s="695"/>
      <c r="AC45" s="695"/>
      <c r="AD45" s="695"/>
      <c r="AE45" s="695"/>
      <c r="AF45" s="695"/>
      <c r="AG45" s="695"/>
      <c r="AH45" s="695"/>
      <c r="AI45" s="695"/>
      <c r="AJ45" s="695"/>
      <c r="AK45" s="695"/>
      <c r="AL45" s="695"/>
      <c r="AM45" s="695"/>
      <c r="AN45" s="695"/>
      <c r="AO45" s="695"/>
      <c r="AP45" s="695"/>
      <c r="AQ45" s="695"/>
      <c r="AR45" s="695"/>
    </row>
    <row r="46" spans="1:44" ht="14.15" customHeight="1" x14ac:dyDescent="0.25">
      <c r="A46" s="695"/>
      <c r="C46" s="256"/>
      <c r="D46" s="256" t="str">
        <f t="shared" si="1"/>
        <v xml:space="preserve">adjustment for </v>
      </c>
      <c r="E46" s="273"/>
      <c r="F46" s="273"/>
      <c r="G46" s="273"/>
      <c r="H46" s="256"/>
      <c r="I46" s="475">
        <f>calc1!$F$87/calc1!$F$64*calc1!$F$65</f>
        <v>0</v>
      </c>
      <c r="K46" s="695"/>
      <c r="L46" s="695"/>
      <c r="M46" s="695"/>
      <c r="N46" s="695"/>
      <c r="O46" s="695"/>
      <c r="P46" s="695"/>
      <c r="Q46" s="695"/>
      <c r="R46" s="695"/>
      <c r="S46" s="695"/>
      <c r="T46" s="695"/>
      <c r="U46" s="695"/>
      <c r="V46" s="695"/>
      <c r="W46" s="695"/>
      <c r="X46" s="695"/>
      <c r="Y46" s="695"/>
      <c r="Z46" s="695"/>
      <c r="AA46" s="695"/>
      <c r="AB46" s="695"/>
      <c r="AC46" s="695"/>
      <c r="AD46" s="695"/>
      <c r="AE46" s="695"/>
      <c r="AF46" s="695"/>
      <c r="AG46" s="695"/>
      <c r="AH46" s="695"/>
      <c r="AI46" s="695"/>
      <c r="AJ46" s="695"/>
      <c r="AK46" s="695"/>
      <c r="AL46" s="695"/>
      <c r="AM46" s="695"/>
      <c r="AN46" s="695"/>
      <c r="AO46" s="695"/>
      <c r="AP46" s="695"/>
      <c r="AQ46" s="695"/>
      <c r="AR46" s="695"/>
    </row>
    <row r="47" spans="1:44" ht="15" customHeight="1" thickBot="1" x14ac:dyDescent="0.35">
      <c r="A47" s="695"/>
      <c r="C47" s="291"/>
      <c r="D47" s="702" t="s">
        <v>2409</v>
      </c>
      <c r="E47" s="703"/>
      <c r="F47" s="703"/>
      <c r="G47" s="703"/>
      <c r="H47" s="702"/>
      <c r="I47" s="704">
        <f ca="1">SUM(I36:I46)</f>
        <v>0</v>
      </c>
      <c r="K47" s="695"/>
      <c r="L47" s="695"/>
      <c r="M47" s="695"/>
      <c r="N47" s="695"/>
      <c r="O47" s="695"/>
      <c r="P47" s="695"/>
      <c r="Q47" s="695"/>
      <c r="R47" s="695"/>
      <c r="S47" s="695"/>
      <c r="T47" s="695"/>
      <c r="U47" s="695"/>
      <c r="V47" s="695"/>
      <c r="W47" s="695"/>
      <c r="X47" s="695"/>
      <c r="Y47" s="695"/>
      <c r="Z47" s="695"/>
      <c r="AA47" s="695"/>
      <c r="AB47" s="695"/>
      <c r="AC47" s="695"/>
      <c r="AD47" s="695"/>
      <c r="AE47" s="695"/>
      <c r="AF47" s="695"/>
      <c r="AG47" s="695"/>
      <c r="AH47" s="695"/>
      <c r="AI47" s="695"/>
      <c r="AJ47" s="695"/>
      <c r="AK47" s="695"/>
      <c r="AL47" s="695"/>
      <c r="AM47" s="695"/>
      <c r="AN47" s="695"/>
      <c r="AO47" s="695"/>
      <c r="AP47" s="695"/>
      <c r="AQ47" s="695"/>
      <c r="AR47" s="695"/>
    </row>
    <row r="48" spans="1:44" ht="11.25" customHeight="1" thickTop="1" x14ac:dyDescent="0.25">
      <c r="A48" s="695"/>
      <c r="C48" s="256"/>
      <c r="D48" s="256"/>
      <c r="E48" s="273"/>
      <c r="F48" s="273"/>
      <c r="G48" s="273"/>
      <c r="H48" s="256"/>
      <c r="I48" s="475"/>
      <c r="K48" s="695"/>
      <c r="L48" s="695"/>
      <c r="M48" s="695"/>
      <c r="N48" s="695"/>
      <c r="O48" s="695"/>
      <c r="P48" s="695"/>
      <c r="Q48" s="695"/>
      <c r="R48" s="695"/>
      <c r="S48" s="695"/>
      <c r="T48" s="695"/>
      <c r="U48" s="695"/>
      <c r="V48" s="695"/>
      <c r="W48" s="695"/>
      <c r="X48" s="695"/>
      <c r="Y48" s="695"/>
      <c r="Z48" s="695"/>
      <c r="AA48" s="695"/>
      <c r="AB48" s="695"/>
      <c r="AC48" s="695"/>
      <c r="AD48" s="695"/>
      <c r="AE48" s="695"/>
      <c r="AF48" s="695"/>
      <c r="AG48" s="695"/>
      <c r="AH48" s="695"/>
      <c r="AI48" s="695"/>
      <c r="AJ48" s="695"/>
      <c r="AK48" s="695"/>
      <c r="AL48" s="695"/>
      <c r="AM48" s="695"/>
      <c r="AN48" s="695"/>
      <c r="AO48" s="695"/>
      <c r="AP48" s="695"/>
      <c r="AQ48" s="695"/>
      <c r="AR48" s="695"/>
    </row>
    <row r="49" spans="1:44" ht="11.25" customHeight="1" x14ac:dyDescent="0.25">
      <c r="A49" s="695"/>
      <c r="C49" s="256"/>
      <c r="D49" s="256"/>
      <c r="E49" s="273"/>
      <c r="F49" s="273"/>
      <c r="G49" s="273"/>
      <c r="H49" s="256"/>
      <c r="I49" s="475"/>
      <c r="K49" s="695"/>
      <c r="L49" s="695"/>
      <c r="M49" s="695"/>
      <c r="N49" s="695"/>
      <c r="O49" s="695"/>
      <c r="P49" s="695"/>
      <c r="Q49" s="695"/>
      <c r="R49" s="695"/>
      <c r="S49" s="695"/>
      <c r="T49" s="695"/>
      <c r="U49" s="695"/>
      <c r="V49" s="695"/>
      <c r="W49" s="695"/>
      <c r="X49" s="695"/>
      <c r="Y49" s="695"/>
      <c r="Z49" s="695"/>
      <c r="AA49" s="695"/>
      <c r="AB49" s="695"/>
      <c r="AC49" s="695"/>
      <c r="AD49" s="695"/>
      <c r="AE49" s="695"/>
      <c r="AF49" s="695"/>
      <c r="AG49" s="695"/>
      <c r="AH49" s="695"/>
      <c r="AI49" s="695"/>
      <c r="AJ49" s="695"/>
      <c r="AK49" s="695"/>
      <c r="AL49" s="695"/>
      <c r="AM49" s="695"/>
      <c r="AN49" s="695"/>
      <c r="AO49" s="695"/>
      <c r="AP49" s="695"/>
      <c r="AQ49" s="695"/>
      <c r="AR49" s="695"/>
    </row>
    <row r="50" spans="1:44" ht="8.25" customHeight="1" x14ac:dyDescent="0.25">
      <c r="A50" s="695"/>
      <c r="C50" s="256"/>
      <c r="D50" s="256"/>
      <c r="E50" s="273"/>
      <c r="F50" s="273"/>
      <c r="G50" s="273"/>
      <c r="H50" s="256"/>
      <c r="I50" s="475"/>
      <c r="K50" s="695"/>
      <c r="L50" s="695"/>
      <c r="M50" s="695"/>
      <c r="N50" s="695"/>
      <c r="O50" s="695"/>
      <c r="P50" s="695"/>
      <c r="Q50" s="695"/>
      <c r="R50" s="695"/>
      <c r="S50" s="695"/>
      <c r="T50" s="695"/>
      <c r="U50" s="695"/>
      <c r="V50" s="695"/>
      <c r="W50" s="695"/>
      <c r="X50" s="695"/>
      <c r="Y50" s="695"/>
      <c r="Z50" s="695"/>
      <c r="AA50" s="695"/>
      <c r="AB50" s="695"/>
      <c r="AC50" s="695"/>
      <c r="AD50" s="695"/>
      <c r="AE50" s="695"/>
      <c r="AF50" s="695"/>
      <c r="AG50" s="695"/>
      <c r="AH50" s="695"/>
      <c r="AI50" s="695"/>
      <c r="AJ50" s="695"/>
      <c r="AK50" s="695"/>
      <c r="AL50" s="695"/>
      <c r="AM50" s="695"/>
      <c r="AN50" s="695"/>
      <c r="AO50" s="695"/>
      <c r="AP50" s="695"/>
      <c r="AQ50" s="695"/>
      <c r="AR50" s="695"/>
    </row>
    <row r="51" spans="1:44" ht="6.75" customHeight="1" x14ac:dyDescent="0.25">
      <c r="A51" s="695"/>
      <c r="C51" s="283"/>
      <c r="D51" s="283"/>
      <c r="E51" s="335"/>
      <c r="F51" s="335"/>
      <c r="G51" s="335"/>
      <c r="H51" s="283"/>
      <c r="I51" s="487"/>
      <c r="J51" s="468"/>
      <c r="K51" s="695"/>
      <c r="L51" s="695"/>
      <c r="M51" s="695"/>
      <c r="N51" s="695"/>
      <c r="O51" s="695"/>
      <c r="P51" s="695"/>
      <c r="Q51" s="695"/>
      <c r="R51" s="695"/>
      <c r="S51" s="695"/>
      <c r="T51" s="695"/>
      <c r="U51" s="695"/>
      <c r="V51" s="695"/>
      <c r="W51" s="695"/>
      <c r="X51" s="695"/>
      <c r="Y51" s="695"/>
      <c r="Z51" s="695"/>
      <c r="AA51" s="695"/>
      <c r="AB51" s="695"/>
      <c r="AC51" s="695"/>
      <c r="AD51" s="695"/>
      <c r="AE51" s="695"/>
      <c r="AF51" s="695"/>
      <c r="AG51" s="695"/>
      <c r="AH51" s="695"/>
      <c r="AI51" s="695"/>
      <c r="AJ51" s="695"/>
      <c r="AK51" s="695"/>
      <c r="AL51" s="695"/>
      <c r="AM51" s="695"/>
      <c r="AN51" s="695"/>
      <c r="AO51" s="695"/>
      <c r="AP51" s="695"/>
      <c r="AQ51" s="695"/>
      <c r="AR51" s="695"/>
    </row>
    <row r="52" spans="1:44" ht="9" customHeight="1" x14ac:dyDescent="0.25">
      <c r="A52" s="695"/>
      <c r="C52" s="256"/>
      <c r="D52" s="256"/>
      <c r="E52" s="273"/>
      <c r="F52" s="273"/>
      <c r="G52" s="273"/>
      <c r="H52" s="256"/>
      <c r="I52" s="475"/>
      <c r="K52" s="695"/>
      <c r="L52" s="695"/>
      <c r="M52" s="695"/>
      <c r="N52" s="695"/>
      <c r="O52" s="695"/>
      <c r="P52" s="695"/>
      <c r="Q52" s="695"/>
      <c r="R52" s="695"/>
      <c r="S52" s="695"/>
      <c r="T52" s="695"/>
      <c r="U52" s="695"/>
      <c r="V52" s="695"/>
      <c r="W52" s="695"/>
      <c r="X52" s="695"/>
      <c r="Y52" s="695"/>
      <c r="Z52" s="695"/>
      <c r="AA52" s="695"/>
      <c r="AB52" s="695"/>
      <c r="AC52" s="695"/>
      <c r="AD52" s="695"/>
      <c r="AE52" s="695"/>
      <c r="AF52" s="695"/>
      <c r="AG52" s="695"/>
      <c r="AH52" s="695"/>
      <c r="AI52" s="695"/>
      <c r="AJ52" s="695"/>
      <c r="AK52" s="695"/>
      <c r="AL52" s="695"/>
      <c r="AM52" s="695"/>
      <c r="AN52" s="695"/>
      <c r="AO52" s="695"/>
      <c r="AP52" s="695"/>
      <c r="AQ52" s="695"/>
      <c r="AR52" s="695"/>
    </row>
    <row r="53" spans="1:44" ht="13" x14ac:dyDescent="0.3">
      <c r="A53" s="695"/>
      <c r="C53" s="256" t="str">
        <f>'basic output'!C57</f>
        <v>prepared by</v>
      </c>
      <c r="D53" s="291" t="str">
        <f>'basic output'!E57</f>
        <v>CBRE</v>
      </c>
      <c r="E53" s="273"/>
      <c r="F53" s="273"/>
      <c r="G53" s="273"/>
      <c r="H53" s="256"/>
      <c r="I53" s="475"/>
      <c r="K53" s="695"/>
      <c r="L53" s="695"/>
      <c r="M53" s="695"/>
      <c r="N53" s="695"/>
      <c r="O53" s="695"/>
      <c r="P53" s="695"/>
      <c r="Q53" s="695"/>
      <c r="R53" s="695"/>
      <c r="S53" s="695"/>
      <c r="T53" s="695"/>
      <c r="U53" s="695"/>
      <c r="V53" s="695"/>
      <c r="W53" s="695"/>
      <c r="X53" s="695"/>
      <c r="Y53" s="695"/>
      <c r="Z53" s="695"/>
      <c r="AA53" s="695"/>
      <c r="AB53" s="695"/>
      <c r="AC53" s="695"/>
      <c r="AD53" s="695"/>
      <c r="AE53" s="695"/>
      <c r="AF53" s="695"/>
      <c r="AG53" s="695"/>
      <c r="AH53" s="695"/>
      <c r="AI53" s="695"/>
      <c r="AJ53" s="695"/>
      <c r="AK53" s="695"/>
      <c r="AL53" s="695"/>
      <c r="AM53" s="695"/>
      <c r="AN53" s="695"/>
      <c r="AO53" s="695"/>
      <c r="AP53" s="695"/>
      <c r="AQ53" s="695"/>
      <c r="AR53" s="695"/>
    </row>
    <row r="54" spans="1:44" ht="11.25" customHeight="1" x14ac:dyDescent="0.25">
      <c r="A54" s="695"/>
      <c r="K54" s="695"/>
      <c r="L54" s="695"/>
      <c r="M54" s="695"/>
      <c r="N54" s="695"/>
      <c r="O54" s="695"/>
      <c r="P54" s="695"/>
      <c r="Q54" s="695"/>
      <c r="R54" s="695"/>
      <c r="S54" s="695"/>
      <c r="T54" s="695"/>
      <c r="U54" s="695"/>
      <c r="V54" s="695"/>
      <c r="W54" s="695"/>
      <c r="X54" s="695"/>
      <c r="Y54" s="695"/>
      <c r="Z54" s="695"/>
      <c r="AA54" s="695"/>
      <c r="AB54" s="695"/>
      <c r="AC54" s="695"/>
      <c r="AD54" s="695"/>
      <c r="AE54" s="695"/>
      <c r="AF54" s="695"/>
      <c r="AG54" s="695"/>
      <c r="AH54" s="695"/>
      <c r="AI54" s="695"/>
      <c r="AJ54" s="695"/>
      <c r="AK54" s="695"/>
      <c r="AL54" s="695"/>
      <c r="AM54" s="695"/>
      <c r="AN54" s="695"/>
      <c r="AO54" s="695"/>
      <c r="AP54" s="695"/>
      <c r="AQ54" s="695"/>
      <c r="AR54" s="695"/>
    </row>
    <row r="55" spans="1:44" x14ac:dyDescent="0.25">
      <c r="A55" s="695"/>
      <c r="B55" s="695"/>
      <c r="C55" s="695"/>
      <c r="D55" s="695"/>
      <c r="E55" s="695"/>
      <c r="F55" s="695"/>
      <c r="G55" s="695"/>
      <c r="H55" s="695"/>
      <c r="I55" s="695"/>
      <c r="J55" s="695"/>
      <c r="K55" s="695"/>
      <c r="L55" s="695"/>
      <c r="M55" s="695"/>
      <c r="N55" s="695"/>
      <c r="O55" s="695"/>
      <c r="P55" s="695"/>
      <c r="Q55" s="695"/>
      <c r="R55" s="695"/>
      <c r="S55" s="695"/>
      <c r="T55" s="695"/>
      <c r="U55" s="695"/>
      <c r="V55" s="695"/>
      <c r="W55" s="695"/>
      <c r="X55" s="695"/>
      <c r="Y55" s="695"/>
      <c r="Z55" s="695"/>
      <c r="AA55" s="695"/>
      <c r="AB55" s="695"/>
      <c r="AC55" s="695"/>
      <c r="AD55" s="695"/>
      <c r="AE55" s="695"/>
      <c r="AF55" s="695"/>
      <c r="AG55" s="695"/>
      <c r="AH55" s="695"/>
      <c r="AI55" s="695"/>
      <c r="AJ55" s="695"/>
      <c r="AK55" s="695"/>
      <c r="AL55" s="695"/>
      <c r="AM55" s="695"/>
      <c r="AN55" s="695"/>
      <c r="AO55" s="695"/>
      <c r="AP55" s="695"/>
      <c r="AQ55" s="695"/>
      <c r="AR55" s="695"/>
    </row>
    <row r="56" spans="1:44" x14ac:dyDescent="0.25">
      <c r="A56" s="695"/>
      <c r="B56" s="695"/>
      <c r="C56" s="695"/>
      <c r="D56" s="695"/>
      <c r="E56" s="695"/>
      <c r="F56" s="695"/>
      <c r="G56" s="695"/>
      <c r="H56" s="695"/>
      <c r="I56" s="695"/>
      <c r="J56" s="695"/>
      <c r="K56" s="695"/>
      <c r="L56" s="695"/>
      <c r="M56" s="695"/>
      <c r="N56" s="695"/>
      <c r="O56" s="695"/>
      <c r="P56" s="695"/>
      <c r="Q56" s="695"/>
      <c r="R56" s="695"/>
      <c r="S56" s="695"/>
      <c r="T56" s="695"/>
      <c r="U56" s="695"/>
      <c r="V56" s="695"/>
      <c r="W56" s="695"/>
      <c r="X56" s="695"/>
      <c r="Y56" s="695"/>
      <c r="Z56" s="695"/>
      <c r="AA56" s="695"/>
      <c r="AB56" s="695"/>
      <c r="AC56" s="695"/>
      <c r="AD56" s="695"/>
      <c r="AE56" s="695"/>
      <c r="AF56" s="695"/>
      <c r="AG56" s="695"/>
      <c r="AH56" s="695"/>
      <c r="AI56" s="695"/>
      <c r="AJ56" s="695"/>
      <c r="AK56" s="695"/>
      <c r="AL56" s="695"/>
      <c r="AM56" s="695"/>
      <c r="AN56" s="695"/>
      <c r="AO56" s="695"/>
      <c r="AP56" s="695"/>
      <c r="AQ56" s="695"/>
      <c r="AR56" s="695"/>
    </row>
    <row r="57" spans="1:44" x14ac:dyDescent="0.25">
      <c r="A57" s="695"/>
      <c r="B57" s="695"/>
      <c r="C57" s="695"/>
      <c r="D57" s="695"/>
      <c r="E57" s="695"/>
      <c r="F57" s="695"/>
      <c r="G57" s="695"/>
      <c r="H57" s="695"/>
      <c r="I57" s="695"/>
      <c r="J57" s="695"/>
      <c r="K57" s="695"/>
      <c r="L57" s="695"/>
      <c r="M57" s="695"/>
      <c r="N57" s="695"/>
      <c r="O57" s="695"/>
      <c r="P57" s="695"/>
      <c r="Q57" s="695"/>
      <c r="R57" s="695"/>
      <c r="S57" s="695"/>
      <c r="T57" s="695"/>
      <c r="U57" s="695"/>
      <c r="V57" s="695"/>
      <c r="W57" s="695"/>
      <c r="X57" s="695"/>
      <c r="Y57" s="695"/>
      <c r="Z57" s="695"/>
      <c r="AA57" s="695"/>
      <c r="AB57" s="695"/>
      <c r="AC57" s="695"/>
      <c r="AD57" s="695"/>
      <c r="AE57" s="695"/>
      <c r="AF57" s="695"/>
      <c r="AG57" s="695"/>
      <c r="AH57" s="695"/>
      <c r="AI57" s="695"/>
      <c r="AJ57" s="695"/>
      <c r="AK57" s="695"/>
      <c r="AL57" s="695"/>
      <c r="AM57" s="695"/>
      <c r="AN57" s="695"/>
      <c r="AO57" s="695"/>
      <c r="AP57" s="695"/>
      <c r="AQ57" s="695"/>
      <c r="AR57" s="695"/>
    </row>
    <row r="58" spans="1:44" x14ac:dyDescent="0.25">
      <c r="A58" s="695"/>
      <c r="B58" s="695"/>
      <c r="C58" s="695"/>
      <c r="D58" s="695"/>
      <c r="E58" s="695"/>
      <c r="F58" s="695"/>
      <c r="G58" s="695"/>
      <c r="H58" s="695"/>
      <c r="I58" s="695"/>
      <c r="J58" s="695"/>
      <c r="K58" s="695"/>
      <c r="L58" s="695"/>
      <c r="M58" s="695"/>
      <c r="N58" s="695"/>
      <c r="O58" s="695"/>
      <c r="P58" s="695"/>
      <c r="Q58" s="695"/>
      <c r="R58" s="695"/>
      <c r="S58" s="695"/>
      <c r="T58" s="695"/>
      <c r="U58" s="695"/>
      <c r="V58" s="695"/>
      <c r="W58" s="695"/>
      <c r="X58" s="695"/>
      <c r="Y58" s="695"/>
      <c r="Z58" s="695"/>
      <c r="AA58" s="695"/>
      <c r="AB58" s="695"/>
      <c r="AC58" s="695"/>
      <c r="AD58" s="695"/>
      <c r="AE58" s="695"/>
      <c r="AF58" s="695"/>
      <c r="AG58" s="695"/>
      <c r="AH58" s="695"/>
      <c r="AI58" s="695"/>
      <c r="AJ58" s="695"/>
      <c r="AK58" s="695"/>
      <c r="AL58" s="695"/>
      <c r="AM58" s="695"/>
      <c r="AN58" s="695"/>
      <c r="AO58" s="695"/>
      <c r="AP58" s="695"/>
      <c r="AQ58" s="695"/>
      <c r="AR58" s="695"/>
    </row>
    <row r="59" spans="1:44" x14ac:dyDescent="0.25">
      <c r="A59" s="695"/>
      <c r="B59" s="695"/>
      <c r="C59" s="695"/>
      <c r="D59" s="695"/>
      <c r="E59" s="695"/>
      <c r="F59" s="695"/>
      <c r="G59" s="695"/>
      <c r="H59" s="695"/>
      <c r="I59" s="695"/>
      <c r="J59" s="695"/>
      <c r="K59" s="695"/>
      <c r="L59" s="695"/>
      <c r="M59" s="695"/>
      <c r="N59" s="695"/>
      <c r="O59" s="695"/>
      <c r="P59" s="695"/>
      <c r="Q59" s="695"/>
      <c r="R59" s="695"/>
      <c r="S59" s="695"/>
      <c r="T59" s="695"/>
      <c r="U59" s="695"/>
      <c r="V59" s="695"/>
      <c r="W59" s="695"/>
      <c r="X59" s="695"/>
      <c r="Y59" s="695"/>
      <c r="Z59" s="695"/>
      <c r="AA59" s="695"/>
      <c r="AB59" s="695"/>
      <c r="AC59" s="695"/>
      <c r="AD59" s="695"/>
      <c r="AE59" s="695"/>
      <c r="AF59" s="695"/>
      <c r="AG59" s="695"/>
      <c r="AH59" s="695"/>
      <c r="AI59" s="695"/>
      <c r="AJ59" s="695"/>
      <c r="AK59" s="695"/>
      <c r="AL59" s="695"/>
      <c r="AM59" s="695"/>
      <c r="AN59" s="695"/>
      <c r="AO59" s="695"/>
      <c r="AP59" s="695"/>
      <c r="AQ59" s="695"/>
      <c r="AR59" s="695"/>
    </row>
    <row r="60" spans="1:44" x14ac:dyDescent="0.25">
      <c r="A60" s="695"/>
      <c r="B60" s="695"/>
      <c r="C60" s="695"/>
      <c r="D60" s="695"/>
      <c r="E60" s="695"/>
      <c r="F60" s="695"/>
      <c r="G60" s="695"/>
      <c r="H60" s="695"/>
      <c r="I60" s="695"/>
      <c r="J60" s="695"/>
      <c r="K60" s="695"/>
      <c r="L60" s="695"/>
      <c r="M60" s="695"/>
      <c r="N60" s="695"/>
      <c r="O60" s="695"/>
      <c r="P60" s="695"/>
      <c r="Q60" s="695"/>
      <c r="R60" s="695"/>
      <c r="S60" s="695"/>
      <c r="T60" s="695"/>
      <c r="U60" s="695"/>
      <c r="V60" s="695"/>
      <c r="W60" s="695"/>
      <c r="X60" s="695"/>
      <c r="Y60" s="695"/>
      <c r="Z60" s="695"/>
      <c r="AA60" s="695"/>
      <c r="AB60" s="695"/>
      <c r="AC60" s="695"/>
      <c r="AD60" s="695"/>
      <c r="AE60" s="695"/>
      <c r="AF60" s="695"/>
      <c r="AG60" s="695"/>
      <c r="AH60" s="695"/>
      <c r="AI60" s="695"/>
      <c r="AJ60" s="695"/>
      <c r="AK60" s="695"/>
      <c r="AL60" s="695"/>
      <c r="AM60" s="695"/>
      <c r="AN60" s="695"/>
      <c r="AO60" s="695"/>
      <c r="AP60" s="695"/>
      <c r="AQ60" s="695"/>
      <c r="AR60" s="695"/>
    </row>
    <row r="61" spans="1:44" x14ac:dyDescent="0.25">
      <c r="A61" s="695"/>
      <c r="B61" s="695"/>
      <c r="C61" s="695"/>
      <c r="D61" s="695"/>
      <c r="E61" s="695"/>
      <c r="F61" s="695"/>
      <c r="G61" s="695"/>
      <c r="H61" s="695"/>
      <c r="I61" s="695"/>
      <c r="J61" s="695"/>
      <c r="K61" s="695"/>
      <c r="L61" s="695"/>
      <c r="M61" s="695"/>
      <c r="N61" s="695"/>
      <c r="O61" s="695"/>
      <c r="P61" s="695"/>
      <c r="Q61" s="695"/>
      <c r="R61" s="695"/>
      <c r="S61" s="695"/>
      <c r="T61" s="695"/>
      <c r="U61" s="695"/>
      <c r="V61" s="695"/>
      <c r="W61" s="695"/>
      <c r="X61" s="695"/>
      <c r="Y61" s="695"/>
      <c r="Z61" s="695"/>
      <c r="AA61" s="695"/>
      <c r="AB61" s="695"/>
      <c r="AC61" s="695"/>
      <c r="AD61" s="695"/>
      <c r="AE61" s="695"/>
      <c r="AF61" s="695"/>
      <c r="AG61" s="695"/>
      <c r="AH61" s="695"/>
      <c r="AI61" s="695"/>
      <c r="AJ61" s="695"/>
      <c r="AK61" s="695"/>
      <c r="AL61" s="695"/>
      <c r="AM61" s="695"/>
      <c r="AN61" s="695"/>
      <c r="AO61" s="695"/>
      <c r="AP61" s="695"/>
      <c r="AQ61" s="695"/>
      <c r="AR61" s="695"/>
    </row>
    <row r="62" spans="1:44" x14ac:dyDescent="0.25">
      <c r="A62" s="695"/>
      <c r="B62" s="695"/>
      <c r="C62" s="695"/>
      <c r="D62" s="695"/>
      <c r="E62" s="695"/>
      <c r="F62" s="695"/>
      <c r="G62" s="695"/>
      <c r="H62" s="695"/>
      <c r="I62" s="695"/>
      <c r="J62" s="695"/>
      <c r="K62" s="695"/>
      <c r="L62" s="695"/>
      <c r="M62" s="695"/>
      <c r="N62" s="695"/>
      <c r="O62" s="695"/>
      <c r="P62" s="695"/>
      <c r="Q62" s="695"/>
      <c r="R62" s="695"/>
      <c r="S62" s="695"/>
      <c r="T62" s="695"/>
      <c r="U62" s="695"/>
      <c r="V62" s="695"/>
      <c r="W62" s="695"/>
      <c r="X62" s="695"/>
      <c r="Y62" s="695"/>
      <c r="Z62" s="695"/>
      <c r="AA62" s="695"/>
      <c r="AB62" s="695"/>
      <c r="AC62" s="695"/>
      <c r="AD62" s="695"/>
      <c r="AE62" s="695"/>
      <c r="AF62" s="695"/>
      <c r="AG62" s="695"/>
      <c r="AH62" s="695"/>
      <c r="AI62" s="695"/>
      <c r="AJ62" s="695"/>
      <c r="AK62" s="695"/>
      <c r="AL62" s="695"/>
      <c r="AM62" s="695"/>
      <c r="AN62" s="695"/>
      <c r="AO62" s="695"/>
      <c r="AP62" s="695"/>
      <c r="AQ62" s="695"/>
      <c r="AR62" s="695"/>
    </row>
    <row r="63" spans="1:44" x14ac:dyDescent="0.25">
      <c r="A63" s="695"/>
      <c r="B63" s="695"/>
      <c r="C63" s="695"/>
      <c r="D63" s="695"/>
      <c r="E63" s="695"/>
      <c r="F63" s="695"/>
      <c r="G63" s="695"/>
      <c r="H63" s="695"/>
      <c r="I63" s="695"/>
      <c r="J63" s="695"/>
      <c r="K63" s="695"/>
      <c r="L63" s="695"/>
      <c r="M63" s="695"/>
      <c r="N63" s="695"/>
      <c r="O63" s="695"/>
      <c r="P63" s="695"/>
      <c r="Q63" s="695"/>
      <c r="R63" s="695"/>
      <c r="S63" s="695"/>
      <c r="T63" s="695"/>
      <c r="U63" s="695"/>
      <c r="V63" s="695"/>
      <c r="W63" s="695"/>
      <c r="X63" s="695"/>
      <c r="Y63" s="695"/>
      <c r="Z63" s="695"/>
      <c r="AA63" s="695"/>
      <c r="AB63" s="695"/>
      <c r="AC63" s="695"/>
      <c r="AD63" s="695"/>
      <c r="AE63" s="695"/>
      <c r="AF63" s="695"/>
      <c r="AG63" s="695"/>
      <c r="AH63" s="695"/>
      <c r="AI63" s="695"/>
      <c r="AJ63" s="695"/>
      <c r="AK63" s="695"/>
      <c r="AL63" s="695"/>
      <c r="AM63" s="695"/>
      <c r="AN63" s="695"/>
      <c r="AO63" s="695"/>
      <c r="AP63" s="695"/>
      <c r="AQ63" s="695"/>
      <c r="AR63" s="695"/>
    </row>
    <row r="64" spans="1:44" x14ac:dyDescent="0.25">
      <c r="A64" s="695"/>
      <c r="B64" s="695"/>
      <c r="C64" s="695"/>
      <c r="D64" s="695"/>
      <c r="E64" s="695"/>
      <c r="F64" s="695"/>
      <c r="G64" s="695"/>
      <c r="H64" s="695"/>
      <c r="I64" s="695"/>
      <c r="J64" s="695"/>
      <c r="K64" s="695"/>
      <c r="L64" s="695"/>
      <c r="M64" s="695"/>
      <c r="N64" s="695"/>
      <c r="O64" s="695"/>
      <c r="P64" s="695"/>
      <c r="Q64" s="695"/>
      <c r="R64" s="695"/>
      <c r="S64" s="695"/>
      <c r="T64" s="695"/>
      <c r="U64" s="695"/>
      <c r="V64" s="695"/>
      <c r="W64" s="695"/>
      <c r="X64" s="695"/>
      <c r="Y64" s="695"/>
      <c r="Z64" s="695"/>
      <c r="AA64" s="695"/>
      <c r="AB64" s="695"/>
      <c r="AC64" s="695"/>
      <c r="AD64" s="695"/>
      <c r="AE64" s="695"/>
      <c r="AF64" s="695"/>
      <c r="AG64" s="695"/>
      <c r="AH64" s="695"/>
      <c r="AI64" s="695"/>
      <c r="AJ64" s="695"/>
      <c r="AK64" s="695"/>
      <c r="AL64" s="695"/>
      <c r="AM64" s="695"/>
      <c r="AN64" s="695"/>
      <c r="AO64" s="695"/>
      <c r="AP64" s="695"/>
      <c r="AQ64" s="695"/>
      <c r="AR64" s="695"/>
    </row>
    <row r="65" spans="1:44" x14ac:dyDescent="0.25">
      <c r="A65" s="695"/>
      <c r="B65" s="695"/>
      <c r="C65" s="695"/>
      <c r="D65" s="695"/>
      <c r="E65" s="695"/>
      <c r="F65" s="695"/>
      <c r="G65" s="695"/>
      <c r="H65" s="695"/>
      <c r="I65" s="695"/>
      <c r="J65" s="695"/>
      <c r="K65" s="695"/>
      <c r="L65" s="695"/>
      <c r="M65" s="695"/>
      <c r="N65" s="695"/>
      <c r="O65" s="695"/>
      <c r="P65" s="695"/>
      <c r="Q65" s="695"/>
      <c r="R65" s="695"/>
      <c r="S65" s="695"/>
      <c r="T65" s="695"/>
      <c r="U65" s="695"/>
      <c r="V65" s="695"/>
      <c r="W65" s="695"/>
      <c r="X65" s="695"/>
      <c r="Y65" s="695"/>
      <c r="Z65" s="695"/>
      <c r="AA65" s="695"/>
      <c r="AB65" s="695"/>
      <c r="AC65" s="695"/>
      <c r="AD65" s="695"/>
      <c r="AE65" s="695"/>
      <c r="AF65" s="695"/>
      <c r="AG65" s="695"/>
      <c r="AH65" s="695"/>
      <c r="AI65" s="695"/>
      <c r="AJ65" s="695"/>
      <c r="AK65" s="695"/>
      <c r="AL65" s="695"/>
      <c r="AM65" s="695"/>
      <c r="AN65" s="695"/>
      <c r="AO65" s="695"/>
      <c r="AP65" s="695"/>
      <c r="AQ65" s="695"/>
      <c r="AR65" s="695"/>
    </row>
    <row r="66" spans="1:44" x14ac:dyDescent="0.25">
      <c r="A66" s="695"/>
      <c r="B66" s="695"/>
      <c r="C66" s="695"/>
      <c r="D66" s="695"/>
      <c r="E66" s="695"/>
      <c r="F66" s="695"/>
      <c r="G66" s="695"/>
      <c r="H66" s="695"/>
      <c r="I66" s="695"/>
      <c r="J66" s="695"/>
      <c r="K66" s="695"/>
      <c r="L66" s="695"/>
      <c r="M66" s="695"/>
      <c r="N66" s="695"/>
      <c r="O66" s="695"/>
      <c r="P66" s="695"/>
      <c r="Q66" s="695"/>
      <c r="R66" s="695"/>
      <c r="S66" s="695"/>
      <c r="T66" s="695"/>
      <c r="U66" s="695"/>
      <c r="V66" s="695"/>
      <c r="W66" s="695"/>
      <c r="X66" s="695"/>
      <c r="Y66" s="695"/>
      <c r="Z66" s="695"/>
      <c r="AA66" s="695"/>
      <c r="AB66" s="695"/>
      <c r="AC66" s="695"/>
      <c r="AD66" s="695"/>
      <c r="AE66" s="695"/>
      <c r="AF66" s="695"/>
      <c r="AG66" s="695"/>
      <c r="AH66" s="695"/>
      <c r="AI66" s="695"/>
      <c r="AJ66" s="695"/>
      <c r="AK66" s="695"/>
      <c r="AL66" s="695"/>
      <c r="AM66" s="695"/>
      <c r="AN66" s="695"/>
      <c r="AO66" s="695"/>
      <c r="AP66" s="695"/>
      <c r="AQ66" s="695"/>
      <c r="AR66" s="695"/>
    </row>
    <row r="67" spans="1:44" x14ac:dyDescent="0.25">
      <c r="A67" s="695"/>
      <c r="B67" s="695"/>
      <c r="C67" s="695"/>
      <c r="D67" s="695"/>
      <c r="E67" s="695"/>
      <c r="F67" s="695"/>
      <c r="G67" s="695"/>
      <c r="H67" s="695"/>
      <c r="I67" s="695"/>
      <c r="J67" s="695"/>
      <c r="K67" s="695"/>
      <c r="L67" s="695"/>
      <c r="M67" s="695"/>
      <c r="N67" s="695"/>
      <c r="O67" s="695"/>
      <c r="P67" s="695"/>
      <c r="Q67" s="695"/>
      <c r="R67" s="695"/>
      <c r="S67" s="695"/>
      <c r="T67" s="695"/>
      <c r="U67" s="695"/>
      <c r="V67" s="695"/>
      <c r="W67" s="695"/>
      <c r="X67" s="695"/>
      <c r="Y67" s="695"/>
      <c r="Z67" s="695"/>
      <c r="AA67" s="695"/>
      <c r="AB67" s="695"/>
      <c r="AC67" s="695"/>
      <c r="AD67" s="695"/>
      <c r="AE67" s="695"/>
      <c r="AF67" s="695"/>
      <c r="AG67" s="695"/>
      <c r="AH67" s="695"/>
      <c r="AI67" s="695"/>
      <c r="AJ67" s="695"/>
      <c r="AK67" s="695"/>
      <c r="AL67" s="695"/>
      <c r="AM67" s="695"/>
      <c r="AN67" s="695"/>
      <c r="AO67" s="695"/>
      <c r="AP67" s="695"/>
      <c r="AQ67" s="695"/>
      <c r="AR67" s="695"/>
    </row>
    <row r="68" spans="1:44" x14ac:dyDescent="0.25">
      <c r="A68" s="695"/>
      <c r="B68" s="695"/>
      <c r="C68" s="695"/>
      <c r="D68" s="695"/>
      <c r="E68" s="695"/>
      <c r="F68" s="695"/>
      <c r="G68" s="695"/>
      <c r="H68" s="695"/>
      <c r="I68" s="695"/>
      <c r="J68" s="695"/>
      <c r="K68" s="695"/>
      <c r="L68" s="695"/>
      <c r="M68" s="695"/>
      <c r="N68" s="695"/>
      <c r="O68" s="695"/>
      <c r="P68" s="695"/>
      <c r="Q68" s="695"/>
      <c r="R68" s="695"/>
      <c r="S68" s="695"/>
      <c r="T68" s="695"/>
      <c r="U68" s="695"/>
      <c r="V68" s="695"/>
      <c r="W68" s="695"/>
      <c r="X68" s="695"/>
      <c r="Y68" s="695"/>
      <c r="Z68" s="695"/>
      <c r="AA68" s="695"/>
      <c r="AB68" s="695"/>
      <c r="AC68" s="695"/>
      <c r="AD68" s="695"/>
      <c r="AE68" s="695"/>
      <c r="AF68" s="695"/>
      <c r="AG68" s="695"/>
      <c r="AH68" s="695"/>
      <c r="AI68" s="695"/>
      <c r="AJ68" s="695"/>
      <c r="AK68" s="695"/>
      <c r="AL68" s="695"/>
      <c r="AM68" s="695"/>
      <c r="AN68" s="695"/>
      <c r="AO68" s="695"/>
      <c r="AP68" s="695"/>
      <c r="AQ68" s="695"/>
      <c r="AR68" s="695"/>
    </row>
    <row r="69" spans="1:44" x14ac:dyDescent="0.25">
      <c r="A69" s="695"/>
      <c r="B69" s="695"/>
      <c r="C69" s="695"/>
      <c r="D69" s="695"/>
      <c r="E69" s="695"/>
      <c r="F69" s="695"/>
      <c r="G69" s="695"/>
      <c r="H69" s="695"/>
      <c r="I69" s="695"/>
      <c r="J69" s="695"/>
      <c r="K69" s="695"/>
      <c r="L69" s="695"/>
      <c r="M69" s="695"/>
      <c r="N69" s="695"/>
      <c r="O69" s="695"/>
      <c r="P69" s="695"/>
      <c r="Q69" s="695"/>
      <c r="R69" s="695"/>
      <c r="S69" s="695"/>
      <c r="T69" s="695"/>
      <c r="U69" s="695"/>
      <c r="V69" s="695"/>
      <c r="W69" s="695"/>
      <c r="X69" s="695"/>
      <c r="Y69" s="695"/>
      <c r="Z69" s="695"/>
      <c r="AA69" s="695"/>
      <c r="AB69" s="695"/>
      <c r="AC69" s="695"/>
      <c r="AD69" s="695"/>
      <c r="AE69" s="695"/>
      <c r="AF69" s="695"/>
      <c r="AG69" s="695"/>
      <c r="AH69" s="695"/>
      <c r="AI69" s="695"/>
      <c r="AJ69" s="695"/>
      <c r="AK69" s="695"/>
      <c r="AL69" s="695"/>
      <c r="AM69" s="695"/>
      <c r="AN69" s="695"/>
      <c r="AO69" s="695"/>
      <c r="AP69" s="695"/>
      <c r="AQ69" s="695"/>
      <c r="AR69" s="695"/>
    </row>
    <row r="70" spans="1:44" x14ac:dyDescent="0.25">
      <c r="A70" s="695"/>
      <c r="B70" s="695"/>
      <c r="C70" s="695"/>
      <c r="D70" s="695"/>
      <c r="E70" s="695"/>
      <c r="F70" s="695"/>
      <c r="G70" s="695"/>
      <c r="H70" s="695"/>
      <c r="I70" s="695"/>
      <c r="J70" s="695"/>
      <c r="K70" s="695"/>
      <c r="L70" s="695"/>
      <c r="M70" s="695"/>
      <c r="N70" s="695"/>
      <c r="O70" s="695"/>
      <c r="P70" s="695"/>
      <c r="Q70" s="695"/>
      <c r="R70" s="695"/>
      <c r="S70" s="695"/>
      <c r="T70" s="695"/>
      <c r="U70" s="695"/>
      <c r="V70" s="695"/>
      <c r="W70" s="695"/>
      <c r="X70" s="695"/>
      <c r="Y70" s="695"/>
      <c r="Z70" s="695"/>
      <c r="AA70" s="695"/>
      <c r="AB70" s="695"/>
      <c r="AC70" s="695"/>
      <c r="AD70" s="695"/>
      <c r="AE70" s="695"/>
      <c r="AF70" s="695"/>
      <c r="AG70" s="695"/>
      <c r="AH70" s="695"/>
      <c r="AI70" s="695"/>
      <c r="AJ70" s="695"/>
      <c r="AK70" s="695"/>
      <c r="AL70" s="695"/>
      <c r="AM70" s="695"/>
      <c r="AN70" s="695"/>
      <c r="AO70" s="695"/>
      <c r="AP70" s="695"/>
      <c r="AQ70" s="695"/>
      <c r="AR70" s="695"/>
    </row>
    <row r="71" spans="1:44" x14ac:dyDescent="0.25">
      <c r="A71" s="695"/>
      <c r="B71" s="695"/>
      <c r="C71" s="695"/>
      <c r="D71" s="695"/>
      <c r="E71" s="695"/>
      <c r="F71" s="695"/>
      <c r="G71" s="695"/>
      <c r="H71" s="695"/>
      <c r="I71" s="695"/>
      <c r="J71" s="695"/>
      <c r="K71" s="695"/>
      <c r="L71" s="695"/>
      <c r="M71" s="695"/>
      <c r="N71" s="695"/>
      <c r="O71" s="695"/>
      <c r="P71" s="695"/>
      <c r="Q71" s="695"/>
      <c r="R71" s="695"/>
      <c r="S71" s="695"/>
      <c r="T71" s="695"/>
      <c r="U71" s="695"/>
      <c r="V71" s="695"/>
      <c r="W71" s="695"/>
      <c r="X71" s="695"/>
      <c r="Y71" s="695"/>
      <c r="Z71" s="695"/>
      <c r="AA71" s="695"/>
      <c r="AB71" s="695"/>
      <c r="AC71" s="695"/>
      <c r="AD71" s="695"/>
      <c r="AE71" s="695"/>
      <c r="AF71" s="695"/>
      <c r="AG71" s="695"/>
      <c r="AH71" s="695"/>
      <c r="AI71" s="695"/>
      <c r="AJ71" s="695"/>
      <c r="AK71" s="695"/>
      <c r="AL71" s="695"/>
      <c r="AM71" s="695"/>
      <c r="AN71" s="695"/>
      <c r="AO71" s="695"/>
      <c r="AP71" s="695"/>
      <c r="AQ71" s="695"/>
      <c r="AR71" s="695"/>
    </row>
    <row r="72" spans="1:44" x14ac:dyDescent="0.25">
      <c r="A72" s="695"/>
      <c r="B72" s="695"/>
      <c r="C72" s="695"/>
      <c r="D72" s="695"/>
      <c r="E72" s="695"/>
      <c r="F72" s="695"/>
      <c r="G72" s="695"/>
      <c r="H72" s="695"/>
      <c r="I72" s="695"/>
      <c r="J72" s="695"/>
      <c r="K72" s="695"/>
      <c r="L72" s="695"/>
      <c r="M72" s="695"/>
      <c r="N72" s="695"/>
      <c r="O72" s="695"/>
      <c r="P72" s="695"/>
      <c r="Q72" s="695"/>
      <c r="R72" s="695"/>
      <c r="S72" s="695"/>
      <c r="T72" s="695"/>
      <c r="U72" s="695"/>
      <c r="V72" s="695"/>
      <c r="W72" s="695"/>
      <c r="X72" s="695"/>
      <c r="Y72" s="695"/>
      <c r="Z72" s="695"/>
      <c r="AA72" s="695"/>
      <c r="AB72" s="695"/>
      <c r="AC72" s="695"/>
      <c r="AD72" s="695"/>
      <c r="AE72" s="695"/>
      <c r="AF72" s="695"/>
      <c r="AG72" s="695"/>
      <c r="AH72" s="695"/>
      <c r="AI72" s="695"/>
      <c r="AJ72" s="695"/>
      <c r="AK72" s="695"/>
      <c r="AL72" s="695"/>
      <c r="AM72" s="695"/>
      <c r="AN72" s="695"/>
      <c r="AO72" s="695"/>
      <c r="AP72" s="695"/>
      <c r="AQ72" s="695"/>
      <c r="AR72" s="695"/>
    </row>
    <row r="73" spans="1:44" x14ac:dyDescent="0.25">
      <c r="A73" s="695"/>
      <c r="B73" s="695"/>
      <c r="C73" s="695"/>
      <c r="D73" s="695"/>
      <c r="E73" s="695"/>
      <c r="F73" s="695"/>
      <c r="G73" s="695"/>
      <c r="H73" s="695"/>
      <c r="I73" s="695"/>
      <c r="J73" s="695"/>
      <c r="K73" s="695"/>
      <c r="L73" s="695"/>
      <c r="M73" s="695"/>
      <c r="N73" s="695"/>
      <c r="O73" s="695"/>
      <c r="P73" s="695"/>
      <c r="Q73" s="695"/>
      <c r="R73" s="695"/>
      <c r="S73" s="695"/>
      <c r="T73" s="695"/>
      <c r="U73" s="695"/>
      <c r="V73" s="695"/>
      <c r="W73" s="695"/>
      <c r="X73" s="695"/>
      <c r="Y73" s="695"/>
      <c r="Z73" s="695"/>
      <c r="AA73" s="695"/>
      <c r="AB73" s="695"/>
      <c r="AC73" s="695"/>
      <c r="AD73" s="695"/>
      <c r="AE73" s="695"/>
      <c r="AF73" s="695"/>
      <c r="AG73" s="695"/>
      <c r="AH73" s="695"/>
      <c r="AI73" s="695"/>
      <c r="AJ73" s="695"/>
      <c r="AK73" s="695"/>
      <c r="AL73" s="695"/>
      <c r="AM73" s="695"/>
      <c r="AN73" s="695"/>
      <c r="AO73" s="695"/>
      <c r="AP73" s="695"/>
      <c r="AQ73" s="695"/>
      <c r="AR73" s="695"/>
    </row>
    <row r="74" spans="1:44" x14ac:dyDescent="0.25">
      <c r="A74" s="695"/>
      <c r="B74" s="695"/>
      <c r="C74" s="695"/>
      <c r="D74" s="695"/>
      <c r="E74" s="695"/>
      <c r="F74" s="695"/>
      <c r="G74" s="695"/>
      <c r="H74" s="695"/>
      <c r="I74" s="695"/>
      <c r="J74" s="695"/>
      <c r="K74" s="695"/>
      <c r="L74" s="695"/>
      <c r="M74" s="695"/>
      <c r="N74" s="695"/>
      <c r="O74" s="695"/>
      <c r="P74" s="695"/>
      <c r="Q74" s="695"/>
      <c r="R74" s="695"/>
      <c r="S74" s="695"/>
      <c r="T74" s="695"/>
      <c r="U74" s="695"/>
      <c r="V74" s="695"/>
      <c r="W74" s="695"/>
      <c r="X74" s="695"/>
      <c r="Y74" s="695"/>
      <c r="Z74" s="695"/>
      <c r="AA74" s="695"/>
      <c r="AB74" s="695"/>
      <c r="AC74" s="695"/>
      <c r="AD74" s="695"/>
      <c r="AE74" s="695"/>
      <c r="AF74" s="695"/>
      <c r="AG74" s="695"/>
      <c r="AH74" s="695"/>
      <c r="AI74" s="695"/>
      <c r="AJ74" s="695"/>
      <c r="AK74" s="695"/>
      <c r="AL74" s="695"/>
      <c r="AM74" s="695"/>
      <c r="AN74" s="695"/>
      <c r="AO74" s="695"/>
      <c r="AP74" s="695"/>
      <c r="AQ74" s="695"/>
      <c r="AR74" s="695"/>
    </row>
    <row r="75" spans="1:44" x14ac:dyDescent="0.25">
      <c r="A75" s="695"/>
      <c r="B75" s="695"/>
      <c r="C75" s="695"/>
      <c r="D75" s="695"/>
      <c r="E75" s="695"/>
      <c r="F75" s="695"/>
      <c r="G75" s="695"/>
      <c r="H75" s="695"/>
      <c r="I75" s="695"/>
      <c r="J75" s="695"/>
      <c r="K75" s="695"/>
      <c r="L75" s="695"/>
      <c r="M75" s="695"/>
      <c r="N75" s="695"/>
      <c r="O75" s="695"/>
      <c r="P75" s="695"/>
      <c r="Q75" s="695"/>
      <c r="R75" s="695"/>
      <c r="S75" s="695"/>
      <c r="T75" s="695"/>
      <c r="U75" s="695"/>
      <c r="V75" s="695"/>
      <c r="W75" s="695"/>
      <c r="X75" s="695"/>
      <c r="Y75" s="695"/>
      <c r="Z75" s="695"/>
      <c r="AA75" s="695"/>
      <c r="AB75" s="695"/>
      <c r="AC75" s="695"/>
      <c r="AD75" s="695"/>
      <c r="AE75" s="695"/>
      <c r="AF75" s="695"/>
      <c r="AG75" s="695"/>
      <c r="AH75" s="695"/>
      <c r="AI75" s="695"/>
      <c r="AJ75" s="695"/>
      <c r="AK75" s="695"/>
      <c r="AL75" s="695"/>
      <c r="AM75" s="695"/>
      <c r="AN75" s="695"/>
      <c r="AO75" s="695"/>
      <c r="AP75" s="695"/>
      <c r="AQ75" s="695"/>
      <c r="AR75" s="695"/>
    </row>
    <row r="76" spans="1:44" x14ac:dyDescent="0.25">
      <c r="A76" s="695"/>
      <c r="B76" s="695"/>
      <c r="C76" s="695"/>
      <c r="D76" s="695"/>
      <c r="E76" s="695"/>
      <c r="F76" s="695"/>
      <c r="G76" s="695"/>
      <c r="H76" s="695"/>
      <c r="I76" s="695"/>
      <c r="J76" s="695"/>
      <c r="K76" s="695"/>
      <c r="L76" s="695"/>
      <c r="M76" s="695"/>
      <c r="N76" s="695"/>
      <c r="O76" s="695"/>
      <c r="P76" s="695"/>
      <c r="Q76" s="695"/>
      <c r="R76" s="695"/>
      <c r="S76" s="695"/>
      <c r="T76" s="695"/>
      <c r="U76" s="695"/>
      <c r="V76" s="695"/>
      <c r="W76" s="695"/>
      <c r="X76" s="695"/>
      <c r="Y76" s="695"/>
      <c r="Z76" s="695"/>
      <c r="AA76" s="695"/>
      <c r="AB76" s="695"/>
      <c r="AC76" s="695"/>
      <c r="AD76" s="695"/>
      <c r="AE76" s="695"/>
      <c r="AF76" s="695"/>
      <c r="AG76" s="695"/>
      <c r="AH76" s="695"/>
      <c r="AI76" s="695"/>
      <c r="AJ76" s="695"/>
      <c r="AK76" s="695"/>
      <c r="AL76" s="695"/>
      <c r="AM76" s="695"/>
      <c r="AN76" s="695"/>
      <c r="AO76" s="695"/>
      <c r="AP76" s="695"/>
      <c r="AQ76" s="695"/>
      <c r="AR76" s="695"/>
    </row>
    <row r="77" spans="1:44" x14ac:dyDescent="0.25">
      <c r="A77" s="695"/>
      <c r="B77" s="695"/>
      <c r="C77" s="695"/>
      <c r="D77" s="695"/>
      <c r="E77" s="695"/>
      <c r="F77" s="695"/>
      <c r="G77" s="695"/>
      <c r="H77" s="695"/>
      <c r="I77" s="695"/>
      <c r="J77" s="695"/>
      <c r="K77" s="695"/>
      <c r="L77" s="695"/>
      <c r="M77" s="695"/>
      <c r="N77" s="695"/>
      <c r="O77" s="695"/>
      <c r="P77" s="695"/>
      <c r="Q77" s="695"/>
      <c r="R77" s="695"/>
      <c r="S77" s="695"/>
      <c r="T77" s="695"/>
      <c r="U77" s="695"/>
      <c r="V77" s="695"/>
      <c r="W77" s="695"/>
      <c r="X77" s="695"/>
      <c r="Y77" s="695"/>
      <c r="Z77" s="695"/>
      <c r="AA77" s="695"/>
      <c r="AB77" s="695"/>
      <c r="AC77" s="695"/>
      <c r="AD77" s="695"/>
      <c r="AE77" s="695"/>
      <c r="AF77" s="695"/>
      <c r="AG77" s="695"/>
      <c r="AH77" s="695"/>
      <c r="AI77" s="695"/>
      <c r="AJ77" s="695"/>
      <c r="AK77" s="695"/>
      <c r="AL77" s="695"/>
      <c r="AM77" s="695"/>
      <c r="AN77" s="695"/>
      <c r="AO77" s="695"/>
      <c r="AP77" s="695"/>
      <c r="AQ77" s="695"/>
      <c r="AR77" s="695"/>
    </row>
    <row r="78" spans="1:44" x14ac:dyDescent="0.25">
      <c r="A78" s="695"/>
      <c r="B78" s="695"/>
      <c r="C78" s="695"/>
      <c r="D78" s="695"/>
      <c r="E78" s="695"/>
      <c r="F78" s="695"/>
      <c r="G78" s="695"/>
      <c r="H78" s="695"/>
      <c r="I78" s="695"/>
      <c r="J78" s="695"/>
      <c r="K78" s="695"/>
      <c r="L78" s="695"/>
      <c r="M78" s="695"/>
      <c r="N78" s="695"/>
      <c r="O78" s="695"/>
      <c r="P78" s="695"/>
      <c r="Q78" s="695"/>
      <c r="R78" s="695"/>
      <c r="S78" s="695"/>
      <c r="T78" s="695"/>
      <c r="U78" s="695"/>
      <c r="V78" s="695"/>
      <c r="W78" s="695"/>
      <c r="X78" s="695"/>
      <c r="Y78" s="695"/>
      <c r="Z78" s="695"/>
      <c r="AA78" s="695"/>
      <c r="AB78" s="695"/>
      <c r="AC78" s="695"/>
      <c r="AD78" s="695"/>
      <c r="AE78" s="695"/>
      <c r="AF78" s="695"/>
      <c r="AG78" s="695"/>
      <c r="AH78" s="695"/>
      <c r="AI78" s="695"/>
      <c r="AJ78" s="695"/>
      <c r="AK78" s="695"/>
      <c r="AL78" s="695"/>
      <c r="AM78" s="695"/>
      <c r="AN78" s="695"/>
      <c r="AO78" s="695"/>
      <c r="AP78" s="695"/>
      <c r="AQ78" s="695"/>
      <c r="AR78" s="695"/>
    </row>
    <row r="79" spans="1:44" x14ac:dyDescent="0.25">
      <c r="A79" s="695"/>
      <c r="B79" s="695"/>
      <c r="C79" s="695"/>
      <c r="D79" s="695"/>
      <c r="E79" s="695"/>
      <c r="F79" s="695"/>
      <c r="G79" s="695"/>
      <c r="H79" s="695"/>
      <c r="I79" s="695"/>
      <c r="J79" s="695"/>
      <c r="K79" s="695"/>
      <c r="L79" s="695"/>
      <c r="M79" s="695"/>
      <c r="N79" s="695"/>
      <c r="O79" s="695"/>
      <c r="P79" s="695"/>
      <c r="Q79" s="695"/>
      <c r="R79" s="695"/>
      <c r="S79" s="695"/>
      <c r="T79" s="695"/>
      <c r="U79" s="695"/>
      <c r="V79" s="695"/>
      <c r="W79" s="695"/>
      <c r="X79" s="695"/>
      <c r="Y79" s="695"/>
      <c r="Z79" s="695"/>
      <c r="AA79" s="695"/>
      <c r="AB79" s="695"/>
      <c r="AC79" s="695"/>
      <c r="AD79" s="695"/>
      <c r="AE79" s="695"/>
      <c r="AF79" s="695"/>
      <c r="AG79" s="695"/>
      <c r="AH79" s="695"/>
      <c r="AI79" s="695"/>
      <c r="AJ79" s="695"/>
      <c r="AK79" s="695"/>
      <c r="AL79" s="695"/>
      <c r="AM79" s="695"/>
      <c r="AN79" s="695"/>
      <c r="AO79" s="695"/>
      <c r="AP79" s="695"/>
      <c r="AQ79" s="695"/>
      <c r="AR79" s="695"/>
    </row>
    <row r="80" spans="1:44" x14ac:dyDescent="0.25">
      <c r="A80" s="695"/>
      <c r="B80" s="695"/>
      <c r="C80" s="695"/>
      <c r="D80" s="695"/>
      <c r="E80" s="695"/>
      <c r="F80" s="695"/>
      <c r="G80" s="695"/>
      <c r="H80" s="695"/>
      <c r="I80" s="695"/>
      <c r="J80" s="695"/>
      <c r="K80" s="695"/>
      <c r="L80" s="695"/>
      <c r="M80" s="695"/>
      <c r="N80" s="695"/>
      <c r="O80" s="695"/>
      <c r="P80" s="695"/>
      <c r="Q80" s="695"/>
      <c r="R80" s="695"/>
      <c r="S80" s="695"/>
      <c r="T80" s="695"/>
      <c r="U80" s="695"/>
      <c r="V80" s="695"/>
      <c r="W80" s="695"/>
      <c r="X80" s="695"/>
      <c r="Y80" s="695"/>
      <c r="Z80" s="695"/>
      <c r="AA80" s="695"/>
      <c r="AB80" s="695"/>
      <c r="AC80" s="695"/>
      <c r="AD80" s="695"/>
      <c r="AE80" s="695"/>
      <c r="AF80" s="695"/>
      <c r="AG80" s="695"/>
      <c r="AH80" s="695"/>
      <c r="AI80" s="695"/>
      <c r="AJ80" s="695"/>
      <c r="AK80" s="695"/>
      <c r="AL80" s="695"/>
      <c r="AM80" s="695"/>
      <c r="AN80" s="695"/>
      <c r="AO80" s="695"/>
      <c r="AP80" s="695"/>
      <c r="AQ80" s="695"/>
      <c r="AR80" s="695"/>
    </row>
    <row r="81" spans="1:44" x14ac:dyDescent="0.25">
      <c r="A81" s="695"/>
      <c r="B81" s="695"/>
      <c r="C81" s="695"/>
      <c r="D81" s="695"/>
      <c r="E81" s="695"/>
      <c r="F81" s="695"/>
      <c r="G81" s="695"/>
      <c r="H81" s="695"/>
      <c r="I81" s="695"/>
      <c r="J81" s="695"/>
      <c r="K81" s="695"/>
      <c r="L81" s="695"/>
      <c r="M81" s="695"/>
      <c r="N81" s="695"/>
      <c r="O81" s="695"/>
      <c r="P81" s="695"/>
      <c r="Q81" s="695"/>
      <c r="R81" s="695"/>
      <c r="S81" s="695"/>
      <c r="T81" s="695"/>
      <c r="U81" s="695"/>
      <c r="V81" s="695"/>
      <c r="W81" s="695"/>
      <c r="X81" s="695"/>
      <c r="Y81" s="695"/>
      <c r="Z81" s="695"/>
      <c r="AA81" s="695"/>
      <c r="AB81" s="695"/>
      <c r="AC81" s="695"/>
      <c r="AD81" s="695"/>
      <c r="AE81" s="695"/>
      <c r="AF81" s="695"/>
      <c r="AG81" s="695"/>
      <c r="AH81" s="695"/>
      <c r="AI81" s="695"/>
      <c r="AJ81" s="695"/>
      <c r="AK81" s="695"/>
      <c r="AL81" s="695"/>
      <c r="AM81" s="695"/>
      <c r="AN81" s="695"/>
      <c r="AO81" s="695"/>
      <c r="AP81" s="695"/>
      <c r="AQ81" s="695"/>
      <c r="AR81" s="695"/>
    </row>
    <row r="82" spans="1:44" x14ac:dyDescent="0.25">
      <c r="A82" s="695"/>
      <c r="B82" s="695"/>
      <c r="C82" s="695"/>
      <c r="D82" s="695"/>
      <c r="E82" s="695"/>
      <c r="F82" s="695"/>
      <c r="G82" s="695"/>
      <c r="H82" s="695"/>
      <c r="I82" s="695"/>
      <c r="J82" s="695"/>
      <c r="K82" s="695"/>
      <c r="L82" s="695"/>
      <c r="M82" s="695"/>
      <c r="N82" s="695"/>
      <c r="O82" s="695"/>
      <c r="P82" s="695"/>
      <c r="Q82" s="695"/>
      <c r="R82" s="695"/>
      <c r="S82" s="695"/>
      <c r="T82" s="695"/>
      <c r="U82" s="695"/>
      <c r="V82" s="695"/>
      <c r="W82" s="695"/>
      <c r="X82" s="695"/>
      <c r="Y82" s="695"/>
      <c r="Z82" s="695"/>
      <c r="AA82" s="695"/>
      <c r="AB82" s="695"/>
      <c r="AC82" s="695"/>
      <c r="AD82" s="695"/>
      <c r="AE82" s="695"/>
      <c r="AF82" s="695"/>
      <c r="AG82" s="695"/>
      <c r="AH82" s="695"/>
      <c r="AI82" s="695"/>
      <c r="AJ82" s="695"/>
      <c r="AK82" s="695"/>
      <c r="AL82" s="695"/>
      <c r="AM82" s="695"/>
      <c r="AN82" s="695"/>
      <c r="AO82" s="695"/>
      <c r="AP82" s="695"/>
      <c r="AQ82" s="695"/>
      <c r="AR82" s="695"/>
    </row>
    <row r="83" spans="1:44" x14ac:dyDescent="0.25">
      <c r="A83" s="695"/>
      <c r="B83" s="695"/>
      <c r="C83" s="695"/>
      <c r="D83" s="695"/>
      <c r="E83" s="695"/>
      <c r="F83" s="695"/>
      <c r="G83" s="695"/>
      <c r="H83" s="695"/>
      <c r="I83" s="695"/>
      <c r="J83" s="695"/>
      <c r="K83" s="695"/>
      <c r="L83" s="695"/>
      <c r="M83" s="695"/>
      <c r="N83" s="695"/>
      <c r="O83" s="695"/>
      <c r="P83" s="695"/>
      <c r="Q83" s="695"/>
      <c r="R83" s="695"/>
      <c r="S83" s="695"/>
      <c r="T83" s="695"/>
      <c r="U83" s="695"/>
      <c r="V83" s="695"/>
      <c r="W83" s="695"/>
      <c r="X83" s="695"/>
      <c r="Y83" s="695"/>
      <c r="Z83" s="695"/>
      <c r="AA83" s="695"/>
      <c r="AB83" s="695"/>
      <c r="AC83" s="695"/>
      <c r="AD83" s="695"/>
      <c r="AE83" s="695"/>
      <c r="AF83" s="695"/>
      <c r="AG83" s="695"/>
      <c r="AH83" s="695"/>
      <c r="AI83" s="695"/>
      <c r="AJ83" s="695"/>
      <c r="AK83" s="695"/>
      <c r="AL83" s="695"/>
      <c r="AM83" s="695"/>
      <c r="AN83" s="695"/>
      <c r="AO83" s="695"/>
      <c r="AP83" s="695"/>
      <c r="AQ83" s="695"/>
      <c r="AR83" s="695"/>
    </row>
    <row r="84" spans="1:44" x14ac:dyDescent="0.25">
      <c r="A84" s="695"/>
      <c r="B84" s="695"/>
      <c r="C84" s="695"/>
      <c r="D84" s="695"/>
      <c r="E84" s="695"/>
      <c r="F84" s="695"/>
      <c r="G84" s="695"/>
      <c r="H84" s="695"/>
      <c r="I84" s="695"/>
      <c r="J84" s="695"/>
      <c r="K84" s="695"/>
      <c r="L84" s="695"/>
      <c r="M84" s="695"/>
      <c r="N84" s="695"/>
      <c r="O84" s="695"/>
      <c r="P84" s="695"/>
      <c r="Q84" s="695"/>
      <c r="R84" s="695"/>
      <c r="S84" s="695"/>
      <c r="T84" s="695"/>
      <c r="U84" s="695"/>
      <c r="V84" s="695"/>
      <c r="W84" s="695"/>
      <c r="X84" s="695"/>
      <c r="Y84" s="695"/>
      <c r="Z84" s="695"/>
      <c r="AA84" s="695"/>
      <c r="AB84" s="695"/>
      <c r="AC84" s="695"/>
      <c r="AD84" s="695"/>
      <c r="AE84" s="695"/>
      <c r="AF84" s="695"/>
      <c r="AG84" s="695"/>
      <c r="AH84" s="695"/>
      <c r="AI84" s="695"/>
      <c r="AJ84" s="695"/>
      <c r="AK84" s="695"/>
      <c r="AL84" s="695"/>
      <c r="AM84" s="695"/>
      <c r="AN84" s="695"/>
      <c r="AO84" s="695"/>
      <c r="AP84" s="695"/>
      <c r="AQ84" s="695"/>
      <c r="AR84" s="695"/>
    </row>
    <row r="85" spans="1:44" x14ac:dyDescent="0.25">
      <c r="A85" s="695"/>
      <c r="B85" s="695"/>
      <c r="C85" s="695"/>
      <c r="D85" s="695"/>
      <c r="E85" s="695"/>
      <c r="F85" s="695"/>
      <c r="G85" s="695"/>
      <c r="H85" s="695"/>
      <c r="I85" s="695"/>
      <c r="J85" s="695"/>
      <c r="K85" s="695"/>
      <c r="L85" s="695"/>
      <c r="M85" s="695"/>
      <c r="N85" s="695"/>
      <c r="O85" s="695"/>
      <c r="P85" s="695"/>
      <c r="Q85" s="695"/>
      <c r="R85" s="695"/>
      <c r="S85" s="695"/>
      <c r="T85" s="695"/>
      <c r="U85" s="695"/>
      <c r="V85" s="695"/>
      <c r="W85" s="695"/>
      <c r="X85" s="695"/>
      <c r="Y85" s="695"/>
      <c r="Z85" s="695"/>
      <c r="AA85" s="695"/>
      <c r="AB85" s="695"/>
      <c r="AC85" s="695"/>
      <c r="AD85" s="695"/>
      <c r="AE85" s="695"/>
      <c r="AF85" s="695"/>
      <c r="AG85" s="695"/>
      <c r="AH85" s="695"/>
      <c r="AI85" s="695"/>
      <c r="AJ85" s="695"/>
      <c r="AK85" s="695"/>
      <c r="AL85" s="695"/>
      <c r="AM85" s="695"/>
      <c r="AN85" s="695"/>
      <c r="AO85" s="695"/>
      <c r="AP85" s="695"/>
      <c r="AQ85" s="695"/>
      <c r="AR85" s="695"/>
    </row>
    <row r="86" spans="1:44" x14ac:dyDescent="0.25">
      <c r="A86" s="695"/>
      <c r="B86" s="695"/>
      <c r="C86" s="695"/>
      <c r="D86" s="695"/>
      <c r="E86" s="695"/>
      <c r="F86" s="695"/>
      <c r="G86" s="695"/>
      <c r="H86" s="695"/>
      <c r="I86" s="695"/>
      <c r="J86" s="695"/>
      <c r="K86" s="695"/>
      <c r="L86" s="695"/>
      <c r="M86" s="695"/>
      <c r="N86" s="695"/>
      <c r="O86" s="695"/>
      <c r="P86" s="695"/>
      <c r="Q86" s="695"/>
      <c r="R86" s="695"/>
      <c r="S86" s="695"/>
      <c r="T86" s="695"/>
      <c r="U86" s="695"/>
      <c r="V86" s="695"/>
      <c r="W86" s="695"/>
      <c r="X86" s="695"/>
      <c r="Y86" s="695"/>
      <c r="Z86" s="695"/>
      <c r="AA86" s="695"/>
      <c r="AB86" s="695"/>
      <c r="AC86" s="695"/>
      <c r="AD86" s="695"/>
      <c r="AE86" s="695"/>
      <c r="AF86" s="695"/>
      <c r="AG86" s="695"/>
      <c r="AH86" s="695"/>
      <c r="AI86" s="695"/>
      <c r="AJ86" s="695"/>
      <c r="AK86" s="695"/>
      <c r="AL86" s="695"/>
      <c r="AM86" s="695"/>
      <c r="AN86" s="695"/>
      <c r="AO86" s="695"/>
      <c r="AP86" s="695"/>
      <c r="AQ86" s="695"/>
      <c r="AR86" s="695"/>
    </row>
    <row r="87" spans="1:44" x14ac:dyDescent="0.25">
      <c r="A87" s="695"/>
      <c r="B87" s="695"/>
      <c r="C87" s="695"/>
      <c r="D87" s="695"/>
      <c r="E87" s="695"/>
      <c r="F87" s="695"/>
      <c r="G87" s="695"/>
      <c r="H87" s="695"/>
      <c r="I87" s="695"/>
      <c r="J87" s="695"/>
      <c r="K87" s="695"/>
      <c r="L87" s="695"/>
      <c r="M87" s="695"/>
      <c r="N87" s="695"/>
      <c r="O87" s="695"/>
      <c r="P87" s="695"/>
      <c r="Q87" s="695"/>
      <c r="R87" s="695"/>
      <c r="S87" s="695"/>
      <c r="T87" s="695"/>
      <c r="U87" s="695"/>
      <c r="V87" s="695"/>
      <c r="W87" s="695"/>
      <c r="X87" s="695"/>
      <c r="Y87" s="695"/>
      <c r="Z87" s="695"/>
      <c r="AA87" s="695"/>
      <c r="AB87" s="695"/>
      <c r="AC87" s="695"/>
      <c r="AD87" s="695"/>
      <c r="AE87" s="695"/>
      <c r="AF87" s="695"/>
      <c r="AG87" s="695"/>
      <c r="AH87" s="695"/>
      <c r="AI87" s="695"/>
      <c r="AJ87" s="695"/>
      <c r="AK87" s="695"/>
      <c r="AL87" s="695"/>
      <c r="AM87" s="695"/>
      <c r="AN87" s="695"/>
      <c r="AO87" s="695"/>
      <c r="AP87" s="695"/>
      <c r="AQ87" s="695"/>
      <c r="AR87" s="695"/>
    </row>
    <row r="88" spans="1:44" x14ac:dyDescent="0.25">
      <c r="A88" s="695"/>
      <c r="B88" s="695"/>
      <c r="C88" s="695"/>
      <c r="D88" s="695"/>
      <c r="E88" s="695"/>
      <c r="F88" s="695"/>
      <c r="G88" s="695"/>
      <c r="H88" s="695"/>
      <c r="I88" s="695"/>
      <c r="J88" s="695"/>
      <c r="K88" s="695"/>
      <c r="L88" s="695"/>
      <c r="M88" s="695"/>
      <c r="N88" s="695"/>
      <c r="O88" s="695"/>
      <c r="P88" s="695"/>
      <c r="Q88" s="695"/>
      <c r="R88" s="695"/>
      <c r="S88" s="695"/>
      <c r="T88" s="695"/>
      <c r="U88" s="695"/>
      <c r="V88" s="695"/>
      <c r="W88" s="695"/>
      <c r="X88" s="695"/>
      <c r="Y88" s="695"/>
      <c r="Z88" s="695"/>
      <c r="AA88" s="695"/>
      <c r="AB88" s="695"/>
      <c r="AC88" s="695"/>
      <c r="AD88" s="695"/>
      <c r="AE88" s="695"/>
      <c r="AF88" s="695"/>
      <c r="AG88" s="695"/>
      <c r="AH88" s="695"/>
      <c r="AI88" s="695"/>
      <c r="AJ88" s="695"/>
      <c r="AK88" s="695"/>
      <c r="AL88" s="695"/>
      <c r="AM88" s="695"/>
      <c r="AN88" s="695"/>
      <c r="AO88" s="695"/>
      <c r="AP88" s="695"/>
      <c r="AQ88" s="695"/>
      <c r="AR88" s="695"/>
    </row>
    <row r="89" spans="1:44" x14ac:dyDescent="0.25">
      <c r="A89" s="695"/>
      <c r="B89" s="695"/>
      <c r="C89" s="695"/>
      <c r="D89" s="695"/>
      <c r="E89" s="695"/>
      <c r="F89" s="695"/>
      <c r="G89" s="695"/>
      <c r="H89" s="695"/>
      <c r="I89" s="695"/>
      <c r="J89" s="695"/>
      <c r="K89" s="695"/>
      <c r="L89" s="695"/>
      <c r="M89" s="695"/>
      <c r="N89" s="695"/>
      <c r="O89" s="695"/>
      <c r="P89" s="695"/>
      <c r="Q89" s="695"/>
      <c r="R89" s="695"/>
      <c r="S89" s="695"/>
      <c r="T89" s="695"/>
      <c r="U89" s="695"/>
      <c r="V89" s="695"/>
      <c r="W89" s="695"/>
      <c r="X89" s="695"/>
      <c r="Y89" s="695"/>
      <c r="Z89" s="695"/>
      <c r="AA89" s="695"/>
      <c r="AB89" s="695"/>
      <c r="AC89" s="695"/>
      <c r="AD89" s="695"/>
      <c r="AE89" s="695"/>
      <c r="AF89" s="695"/>
      <c r="AG89" s="695"/>
      <c r="AH89" s="695"/>
      <c r="AI89" s="695"/>
      <c r="AJ89" s="695"/>
      <c r="AK89" s="695"/>
      <c r="AL89" s="695"/>
      <c r="AM89" s="695"/>
      <c r="AN89" s="695"/>
      <c r="AO89" s="695"/>
      <c r="AP89" s="695"/>
      <c r="AQ89" s="695"/>
      <c r="AR89" s="695"/>
    </row>
    <row r="90" spans="1:44" x14ac:dyDescent="0.25">
      <c r="A90" s="695"/>
      <c r="B90" s="695"/>
      <c r="C90" s="695"/>
      <c r="D90" s="695"/>
      <c r="E90" s="695"/>
      <c r="F90" s="695"/>
      <c r="G90" s="695"/>
      <c r="H90" s="695"/>
      <c r="I90" s="695"/>
      <c r="J90" s="695"/>
      <c r="K90" s="695"/>
      <c r="L90" s="695"/>
      <c r="M90" s="695"/>
      <c r="N90" s="695"/>
      <c r="O90" s="695"/>
      <c r="P90" s="695"/>
      <c r="Q90" s="695"/>
      <c r="R90" s="695"/>
      <c r="S90" s="695"/>
      <c r="T90" s="695"/>
      <c r="U90" s="695"/>
      <c r="V90" s="695"/>
      <c r="W90" s="695"/>
      <c r="X90" s="695"/>
      <c r="Y90" s="695"/>
      <c r="Z90" s="695"/>
      <c r="AA90" s="695"/>
      <c r="AB90" s="695"/>
      <c r="AC90" s="695"/>
      <c r="AD90" s="695"/>
      <c r="AE90" s="695"/>
      <c r="AF90" s="695"/>
      <c r="AG90" s="695"/>
      <c r="AH90" s="695"/>
      <c r="AI90" s="695"/>
      <c r="AJ90" s="695"/>
      <c r="AK90" s="695"/>
      <c r="AL90" s="695"/>
      <c r="AM90" s="695"/>
      <c r="AN90" s="695"/>
      <c r="AO90" s="695"/>
      <c r="AP90" s="695"/>
      <c r="AQ90" s="695"/>
      <c r="AR90" s="695"/>
    </row>
    <row r="91" spans="1:44" x14ac:dyDescent="0.25">
      <c r="A91" s="695"/>
      <c r="B91" s="695"/>
      <c r="C91" s="695"/>
      <c r="D91" s="695"/>
      <c r="E91" s="695"/>
      <c r="F91" s="695"/>
      <c r="G91" s="695"/>
      <c r="H91" s="695"/>
      <c r="I91" s="695"/>
      <c r="J91" s="695"/>
      <c r="K91" s="695"/>
      <c r="L91" s="695"/>
      <c r="M91" s="695"/>
      <c r="N91" s="695"/>
      <c r="O91" s="695"/>
      <c r="P91" s="695"/>
      <c r="Q91" s="695"/>
      <c r="R91" s="695"/>
      <c r="S91" s="695"/>
      <c r="T91" s="695"/>
      <c r="U91" s="695"/>
      <c r="V91" s="695"/>
      <c r="W91" s="695"/>
      <c r="X91" s="695"/>
      <c r="Y91" s="695"/>
      <c r="Z91" s="695"/>
      <c r="AA91" s="695"/>
      <c r="AB91" s="695"/>
      <c r="AC91" s="695"/>
      <c r="AD91" s="695"/>
      <c r="AE91" s="695"/>
      <c r="AF91" s="695"/>
      <c r="AG91" s="695"/>
      <c r="AH91" s="695"/>
      <c r="AI91" s="695"/>
      <c r="AJ91" s="695"/>
      <c r="AK91" s="695"/>
      <c r="AL91" s="695"/>
      <c r="AM91" s="695"/>
      <c r="AN91" s="695"/>
      <c r="AO91" s="695"/>
      <c r="AP91" s="695"/>
      <c r="AQ91" s="695"/>
      <c r="AR91" s="695"/>
    </row>
    <row r="92" spans="1:44" x14ac:dyDescent="0.25">
      <c r="A92" s="695"/>
      <c r="B92" s="695"/>
      <c r="C92" s="695"/>
      <c r="D92" s="695"/>
      <c r="E92" s="695"/>
      <c r="F92" s="695"/>
      <c r="G92" s="695"/>
      <c r="H92" s="695"/>
      <c r="I92" s="695"/>
      <c r="J92" s="695"/>
      <c r="K92" s="695"/>
      <c r="L92" s="695"/>
      <c r="M92" s="695"/>
      <c r="N92" s="695"/>
      <c r="O92" s="695"/>
      <c r="P92" s="695"/>
      <c r="Q92" s="695"/>
      <c r="R92" s="695"/>
      <c r="S92" s="695"/>
      <c r="T92" s="695"/>
      <c r="U92" s="695"/>
      <c r="V92" s="695"/>
      <c r="W92" s="695"/>
      <c r="X92" s="695"/>
      <c r="Y92" s="695"/>
      <c r="Z92" s="695"/>
      <c r="AA92" s="695"/>
      <c r="AB92" s="695"/>
      <c r="AC92" s="695"/>
      <c r="AD92" s="695"/>
      <c r="AE92" s="695"/>
      <c r="AF92" s="695"/>
      <c r="AG92" s="695"/>
      <c r="AH92" s="695"/>
      <c r="AI92" s="695"/>
      <c r="AJ92" s="695"/>
      <c r="AK92" s="695"/>
      <c r="AL92" s="695"/>
      <c r="AM92" s="695"/>
      <c r="AN92" s="695"/>
      <c r="AO92" s="695"/>
      <c r="AP92" s="695"/>
      <c r="AQ92" s="695"/>
      <c r="AR92" s="695"/>
    </row>
    <row r="93" spans="1:44" x14ac:dyDescent="0.25">
      <c r="A93" s="695"/>
      <c r="B93" s="695"/>
      <c r="C93" s="695"/>
      <c r="D93" s="695"/>
      <c r="E93" s="695"/>
      <c r="F93" s="695"/>
      <c r="G93" s="695"/>
      <c r="H93" s="695"/>
      <c r="I93" s="695"/>
      <c r="J93" s="695"/>
      <c r="K93" s="695"/>
      <c r="L93" s="695"/>
      <c r="M93" s="695"/>
      <c r="N93" s="695"/>
      <c r="O93" s="695"/>
      <c r="P93" s="695"/>
      <c r="Q93" s="695"/>
      <c r="R93" s="695"/>
      <c r="S93" s="695"/>
      <c r="T93" s="695"/>
      <c r="U93" s="695"/>
      <c r="V93" s="695"/>
      <c r="W93" s="695"/>
      <c r="X93" s="695"/>
      <c r="Y93" s="695"/>
      <c r="Z93" s="695"/>
      <c r="AA93" s="695"/>
      <c r="AB93" s="695"/>
      <c r="AC93" s="695"/>
      <c r="AD93" s="695"/>
      <c r="AE93" s="695"/>
      <c r="AF93" s="695"/>
      <c r="AG93" s="695"/>
      <c r="AH93" s="695"/>
      <c r="AI93" s="695"/>
      <c r="AJ93" s="695"/>
      <c r="AK93" s="695"/>
      <c r="AL93" s="695"/>
      <c r="AM93" s="695"/>
      <c r="AN93" s="695"/>
      <c r="AO93" s="695"/>
      <c r="AP93" s="695"/>
      <c r="AQ93" s="695"/>
      <c r="AR93" s="695"/>
    </row>
    <row r="94" spans="1:44" x14ac:dyDescent="0.25">
      <c r="A94" s="695"/>
      <c r="B94" s="695"/>
      <c r="C94" s="695"/>
      <c r="D94" s="695"/>
      <c r="E94" s="695"/>
      <c r="F94" s="695"/>
      <c r="G94" s="695"/>
      <c r="H94" s="695"/>
      <c r="I94" s="695"/>
      <c r="J94" s="695"/>
      <c r="K94" s="695"/>
      <c r="L94" s="695"/>
      <c r="M94" s="695"/>
      <c r="N94" s="695"/>
      <c r="O94" s="695"/>
      <c r="P94" s="695"/>
      <c r="Q94" s="695"/>
      <c r="R94" s="695"/>
      <c r="S94" s="695"/>
      <c r="T94" s="695"/>
      <c r="U94" s="695"/>
      <c r="V94" s="695"/>
      <c r="W94" s="695"/>
      <c r="X94" s="695"/>
      <c r="Y94" s="695"/>
      <c r="Z94" s="695"/>
      <c r="AA94" s="695"/>
      <c r="AB94" s="695"/>
      <c r="AC94" s="695"/>
      <c r="AD94" s="695"/>
      <c r="AE94" s="695"/>
      <c r="AF94" s="695"/>
      <c r="AG94" s="695"/>
      <c r="AH94" s="695"/>
      <c r="AI94" s="695"/>
      <c r="AJ94" s="695"/>
      <c r="AK94" s="695"/>
      <c r="AL94" s="695"/>
      <c r="AM94" s="695"/>
      <c r="AN94" s="695"/>
      <c r="AO94" s="695"/>
      <c r="AP94" s="695"/>
      <c r="AQ94" s="695"/>
      <c r="AR94" s="695"/>
    </row>
    <row r="95" spans="1:44" x14ac:dyDescent="0.25">
      <c r="A95" s="695"/>
      <c r="B95" s="695"/>
      <c r="C95" s="695"/>
      <c r="D95" s="695"/>
      <c r="E95" s="695"/>
      <c r="F95" s="695"/>
      <c r="G95" s="695"/>
      <c r="H95" s="695"/>
      <c r="I95" s="695"/>
      <c r="J95" s="695"/>
      <c r="K95" s="695"/>
      <c r="L95" s="695"/>
      <c r="M95" s="695"/>
      <c r="N95" s="695"/>
      <c r="O95" s="695"/>
      <c r="P95" s="695"/>
      <c r="Q95" s="695"/>
      <c r="R95" s="695"/>
      <c r="S95" s="695"/>
      <c r="T95" s="695"/>
      <c r="U95" s="695"/>
      <c r="V95" s="695"/>
      <c r="W95" s="695"/>
      <c r="X95" s="695"/>
      <c r="Y95" s="695"/>
      <c r="Z95" s="695"/>
      <c r="AA95" s="695"/>
      <c r="AB95" s="695"/>
      <c r="AC95" s="695"/>
      <c r="AD95" s="695"/>
      <c r="AE95" s="695"/>
      <c r="AF95" s="695"/>
      <c r="AG95" s="695"/>
      <c r="AH95" s="695"/>
      <c r="AI95" s="695"/>
      <c r="AJ95" s="695"/>
      <c r="AK95" s="695"/>
      <c r="AL95" s="695"/>
      <c r="AM95" s="695"/>
      <c r="AN95" s="695"/>
      <c r="AO95" s="695"/>
      <c r="AP95" s="695"/>
      <c r="AQ95" s="695"/>
      <c r="AR95" s="695"/>
    </row>
    <row r="96" spans="1:44" x14ac:dyDescent="0.25">
      <c r="A96" s="695"/>
      <c r="B96" s="695"/>
      <c r="C96" s="695"/>
      <c r="D96" s="695"/>
      <c r="E96" s="695"/>
      <c r="F96" s="695"/>
      <c r="G96" s="695"/>
      <c r="H96" s="695"/>
      <c r="I96" s="695"/>
      <c r="J96" s="695"/>
      <c r="K96" s="695"/>
      <c r="L96" s="695"/>
      <c r="M96" s="695"/>
      <c r="N96" s="695"/>
      <c r="O96" s="695"/>
      <c r="P96" s="695"/>
      <c r="Q96" s="695"/>
      <c r="R96" s="695"/>
      <c r="S96" s="695"/>
      <c r="T96" s="695"/>
      <c r="U96" s="695"/>
      <c r="V96" s="695"/>
      <c r="W96" s="695"/>
      <c r="X96" s="695"/>
      <c r="Y96" s="695"/>
      <c r="Z96" s="695"/>
      <c r="AA96" s="695"/>
      <c r="AB96" s="695"/>
      <c r="AC96" s="695"/>
      <c r="AD96" s="695"/>
      <c r="AE96" s="695"/>
      <c r="AF96" s="695"/>
      <c r="AG96" s="695"/>
      <c r="AH96" s="695"/>
      <c r="AI96" s="695"/>
      <c r="AJ96" s="695"/>
      <c r="AK96" s="695"/>
      <c r="AL96" s="695"/>
      <c r="AM96" s="695"/>
      <c r="AN96" s="695"/>
      <c r="AO96" s="695"/>
      <c r="AP96" s="695"/>
      <c r="AQ96" s="695"/>
      <c r="AR96" s="695"/>
    </row>
    <row r="97" spans="1:44" x14ac:dyDescent="0.25">
      <c r="A97" s="695"/>
      <c r="B97" s="695"/>
      <c r="C97" s="695"/>
      <c r="D97" s="695"/>
      <c r="E97" s="695"/>
      <c r="F97" s="695"/>
      <c r="G97" s="695"/>
      <c r="H97" s="695"/>
      <c r="I97" s="695"/>
      <c r="J97" s="695"/>
      <c r="K97" s="695"/>
      <c r="L97" s="695"/>
      <c r="M97" s="695"/>
      <c r="N97" s="695"/>
      <c r="O97" s="695"/>
      <c r="P97" s="695"/>
      <c r="Q97" s="695"/>
      <c r="R97" s="695"/>
      <c r="S97" s="695"/>
      <c r="T97" s="695"/>
      <c r="U97" s="695"/>
      <c r="V97" s="695"/>
      <c r="W97" s="695"/>
      <c r="X97" s="695"/>
      <c r="Y97" s="695"/>
      <c r="Z97" s="695"/>
      <c r="AA97" s="695"/>
      <c r="AB97" s="695"/>
      <c r="AC97" s="695"/>
      <c r="AD97" s="695"/>
      <c r="AE97" s="695"/>
      <c r="AF97" s="695"/>
      <c r="AG97" s="695"/>
      <c r="AH97" s="695"/>
      <c r="AI97" s="695"/>
      <c r="AJ97" s="695"/>
      <c r="AK97" s="695"/>
      <c r="AL97" s="695"/>
      <c r="AM97" s="695"/>
      <c r="AN97" s="695"/>
      <c r="AO97" s="695"/>
      <c r="AP97" s="695"/>
      <c r="AQ97" s="695"/>
      <c r="AR97" s="695"/>
    </row>
    <row r="98" spans="1:44" x14ac:dyDescent="0.25">
      <c r="A98" s="695"/>
      <c r="B98" s="695"/>
      <c r="C98" s="695"/>
      <c r="D98" s="695"/>
      <c r="E98" s="695"/>
      <c r="F98" s="695"/>
      <c r="G98" s="695"/>
      <c r="H98" s="695"/>
      <c r="I98" s="695"/>
      <c r="J98" s="695"/>
      <c r="K98" s="695"/>
      <c r="L98" s="695"/>
      <c r="M98" s="695"/>
      <c r="N98" s="695"/>
      <c r="O98" s="695"/>
      <c r="P98" s="695"/>
      <c r="Q98" s="695"/>
      <c r="R98" s="695"/>
      <c r="S98" s="695"/>
      <c r="T98" s="695"/>
      <c r="U98" s="695"/>
      <c r="V98" s="695"/>
      <c r="W98" s="695"/>
      <c r="X98" s="695"/>
      <c r="Y98" s="695"/>
      <c r="Z98" s="695"/>
      <c r="AA98" s="695"/>
      <c r="AB98" s="695"/>
      <c r="AC98" s="695"/>
      <c r="AD98" s="695"/>
      <c r="AE98" s="695"/>
      <c r="AF98" s="695"/>
      <c r="AG98" s="695"/>
      <c r="AH98" s="695"/>
      <c r="AI98" s="695"/>
      <c r="AJ98" s="695"/>
      <c r="AK98" s="695"/>
      <c r="AL98" s="695"/>
      <c r="AM98" s="695"/>
      <c r="AN98" s="695"/>
      <c r="AO98" s="695"/>
      <c r="AP98" s="695"/>
      <c r="AQ98" s="695"/>
      <c r="AR98" s="695"/>
    </row>
    <row r="99" spans="1:44" x14ac:dyDescent="0.25">
      <c r="A99" s="695"/>
      <c r="B99" s="695"/>
      <c r="C99" s="695"/>
      <c r="D99" s="695"/>
      <c r="E99" s="695"/>
      <c r="F99" s="695"/>
      <c r="G99" s="695"/>
      <c r="H99" s="695"/>
      <c r="I99" s="695"/>
      <c r="J99" s="695"/>
      <c r="K99" s="695"/>
      <c r="L99" s="695"/>
      <c r="M99" s="695"/>
      <c r="N99" s="695"/>
      <c r="O99" s="695"/>
      <c r="P99" s="695"/>
      <c r="Q99" s="695"/>
      <c r="R99" s="695"/>
      <c r="S99" s="695"/>
      <c r="T99" s="695"/>
      <c r="U99" s="695"/>
      <c r="V99" s="695"/>
      <c r="W99" s="695"/>
      <c r="X99" s="695"/>
      <c r="Y99" s="695"/>
      <c r="Z99" s="695"/>
      <c r="AA99" s="695"/>
      <c r="AB99" s="695"/>
      <c r="AC99" s="695"/>
      <c r="AD99" s="695"/>
      <c r="AE99" s="695"/>
      <c r="AF99" s="695"/>
      <c r="AG99" s="695"/>
      <c r="AH99" s="695"/>
      <c r="AI99" s="695"/>
      <c r="AJ99" s="695"/>
      <c r="AK99" s="695"/>
      <c r="AL99" s="695"/>
      <c r="AM99" s="695"/>
      <c r="AN99" s="695"/>
      <c r="AO99" s="695"/>
      <c r="AP99" s="695"/>
      <c r="AQ99" s="695"/>
      <c r="AR99" s="695"/>
    </row>
    <row r="100" spans="1:44" x14ac:dyDescent="0.25">
      <c r="A100" s="695"/>
      <c r="B100" s="695"/>
      <c r="C100" s="695"/>
      <c r="D100" s="695"/>
      <c r="E100" s="695"/>
      <c r="F100" s="695"/>
      <c r="G100" s="695"/>
      <c r="H100" s="695"/>
      <c r="I100" s="695"/>
      <c r="J100" s="695"/>
      <c r="K100" s="695"/>
      <c r="L100" s="695"/>
      <c r="M100" s="695"/>
      <c r="N100" s="695"/>
      <c r="O100" s="695"/>
      <c r="P100" s="695"/>
      <c r="Q100" s="695"/>
      <c r="R100" s="695"/>
      <c r="S100" s="695"/>
      <c r="T100" s="695"/>
      <c r="U100" s="695"/>
      <c r="V100" s="695"/>
      <c r="W100" s="695"/>
      <c r="X100" s="695"/>
      <c r="Y100" s="695"/>
      <c r="Z100" s="695"/>
      <c r="AA100" s="695"/>
      <c r="AB100" s="695"/>
      <c r="AC100" s="695"/>
      <c r="AD100" s="695"/>
      <c r="AE100" s="695"/>
      <c r="AF100" s="695"/>
      <c r="AG100" s="695"/>
      <c r="AH100" s="695"/>
      <c r="AI100" s="695"/>
      <c r="AJ100" s="695"/>
      <c r="AK100" s="695"/>
      <c r="AL100" s="695"/>
      <c r="AM100" s="695"/>
      <c r="AN100" s="695"/>
      <c r="AO100" s="695"/>
      <c r="AP100" s="695"/>
      <c r="AQ100" s="695"/>
      <c r="AR100" s="695"/>
    </row>
    <row r="101" spans="1:44" x14ac:dyDescent="0.25">
      <c r="A101" s="695"/>
      <c r="B101" s="695"/>
      <c r="C101" s="695"/>
      <c r="D101" s="695"/>
      <c r="E101" s="695"/>
      <c r="F101" s="695"/>
      <c r="G101" s="695"/>
      <c r="H101" s="695"/>
      <c r="I101" s="695"/>
      <c r="J101" s="695"/>
      <c r="K101" s="695"/>
      <c r="L101" s="695"/>
      <c r="M101" s="695"/>
      <c r="N101" s="695"/>
      <c r="O101" s="695"/>
      <c r="P101" s="695"/>
      <c r="Q101" s="695"/>
      <c r="R101" s="695"/>
      <c r="S101" s="695"/>
      <c r="T101" s="695"/>
      <c r="U101" s="695"/>
      <c r="V101" s="695"/>
      <c r="W101" s="695"/>
      <c r="X101" s="695"/>
      <c r="Y101" s="695"/>
      <c r="Z101" s="695"/>
      <c r="AA101" s="695"/>
      <c r="AB101" s="695"/>
      <c r="AC101" s="695"/>
      <c r="AD101" s="695"/>
      <c r="AE101" s="695"/>
      <c r="AF101" s="695"/>
      <c r="AG101" s="695"/>
      <c r="AH101" s="695"/>
      <c r="AI101" s="695"/>
      <c r="AJ101" s="695"/>
      <c r="AK101" s="695"/>
      <c r="AL101" s="695"/>
      <c r="AM101" s="695"/>
      <c r="AN101" s="695"/>
      <c r="AO101" s="695"/>
      <c r="AP101" s="695"/>
      <c r="AQ101" s="695"/>
      <c r="AR101" s="695"/>
    </row>
    <row r="102" spans="1:44" x14ac:dyDescent="0.25">
      <c r="A102" s="695"/>
      <c r="B102" s="695"/>
      <c r="C102" s="695"/>
      <c r="D102" s="695"/>
      <c r="E102" s="695"/>
      <c r="F102" s="695"/>
      <c r="G102" s="695"/>
      <c r="H102" s="695"/>
      <c r="I102" s="695"/>
      <c r="J102" s="695"/>
      <c r="K102" s="695"/>
      <c r="L102" s="695"/>
      <c r="M102" s="695"/>
      <c r="N102" s="695"/>
      <c r="O102" s="695"/>
      <c r="P102" s="695"/>
      <c r="Q102" s="695"/>
      <c r="R102" s="695"/>
      <c r="S102" s="695"/>
      <c r="T102" s="695"/>
      <c r="U102" s="695"/>
      <c r="V102" s="695"/>
      <c r="W102" s="695"/>
      <c r="X102" s="695"/>
      <c r="Y102" s="695"/>
      <c r="Z102" s="695"/>
      <c r="AA102" s="695"/>
      <c r="AB102" s="695"/>
      <c r="AC102" s="695"/>
      <c r="AD102" s="695"/>
      <c r="AE102" s="695"/>
      <c r="AF102" s="695"/>
      <c r="AG102" s="695"/>
      <c r="AH102" s="695"/>
      <c r="AI102" s="695"/>
      <c r="AJ102" s="695"/>
      <c r="AK102" s="695"/>
      <c r="AL102" s="695"/>
      <c r="AM102" s="695"/>
      <c r="AN102" s="695"/>
      <c r="AO102" s="695"/>
      <c r="AP102" s="695"/>
      <c r="AQ102" s="695"/>
      <c r="AR102" s="695"/>
    </row>
    <row r="103" spans="1:44" x14ac:dyDescent="0.25">
      <c r="A103" s="695"/>
      <c r="B103" s="695"/>
      <c r="C103" s="695"/>
      <c r="D103" s="695"/>
      <c r="E103" s="695"/>
      <c r="F103" s="695"/>
      <c r="G103" s="695"/>
      <c r="H103" s="695"/>
      <c r="I103" s="695"/>
      <c r="J103" s="695"/>
      <c r="K103" s="695"/>
      <c r="L103" s="695"/>
      <c r="M103" s="695"/>
      <c r="N103" s="695"/>
      <c r="O103" s="695"/>
      <c r="P103" s="695"/>
      <c r="Q103" s="695"/>
      <c r="R103" s="695"/>
      <c r="S103" s="695"/>
      <c r="T103" s="695"/>
      <c r="U103" s="695"/>
      <c r="V103" s="695"/>
      <c r="W103" s="695"/>
      <c r="X103" s="695"/>
      <c r="Y103" s="695"/>
      <c r="Z103" s="695"/>
      <c r="AA103" s="695"/>
      <c r="AB103" s="695"/>
      <c r="AC103" s="695"/>
      <c r="AD103" s="695"/>
      <c r="AE103" s="695"/>
      <c r="AF103" s="695"/>
      <c r="AG103" s="695"/>
      <c r="AH103" s="695"/>
      <c r="AI103" s="695"/>
      <c r="AJ103" s="695"/>
      <c r="AK103" s="695"/>
      <c r="AL103" s="695"/>
      <c r="AM103" s="695"/>
      <c r="AN103" s="695"/>
      <c r="AO103" s="695"/>
      <c r="AP103" s="695"/>
      <c r="AQ103" s="695"/>
      <c r="AR103" s="695"/>
    </row>
    <row r="104" spans="1:44" x14ac:dyDescent="0.25">
      <c r="A104" s="695"/>
      <c r="B104" s="695"/>
      <c r="C104" s="695"/>
      <c r="D104" s="695"/>
      <c r="E104" s="695"/>
      <c r="F104" s="695"/>
      <c r="G104" s="695"/>
      <c r="H104" s="695"/>
      <c r="I104" s="695"/>
      <c r="J104" s="695"/>
      <c r="K104" s="695"/>
      <c r="L104" s="695"/>
      <c r="M104" s="695"/>
      <c r="N104" s="695"/>
      <c r="O104" s="695"/>
      <c r="P104" s="695"/>
      <c r="Q104" s="695"/>
      <c r="R104" s="695"/>
      <c r="S104" s="695"/>
      <c r="T104" s="695"/>
      <c r="U104" s="695"/>
      <c r="V104" s="695"/>
      <c r="W104" s="695"/>
      <c r="X104" s="695"/>
      <c r="Y104" s="695"/>
      <c r="Z104" s="695"/>
      <c r="AA104" s="695"/>
      <c r="AB104" s="695"/>
      <c r="AC104" s="695"/>
      <c r="AD104" s="695"/>
      <c r="AE104" s="695"/>
      <c r="AF104" s="695"/>
      <c r="AG104" s="695"/>
      <c r="AH104" s="695"/>
      <c r="AI104" s="695"/>
      <c r="AJ104" s="695"/>
      <c r="AK104" s="695"/>
      <c r="AL104" s="695"/>
      <c r="AM104" s="695"/>
      <c r="AN104" s="695"/>
      <c r="AO104" s="695"/>
      <c r="AP104" s="695"/>
      <c r="AQ104" s="695"/>
      <c r="AR104" s="695"/>
    </row>
    <row r="105" spans="1:44" x14ac:dyDescent="0.25">
      <c r="A105" s="695"/>
      <c r="B105" s="695"/>
      <c r="C105" s="695"/>
      <c r="D105" s="695"/>
      <c r="E105" s="695"/>
      <c r="F105" s="695"/>
      <c r="G105" s="695"/>
      <c r="H105" s="695"/>
      <c r="I105" s="695"/>
      <c r="J105" s="695"/>
      <c r="K105" s="695"/>
      <c r="L105" s="695"/>
      <c r="M105" s="695"/>
      <c r="N105" s="695"/>
      <c r="O105" s="695"/>
      <c r="P105" s="695"/>
      <c r="Q105" s="695"/>
      <c r="R105" s="695"/>
      <c r="S105" s="695"/>
      <c r="T105" s="695"/>
      <c r="U105" s="695"/>
      <c r="V105" s="695"/>
      <c r="W105" s="695"/>
      <c r="X105" s="695"/>
      <c r="Y105" s="695"/>
      <c r="Z105" s="695"/>
      <c r="AA105" s="695"/>
      <c r="AB105" s="695"/>
      <c r="AC105" s="695"/>
      <c r="AD105" s="695"/>
      <c r="AE105" s="695"/>
      <c r="AF105" s="695"/>
      <c r="AG105" s="695"/>
      <c r="AH105" s="695"/>
      <c r="AI105" s="695"/>
      <c r="AJ105" s="695"/>
      <c r="AK105" s="695"/>
      <c r="AL105" s="695"/>
      <c r="AM105" s="695"/>
      <c r="AN105" s="695"/>
      <c r="AO105" s="695"/>
      <c r="AP105" s="695"/>
      <c r="AQ105" s="695"/>
      <c r="AR105" s="695"/>
    </row>
    <row r="106" spans="1:44" x14ac:dyDescent="0.25">
      <c r="A106" s="695"/>
      <c r="B106" s="695"/>
      <c r="C106" s="695"/>
      <c r="D106" s="695"/>
      <c r="E106" s="695"/>
      <c r="F106" s="695"/>
      <c r="G106" s="695"/>
      <c r="H106" s="695"/>
      <c r="I106" s="695"/>
      <c r="J106" s="695"/>
      <c r="K106" s="695"/>
      <c r="L106" s="695"/>
      <c r="M106" s="695"/>
      <c r="N106" s="695"/>
      <c r="O106" s="695"/>
      <c r="P106" s="695"/>
      <c r="Q106" s="695"/>
      <c r="R106" s="695"/>
      <c r="S106" s="695"/>
      <c r="T106" s="695"/>
      <c r="U106" s="695"/>
      <c r="V106" s="695"/>
      <c r="W106" s="695"/>
      <c r="X106" s="695"/>
      <c r="Y106" s="695"/>
      <c r="Z106" s="695"/>
      <c r="AA106" s="695"/>
      <c r="AB106" s="695"/>
      <c r="AC106" s="695"/>
      <c r="AD106" s="695"/>
      <c r="AE106" s="695"/>
      <c r="AF106" s="695"/>
      <c r="AG106" s="695"/>
      <c r="AH106" s="695"/>
      <c r="AI106" s="695"/>
      <c r="AJ106" s="695"/>
      <c r="AK106" s="695"/>
      <c r="AL106" s="695"/>
      <c r="AM106" s="695"/>
      <c r="AN106" s="695"/>
      <c r="AO106" s="695"/>
      <c r="AP106" s="695"/>
      <c r="AQ106" s="695"/>
      <c r="AR106" s="695"/>
    </row>
    <row r="107" spans="1:44" x14ac:dyDescent="0.25">
      <c r="A107" s="695"/>
      <c r="B107" s="695"/>
      <c r="C107" s="695"/>
      <c r="D107" s="695"/>
      <c r="E107" s="695"/>
      <c r="F107" s="695"/>
      <c r="G107" s="695"/>
      <c r="H107" s="695"/>
      <c r="I107" s="695"/>
      <c r="J107" s="695"/>
      <c r="K107" s="695"/>
      <c r="L107" s="695"/>
      <c r="M107" s="695"/>
      <c r="N107" s="695"/>
      <c r="O107" s="695"/>
      <c r="P107" s="695"/>
      <c r="Q107" s="695"/>
      <c r="R107" s="695"/>
      <c r="S107" s="695"/>
      <c r="T107" s="695"/>
      <c r="U107" s="695"/>
      <c r="V107" s="695"/>
      <c r="W107" s="695"/>
      <c r="X107" s="695"/>
      <c r="Y107" s="695"/>
      <c r="Z107" s="695"/>
      <c r="AA107" s="695"/>
      <c r="AB107" s="695"/>
      <c r="AC107" s="695"/>
      <c r="AD107" s="695"/>
      <c r="AE107" s="695"/>
      <c r="AF107" s="695"/>
      <c r="AG107" s="695"/>
      <c r="AH107" s="695"/>
      <c r="AI107" s="695"/>
      <c r="AJ107" s="695"/>
      <c r="AK107" s="695"/>
      <c r="AL107" s="695"/>
      <c r="AM107" s="695"/>
      <c r="AN107" s="695"/>
      <c r="AO107" s="695"/>
      <c r="AP107" s="695"/>
      <c r="AQ107" s="695"/>
      <c r="AR107" s="695"/>
    </row>
    <row r="108" spans="1:44" x14ac:dyDescent="0.25">
      <c r="A108" s="695"/>
      <c r="B108" s="695"/>
      <c r="C108" s="695"/>
      <c r="D108" s="695"/>
      <c r="E108" s="695"/>
      <c r="F108" s="695"/>
      <c r="G108" s="695"/>
      <c r="H108" s="695"/>
      <c r="I108" s="695"/>
      <c r="J108" s="695"/>
      <c r="K108" s="695"/>
      <c r="L108" s="695"/>
      <c r="M108" s="695"/>
      <c r="N108" s="695"/>
      <c r="O108" s="695"/>
      <c r="P108" s="695"/>
      <c r="Q108" s="695"/>
      <c r="R108" s="695"/>
      <c r="S108" s="695"/>
      <c r="T108" s="695"/>
      <c r="U108" s="695"/>
      <c r="V108" s="695"/>
      <c r="W108" s="695"/>
      <c r="X108" s="695"/>
      <c r="Y108" s="695"/>
      <c r="Z108" s="695"/>
      <c r="AA108" s="695"/>
      <c r="AB108" s="695"/>
      <c r="AC108" s="695"/>
      <c r="AD108" s="695"/>
      <c r="AE108" s="695"/>
      <c r="AF108" s="695"/>
      <c r="AG108" s="695"/>
      <c r="AH108" s="695"/>
      <c r="AI108" s="695"/>
      <c r="AJ108" s="695"/>
      <c r="AK108" s="695"/>
      <c r="AL108" s="695"/>
      <c r="AM108" s="695"/>
      <c r="AN108" s="695"/>
      <c r="AO108" s="695"/>
      <c r="AP108" s="695"/>
      <c r="AQ108" s="695"/>
      <c r="AR108" s="695"/>
    </row>
    <row r="109" spans="1:44" x14ac:dyDescent="0.25">
      <c r="A109" s="695"/>
      <c r="B109" s="695"/>
      <c r="C109" s="695"/>
      <c r="D109" s="695"/>
      <c r="E109" s="695"/>
      <c r="F109" s="695"/>
      <c r="G109" s="695"/>
      <c r="H109" s="695"/>
      <c r="I109" s="695"/>
      <c r="J109" s="695"/>
      <c r="K109" s="695"/>
      <c r="L109" s="695"/>
      <c r="M109" s="695"/>
      <c r="N109" s="695"/>
      <c r="O109" s="695"/>
      <c r="P109" s="695"/>
      <c r="Q109" s="695"/>
      <c r="R109" s="695"/>
      <c r="S109" s="695"/>
      <c r="T109" s="695"/>
      <c r="U109" s="695"/>
      <c r="V109" s="695"/>
      <c r="W109" s="695"/>
      <c r="X109" s="695"/>
      <c r="Y109" s="695"/>
      <c r="Z109" s="695"/>
      <c r="AA109" s="695"/>
      <c r="AB109" s="695"/>
      <c r="AC109" s="695"/>
      <c r="AD109" s="695"/>
      <c r="AE109" s="695"/>
      <c r="AF109" s="695"/>
      <c r="AG109" s="695"/>
      <c r="AH109" s="695"/>
      <c r="AI109" s="695"/>
      <c r="AJ109" s="695"/>
      <c r="AK109" s="695"/>
      <c r="AL109" s="695"/>
      <c r="AM109" s="695"/>
      <c r="AN109" s="695"/>
      <c r="AO109" s="695"/>
      <c r="AP109" s="695"/>
      <c r="AQ109" s="695"/>
      <c r="AR109" s="695"/>
    </row>
    <row r="110" spans="1:44" x14ac:dyDescent="0.25">
      <c r="A110" s="695"/>
      <c r="B110" s="695"/>
      <c r="C110" s="695"/>
      <c r="D110" s="695"/>
      <c r="E110" s="695"/>
      <c r="F110" s="695"/>
      <c r="G110" s="695"/>
      <c r="H110" s="695"/>
      <c r="I110" s="695"/>
      <c r="J110" s="695"/>
      <c r="K110" s="695"/>
      <c r="L110" s="695"/>
      <c r="M110" s="695"/>
      <c r="N110" s="695"/>
      <c r="O110" s="695"/>
      <c r="P110" s="695"/>
      <c r="Q110" s="695"/>
      <c r="R110" s="695"/>
      <c r="S110" s="695"/>
      <c r="T110" s="695"/>
      <c r="U110" s="695"/>
      <c r="V110" s="695"/>
      <c r="W110" s="695"/>
      <c r="X110" s="695"/>
      <c r="Y110" s="695"/>
      <c r="Z110" s="695"/>
      <c r="AA110" s="695"/>
      <c r="AB110" s="695"/>
      <c r="AC110" s="695"/>
      <c r="AD110" s="695"/>
      <c r="AE110" s="695"/>
      <c r="AF110" s="695"/>
      <c r="AG110" s="695"/>
      <c r="AH110" s="695"/>
      <c r="AI110" s="695"/>
      <c r="AJ110" s="695"/>
      <c r="AK110" s="695"/>
      <c r="AL110" s="695"/>
      <c r="AM110" s="695"/>
      <c r="AN110" s="695"/>
      <c r="AO110" s="695"/>
      <c r="AP110" s="695"/>
      <c r="AQ110" s="695"/>
      <c r="AR110" s="695"/>
    </row>
    <row r="111" spans="1:44" x14ac:dyDescent="0.25">
      <c r="A111" s="695"/>
      <c r="B111" s="695"/>
      <c r="C111" s="695"/>
      <c r="D111" s="695"/>
      <c r="E111" s="695"/>
      <c r="F111" s="695"/>
      <c r="G111" s="695"/>
      <c r="H111" s="695"/>
      <c r="I111" s="695"/>
      <c r="J111" s="695"/>
      <c r="K111" s="695"/>
      <c r="L111" s="695"/>
      <c r="M111" s="695"/>
      <c r="N111" s="695"/>
      <c r="O111" s="695"/>
      <c r="P111" s="695"/>
      <c r="Q111" s="695"/>
      <c r="R111" s="695"/>
      <c r="S111" s="695"/>
      <c r="T111" s="695"/>
      <c r="U111" s="695"/>
      <c r="V111" s="695"/>
      <c r="W111" s="695"/>
      <c r="X111" s="695"/>
      <c r="Y111" s="695"/>
      <c r="Z111" s="695"/>
      <c r="AA111" s="695"/>
      <c r="AB111" s="695"/>
      <c r="AC111" s="695"/>
      <c r="AD111" s="695"/>
      <c r="AE111" s="695"/>
      <c r="AF111" s="695"/>
      <c r="AG111" s="695"/>
      <c r="AH111" s="695"/>
      <c r="AI111" s="695"/>
      <c r="AJ111" s="695"/>
      <c r="AK111" s="695"/>
      <c r="AL111" s="695"/>
      <c r="AM111" s="695"/>
      <c r="AN111" s="695"/>
      <c r="AO111" s="695"/>
      <c r="AP111" s="695"/>
      <c r="AQ111" s="695"/>
      <c r="AR111" s="695"/>
    </row>
    <row r="112" spans="1:44" x14ac:dyDescent="0.25">
      <c r="A112" s="695"/>
      <c r="B112" s="695"/>
      <c r="C112" s="695"/>
      <c r="D112" s="695"/>
      <c r="E112" s="695"/>
      <c r="F112" s="695"/>
      <c r="G112" s="695"/>
      <c r="H112" s="695"/>
      <c r="I112" s="695"/>
      <c r="J112" s="695"/>
      <c r="K112" s="695"/>
      <c r="L112" s="695"/>
      <c r="M112" s="695"/>
      <c r="N112" s="695"/>
      <c r="O112" s="695"/>
      <c r="P112" s="695"/>
      <c r="Q112" s="695"/>
      <c r="R112" s="695"/>
      <c r="S112" s="695"/>
      <c r="T112" s="695"/>
      <c r="U112" s="695"/>
      <c r="V112" s="695"/>
      <c r="W112" s="695"/>
      <c r="X112" s="695"/>
      <c r="Y112" s="695"/>
      <c r="Z112" s="695"/>
      <c r="AA112" s="695"/>
      <c r="AB112" s="695"/>
      <c r="AC112" s="695"/>
      <c r="AD112" s="695"/>
      <c r="AE112" s="695"/>
      <c r="AF112" s="695"/>
      <c r="AG112" s="695"/>
      <c r="AH112" s="695"/>
      <c r="AI112" s="695"/>
      <c r="AJ112" s="695"/>
      <c r="AK112" s="695"/>
      <c r="AL112" s="695"/>
      <c r="AM112" s="695"/>
      <c r="AN112" s="695"/>
      <c r="AO112" s="695"/>
      <c r="AP112" s="695"/>
      <c r="AQ112" s="695"/>
      <c r="AR112" s="695"/>
    </row>
    <row r="113" spans="1:44" x14ac:dyDescent="0.25">
      <c r="A113" s="695"/>
      <c r="B113" s="695"/>
      <c r="C113" s="695"/>
      <c r="D113" s="695"/>
      <c r="E113" s="695"/>
      <c r="F113" s="695"/>
      <c r="G113" s="695"/>
      <c r="H113" s="695"/>
      <c r="I113" s="695"/>
      <c r="J113" s="695"/>
      <c r="K113" s="695"/>
      <c r="L113" s="695"/>
      <c r="M113" s="695"/>
      <c r="N113" s="695"/>
      <c r="O113" s="695"/>
      <c r="P113" s="695"/>
      <c r="Q113" s="695"/>
      <c r="R113" s="695"/>
      <c r="S113" s="695"/>
      <c r="T113" s="695"/>
      <c r="U113" s="695"/>
      <c r="V113" s="695"/>
      <c r="W113" s="695"/>
      <c r="X113" s="695"/>
      <c r="Y113" s="695"/>
      <c r="Z113" s="695"/>
      <c r="AA113" s="695"/>
      <c r="AB113" s="695"/>
      <c r="AC113" s="695"/>
      <c r="AD113" s="695"/>
      <c r="AE113" s="695"/>
      <c r="AF113" s="695"/>
      <c r="AG113" s="695"/>
      <c r="AH113" s="695"/>
      <c r="AI113" s="695"/>
      <c r="AJ113" s="695"/>
      <c r="AK113" s="695"/>
      <c r="AL113" s="695"/>
      <c r="AM113" s="695"/>
      <c r="AN113" s="695"/>
      <c r="AO113" s="695"/>
      <c r="AP113" s="695"/>
      <c r="AQ113" s="695"/>
      <c r="AR113" s="695"/>
    </row>
    <row r="114" spans="1:44" x14ac:dyDescent="0.25">
      <c r="A114" s="695"/>
      <c r="B114" s="695"/>
      <c r="C114" s="695"/>
      <c r="D114" s="695"/>
      <c r="E114" s="695"/>
      <c r="F114" s="695"/>
      <c r="G114" s="695"/>
      <c r="H114" s="695"/>
      <c r="I114" s="695"/>
      <c r="J114" s="695"/>
      <c r="K114" s="695"/>
      <c r="L114" s="695"/>
      <c r="M114" s="695"/>
      <c r="N114" s="695"/>
      <c r="O114" s="695"/>
      <c r="P114" s="695"/>
      <c r="Q114" s="695"/>
      <c r="R114" s="695"/>
      <c r="S114" s="695"/>
      <c r="T114" s="695"/>
      <c r="U114" s="695"/>
      <c r="V114" s="695"/>
      <c r="W114" s="695"/>
      <c r="X114" s="695"/>
      <c r="Y114" s="695"/>
      <c r="Z114" s="695"/>
      <c r="AA114" s="695"/>
      <c r="AB114" s="695"/>
      <c r="AC114" s="695"/>
      <c r="AD114" s="695"/>
      <c r="AE114" s="695"/>
      <c r="AF114" s="695"/>
      <c r="AG114" s="695"/>
      <c r="AH114" s="695"/>
      <c r="AI114" s="695"/>
      <c r="AJ114" s="695"/>
      <c r="AK114" s="695"/>
      <c r="AL114" s="695"/>
      <c r="AM114" s="695"/>
      <c r="AN114" s="695"/>
      <c r="AO114" s="695"/>
      <c r="AP114" s="695"/>
      <c r="AQ114" s="695"/>
      <c r="AR114" s="695"/>
    </row>
    <row r="115" spans="1:44" x14ac:dyDescent="0.25">
      <c r="A115" s="695"/>
      <c r="B115" s="695"/>
      <c r="C115" s="695"/>
      <c r="D115" s="695"/>
      <c r="E115" s="695"/>
      <c r="F115" s="695"/>
      <c r="G115" s="695"/>
      <c r="H115" s="695"/>
      <c r="I115" s="695"/>
      <c r="J115" s="695"/>
      <c r="K115" s="695"/>
      <c r="L115" s="695"/>
      <c r="M115" s="695"/>
      <c r="N115" s="695"/>
      <c r="O115" s="695"/>
      <c r="P115" s="695"/>
      <c r="Q115" s="695"/>
      <c r="R115" s="695"/>
      <c r="S115" s="695"/>
      <c r="T115" s="695"/>
      <c r="U115" s="695"/>
      <c r="V115" s="695"/>
      <c r="W115" s="695"/>
      <c r="X115" s="695"/>
      <c r="Y115" s="695"/>
      <c r="Z115" s="695"/>
      <c r="AA115" s="695"/>
      <c r="AB115" s="695"/>
      <c r="AC115" s="695"/>
      <c r="AD115" s="695"/>
      <c r="AE115" s="695"/>
      <c r="AF115" s="695"/>
      <c r="AG115" s="695"/>
      <c r="AH115" s="695"/>
      <c r="AI115" s="695"/>
      <c r="AJ115" s="695"/>
      <c r="AK115" s="695"/>
      <c r="AL115" s="695"/>
      <c r="AM115" s="695"/>
      <c r="AN115" s="695"/>
      <c r="AO115" s="695"/>
      <c r="AP115" s="695"/>
      <c r="AQ115" s="695"/>
      <c r="AR115" s="695"/>
    </row>
    <row r="116" spans="1:44" x14ac:dyDescent="0.25">
      <c r="A116" s="695"/>
      <c r="B116" s="695"/>
      <c r="C116" s="695"/>
      <c r="D116" s="695"/>
      <c r="E116" s="695"/>
      <c r="F116" s="695"/>
      <c r="G116" s="695"/>
      <c r="H116" s="695"/>
      <c r="I116" s="695"/>
      <c r="J116" s="695"/>
      <c r="K116" s="695"/>
      <c r="L116" s="695"/>
      <c r="M116" s="695"/>
      <c r="N116" s="695"/>
      <c r="O116" s="695"/>
      <c r="P116" s="695"/>
      <c r="Q116" s="695"/>
      <c r="R116" s="695"/>
      <c r="S116" s="695"/>
      <c r="T116" s="695"/>
      <c r="U116" s="695"/>
      <c r="V116" s="695"/>
      <c r="W116" s="695"/>
      <c r="X116" s="695"/>
      <c r="Y116" s="695"/>
      <c r="Z116" s="695"/>
      <c r="AA116" s="695"/>
      <c r="AB116" s="695"/>
      <c r="AC116" s="695"/>
      <c r="AD116" s="695"/>
      <c r="AE116" s="695"/>
      <c r="AF116" s="695"/>
      <c r="AG116" s="695"/>
      <c r="AH116" s="695"/>
      <c r="AI116" s="695"/>
      <c r="AJ116" s="695"/>
      <c r="AK116" s="695"/>
      <c r="AL116" s="695"/>
      <c r="AM116" s="695"/>
      <c r="AN116" s="695"/>
      <c r="AO116" s="695"/>
      <c r="AP116" s="695"/>
      <c r="AQ116" s="695"/>
      <c r="AR116" s="695"/>
    </row>
    <row r="117" spans="1:44" x14ac:dyDescent="0.25">
      <c r="A117" s="695"/>
      <c r="B117" s="695"/>
      <c r="C117" s="695"/>
      <c r="D117" s="695"/>
      <c r="E117" s="695"/>
      <c r="F117" s="695"/>
      <c r="G117" s="695"/>
      <c r="H117" s="695"/>
      <c r="I117" s="695"/>
      <c r="J117" s="695"/>
      <c r="K117" s="695"/>
      <c r="L117" s="695"/>
      <c r="M117" s="695"/>
      <c r="N117" s="695"/>
      <c r="O117" s="695"/>
      <c r="P117" s="695"/>
      <c r="Q117" s="695"/>
      <c r="R117" s="695"/>
      <c r="S117" s="695"/>
      <c r="T117" s="695"/>
      <c r="U117" s="695"/>
      <c r="V117" s="695"/>
      <c r="W117" s="695"/>
      <c r="X117" s="695"/>
      <c r="Y117" s="695"/>
      <c r="Z117" s="695"/>
      <c r="AA117" s="695"/>
      <c r="AB117" s="695"/>
      <c r="AC117" s="695"/>
      <c r="AD117" s="695"/>
      <c r="AE117" s="695"/>
      <c r="AF117" s="695"/>
      <c r="AG117" s="695"/>
      <c r="AH117" s="695"/>
      <c r="AI117" s="695"/>
      <c r="AJ117" s="695"/>
      <c r="AK117" s="695"/>
      <c r="AL117" s="695"/>
      <c r="AM117" s="695"/>
      <c r="AN117" s="695"/>
      <c r="AO117" s="695"/>
      <c r="AP117" s="695"/>
      <c r="AQ117" s="695"/>
      <c r="AR117" s="695"/>
    </row>
    <row r="118" spans="1:44" x14ac:dyDescent="0.25">
      <c r="A118" s="695"/>
      <c r="B118" s="695"/>
      <c r="C118" s="695"/>
      <c r="D118" s="695"/>
      <c r="E118" s="695"/>
      <c r="F118" s="695"/>
      <c r="G118" s="695"/>
      <c r="H118" s="695"/>
      <c r="I118" s="695"/>
      <c r="J118" s="695"/>
      <c r="K118" s="695"/>
      <c r="L118" s="695"/>
      <c r="M118" s="695"/>
      <c r="N118" s="695"/>
      <c r="O118" s="695"/>
      <c r="P118" s="695"/>
      <c r="Q118" s="695"/>
      <c r="R118" s="695"/>
      <c r="S118" s="695"/>
      <c r="T118" s="695"/>
      <c r="U118" s="695"/>
      <c r="V118" s="695"/>
      <c r="W118" s="695"/>
      <c r="X118" s="695"/>
      <c r="Y118" s="695"/>
      <c r="Z118" s="695"/>
      <c r="AA118" s="695"/>
      <c r="AB118" s="695"/>
      <c r="AC118" s="695"/>
      <c r="AD118" s="695"/>
      <c r="AE118" s="695"/>
      <c r="AF118" s="695"/>
      <c r="AG118" s="695"/>
      <c r="AH118" s="695"/>
      <c r="AI118" s="695"/>
      <c r="AJ118" s="695"/>
      <c r="AK118" s="695"/>
      <c r="AL118" s="695"/>
      <c r="AM118" s="695"/>
      <c r="AN118" s="695"/>
      <c r="AO118" s="695"/>
      <c r="AP118" s="695"/>
      <c r="AQ118" s="695"/>
      <c r="AR118" s="695"/>
    </row>
    <row r="119" spans="1:44" x14ac:dyDescent="0.25">
      <c r="A119" s="695"/>
      <c r="B119" s="695"/>
      <c r="C119" s="695"/>
      <c r="D119" s="695"/>
      <c r="E119" s="695"/>
      <c r="F119" s="695"/>
      <c r="G119" s="695"/>
      <c r="H119" s="695"/>
      <c r="I119" s="695"/>
      <c r="J119" s="695"/>
      <c r="K119" s="695"/>
      <c r="L119" s="695"/>
      <c r="M119" s="695"/>
      <c r="N119" s="695"/>
      <c r="O119" s="695"/>
      <c r="P119" s="695"/>
      <c r="Q119" s="695"/>
      <c r="R119" s="695"/>
      <c r="S119" s="695"/>
      <c r="T119" s="695"/>
      <c r="U119" s="695"/>
      <c r="V119" s="695"/>
      <c r="W119" s="695"/>
      <c r="X119" s="695"/>
      <c r="Y119" s="695"/>
      <c r="Z119" s="695"/>
      <c r="AA119" s="695"/>
      <c r="AB119" s="695"/>
      <c r="AC119" s="695"/>
      <c r="AD119" s="695"/>
      <c r="AE119" s="695"/>
      <c r="AF119" s="695"/>
      <c r="AG119" s="695"/>
      <c r="AH119" s="695"/>
      <c r="AI119" s="695"/>
      <c r="AJ119" s="695"/>
      <c r="AK119" s="695"/>
      <c r="AL119" s="695"/>
      <c r="AM119" s="695"/>
      <c r="AN119" s="695"/>
      <c r="AO119" s="695"/>
      <c r="AP119" s="695"/>
      <c r="AQ119" s="695"/>
      <c r="AR119" s="695"/>
    </row>
    <row r="120" spans="1:44" x14ac:dyDescent="0.25">
      <c r="A120" s="695"/>
      <c r="B120" s="695"/>
      <c r="C120" s="695"/>
      <c r="D120" s="695"/>
      <c r="E120" s="695"/>
      <c r="F120" s="695"/>
      <c r="G120" s="695"/>
      <c r="H120" s="695"/>
      <c r="I120" s="695"/>
      <c r="J120" s="695"/>
      <c r="K120" s="695"/>
      <c r="L120" s="695"/>
      <c r="M120" s="695"/>
      <c r="N120" s="695"/>
      <c r="O120" s="695"/>
      <c r="P120" s="695"/>
      <c r="Q120" s="695"/>
      <c r="R120" s="695"/>
      <c r="S120" s="695"/>
      <c r="T120" s="695"/>
      <c r="U120" s="695"/>
      <c r="V120" s="695"/>
      <c r="W120" s="695"/>
      <c r="X120" s="695"/>
      <c r="Y120" s="695"/>
      <c r="Z120" s="695"/>
      <c r="AA120" s="695"/>
      <c r="AB120" s="695"/>
      <c r="AC120" s="695"/>
      <c r="AD120" s="695"/>
      <c r="AE120" s="695"/>
      <c r="AF120" s="695"/>
      <c r="AG120" s="695"/>
      <c r="AH120" s="695"/>
      <c r="AI120" s="695"/>
      <c r="AJ120" s="695"/>
      <c r="AK120" s="695"/>
      <c r="AL120" s="695"/>
      <c r="AM120" s="695"/>
      <c r="AN120" s="695"/>
      <c r="AO120" s="695"/>
      <c r="AP120" s="695"/>
      <c r="AQ120" s="695"/>
      <c r="AR120" s="695"/>
    </row>
    <row r="121" spans="1:44" x14ac:dyDescent="0.25">
      <c r="A121" s="695"/>
      <c r="B121" s="695"/>
      <c r="C121" s="695"/>
      <c r="D121" s="695"/>
      <c r="E121" s="695"/>
      <c r="F121" s="695"/>
      <c r="G121" s="695"/>
      <c r="H121" s="695"/>
      <c r="I121" s="695"/>
      <c r="J121" s="695"/>
      <c r="K121" s="695"/>
      <c r="L121" s="695"/>
      <c r="M121" s="695"/>
      <c r="N121" s="695"/>
      <c r="O121" s="695"/>
      <c r="P121" s="695"/>
      <c r="Q121" s="695"/>
      <c r="R121" s="695"/>
      <c r="S121" s="695"/>
      <c r="T121" s="695"/>
      <c r="U121" s="695"/>
      <c r="V121" s="695"/>
      <c r="W121" s="695"/>
      <c r="X121" s="695"/>
      <c r="Y121" s="695"/>
      <c r="Z121" s="695"/>
      <c r="AA121" s="695"/>
      <c r="AB121" s="695"/>
      <c r="AC121" s="695"/>
      <c r="AD121" s="695"/>
      <c r="AE121" s="695"/>
      <c r="AF121" s="695"/>
      <c r="AG121" s="695"/>
      <c r="AH121" s="695"/>
      <c r="AI121" s="695"/>
      <c r="AJ121" s="695"/>
      <c r="AK121" s="695"/>
      <c r="AL121" s="695"/>
      <c r="AM121" s="695"/>
      <c r="AN121" s="695"/>
      <c r="AO121" s="695"/>
      <c r="AP121" s="695"/>
      <c r="AQ121" s="695"/>
      <c r="AR121" s="695"/>
    </row>
    <row r="122" spans="1:44" x14ac:dyDescent="0.25">
      <c r="A122" s="695"/>
      <c r="B122" s="695"/>
      <c r="C122" s="695"/>
      <c r="D122" s="695"/>
      <c r="E122" s="695"/>
      <c r="F122" s="695"/>
      <c r="G122" s="695"/>
      <c r="H122" s="695"/>
      <c r="I122" s="695"/>
      <c r="J122" s="695"/>
      <c r="K122" s="695"/>
      <c r="L122" s="695"/>
      <c r="M122" s="695"/>
      <c r="N122" s="695"/>
      <c r="O122" s="695"/>
      <c r="P122" s="695"/>
      <c r="Q122" s="695"/>
      <c r="R122" s="695"/>
      <c r="S122" s="695"/>
      <c r="T122" s="695"/>
      <c r="U122" s="695"/>
      <c r="V122" s="695"/>
      <c r="W122" s="695"/>
      <c r="X122" s="695"/>
      <c r="Y122" s="695"/>
      <c r="Z122" s="695"/>
      <c r="AA122" s="695"/>
      <c r="AB122" s="695"/>
      <c r="AC122" s="695"/>
      <c r="AD122" s="695"/>
      <c r="AE122" s="695"/>
      <c r="AF122" s="695"/>
      <c r="AG122" s="695"/>
      <c r="AH122" s="695"/>
      <c r="AI122" s="695"/>
      <c r="AJ122" s="695"/>
      <c r="AK122" s="695"/>
      <c r="AL122" s="695"/>
      <c r="AM122" s="695"/>
      <c r="AN122" s="695"/>
      <c r="AO122" s="695"/>
      <c r="AP122" s="695"/>
      <c r="AQ122" s="695"/>
      <c r="AR122" s="695"/>
    </row>
    <row r="123" spans="1:44" x14ac:dyDescent="0.25">
      <c r="A123" s="695"/>
      <c r="B123" s="695"/>
      <c r="C123" s="695"/>
      <c r="D123" s="695"/>
      <c r="E123" s="695"/>
      <c r="F123" s="695"/>
      <c r="G123" s="695"/>
      <c r="H123" s="695"/>
      <c r="I123" s="695"/>
      <c r="J123" s="695"/>
      <c r="K123" s="695"/>
      <c r="L123" s="695"/>
      <c r="M123" s="695"/>
      <c r="N123" s="695"/>
      <c r="O123" s="695"/>
      <c r="P123" s="695"/>
      <c r="Q123" s="695"/>
      <c r="R123" s="695"/>
      <c r="S123" s="695"/>
      <c r="T123" s="695"/>
      <c r="U123" s="695"/>
      <c r="V123" s="695"/>
      <c r="W123" s="695"/>
      <c r="X123" s="695"/>
      <c r="Y123" s="695"/>
      <c r="Z123" s="695"/>
      <c r="AA123" s="695"/>
      <c r="AB123" s="695"/>
      <c r="AC123" s="695"/>
      <c r="AD123" s="695"/>
      <c r="AE123" s="695"/>
      <c r="AF123" s="695"/>
      <c r="AG123" s="695"/>
      <c r="AH123" s="695"/>
      <c r="AI123" s="695"/>
      <c r="AJ123" s="695"/>
      <c r="AK123" s="695"/>
      <c r="AL123" s="695"/>
      <c r="AM123" s="695"/>
      <c r="AN123" s="695"/>
      <c r="AO123" s="695"/>
      <c r="AP123" s="695"/>
      <c r="AQ123" s="695"/>
      <c r="AR123" s="695"/>
    </row>
    <row r="124" spans="1:44" x14ac:dyDescent="0.25">
      <c r="A124" s="695"/>
      <c r="B124" s="695"/>
      <c r="C124" s="695"/>
      <c r="D124" s="695"/>
      <c r="E124" s="695"/>
      <c r="F124" s="695"/>
      <c r="G124" s="695"/>
      <c r="H124" s="695"/>
      <c r="I124" s="695"/>
      <c r="J124" s="695"/>
      <c r="K124" s="695"/>
      <c r="L124" s="695"/>
      <c r="M124" s="695"/>
      <c r="N124" s="695"/>
      <c r="O124" s="695"/>
      <c r="P124" s="695"/>
      <c r="Q124" s="695"/>
      <c r="R124" s="695"/>
      <c r="S124" s="695"/>
      <c r="T124" s="695"/>
      <c r="U124" s="695"/>
      <c r="V124" s="695"/>
      <c r="W124" s="695"/>
      <c r="X124" s="695"/>
      <c r="Y124" s="695"/>
      <c r="Z124" s="695"/>
      <c r="AA124" s="695"/>
      <c r="AB124" s="695"/>
      <c r="AC124" s="695"/>
      <c r="AD124" s="695"/>
      <c r="AE124" s="695"/>
      <c r="AF124" s="695"/>
      <c r="AG124" s="695"/>
      <c r="AH124" s="695"/>
      <c r="AI124" s="695"/>
      <c r="AJ124" s="695"/>
      <c r="AK124" s="695"/>
      <c r="AL124" s="695"/>
      <c r="AM124" s="695"/>
      <c r="AN124" s="695"/>
      <c r="AO124" s="695"/>
      <c r="AP124" s="695"/>
      <c r="AQ124" s="695"/>
      <c r="AR124" s="695"/>
    </row>
    <row r="125" spans="1:44" x14ac:dyDescent="0.25">
      <c r="A125" s="695"/>
      <c r="B125" s="695"/>
      <c r="C125" s="695"/>
      <c r="D125" s="695"/>
      <c r="E125" s="695"/>
      <c r="F125" s="695"/>
      <c r="G125" s="695"/>
      <c r="H125" s="695"/>
      <c r="I125" s="695"/>
      <c r="J125" s="695"/>
      <c r="K125" s="695"/>
      <c r="L125" s="695"/>
      <c r="M125" s="695"/>
      <c r="N125" s="695"/>
      <c r="O125" s="695"/>
      <c r="P125" s="695"/>
      <c r="Q125" s="695"/>
      <c r="R125" s="695"/>
      <c r="S125" s="695"/>
      <c r="T125" s="695"/>
      <c r="U125" s="695"/>
      <c r="V125" s="695"/>
      <c r="W125" s="695"/>
      <c r="X125" s="695"/>
      <c r="Y125" s="695"/>
      <c r="Z125" s="695"/>
      <c r="AA125" s="695"/>
      <c r="AB125" s="695"/>
      <c r="AC125" s="695"/>
      <c r="AD125" s="695"/>
      <c r="AE125" s="695"/>
      <c r="AF125" s="695"/>
      <c r="AG125" s="695"/>
      <c r="AH125" s="695"/>
      <c r="AI125" s="695"/>
      <c r="AJ125" s="695"/>
      <c r="AK125" s="695"/>
      <c r="AL125" s="695"/>
      <c r="AM125" s="695"/>
      <c r="AN125" s="695"/>
      <c r="AO125" s="695"/>
      <c r="AP125" s="695"/>
      <c r="AQ125" s="695"/>
      <c r="AR125" s="695"/>
    </row>
    <row r="126" spans="1:44" x14ac:dyDescent="0.25">
      <c r="A126" s="695"/>
      <c r="B126" s="695"/>
      <c r="C126" s="695"/>
      <c r="D126" s="695"/>
      <c r="E126" s="695"/>
      <c r="F126" s="695"/>
      <c r="G126" s="695"/>
      <c r="H126" s="695"/>
      <c r="I126" s="695"/>
      <c r="J126" s="695"/>
      <c r="K126" s="695"/>
      <c r="L126" s="695"/>
      <c r="M126" s="695"/>
      <c r="N126" s="695"/>
      <c r="O126" s="695"/>
      <c r="P126" s="695"/>
      <c r="Q126" s="695"/>
      <c r="R126" s="695"/>
      <c r="S126" s="695"/>
      <c r="T126" s="695"/>
      <c r="U126" s="695"/>
      <c r="V126" s="695"/>
      <c r="W126" s="695"/>
      <c r="X126" s="695"/>
      <c r="Y126" s="695"/>
      <c r="Z126" s="695"/>
      <c r="AA126" s="695"/>
      <c r="AB126" s="695"/>
      <c r="AC126" s="695"/>
      <c r="AD126" s="695"/>
      <c r="AE126" s="695"/>
      <c r="AF126" s="695"/>
      <c r="AG126" s="695"/>
      <c r="AH126" s="695"/>
      <c r="AI126" s="695"/>
      <c r="AJ126" s="695"/>
      <c r="AK126" s="695"/>
      <c r="AL126" s="695"/>
      <c r="AM126" s="695"/>
      <c r="AN126" s="695"/>
      <c r="AO126" s="695"/>
      <c r="AP126" s="695"/>
      <c r="AQ126" s="695"/>
      <c r="AR126" s="695"/>
    </row>
    <row r="127" spans="1:44" x14ac:dyDescent="0.25">
      <c r="A127" s="695"/>
      <c r="B127" s="695"/>
      <c r="C127" s="695"/>
      <c r="D127" s="695"/>
      <c r="E127" s="695"/>
      <c r="F127" s="695"/>
      <c r="G127" s="695"/>
      <c r="H127" s="695"/>
      <c r="I127" s="695"/>
      <c r="J127" s="695"/>
      <c r="K127" s="695"/>
      <c r="L127" s="695"/>
      <c r="M127" s="695"/>
      <c r="N127" s="695"/>
      <c r="O127" s="695"/>
      <c r="P127" s="695"/>
      <c r="Q127" s="695"/>
      <c r="R127" s="695"/>
      <c r="S127" s="695"/>
      <c r="T127" s="695"/>
      <c r="U127" s="695"/>
      <c r="V127" s="695"/>
      <c r="W127" s="695"/>
      <c r="X127" s="695"/>
      <c r="Y127" s="695"/>
      <c r="Z127" s="695"/>
      <c r="AA127" s="695"/>
      <c r="AB127" s="695"/>
      <c r="AC127" s="695"/>
      <c r="AD127" s="695"/>
      <c r="AE127" s="695"/>
      <c r="AF127" s="695"/>
      <c r="AG127" s="695"/>
      <c r="AH127" s="695"/>
      <c r="AI127" s="695"/>
      <c r="AJ127" s="695"/>
      <c r="AK127" s="695"/>
      <c r="AL127" s="695"/>
      <c r="AM127" s="695"/>
      <c r="AN127" s="695"/>
      <c r="AO127" s="695"/>
      <c r="AP127" s="695"/>
      <c r="AQ127" s="695"/>
      <c r="AR127" s="695"/>
    </row>
    <row r="128" spans="1:44" x14ac:dyDescent="0.25">
      <c r="A128" s="695"/>
      <c r="B128" s="695"/>
      <c r="C128" s="695"/>
      <c r="D128" s="695"/>
      <c r="E128" s="695"/>
      <c r="F128" s="695"/>
      <c r="G128" s="695"/>
      <c r="H128" s="695"/>
      <c r="I128" s="695"/>
      <c r="J128" s="695"/>
      <c r="K128" s="695"/>
      <c r="L128" s="695"/>
      <c r="M128" s="695"/>
      <c r="N128" s="695"/>
      <c r="O128" s="695"/>
      <c r="P128" s="695"/>
      <c r="Q128" s="695"/>
      <c r="R128" s="695"/>
      <c r="S128" s="695"/>
      <c r="T128" s="695"/>
      <c r="U128" s="695"/>
      <c r="V128" s="695"/>
      <c r="W128" s="695"/>
      <c r="X128" s="695"/>
      <c r="Y128" s="695"/>
      <c r="Z128" s="695"/>
      <c r="AA128" s="695"/>
      <c r="AB128" s="695"/>
      <c r="AC128" s="695"/>
      <c r="AD128" s="695"/>
      <c r="AE128" s="695"/>
      <c r="AF128" s="695"/>
      <c r="AG128" s="695"/>
      <c r="AH128" s="695"/>
      <c r="AI128" s="695"/>
      <c r="AJ128" s="695"/>
      <c r="AK128" s="695"/>
      <c r="AL128" s="695"/>
      <c r="AM128" s="695"/>
      <c r="AN128" s="695"/>
      <c r="AO128" s="695"/>
      <c r="AP128" s="695"/>
      <c r="AQ128" s="695"/>
      <c r="AR128" s="695"/>
    </row>
    <row r="129" spans="1:44" x14ac:dyDescent="0.25">
      <c r="A129" s="695"/>
      <c r="B129" s="695"/>
      <c r="C129" s="695"/>
      <c r="D129" s="695"/>
      <c r="E129" s="695"/>
      <c r="F129" s="695"/>
      <c r="G129" s="695"/>
      <c r="H129" s="695"/>
      <c r="I129" s="695"/>
      <c r="J129" s="695"/>
      <c r="K129" s="695"/>
      <c r="L129" s="695"/>
      <c r="M129" s="695"/>
      <c r="N129" s="695"/>
      <c r="O129" s="695"/>
      <c r="P129" s="695"/>
      <c r="Q129" s="695"/>
      <c r="R129" s="695"/>
      <c r="S129" s="695"/>
      <c r="T129" s="695"/>
      <c r="U129" s="695"/>
      <c r="V129" s="695"/>
      <c r="W129" s="695"/>
      <c r="X129" s="695"/>
      <c r="Y129" s="695"/>
      <c r="Z129" s="695"/>
      <c r="AA129" s="695"/>
      <c r="AB129" s="695"/>
      <c r="AC129" s="695"/>
      <c r="AD129" s="695"/>
      <c r="AE129" s="695"/>
      <c r="AF129" s="695"/>
      <c r="AG129" s="695"/>
      <c r="AH129" s="695"/>
      <c r="AI129" s="695"/>
      <c r="AJ129" s="695"/>
      <c r="AK129" s="695"/>
      <c r="AL129" s="695"/>
      <c r="AM129" s="695"/>
      <c r="AN129" s="695"/>
      <c r="AO129" s="695"/>
      <c r="AP129" s="695"/>
      <c r="AQ129" s="695"/>
      <c r="AR129" s="695"/>
    </row>
    <row r="130" spans="1:44" x14ac:dyDescent="0.25">
      <c r="A130" s="695"/>
      <c r="B130" s="695"/>
      <c r="C130" s="695"/>
      <c r="D130" s="695"/>
      <c r="E130" s="695"/>
      <c r="F130" s="695"/>
      <c r="G130" s="695"/>
      <c r="H130" s="695"/>
      <c r="I130" s="695"/>
      <c r="J130" s="695"/>
      <c r="K130" s="695"/>
      <c r="L130" s="695"/>
      <c r="M130" s="695"/>
      <c r="N130" s="695"/>
      <c r="O130" s="695"/>
      <c r="P130" s="695"/>
      <c r="Q130" s="695"/>
      <c r="R130" s="695"/>
      <c r="S130" s="695"/>
      <c r="T130" s="695"/>
      <c r="U130" s="695"/>
      <c r="V130" s="695"/>
      <c r="W130" s="695"/>
      <c r="X130" s="695"/>
      <c r="Y130" s="695"/>
      <c r="Z130" s="695"/>
      <c r="AA130" s="695"/>
      <c r="AB130" s="695"/>
      <c r="AC130" s="695"/>
      <c r="AD130" s="695"/>
      <c r="AE130" s="695"/>
      <c r="AF130" s="695"/>
      <c r="AG130" s="695"/>
      <c r="AH130" s="695"/>
      <c r="AI130" s="695"/>
      <c r="AJ130" s="695"/>
      <c r="AK130" s="695"/>
      <c r="AL130" s="695"/>
      <c r="AM130" s="695"/>
      <c r="AN130" s="695"/>
      <c r="AO130" s="695"/>
      <c r="AP130" s="695"/>
      <c r="AQ130" s="695"/>
      <c r="AR130" s="695"/>
    </row>
    <row r="131" spans="1:44" x14ac:dyDescent="0.25">
      <c r="A131" s="695"/>
      <c r="B131" s="695"/>
      <c r="C131" s="695"/>
      <c r="D131" s="695"/>
      <c r="E131" s="695"/>
      <c r="F131" s="695"/>
      <c r="G131" s="695"/>
      <c r="H131" s="695"/>
      <c r="I131" s="695"/>
      <c r="J131" s="695"/>
      <c r="K131" s="695"/>
      <c r="L131" s="695"/>
      <c r="M131" s="695"/>
      <c r="N131" s="695"/>
      <c r="O131" s="695"/>
      <c r="P131" s="695"/>
      <c r="Q131" s="695"/>
      <c r="R131" s="695"/>
      <c r="S131" s="695"/>
      <c r="T131" s="695"/>
      <c r="U131" s="695"/>
      <c r="V131" s="695"/>
      <c r="W131" s="695"/>
      <c r="X131" s="695"/>
      <c r="Y131" s="695"/>
      <c r="Z131" s="695"/>
      <c r="AA131" s="695"/>
      <c r="AB131" s="695"/>
      <c r="AC131" s="695"/>
      <c r="AD131" s="695"/>
      <c r="AE131" s="695"/>
      <c r="AF131" s="695"/>
      <c r="AG131" s="695"/>
      <c r="AH131" s="695"/>
      <c r="AI131" s="695"/>
      <c r="AJ131" s="695"/>
      <c r="AK131" s="695"/>
      <c r="AL131" s="695"/>
      <c r="AM131" s="695"/>
      <c r="AN131" s="695"/>
      <c r="AO131" s="695"/>
      <c r="AP131" s="695"/>
      <c r="AQ131" s="695"/>
      <c r="AR131" s="695"/>
    </row>
    <row r="132" spans="1:44" x14ac:dyDescent="0.25">
      <c r="A132" s="695"/>
      <c r="B132" s="695"/>
      <c r="C132" s="695"/>
      <c r="D132" s="695"/>
      <c r="E132" s="695"/>
      <c r="F132" s="695"/>
      <c r="G132" s="695"/>
      <c r="H132" s="695"/>
      <c r="I132" s="695"/>
      <c r="J132" s="695"/>
      <c r="K132" s="695"/>
      <c r="L132" s="695"/>
      <c r="M132" s="695"/>
      <c r="N132" s="695"/>
      <c r="O132" s="695"/>
      <c r="P132" s="695"/>
      <c r="Q132" s="695"/>
      <c r="R132" s="695"/>
      <c r="S132" s="695"/>
      <c r="T132" s="695"/>
      <c r="U132" s="695"/>
      <c r="V132" s="695"/>
      <c r="W132" s="695"/>
      <c r="X132" s="695"/>
      <c r="Y132" s="695"/>
      <c r="Z132" s="695"/>
      <c r="AA132" s="695"/>
      <c r="AB132" s="695"/>
      <c r="AC132" s="695"/>
      <c r="AD132" s="695"/>
      <c r="AE132" s="695"/>
      <c r="AF132" s="695"/>
      <c r="AG132" s="695"/>
      <c r="AH132" s="695"/>
      <c r="AI132" s="695"/>
      <c r="AJ132" s="695"/>
      <c r="AK132" s="695"/>
      <c r="AL132" s="695"/>
      <c r="AM132" s="695"/>
      <c r="AN132" s="695"/>
      <c r="AO132" s="695"/>
      <c r="AP132" s="695"/>
      <c r="AQ132" s="695"/>
      <c r="AR132" s="695"/>
    </row>
    <row r="133" spans="1:44" x14ac:dyDescent="0.25">
      <c r="A133" s="695"/>
      <c r="B133" s="695"/>
      <c r="C133" s="695"/>
      <c r="D133" s="695"/>
      <c r="E133" s="695"/>
      <c r="F133" s="695"/>
      <c r="G133" s="695"/>
      <c r="H133" s="695"/>
      <c r="I133" s="695"/>
      <c r="J133" s="695"/>
      <c r="K133" s="695"/>
      <c r="L133" s="695"/>
      <c r="M133" s="695"/>
      <c r="N133" s="695"/>
      <c r="O133" s="695"/>
      <c r="P133" s="695"/>
      <c r="Q133" s="695"/>
      <c r="R133" s="695"/>
      <c r="S133" s="695"/>
      <c r="T133" s="695"/>
      <c r="U133" s="695"/>
      <c r="V133" s="695"/>
      <c r="W133" s="695"/>
      <c r="X133" s="695"/>
      <c r="Y133" s="695"/>
      <c r="Z133" s="695"/>
      <c r="AA133" s="695"/>
      <c r="AB133" s="695"/>
      <c r="AC133" s="695"/>
      <c r="AD133" s="695"/>
      <c r="AE133" s="695"/>
      <c r="AF133" s="695"/>
      <c r="AG133" s="695"/>
      <c r="AH133" s="695"/>
      <c r="AI133" s="695"/>
      <c r="AJ133" s="695"/>
      <c r="AK133" s="695"/>
      <c r="AL133" s="695"/>
      <c r="AM133" s="695"/>
      <c r="AN133" s="695"/>
      <c r="AO133" s="695"/>
      <c r="AP133" s="695"/>
      <c r="AQ133" s="695"/>
      <c r="AR133" s="695"/>
    </row>
    <row r="134" spans="1:44" x14ac:dyDescent="0.25">
      <c r="A134" s="695"/>
      <c r="B134" s="695"/>
      <c r="C134" s="695"/>
      <c r="D134" s="695"/>
      <c r="E134" s="695"/>
      <c r="F134" s="695"/>
      <c r="G134" s="695"/>
      <c r="H134" s="695"/>
      <c r="I134" s="695"/>
      <c r="J134" s="695"/>
      <c r="K134" s="695"/>
      <c r="L134" s="695"/>
      <c r="M134" s="695"/>
      <c r="N134" s="695"/>
      <c r="O134" s="695"/>
      <c r="P134" s="695"/>
      <c r="Q134" s="695"/>
      <c r="R134" s="695"/>
      <c r="S134" s="695"/>
      <c r="T134" s="695"/>
      <c r="U134" s="695"/>
      <c r="V134" s="695"/>
      <c r="W134" s="695"/>
      <c r="X134" s="695"/>
      <c r="Y134" s="695"/>
      <c r="Z134" s="695"/>
      <c r="AA134" s="695"/>
      <c r="AB134" s="695"/>
      <c r="AC134" s="695"/>
      <c r="AD134" s="695"/>
      <c r="AE134" s="695"/>
      <c r="AF134" s="695"/>
      <c r="AG134" s="695"/>
      <c r="AH134" s="695"/>
      <c r="AI134" s="695"/>
      <c r="AJ134" s="695"/>
      <c r="AK134" s="695"/>
      <c r="AL134" s="695"/>
      <c r="AM134" s="695"/>
      <c r="AN134" s="695"/>
      <c r="AO134" s="695"/>
      <c r="AP134" s="695"/>
      <c r="AQ134" s="695"/>
      <c r="AR134" s="695"/>
    </row>
    <row r="135" spans="1:44" x14ac:dyDescent="0.25">
      <c r="A135" s="695"/>
      <c r="B135" s="695"/>
      <c r="C135" s="695"/>
      <c r="D135" s="695"/>
      <c r="E135" s="695"/>
      <c r="F135" s="695"/>
      <c r="G135" s="695"/>
      <c r="H135" s="695"/>
      <c r="I135" s="695"/>
      <c r="J135" s="695"/>
      <c r="K135" s="695"/>
      <c r="L135" s="695"/>
      <c r="M135" s="695"/>
      <c r="N135" s="695"/>
      <c r="O135" s="695"/>
      <c r="P135" s="695"/>
      <c r="Q135" s="695"/>
      <c r="R135" s="695"/>
      <c r="S135" s="695"/>
      <c r="T135" s="695"/>
      <c r="U135" s="695"/>
      <c r="V135" s="695"/>
      <c r="W135" s="695"/>
      <c r="X135" s="695"/>
      <c r="Y135" s="695"/>
      <c r="Z135" s="695"/>
      <c r="AA135" s="695"/>
      <c r="AB135" s="695"/>
      <c r="AC135" s="695"/>
      <c r="AD135" s="695"/>
      <c r="AE135" s="695"/>
      <c r="AF135" s="695"/>
      <c r="AG135" s="695"/>
      <c r="AH135" s="695"/>
      <c r="AI135" s="695"/>
      <c r="AJ135" s="695"/>
      <c r="AK135" s="695"/>
      <c r="AL135" s="695"/>
      <c r="AM135" s="695"/>
      <c r="AN135" s="695"/>
      <c r="AO135" s="695"/>
      <c r="AP135" s="695"/>
      <c r="AQ135" s="695"/>
      <c r="AR135" s="695"/>
    </row>
    <row r="136" spans="1:44" x14ac:dyDescent="0.25">
      <c r="A136" s="695"/>
      <c r="B136" s="695"/>
      <c r="C136" s="695"/>
      <c r="D136" s="695"/>
      <c r="E136" s="695"/>
      <c r="F136" s="695"/>
      <c r="G136" s="695"/>
      <c r="H136" s="695"/>
      <c r="I136" s="695"/>
      <c r="J136" s="695"/>
      <c r="K136" s="695"/>
      <c r="L136" s="695"/>
      <c r="M136" s="695"/>
      <c r="N136" s="695"/>
      <c r="O136" s="695"/>
      <c r="P136" s="695"/>
      <c r="Q136" s="695"/>
      <c r="R136" s="695"/>
      <c r="S136" s="695"/>
      <c r="T136" s="695"/>
      <c r="U136" s="695"/>
      <c r="V136" s="695"/>
      <c r="W136" s="695"/>
      <c r="X136" s="695"/>
      <c r="Y136" s="695"/>
      <c r="Z136" s="695"/>
      <c r="AA136" s="695"/>
      <c r="AB136" s="695"/>
      <c r="AC136" s="695"/>
      <c r="AD136" s="695"/>
      <c r="AE136" s="695"/>
      <c r="AF136" s="695"/>
      <c r="AG136" s="695"/>
      <c r="AH136" s="695"/>
      <c r="AI136" s="695"/>
      <c r="AJ136" s="695"/>
      <c r="AK136" s="695"/>
      <c r="AL136" s="695"/>
      <c r="AM136" s="695"/>
      <c r="AN136" s="695"/>
      <c r="AO136" s="695"/>
      <c r="AP136" s="695"/>
      <c r="AQ136" s="695"/>
      <c r="AR136" s="695"/>
    </row>
    <row r="137" spans="1:44" x14ac:dyDescent="0.25">
      <c r="E137" s="30"/>
      <c r="F137" s="30"/>
      <c r="G137" s="30"/>
      <c r="I137" s="30"/>
    </row>
    <row r="138" spans="1:44" x14ac:dyDescent="0.25">
      <c r="E138" s="30"/>
      <c r="F138" s="30"/>
      <c r="G138" s="30"/>
      <c r="I138" s="30"/>
    </row>
    <row r="139" spans="1:44" x14ac:dyDescent="0.25">
      <c r="E139" s="30"/>
      <c r="F139" s="30"/>
      <c r="G139" s="30"/>
      <c r="I139" s="30"/>
    </row>
  </sheetData>
  <sheetProtection password="BCD8" sheet="1" objects="1" scenarios="1"/>
  <phoneticPr fontId="0" type="noConversion"/>
  <pageMargins left="0.55000000000000004" right="0.45" top="0.63" bottom="0.45" header="0.36" footer="0.26"/>
  <pageSetup paperSize="9" scale="91"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asicmenubutton">
              <controlPr defaultSize="0" print="0" autoFill="0" autoPict="0" macro="[0]!goto_home">
                <anchor moveWithCells="1" sizeWithCells="1">
                  <from>
                    <xdr:col>0</xdr:col>
                    <xdr:colOff>177800</xdr:colOff>
                    <xdr:row>0</xdr:row>
                    <xdr:rowOff>107950</xdr:rowOff>
                  </from>
                  <to>
                    <xdr:col>0</xdr:col>
                    <xdr:colOff>977900</xdr:colOff>
                    <xdr:row>2</xdr:row>
                    <xdr:rowOff>76200</xdr:rowOff>
                  </to>
                </anchor>
              </controlPr>
            </control>
          </mc:Choice>
        </mc:AlternateContent>
        <mc:AlternateContent xmlns:mc="http://schemas.openxmlformats.org/markup-compatibility/2006">
          <mc:Choice Requires="x14">
            <control shapeId="48130" r:id="rId5" name="Button 2">
              <controlPr defaultSize="0" print="0" autoFill="0" autoPict="0" macro="[0]!goto_basic">
                <anchor moveWithCells="1" sizeWithCells="1">
                  <from>
                    <xdr:col>10</xdr:col>
                    <xdr:colOff>196850</xdr:colOff>
                    <xdr:row>0</xdr:row>
                    <xdr:rowOff>158750</xdr:rowOff>
                  </from>
                  <to>
                    <xdr:col>12</xdr:col>
                    <xdr:colOff>279400</xdr:colOff>
                    <xdr:row>3</xdr:row>
                    <xdr:rowOff>44450</xdr:rowOff>
                  </to>
                </anchor>
              </controlPr>
            </control>
          </mc:Choice>
        </mc:AlternateContent>
        <mc:AlternateContent xmlns:mc="http://schemas.openxmlformats.org/markup-compatibility/2006">
          <mc:Choice Requires="x14">
            <control shapeId="48131" r:id="rId6" name="Button 3">
              <controlPr defaultSize="0" print="0" autoFill="0" autoPict="0" macro="[0]!PrintThis">
                <anchor moveWithCells="1" sizeWithCells="1">
                  <from>
                    <xdr:col>10</xdr:col>
                    <xdr:colOff>196850</xdr:colOff>
                    <xdr:row>3</xdr:row>
                    <xdr:rowOff>69850</xdr:rowOff>
                  </from>
                  <to>
                    <xdr:col>12</xdr:col>
                    <xdr:colOff>279400</xdr:colOff>
                    <xdr:row>6</xdr:row>
                    <xdr:rowOff>6350</xdr:rowOff>
                  </to>
                </anchor>
              </controlPr>
            </control>
          </mc:Choice>
        </mc:AlternateContent>
        <mc:AlternateContent xmlns:mc="http://schemas.openxmlformats.org/markup-compatibility/2006">
          <mc:Choice Requires="x14">
            <control shapeId="48132" r:id="rId7" name="Button 4">
              <controlPr defaultSize="0" print="0" autoFill="0" autoPict="0" macro="[0]!goto_basic_analysis_revised">
                <anchor moveWithCells="1" sizeWithCells="1">
                  <from>
                    <xdr:col>10</xdr:col>
                    <xdr:colOff>196850</xdr:colOff>
                    <xdr:row>9</xdr:row>
                    <xdr:rowOff>12700</xdr:rowOff>
                  </from>
                  <to>
                    <xdr:col>12</xdr:col>
                    <xdr:colOff>482600</xdr:colOff>
                    <xdr:row>11</xdr:row>
                    <xdr:rowOff>82550</xdr:rowOff>
                  </to>
                </anchor>
              </controlPr>
            </control>
          </mc:Choice>
        </mc:AlternateContent>
        <mc:AlternateContent xmlns:mc="http://schemas.openxmlformats.org/markup-compatibility/2006">
          <mc:Choice Requires="x14">
            <control shapeId="48133" r:id="rId8" name="tdo1">
              <controlPr defaultSize="0" print="0" autoFill="0" autoPict="0" macro="[0]!goto_trans_analysis_orig">
                <anchor moveWithCells="1" sizeWithCells="1">
                  <from>
                    <xdr:col>10</xdr:col>
                    <xdr:colOff>44450</xdr:colOff>
                    <xdr:row>12</xdr:row>
                    <xdr:rowOff>139700</xdr:rowOff>
                  </from>
                  <to>
                    <xdr:col>12</xdr:col>
                    <xdr:colOff>488950</xdr:colOff>
                    <xdr:row>14</xdr:row>
                    <xdr:rowOff>38100</xdr:rowOff>
                  </to>
                </anchor>
              </controlPr>
            </control>
          </mc:Choice>
        </mc:AlternateContent>
        <mc:AlternateContent xmlns:mc="http://schemas.openxmlformats.org/markup-compatibility/2006">
          <mc:Choice Requires="x14">
            <control shapeId="48134" r:id="rId9" name="tdo2">
              <controlPr defaultSize="0" print="0" autoFill="0" autoPict="0" macro="[0]!goto_trans_analysis_orig">
                <anchor moveWithCells="1" sizeWithCells="1">
                  <from>
                    <xdr:col>10</xdr:col>
                    <xdr:colOff>44450</xdr:colOff>
                    <xdr:row>25</xdr:row>
                    <xdr:rowOff>139700</xdr:rowOff>
                  </from>
                  <to>
                    <xdr:col>12</xdr:col>
                    <xdr:colOff>488950</xdr:colOff>
                    <xdr:row>27</xdr:row>
                    <xdr:rowOff>38100</xdr:rowOff>
                  </to>
                </anchor>
              </controlPr>
            </control>
          </mc:Choice>
        </mc:AlternateContent>
        <mc:AlternateContent xmlns:mc="http://schemas.openxmlformats.org/markup-compatibility/2006">
          <mc:Choice Requires="x14">
            <control shapeId="48135" r:id="rId10" name="tdo3">
              <controlPr defaultSize="0" print="0" autoFill="0" autoPict="0" macro="[0]!goto_trans_analysis_orig">
                <anchor moveWithCells="1" sizeWithCells="1">
                  <from>
                    <xdr:col>10</xdr:col>
                    <xdr:colOff>44450</xdr:colOff>
                    <xdr:row>38</xdr:row>
                    <xdr:rowOff>146050</xdr:rowOff>
                  </from>
                  <to>
                    <xdr:col>12</xdr:col>
                    <xdr:colOff>488950</xdr:colOff>
                    <xdr:row>40</xdr:row>
                    <xdr:rowOff>44450</xdr:rowOff>
                  </to>
                </anchor>
              </controlPr>
            </control>
          </mc:Choice>
        </mc:AlternateContent>
        <mc:AlternateContent xmlns:mc="http://schemas.openxmlformats.org/markup-compatibility/2006">
          <mc:Choice Requires="x14">
            <control shapeId="48137" r:id="rId11" name="Button 9">
              <controlPr defaultSize="0" print="0" autoFill="0" autoPict="0" macro="[0]!goto_details">
                <anchor moveWithCells="1" sizeWithCells="1">
                  <from>
                    <xdr:col>0</xdr:col>
                    <xdr:colOff>165100</xdr:colOff>
                    <xdr:row>3</xdr:row>
                    <xdr:rowOff>146050</xdr:rowOff>
                  </from>
                  <to>
                    <xdr:col>0</xdr:col>
                    <xdr:colOff>965200</xdr:colOff>
                    <xdr:row>7</xdr:row>
                    <xdr:rowOff>165100</xdr:rowOff>
                  </to>
                </anchor>
              </controlPr>
            </control>
          </mc:Choice>
        </mc:AlternateContent>
        <mc:AlternateContent xmlns:mc="http://schemas.openxmlformats.org/markup-compatibility/2006">
          <mc:Choice Requires="x14">
            <control shapeId="48142" r:id="rId12" name="Button 14">
              <controlPr defaultSize="0" print="0" autoFill="0" autoPict="0" macro="[0]!add_supp1">
                <anchor moveWithCells="1" sizeWithCells="1">
                  <from>
                    <xdr:col>8</xdr:col>
                    <xdr:colOff>831850</xdr:colOff>
                    <xdr:row>9</xdr:row>
                    <xdr:rowOff>6350</xdr:rowOff>
                  </from>
                  <to>
                    <xdr:col>9</xdr:col>
                    <xdr:colOff>266700</xdr:colOff>
                    <xdr:row>10</xdr:row>
                    <xdr:rowOff>114300</xdr:rowOff>
                  </to>
                </anchor>
              </controlPr>
            </control>
          </mc:Choice>
        </mc:AlternateContent>
        <mc:AlternateContent xmlns:mc="http://schemas.openxmlformats.org/markup-compatibility/2006">
          <mc:Choice Requires="x14">
            <control shapeId="48143" r:id="rId13" name="Button 15">
              <controlPr defaultSize="0" print="0" autoFill="0" autoPict="0" macro="[0]!add_supp2">
                <anchor moveWithCells="1" sizeWithCells="1">
                  <from>
                    <xdr:col>8</xdr:col>
                    <xdr:colOff>831850</xdr:colOff>
                    <xdr:row>22</xdr:row>
                    <xdr:rowOff>12700</xdr:rowOff>
                  </from>
                  <to>
                    <xdr:col>9</xdr:col>
                    <xdr:colOff>266700</xdr:colOff>
                    <xdr:row>23</xdr:row>
                    <xdr:rowOff>120650</xdr:rowOff>
                  </to>
                </anchor>
              </controlPr>
            </control>
          </mc:Choice>
        </mc:AlternateContent>
        <mc:AlternateContent xmlns:mc="http://schemas.openxmlformats.org/markup-compatibility/2006">
          <mc:Choice Requires="x14">
            <control shapeId="48144" r:id="rId14" name="Button 16">
              <controlPr defaultSize="0" print="0" autoFill="0" autoPict="0" macro="[0]!add_supp3">
                <anchor moveWithCells="1" sizeWithCells="1">
                  <from>
                    <xdr:col>8</xdr:col>
                    <xdr:colOff>831850</xdr:colOff>
                    <xdr:row>35</xdr:row>
                    <xdr:rowOff>31750</xdr:rowOff>
                  </from>
                  <to>
                    <xdr:col>9</xdr:col>
                    <xdr:colOff>266700</xdr:colOff>
                    <xdr:row>36</xdr:row>
                    <xdr:rowOff>139700</xdr:rowOff>
                  </to>
                </anchor>
              </controlPr>
            </control>
          </mc:Choice>
        </mc:AlternateContent>
        <mc:AlternateContent xmlns:mc="http://schemas.openxmlformats.org/markup-compatibility/2006">
          <mc:Choice Requires="x14">
            <control shapeId="48163" r:id="rId15" name="Button 35">
              <controlPr defaultSize="0" print="0" autoFill="0" autoPict="0" macro="[0]!copy_as_excel">
                <anchor moveWithCells="1" sizeWithCells="1">
                  <from>
                    <xdr:col>12</xdr:col>
                    <xdr:colOff>488950</xdr:colOff>
                    <xdr:row>3</xdr:row>
                    <xdr:rowOff>44450</xdr:rowOff>
                  </from>
                  <to>
                    <xdr:col>13</xdr:col>
                    <xdr:colOff>546100</xdr:colOff>
                    <xdr:row>6</xdr:row>
                    <xdr:rowOff>0</xdr:rowOff>
                  </to>
                </anchor>
              </controlPr>
            </control>
          </mc:Choice>
        </mc:AlternateContent>
        <mc:AlternateContent xmlns:mc="http://schemas.openxmlformats.org/markup-compatibility/2006">
          <mc:Choice Requires="x14">
            <control shapeId="48164" r:id="rId16" name="Button 36">
              <controlPr defaultSize="0" print="0" autoFill="0" autoPict="0" macro="[0]!pdflauncher">
                <anchor moveWithCells="1" sizeWithCells="1">
                  <from>
                    <xdr:col>13</xdr:col>
                    <xdr:colOff>558800</xdr:colOff>
                    <xdr:row>3</xdr:row>
                    <xdr:rowOff>44450</xdr:rowOff>
                  </from>
                  <to>
                    <xdr:col>14</xdr:col>
                    <xdr:colOff>615950</xdr:colOff>
                    <xdr:row>6</xdr:row>
                    <xdr:rowOff>0</xdr:rowOff>
                  </to>
                </anchor>
              </controlPr>
            </control>
          </mc:Choice>
        </mc:AlternateContent>
        <mc:AlternateContent xmlns:mc="http://schemas.openxmlformats.org/markup-compatibility/2006">
          <mc:Choice Requires="x14">
            <control shapeId="48165" r:id="rId17" name="Button 37">
              <controlPr defaultSize="0" print="0" autoFill="0" autoPict="0" macro="[0]!openfolder">
                <anchor moveWithCells="1" sizeWithCells="1">
                  <from>
                    <xdr:col>15</xdr:col>
                    <xdr:colOff>0</xdr:colOff>
                    <xdr:row>3</xdr:row>
                    <xdr:rowOff>44450</xdr:rowOff>
                  </from>
                  <to>
                    <xdr:col>15</xdr:col>
                    <xdr:colOff>527050</xdr:colOff>
                    <xdr:row>6</xdr:row>
                    <xdr:rowOff>0</xdr:rowOff>
                  </to>
                </anchor>
              </controlPr>
            </control>
          </mc:Choice>
        </mc:AlternateContent>
        <mc:AlternateContent xmlns:mc="http://schemas.openxmlformats.org/markup-compatibility/2006">
          <mc:Choice Requires="x14">
            <control shapeId="48166" r:id="rId18" name="Button 38">
              <controlPr defaultSize="0" print="0" autoFill="0" autoPict="0" macro="[0]!goto_folder_settings">
                <anchor moveWithCells="1" sizeWithCells="1">
                  <from>
                    <xdr:col>15</xdr:col>
                    <xdr:colOff>533400</xdr:colOff>
                    <xdr:row>3</xdr:row>
                    <xdr:rowOff>44450</xdr:rowOff>
                  </from>
                  <to>
                    <xdr:col>16</xdr:col>
                    <xdr:colOff>444500</xdr:colOff>
                    <xdr:row>6</xdr:row>
                    <xdr:rowOff>0</xdr:rowOff>
                  </to>
                </anchor>
              </controlPr>
            </control>
          </mc:Choice>
        </mc:AlternateContent>
        <mc:AlternateContent xmlns:mc="http://schemas.openxmlformats.org/markup-compatibility/2006">
          <mc:Choice Requires="x14">
            <control shapeId="48167" r:id="rId19" name="Button 39">
              <controlPr defaultSize="0" print="0" autoFill="0" autoPict="0" macro="[0]!email_pdf_launch">
                <anchor moveWithCells="1" sizeWithCells="1">
                  <from>
                    <xdr:col>14</xdr:col>
                    <xdr:colOff>76200</xdr:colOff>
                    <xdr:row>1</xdr:row>
                    <xdr:rowOff>69850</xdr:rowOff>
                  </from>
                  <to>
                    <xdr:col>15</xdr:col>
                    <xdr:colOff>139700</xdr:colOff>
                    <xdr:row>3</xdr:row>
                    <xdr:rowOff>38100</xdr:rowOff>
                  </to>
                </anchor>
              </controlPr>
            </control>
          </mc:Choice>
        </mc:AlternateContent>
        <mc:AlternateContent xmlns:mc="http://schemas.openxmlformats.org/markup-compatibility/2006">
          <mc:Choice Requires="x14">
            <control shapeId="48168" r:id="rId20" name="Button 40">
              <controlPr defaultSize="0" print="0" autoFill="0" autoPict="0" macro="[0]!email_copy_as_excel">
                <anchor moveWithCells="1" sizeWithCells="1">
                  <from>
                    <xdr:col>12</xdr:col>
                    <xdr:colOff>488950</xdr:colOff>
                    <xdr:row>1</xdr:row>
                    <xdr:rowOff>69850</xdr:rowOff>
                  </from>
                  <to>
                    <xdr:col>14</xdr:col>
                    <xdr:colOff>69850</xdr:colOff>
                    <xdr:row>3</xdr:row>
                    <xdr:rowOff>38100</xdr:rowOff>
                  </to>
                </anchor>
              </controlPr>
            </control>
          </mc:Choice>
        </mc:AlternateContent>
        <mc:AlternateContent xmlns:mc="http://schemas.openxmlformats.org/markup-compatibility/2006">
          <mc:Choice Requires="x14">
            <control shapeId="48169" r:id="rId21" name="Button 41">
              <controlPr defaultSize="0" print="0" autoFill="0" autoPict="0" macro="[0]!emailsettings">
                <anchor moveWithCells="1" sizeWithCells="1">
                  <from>
                    <xdr:col>15</xdr:col>
                    <xdr:colOff>146050</xdr:colOff>
                    <xdr:row>1</xdr:row>
                    <xdr:rowOff>69850</xdr:rowOff>
                  </from>
                  <to>
                    <xdr:col>16</xdr:col>
                    <xdr:colOff>444500</xdr:colOff>
                    <xdr:row>3</xdr:row>
                    <xdr:rowOff>38100</xdr:rowOff>
                  </to>
                </anchor>
              </controlPr>
            </control>
          </mc:Choice>
        </mc:AlternateContent>
        <mc:AlternateContent xmlns:mc="http://schemas.openxmlformats.org/markup-compatibility/2006">
          <mc:Choice Requires="x14">
            <control shapeId="48170" r:id="rId22" name="globalbacktobutton">
              <controlPr defaultSize="0" print="0" autoFill="0" autoPict="0" macro="[0]!backto">
                <anchor moveWithCells="1" sizeWithCells="1">
                  <from>
                    <xdr:col>13</xdr:col>
                    <xdr:colOff>508000</xdr:colOff>
                    <xdr:row>8</xdr:row>
                    <xdr:rowOff>114300</xdr:rowOff>
                  </from>
                  <to>
                    <xdr:col>14</xdr:col>
                    <xdr:colOff>508000</xdr:colOff>
                    <xdr:row>11</xdr:row>
                    <xdr:rowOff>101600</xdr:rowOff>
                  </to>
                </anchor>
              </controlPr>
            </control>
          </mc:Choice>
        </mc:AlternateContent>
        <mc:AlternateContent xmlns:mc="http://schemas.openxmlformats.org/markup-compatibility/2006">
          <mc:Choice Requires="x14">
            <control shapeId="48171" r:id="rId23" name="globalbacktobutton">
              <controlPr defaultSize="0" print="0" autoFill="0" autoPict="0" macro="[0]!backto">
                <anchor moveWithCells="1" sizeWithCells="1">
                  <from>
                    <xdr:col>0</xdr:col>
                    <xdr:colOff>234950</xdr:colOff>
                    <xdr:row>11</xdr:row>
                    <xdr:rowOff>31750</xdr:rowOff>
                  </from>
                  <to>
                    <xdr:col>0</xdr:col>
                    <xdr:colOff>863600</xdr:colOff>
                    <xdr:row>13</xdr:row>
                    <xdr:rowOff>139700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ACCEB-5BA4-4FE8-B57A-1B339B024FE8}">
  <sheetPr codeName="Sheet36">
    <pageSetUpPr fitToPage="1"/>
  </sheetPr>
  <dimension ref="A1:AR139"/>
  <sheetViews>
    <sheetView showGridLines="0" workbookViewId="0">
      <selection activeCell="L2" sqref="L2"/>
    </sheetView>
  </sheetViews>
  <sheetFormatPr defaultColWidth="9.08984375" defaultRowHeight="12.5" x14ac:dyDescent="0.25"/>
  <cols>
    <col min="1" max="1" width="16.6328125" style="30" customWidth="1"/>
    <col min="2" max="2" width="2.6328125" style="30" customWidth="1"/>
    <col min="3" max="3" width="10.90625" style="30" customWidth="1"/>
    <col min="4" max="4" width="24" style="30" bestFit="1" customWidth="1"/>
    <col min="5" max="5" width="12.08984375" style="698" customWidth="1"/>
    <col min="6" max="6" width="5.54296875" style="698" customWidth="1"/>
    <col min="7" max="7" width="7" style="698" customWidth="1"/>
    <col min="8" max="8" width="12.54296875" style="30" bestFit="1" customWidth="1"/>
    <col min="9" max="9" width="12.453125" style="699" customWidth="1"/>
    <col min="10" max="10" width="4.36328125" style="30" customWidth="1"/>
    <col min="11" max="11" width="5.54296875" style="30" customWidth="1"/>
    <col min="12" max="16384" width="9.08984375" style="30"/>
  </cols>
  <sheetData>
    <row r="1" spans="1:44" x14ac:dyDescent="0.25">
      <c r="A1" s="581"/>
      <c r="B1" s="705"/>
      <c r="C1" s="705"/>
      <c r="D1" s="705"/>
      <c r="E1" s="706"/>
      <c r="F1" s="706"/>
      <c r="G1" s="706"/>
      <c r="H1" s="705"/>
      <c r="I1" s="707"/>
      <c r="J1" s="705"/>
      <c r="K1" s="705"/>
      <c r="L1" s="705"/>
      <c r="M1" s="705"/>
      <c r="N1" s="705"/>
      <c r="O1" s="705"/>
      <c r="P1" s="705"/>
      <c r="Q1" s="705"/>
      <c r="R1" s="705"/>
      <c r="S1" s="705"/>
      <c r="T1" s="705"/>
      <c r="U1" s="705"/>
      <c r="V1" s="705"/>
      <c r="W1" s="705"/>
      <c r="X1" s="705"/>
      <c r="Y1" s="705"/>
      <c r="Z1" s="705"/>
      <c r="AA1" s="705"/>
      <c r="AB1" s="705"/>
      <c r="AC1" s="705"/>
      <c r="AD1" s="705"/>
      <c r="AE1" s="705"/>
      <c r="AF1" s="705"/>
      <c r="AG1" s="705"/>
      <c r="AH1" s="705"/>
      <c r="AI1" s="705"/>
      <c r="AJ1" s="705"/>
      <c r="AK1" s="705"/>
      <c r="AL1" s="705"/>
      <c r="AM1" s="705"/>
      <c r="AN1" s="705"/>
      <c r="AO1" s="705"/>
      <c r="AP1" s="705"/>
      <c r="AQ1" s="705"/>
      <c r="AR1" s="705"/>
    </row>
    <row r="2" spans="1:44" x14ac:dyDescent="0.25">
      <c r="A2" s="705"/>
      <c r="B2" s="705"/>
      <c r="C2" s="705"/>
      <c r="D2" s="705"/>
      <c r="E2" s="706"/>
      <c r="F2" s="706"/>
      <c r="G2" s="706"/>
      <c r="H2" s="705"/>
      <c r="I2" s="707"/>
      <c r="J2" s="705"/>
      <c r="K2" s="705"/>
      <c r="L2" s="705"/>
      <c r="M2" s="705"/>
      <c r="N2" s="705"/>
      <c r="O2" s="705"/>
      <c r="P2" s="705"/>
      <c r="Q2" s="705"/>
      <c r="R2" s="705"/>
      <c r="S2" s="705"/>
      <c r="T2" s="705"/>
      <c r="U2" s="705"/>
      <c r="V2" s="705"/>
      <c r="W2" s="705"/>
      <c r="X2" s="705"/>
      <c r="Y2" s="705"/>
      <c r="Z2" s="705"/>
      <c r="AA2" s="705"/>
      <c r="AB2" s="705"/>
      <c r="AC2" s="705"/>
      <c r="AD2" s="705"/>
      <c r="AE2" s="705"/>
      <c r="AF2" s="705"/>
      <c r="AG2" s="705"/>
      <c r="AH2" s="705"/>
      <c r="AI2" s="705"/>
      <c r="AJ2" s="705"/>
      <c r="AK2" s="705"/>
      <c r="AL2" s="705"/>
      <c r="AM2" s="705"/>
      <c r="AN2" s="705"/>
      <c r="AO2" s="705"/>
      <c r="AP2" s="705"/>
      <c r="AQ2" s="705"/>
      <c r="AR2" s="705"/>
    </row>
    <row r="3" spans="1:44" x14ac:dyDescent="0.25">
      <c r="A3" s="705"/>
      <c r="K3" s="705"/>
      <c r="L3" s="705"/>
      <c r="M3" s="705"/>
      <c r="N3" s="705"/>
      <c r="O3" s="705"/>
      <c r="P3" s="705"/>
      <c r="Q3" s="705"/>
      <c r="R3" s="705"/>
      <c r="S3" s="705"/>
      <c r="T3" s="705"/>
      <c r="U3" s="705"/>
      <c r="V3" s="705"/>
      <c r="W3" s="705"/>
      <c r="X3" s="705"/>
      <c r="Y3" s="705"/>
      <c r="Z3" s="705"/>
      <c r="AA3" s="705"/>
      <c r="AB3" s="705"/>
      <c r="AC3" s="705"/>
      <c r="AD3" s="705"/>
      <c r="AE3" s="705"/>
      <c r="AF3" s="705"/>
      <c r="AG3" s="705"/>
      <c r="AH3" s="705"/>
      <c r="AI3" s="705"/>
      <c r="AJ3" s="705"/>
      <c r="AK3" s="705"/>
      <c r="AL3" s="705"/>
      <c r="AM3" s="705"/>
      <c r="AN3" s="705"/>
      <c r="AO3" s="705"/>
      <c r="AP3" s="705"/>
      <c r="AQ3" s="705"/>
      <c r="AR3" s="705"/>
    </row>
    <row r="4" spans="1:44" ht="13" x14ac:dyDescent="0.3">
      <c r="A4" s="705"/>
      <c r="C4" s="291" t="str">
        <f>'basic analysis original'!C4</f>
        <v>Analysis of Liability from 01/04/2023 to 31/03/2026</v>
      </c>
      <c r="D4" s="256"/>
      <c r="E4" s="273"/>
      <c r="F4" s="273"/>
      <c r="G4" s="273"/>
      <c r="H4" s="291" t="str">
        <f>basic!D22</f>
        <v>England</v>
      </c>
      <c r="I4" s="475"/>
      <c r="K4" s="705"/>
      <c r="L4" s="705"/>
      <c r="M4" s="705"/>
      <c r="N4" s="705"/>
      <c r="O4" s="705"/>
      <c r="P4" s="705"/>
      <c r="Q4" s="705"/>
      <c r="R4" s="705"/>
      <c r="S4" s="705"/>
      <c r="T4" s="705"/>
      <c r="U4" s="705"/>
      <c r="V4" s="705"/>
      <c r="W4" s="705"/>
      <c r="X4" s="705"/>
      <c r="Y4" s="705"/>
      <c r="Z4" s="705"/>
      <c r="AA4" s="705"/>
      <c r="AB4" s="705"/>
      <c r="AC4" s="705"/>
      <c r="AD4" s="705"/>
      <c r="AE4" s="705"/>
      <c r="AF4" s="705"/>
      <c r="AG4" s="705"/>
      <c r="AH4" s="705"/>
      <c r="AI4" s="705"/>
      <c r="AJ4" s="705"/>
      <c r="AK4" s="705"/>
      <c r="AL4" s="705"/>
      <c r="AM4" s="705"/>
      <c r="AN4" s="705"/>
      <c r="AO4" s="705"/>
      <c r="AP4" s="705"/>
      <c r="AQ4" s="705"/>
      <c r="AR4" s="705"/>
    </row>
    <row r="5" spans="1:44" ht="9" customHeight="1" x14ac:dyDescent="0.3">
      <c r="A5" s="705"/>
      <c r="C5" s="291"/>
      <c r="D5" s="256"/>
      <c r="E5" s="273"/>
      <c r="F5" s="273"/>
      <c r="G5" s="273"/>
      <c r="H5" s="256"/>
      <c r="I5" s="475"/>
      <c r="K5" s="705"/>
      <c r="L5" s="705"/>
      <c r="M5" s="705"/>
      <c r="N5" s="705"/>
      <c r="O5" s="705"/>
      <c r="P5" s="705"/>
      <c r="Q5" s="705"/>
      <c r="R5" s="705"/>
      <c r="S5" s="705"/>
      <c r="T5" s="705"/>
      <c r="U5" s="705"/>
      <c r="V5" s="705"/>
      <c r="W5" s="705"/>
      <c r="X5" s="705"/>
      <c r="Y5" s="705"/>
      <c r="Z5" s="705"/>
      <c r="AA5" s="705"/>
      <c r="AB5" s="705"/>
      <c r="AC5" s="705"/>
      <c r="AD5" s="705"/>
      <c r="AE5" s="705"/>
      <c r="AF5" s="705"/>
      <c r="AG5" s="705"/>
      <c r="AH5" s="705"/>
      <c r="AI5" s="705"/>
      <c r="AJ5" s="705"/>
      <c r="AK5" s="705"/>
      <c r="AL5" s="705"/>
      <c r="AM5" s="705"/>
      <c r="AN5" s="705"/>
      <c r="AO5" s="705"/>
      <c r="AP5" s="705"/>
      <c r="AQ5" s="705"/>
      <c r="AR5" s="705"/>
    </row>
    <row r="6" spans="1:44" ht="13" x14ac:dyDescent="0.3">
      <c r="A6" s="705"/>
      <c r="C6" s="291" t="s">
        <v>667</v>
      </c>
      <c r="D6" s="291" t="str">
        <f>basic!D26</f>
        <v>Enter Address Details</v>
      </c>
      <c r="E6" s="273"/>
      <c r="F6" s="273"/>
      <c r="G6" s="273"/>
      <c r="H6" s="256"/>
      <c r="I6" s="475"/>
      <c r="K6" s="705"/>
      <c r="L6" s="705"/>
      <c r="M6" s="705"/>
      <c r="N6" s="705"/>
      <c r="O6" s="705"/>
      <c r="P6" s="705"/>
      <c r="Q6" s="705"/>
      <c r="R6" s="705"/>
      <c r="S6" s="705"/>
      <c r="T6" s="705"/>
      <c r="U6" s="705"/>
      <c r="V6" s="705"/>
      <c r="W6" s="705"/>
      <c r="X6" s="705"/>
      <c r="Y6" s="705"/>
      <c r="Z6" s="705"/>
      <c r="AA6" s="705"/>
      <c r="AB6" s="705"/>
      <c r="AC6" s="705"/>
      <c r="AD6" s="705"/>
      <c r="AE6" s="705"/>
      <c r="AF6" s="705"/>
      <c r="AG6" s="705"/>
      <c r="AH6" s="705"/>
      <c r="AI6" s="705"/>
      <c r="AJ6" s="705"/>
      <c r="AK6" s="705"/>
      <c r="AL6" s="705"/>
      <c r="AM6" s="705"/>
      <c r="AN6" s="705"/>
      <c r="AO6" s="705"/>
      <c r="AP6" s="705"/>
      <c r="AQ6" s="705"/>
      <c r="AR6" s="705"/>
    </row>
    <row r="7" spans="1:44" ht="13" x14ac:dyDescent="0.3">
      <c r="A7" s="705"/>
      <c r="C7" s="291"/>
      <c r="D7" s="291" t="str">
        <f>IF(OR(calc2!$D$62=TRUE,calc2!$D$49=TRUE),"BRS Levying Authority = "&amp;calc2!$B$62&amp;IF(AND(calc2!$D$62=TRUE,calc2!$D$49=TRUE)," and ","")&amp;calc2!B49,"")</f>
        <v/>
      </c>
      <c r="E7" s="273"/>
      <c r="F7" s="273"/>
      <c r="G7" s="273"/>
      <c r="H7" s="256"/>
      <c r="I7" s="475"/>
      <c r="K7" s="705"/>
      <c r="L7" s="705"/>
      <c r="M7" s="705"/>
      <c r="N7" s="705"/>
      <c r="O7" s="705"/>
      <c r="P7" s="705"/>
      <c r="Q7" s="705"/>
      <c r="R7" s="705"/>
      <c r="S7" s="705"/>
      <c r="T7" s="705"/>
      <c r="U7" s="705"/>
      <c r="V7" s="705"/>
      <c r="W7" s="705"/>
      <c r="X7" s="705"/>
      <c r="Y7" s="705"/>
      <c r="Z7" s="705"/>
      <c r="AA7" s="705"/>
      <c r="AB7" s="705"/>
      <c r="AC7" s="705"/>
      <c r="AD7" s="705"/>
      <c r="AE7" s="705"/>
      <c r="AF7" s="705"/>
      <c r="AG7" s="705"/>
      <c r="AH7" s="705"/>
      <c r="AI7" s="705"/>
      <c r="AJ7" s="705"/>
      <c r="AK7" s="705"/>
      <c r="AL7" s="705"/>
      <c r="AM7" s="705"/>
      <c r="AN7" s="705"/>
      <c r="AO7" s="705"/>
      <c r="AP7" s="705"/>
      <c r="AQ7" s="705"/>
      <c r="AR7" s="705"/>
    </row>
    <row r="8" spans="1:44" ht="18.75" customHeight="1" x14ac:dyDescent="0.3">
      <c r="A8" s="705"/>
      <c r="C8" s="291"/>
      <c r="D8" s="700" t="str">
        <f>IF(basic!W25=TRUE,"The Base Liability has been entered as","Base Liability = Prior List RV ( "&amp;TEXT(calc2!D15,"#,000")&amp;"  ) x "&amp;calc2!D16&amp;"  = ")</f>
        <v xml:space="preserve">Base Liability = Prior List RV ( 000  ) x 0.499  = </v>
      </c>
      <c r="E8" s="273"/>
      <c r="F8" s="273"/>
      <c r="G8" s="273"/>
      <c r="H8" s="701">
        <f>calc2!D19</f>
        <v>0</v>
      </c>
      <c r="I8" s="475"/>
      <c r="K8" s="705"/>
      <c r="L8" s="705"/>
      <c r="M8" s="705"/>
      <c r="N8" s="705"/>
      <c r="O8" s="705"/>
      <c r="P8" s="705"/>
      <c r="Q8" s="705"/>
      <c r="R8" s="705"/>
      <c r="S8" s="705"/>
      <c r="T8" s="705"/>
      <c r="U8" s="705"/>
      <c r="V8" s="705"/>
      <c r="W8" s="705"/>
      <c r="X8" s="705"/>
      <c r="Y8" s="705"/>
      <c r="Z8" s="705"/>
      <c r="AA8" s="705"/>
      <c r="AB8" s="705"/>
      <c r="AC8" s="705"/>
      <c r="AD8" s="705"/>
      <c r="AE8" s="705"/>
      <c r="AF8" s="705"/>
      <c r="AG8" s="705"/>
      <c r="AH8" s="705"/>
      <c r="AI8" s="705"/>
      <c r="AJ8" s="705"/>
      <c r="AK8" s="705"/>
      <c r="AL8" s="705"/>
      <c r="AM8" s="705"/>
      <c r="AN8" s="705"/>
      <c r="AO8" s="705"/>
      <c r="AP8" s="705"/>
      <c r="AQ8" s="705"/>
      <c r="AR8" s="705"/>
    </row>
    <row r="9" spans="1:44" ht="9.75" customHeight="1" x14ac:dyDescent="0.3">
      <c r="A9" s="705"/>
      <c r="C9" s="291"/>
      <c r="D9" s="256"/>
      <c r="E9" s="273"/>
      <c r="F9" s="273"/>
      <c r="G9" s="273"/>
      <c r="H9" s="256"/>
      <c r="I9" s="475"/>
      <c r="K9" s="705"/>
      <c r="L9" s="705"/>
      <c r="M9" s="705"/>
      <c r="N9" s="705"/>
      <c r="O9" s="705"/>
      <c r="P9" s="705"/>
      <c r="Q9" s="705"/>
      <c r="R9" s="705"/>
      <c r="S9" s="705"/>
      <c r="T9" s="705"/>
      <c r="U9" s="705"/>
      <c r="V9" s="705"/>
      <c r="W9" s="705"/>
      <c r="X9" s="705"/>
      <c r="Y9" s="705"/>
      <c r="Z9" s="705"/>
      <c r="AA9" s="705"/>
      <c r="AB9" s="705"/>
      <c r="AC9" s="705"/>
      <c r="AD9" s="705"/>
      <c r="AE9" s="705"/>
      <c r="AF9" s="705"/>
      <c r="AG9" s="705"/>
      <c r="AH9" s="705"/>
      <c r="AI9" s="705"/>
      <c r="AJ9" s="705"/>
      <c r="AK9" s="705"/>
      <c r="AL9" s="705"/>
      <c r="AM9" s="705"/>
      <c r="AN9" s="705"/>
      <c r="AO9" s="705"/>
      <c r="AP9" s="705"/>
      <c r="AQ9" s="705"/>
      <c r="AR9" s="705"/>
    </row>
    <row r="10" spans="1:44" ht="14.15" customHeight="1" x14ac:dyDescent="0.3">
      <c r="A10" s="705"/>
      <c r="C10" s="291" t="str">
        <f>basic!D15</f>
        <v xml:space="preserve">2023/24 </v>
      </c>
      <c r="D10" s="256" t="s">
        <v>2397</v>
      </c>
      <c r="E10" s="276">
        <f>calc2!D5</f>
        <v>0</v>
      </c>
      <c r="F10" s="273" t="s">
        <v>2396</v>
      </c>
      <c r="G10" s="273">
        <f>calc2!$D$20</f>
        <v>0.499</v>
      </c>
      <c r="H10" s="327" t="str">
        <f>"x "&amp;calc2!$D$65&amp;" / "&amp;calc2!$D$64&amp;" = "</f>
        <v xml:space="preserve">x 366 / 366 = </v>
      </c>
      <c r="I10" s="475">
        <f>calc2!$D$21/calc2!$D$64*calc2!$D$65</f>
        <v>0</v>
      </c>
      <c r="K10" s="705"/>
      <c r="L10" s="705"/>
      <c r="M10" s="705"/>
      <c r="N10" s="705"/>
      <c r="O10" s="705"/>
      <c r="P10" s="705"/>
      <c r="Q10" s="705"/>
      <c r="R10" s="705"/>
      <c r="S10" s="705"/>
      <c r="T10" s="705"/>
      <c r="U10" s="705"/>
      <c r="V10" s="705"/>
      <c r="W10" s="705"/>
      <c r="X10" s="705"/>
      <c r="Y10" s="705"/>
      <c r="Z10" s="705"/>
      <c r="AA10" s="705"/>
      <c r="AB10" s="705"/>
      <c r="AC10" s="705"/>
      <c r="AD10" s="705"/>
      <c r="AE10" s="705"/>
      <c r="AF10" s="705"/>
      <c r="AG10" s="705"/>
      <c r="AH10" s="705"/>
      <c r="AI10" s="705"/>
      <c r="AJ10" s="705"/>
      <c r="AK10" s="705"/>
      <c r="AL10" s="705"/>
      <c r="AM10" s="705"/>
      <c r="AN10" s="705"/>
      <c r="AO10" s="705"/>
      <c r="AP10" s="705"/>
      <c r="AQ10" s="705"/>
      <c r="AR10" s="705"/>
    </row>
    <row r="11" spans="1:44" ht="14.15" customHeight="1" x14ac:dyDescent="0.25">
      <c r="A11" s="705"/>
      <c r="C11" s="256"/>
      <c r="D11" s="256" t="str">
        <f>IF(calc2!D42=TRUE,"SBR Supplement","Supplement not applicable")</f>
        <v>Supplement not applicable</v>
      </c>
      <c r="E11" s="276">
        <f>$E$10</f>
        <v>0</v>
      </c>
      <c r="F11" s="273" t="str">
        <f>F10</f>
        <v>x</v>
      </c>
      <c r="G11" s="273">
        <f>calc2!$D$41</f>
        <v>1.2999999999999999E-2</v>
      </c>
      <c r="H11" s="256" t="str">
        <f>H10</f>
        <v xml:space="preserve">x 366 / 366 = </v>
      </c>
      <c r="I11" s="475">
        <f ca="1">calc2!$D$43/calc2!$D$64*calc2!$D$65</f>
        <v>0</v>
      </c>
      <c r="K11" s="705"/>
      <c r="L11" s="705"/>
      <c r="M11" s="705"/>
      <c r="N11" s="705"/>
      <c r="O11" s="705"/>
      <c r="P11" s="705"/>
      <c r="Q11" s="705"/>
      <c r="R11" s="705"/>
      <c r="S11" s="705"/>
      <c r="T11" s="705"/>
      <c r="U11" s="705"/>
      <c r="V11" s="705"/>
      <c r="W11" s="705"/>
      <c r="X11" s="705"/>
      <c r="Y11" s="705"/>
      <c r="Z11" s="705"/>
      <c r="AA11" s="705"/>
      <c r="AB11" s="705"/>
      <c r="AC11" s="705"/>
      <c r="AD11" s="705"/>
      <c r="AE11" s="705"/>
      <c r="AF11" s="705"/>
      <c r="AG11" s="705"/>
      <c r="AH11" s="705"/>
      <c r="AI11" s="705"/>
      <c r="AJ11" s="705"/>
      <c r="AK11" s="705"/>
      <c r="AL11" s="705"/>
      <c r="AM11" s="705"/>
      <c r="AN11" s="705"/>
      <c r="AO11" s="705"/>
      <c r="AP11" s="705"/>
      <c r="AQ11" s="705"/>
      <c r="AR11" s="705"/>
    </row>
    <row r="12" spans="1:44" ht="14.15" customHeight="1" x14ac:dyDescent="0.25">
      <c r="A12" s="705"/>
      <c r="C12" s="256"/>
      <c r="D12" s="256" t="s">
        <v>805</v>
      </c>
      <c r="E12" s="273"/>
      <c r="F12" s="273"/>
      <c r="G12" s="273"/>
      <c r="H12" s="256"/>
      <c r="I12" s="475">
        <f ca="1">calc2!$D$120/calc2!$D$64*calc2!$D$65</f>
        <v>0</v>
      </c>
      <c r="K12" s="705"/>
      <c r="L12" s="705"/>
      <c r="M12" s="705"/>
      <c r="N12" s="705"/>
      <c r="O12" s="705"/>
      <c r="P12" s="705"/>
      <c r="Q12" s="705"/>
      <c r="R12" s="705"/>
      <c r="S12" s="705"/>
      <c r="T12" s="705"/>
      <c r="U12" s="705"/>
      <c r="V12" s="705"/>
      <c r="W12" s="705"/>
      <c r="X12" s="705"/>
      <c r="Y12" s="705"/>
      <c r="Z12" s="705"/>
      <c r="AA12" s="705"/>
      <c r="AB12" s="705"/>
      <c r="AC12" s="705"/>
      <c r="AD12" s="705"/>
      <c r="AE12" s="705"/>
      <c r="AF12" s="705"/>
      <c r="AG12" s="705"/>
      <c r="AH12" s="705"/>
      <c r="AI12" s="705"/>
      <c r="AJ12" s="705"/>
      <c r="AK12" s="705"/>
      <c r="AL12" s="705"/>
      <c r="AM12" s="705"/>
      <c r="AN12" s="705"/>
      <c r="AO12" s="705"/>
      <c r="AP12" s="705"/>
      <c r="AQ12" s="705"/>
      <c r="AR12" s="705"/>
    </row>
    <row r="13" spans="1:44" ht="14.15" customHeight="1" x14ac:dyDescent="0.25">
      <c r="A13" s="705"/>
      <c r="C13" s="256"/>
      <c r="D13" s="256" t="s">
        <v>2398</v>
      </c>
      <c r="E13" s="276">
        <f>$E$11</f>
        <v>0</v>
      </c>
      <c r="F13" s="273" t="str">
        <f>F11</f>
        <v>x</v>
      </c>
      <c r="G13" s="273">
        <f>calc2!$D$44</f>
        <v>1.4E-2</v>
      </c>
      <c r="H13" s="256" t="str">
        <f>H11</f>
        <v xml:space="preserve">x 366 / 366 = </v>
      </c>
      <c r="I13" s="475">
        <f>calc2!$D$46/calc2!$D$64*calc2!$D$65</f>
        <v>0</v>
      </c>
      <c r="K13" s="705"/>
      <c r="L13" s="705"/>
      <c r="M13" s="705"/>
      <c r="N13" s="705"/>
      <c r="O13" s="705"/>
      <c r="P13" s="705"/>
      <c r="Q13" s="705"/>
      <c r="R13" s="705"/>
      <c r="S13" s="705"/>
      <c r="T13" s="705"/>
      <c r="U13" s="705"/>
      <c r="V13" s="705"/>
      <c r="W13" s="705"/>
      <c r="X13" s="705"/>
      <c r="Y13" s="705"/>
      <c r="Z13" s="705"/>
      <c r="AA13" s="705"/>
      <c r="AB13" s="705"/>
      <c r="AC13" s="705"/>
      <c r="AD13" s="705"/>
      <c r="AE13" s="705"/>
      <c r="AF13" s="705"/>
      <c r="AG13" s="705"/>
      <c r="AH13" s="705"/>
      <c r="AI13" s="705"/>
      <c r="AJ13" s="705"/>
      <c r="AK13" s="705"/>
      <c r="AL13" s="705"/>
      <c r="AM13" s="705"/>
      <c r="AN13" s="705"/>
      <c r="AO13" s="705"/>
      <c r="AP13" s="705"/>
      <c r="AQ13" s="705"/>
      <c r="AR13" s="705"/>
    </row>
    <row r="14" spans="1:44" ht="14.15" customHeight="1" x14ac:dyDescent="0.25">
      <c r="A14" s="705"/>
      <c r="C14" s="256"/>
      <c r="D14" s="256" t="s">
        <v>2399</v>
      </c>
      <c r="E14" s="273"/>
      <c r="F14" s="273"/>
      <c r="G14" s="273"/>
      <c r="H14" s="256"/>
      <c r="I14" s="475">
        <f>calc2!$D$123/calc2!$D$64*calc2!$D$65</f>
        <v>0</v>
      </c>
      <c r="K14" s="705"/>
      <c r="L14" s="705"/>
      <c r="M14" s="705"/>
      <c r="N14" s="705"/>
      <c r="O14" s="705"/>
      <c r="P14" s="705"/>
      <c r="Q14" s="705"/>
      <c r="R14" s="705"/>
      <c r="S14" s="705"/>
      <c r="T14" s="705"/>
      <c r="U14" s="705"/>
      <c r="V14" s="705"/>
      <c r="W14" s="705"/>
      <c r="X14" s="705"/>
      <c r="Y14" s="705"/>
      <c r="Z14" s="705"/>
      <c r="AA14" s="705"/>
      <c r="AB14" s="705"/>
      <c r="AC14" s="705"/>
      <c r="AD14" s="705"/>
      <c r="AE14" s="705"/>
      <c r="AF14" s="705"/>
      <c r="AG14" s="705"/>
      <c r="AH14" s="705"/>
      <c r="AI14" s="705"/>
      <c r="AJ14" s="705"/>
      <c r="AK14" s="705"/>
      <c r="AL14" s="705"/>
      <c r="AM14" s="705"/>
      <c r="AN14" s="705"/>
      <c r="AO14" s="705"/>
      <c r="AP14" s="705"/>
      <c r="AQ14" s="705"/>
      <c r="AR14" s="705"/>
    </row>
    <row r="15" spans="1:44" ht="14.15" customHeight="1" x14ac:dyDescent="0.25">
      <c r="A15" s="705"/>
      <c r="C15" s="256"/>
      <c r="D15" s="256" t="str">
        <f>IF(H4="England","BRS","Crossrail")</f>
        <v>BRS</v>
      </c>
      <c r="E15" s="276">
        <f>$E$13</f>
        <v>0</v>
      </c>
      <c r="F15" s="273" t="str">
        <f>F13</f>
        <v>x</v>
      </c>
      <c r="G15" s="273">
        <f>(calc2!$D$47*calc2!$D$49)+(calc2!$D$60*calc2!$D$62)</f>
        <v>0</v>
      </c>
      <c r="H15" s="256" t="str">
        <f>H13</f>
        <v xml:space="preserve">x 366 / 366 = </v>
      </c>
      <c r="I15" s="475">
        <f>(calc2!$D$50+calc2!$D$63)/calc2!$D$64*calc2!$D$65</f>
        <v>0</v>
      </c>
      <c r="K15" s="705"/>
      <c r="L15" s="705"/>
      <c r="M15" s="705"/>
      <c r="N15" s="705"/>
      <c r="O15" s="705"/>
      <c r="P15" s="705"/>
      <c r="Q15" s="705"/>
      <c r="R15" s="705"/>
      <c r="S15" s="705"/>
      <c r="T15" s="705"/>
      <c r="U15" s="705"/>
      <c r="V15" s="705"/>
      <c r="W15" s="705"/>
      <c r="X15" s="705"/>
      <c r="Y15" s="705"/>
      <c r="Z15" s="705"/>
      <c r="AA15" s="705"/>
      <c r="AB15" s="705"/>
      <c r="AC15" s="705"/>
      <c r="AD15" s="705"/>
      <c r="AE15" s="705"/>
      <c r="AF15" s="705"/>
      <c r="AG15" s="705"/>
      <c r="AH15" s="705"/>
      <c r="AI15" s="705"/>
      <c r="AJ15" s="705"/>
      <c r="AK15" s="705"/>
      <c r="AL15" s="705"/>
      <c r="AM15" s="705"/>
      <c r="AN15" s="705"/>
      <c r="AO15" s="705"/>
      <c r="AP15" s="705"/>
      <c r="AQ15" s="705"/>
      <c r="AR15" s="705"/>
    </row>
    <row r="16" spans="1:44" ht="14.15" customHeight="1" x14ac:dyDescent="0.25">
      <c r="A16" s="705"/>
      <c r="C16" s="256"/>
      <c r="D16" s="256" t="str">
        <f>IF(calc2!D7=TRUE,"Empty Exemption","Charitable Relief")</f>
        <v>Charitable Relief</v>
      </c>
      <c r="E16" s="273"/>
      <c r="F16" s="273"/>
      <c r="G16" s="273"/>
      <c r="H16" s="256"/>
      <c r="I16" s="475">
        <f ca="1">IF(calc2!D84&lt;0,calc2!D84/calc2!$D$64*calc2!$D$65,calc2!$D$82/calc2!$D$64*calc2!$D$65)</f>
        <v>0</v>
      </c>
      <c r="K16" s="705"/>
      <c r="L16" s="705"/>
      <c r="M16" s="705"/>
      <c r="N16" s="705"/>
      <c r="O16" s="705"/>
      <c r="P16" s="705"/>
      <c r="Q16" s="705"/>
      <c r="R16" s="705"/>
      <c r="S16" s="705"/>
      <c r="T16" s="705"/>
      <c r="U16" s="705"/>
      <c r="V16" s="705"/>
      <c r="W16" s="705"/>
      <c r="X16" s="705"/>
      <c r="Y16" s="705"/>
      <c r="Z16" s="705"/>
      <c r="AA16" s="705"/>
      <c r="AB16" s="705"/>
      <c r="AC16" s="705"/>
      <c r="AD16" s="705"/>
      <c r="AE16" s="705"/>
      <c r="AF16" s="705"/>
      <c r="AG16" s="705"/>
      <c r="AH16" s="705"/>
      <c r="AI16" s="705"/>
      <c r="AJ16" s="705"/>
      <c r="AK16" s="705"/>
      <c r="AL16" s="705"/>
      <c r="AM16" s="705"/>
      <c r="AN16" s="705"/>
      <c r="AO16" s="705"/>
      <c r="AP16" s="705"/>
      <c r="AQ16" s="705"/>
      <c r="AR16" s="705"/>
    </row>
    <row r="17" spans="1:44" ht="14.15" customHeight="1" x14ac:dyDescent="0.25">
      <c r="A17" s="705"/>
      <c r="C17" s="256"/>
      <c r="D17" s="256" t="str">
        <f ca="1">"adjustment for "&amp;"RHL"&amp;calc2!D169</f>
        <v>adjustment for RHL</v>
      </c>
      <c r="E17" s="273"/>
      <c r="F17" s="273"/>
      <c r="G17" s="273"/>
      <c r="H17" s="256"/>
      <c r="I17" s="475">
        <f ca="1">calc2!D130</f>
        <v>0</v>
      </c>
      <c r="K17" s="705"/>
      <c r="L17" s="705"/>
      <c r="M17" s="705"/>
      <c r="N17" s="705"/>
      <c r="O17" s="705"/>
      <c r="P17" s="705"/>
      <c r="Q17" s="705"/>
      <c r="R17" s="705"/>
      <c r="S17" s="705"/>
      <c r="T17" s="705"/>
      <c r="U17" s="705"/>
      <c r="V17" s="705"/>
      <c r="W17" s="705"/>
      <c r="X17" s="705"/>
      <c r="Y17" s="705"/>
      <c r="Z17" s="705"/>
      <c r="AA17" s="705"/>
      <c r="AB17" s="705"/>
      <c r="AC17" s="705"/>
      <c r="AD17" s="705"/>
      <c r="AE17" s="705"/>
      <c r="AF17" s="705"/>
      <c r="AG17" s="705"/>
      <c r="AH17" s="705"/>
      <c r="AI17" s="705"/>
      <c r="AJ17" s="705"/>
      <c r="AK17" s="705"/>
      <c r="AL17" s="705"/>
      <c r="AM17" s="705"/>
      <c r="AN17" s="705"/>
      <c r="AO17" s="705"/>
      <c r="AP17" s="705"/>
      <c r="AQ17" s="705"/>
      <c r="AR17" s="705"/>
    </row>
    <row r="18" spans="1:44" ht="14.15" customHeight="1" x14ac:dyDescent="0.25">
      <c r="A18" s="705"/>
      <c r="C18" s="256"/>
      <c r="D18" s="256" t="str">
        <f>"adjustment for "&amp;"Supporting Small Business Relief"</f>
        <v>adjustment for Supporting Small Business Relief</v>
      </c>
      <c r="E18" s="273"/>
      <c r="F18" s="273"/>
      <c r="G18" s="273"/>
      <c r="H18" s="256"/>
      <c r="I18" s="475">
        <f ca="1">calc2!D157</f>
        <v>0</v>
      </c>
      <c r="K18" s="705"/>
      <c r="L18" s="705"/>
      <c r="M18" s="705"/>
      <c r="N18" s="705"/>
      <c r="O18" s="705"/>
      <c r="P18" s="705"/>
      <c r="Q18" s="705"/>
      <c r="R18" s="705"/>
      <c r="S18" s="705"/>
      <c r="T18" s="705"/>
      <c r="U18" s="705"/>
      <c r="V18" s="705"/>
      <c r="W18" s="705"/>
      <c r="X18" s="705"/>
      <c r="Y18" s="705"/>
      <c r="Z18" s="705"/>
      <c r="AA18" s="705"/>
      <c r="AB18" s="705"/>
      <c r="AC18" s="705"/>
      <c r="AD18" s="705"/>
      <c r="AE18" s="705"/>
      <c r="AF18" s="705"/>
      <c r="AG18" s="705"/>
      <c r="AH18" s="705"/>
      <c r="AI18" s="705"/>
      <c r="AJ18" s="705"/>
      <c r="AK18" s="705"/>
      <c r="AL18" s="705"/>
      <c r="AM18" s="705"/>
      <c r="AN18" s="705"/>
      <c r="AO18" s="705"/>
      <c r="AP18" s="705"/>
      <c r="AQ18" s="705"/>
      <c r="AR18" s="705"/>
    </row>
    <row r="19" spans="1:44" ht="14.15" customHeight="1" x14ac:dyDescent="0.25">
      <c r="A19" s="705"/>
      <c r="C19" s="256"/>
      <c r="D19" s="256" t="str">
        <f>"adjustment for "&amp;" "&amp;basic!B15</f>
        <v xml:space="preserve">adjustment for  </v>
      </c>
      <c r="E19" s="273"/>
      <c r="F19" s="273"/>
      <c r="G19" s="273"/>
      <c r="H19" s="256"/>
      <c r="I19" s="475">
        <f ca="1">calc2!D91</f>
        <v>0</v>
      </c>
      <c r="K19" s="705"/>
      <c r="L19" s="705"/>
      <c r="M19" s="705"/>
      <c r="N19" s="705"/>
      <c r="O19" s="705"/>
      <c r="P19" s="705"/>
      <c r="Q19" s="705"/>
      <c r="R19" s="705"/>
      <c r="S19" s="705"/>
      <c r="T19" s="705"/>
      <c r="U19" s="705"/>
      <c r="V19" s="705"/>
      <c r="W19" s="705"/>
      <c r="X19" s="705"/>
      <c r="Y19" s="705"/>
      <c r="Z19" s="705"/>
      <c r="AA19" s="705"/>
      <c r="AB19" s="705"/>
      <c r="AC19" s="705"/>
      <c r="AD19" s="705"/>
      <c r="AE19" s="705"/>
      <c r="AF19" s="705"/>
      <c r="AG19" s="705"/>
      <c r="AH19" s="705"/>
      <c r="AI19" s="705"/>
      <c r="AJ19" s="705"/>
      <c r="AK19" s="705"/>
      <c r="AL19" s="705"/>
      <c r="AM19" s="705"/>
      <c r="AN19" s="705"/>
      <c r="AO19" s="705"/>
      <c r="AP19" s="705"/>
      <c r="AQ19" s="705"/>
      <c r="AR19" s="705"/>
    </row>
    <row r="20" spans="1:44" ht="14.15" customHeight="1" x14ac:dyDescent="0.25">
      <c r="A20" s="705"/>
      <c r="C20" s="256"/>
      <c r="D20" s="256" t="str">
        <f>"adjustment for "&amp;""</f>
        <v xml:space="preserve">adjustment for </v>
      </c>
      <c r="E20" s="273"/>
      <c r="F20" s="273"/>
      <c r="G20" s="273"/>
      <c r="H20" s="256"/>
      <c r="I20" s="475">
        <f>calc2!$D$87/calc2!$D$64*calc2!$D$65</f>
        <v>0</v>
      </c>
      <c r="K20" s="705"/>
      <c r="L20" s="705"/>
      <c r="M20" s="705"/>
      <c r="N20" s="705"/>
      <c r="O20" s="705"/>
      <c r="P20" s="705"/>
      <c r="Q20" s="705"/>
      <c r="R20" s="705"/>
      <c r="S20" s="705"/>
      <c r="T20" s="705"/>
      <c r="U20" s="705"/>
      <c r="V20" s="705"/>
      <c r="W20" s="705"/>
      <c r="X20" s="705"/>
      <c r="Y20" s="705"/>
      <c r="Z20" s="705"/>
      <c r="AA20" s="705"/>
      <c r="AB20" s="705"/>
      <c r="AC20" s="705"/>
      <c r="AD20" s="705"/>
      <c r="AE20" s="705"/>
      <c r="AF20" s="705"/>
      <c r="AG20" s="705"/>
      <c r="AH20" s="705"/>
      <c r="AI20" s="705"/>
      <c r="AJ20" s="705"/>
      <c r="AK20" s="705"/>
      <c r="AL20" s="705"/>
      <c r="AM20" s="705"/>
      <c r="AN20" s="705"/>
      <c r="AO20" s="705"/>
      <c r="AP20" s="705"/>
      <c r="AQ20" s="705"/>
      <c r="AR20" s="705"/>
    </row>
    <row r="21" spans="1:44" ht="15" customHeight="1" thickBot="1" x14ac:dyDescent="0.35">
      <c r="A21" s="705"/>
      <c r="C21" s="291"/>
      <c r="D21" s="702" t="s">
        <v>2409</v>
      </c>
      <c r="E21" s="703"/>
      <c r="F21" s="703"/>
      <c r="G21" s="703"/>
      <c r="H21" s="702"/>
      <c r="I21" s="704">
        <f ca="1">SUM(I10:I20)</f>
        <v>0</v>
      </c>
      <c r="K21" s="705"/>
      <c r="L21" s="705"/>
      <c r="M21" s="705"/>
      <c r="N21" s="705"/>
      <c r="O21" s="705"/>
      <c r="P21" s="705"/>
      <c r="Q21" s="705"/>
      <c r="R21" s="705"/>
      <c r="S21" s="705"/>
      <c r="T21" s="705"/>
      <c r="U21" s="705"/>
      <c r="V21" s="705"/>
      <c r="W21" s="705"/>
      <c r="X21" s="705"/>
      <c r="Y21" s="705"/>
      <c r="Z21" s="705"/>
      <c r="AA21" s="705"/>
      <c r="AB21" s="705"/>
      <c r="AC21" s="705"/>
      <c r="AD21" s="705"/>
      <c r="AE21" s="705"/>
      <c r="AF21" s="705"/>
      <c r="AG21" s="705"/>
      <c r="AH21" s="705"/>
      <c r="AI21" s="705"/>
      <c r="AJ21" s="705"/>
      <c r="AK21" s="705"/>
      <c r="AL21" s="705"/>
      <c r="AM21" s="705"/>
      <c r="AN21" s="705"/>
      <c r="AO21" s="705"/>
      <c r="AP21" s="705"/>
      <c r="AQ21" s="705"/>
      <c r="AR21" s="705"/>
    </row>
    <row r="22" spans="1:44" ht="9.75" customHeight="1" thickTop="1" x14ac:dyDescent="0.25">
      <c r="A22" s="705"/>
      <c r="C22" s="256"/>
      <c r="D22" s="256"/>
      <c r="E22" s="273"/>
      <c r="F22" s="273"/>
      <c r="G22" s="273"/>
      <c r="H22" s="256"/>
      <c r="I22" s="475"/>
      <c r="K22" s="705"/>
      <c r="L22" s="705"/>
      <c r="M22" s="705"/>
      <c r="N22" s="705"/>
      <c r="O22" s="705"/>
      <c r="P22" s="705"/>
      <c r="Q22" s="705"/>
      <c r="R22" s="705"/>
      <c r="S22" s="705"/>
      <c r="T22" s="705"/>
      <c r="U22" s="705"/>
      <c r="V22" s="705"/>
      <c r="W22" s="705"/>
      <c r="X22" s="705"/>
      <c r="Y22" s="705"/>
      <c r="Z22" s="705"/>
      <c r="AA22" s="705"/>
      <c r="AB22" s="705"/>
      <c r="AC22" s="705"/>
      <c r="AD22" s="705"/>
      <c r="AE22" s="705"/>
      <c r="AF22" s="705"/>
      <c r="AG22" s="705"/>
      <c r="AH22" s="705"/>
      <c r="AI22" s="705"/>
      <c r="AJ22" s="705"/>
      <c r="AK22" s="705"/>
      <c r="AL22" s="705"/>
      <c r="AM22" s="705"/>
      <c r="AN22" s="705"/>
      <c r="AO22" s="705"/>
      <c r="AP22" s="705"/>
      <c r="AQ22" s="705"/>
      <c r="AR22" s="705"/>
    </row>
    <row r="23" spans="1:44" ht="14.15" customHeight="1" x14ac:dyDescent="0.3">
      <c r="A23" s="705"/>
      <c r="C23" s="291" t="str">
        <f>basic!D16</f>
        <v xml:space="preserve">2024/25 </v>
      </c>
      <c r="D23" s="256" t="str">
        <f>D10</f>
        <v>Notional Liability</v>
      </c>
      <c r="E23" s="276">
        <f>calc2!E5</f>
        <v>0</v>
      </c>
      <c r="F23" s="273" t="s">
        <v>2396</v>
      </c>
      <c r="G23" s="273">
        <f>calc2!$E$20</f>
        <v>0.499</v>
      </c>
      <c r="H23" s="327" t="str">
        <f>"x "&amp;calc2!$E$65&amp;" / "&amp;calc2!$E$64&amp;" = "</f>
        <v xml:space="preserve">x 365 / 365 = </v>
      </c>
      <c r="I23" s="475">
        <f>calc2!$E$21/calc2!$E$64*calc2!$E$65</f>
        <v>0</v>
      </c>
      <c r="K23" s="705"/>
      <c r="L23" s="705"/>
      <c r="M23" s="705"/>
      <c r="N23" s="705"/>
      <c r="O23" s="705"/>
      <c r="P23" s="705"/>
      <c r="Q23" s="705"/>
      <c r="R23" s="705"/>
      <c r="S23" s="705"/>
      <c r="T23" s="705"/>
      <c r="U23" s="705"/>
      <c r="V23" s="705"/>
      <c r="W23" s="705"/>
      <c r="X23" s="705"/>
      <c r="Y23" s="705"/>
      <c r="Z23" s="705"/>
      <c r="AA23" s="705"/>
      <c r="AB23" s="705"/>
      <c r="AC23" s="705"/>
      <c r="AD23" s="705"/>
      <c r="AE23" s="705"/>
      <c r="AF23" s="705"/>
      <c r="AG23" s="705"/>
      <c r="AH23" s="705"/>
      <c r="AI23" s="705"/>
      <c r="AJ23" s="705"/>
      <c r="AK23" s="705"/>
      <c r="AL23" s="705"/>
      <c r="AM23" s="705"/>
      <c r="AN23" s="705"/>
      <c r="AO23" s="705"/>
      <c r="AP23" s="705"/>
      <c r="AQ23" s="705"/>
      <c r="AR23" s="705"/>
    </row>
    <row r="24" spans="1:44" ht="14.15" customHeight="1" x14ac:dyDescent="0.25">
      <c r="A24" s="705"/>
      <c r="C24" s="256"/>
      <c r="D24" s="256" t="str">
        <f t="shared" ref="D24:D33" si="0">D11</f>
        <v>Supplement not applicable</v>
      </c>
      <c r="E24" s="276">
        <f>$E$10</f>
        <v>0</v>
      </c>
      <c r="F24" s="273" t="str">
        <f>F23</f>
        <v>x</v>
      </c>
      <c r="G24" s="273">
        <f>calc2!$E$41</f>
        <v>4.7000000000000042E-2</v>
      </c>
      <c r="H24" s="256" t="str">
        <f>H23</f>
        <v xml:space="preserve">x 365 / 365 = </v>
      </c>
      <c r="I24" s="475">
        <f ca="1">calc2!$E$43/calc2!$E$64*calc2!$E$65</f>
        <v>0</v>
      </c>
      <c r="K24" s="705"/>
      <c r="L24" s="705"/>
      <c r="M24" s="705"/>
      <c r="N24" s="705"/>
      <c r="O24" s="705"/>
      <c r="P24" s="705"/>
      <c r="Q24" s="705"/>
      <c r="R24" s="705"/>
      <c r="S24" s="705"/>
      <c r="T24" s="705"/>
      <c r="U24" s="705"/>
      <c r="V24" s="705"/>
      <c r="W24" s="705"/>
      <c r="X24" s="705"/>
      <c r="Y24" s="705"/>
      <c r="Z24" s="705"/>
      <c r="AA24" s="705"/>
      <c r="AB24" s="705"/>
      <c r="AC24" s="705"/>
      <c r="AD24" s="705"/>
      <c r="AE24" s="705"/>
      <c r="AF24" s="705"/>
      <c r="AG24" s="705"/>
      <c r="AH24" s="705"/>
      <c r="AI24" s="705"/>
      <c r="AJ24" s="705"/>
      <c r="AK24" s="705"/>
      <c r="AL24" s="705"/>
      <c r="AM24" s="705"/>
      <c r="AN24" s="705"/>
      <c r="AO24" s="705"/>
      <c r="AP24" s="705"/>
      <c r="AQ24" s="705"/>
      <c r="AR24" s="705"/>
    </row>
    <row r="25" spans="1:44" ht="14.15" customHeight="1" x14ac:dyDescent="0.25">
      <c r="A25" s="705"/>
      <c r="C25" s="256"/>
      <c r="D25" s="256" t="str">
        <f t="shared" si="0"/>
        <v>Small Business Rate Relief</v>
      </c>
      <c r="E25" s="273"/>
      <c r="F25" s="273"/>
      <c r="G25" s="273"/>
      <c r="H25" s="256"/>
      <c r="I25" s="475">
        <f ca="1">calc2!$E$120/calc2!$E$64*calc2!$E$65</f>
        <v>0</v>
      </c>
      <c r="K25" s="705"/>
      <c r="L25" s="705"/>
      <c r="M25" s="705"/>
      <c r="N25" s="705"/>
      <c r="O25" s="705"/>
      <c r="P25" s="705"/>
      <c r="Q25" s="705"/>
      <c r="R25" s="705"/>
      <c r="S25" s="705"/>
      <c r="T25" s="705"/>
      <c r="U25" s="705"/>
      <c r="V25" s="705"/>
      <c r="W25" s="705"/>
      <c r="X25" s="705"/>
      <c r="Y25" s="705"/>
      <c r="Z25" s="705"/>
      <c r="AA25" s="705"/>
      <c r="AB25" s="705"/>
      <c r="AC25" s="705"/>
      <c r="AD25" s="705"/>
      <c r="AE25" s="705"/>
      <c r="AF25" s="705"/>
      <c r="AG25" s="705"/>
      <c r="AH25" s="705"/>
      <c r="AI25" s="705"/>
      <c r="AJ25" s="705"/>
      <c r="AK25" s="705"/>
      <c r="AL25" s="705"/>
      <c r="AM25" s="705"/>
      <c r="AN25" s="705"/>
      <c r="AO25" s="705"/>
      <c r="AP25" s="705"/>
      <c r="AQ25" s="705"/>
      <c r="AR25" s="705"/>
    </row>
    <row r="26" spans="1:44" ht="14.15" customHeight="1" x14ac:dyDescent="0.25">
      <c r="A26" s="705"/>
      <c r="C26" s="256"/>
      <c r="D26" s="256" t="str">
        <f t="shared" si="0"/>
        <v>City of London Supplement</v>
      </c>
      <c r="E26" s="276">
        <f>$E$11</f>
        <v>0</v>
      </c>
      <c r="F26" s="273" t="str">
        <f>F24</f>
        <v>x</v>
      </c>
      <c r="G26" s="273">
        <f>calc2!$E$44</f>
        <v>1.6E-2</v>
      </c>
      <c r="H26" s="256" t="str">
        <f>H24</f>
        <v xml:space="preserve">x 365 / 365 = </v>
      </c>
      <c r="I26" s="475">
        <f>calc2!$E$46/calc2!$E$64*calc2!$E$65</f>
        <v>0</v>
      </c>
      <c r="K26" s="705"/>
      <c r="L26" s="705"/>
      <c r="M26" s="705"/>
      <c r="N26" s="705"/>
      <c r="O26" s="705"/>
      <c r="P26" s="705"/>
      <c r="Q26" s="705"/>
      <c r="R26" s="705"/>
      <c r="S26" s="705"/>
      <c r="T26" s="705"/>
      <c r="U26" s="705"/>
      <c r="V26" s="705"/>
      <c r="W26" s="705"/>
      <c r="X26" s="705"/>
      <c r="Y26" s="705"/>
      <c r="Z26" s="705"/>
      <c r="AA26" s="705"/>
      <c r="AB26" s="705"/>
      <c r="AC26" s="705"/>
      <c r="AD26" s="705"/>
      <c r="AE26" s="705"/>
      <c r="AF26" s="705"/>
      <c r="AG26" s="705"/>
      <c r="AH26" s="705"/>
      <c r="AI26" s="705"/>
      <c r="AJ26" s="705"/>
      <c r="AK26" s="705"/>
      <c r="AL26" s="705"/>
      <c r="AM26" s="705"/>
      <c r="AN26" s="705"/>
      <c r="AO26" s="705"/>
      <c r="AP26" s="705"/>
      <c r="AQ26" s="705"/>
      <c r="AR26" s="705"/>
    </row>
    <row r="27" spans="1:44" ht="14.15" customHeight="1" x14ac:dyDescent="0.25">
      <c r="A27" s="705"/>
      <c r="C27" s="256"/>
      <c r="D27" s="256" t="str">
        <f t="shared" si="0"/>
        <v>Transitional Adjustment</v>
      </c>
      <c r="E27" s="273"/>
      <c r="F27" s="273"/>
      <c r="G27" s="273"/>
      <c r="H27" s="256"/>
      <c r="I27" s="475">
        <f>calc2!$E$123/calc2!$E$64*calc2!$E$65</f>
        <v>0</v>
      </c>
      <c r="K27" s="705"/>
      <c r="L27" s="705"/>
      <c r="M27" s="705"/>
      <c r="N27" s="705"/>
      <c r="O27" s="705"/>
      <c r="P27" s="705"/>
      <c r="Q27" s="705"/>
      <c r="R27" s="705"/>
      <c r="S27" s="705"/>
      <c r="T27" s="705"/>
      <c r="U27" s="705"/>
      <c r="V27" s="705"/>
      <c r="W27" s="705"/>
      <c r="X27" s="705"/>
      <c r="Y27" s="705"/>
      <c r="Z27" s="705"/>
      <c r="AA27" s="705"/>
      <c r="AB27" s="705"/>
      <c r="AC27" s="705"/>
      <c r="AD27" s="705"/>
      <c r="AE27" s="705"/>
      <c r="AF27" s="705"/>
      <c r="AG27" s="705"/>
      <c r="AH27" s="705"/>
      <c r="AI27" s="705"/>
      <c r="AJ27" s="705"/>
      <c r="AK27" s="705"/>
      <c r="AL27" s="705"/>
      <c r="AM27" s="705"/>
      <c r="AN27" s="705"/>
      <c r="AO27" s="705"/>
      <c r="AP27" s="705"/>
      <c r="AQ27" s="705"/>
      <c r="AR27" s="705"/>
    </row>
    <row r="28" spans="1:44" ht="14.15" customHeight="1" x14ac:dyDescent="0.25">
      <c r="A28" s="705"/>
      <c r="C28" s="256"/>
      <c r="D28" s="256" t="str">
        <f t="shared" si="0"/>
        <v>BRS</v>
      </c>
      <c r="E28" s="276">
        <f>$E$13</f>
        <v>0</v>
      </c>
      <c r="F28" s="273" t="str">
        <f>F26</f>
        <v>x</v>
      </c>
      <c r="G28" s="273">
        <f>(calc2!$E$47*calc2!$E$45)+(calc2!$E$60*calc2!$E$62)</f>
        <v>0</v>
      </c>
      <c r="H28" s="256" t="str">
        <f>H26</f>
        <v xml:space="preserve">x 365 / 365 = </v>
      </c>
      <c r="I28" s="475">
        <f>(calc2!$E$50+calc2!$E$63)/calc2!$E$64*calc2!$E$65</f>
        <v>0</v>
      </c>
      <c r="K28" s="705"/>
      <c r="L28" s="705"/>
      <c r="M28" s="705"/>
      <c r="N28" s="705"/>
      <c r="O28" s="705"/>
      <c r="P28" s="705"/>
      <c r="Q28" s="705"/>
      <c r="R28" s="705"/>
      <c r="S28" s="705"/>
      <c r="T28" s="705"/>
      <c r="U28" s="705"/>
      <c r="V28" s="705"/>
      <c r="W28" s="705"/>
      <c r="X28" s="705"/>
      <c r="Y28" s="705"/>
      <c r="Z28" s="705"/>
      <c r="AA28" s="705"/>
      <c r="AB28" s="705"/>
      <c r="AC28" s="705"/>
      <c r="AD28" s="705"/>
      <c r="AE28" s="705"/>
      <c r="AF28" s="705"/>
      <c r="AG28" s="705"/>
      <c r="AH28" s="705"/>
      <c r="AI28" s="705"/>
      <c r="AJ28" s="705"/>
      <c r="AK28" s="705"/>
      <c r="AL28" s="705"/>
      <c r="AM28" s="705"/>
      <c r="AN28" s="705"/>
      <c r="AO28" s="705"/>
      <c r="AP28" s="705"/>
      <c r="AQ28" s="705"/>
      <c r="AR28" s="705"/>
    </row>
    <row r="29" spans="1:44" ht="14.15" customHeight="1" x14ac:dyDescent="0.25">
      <c r="A29" s="705"/>
      <c r="C29" s="256"/>
      <c r="D29" s="256" t="str">
        <f t="shared" si="0"/>
        <v>Charitable Relief</v>
      </c>
      <c r="E29" s="273"/>
      <c r="F29" s="273"/>
      <c r="G29" s="273"/>
      <c r="H29" s="256"/>
      <c r="I29" s="475">
        <f ca="1">IF(calc2!E84&lt;0,calc2!E84/calc2!$E$64*calc2!$E$65,calc2!$E$82/calc2!$E$64*calc2!$E$65)</f>
        <v>0</v>
      </c>
      <c r="K29" s="705"/>
      <c r="L29" s="705"/>
      <c r="M29" s="705"/>
      <c r="N29" s="705"/>
      <c r="O29" s="705"/>
      <c r="P29" s="705"/>
      <c r="Q29" s="705"/>
      <c r="R29" s="705"/>
      <c r="S29" s="705"/>
      <c r="T29" s="705"/>
      <c r="U29" s="705"/>
      <c r="V29" s="705"/>
      <c r="W29" s="705"/>
      <c r="X29" s="705"/>
      <c r="Y29" s="705"/>
      <c r="Z29" s="705"/>
      <c r="AA29" s="705"/>
      <c r="AB29" s="705"/>
      <c r="AC29" s="705"/>
      <c r="AD29" s="705"/>
      <c r="AE29" s="705"/>
      <c r="AF29" s="705"/>
      <c r="AG29" s="705"/>
      <c r="AH29" s="705"/>
      <c r="AI29" s="705"/>
      <c r="AJ29" s="705"/>
      <c r="AK29" s="705"/>
      <c r="AL29" s="705"/>
      <c r="AM29" s="705"/>
      <c r="AN29" s="705"/>
      <c r="AO29" s="705"/>
      <c r="AP29" s="705"/>
      <c r="AQ29" s="705"/>
      <c r="AR29" s="705"/>
    </row>
    <row r="30" spans="1:44" ht="14.15" customHeight="1" x14ac:dyDescent="0.25">
      <c r="A30" s="705"/>
      <c r="C30" s="256"/>
      <c r="D30" s="256" t="str">
        <f ca="1">"adjustment for "&amp;"RHL"&amp;calc1!E169</f>
        <v>adjustment for RHL</v>
      </c>
      <c r="E30" s="273"/>
      <c r="F30" s="273"/>
      <c r="G30" s="273"/>
      <c r="H30" s="256"/>
      <c r="I30" s="475">
        <f ca="1">calc2!E130</f>
        <v>0</v>
      </c>
      <c r="K30" s="705"/>
      <c r="L30" s="705"/>
      <c r="M30" s="705"/>
      <c r="N30" s="705"/>
      <c r="O30" s="705"/>
      <c r="P30" s="705"/>
      <c r="Q30" s="705"/>
      <c r="R30" s="705"/>
      <c r="S30" s="705"/>
      <c r="T30" s="705"/>
      <c r="U30" s="705"/>
      <c r="V30" s="705"/>
      <c r="W30" s="705"/>
      <c r="X30" s="705"/>
      <c r="Y30" s="705"/>
      <c r="Z30" s="705"/>
      <c r="AA30" s="705"/>
      <c r="AB30" s="705"/>
      <c r="AC30" s="705"/>
      <c r="AD30" s="705"/>
      <c r="AE30" s="705"/>
      <c r="AF30" s="705"/>
      <c r="AG30" s="705"/>
      <c r="AH30" s="705"/>
      <c r="AI30" s="705"/>
      <c r="AJ30" s="705"/>
      <c r="AK30" s="705"/>
      <c r="AL30" s="705"/>
      <c r="AM30" s="705"/>
      <c r="AN30" s="705"/>
      <c r="AO30" s="705"/>
      <c r="AP30" s="705"/>
      <c r="AQ30" s="705"/>
      <c r="AR30" s="705"/>
    </row>
    <row r="31" spans="1:44" ht="14.15" customHeight="1" x14ac:dyDescent="0.25">
      <c r="A31" s="705"/>
      <c r="C31" s="256"/>
      <c r="D31" s="256" t="str">
        <f t="shared" si="0"/>
        <v>adjustment for Supporting Small Business Relief</v>
      </c>
      <c r="E31" s="273"/>
      <c r="F31" s="273"/>
      <c r="G31" s="273"/>
      <c r="H31" s="256"/>
      <c r="I31" s="475">
        <f ca="1">calc2!E157</f>
        <v>0</v>
      </c>
      <c r="K31" s="705"/>
      <c r="L31" s="705"/>
      <c r="M31" s="705"/>
      <c r="N31" s="705"/>
      <c r="O31" s="705"/>
      <c r="P31" s="705"/>
      <c r="Q31" s="705"/>
      <c r="R31" s="705"/>
      <c r="S31" s="705"/>
      <c r="T31" s="705"/>
      <c r="U31" s="705"/>
      <c r="V31" s="705"/>
      <c r="W31" s="705"/>
      <c r="X31" s="705"/>
      <c r="Y31" s="705"/>
      <c r="Z31" s="705"/>
      <c r="AA31" s="705"/>
      <c r="AB31" s="705"/>
      <c r="AC31" s="705"/>
      <c r="AD31" s="705"/>
      <c r="AE31" s="705"/>
      <c r="AF31" s="705"/>
      <c r="AG31" s="705"/>
      <c r="AH31" s="705"/>
      <c r="AI31" s="705"/>
      <c r="AJ31" s="705"/>
      <c r="AK31" s="705"/>
      <c r="AL31" s="705"/>
      <c r="AM31" s="705"/>
      <c r="AN31" s="705"/>
      <c r="AO31" s="705"/>
      <c r="AP31" s="705"/>
      <c r="AQ31" s="705"/>
      <c r="AR31" s="705"/>
    </row>
    <row r="32" spans="1:44" ht="14.15" customHeight="1" x14ac:dyDescent="0.25">
      <c r="A32" s="705"/>
      <c r="C32" s="256"/>
      <c r="D32" s="256" t="str">
        <f t="shared" si="0"/>
        <v xml:space="preserve">adjustment for  </v>
      </c>
      <c r="E32" s="273"/>
      <c r="F32" s="273"/>
      <c r="G32" s="273"/>
      <c r="H32" s="256"/>
      <c r="I32" s="475">
        <f ca="1">calc2!E91</f>
        <v>0</v>
      </c>
      <c r="K32" s="705"/>
      <c r="L32" s="705"/>
      <c r="M32" s="705"/>
      <c r="N32" s="705"/>
      <c r="O32" s="705"/>
      <c r="P32" s="705"/>
      <c r="Q32" s="705"/>
      <c r="R32" s="705"/>
      <c r="S32" s="705"/>
      <c r="T32" s="705"/>
      <c r="U32" s="705"/>
      <c r="V32" s="705"/>
      <c r="W32" s="705"/>
      <c r="X32" s="705"/>
      <c r="Y32" s="705"/>
      <c r="Z32" s="705"/>
      <c r="AA32" s="705"/>
      <c r="AB32" s="705"/>
      <c r="AC32" s="705"/>
      <c r="AD32" s="705"/>
      <c r="AE32" s="705"/>
      <c r="AF32" s="705"/>
      <c r="AG32" s="705"/>
      <c r="AH32" s="705"/>
      <c r="AI32" s="705"/>
      <c r="AJ32" s="705"/>
      <c r="AK32" s="705"/>
      <c r="AL32" s="705"/>
      <c r="AM32" s="705"/>
      <c r="AN32" s="705"/>
      <c r="AO32" s="705"/>
      <c r="AP32" s="705"/>
      <c r="AQ32" s="705"/>
      <c r="AR32" s="705"/>
    </row>
    <row r="33" spans="1:44" ht="14.15" customHeight="1" x14ac:dyDescent="0.25">
      <c r="A33" s="705"/>
      <c r="C33" s="256"/>
      <c r="D33" s="256" t="str">
        <f t="shared" si="0"/>
        <v xml:space="preserve">adjustment for </v>
      </c>
      <c r="E33" s="273"/>
      <c r="F33" s="273"/>
      <c r="G33" s="273"/>
      <c r="H33" s="256"/>
      <c r="I33" s="475">
        <f>calc2!$E$87/calc2!$E$64*calc2!$E$65</f>
        <v>0</v>
      </c>
      <c r="K33" s="705"/>
      <c r="L33" s="705"/>
      <c r="M33" s="705"/>
      <c r="N33" s="705"/>
      <c r="O33" s="705"/>
      <c r="P33" s="705"/>
      <c r="Q33" s="705"/>
      <c r="R33" s="705"/>
      <c r="S33" s="705"/>
      <c r="T33" s="705"/>
      <c r="U33" s="705"/>
      <c r="V33" s="705"/>
      <c r="W33" s="705"/>
      <c r="X33" s="705"/>
      <c r="Y33" s="705"/>
      <c r="Z33" s="705"/>
      <c r="AA33" s="705"/>
      <c r="AB33" s="705"/>
      <c r="AC33" s="705"/>
      <c r="AD33" s="705"/>
      <c r="AE33" s="705"/>
      <c r="AF33" s="705"/>
      <c r="AG33" s="705"/>
      <c r="AH33" s="705"/>
      <c r="AI33" s="705"/>
      <c r="AJ33" s="705"/>
      <c r="AK33" s="705"/>
      <c r="AL33" s="705"/>
      <c r="AM33" s="705"/>
      <c r="AN33" s="705"/>
      <c r="AO33" s="705"/>
      <c r="AP33" s="705"/>
      <c r="AQ33" s="705"/>
      <c r="AR33" s="705"/>
    </row>
    <row r="34" spans="1:44" ht="15" customHeight="1" thickBot="1" x14ac:dyDescent="0.35">
      <c r="A34" s="705"/>
      <c r="C34" s="291"/>
      <c r="D34" s="702" t="s">
        <v>2409</v>
      </c>
      <c r="E34" s="703"/>
      <c r="F34" s="703"/>
      <c r="G34" s="703"/>
      <c r="H34" s="702"/>
      <c r="I34" s="704">
        <f ca="1">SUM(I23:I33)</f>
        <v>0</v>
      </c>
      <c r="K34" s="705"/>
      <c r="L34" s="705"/>
      <c r="M34" s="705"/>
      <c r="N34" s="705"/>
      <c r="O34" s="705"/>
      <c r="P34" s="705"/>
      <c r="Q34" s="705"/>
      <c r="R34" s="705"/>
      <c r="S34" s="705"/>
      <c r="T34" s="705"/>
      <c r="U34" s="705"/>
      <c r="V34" s="705"/>
      <c r="W34" s="705"/>
      <c r="X34" s="705"/>
      <c r="Y34" s="705"/>
      <c r="Z34" s="705"/>
      <c r="AA34" s="705"/>
      <c r="AB34" s="705"/>
      <c r="AC34" s="705"/>
      <c r="AD34" s="705"/>
      <c r="AE34" s="705"/>
      <c r="AF34" s="705"/>
      <c r="AG34" s="705"/>
      <c r="AH34" s="705"/>
      <c r="AI34" s="705"/>
      <c r="AJ34" s="705"/>
      <c r="AK34" s="705"/>
      <c r="AL34" s="705"/>
      <c r="AM34" s="705"/>
      <c r="AN34" s="705"/>
      <c r="AO34" s="705"/>
      <c r="AP34" s="705"/>
      <c r="AQ34" s="705"/>
      <c r="AR34" s="705"/>
    </row>
    <row r="35" spans="1:44" ht="10.5" customHeight="1" thickTop="1" x14ac:dyDescent="0.25">
      <c r="A35" s="705"/>
      <c r="C35" s="256"/>
      <c r="D35" s="256"/>
      <c r="E35" s="273"/>
      <c r="F35" s="273"/>
      <c r="G35" s="273"/>
      <c r="H35" s="256"/>
      <c r="I35" s="475"/>
      <c r="K35" s="705"/>
      <c r="L35" s="705"/>
      <c r="M35" s="705"/>
      <c r="N35" s="705"/>
      <c r="O35" s="705"/>
      <c r="P35" s="705"/>
      <c r="Q35" s="705"/>
      <c r="R35" s="705"/>
      <c r="S35" s="705"/>
      <c r="T35" s="705"/>
      <c r="U35" s="705"/>
      <c r="V35" s="705"/>
      <c r="W35" s="705"/>
      <c r="X35" s="705"/>
      <c r="Y35" s="705"/>
      <c r="Z35" s="705"/>
      <c r="AA35" s="705"/>
      <c r="AB35" s="705"/>
      <c r="AC35" s="705"/>
      <c r="AD35" s="705"/>
      <c r="AE35" s="705"/>
      <c r="AF35" s="705"/>
      <c r="AG35" s="705"/>
      <c r="AH35" s="705"/>
      <c r="AI35" s="705"/>
      <c r="AJ35" s="705"/>
      <c r="AK35" s="705"/>
      <c r="AL35" s="705"/>
      <c r="AM35" s="705"/>
      <c r="AN35" s="705"/>
      <c r="AO35" s="705"/>
      <c r="AP35" s="705"/>
      <c r="AQ35" s="705"/>
      <c r="AR35" s="705"/>
    </row>
    <row r="36" spans="1:44" ht="14.15" customHeight="1" x14ac:dyDescent="0.3">
      <c r="A36" s="705"/>
      <c r="C36" s="291" t="str">
        <f>basic!D17</f>
        <v xml:space="preserve">2025/26 </v>
      </c>
      <c r="D36" s="256" t="str">
        <f>D23</f>
        <v>Notional Liability</v>
      </c>
      <c r="E36" s="276">
        <f>calc2!F5</f>
        <v>0</v>
      </c>
      <c r="F36" s="273" t="s">
        <v>2396</v>
      </c>
      <c r="G36" s="273">
        <f>calc2!$F$20</f>
        <v>0.499</v>
      </c>
      <c r="H36" s="327" t="str">
        <f>"x "&amp;calc2!$F$65&amp;" / "&amp;calc2!$F$64&amp;" = "</f>
        <v xml:space="preserve">x 365 / 365 = </v>
      </c>
      <c r="I36" s="475">
        <f>calc2!$F$21/calc2!$F$64*calc2!$F$65</f>
        <v>0</v>
      </c>
      <c r="K36" s="705"/>
      <c r="L36" s="705"/>
      <c r="M36" s="705"/>
      <c r="N36" s="705"/>
      <c r="O36" s="705"/>
      <c r="P36" s="705"/>
      <c r="Q36" s="705"/>
      <c r="R36" s="705"/>
      <c r="S36" s="705"/>
      <c r="T36" s="705"/>
      <c r="U36" s="705"/>
      <c r="V36" s="705"/>
      <c r="W36" s="705"/>
      <c r="X36" s="705"/>
      <c r="Y36" s="705"/>
      <c r="Z36" s="705"/>
      <c r="AA36" s="705"/>
      <c r="AB36" s="705"/>
      <c r="AC36" s="705"/>
      <c r="AD36" s="705"/>
      <c r="AE36" s="705"/>
      <c r="AF36" s="705"/>
      <c r="AG36" s="705"/>
      <c r="AH36" s="705"/>
      <c r="AI36" s="705"/>
      <c r="AJ36" s="705"/>
      <c r="AK36" s="705"/>
      <c r="AL36" s="705"/>
      <c r="AM36" s="705"/>
      <c r="AN36" s="705"/>
      <c r="AO36" s="705"/>
      <c r="AP36" s="705"/>
      <c r="AQ36" s="705"/>
      <c r="AR36" s="705"/>
    </row>
    <row r="37" spans="1:44" ht="14.15" customHeight="1" x14ac:dyDescent="0.25">
      <c r="A37" s="705"/>
      <c r="C37" s="256"/>
      <c r="D37" s="256" t="str">
        <f t="shared" ref="D37:D46" si="1">D24</f>
        <v>Supplement not applicable</v>
      </c>
      <c r="E37" s="276">
        <f>$E$10</f>
        <v>0</v>
      </c>
      <c r="F37" s="273" t="str">
        <f>F36</f>
        <v>x</v>
      </c>
      <c r="G37" s="273">
        <f>calc2!$F$41</f>
        <v>5.600000000000005E-2</v>
      </c>
      <c r="H37" s="256" t="str">
        <f>H36</f>
        <v xml:space="preserve">x 365 / 365 = </v>
      </c>
      <c r="I37" s="475">
        <f ca="1">calc2!$F$43/calc2!$F$64*calc2!$F$65</f>
        <v>0</v>
      </c>
      <c r="K37" s="705"/>
      <c r="L37" s="705"/>
      <c r="M37" s="705"/>
      <c r="N37" s="705"/>
      <c r="O37" s="705"/>
      <c r="P37" s="705"/>
      <c r="Q37" s="705"/>
      <c r="R37" s="705"/>
      <c r="S37" s="705"/>
      <c r="T37" s="705"/>
      <c r="U37" s="705"/>
      <c r="V37" s="705"/>
      <c r="W37" s="705"/>
      <c r="X37" s="705"/>
      <c r="Y37" s="705"/>
      <c r="Z37" s="705"/>
      <c r="AA37" s="705"/>
      <c r="AB37" s="705"/>
      <c r="AC37" s="705"/>
      <c r="AD37" s="705"/>
      <c r="AE37" s="705"/>
      <c r="AF37" s="705"/>
      <c r="AG37" s="705"/>
      <c r="AH37" s="705"/>
      <c r="AI37" s="705"/>
      <c r="AJ37" s="705"/>
      <c r="AK37" s="705"/>
      <c r="AL37" s="705"/>
      <c r="AM37" s="705"/>
      <c r="AN37" s="705"/>
      <c r="AO37" s="705"/>
      <c r="AP37" s="705"/>
      <c r="AQ37" s="705"/>
      <c r="AR37" s="705"/>
    </row>
    <row r="38" spans="1:44" ht="14.15" customHeight="1" x14ac:dyDescent="0.25">
      <c r="A38" s="705"/>
      <c r="C38" s="256"/>
      <c r="D38" s="256" t="str">
        <f t="shared" si="1"/>
        <v>Small Business Rate Relief</v>
      </c>
      <c r="E38" s="273"/>
      <c r="F38" s="273"/>
      <c r="G38" s="273"/>
      <c r="H38" s="256"/>
      <c r="I38" s="475">
        <f ca="1">calc2!$F$120/calc2!$F$64*calc2!$F$65</f>
        <v>0</v>
      </c>
      <c r="K38" s="705"/>
      <c r="L38" s="705"/>
      <c r="M38" s="705"/>
      <c r="N38" s="705"/>
      <c r="O38" s="705"/>
      <c r="P38" s="705"/>
      <c r="Q38" s="705"/>
      <c r="R38" s="705"/>
      <c r="S38" s="705"/>
      <c r="T38" s="705"/>
      <c r="U38" s="705"/>
      <c r="V38" s="705"/>
      <c r="W38" s="705"/>
      <c r="X38" s="705"/>
      <c r="Y38" s="705"/>
      <c r="Z38" s="705"/>
      <c r="AA38" s="705"/>
      <c r="AB38" s="705"/>
      <c r="AC38" s="705"/>
      <c r="AD38" s="705"/>
      <c r="AE38" s="705"/>
      <c r="AF38" s="705"/>
      <c r="AG38" s="705"/>
      <c r="AH38" s="705"/>
      <c r="AI38" s="705"/>
      <c r="AJ38" s="705"/>
      <c r="AK38" s="705"/>
      <c r="AL38" s="705"/>
      <c r="AM38" s="705"/>
      <c r="AN38" s="705"/>
      <c r="AO38" s="705"/>
      <c r="AP38" s="705"/>
      <c r="AQ38" s="705"/>
      <c r="AR38" s="705"/>
    </row>
    <row r="39" spans="1:44" ht="14.15" customHeight="1" x14ac:dyDescent="0.25">
      <c r="A39" s="705"/>
      <c r="C39" s="256"/>
      <c r="D39" s="256" t="str">
        <f t="shared" si="1"/>
        <v>City of London Supplement</v>
      </c>
      <c r="E39" s="276">
        <f>$E$11</f>
        <v>0</v>
      </c>
      <c r="F39" s="273" t="str">
        <f>F37</f>
        <v>x</v>
      </c>
      <c r="G39" s="273">
        <f>calc2!$F$44</f>
        <v>0.02</v>
      </c>
      <c r="H39" s="256" t="str">
        <f>H37</f>
        <v xml:space="preserve">x 365 / 365 = </v>
      </c>
      <c r="I39" s="475">
        <f>calc2!$F$46/calc2!$F$64*calc2!$F$65</f>
        <v>0</v>
      </c>
      <c r="K39" s="705"/>
      <c r="L39" s="705"/>
      <c r="M39" s="705"/>
      <c r="N39" s="705"/>
      <c r="O39" s="705"/>
      <c r="P39" s="705"/>
      <c r="Q39" s="705"/>
      <c r="R39" s="705"/>
      <c r="S39" s="705"/>
      <c r="T39" s="705"/>
      <c r="U39" s="705"/>
      <c r="V39" s="705"/>
      <c r="W39" s="705"/>
      <c r="X39" s="705"/>
      <c r="Y39" s="705"/>
      <c r="Z39" s="705"/>
      <c r="AA39" s="705"/>
      <c r="AB39" s="705"/>
      <c r="AC39" s="705"/>
      <c r="AD39" s="705"/>
      <c r="AE39" s="705"/>
      <c r="AF39" s="705"/>
      <c r="AG39" s="705"/>
      <c r="AH39" s="705"/>
      <c r="AI39" s="705"/>
      <c r="AJ39" s="705"/>
      <c r="AK39" s="705"/>
      <c r="AL39" s="705"/>
      <c r="AM39" s="705"/>
      <c r="AN39" s="705"/>
      <c r="AO39" s="705"/>
      <c r="AP39" s="705"/>
      <c r="AQ39" s="705"/>
      <c r="AR39" s="705"/>
    </row>
    <row r="40" spans="1:44" ht="14.15" customHeight="1" x14ac:dyDescent="0.25">
      <c r="A40" s="705"/>
      <c r="C40" s="256"/>
      <c r="D40" s="256" t="str">
        <f t="shared" si="1"/>
        <v>Transitional Adjustment</v>
      </c>
      <c r="E40" s="273"/>
      <c r="F40" s="273"/>
      <c r="G40" s="273"/>
      <c r="H40" s="256"/>
      <c r="I40" s="475">
        <f>calc2!$F$123/calc2!$F$64*calc2!$F$65</f>
        <v>0</v>
      </c>
      <c r="K40" s="705"/>
      <c r="L40" s="705"/>
      <c r="M40" s="705"/>
      <c r="N40" s="705"/>
      <c r="O40" s="705"/>
      <c r="P40" s="705"/>
      <c r="Q40" s="705"/>
      <c r="R40" s="705"/>
      <c r="S40" s="705"/>
      <c r="T40" s="705"/>
      <c r="U40" s="705"/>
      <c r="V40" s="705"/>
      <c r="W40" s="705"/>
      <c r="X40" s="705"/>
      <c r="Y40" s="705"/>
      <c r="Z40" s="705"/>
      <c r="AA40" s="705"/>
      <c r="AB40" s="705"/>
      <c r="AC40" s="705"/>
      <c r="AD40" s="705"/>
      <c r="AE40" s="705"/>
      <c r="AF40" s="705"/>
      <c r="AG40" s="705"/>
      <c r="AH40" s="705"/>
      <c r="AI40" s="705"/>
      <c r="AJ40" s="705"/>
      <c r="AK40" s="705"/>
      <c r="AL40" s="705"/>
      <c r="AM40" s="705"/>
      <c r="AN40" s="705"/>
      <c r="AO40" s="705"/>
      <c r="AP40" s="705"/>
      <c r="AQ40" s="705"/>
      <c r="AR40" s="705"/>
    </row>
    <row r="41" spans="1:44" ht="14.15" customHeight="1" x14ac:dyDescent="0.25">
      <c r="A41" s="705"/>
      <c r="C41" s="256"/>
      <c r="D41" s="256" t="str">
        <f t="shared" si="1"/>
        <v>BRS</v>
      </c>
      <c r="E41" s="276">
        <f>$E$13</f>
        <v>0</v>
      </c>
      <c r="F41" s="273" t="str">
        <f>F39</f>
        <v>x</v>
      </c>
      <c r="G41" s="273">
        <f>(calc2!$F$47*calc2!$F$45)+(calc2!$F$60*calc2!$F$62)</f>
        <v>0</v>
      </c>
      <c r="H41" s="256" t="str">
        <f>H39</f>
        <v xml:space="preserve">x 365 / 365 = </v>
      </c>
      <c r="I41" s="475">
        <f>(calc2!$F$50+calc2!$F$63)/calc2!$F$64*calc2!$F$65</f>
        <v>0</v>
      </c>
      <c r="K41" s="705"/>
      <c r="L41" s="705"/>
      <c r="M41" s="705"/>
      <c r="N41" s="705"/>
      <c r="O41" s="705"/>
      <c r="P41" s="705"/>
      <c r="Q41" s="705"/>
      <c r="R41" s="705"/>
      <c r="S41" s="705"/>
      <c r="T41" s="705"/>
      <c r="U41" s="705"/>
      <c r="V41" s="705"/>
      <c r="W41" s="705"/>
      <c r="X41" s="705"/>
      <c r="Y41" s="705"/>
      <c r="Z41" s="705"/>
      <c r="AA41" s="705"/>
      <c r="AB41" s="705"/>
      <c r="AC41" s="705"/>
      <c r="AD41" s="705"/>
      <c r="AE41" s="705"/>
      <c r="AF41" s="705"/>
      <c r="AG41" s="705"/>
      <c r="AH41" s="705"/>
      <c r="AI41" s="705"/>
      <c r="AJ41" s="705"/>
      <c r="AK41" s="705"/>
      <c r="AL41" s="705"/>
      <c r="AM41" s="705"/>
      <c r="AN41" s="705"/>
      <c r="AO41" s="705"/>
      <c r="AP41" s="705"/>
      <c r="AQ41" s="705"/>
      <c r="AR41" s="705"/>
    </row>
    <row r="42" spans="1:44" ht="14.15" customHeight="1" x14ac:dyDescent="0.25">
      <c r="A42" s="705"/>
      <c r="C42" s="256"/>
      <c r="D42" s="256" t="str">
        <f t="shared" si="1"/>
        <v>Charitable Relief</v>
      </c>
      <c r="E42" s="273"/>
      <c r="F42" s="273"/>
      <c r="G42" s="273"/>
      <c r="H42" s="256"/>
      <c r="I42" s="475">
        <f ca="1">IF(calc2!F84&lt;0,calc2!F84/calc2!$F$64*calc2!$F$65,calc2!$F$82/calc2!$F$64*calc2!$F$65)</f>
        <v>0</v>
      </c>
      <c r="K42" s="705"/>
      <c r="L42" s="705"/>
      <c r="M42" s="705"/>
      <c r="N42" s="705"/>
      <c r="O42" s="705"/>
      <c r="P42" s="705"/>
      <c r="Q42" s="705"/>
      <c r="R42" s="705"/>
      <c r="S42" s="705"/>
      <c r="T42" s="705"/>
      <c r="U42" s="705"/>
      <c r="V42" s="705"/>
      <c r="W42" s="705"/>
      <c r="X42" s="705"/>
      <c r="Y42" s="705"/>
      <c r="Z42" s="705"/>
      <c r="AA42" s="705"/>
      <c r="AB42" s="705"/>
      <c r="AC42" s="705"/>
      <c r="AD42" s="705"/>
      <c r="AE42" s="705"/>
      <c r="AF42" s="705"/>
      <c r="AG42" s="705"/>
      <c r="AH42" s="705"/>
      <c r="AI42" s="705"/>
      <c r="AJ42" s="705"/>
      <c r="AK42" s="705"/>
      <c r="AL42" s="705"/>
      <c r="AM42" s="705"/>
      <c r="AN42" s="705"/>
      <c r="AO42" s="705"/>
      <c r="AP42" s="705"/>
      <c r="AQ42" s="705"/>
      <c r="AR42" s="705"/>
    </row>
    <row r="43" spans="1:44" ht="14.15" customHeight="1" x14ac:dyDescent="0.25">
      <c r="A43" s="705"/>
      <c r="C43" s="256"/>
      <c r="D43" s="256" t="str">
        <f ca="1">"adjustment for "&amp;"RHL"&amp;calc1!F169</f>
        <v>adjustment for RHL</v>
      </c>
      <c r="E43" s="273"/>
      <c r="F43" s="273"/>
      <c r="G43" s="273"/>
      <c r="H43" s="256"/>
      <c r="I43" s="475">
        <f ca="1">calc2!F130</f>
        <v>0</v>
      </c>
      <c r="K43" s="705"/>
      <c r="L43" s="705"/>
      <c r="M43" s="705"/>
      <c r="N43" s="705"/>
      <c r="O43" s="705"/>
      <c r="P43" s="705"/>
      <c r="Q43" s="705"/>
      <c r="R43" s="705"/>
      <c r="S43" s="705"/>
      <c r="T43" s="705"/>
      <c r="U43" s="705"/>
      <c r="V43" s="705"/>
      <c r="W43" s="705"/>
      <c r="X43" s="705"/>
      <c r="Y43" s="705"/>
      <c r="Z43" s="705"/>
      <c r="AA43" s="705"/>
      <c r="AB43" s="705"/>
      <c r="AC43" s="705"/>
      <c r="AD43" s="705"/>
      <c r="AE43" s="705"/>
      <c r="AF43" s="705"/>
      <c r="AG43" s="705"/>
      <c r="AH43" s="705"/>
      <c r="AI43" s="705"/>
      <c r="AJ43" s="705"/>
      <c r="AK43" s="705"/>
      <c r="AL43" s="705"/>
      <c r="AM43" s="705"/>
      <c r="AN43" s="705"/>
      <c r="AO43" s="705"/>
      <c r="AP43" s="705"/>
      <c r="AQ43" s="705"/>
      <c r="AR43" s="705"/>
    </row>
    <row r="44" spans="1:44" ht="14.15" customHeight="1" x14ac:dyDescent="0.25">
      <c r="A44" s="705"/>
      <c r="C44" s="256"/>
      <c r="D44" s="256" t="str">
        <f t="shared" si="1"/>
        <v>adjustment for Supporting Small Business Relief</v>
      </c>
      <c r="E44" s="273"/>
      <c r="F44" s="273"/>
      <c r="G44" s="273"/>
      <c r="H44" s="256"/>
      <c r="I44" s="475">
        <f ca="1">calc2!F157</f>
        <v>0</v>
      </c>
      <c r="K44" s="705"/>
      <c r="L44" s="705"/>
      <c r="M44" s="705"/>
      <c r="N44" s="705"/>
      <c r="O44" s="705"/>
      <c r="P44" s="705"/>
      <c r="Q44" s="705"/>
      <c r="R44" s="705"/>
      <c r="S44" s="705"/>
      <c r="T44" s="705"/>
      <c r="U44" s="705"/>
      <c r="V44" s="705"/>
      <c r="W44" s="705"/>
      <c r="X44" s="705"/>
      <c r="Y44" s="705"/>
      <c r="Z44" s="705"/>
      <c r="AA44" s="705"/>
      <c r="AB44" s="705"/>
      <c r="AC44" s="705"/>
      <c r="AD44" s="705"/>
      <c r="AE44" s="705"/>
      <c r="AF44" s="705"/>
      <c r="AG44" s="705"/>
      <c r="AH44" s="705"/>
      <c r="AI44" s="705"/>
      <c r="AJ44" s="705"/>
      <c r="AK44" s="705"/>
      <c r="AL44" s="705"/>
      <c r="AM44" s="705"/>
      <c r="AN44" s="705"/>
      <c r="AO44" s="705"/>
      <c r="AP44" s="705"/>
      <c r="AQ44" s="705"/>
      <c r="AR44" s="705"/>
    </row>
    <row r="45" spans="1:44" ht="14.15" customHeight="1" x14ac:dyDescent="0.25">
      <c r="A45" s="705"/>
      <c r="C45" s="256"/>
      <c r="D45" s="256" t="str">
        <f t="shared" si="1"/>
        <v xml:space="preserve">adjustment for  </v>
      </c>
      <c r="E45" s="273"/>
      <c r="F45" s="273"/>
      <c r="G45" s="273"/>
      <c r="H45" s="256"/>
      <c r="I45" s="475">
        <f ca="1">calc2!F91</f>
        <v>0</v>
      </c>
      <c r="K45" s="705"/>
      <c r="L45" s="705"/>
      <c r="M45" s="705"/>
      <c r="N45" s="705"/>
      <c r="O45" s="705"/>
      <c r="P45" s="705"/>
      <c r="Q45" s="705"/>
      <c r="R45" s="705"/>
      <c r="S45" s="705"/>
      <c r="T45" s="705"/>
      <c r="U45" s="705"/>
      <c r="V45" s="705"/>
      <c r="W45" s="705"/>
      <c r="X45" s="705"/>
      <c r="Y45" s="705"/>
      <c r="Z45" s="705"/>
      <c r="AA45" s="705"/>
      <c r="AB45" s="705"/>
      <c r="AC45" s="705"/>
      <c r="AD45" s="705"/>
      <c r="AE45" s="705"/>
      <c r="AF45" s="705"/>
      <c r="AG45" s="705"/>
      <c r="AH45" s="705"/>
      <c r="AI45" s="705"/>
      <c r="AJ45" s="705"/>
      <c r="AK45" s="705"/>
      <c r="AL45" s="705"/>
      <c r="AM45" s="705"/>
      <c r="AN45" s="705"/>
      <c r="AO45" s="705"/>
      <c r="AP45" s="705"/>
      <c r="AQ45" s="705"/>
      <c r="AR45" s="705"/>
    </row>
    <row r="46" spans="1:44" ht="14.15" customHeight="1" x14ac:dyDescent="0.25">
      <c r="A46" s="705"/>
      <c r="C46" s="256"/>
      <c r="D46" s="256" t="str">
        <f t="shared" si="1"/>
        <v xml:space="preserve">adjustment for </v>
      </c>
      <c r="E46" s="273"/>
      <c r="F46" s="273"/>
      <c r="G46" s="273"/>
      <c r="H46" s="256"/>
      <c r="I46" s="475">
        <f>calc2!$F$87/calc2!$F$64*calc2!$F$65</f>
        <v>0</v>
      </c>
      <c r="K46" s="705"/>
      <c r="L46" s="705"/>
      <c r="M46" s="705"/>
      <c r="N46" s="705"/>
      <c r="O46" s="705"/>
      <c r="P46" s="705"/>
      <c r="Q46" s="705"/>
      <c r="R46" s="705"/>
      <c r="S46" s="705"/>
      <c r="T46" s="705"/>
      <c r="U46" s="705"/>
      <c r="V46" s="705"/>
      <c r="W46" s="705"/>
      <c r="X46" s="705"/>
      <c r="Y46" s="705"/>
      <c r="Z46" s="705"/>
      <c r="AA46" s="705"/>
      <c r="AB46" s="705"/>
      <c r="AC46" s="705"/>
      <c r="AD46" s="705"/>
      <c r="AE46" s="705"/>
      <c r="AF46" s="705"/>
      <c r="AG46" s="705"/>
      <c r="AH46" s="705"/>
      <c r="AI46" s="705"/>
      <c r="AJ46" s="705"/>
      <c r="AK46" s="705"/>
      <c r="AL46" s="705"/>
      <c r="AM46" s="705"/>
      <c r="AN46" s="705"/>
      <c r="AO46" s="705"/>
      <c r="AP46" s="705"/>
      <c r="AQ46" s="705"/>
      <c r="AR46" s="705"/>
    </row>
    <row r="47" spans="1:44" ht="15" customHeight="1" thickBot="1" x14ac:dyDescent="0.35">
      <c r="A47" s="705"/>
      <c r="C47" s="291"/>
      <c r="D47" s="702" t="s">
        <v>2409</v>
      </c>
      <c r="E47" s="703"/>
      <c r="F47" s="703"/>
      <c r="G47" s="703"/>
      <c r="H47" s="702"/>
      <c r="I47" s="704">
        <f ca="1">SUM(I36:I46)</f>
        <v>0</v>
      </c>
      <c r="K47" s="705"/>
      <c r="L47" s="705"/>
      <c r="M47" s="705"/>
      <c r="N47" s="705"/>
      <c r="O47" s="705"/>
      <c r="P47" s="705"/>
      <c r="Q47" s="705"/>
      <c r="R47" s="705"/>
      <c r="S47" s="705"/>
      <c r="T47" s="705"/>
      <c r="U47" s="705"/>
      <c r="V47" s="705"/>
      <c r="W47" s="705"/>
      <c r="X47" s="705"/>
      <c r="Y47" s="705"/>
      <c r="Z47" s="705"/>
      <c r="AA47" s="705"/>
      <c r="AB47" s="705"/>
      <c r="AC47" s="705"/>
      <c r="AD47" s="705"/>
      <c r="AE47" s="705"/>
      <c r="AF47" s="705"/>
      <c r="AG47" s="705"/>
      <c r="AH47" s="705"/>
      <c r="AI47" s="705"/>
      <c r="AJ47" s="705"/>
      <c r="AK47" s="705"/>
      <c r="AL47" s="705"/>
      <c r="AM47" s="705"/>
      <c r="AN47" s="705"/>
      <c r="AO47" s="705"/>
      <c r="AP47" s="705"/>
      <c r="AQ47" s="705"/>
      <c r="AR47" s="705"/>
    </row>
    <row r="48" spans="1:44" ht="11.25" customHeight="1" thickTop="1" x14ac:dyDescent="0.25">
      <c r="A48" s="705"/>
      <c r="C48" s="256"/>
      <c r="D48" s="256"/>
      <c r="E48" s="273"/>
      <c r="F48" s="273"/>
      <c r="G48" s="273"/>
      <c r="H48" s="256"/>
      <c r="I48" s="475"/>
      <c r="K48" s="705"/>
      <c r="L48" s="705"/>
      <c r="M48" s="705"/>
      <c r="N48" s="705"/>
      <c r="O48" s="705"/>
      <c r="P48" s="705"/>
      <c r="Q48" s="705"/>
      <c r="R48" s="705"/>
      <c r="S48" s="705"/>
      <c r="T48" s="705"/>
      <c r="U48" s="705"/>
      <c r="V48" s="705"/>
      <c r="W48" s="705"/>
      <c r="X48" s="705"/>
      <c r="Y48" s="705"/>
      <c r="Z48" s="705"/>
      <c r="AA48" s="705"/>
      <c r="AB48" s="705"/>
      <c r="AC48" s="705"/>
      <c r="AD48" s="705"/>
      <c r="AE48" s="705"/>
      <c r="AF48" s="705"/>
      <c r="AG48" s="705"/>
      <c r="AH48" s="705"/>
      <c r="AI48" s="705"/>
      <c r="AJ48" s="705"/>
      <c r="AK48" s="705"/>
      <c r="AL48" s="705"/>
      <c r="AM48" s="705"/>
      <c r="AN48" s="705"/>
      <c r="AO48" s="705"/>
      <c r="AP48" s="705"/>
      <c r="AQ48" s="705"/>
      <c r="AR48" s="705"/>
    </row>
    <row r="49" spans="1:44" ht="11.25" customHeight="1" x14ac:dyDescent="0.25">
      <c r="A49" s="705"/>
      <c r="C49" s="256"/>
      <c r="D49" s="256"/>
      <c r="E49" s="273"/>
      <c r="F49" s="273"/>
      <c r="G49" s="273"/>
      <c r="H49" s="256"/>
      <c r="I49" s="475"/>
      <c r="K49" s="705"/>
      <c r="L49" s="705"/>
      <c r="M49" s="705"/>
      <c r="N49" s="705"/>
      <c r="O49" s="705"/>
      <c r="P49" s="705"/>
      <c r="Q49" s="705"/>
      <c r="R49" s="705"/>
      <c r="S49" s="705"/>
      <c r="T49" s="705"/>
      <c r="U49" s="705"/>
      <c r="V49" s="705"/>
      <c r="W49" s="705"/>
      <c r="X49" s="705"/>
      <c r="Y49" s="705"/>
      <c r="Z49" s="705"/>
      <c r="AA49" s="705"/>
      <c r="AB49" s="705"/>
      <c r="AC49" s="705"/>
      <c r="AD49" s="705"/>
      <c r="AE49" s="705"/>
      <c r="AF49" s="705"/>
      <c r="AG49" s="705"/>
      <c r="AH49" s="705"/>
      <c r="AI49" s="705"/>
      <c r="AJ49" s="705"/>
      <c r="AK49" s="705"/>
      <c r="AL49" s="705"/>
      <c r="AM49" s="705"/>
      <c r="AN49" s="705"/>
      <c r="AO49" s="705"/>
      <c r="AP49" s="705"/>
      <c r="AQ49" s="705"/>
      <c r="AR49" s="705"/>
    </row>
    <row r="50" spans="1:44" ht="8.25" customHeight="1" x14ac:dyDescent="0.25">
      <c r="A50" s="705"/>
      <c r="C50" s="256"/>
      <c r="D50" s="256"/>
      <c r="E50" s="273"/>
      <c r="F50" s="273"/>
      <c r="G50" s="273"/>
      <c r="H50" s="256"/>
      <c r="I50" s="475"/>
      <c r="K50" s="705"/>
      <c r="L50" s="705"/>
      <c r="M50" s="705"/>
      <c r="N50" s="705"/>
      <c r="O50" s="705"/>
      <c r="P50" s="705"/>
      <c r="Q50" s="705"/>
      <c r="R50" s="705"/>
      <c r="S50" s="705"/>
      <c r="T50" s="705"/>
      <c r="U50" s="705"/>
      <c r="V50" s="705"/>
      <c r="W50" s="705"/>
      <c r="X50" s="705"/>
      <c r="Y50" s="705"/>
      <c r="Z50" s="705"/>
      <c r="AA50" s="705"/>
      <c r="AB50" s="705"/>
      <c r="AC50" s="705"/>
      <c r="AD50" s="705"/>
      <c r="AE50" s="705"/>
      <c r="AF50" s="705"/>
      <c r="AG50" s="705"/>
      <c r="AH50" s="705"/>
      <c r="AI50" s="705"/>
      <c r="AJ50" s="705"/>
      <c r="AK50" s="705"/>
      <c r="AL50" s="705"/>
      <c r="AM50" s="705"/>
      <c r="AN50" s="705"/>
      <c r="AO50" s="705"/>
      <c r="AP50" s="705"/>
      <c r="AQ50" s="705"/>
      <c r="AR50" s="705"/>
    </row>
    <row r="51" spans="1:44" ht="6.75" customHeight="1" x14ac:dyDescent="0.25">
      <c r="A51" s="705"/>
      <c r="C51" s="283"/>
      <c r="D51" s="283"/>
      <c r="E51" s="335"/>
      <c r="F51" s="335"/>
      <c r="G51" s="335"/>
      <c r="H51" s="283"/>
      <c r="I51" s="487"/>
      <c r="J51" s="468"/>
      <c r="K51" s="705"/>
      <c r="L51" s="705"/>
      <c r="M51" s="705"/>
      <c r="N51" s="705"/>
      <c r="O51" s="705"/>
      <c r="P51" s="705"/>
      <c r="Q51" s="705"/>
      <c r="R51" s="705"/>
      <c r="S51" s="705"/>
      <c r="T51" s="705"/>
      <c r="U51" s="705"/>
      <c r="V51" s="705"/>
      <c r="W51" s="705"/>
      <c r="X51" s="705"/>
      <c r="Y51" s="705"/>
      <c r="Z51" s="705"/>
      <c r="AA51" s="705"/>
      <c r="AB51" s="705"/>
      <c r="AC51" s="705"/>
      <c r="AD51" s="705"/>
      <c r="AE51" s="705"/>
      <c r="AF51" s="705"/>
      <c r="AG51" s="705"/>
      <c r="AH51" s="705"/>
      <c r="AI51" s="705"/>
      <c r="AJ51" s="705"/>
      <c r="AK51" s="705"/>
      <c r="AL51" s="705"/>
      <c r="AM51" s="705"/>
      <c r="AN51" s="705"/>
      <c r="AO51" s="705"/>
      <c r="AP51" s="705"/>
      <c r="AQ51" s="705"/>
      <c r="AR51" s="705"/>
    </row>
    <row r="52" spans="1:44" ht="9" customHeight="1" x14ac:dyDescent="0.25">
      <c r="A52" s="705"/>
      <c r="C52" s="256"/>
      <c r="D52" s="256"/>
      <c r="E52" s="273"/>
      <c r="F52" s="273"/>
      <c r="G52" s="273"/>
      <c r="H52" s="256"/>
      <c r="I52" s="475"/>
      <c r="K52" s="705"/>
      <c r="L52" s="705"/>
      <c r="M52" s="705"/>
      <c r="N52" s="705"/>
      <c r="O52" s="705"/>
      <c r="P52" s="705"/>
      <c r="Q52" s="705"/>
      <c r="R52" s="705"/>
      <c r="S52" s="705"/>
      <c r="T52" s="705"/>
      <c r="U52" s="705"/>
      <c r="V52" s="705"/>
      <c r="W52" s="705"/>
      <c r="X52" s="705"/>
      <c r="Y52" s="705"/>
      <c r="Z52" s="705"/>
      <c r="AA52" s="705"/>
      <c r="AB52" s="705"/>
      <c r="AC52" s="705"/>
      <c r="AD52" s="705"/>
      <c r="AE52" s="705"/>
      <c r="AF52" s="705"/>
      <c r="AG52" s="705"/>
      <c r="AH52" s="705"/>
      <c r="AI52" s="705"/>
      <c r="AJ52" s="705"/>
      <c r="AK52" s="705"/>
      <c r="AL52" s="705"/>
      <c r="AM52" s="705"/>
      <c r="AN52" s="705"/>
      <c r="AO52" s="705"/>
      <c r="AP52" s="705"/>
      <c r="AQ52" s="705"/>
      <c r="AR52" s="705"/>
    </row>
    <row r="53" spans="1:44" ht="13" x14ac:dyDescent="0.3">
      <c r="A53" s="705"/>
      <c r="C53" s="256" t="str">
        <f>'basic output'!C57</f>
        <v>prepared by</v>
      </c>
      <c r="D53" s="291" t="str">
        <f>'basic output'!E57</f>
        <v>CBRE</v>
      </c>
      <c r="E53" s="273"/>
      <c r="F53" s="273"/>
      <c r="G53" s="273"/>
      <c r="H53" s="256"/>
      <c r="I53" s="475"/>
      <c r="K53" s="705"/>
      <c r="L53" s="705"/>
      <c r="M53" s="705"/>
      <c r="N53" s="705"/>
      <c r="O53" s="705"/>
      <c r="P53" s="705"/>
      <c r="Q53" s="705"/>
      <c r="R53" s="705"/>
      <c r="S53" s="705"/>
      <c r="T53" s="705"/>
      <c r="U53" s="705"/>
      <c r="V53" s="705"/>
      <c r="W53" s="705"/>
      <c r="X53" s="705"/>
      <c r="Y53" s="705"/>
      <c r="Z53" s="705"/>
      <c r="AA53" s="705"/>
      <c r="AB53" s="705"/>
      <c r="AC53" s="705"/>
      <c r="AD53" s="705"/>
      <c r="AE53" s="705"/>
      <c r="AF53" s="705"/>
      <c r="AG53" s="705"/>
      <c r="AH53" s="705"/>
      <c r="AI53" s="705"/>
      <c r="AJ53" s="705"/>
      <c r="AK53" s="705"/>
      <c r="AL53" s="705"/>
      <c r="AM53" s="705"/>
      <c r="AN53" s="705"/>
      <c r="AO53" s="705"/>
      <c r="AP53" s="705"/>
      <c r="AQ53" s="705"/>
      <c r="AR53" s="705"/>
    </row>
    <row r="54" spans="1:44" ht="11.25" customHeight="1" x14ac:dyDescent="0.25">
      <c r="A54" s="705"/>
      <c r="K54" s="705"/>
      <c r="L54" s="705"/>
      <c r="M54" s="705"/>
      <c r="N54" s="705"/>
      <c r="O54" s="705"/>
      <c r="P54" s="705"/>
      <c r="Q54" s="705"/>
      <c r="R54" s="705"/>
      <c r="S54" s="705"/>
      <c r="T54" s="705"/>
      <c r="U54" s="705"/>
      <c r="V54" s="705"/>
      <c r="W54" s="705"/>
      <c r="X54" s="705"/>
      <c r="Y54" s="705"/>
      <c r="Z54" s="705"/>
      <c r="AA54" s="705"/>
      <c r="AB54" s="705"/>
      <c r="AC54" s="705"/>
      <c r="AD54" s="705"/>
      <c r="AE54" s="705"/>
      <c r="AF54" s="705"/>
      <c r="AG54" s="705"/>
      <c r="AH54" s="705"/>
      <c r="AI54" s="705"/>
      <c r="AJ54" s="705"/>
      <c r="AK54" s="705"/>
      <c r="AL54" s="705"/>
      <c r="AM54" s="705"/>
      <c r="AN54" s="705"/>
      <c r="AO54" s="705"/>
      <c r="AP54" s="705"/>
      <c r="AQ54" s="705"/>
      <c r="AR54" s="705"/>
    </row>
    <row r="55" spans="1:44" x14ac:dyDescent="0.25">
      <c r="A55" s="705"/>
      <c r="B55" s="705"/>
      <c r="C55" s="705"/>
      <c r="D55" s="705"/>
      <c r="E55" s="705"/>
      <c r="F55" s="705"/>
      <c r="G55" s="705"/>
      <c r="H55" s="705"/>
      <c r="I55" s="705"/>
      <c r="J55" s="705"/>
      <c r="K55" s="705"/>
      <c r="L55" s="705"/>
      <c r="M55" s="705"/>
      <c r="N55" s="705"/>
      <c r="O55" s="705"/>
      <c r="P55" s="705"/>
      <c r="Q55" s="705"/>
      <c r="R55" s="705"/>
      <c r="S55" s="705"/>
      <c r="T55" s="705"/>
      <c r="U55" s="705"/>
      <c r="V55" s="705"/>
      <c r="W55" s="705"/>
      <c r="X55" s="705"/>
      <c r="Y55" s="705"/>
      <c r="Z55" s="705"/>
      <c r="AA55" s="705"/>
      <c r="AB55" s="705"/>
      <c r="AC55" s="705"/>
      <c r="AD55" s="705"/>
      <c r="AE55" s="705"/>
      <c r="AF55" s="705"/>
      <c r="AG55" s="705"/>
      <c r="AH55" s="705"/>
      <c r="AI55" s="705"/>
      <c r="AJ55" s="705"/>
      <c r="AK55" s="705"/>
      <c r="AL55" s="705"/>
      <c r="AM55" s="705"/>
      <c r="AN55" s="705"/>
      <c r="AO55" s="705"/>
      <c r="AP55" s="705"/>
      <c r="AQ55" s="705"/>
      <c r="AR55" s="705"/>
    </row>
    <row r="56" spans="1:44" x14ac:dyDescent="0.25">
      <c r="A56" s="705"/>
      <c r="B56" s="705"/>
      <c r="C56" s="705"/>
      <c r="D56" s="705"/>
      <c r="E56" s="705"/>
      <c r="F56" s="705"/>
      <c r="G56" s="705"/>
      <c r="H56" s="705"/>
      <c r="I56" s="705"/>
      <c r="J56" s="705"/>
      <c r="K56" s="705"/>
      <c r="L56" s="705"/>
      <c r="M56" s="705"/>
      <c r="N56" s="705"/>
      <c r="O56" s="705"/>
      <c r="P56" s="705"/>
      <c r="Q56" s="705"/>
      <c r="R56" s="705"/>
      <c r="S56" s="705"/>
      <c r="T56" s="705"/>
      <c r="U56" s="705"/>
      <c r="V56" s="705"/>
      <c r="W56" s="705"/>
      <c r="X56" s="705"/>
      <c r="Y56" s="705"/>
      <c r="Z56" s="705"/>
      <c r="AA56" s="705"/>
      <c r="AB56" s="705"/>
      <c r="AC56" s="705"/>
      <c r="AD56" s="705"/>
      <c r="AE56" s="705"/>
      <c r="AF56" s="705"/>
      <c r="AG56" s="705"/>
      <c r="AH56" s="705"/>
      <c r="AI56" s="705"/>
      <c r="AJ56" s="705"/>
      <c r="AK56" s="705"/>
      <c r="AL56" s="705"/>
      <c r="AM56" s="705"/>
      <c r="AN56" s="705"/>
      <c r="AO56" s="705"/>
      <c r="AP56" s="705"/>
      <c r="AQ56" s="705"/>
      <c r="AR56" s="705"/>
    </row>
    <row r="57" spans="1:44" x14ac:dyDescent="0.25">
      <c r="A57" s="705"/>
      <c r="B57" s="705"/>
      <c r="C57" s="705"/>
      <c r="D57" s="705"/>
      <c r="E57" s="705"/>
      <c r="F57" s="705"/>
      <c r="G57" s="705"/>
      <c r="H57" s="705"/>
      <c r="I57" s="705"/>
      <c r="J57" s="705"/>
      <c r="K57" s="705"/>
      <c r="L57" s="705"/>
      <c r="M57" s="705"/>
      <c r="N57" s="705"/>
      <c r="O57" s="705"/>
      <c r="P57" s="705"/>
      <c r="Q57" s="705"/>
      <c r="R57" s="705"/>
      <c r="S57" s="705"/>
      <c r="T57" s="705"/>
      <c r="U57" s="705"/>
      <c r="V57" s="705"/>
      <c r="W57" s="705"/>
      <c r="X57" s="705"/>
      <c r="Y57" s="705"/>
      <c r="Z57" s="705"/>
      <c r="AA57" s="705"/>
      <c r="AB57" s="705"/>
      <c r="AC57" s="705"/>
      <c r="AD57" s="705"/>
      <c r="AE57" s="705"/>
      <c r="AF57" s="705"/>
      <c r="AG57" s="705"/>
      <c r="AH57" s="705"/>
      <c r="AI57" s="705"/>
      <c r="AJ57" s="705"/>
      <c r="AK57" s="705"/>
      <c r="AL57" s="705"/>
      <c r="AM57" s="705"/>
      <c r="AN57" s="705"/>
      <c r="AO57" s="705"/>
      <c r="AP57" s="705"/>
      <c r="AQ57" s="705"/>
      <c r="AR57" s="705"/>
    </row>
    <row r="58" spans="1:44" x14ac:dyDescent="0.25">
      <c r="A58" s="705"/>
      <c r="B58" s="705"/>
      <c r="C58" s="705"/>
      <c r="D58" s="705"/>
      <c r="E58" s="705"/>
      <c r="F58" s="705"/>
      <c r="G58" s="705"/>
      <c r="H58" s="705"/>
      <c r="I58" s="705"/>
      <c r="J58" s="705"/>
      <c r="K58" s="705"/>
      <c r="L58" s="705"/>
      <c r="M58" s="705"/>
      <c r="N58" s="705"/>
      <c r="O58" s="705"/>
      <c r="P58" s="705"/>
      <c r="Q58" s="705"/>
      <c r="R58" s="705"/>
      <c r="S58" s="705"/>
      <c r="T58" s="705"/>
      <c r="U58" s="705"/>
      <c r="V58" s="705"/>
      <c r="W58" s="705"/>
      <c r="X58" s="705"/>
      <c r="Y58" s="705"/>
      <c r="Z58" s="705"/>
      <c r="AA58" s="705"/>
      <c r="AB58" s="705"/>
      <c r="AC58" s="705"/>
      <c r="AD58" s="705"/>
      <c r="AE58" s="705"/>
      <c r="AF58" s="705"/>
      <c r="AG58" s="705"/>
      <c r="AH58" s="705"/>
      <c r="AI58" s="705"/>
      <c r="AJ58" s="705"/>
      <c r="AK58" s="705"/>
      <c r="AL58" s="705"/>
      <c r="AM58" s="705"/>
      <c r="AN58" s="705"/>
      <c r="AO58" s="705"/>
      <c r="AP58" s="705"/>
      <c r="AQ58" s="705"/>
      <c r="AR58" s="705"/>
    </row>
    <row r="59" spans="1:44" x14ac:dyDescent="0.25">
      <c r="A59" s="705"/>
      <c r="B59" s="705"/>
      <c r="C59" s="705"/>
      <c r="D59" s="705"/>
      <c r="E59" s="705"/>
      <c r="F59" s="705"/>
      <c r="G59" s="705"/>
      <c r="H59" s="705"/>
      <c r="I59" s="705"/>
      <c r="J59" s="705"/>
      <c r="K59" s="705"/>
      <c r="L59" s="705"/>
      <c r="M59" s="705"/>
      <c r="N59" s="705"/>
      <c r="O59" s="705"/>
      <c r="P59" s="705"/>
      <c r="Q59" s="705"/>
      <c r="R59" s="705"/>
      <c r="S59" s="705"/>
      <c r="T59" s="705"/>
      <c r="U59" s="705"/>
      <c r="V59" s="705"/>
      <c r="W59" s="705"/>
      <c r="X59" s="705"/>
      <c r="Y59" s="705"/>
      <c r="Z59" s="705"/>
      <c r="AA59" s="705"/>
      <c r="AB59" s="705"/>
      <c r="AC59" s="705"/>
      <c r="AD59" s="705"/>
      <c r="AE59" s="705"/>
      <c r="AF59" s="705"/>
      <c r="AG59" s="705"/>
      <c r="AH59" s="705"/>
      <c r="AI59" s="705"/>
      <c r="AJ59" s="705"/>
      <c r="AK59" s="705"/>
      <c r="AL59" s="705"/>
      <c r="AM59" s="705"/>
      <c r="AN59" s="705"/>
      <c r="AO59" s="705"/>
      <c r="AP59" s="705"/>
      <c r="AQ59" s="705"/>
      <c r="AR59" s="705"/>
    </row>
    <row r="60" spans="1:44" x14ac:dyDescent="0.25">
      <c r="A60" s="705"/>
      <c r="B60" s="705"/>
      <c r="C60" s="705"/>
      <c r="D60" s="705"/>
      <c r="E60" s="705"/>
      <c r="F60" s="705"/>
      <c r="G60" s="705"/>
      <c r="H60" s="705"/>
      <c r="I60" s="705"/>
      <c r="J60" s="705"/>
      <c r="K60" s="705"/>
      <c r="L60" s="705"/>
      <c r="M60" s="705"/>
      <c r="N60" s="705"/>
      <c r="O60" s="705"/>
      <c r="P60" s="705"/>
      <c r="Q60" s="705"/>
      <c r="R60" s="705"/>
      <c r="S60" s="705"/>
      <c r="T60" s="705"/>
      <c r="U60" s="705"/>
      <c r="V60" s="705"/>
      <c r="W60" s="705"/>
      <c r="X60" s="705"/>
      <c r="Y60" s="705"/>
      <c r="Z60" s="705"/>
      <c r="AA60" s="705"/>
      <c r="AB60" s="705"/>
      <c r="AC60" s="705"/>
      <c r="AD60" s="705"/>
      <c r="AE60" s="705"/>
      <c r="AF60" s="705"/>
      <c r="AG60" s="705"/>
      <c r="AH60" s="705"/>
      <c r="AI60" s="705"/>
      <c r="AJ60" s="705"/>
      <c r="AK60" s="705"/>
      <c r="AL60" s="705"/>
      <c r="AM60" s="705"/>
      <c r="AN60" s="705"/>
      <c r="AO60" s="705"/>
      <c r="AP60" s="705"/>
      <c r="AQ60" s="705"/>
      <c r="AR60" s="705"/>
    </row>
    <row r="61" spans="1:44" x14ac:dyDescent="0.25">
      <c r="A61" s="705"/>
      <c r="B61" s="705"/>
      <c r="C61" s="705"/>
      <c r="D61" s="705"/>
      <c r="E61" s="705"/>
      <c r="F61" s="705"/>
      <c r="G61" s="705"/>
      <c r="H61" s="705"/>
      <c r="I61" s="705"/>
      <c r="J61" s="705"/>
      <c r="K61" s="705"/>
      <c r="L61" s="705"/>
      <c r="M61" s="705"/>
      <c r="N61" s="705"/>
      <c r="O61" s="705"/>
      <c r="P61" s="705"/>
      <c r="Q61" s="705"/>
      <c r="R61" s="705"/>
      <c r="S61" s="705"/>
      <c r="T61" s="705"/>
      <c r="U61" s="705"/>
      <c r="V61" s="705"/>
      <c r="W61" s="705"/>
      <c r="X61" s="705"/>
      <c r="Y61" s="705"/>
      <c r="Z61" s="705"/>
      <c r="AA61" s="705"/>
      <c r="AB61" s="705"/>
      <c r="AC61" s="705"/>
      <c r="AD61" s="705"/>
      <c r="AE61" s="705"/>
      <c r="AF61" s="705"/>
      <c r="AG61" s="705"/>
      <c r="AH61" s="705"/>
      <c r="AI61" s="705"/>
      <c r="AJ61" s="705"/>
      <c r="AK61" s="705"/>
      <c r="AL61" s="705"/>
      <c r="AM61" s="705"/>
      <c r="AN61" s="705"/>
      <c r="AO61" s="705"/>
      <c r="AP61" s="705"/>
      <c r="AQ61" s="705"/>
      <c r="AR61" s="705"/>
    </row>
    <row r="62" spans="1:44" x14ac:dyDescent="0.25">
      <c r="A62" s="705"/>
      <c r="B62" s="705"/>
      <c r="C62" s="705"/>
      <c r="D62" s="705"/>
      <c r="E62" s="705"/>
      <c r="F62" s="705"/>
      <c r="G62" s="705"/>
      <c r="H62" s="705"/>
      <c r="I62" s="705"/>
      <c r="J62" s="705"/>
      <c r="K62" s="705"/>
      <c r="L62" s="705"/>
      <c r="M62" s="705"/>
      <c r="N62" s="705"/>
      <c r="O62" s="705"/>
      <c r="P62" s="705"/>
      <c r="Q62" s="705"/>
      <c r="R62" s="705"/>
      <c r="S62" s="705"/>
      <c r="T62" s="705"/>
      <c r="U62" s="705"/>
      <c r="V62" s="705"/>
      <c r="W62" s="705"/>
      <c r="X62" s="705"/>
      <c r="Y62" s="705"/>
      <c r="Z62" s="705"/>
      <c r="AA62" s="705"/>
      <c r="AB62" s="705"/>
      <c r="AC62" s="705"/>
      <c r="AD62" s="705"/>
      <c r="AE62" s="705"/>
      <c r="AF62" s="705"/>
      <c r="AG62" s="705"/>
      <c r="AH62" s="705"/>
      <c r="AI62" s="705"/>
      <c r="AJ62" s="705"/>
      <c r="AK62" s="705"/>
      <c r="AL62" s="705"/>
      <c r="AM62" s="705"/>
      <c r="AN62" s="705"/>
      <c r="AO62" s="705"/>
      <c r="AP62" s="705"/>
      <c r="AQ62" s="705"/>
      <c r="AR62" s="705"/>
    </row>
    <row r="63" spans="1:44" x14ac:dyDescent="0.25">
      <c r="A63" s="705"/>
      <c r="B63" s="705"/>
      <c r="C63" s="705"/>
      <c r="D63" s="705"/>
      <c r="E63" s="705"/>
      <c r="F63" s="705"/>
      <c r="G63" s="705"/>
      <c r="H63" s="705"/>
      <c r="I63" s="705"/>
      <c r="J63" s="705"/>
      <c r="K63" s="705"/>
      <c r="L63" s="705"/>
      <c r="M63" s="705"/>
      <c r="N63" s="705"/>
      <c r="O63" s="705"/>
      <c r="P63" s="705"/>
      <c r="Q63" s="705"/>
      <c r="R63" s="705"/>
      <c r="S63" s="705"/>
      <c r="T63" s="705"/>
      <c r="U63" s="705"/>
      <c r="V63" s="705"/>
      <c r="W63" s="705"/>
      <c r="X63" s="705"/>
      <c r="Y63" s="705"/>
      <c r="Z63" s="705"/>
      <c r="AA63" s="705"/>
      <c r="AB63" s="705"/>
      <c r="AC63" s="705"/>
      <c r="AD63" s="705"/>
      <c r="AE63" s="705"/>
      <c r="AF63" s="705"/>
      <c r="AG63" s="705"/>
      <c r="AH63" s="705"/>
      <c r="AI63" s="705"/>
      <c r="AJ63" s="705"/>
      <c r="AK63" s="705"/>
      <c r="AL63" s="705"/>
      <c r="AM63" s="705"/>
      <c r="AN63" s="705"/>
      <c r="AO63" s="705"/>
      <c r="AP63" s="705"/>
      <c r="AQ63" s="705"/>
      <c r="AR63" s="705"/>
    </row>
    <row r="64" spans="1:44" x14ac:dyDescent="0.25">
      <c r="A64" s="705"/>
      <c r="B64" s="705"/>
      <c r="C64" s="705"/>
      <c r="D64" s="705"/>
      <c r="E64" s="705"/>
      <c r="F64" s="705"/>
      <c r="G64" s="705"/>
      <c r="H64" s="705"/>
      <c r="I64" s="705"/>
      <c r="J64" s="705"/>
      <c r="K64" s="705"/>
      <c r="L64" s="705"/>
      <c r="M64" s="705"/>
      <c r="N64" s="705"/>
      <c r="O64" s="705"/>
      <c r="P64" s="705"/>
      <c r="Q64" s="705"/>
      <c r="R64" s="705"/>
      <c r="S64" s="705"/>
      <c r="T64" s="705"/>
      <c r="U64" s="705"/>
      <c r="V64" s="705"/>
      <c r="W64" s="705"/>
      <c r="X64" s="705"/>
      <c r="Y64" s="705"/>
      <c r="Z64" s="705"/>
      <c r="AA64" s="705"/>
      <c r="AB64" s="705"/>
      <c r="AC64" s="705"/>
      <c r="AD64" s="705"/>
      <c r="AE64" s="705"/>
      <c r="AF64" s="705"/>
      <c r="AG64" s="705"/>
      <c r="AH64" s="705"/>
      <c r="AI64" s="705"/>
      <c r="AJ64" s="705"/>
      <c r="AK64" s="705"/>
      <c r="AL64" s="705"/>
      <c r="AM64" s="705"/>
      <c r="AN64" s="705"/>
      <c r="AO64" s="705"/>
      <c r="AP64" s="705"/>
      <c r="AQ64" s="705"/>
      <c r="AR64" s="705"/>
    </row>
    <row r="65" spans="1:44" x14ac:dyDescent="0.25">
      <c r="A65" s="705"/>
      <c r="B65" s="705"/>
      <c r="C65" s="705"/>
      <c r="D65" s="705"/>
      <c r="E65" s="705"/>
      <c r="F65" s="705"/>
      <c r="G65" s="705"/>
      <c r="H65" s="705"/>
      <c r="I65" s="705"/>
      <c r="J65" s="705"/>
      <c r="K65" s="705"/>
      <c r="L65" s="705"/>
      <c r="M65" s="705"/>
      <c r="N65" s="705"/>
      <c r="O65" s="705"/>
      <c r="P65" s="705"/>
      <c r="Q65" s="705"/>
      <c r="R65" s="705"/>
      <c r="S65" s="705"/>
      <c r="T65" s="705"/>
      <c r="U65" s="705"/>
      <c r="V65" s="705"/>
      <c r="W65" s="705"/>
      <c r="X65" s="705"/>
      <c r="Y65" s="705"/>
      <c r="Z65" s="705"/>
      <c r="AA65" s="705"/>
      <c r="AB65" s="705"/>
      <c r="AC65" s="705"/>
      <c r="AD65" s="705"/>
      <c r="AE65" s="705"/>
      <c r="AF65" s="705"/>
      <c r="AG65" s="705"/>
      <c r="AH65" s="705"/>
      <c r="AI65" s="705"/>
      <c r="AJ65" s="705"/>
      <c r="AK65" s="705"/>
      <c r="AL65" s="705"/>
      <c r="AM65" s="705"/>
      <c r="AN65" s="705"/>
      <c r="AO65" s="705"/>
      <c r="AP65" s="705"/>
      <c r="AQ65" s="705"/>
      <c r="AR65" s="705"/>
    </row>
    <row r="66" spans="1:44" x14ac:dyDescent="0.25">
      <c r="A66" s="705"/>
      <c r="B66" s="705"/>
      <c r="C66" s="705"/>
      <c r="D66" s="705"/>
      <c r="E66" s="705"/>
      <c r="F66" s="705"/>
      <c r="G66" s="705"/>
      <c r="H66" s="705"/>
      <c r="I66" s="705"/>
      <c r="J66" s="705"/>
      <c r="K66" s="705"/>
      <c r="L66" s="705"/>
      <c r="M66" s="705"/>
      <c r="N66" s="705"/>
      <c r="O66" s="705"/>
      <c r="P66" s="705"/>
      <c r="Q66" s="705"/>
      <c r="R66" s="705"/>
      <c r="S66" s="705"/>
      <c r="T66" s="705"/>
      <c r="U66" s="705"/>
      <c r="V66" s="705"/>
      <c r="W66" s="705"/>
      <c r="X66" s="705"/>
      <c r="Y66" s="705"/>
      <c r="Z66" s="705"/>
      <c r="AA66" s="705"/>
      <c r="AB66" s="705"/>
      <c r="AC66" s="705"/>
      <c r="AD66" s="705"/>
      <c r="AE66" s="705"/>
      <c r="AF66" s="705"/>
      <c r="AG66" s="705"/>
      <c r="AH66" s="705"/>
      <c r="AI66" s="705"/>
      <c r="AJ66" s="705"/>
      <c r="AK66" s="705"/>
      <c r="AL66" s="705"/>
      <c r="AM66" s="705"/>
      <c r="AN66" s="705"/>
      <c r="AO66" s="705"/>
      <c r="AP66" s="705"/>
      <c r="AQ66" s="705"/>
      <c r="AR66" s="705"/>
    </row>
    <row r="67" spans="1:44" x14ac:dyDescent="0.25">
      <c r="A67" s="705"/>
      <c r="B67" s="705"/>
      <c r="C67" s="705"/>
      <c r="D67" s="705"/>
      <c r="E67" s="705"/>
      <c r="F67" s="705"/>
      <c r="G67" s="705"/>
      <c r="H67" s="705"/>
      <c r="I67" s="705"/>
      <c r="J67" s="705"/>
      <c r="K67" s="705"/>
      <c r="L67" s="705"/>
      <c r="M67" s="705"/>
      <c r="N67" s="705"/>
      <c r="O67" s="705"/>
      <c r="P67" s="705"/>
      <c r="Q67" s="705"/>
      <c r="R67" s="705"/>
      <c r="S67" s="705"/>
      <c r="T67" s="705"/>
      <c r="U67" s="705"/>
      <c r="V67" s="705"/>
      <c r="W67" s="705"/>
      <c r="X67" s="705"/>
      <c r="Y67" s="705"/>
      <c r="Z67" s="705"/>
      <c r="AA67" s="705"/>
      <c r="AB67" s="705"/>
      <c r="AC67" s="705"/>
      <c r="AD67" s="705"/>
      <c r="AE67" s="705"/>
      <c r="AF67" s="705"/>
      <c r="AG67" s="705"/>
      <c r="AH67" s="705"/>
      <c r="AI67" s="705"/>
      <c r="AJ67" s="705"/>
      <c r="AK67" s="705"/>
      <c r="AL67" s="705"/>
      <c r="AM67" s="705"/>
      <c r="AN67" s="705"/>
      <c r="AO67" s="705"/>
      <c r="AP67" s="705"/>
      <c r="AQ67" s="705"/>
      <c r="AR67" s="705"/>
    </row>
    <row r="68" spans="1:44" x14ac:dyDescent="0.25">
      <c r="A68" s="705"/>
      <c r="B68" s="705"/>
      <c r="C68" s="705"/>
      <c r="D68" s="705"/>
      <c r="E68" s="705"/>
      <c r="F68" s="705"/>
      <c r="G68" s="705"/>
      <c r="H68" s="705"/>
      <c r="I68" s="705"/>
      <c r="J68" s="705"/>
      <c r="K68" s="705"/>
      <c r="L68" s="705"/>
      <c r="M68" s="705"/>
      <c r="N68" s="705"/>
      <c r="O68" s="705"/>
      <c r="P68" s="705"/>
      <c r="Q68" s="705"/>
      <c r="R68" s="705"/>
      <c r="S68" s="705"/>
      <c r="T68" s="705"/>
      <c r="U68" s="705"/>
      <c r="V68" s="705"/>
      <c r="W68" s="705"/>
      <c r="X68" s="705"/>
      <c r="Y68" s="705"/>
      <c r="Z68" s="705"/>
      <c r="AA68" s="705"/>
      <c r="AB68" s="705"/>
      <c r="AC68" s="705"/>
      <c r="AD68" s="705"/>
      <c r="AE68" s="705"/>
      <c r="AF68" s="705"/>
      <c r="AG68" s="705"/>
      <c r="AH68" s="705"/>
      <c r="AI68" s="705"/>
      <c r="AJ68" s="705"/>
      <c r="AK68" s="705"/>
      <c r="AL68" s="705"/>
      <c r="AM68" s="705"/>
      <c r="AN68" s="705"/>
      <c r="AO68" s="705"/>
      <c r="AP68" s="705"/>
      <c r="AQ68" s="705"/>
      <c r="AR68" s="705"/>
    </row>
    <row r="69" spans="1:44" x14ac:dyDescent="0.25">
      <c r="A69" s="705"/>
      <c r="B69" s="705"/>
      <c r="C69" s="705"/>
      <c r="D69" s="705"/>
      <c r="E69" s="705"/>
      <c r="F69" s="705"/>
      <c r="G69" s="705"/>
      <c r="H69" s="705"/>
      <c r="I69" s="705"/>
      <c r="J69" s="705"/>
      <c r="K69" s="705"/>
      <c r="L69" s="705"/>
      <c r="M69" s="705"/>
      <c r="N69" s="705"/>
      <c r="O69" s="705"/>
      <c r="P69" s="705"/>
      <c r="Q69" s="705"/>
      <c r="R69" s="705"/>
      <c r="S69" s="705"/>
      <c r="T69" s="705"/>
      <c r="U69" s="705"/>
      <c r="V69" s="705"/>
      <c r="W69" s="705"/>
      <c r="X69" s="705"/>
      <c r="Y69" s="705"/>
      <c r="Z69" s="705"/>
      <c r="AA69" s="705"/>
      <c r="AB69" s="705"/>
      <c r="AC69" s="705"/>
      <c r="AD69" s="705"/>
      <c r="AE69" s="705"/>
      <c r="AF69" s="705"/>
      <c r="AG69" s="705"/>
      <c r="AH69" s="705"/>
      <c r="AI69" s="705"/>
      <c r="AJ69" s="705"/>
      <c r="AK69" s="705"/>
      <c r="AL69" s="705"/>
      <c r="AM69" s="705"/>
      <c r="AN69" s="705"/>
      <c r="AO69" s="705"/>
      <c r="AP69" s="705"/>
      <c r="AQ69" s="705"/>
      <c r="AR69" s="705"/>
    </row>
    <row r="70" spans="1:44" x14ac:dyDescent="0.25">
      <c r="A70" s="705"/>
      <c r="B70" s="705"/>
      <c r="C70" s="705"/>
      <c r="D70" s="705"/>
      <c r="E70" s="705"/>
      <c r="F70" s="705"/>
      <c r="G70" s="705"/>
      <c r="H70" s="705"/>
      <c r="I70" s="705"/>
      <c r="J70" s="705"/>
      <c r="K70" s="705"/>
      <c r="L70" s="705"/>
      <c r="M70" s="705"/>
      <c r="N70" s="705"/>
      <c r="O70" s="705"/>
      <c r="P70" s="705"/>
      <c r="Q70" s="705"/>
      <c r="R70" s="705"/>
      <c r="S70" s="705"/>
      <c r="T70" s="705"/>
      <c r="U70" s="705"/>
      <c r="V70" s="705"/>
      <c r="W70" s="705"/>
      <c r="X70" s="705"/>
      <c r="Y70" s="705"/>
      <c r="Z70" s="705"/>
      <c r="AA70" s="705"/>
      <c r="AB70" s="705"/>
      <c r="AC70" s="705"/>
      <c r="AD70" s="705"/>
      <c r="AE70" s="705"/>
      <c r="AF70" s="705"/>
      <c r="AG70" s="705"/>
      <c r="AH70" s="705"/>
      <c r="AI70" s="705"/>
      <c r="AJ70" s="705"/>
      <c r="AK70" s="705"/>
      <c r="AL70" s="705"/>
      <c r="AM70" s="705"/>
      <c r="AN70" s="705"/>
      <c r="AO70" s="705"/>
      <c r="AP70" s="705"/>
      <c r="AQ70" s="705"/>
      <c r="AR70" s="705"/>
    </row>
    <row r="71" spans="1:44" x14ac:dyDescent="0.25">
      <c r="A71" s="705"/>
      <c r="B71" s="705"/>
      <c r="C71" s="705"/>
      <c r="D71" s="705"/>
      <c r="E71" s="705"/>
      <c r="F71" s="705"/>
      <c r="G71" s="705"/>
      <c r="H71" s="705"/>
      <c r="I71" s="705"/>
      <c r="J71" s="705"/>
      <c r="K71" s="705"/>
      <c r="L71" s="705"/>
      <c r="M71" s="705"/>
      <c r="N71" s="705"/>
      <c r="O71" s="705"/>
      <c r="P71" s="705"/>
      <c r="Q71" s="705"/>
      <c r="R71" s="705"/>
      <c r="S71" s="705"/>
      <c r="T71" s="705"/>
      <c r="U71" s="705"/>
      <c r="V71" s="705"/>
      <c r="W71" s="705"/>
      <c r="X71" s="705"/>
      <c r="Y71" s="705"/>
      <c r="Z71" s="705"/>
      <c r="AA71" s="705"/>
      <c r="AB71" s="705"/>
      <c r="AC71" s="705"/>
      <c r="AD71" s="705"/>
      <c r="AE71" s="705"/>
      <c r="AF71" s="705"/>
      <c r="AG71" s="705"/>
      <c r="AH71" s="705"/>
      <c r="AI71" s="705"/>
      <c r="AJ71" s="705"/>
      <c r="AK71" s="705"/>
      <c r="AL71" s="705"/>
      <c r="AM71" s="705"/>
      <c r="AN71" s="705"/>
      <c r="AO71" s="705"/>
      <c r="AP71" s="705"/>
      <c r="AQ71" s="705"/>
      <c r="AR71" s="705"/>
    </row>
    <row r="72" spans="1:44" x14ac:dyDescent="0.25">
      <c r="A72" s="705"/>
      <c r="B72" s="705"/>
      <c r="C72" s="705"/>
      <c r="D72" s="705"/>
      <c r="E72" s="705"/>
      <c r="F72" s="705"/>
      <c r="G72" s="705"/>
      <c r="H72" s="705"/>
      <c r="I72" s="705"/>
      <c r="J72" s="705"/>
      <c r="K72" s="705"/>
      <c r="L72" s="705"/>
      <c r="M72" s="705"/>
      <c r="N72" s="705"/>
      <c r="O72" s="705"/>
      <c r="P72" s="705"/>
      <c r="Q72" s="705"/>
      <c r="R72" s="705"/>
      <c r="S72" s="705"/>
      <c r="T72" s="705"/>
      <c r="U72" s="705"/>
      <c r="V72" s="705"/>
      <c r="W72" s="705"/>
      <c r="X72" s="705"/>
      <c r="Y72" s="705"/>
      <c r="Z72" s="705"/>
      <c r="AA72" s="705"/>
      <c r="AB72" s="705"/>
      <c r="AC72" s="705"/>
      <c r="AD72" s="705"/>
      <c r="AE72" s="705"/>
      <c r="AF72" s="705"/>
      <c r="AG72" s="705"/>
      <c r="AH72" s="705"/>
      <c r="AI72" s="705"/>
      <c r="AJ72" s="705"/>
      <c r="AK72" s="705"/>
      <c r="AL72" s="705"/>
      <c r="AM72" s="705"/>
      <c r="AN72" s="705"/>
      <c r="AO72" s="705"/>
      <c r="AP72" s="705"/>
      <c r="AQ72" s="705"/>
      <c r="AR72" s="705"/>
    </row>
    <row r="73" spans="1:44" x14ac:dyDescent="0.25">
      <c r="A73" s="705"/>
      <c r="B73" s="705"/>
      <c r="C73" s="705"/>
      <c r="D73" s="705"/>
      <c r="E73" s="705"/>
      <c r="F73" s="705"/>
      <c r="G73" s="705"/>
      <c r="H73" s="705"/>
      <c r="I73" s="705"/>
      <c r="J73" s="705"/>
      <c r="K73" s="705"/>
      <c r="L73" s="705"/>
      <c r="M73" s="705"/>
      <c r="N73" s="705"/>
      <c r="O73" s="705"/>
      <c r="P73" s="705"/>
      <c r="Q73" s="705"/>
      <c r="R73" s="705"/>
      <c r="S73" s="705"/>
      <c r="T73" s="705"/>
      <c r="U73" s="705"/>
      <c r="V73" s="705"/>
      <c r="W73" s="705"/>
      <c r="X73" s="705"/>
      <c r="Y73" s="705"/>
      <c r="Z73" s="705"/>
      <c r="AA73" s="705"/>
      <c r="AB73" s="705"/>
      <c r="AC73" s="705"/>
      <c r="AD73" s="705"/>
      <c r="AE73" s="705"/>
      <c r="AF73" s="705"/>
      <c r="AG73" s="705"/>
      <c r="AH73" s="705"/>
      <c r="AI73" s="705"/>
      <c r="AJ73" s="705"/>
      <c r="AK73" s="705"/>
      <c r="AL73" s="705"/>
      <c r="AM73" s="705"/>
      <c r="AN73" s="705"/>
      <c r="AO73" s="705"/>
      <c r="AP73" s="705"/>
      <c r="AQ73" s="705"/>
      <c r="AR73" s="705"/>
    </row>
    <row r="74" spans="1:44" x14ac:dyDescent="0.25">
      <c r="A74" s="705"/>
      <c r="B74" s="705"/>
      <c r="C74" s="705"/>
      <c r="D74" s="705"/>
      <c r="E74" s="705"/>
      <c r="F74" s="705"/>
      <c r="G74" s="705"/>
      <c r="H74" s="705"/>
      <c r="I74" s="705"/>
      <c r="J74" s="705"/>
      <c r="K74" s="705"/>
      <c r="L74" s="705"/>
      <c r="M74" s="705"/>
      <c r="N74" s="705"/>
      <c r="O74" s="705"/>
      <c r="P74" s="705"/>
      <c r="Q74" s="705"/>
      <c r="R74" s="705"/>
      <c r="S74" s="705"/>
      <c r="T74" s="705"/>
      <c r="U74" s="705"/>
      <c r="V74" s="705"/>
      <c r="W74" s="705"/>
      <c r="X74" s="705"/>
      <c r="Y74" s="705"/>
      <c r="Z74" s="705"/>
      <c r="AA74" s="705"/>
      <c r="AB74" s="705"/>
      <c r="AC74" s="705"/>
      <c r="AD74" s="705"/>
      <c r="AE74" s="705"/>
      <c r="AF74" s="705"/>
      <c r="AG74" s="705"/>
      <c r="AH74" s="705"/>
      <c r="AI74" s="705"/>
      <c r="AJ74" s="705"/>
      <c r="AK74" s="705"/>
      <c r="AL74" s="705"/>
      <c r="AM74" s="705"/>
      <c r="AN74" s="705"/>
      <c r="AO74" s="705"/>
      <c r="AP74" s="705"/>
      <c r="AQ74" s="705"/>
      <c r="AR74" s="705"/>
    </row>
    <row r="75" spans="1:44" x14ac:dyDescent="0.25">
      <c r="A75" s="705"/>
      <c r="B75" s="705"/>
      <c r="C75" s="705"/>
      <c r="D75" s="705"/>
      <c r="E75" s="705"/>
      <c r="F75" s="705"/>
      <c r="G75" s="705"/>
      <c r="H75" s="705"/>
      <c r="I75" s="705"/>
      <c r="J75" s="705"/>
      <c r="K75" s="705"/>
      <c r="L75" s="705"/>
      <c r="M75" s="705"/>
      <c r="N75" s="705"/>
      <c r="O75" s="705"/>
      <c r="P75" s="705"/>
      <c r="Q75" s="705"/>
      <c r="R75" s="705"/>
      <c r="S75" s="705"/>
      <c r="T75" s="705"/>
      <c r="U75" s="705"/>
      <c r="V75" s="705"/>
      <c r="W75" s="705"/>
      <c r="X75" s="705"/>
      <c r="Y75" s="705"/>
      <c r="Z75" s="705"/>
      <c r="AA75" s="705"/>
      <c r="AB75" s="705"/>
      <c r="AC75" s="705"/>
      <c r="AD75" s="705"/>
      <c r="AE75" s="705"/>
      <c r="AF75" s="705"/>
      <c r="AG75" s="705"/>
      <c r="AH75" s="705"/>
      <c r="AI75" s="705"/>
      <c r="AJ75" s="705"/>
      <c r="AK75" s="705"/>
      <c r="AL75" s="705"/>
      <c r="AM75" s="705"/>
      <c r="AN75" s="705"/>
      <c r="AO75" s="705"/>
      <c r="AP75" s="705"/>
      <c r="AQ75" s="705"/>
      <c r="AR75" s="705"/>
    </row>
    <row r="76" spans="1:44" x14ac:dyDescent="0.25">
      <c r="A76" s="705"/>
      <c r="B76" s="705"/>
      <c r="C76" s="705"/>
      <c r="D76" s="705"/>
      <c r="E76" s="705"/>
      <c r="F76" s="705"/>
      <c r="G76" s="705"/>
      <c r="H76" s="705"/>
      <c r="I76" s="705"/>
      <c r="J76" s="705"/>
      <c r="K76" s="705"/>
      <c r="L76" s="705"/>
      <c r="M76" s="705"/>
      <c r="N76" s="705"/>
      <c r="O76" s="705"/>
      <c r="P76" s="705"/>
      <c r="Q76" s="705"/>
      <c r="R76" s="705"/>
      <c r="S76" s="705"/>
      <c r="T76" s="705"/>
      <c r="U76" s="705"/>
      <c r="V76" s="705"/>
      <c r="W76" s="705"/>
      <c r="X76" s="705"/>
      <c r="Y76" s="705"/>
      <c r="Z76" s="705"/>
      <c r="AA76" s="705"/>
      <c r="AB76" s="705"/>
      <c r="AC76" s="705"/>
      <c r="AD76" s="705"/>
      <c r="AE76" s="705"/>
      <c r="AF76" s="705"/>
      <c r="AG76" s="705"/>
      <c r="AH76" s="705"/>
      <c r="AI76" s="705"/>
      <c r="AJ76" s="705"/>
      <c r="AK76" s="705"/>
      <c r="AL76" s="705"/>
      <c r="AM76" s="705"/>
      <c r="AN76" s="705"/>
      <c r="AO76" s="705"/>
      <c r="AP76" s="705"/>
      <c r="AQ76" s="705"/>
      <c r="AR76" s="705"/>
    </row>
    <row r="77" spans="1:44" x14ac:dyDescent="0.25">
      <c r="A77" s="705"/>
      <c r="B77" s="705"/>
      <c r="C77" s="705"/>
      <c r="D77" s="705"/>
      <c r="E77" s="705"/>
      <c r="F77" s="705"/>
      <c r="G77" s="705"/>
      <c r="H77" s="705"/>
      <c r="I77" s="705"/>
      <c r="J77" s="705"/>
      <c r="K77" s="705"/>
      <c r="L77" s="705"/>
      <c r="M77" s="705"/>
      <c r="N77" s="705"/>
      <c r="O77" s="705"/>
      <c r="P77" s="705"/>
      <c r="Q77" s="705"/>
      <c r="R77" s="705"/>
      <c r="S77" s="705"/>
      <c r="T77" s="705"/>
      <c r="U77" s="705"/>
      <c r="V77" s="705"/>
      <c r="W77" s="705"/>
      <c r="X77" s="705"/>
      <c r="Y77" s="705"/>
      <c r="Z77" s="705"/>
      <c r="AA77" s="705"/>
      <c r="AB77" s="705"/>
      <c r="AC77" s="705"/>
      <c r="AD77" s="705"/>
      <c r="AE77" s="705"/>
      <c r="AF77" s="705"/>
      <c r="AG77" s="705"/>
      <c r="AH77" s="705"/>
      <c r="AI77" s="705"/>
      <c r="AJ77" s="705"/>
      <c r="AK77" s="705"/>
      <c r="AL77" s="705"/>
      <c r="AM77" s="705"/>
      <c r="AN77" s="705"/>
      <c r="AO77" s="705"/>
      <c r="AP77" s="705"/>
      <c r="AQ77" s="705"/>
      <c r="AR77" s="705"/>
    </row>
    <row r="78" spans="1:44" x14ac:dyDescent="0.25">
      <c r="A78" s="705"/>
      <c r="B78" s="705"/>
      <c r="C78" s="705"/>
      <c r="D78" s="705"/>
      <c r="E78" s="705"/>
      <c r="F78" s="705"/>
      <c r="G78" s="705"/>
      <c r="H78" s="705"/>
      <c r="I78" s="705"/>
      <c r="J78" s="705"/>
      <c r="K78" s="705"/>
      <c r="L78" s="705"/>
      <c r="M78" s="705"/>
      <c r="N78" s="705"/>
      <c r="O78" s="705"/>
      <c r="P78" s="705"/>
      <c r="Q78" s="705"/>
      <c r="R78" s="705"/>
      <c r="S78" s="705"/>
      <c r="T78" s="705"/>
      <c r="U78" s="705"/>
      <c r="V78" s="705"/>
      <c r="W78" s="705"/>
      <c r="X78" s="705"/>
      <c r="Y78" s="705"/>
      <c r="Z78" s="705"/>
      <c r="AA78" s="705"/>
      <c r="AB78" s="705"/>
      <c r="AC78" s="705"/>
      <c r="AD78" s="705"/>
      <c r="AE78" s="705"/>
      <c r="AF78" s="705"/>
      <c r="AG78" s="705"/>
      <c r="AH78" s="705"/>
      <c r="AI78" s="705"/>
      <c r="AJ78" s="705"/>
      <c r="AK78" s="705"/>
      <c r="AL78" s="705"/>
      <c r="AM78" s="705"/>
      <c r="AN78" s="705"/>
      <c r="AO78" s="705"/>
      <c r="AP78" s="705"/>
      <c r="AQ78" s="705"/>
      <c r="AR78" s="705"/>
    </row>
    <row r="79" spans="1:44" x14ac:dyDescent="0.25">
      <c r="A79" s="705"/>
      <c r="B79" s="705"/>
      <c r="C79" s="705"/>
      <c r="D79" s="705"/>
      <c r="E79" s="705"/>
      <c r="F79" s="705"/>
      <c r="G79" s="705"/>
      <c r="H79" s="705"/>
      <c r="I79" s="705"/>
      <c r="J79" s="705"/>
      <c r="K79" s="705"/>
      <c r="L79" s="705"/>
      <c r="M79" s="705"/>
      <c r="N79" s="705"/>
      <c r="O79" s="705"/>
      <c r="P79" s="705"/>
      <c r="Q79" s="705"/>
      <c r="R79" s="705"/>
      <c r="S79" s="705"/>
      <c r="T79" s="705"/>
      <c r="U79" s="705"/>
      <c r="V79" s="705"/>
      <c r="W79" s="705"/>
      <c r="X79" s="705"/>
      <c r="Y79" s="705"/>
      <c r="Z79" s="705"/>
      <c r="AA79" s="705"/>
      <c r="AB79" s="705"/>
      <c r="AC79" s="705"/>
      <c r="AD79" s="705"/>
      <c r="AE79" s="705"/>
      <c r="AF79" s="705"/>
      <c r="AG79" s="705"/>
      <c r="AH79" s="705"/>
      <c r="AI79" s="705"/>
      <c r="AJ79" s="705"/>
      <c r="AK79" s="705"/>
      <c r="AL79" s="705"/>
      <c r="AM79" s="705"/>
      <c r="AN79" s="705"/>
      <c r="AO79" s="705"/>
      <c r="AP79" s="705"/>
      <c r="AQ79" s="705"/>
      <c r="AR79" s="705"/>
    </row>
    <row r="80" spans="1:44" x14ac:dyDescent="0.25">
      <c r="A80" s="705"/>
      <c r="B80" s="705"/>
      <c r="C80" s="705"/>
      <c r="D80" s="705"/>
      <c r="E80" s="705"/>
      <c r="F80" s="705"/>
      <c r="G80" s="705"/>
      <c r="H80" s="705"/>
      <c r="I80" s="705"/>
      <c r="J80" s="705"/>
      <c r="K80" s="705"/>
      <c r="L80" s="705"/>
      <c r="M80" s="705"/>
      <c r="N80" s="705"/>
      <c r="O80" s="705"/>
      <c r="P80" s="705"/>
      <c r="Q80" s="705"/>
      <c r="R80" s="705"/>
      <c r="S80" s="705"/>
      <c r="T80" s="705"/>
      <c r="U80" s="705"/>
      <c r="V80" s="705"/>
      <c r="W80" s="705"/>
      <c r="X80" s="705"/>
      <c r="Y80" s="705"/>
      <c r="Z80" s="705"/>
      <c r="AA80" s="705"/>
      <c r="AB80" s="705"/>
      <c r="AC80" s="705"/>
      <c r="AD80" s="705"/>
      <c r="AE80" s="705"/>
      <c r="AF80" s="705"/>
      <c r="AG80" s="705"/>
      <c r="AH80" s="705"/>
      <c r="AI80" s="705"/>
      <c r="AJ80" s="705"/>
      <c r="AK80" s="705"/>
      <c r="AL80" s="705"/>
      <c r="AM80" s="705"/>
      <c r="AN80" s="705"/>
      <c r="AO80" s="705"/>
      <c r="AP80" s="705"/>
      <c r="AQ80" s="705"/>
      <c r="AR80" s="705"/>
    </row>
    <row r="81" spans="1:44" x14ac:dyDescent="0.25">
      <c r="A81" s="705"/>
      <c r="B81" s="705"/>
      <c r="C81" s="705"/>
      <c r="D81" s="705"/>
      <c r="E81" s="705"/>
      <c r="F81" s="705"/>
      <c r="G81" s="705"/>
      <c r="H81" s="705"/>
      <c r="I81" s="705"/>
      <c r="J81" s="705"/>
      <c r="K81" s="705"/>
      <c r="L81" s="705"/>
      <c r="M81" s="705"/>
      <c r="N81" s="705"/>
      <c r="O81" s="705"/>
      <c r="P81" s="705"/>
      <c r="Q81" s="705"/>
      <c r="R81" s="705"/>
      <c r="S81" s="705"/>
      <c r="T81" s="705"/>
      <c r="U81" s="705"/>
      <c r="V81" s="705"/>
      <c r="W81" s="705"/>
      <c r="X81" s="705"/>
      <c r="Y81" s="705"/>
      <c r="Z81" s="705"/>
      <c r="AA81" s="705"/>
      <c r="AB81" s="705"/>
      <c r="AC81" s="705"/>
      <c r="AD81" s="705"/>
      <c r="AE81" s="705"/>
      <c r="AF81" s="705"/>
      <c r="AG81" s="705"/>
      <c r="AH81" s="705"/>
      <c r="AI81" s="705"/>
      <c r="AJ81" s="705"/>
      <c r="AK81" s="705"/>
      <c r="AL81" s="705"/>
      <c r="AM81" s="705"/>
      <c r="AN81" s="705"/>
      <c r="AO81" s="705"/>
      <c r="AP81" s="705"/>
      <c r="AQ81" s="705"/>
      <c r="AR81" s="705"/>
    </row>
    <row r="82" spans="1:44" x14ac:dyDescent="0.25">
      <c r="A82" s="705"/>
      <c r="B82" s="705"/>
      <c r="C82" s="705"/>
      <c r="D82" s="705"/>
      <c r="E82" s="705"/>
      <c r="F82" s="705"/>
      <c r="G82" s="705"/>
      <c r="H82" s="705"/>
      <c r="I82" s="705"/>
      <c r="J82" s="705"/>
      <c r="K82" s="705"/>
      <c r="L82" s="705"/>
      <c r="M82" s="705"/>
      <c r="N82" s="705"/>
      <c r="O82" s="705"/>
      <c r="P82" s="705"/>
      <c r="Q82" s="705"/>
      <c r="R82" s="705"/>
      <c r="S82" s="705"/>
      <c r="T82" s="705"/>
      <c r="U82" s="705"/>
      <c r="V82" s="705"/>
      <c r="W82" s="705"/>
      <c r="X82" s="705"/>
      <c r="Y82" s="705"/>
      <c r="Z82" s="705"/>
      <c r="AA82" s="705"/>
      <c r="AB82" s="705"/>
      <c r="AC82" s="705"/>
      <c r="AD82" s="705"/>
      <c r="AE82" s="705"/>
      <c r="AF82" s="705"/>
      <c r="AG82" s="705"/>
      <c r="AH82" s="705"/>
      <c r="AI82" s="705"/>
      <c r="AJ82" s="705"/>
      <c r="AK82" s="705"/>
      <c r="AL82" s="705"/>
      <c r="AM82" s="705"/>
      <c r="AN82" s="705"/>
      <c r="AO82" s="705"/>
      <c r="AP82" s="705"/>
      <c r="AQ82" s="705"/>
      <c r="AR82" s="705"/>
    </row>
    <row r="83" spans="1:44" x14ac:dyDescent="0.25">
      <c r="A83" s="705"/>
      <c r="B83" s="705"/>
      <c r="C83" s="705"/>
      <c r="D83" s="705"/>
      <c r="E83" s="705"/>
      <c r="F83" s="705"/>
      <c r="G83" s="705"/>
      <c r="H83" s="705"/>
      <c r="I83" s="705"/>
      <c r="J83" s="705"/>
      <c r="K83" s="705"/>
      <c r="L83" s="705"/>
      <c r="M83" s="705"/>
      <c r="N83" s="705"/>
      <c r="O83" s="705"/>
      <c r="P83" s="705"/>
      <c r="Q83" s="705"/>
      <c r="R83" s="705"/>
      <c r="S83" s="705"/>
      <c r="T83" s="705"/>
      <c r="U83" s="705"/>
      <c r="V83" s="705"/>
      <c r="W83" s="705"/>
      <c r="X83" s="705"/>
      <c r="Y83" s="705"/>
      <c r="Z83" s="705"/>
      <c r="AA83" s="705"/>
      <c r="AB83" s="705"/>
      <c r="AC83" s="705"/>
      <c r="AD83" s="705"/>
      <c r="AE83" s="705"/>
      <c r="AF83" s="705"/>
      <c r="AG83" s="705"/>
      <c r="AH83" s="705"/>
      <c r="AI83" s="705"/>
      <c r="AJ83" s="705"/>
      <c r="AK83" s="705"/>
      <c r="AL83" s="705"/>
      <c r="AM83" s="705"/>
      <c r="AN83" s="705"/>
      <c r="AO83" s="705"/>
      <c r="AP83" s="705"/>
      <c r="AQ83" s="705"/>
      <c r="AR83" s="705"/>
    </row>
    <row r="84" spans="1:44" x14ac:dyDescent="0.25">
      <c r="A84" s="705"/>
      <c r="B84" s="705"/>
      <c r="C84" s="705"/>
      <c r="D84" s="705"/>
      <c r="E84" s="705"/>
      <c r="F84" s="705"/>
      <c r="G84" s="705"/>
      <c r="H84" s="705"/>
      <c r="I84" s="705"/>
      <c r="J84" s="705"/>
      <c r="K84" s="705"/>
      <c r="L84" s="705"/>
      <c r="M84" s="705"/>
      <c r="N84" s="705"/>
      <c r="O84" s="705"/>
      <c r="P84" s="705"/>
      <c r="Q84" s="705"/>
      <c r="R84" s="705"/>
      <c r="S84" s="705"/>
      <c r="T84" s="705"/>
      <c r="U84" s="705"/>
      <c r="V84" s="705"/>
      <c r="W84" s="705"/>
      <c r="X84" s="705"/>
      <c r="Y84" s="705"/>
      <c r="Z84" s="705"/>
      <c r="AA84" s="705"/>
      <c r="AB84" s="705"/>
      <c r="AC84" s="705"/>
      <c r="AD84" s="705"/>
      <c r="AE84" s="705"/>
      <c r="AF84" s="705"/>
      <c r="AG84" s="705"/>
      <c r="AH84" s="705"/>
      <c r="AI84" s="705"/>
      <c r="AJ84" s="705"/>
      <c r="AK84" s="705"/>
      <c r="AL84" s="705"/>
      <c r="AM84" s="705"/>
      <c r="AN84" s="705"/>
      <c r="AO84" s="705"/>
      <c r="AP84" s="705"/>
      <c r="AQ84" s="705"/>
      <c r="AR84" s="705"/>
    </row>
    <row r="85" spans="1:44" x14ac:dyDescent="0.25">
      <c r="A85" s="705"/>
      <c r="B85" s="705"/>
      <c r="C85" s="705"/>
      <c r="D85" s="705"/>
      <c r="E85" s="705"/>
      <c r="F85" s="705"/>
      <c r="G85" s="705"/>
      <c r="H85" s="705"/>
      <c r="I85" s="705"/>
      <c r="J85" s="705"/>
      <c r="K85" s="705"/>
      <c r="L85" s="705"/>
      <c r="M85" s="705"/>
      <c r="N85" s="705"/>
      <c r="O85" s="705"/>
      <c r="P85" s="705"/>
      <c r="Q85" s="705"/>
      <c r="R85" s="705"/>
      <c r="S85" s="705"/>
      <c r="T85" s="705"/>
      <c r="U85" s="705"/>
      <c r="V85" s="705"/>
      <c r="W85" s="705"/>
      <c r="X85" s="705"/>
      <c r="Y85" s="705"/>
      <c r="Z85" s="705"/>
      <c r="AA85" s="705"/>
      <c r="AB85" s="705"/>
      <c r="AC85" s="705"/>
      <c r="AD85" s="705"/>
      <c r="AE85" s="705"/>
      <c r="AF85" s="705"/>
      <c r="AG85" s="705"/>
      <c r="AH85" s="705"/>
      <c r="AI85" s="705"/>
      <c r="AJ85" s="705"/>
      <c r="AK85" s="705"/>
      <c r="AL85" s="705"/>
      <c r="AM85" s="705"/>
      <c r="AN85" s="705"/>
      <c r="AO85" s="705"/>
      <c r="AP85" s="705"/>
      <c r="AQ85" s="705"/>
      <c r="AR85" s="705"/>
    </row>
    <row r="86" spans="1:44" x14ac:dyDescent="0.25">
      <c r="A86" s="705"/>
      <c r="B86" s="705"/>
      <c r="C86" s="705"/>
      <c r="D86" s="705"/>
      <c r="E86" s="705"/>
      <c r="F86" s="705"/>
      <c r="G86" s="705"/>
      <c r="H86" s="705"/>
      <c r="I86" s="705"/>
      <c r="J86" s="705"/>
      <c r="K86" s="705"/>
      <c r="L86" s="705"/>
      <c r="M86" s="705"/>
      <c r="N86" s="705"/>
      <c r="O86" s="705"/>
      <c r="P86" s="705"/>
      <c r="Q86" s="705"/>
      <c r="R86" s="705"/>
      <c r="S86" s="705"/>
      <c r="T86" s="705"/>
      <c r="U86" s="705"/>
      <c r="V86" s="705"/>
      <c r="W86" s="705"/>
      <c r="X86" s="705"/>
      <c r="Y86" s="705"/>
      <c r="Z86" s="705"/>
      <c r="AA86" s="705"/>
      <c r="AB86" s="705"/>
      <c r="AC86" s="705"/>
      <c r="AD86" s="705"/>
      <c r="AE86" s="705"/>
      <c r="AF86" s="705"/>
      <c r="AG86" s="705"/>
      <c r="AH86" s="705"/>
      <c r="AI86" s="705"/>
      <c r="AJ86" s="705"/>
      <c r="AK86" s="705"/>
      <c r="AL86" s="705"/>
      <c r="AM86" s="705"/>
      <c r="AN86" s="705"/>
      <c r="AO86" s="705"/>
      <c r="AP86" s="705"/>
      <c r="AQ86" s="705"/>
      <c r="AR86" s="705"/>
    </row>
    <row r="87" spans="1:44" x14ac:dyDescent="0.25">
      <c r="A87" s="705"/>
      <c r="B87" s="705"/>
      <c r="C87" s="705"/>
      <c r="D87" s="705"/>
      <c r="E87" s="705"/>
      <c r="F87" s="705"/>
      <c r="G87" s="705"/>
      <c r="H87" s="705"/>
      <c r="I87" s="705"/>
      <c r="J87" s="705"/>
      <c r="K87" s="705"/>
      <c r="L87" s="705"/>
      <c r="M87" s="705"/>
      <c r="N87" s="705"/>
      <c r="O87" s="705"/>
      <c r="P87" s="705"/>
      <c r="Q87" s="705"/>
      <c r="R87" s="705"/>
      <c r="S87" s="705"/>
      <c r="T87" s="705"/>
      <c r="U87" s="705"/>
      <c r="V87" s="705"/>
      <c r="W87" s="705"/>
      <c r="X87" s="705"/>
      <c r="Y87" s="705"/>
      <c r="Z87" s="705"/>
      <c r="AA87" s="705"/>
      <c r="AB87" s="705"/>
      <c r="AC87" s="705"/>
      <c r="AD87" s="705"/>
      <c r="AE87" s="705"/>
      <c r="AF87" s="705"/>
      <c r="AG87" s="705"/>
      <c r="AH87" s="705"/>
      <c r="AI87" s="705"/>
      <c r="AJ87" s="705"/>
      <c r="AK87" s="705"/>
      <c r="AL87" s="705"/>
      <c r="AM87" s="705"/>
      <c r="AN87" s="705"/>
      <c r="AO87" s="705"/>
      <c r="AP87" s="705"/>
      <c r="AQ87" s="705"/>
      <c r="AR87" s="705"/>
    </row>
    <row r="88" spans="1:44" x14ac:dyDescent="0.25">
      <c r="A88" s="705"/>
      <c r="B88" s="705"/>
      <c r="C88" s="705"/>
      <c r="D88" s="705"/>
      <c r="E88" s="705"/>
      <c r="F88" s="705"/>
      <c r="G88" s="705"/>
      <c r="H88" s="705"/>
      <c r="I88" s="705"/>
      <c r="J88" s="705"/>
      <c r="K88" s="705"/>
      <c r="L88" s="705"/>
      <c r="M88" s="705"/>
      <c r="N88" s="705"/>
      <c r="O88" s="705"/>
      <c r="P88" s="705"/>
      <c r="Q88" s="705"/>
      <c r="R88" s="705"/>
      <c r="S88" s="705"/>
      <c r="T88" s="705"/>
      <c r="U88" s="705"/>
      <c r="V88" s="705"/>
      <c r="W88" s="705"/>
      <c r="X88" s="705"/>
      <c r="Y88" s="705"/>
      <c r="Z88" s="705"/>
      <c r="AA88" s="705"/>
      <c r="AB88" s="705"/>
      <c r="AC88" s="705"/>
      <c r="AD88" s="705"/>
      <c r="AE88" s="705"/>
      <c r="AF88" s="705"/>
      <c r="AG88" s="705"/>
      <c r="AH88" s="705"/>
      <c r="AI88" s="705"/>
      <c r="AJ88" s="705"/>
      <c r="AK88" s="705"/>
      <c r="AL88" s="705"/>
      <c r="AM88" s="705"/>
      <c r="AN88" s="705"/>
      <c r="AO88" s="705"/>
      <c r="AP88" s="705"/>
      <c r="AQ88" s="705"/>
      <c r="AR88" s="705"/>
    </row>
    <row r="89" spans="1:44" x14ac:dyDescent="0.25">
      <c r="A89" s="705"/>
      <c r="B89" s="705"/>
      <c r="C89" s="705"/>
      <c r="D89" s="705"/>
      <c r="E89" s="705"/>
      <c r="F89" s="705"/>
      <c r="G89" s="705"/>
      <c r="H89" s="705"/>
      <c r="I89" s="705"/>
      <c r="J89" s="705"/>
      <c r="K89" s="705"/>
      <c r="L89" s="705"/>
      <c r="M89" s="705"/>
      <c r="N89" s="705"/>
      <c r="O89" s="705"/>
      <c r="P89" s="705"/>
      <c r="Q89" s="705"/>
      <c r="R89" s="705"/>
      <c r="S89" s="705"/>
      <c r="T89" s="705"/>
      <c r="U89" s="705"/>
      <c r="V89" s="705"/>
      <c r="W89" s="705"/>
      <c r="X89" s="705"/>
      <c r="Y89" s="705"/>
      <c r="Z89" s="705"/>
      <c r="AA89" s="705"/>
      <c r="AB89" s="705"/>
      <c r="AC89" s="705"/>
      <c r="AD89" s="705"/>
      <c r="AE89" s="705"/>
      <c r="AF89" s="705"/>
      <c r="AG89" s="705"/>
      <c r="AH89" s="705"/>
      <c r="AI89" s="705"/>
      <c r="AJ89" s="705"/>
      <c r="AK89" s="705"/>
      <c r="AL89" s="705"/>
      <c r="AM89" s="705"/>
      <c r="AN89" s="705"/>
      <c r="AO89" s="705"/>
      <c r="AP89" s="705"/>
      <c r="AQ89" s="705"/>
      <c r="AR89" s="705"/>
    </row>
    <row r="90" spans="1:44" x14ac:dyDescent="0.25">
      <c r="A90" s="705"/>
      <c r="B90" s="705"/>
      <c r="C90" s="705"/>
      <c r="D90" s="705"/>
      <c r="E90" s="705"/>
      <c r="F90" s="705"/>
      <c r="G90" s="705"/>
      <c r="H90" s="705"/>
      <c r="I90" s="705"/>
      <c r="J90" s="705"/>
      <c r="K90" s="705"/>
      <c r="L90" s="705"/>
      <c r="M90" s="705"/>
      <c r="N90" s="705"/>
      <c r="O90" s="705"/>
      <c r="P90" s="705"/>
      <c r="Q90" s="705"/>
      <c r="R90" s="705"/>
      <c r="S90" s="705"/>
      <c r="T90" s="705"/>
      <c r="U90" s="705"/>
      <c r="V90" s="705"/>
      <c r="W90" s="705"/>
      <c r="X90" s="705"/>
      <c r="Y90" s="705"/>
      <c r="Z90" s="705"/>
      <c r="AA90" s="705"/>
      <c r="AB90" s="705"/>
      <c r="AC90" s="705"/>
      <c r="AD90" s="705"/>
      <c r="AE90" s="705"/>
      <c r="AF90" s="705"/>
      <c r="AG90" s="705"/>
      <c r="AH90" s="705"/>
      <c r="AI90" s="705"/>
      <c r="AJ90" s="705"/>
      <c r="AK90" s="705"/>
      <c r="AL90" s="705"/>
      <c r="AM90" s="705"/>
      <c r="AN90" s="705"/>
      <c r="AO90" s="705"/>
      <c r="AP90" s="705"/>
      <c r="AQ90" s="705"/>
      <c r="AR90" s="705"/>
    </row>
    <row r="91" spans="1:44" x14ac:dyDescent="0.25">
      <c r="A91" s="705"/>
      <c r="B91" s="705"/>
      <c r="C91" s="705"/>
      <c r="D91" s="705"/>
      <c r="E91" s="705"/>
      <c r="F91" s="705"/>
      <c r="G91" s="705"/>
      <c r="H91" s="705"/>
      <c r="I91" s="705"/>
      <c r="J91" s="705"/>
      <c r="K91" s="705"/>
      <c r="L91" s="705"/>
      <c r="M91" s="705"/>
      <c r="N91" s="705"/>
      <c r="O91" s="705"/>
      <c r="P91" s="705"/>
      <c r="Q91" s="705"/>
      <c r="R91" s="705"/>
      <c r="S91" s="705"/>
      <c r="T91" s="705"/>
      <c r="U91" s="705"/>
      <c r="V91" s="705"/>
      <c r="W91" s="705"/>
      <c r="X91" s="705"/>
      <c r="Y91" s="705"/>
      <c r="Z91" s="705"/>
      <c r="AA91" s="705"/>
      <c r="AB91" s="705"/>
      <c r="AC91" s="705"/>
      <c r="AD91" s="705"/>
      <c r="AE91" s="705"/>
      <c r="AF91" s="705"/>
      <c r="AG91" s="705"/>
      <c r="AH91" s="705"/>
      <c r="AI91" s="705"/>
      <c r="AJ91" s="705"/>
      <c r="AK91" s="705"/>
      <c r="AL91" s="705"/>
      <c r="AM91" s="705"/>
      <c r="AN91" s="705"/>
      <c r="AO91" s="705"/>
      <c r="AP91" s="705"/>
      <c r="AQ91" s="705"/>
      <c r="AR91" s="705"/>
    </row>
    <row r="92" spans="1:44" x14ac:dyDescent="0.25">
      <c r="A92" s="705"/>
      <c r="B92" s="705"/>
      <c r="C92" s="705"/>
      <c r="D92" s="705"/>
      <c r="E92" s="705"/>
      <c r="F92" s="705"/>
      <c r="G92" s="705"/>
      <c r="H92" s="705"/>
      <c r="I92" s="705"/>
      <c r="J92" s="705"/>
      <c r="K92" s="705"/>
      <c r="L92" s="705"/>
      <c r="M92" s="705"/>
      <c r="N92" s="705"/>
      <c r="O92" s="705"/>
      <c r="P92" s="705"/>
      <c r="Q92" s="705"/>
      <c r="R92" s="705"/>
      <c r="S92" s="705"/>
      <c r="T92" s="705"/>
      <c r="U92" s="705"/>
      <c r="V92" s="705"/>
      <c r="W92" s="705"/>
      <c r="X92" s="705"/>
      <c r="Y92" s="705"/>
      <c r="Z92" s="705"/>
      <c r="AA92" s="705"/>
      <c r="AB92" s="705"/>
      <c r="AC92" s="705"/>
      <c r="AD92" s="705"/>
      <c r="AE92" s="705"/>
      <c r="AF92" s="705"/>
      <c r="AG92" s="705"/>
      <c r="AH92" s="705"/>
      <c r="AI92" s="705"/>
      <c r="AJ92" s="705"/>
      <c r="AK92" s="705"/>
      <c r="AL92" s="705"/>
      <c r="AM92" s="705"/>
      <c r="AN92" s="705"/>
      <c r="AO92" s="705"/>
      <c r="AP92" s="705"/>
      <c r="AQ92" s="705"/>
      <c r="AR92" s="705"/>
    </row>
    <row r="93" spans="1:44" x14ac:dyDescent="0.25">
      <c r="A93" s="705"/>
      <c r="B93" s="705"/>
      <c r="C93" s="705"/>
      <c r="D93" s="705"/>
      <c r="E93" s="705"/>
      <c r="F93" s="705"/>
      <c r="G93" s="705"/>
      <c r="H93" s="705"/>
      <c r="I93" s="705"/>
      <c r="J93" s="705"/>
      <c r="K93" s="705"/>
      <c r="L93" s="705"/>
      <c r="M93" s="705"/>
      <c r="N93" s="705"/>
      <c r="O93" s="705"/>
      <c r="P93" s="705"/>
      <c r="Q93" s="705"/>
      <c r="R93" s="705"/>
      <c r="S93" s="705"/>
      <c r="T93" s="705"/>
      <c r="U93" s="705"/>
      <c r="V93" s="705"/>
      <c r="W93" s="705"/>
      <c r="X93" s="705"/>
      <c r="Y93" s="705"/>
      <c r="Z93" s="705"/>
      <c r="AA93" s="705"/>
      <c r="AB93" s="705"/>
      <c r="AC93" s="705"/>
      <c r="AD93" s="705"/>
      <c r="AE93" s="705"/>
      <c r="AF93" s="705"/>
      <c r="AG93" s="705"/>
      <c r="AH93" s="705"/>
      <c r="AI93" s="705"/>
      <c r="AJ93" s="705"/>
      <c r="AK93" s="705"/>
      <c r="AL93" s="705"/>
      <c r="AM93" s="705"/>
      <c r="AN93" s="705"/>
      <c r="AO93" s="705"/>
      <c r="AP93" s="705"/>
      <c r="AQ93" s="705"/>
      <c r="AR93" s="705"/>
    </row>
    <row r="94" spans="1:44" x14ac:dyDescent="0.25">
      <c r="A94" s="705"/>
      <c r="B94" s="705"/>
      <c r="C94" s="705"/>
      <c r="D94" s="705"/>
      <c r="E94" s="705"/>
      <c r="F94" s="705"/>
      <c r="G94" s="705"/>
      <c r="H94" s="705"/>
      <c r="I94" s="705"/>
      <c r="J94" s="705"/>
      <c r="K94" s="705"/>
      <c r="L94" s="705"/>
      <c r="M94" s="705"/>
      <c r="N94" s="705"/>
      <c r="O94" s="705"/>
      <c r="P94" s="705"/>
      <c r="Q94" s="705"/>
      <c r="R94" s="705"/>
      <c r="S94" s="705"/>
      <c r="T94" s="705"/>
      <c r="U94" s="705"/>
      <c r="V94" s="705"/>
      <c r="W94" s="705"/>
      <c r="X94" s="705"/>
      <c r="Y94" s="705"/>
      <c r="Z94" s="705"/>
      <c r="AA94" s="705"/>
      <c r="AB94" s="705"/>
      <c r="AC94" s="705"/>
      <c r="AD94" s="705"/>
      <c r="AE94" s="705"/>
      <c r="AF94" s="705"/>
      <c r="AG94" s="705"/>
      <c r="AH94" s="705"/>
      <c r="AI94" s="705"/>
      <c r="AJ94" s="705"/>
      <c r="AK94" s="705"/>
      <c r="AL94" s="705"/>
      <c r="AM94" s="705"/>
      <c r="AN94" s="705"/>
      <c r="AO94" s="705"/>
      <c r="AP94" s="705"/>
      <c r="AQ94" s="705"/>
      <c r="AR94" s="705"/>
    </row>
    <row r="95" spans="1:44" x14ac:dyDescent="0.25">
      <c r="A95" s="705"/>
      <c r="B95" s="705"/>
      <c r="C95" s="705"/>
      <c r="D95" s="705"/>
      <c r="E95" s="705"/>
      <c r="F95" s="705"/>
      <c r="G95" s="705"/>
      <c r="H95" s="705"/>
      <c r="I95" s="705"/>
      <c r="J95" s="705"/>
      <c r="K95" s="705"/>
      <c r="L95" s="705"/>
      <c r="M95" s="705"/>
      <c r="N95" s="705"/>
      <c r="O95" s="705"/>
      <c r="P95" s="705"/>
      <c r="Q95" s="705"/>
      <c r="R95" s="705"/>
      <c r="S95" s="705"/>
      <c r="T95" s="705"/>
      <c r="U95" s="705"/>
      <c r="V95" s="705"/>
      <c r="W95" s="705"/>
      <c r="X95" s="705"/>
      <c r="Y95" s="705"/>
      <c r="Z95" s="705"/>
      <c r="AA95" s="705"/>
      <c r="AB95" s="705"/>
      <c r="AC95" s="705"/>
      <c r="AD95" s="705"/>
      <c r="AE95" s="705"/>
      <c r="AF95" s="705"/>
      <c r="AG95" s="705"/>
      <c r="AH95" s="705"/>
      <c r="AI95" s="705"/>
      <c r="AJ95" s="705"/>
      <c r="AK95" s="705"/>
      <c r="AL95" s="705"/>
      <c r="AM95" s="705"/>
      <c r="AN95" s="705"/>
      <c r="AO95" s="705"/>
      <c r="AP95" s="705"/>
      <c r="AQ95" s="705"/>
      <c r="AR95" s="705"/>
    </row>
    <row r="96" spans="1:44" x14ac:dyDescent="0.25">
      <c r="A96" s="705"/>
      <c r="B96" s="705"/>
      <c r="C96" s="705"/>
      <c r="D96" s="705"/>
      <c r="E96" s="705"/>
      <c r="F96" s="705"/>
      <c r="G96" s="705"/>
      <c r="H96" s="705"/>
      <c r="I96" s="705"/>
      <c r="J96" s="705"/>
      <c r="K96" s="705"/>
      <c r="L96" s="705"/>
      <c r="M96" s="705"/>
      <c r="N96" s="705"/>
      <c r="O96" s="705"/>
      <c r="P96" s="705"/>
      <c r="Q96" s="705"/>
      <c r="R96" s="705"/>
      <c r="S96" s="705"/>
      <c r="T96" s="705"/>
      <c r="U96" s="705"/>
      <c r="V96" s="705"/>
      <c r="W96" s="705"/>
      <c r="X96" s="705"/>
      <c r="Y96" s="705"/>
      <c r="Z96" s="705"/>
      <c r="AA96" s="705"/>
      <c r="AB96" s="705"/>
      <c r="AC96" s="705"/>
      <c r="AD96" s="705"/>
      <c r="AE96" s="705"/>
      <c r="AF96" s="705"/>
      <c r="AG96" s="705"/>
      <c r="AH96" s="705"/>
      <c r="AI96" s="705"/>
      <c r="AJ96" s="705"/>
      <c r="AK96" s="705"/>
      <c r="AL96" s="705"/>
      <c r="AM96" s="705"/>
      <c r="AN96" s="705"/>
      <c r="AO96" s="705"/>
      <c r="AP96" s="705"/>
      <c r="AQ96" s="705"/>
      <c r="AR96" s="705"/>
    </row>
    <row r="97" spans="1:44" x14ac:dyDescent="0.25">
      <c r="A97" s="705"/>
      <c r="B97" s="705"/>
      <c r="C97" s="705"/>
      <c r="D97" s="705"/>
      <c r="E97" s="705"/>
      <c r="F97" s="705"/>
      <c r="G97" s="705"/>
      <c r="H97" s="705"/>
      <c r="I97" s="705"/>
      <c r="J97" s="705"/>
      <c r="K97" s="705"/>
      <c r="L97" s="705"/>
      <c r="M97" s="705"/>
      <c r="N97" s="705"/>
      <c r="O97" s="705"/>
      <c r="P97" s="705"/>
      <c r="Q97" s="705"/>
      <c r="R97" s="705"/>
      <c r="S97" s="705"/>
      <c r="T97" s="705"/>
      <c r="U97" s="705"/>
      <c r="V97" s="705"/>
      <c r="W97" s="705"/>
      <c r="X97" s="705"/>
      <c r="Y97" s="705"/>
      <c r="Z97" s="705"/>
      <c r="AA97" s="705"/>
      <c r="AB97" s="705"/>
      <c r="AC97" s="705"/>
      <c r="AD97" s="705"/>
      <c r="AE97" s="705"/>
      <c r="AF97" s="705"/>
      <c r="AG97" s="705"/>
      <c r="AH97" s="705"/>
      <c r="AI97" s="705"/>
      <c r="AJ97" s="705"/>
      <c r="AK97" s="705"/>
      <c r="AL97" s="705"/>
      <c r="AM97" s="705"/>
      <c r="AN97" s="705"/>
      <c r="AO97" s="705"/>
      <c r="AP97" s="705"/>
      <c r="AQ97" s="705"/>
      <c r="AR97" s="705"/>
    </row>
    <row r="98" spans="1:44" x14ac:dyDescent="0.25">
      <c r="A98" s="705"/>
      <c r="B98" s="705"/>
      <c r="C98" s="705"/>
      <c r="D98" s="705"/>
      <c r="E98" s="705"/>
      <c r="F98" s="705"/>
      <c r="G98" s="705"/>
      <c r="H98" s="705"/>
      <c r="I98" s="705"/>
      <c r="J98" s="705"/>
      <c r="K98" s="705"/>
      <c r="L98" s="705"/>
      <c r="M98" s="705"/>
      <c r="N98" s="705"/>
      <c r="O98" s="705"/>
      <c r="P98" s="705"/>
      <c r="Q98" s="705"/>
      <c r="R98" s="705"/>
      <c r="S98" s="705"/>
      <c r="T98" s="705"/>
      <c r="U98" s="705"/>
      <c r="V98" s="705"/>
      <c r="W98" s="705"/>
      <c r="X98" s="705"/>
      <c r="Y98" s="705"/>
      <c r="Z98" s="705"/>
      <c r="AA98" s="705"/>
      <c r="AB98" s="705"/>
      <c r="AC98" s="705"/>
      <c r="AD98" s="705"/>
      <c r="AE98" s="705"/>
      <c r="AF98" s="705"/>
      <c r="AG98" s="705"/>
      <c r="AH98" s="705"/>
      <c r="AI98" s="705"/>
      <c r="AJ98" s="705"/>
      <c r="AK98" s="705"/>
      <c r="AL98" s="705"/>
      <c r="AM98" s="705"/>
      <c r="AN98" s="705"/>
      <c r="AO98" s="705"/>
      <c r="AP98" s="705"/>
      <c r="AQ98" s="705"/>
      <c r="AR98" s="705"/>
    </row>
    <row r="99" spans="1:44" x14ac:dyDescent="0.25">
      <c r="A99" s="705"/>
      <c r="B99" s="705"/>
      <c r="C99" s="705"/>
      <c r="D99" s="705"/>
      <c r="E99" s="705"/>
      <c r="F99" s="705"/>
      <c r="G99" s="705"/>
      <c r="H99" s="705"/>
      <c r="I99" s="705"/>
      <c r="J99" s="705"/>
      <c r="K99" s="705"/>
      <c r="L99" s="705"/>
      <c r="M99" s="705"/>
      <c r="N99" s="705"/>
      <c r="O99" s="705"/>
      <c r="P99" s="705"/>
      <c r="Q99" s="705"/>
      <c r="R99" s="705"/>
      <c r="S99" s="705"/>
      <c r="T99" s="705"/>
      <c r="U99" s="705"/>
      <c r="V99" s="705"/>
      <c r="W99" s="705"/>
      <c r="X99" s="705"/>
      <c r="Y99" s="705"/>
      <c r="Z99" s="705"/>
      <c r="AA99" s="705"/>
      <c r="AB99" s="705"/>
      <c r="AC99" s="705"/>
      <c r="AD99" s="705"/>
      <c r="AE99" s="705"/>
      <c r="AF99" s="705"/>
      <c r="AG99" s="705"/>
      <c r="AH99" s="705"/>
      <c r="AI99" s="705"/>
      <c r="AJ99" s="705"/>
      <c r="AK99" s="705"/>
      <c r="AL99" s="705"/>
      <c r="AM99" s="705"/>
      <c r="AN99" s="705"/>
      <c r="AO99" s="705"/>
      <c r="AP99" s="705"/>
      <c r="AQ99" s="705"/>
      <c r="AR99" s="705"/>
    </row>
    <row r="100" spans="1:44" x14ac:dyDescent="0.25">
      <c r="A100" s="705"/>
      <c r="B100" s="705"/>
      <c r="C100" s="705"/>
      <c r="D100" s="705"/>
      <c r="E100" s="705"/>
      <c r="F100" s="705"/>
      <c r="G100" s="705"/>
      <c r="H100" s="705"/>
      <c r="I100" s="705"/>
      <c r="J100" s="705"/>
      <c r="K100" s="705"/>
      <c r="L100" s="705"/>
      <c r="M100" s="705"/>
      <c r="N100" s="705"/>
      <c r="O100" s="705"/>
      <c r="P100" s="705"/>
      <c r="Q100" s="705"/>
      <c r="R100" s="705"/>
      <c r="S100" s="705"/>
      <c r="T100" s="705"/>
      <c r="U100" s="705"/>
      <c r="V100" s="705"/>
      <c r="W100" s="705"/>
      <c r="X100" s="705"/>
      <c r="Y100" s="705"/>
      <c r="Z100" s="705"/>
      <c r="AA100" s="705"/>
      <c r="AB100" s="705"/>
      <c r="AC100" s="705"/>
      <c r="AD100" s="705"/>
      <c r="AE100" s="705"/>
      <c r="AF100" s="705"/>
      <c r="AG100" s="705"/>
      <c r="AH100" s="705"/>
      <c r="AI100" s="705"/>
      <c r="AJ100" s="705"/>
      <c r="AK100" s="705"/>
      <c r="AL100" s="705"/>
      <c r="AM100" s="705"/>
      <c r="AN100" s="705"/>
      <c r="AO100" s="705"/>
      <c r="AP100" s="705"/>
      <c r="AQ100" s="705"/>
      <c r="AR100" s="705"/>
    </row>
    <row r="101" spans="1:44" x14ac:dyDescent="0.25">
      <c r="A101" s="705"/>
      <c r="B101" s="705"/>
      <c r="C101" s="705"/>
      <c r="D101" s="705"/>
      <c r="E101" s="705"/>
      <c r="F101" s="705"/>
      <c r="G101" s="705"/>
      <c r="H101" s="705"/>
      <c r="I101" s="705"/>
      <c r="J101" s="705"/>
      <c r="K101" s="705"/>
      <c r="L101" s="705"/>
      <c r="M101" s="705"/>
      <c r="N101" s="705"/>
      <c r="O101" s="705"/>
      <c r="P101" s="705"/>
      <c r="Q101" s="705"/>
      <c r="R101" s="705"/>
      <c r="S101" s="705"/>
      <c r="T101" s="705"/>
      <c r="U101" s="705"/>
      <c r="V101" s="705"/>
      <c r="W101" s="705"/>
      <c r="X101" s="705"/>
      <c r="Y101" s="705"/>
      <c r="Z101" s="705"/>
      <c r="AA101" s="705"/>
      <c r="AB101" s="705"/>
      <c r="AC101" s="705"/>
      <c r="AD101" s="705"/>
      <c r="AE101" s="705"/>
      <c r="AF101" s="705"/>
      <c r="AG101" s="705"/>
      <c r="AH101" s="705"/>
      <c r="AI101" s="705"/>
      <c r="AJ101" s="705"/>
      <c r="AK101" s="705"/>
      <c r="AL101" s="705"/>
      <c r="AM101" s="705"/>
      <c r="AN101" s="705"/>
      <c r="AO101" s="705"/>
      <c r="AP101" s="705"/>
      <c r="AQ101" s="705"/>
      <c r="AR101" s="705"/>
    </row>
    <row r="102" spans="1:44" x14ac:dyDescent="0.25">
      <c r="A102" s="705"/>
      <c r="B102" s="705"/>
      <c r="C102" s="705"/>
      <c r="D102" s="705"/>
      <c r="E102" s="705"/>
      <c r="F102" s="705"/>
      <c r="G102" s="705"/>
      <c r="H102" s="705"/>
      <c r="I102" s="705"/>
      <c r="J102" s="705"/>
      <c r="K102" s="705"/>
      <c r="L102" s="705"/>
      <c r="M102" s="705"/>
      <c r="N102" s="705"/>
      <c r="O102" s="705"/>
      <c r="P102" s="705"/>
      <c r="Q102" s="705"/>
      <c r="R102" s="705"/>
      <c r="S102" s="705"/>
      <c r="T102" s="705"/>
      <c r="U102" s="705"/>
      <c r="V102" s="705"/>
      <c r="W102" s="705"/>
      <c r="X102" s="705"/>
      <c r="Y102" s="705"/>
      <c r="Z102" s="705"/>
      <c r="AA102" s="705"/>
      <c r="AB102" s="705"/>
      <c r="AC102" s="705"/>
      <c r="AD102" s="705"/>
      <c r="AE102" s="705"/>
      <c r="AF102" s="705"/>
      <c r="AG102" s="705"/>
      <c r="AH102" s="705"/>
      <c r="AI102" s="705"/>
      <c r="AJ102" s="705"/>
      <c r="AK102" s="705"/>
      <c r="AL102" s="705"/>
      <c r="AM102" s="705"/>
      <c r="AN102" s="705"/>
      <c r="AO102" s="705"/>
      <c r="AP102" s="705"/>
      <c r="AQ102" s="705"/>
      <c r="AR102" s="705"/>
    </row>
    <row r="103" spans="1:44" x14ac:dyDescent="0.25">
      <c r="A103" s="705"/>
      <c r="B103" s="705"/>
      <c r="C103" s="705"/>
      <c r="D103" s="705"/>
      <c r="E103" s="705"/>
      <c r="F103" s="705"/>
      <c r="G103" s="705"/>
      <c r="H103" s="705"/>
      <c r="I103" s="705"/>
      <c r="J103" s="705"/>
      <c r="K103" s="705"/>
      <c r="L103" s="705"/>
      <c r="M103" s="705"/>
      <c r="N103" s="705"/>
      <c r="O103" s="705"/>
      <c r="P103" s="705"/>
      <c r="Q103" s="705"/>
      <c r="R103" s="705"/>
      <c r="S103" s="705"/>
      <c r="T103" s="705"/>
      <c r="U103" s="705"/>
      <c r="V103" s="705"/>
      <c r="W103" s="705"/>
      <c r="X103" s="705"/>
      <c r="Y103" s="705"/>
      <c r="Z103" s="705"/>
      <c r="AA103" s="705"/>
      <c r="AB103" s="705"/>
      <c r="AC103" s="705"/>
      <c r="AD103" s="705"/>
      <c r="AE103" s="705"/>
      <c r="AF103" s="705"/>
      <c r="AG103" s="705"/>
      <c r="AH103" s="705"/>
      <c r="AI103" s="705"/>
      <c r="AJ103" s="705"/>
      <c r="AK103" s="705"/>
      <c r="AL103" s="705"/>
      <c r="AM103" s="705"/>
      <c r="AN103" s="705"/>
      <c r="AO103" s="705"/>
      <c r="AP103" s="705"/>
      <c r="AQ103" s="705"/>
      <c r="AR103" s="705"/>
    </row>
    <row r="104" spans="1:44" x14ac:dyDescent="0.25">
      <c r="A104" s="705"/>
      <c r="B104" s="705"/>
      <c r="C104" s="705"/>
      <c r="D104" s="705"/>
      <c r="E104" s="705"/>
      <c r="F104" s="705"/>
      <c r="G104" s="705"/>
      <c r="H104" s="705"/>
      <c r="I104" s="705"/>
      <c r="J104" s="705"/>
      <c r="K104" s="705"/>
      <c r="L104" s="705"/>
      <c r="M104" s="705"/>
      <c r="N104" s="705"/>
      <c r="O104" s="705"/>
      <c r="P104" s="705"/>
      <c r="Q104" s="705"/>
      <c r="R104" s="705"/>
      <c r="S104" s="705"/>
      <c r="T104" s="705"/>
      <c r="U104" s="705"/>
      <c r="V104" s="705"/>
      <c r="W104" s="705"/>
      <c r="X104" s="705"/>
      <c r="Y104" s="705"/>
      <c r="Z104" s="705"/>
      <c r="AA104" s="705"/>
      <c r="AB104" s="705"/>
      <c r="AC104" s="705"/>
      <c r="AD104" s="705"/>
      <c r="AE104" s="705"/>
      <c r="AF104" s="705"/>
      <c r="AG104" s="705"/>
      <c r="AH104" s="705"/>
      <c r="AI104" s="705"/>
      <c r="AJ104" s="705"/>
      <c r="AK104" s="705"/>
      <c r="AL104" s="705"/>
      <c r="AM104" s="705"/>
      <c r="AN104" s="705"/>
      <c r="AO104" s="705"/>
      <c r="AP104" s="705"/>
      <c r="AQ104" s="705"/>
      <c r="AR104" s="705"/>
    </row>
    <row r="105" spans="1:44" x14ac:dyDescent="0.25">
      <c r="A105" s="705"/>
      <c r="B105" s="705"/>
      <c r="C105" s="705"/>
      <c r="D105" s="705"/>
      <c r="E105" s="705"/>
      <c r="F105" s="705"/>
      <c r="G105" s="705"/>
      <c r="H105" s="705"/>
      <c r="I105" s="705"/>
      <c r="J105" s="705"/>
      <c r="K105" s="705"/>
      <c r="L105" s="705"/>
      <c r="M105" s="705"/>
      <c r="N105" s="705"/>
      <c r="O105" s="705"/>
      <c r="P105" s="705"/>
      <c r="Q105" s="705"/>
      <c r="R105" s="705"/>
      <c r="S105" s="705"/>
      <c r="T105" s="705"/>
      <c r="U105" s="705"/>
      <c r="V105" s="705"/>
      <c r="W105" s="705"/>
      <c r="X105" s="705"/>
      <c r="Y105" s="705"/>
      <c r="Z105" s="705"/>
      <c r="AA105" s="705"/>
      <c r="AB105" s="705"/>
      <c r="AC105" s="705"/>
      <c r="AD105" s="705"/>
      <c r="AE105" s="705"/>
      <c r="AF105" s="705"/>
      <c r="AG105" s="705"/>
      <c r="AH105" s="705"/>
      <c r="AI105" s="705"/>
      <c r="AJ105" s="705"/>
      <c r="AK105" s="705"/>
      <c r="AL105" s="705"/>
      <c r="AM105" s="705"/>
      <c r="AN105" s="705"/>
      <c r="AO105" s="705"/>
      <c r="AP105" s="705"/>
      <c r="AQ105" s="705"/>
      <c r="AR105" s="705"/>
    </row>
    <row r="106" spans="1:44" x14ac:dyDescent="0.25">
      <c r="A106" s="705"/>
      <c r="B106" s="705"/>
      <c r="C106" s="705"/>
      <c r="D106" s="705"/>
      <c r="E106" s="705"/>
      <c r="F106" s="705"/>
      <c r="G106" s="705"/>
      <c r="H106" s="705"/>
      <c r="I106" s="705"/>
      <c r="J106" s="705"/>
      <c r="K106" s="705"/>
      <c r="L106" s="705"/>
      <c r="M106" s="705"/>
      <c r="N106" s="705"/>
      <c r="O106" s="705"/>
      <c r="P106" s="705"/>
      <c r="Q106" s="705"/>
      <c r="R106" s="705"/>
      <c r="S106" s="705"/>
      <c r="T106" s="705"/>
      <c r="U106" s="705"/>
      <c r="V106" s="705"/>
      <c r="W106" s="705"/>
      <c r="X106" s="705"/>
      <c r="Y106" s="705"/>
      <c r="Z106" s="705"/>
      <c r="AA106" s="705"/>
      <c r="AB106" s="705"/>
      <c r="AC106" s="705"/>
      <c r="AD106" s="705"/>
      <c r="AE106" s="705"/>
      <c r="AF106" s="705"/>
      <c r="AG106" s="705"/>
      <c r="AH106" s="705"/>
      <c r="AI106" s="705"/>
      <c r="AJ106" s="705"/>
      <c r="AK106" s="705"/>
      <c r="AL106" s="705"/>
      <c r="AM106" s="705"/>
      <c r="AN106" s="705"/>
      <c r="AO106" s="705"/>
      <c r="AP106" s="705"/>
      <c r="AQ106" s="705"/>
      <c r="AR106" s="705"/>
    </row>
    <row r="107" spans="1:44" x14ac:dyDescent="0.25">
      <c r="A107" s="705"/>
      <c r="B107" s="705"/>
      <c r="C107" s="705"/>
      <c r="D107" s="705"/>
      <c r="E107" s="705"/>
      <c r="F107" s="705"/>
      <c r="G107" s="705"/>
      <c r="H107" s="705"/>
      <c r="I107" s="705"/>
      <c r="J107" s="705"/>
      <c r="K107" s="705"/>
      <c r="L107" s="705"/>
      <c r="M107" s="705"/>
      <c r="N107" s="705"/>
      <c r="O107" s="705"/>
      <c r="P107" s="705"/>
      <c r="Q107" s="705"/>
      <c r="R107" s="705"/>
      <c r="S107" s="705"/>
      <c r="T107" s="705"/>
      <c r="U107" s="705"/>
      <c r="V107" s="705"/>
      <c r="W107" s="705"/>
      <c r="X107" s="705"/>
      <c r="Y107" s="705"/>
      <c r="Z107" s="705"/>
      <c r="AA107" s="705"/>
      <c r="AB107" s="705"/>
      <c r="AC107" s="705"/>
      <c r="AD107" s="705"/>
      <c r="AE107" s="705"/>
      <c r="AF107" s="705"/>
      <c r="AG107" s="705"/>
      <c r="AH107" s="705"/>
      <c r="AI107" s="705"/>
      <c r="AJ107" s="705"/>
      <c r="AK107" s="705"/>
      <c r="AL107" s="705"/>
      <c r="AM107" s="705"/>
      <c r="AN107" s="705"/>
      <c r="AO107" s="705"/>
      <c r="AP107" s="705"/>
      <c r="AQ107" s="705"/>
      <c r="AR107" s="705"/>
    </row>
    <row r="108" spans="1:44" x14ac:dyDescent="0.25">
      <c r="A108" s="705"/>
      <c r="B108" s="705"/>
      <c r="C108" s="705"/>
      <c r="D108" s="705"/>
      <c r="E108" s="705"/>
      <c r="F108" s="705"/>
      <c r="G108" s="705"/>
      <c r="H108" s="705"/>
      <c r="I108" s="705"/>
      <c r="J108" s="705"/>
      <c r="K108" s="705"/>
      <c r="L108" s="705"/>
      <c r="M108" s="705"/>
      <c r="N108" s="705"/>
      <c r="O108" s="705"/>
      <c r="P108" s="705"/>
      <c r="Q108" s="705"/>
      <c r="R108" s="705"/>
      <c r="S108" s="705"/>
      <c r="T108" s="705"/>
      <c r="U108" s="705"/>
      <c r="V108" s="705"/>
      <c r="W108" s="705"/>
      <c r="X108" s="705"/>
      <c r="Y108" s="705"/>
      <c r="Z108" s="705"/>
      <c r="AA108" s="705"/>
      <c r="AB108" s="705"/>
      <c r="AC108" s="705"/>
      <c r="AD108" s="705"/>
      <c r="AE108" s="705"/>
      <c r="AF108" s="705"/>
      <c r="AG108" s="705"/>
      <c r="AH108" s="705"/>
      <c r="AI108" s="705"/>
      <c r="AJ108" s="705"/>
      <c r="AK108" s="705"/>
      <c r="AL108" s="705"/>
      <c r="AM108" s="705"/>
      <c r="AN108" s="705"/>
      <c r="AO108" s="705"/>
      <c r="AP108" s="705"/>
      <c r="AQ108" s="705"/>
      <c r="AR108" s="705"/>
    </row>
    <row r="109" spans="1:44" x14ac:dyDescent="0.25">
      <c r="A109" s="705"/>
      <c r="B109" s="705"/>
      <c r="C109" s="705"/>
      <c r="D109" s="705"/>
      <c r="E109" s="705"/>
      <c r="F109" s="705"/>
      <c r="G109" s="705"/>
      <c r="H109" s="705"/>
      <c r="I109" s="705"/>
      <c r="J109" s="705"/>
      <c r="K109" s="705"/>
      <c r="L109" s="705"/>
      <c r="M109" s="705"/>
      <c r="N109" s="705"/>
      <c r="O109" s="705"/>
      <c r="P109" s="705"/>
      <c r="Q109" s="705"/>
      <c r="R109" s="705"/>
      <c r="S109" s="705"/>
      <c r="T109" s="705"/>
      <c r="U109" s="705"/>
      <c r="V109" s="705"/>
      <c r="W109" s="705"/>
      <c r="X109" s="705"/>
      <c r="Y109" s="705"/>
      <c r="Z109" s="705"/>
      <c r="AA109" s="705"/>
      <c r="AB109" s="705"/>
      <c r="AC109" s="705"/>
      <c r="AD109" s="705"/>
      <c r="AE109" s="705"/>
      <c r="AF109" s="705"/>
      <c r="AG109" s="705"/>
      <c r="AH109" s="705"/>
      <c r="AI109" s="705"/>
      <c r="AJ109" s="705"/>
      <c r="AK109" s="705"/>
      <c r="AL109" s="705"/>
      <c r="AM109" s="705"/>
      <c r="AN109" s="705"/>
      <c r="AO109" s="705"/>
      <c r="AP109" s="705"/>
      <c r="AQ109" s="705"/>
      <c r="AR109" s="705"/>
    </row>
    <row r="110" spans="1:44" x14ac:dyDescent="0.25">
      <c r="A110" s="705"/>
      <c r="B110" s="705"/>
      <c r="C110" s="705"/>
      <c r="D110" s="705"/>
      <c r="E110" s="705"/>
      <c r="F110" s="705"/>
      <c r="G110" s="705"/>
      <c r="H110" s="705"/>
      <c r="I110" s="705"/>
      <c r="J110" s="705"/>
      <c r="K110" s="705"/>
      <c r="L110" s="705"/>
      <c r="M110" s="705"/>
      <c r="N110" s="705"/>
      <c r="O110" s="705"/>
      <c r="P110" s="705"/>
      <c r="Q110" s="705"/>
      <c r="R110" s="705"/>
      <c r="S110" s="705"/>
      <c r="T110" s="705"/>
      <c r="U110" s="705"/>
      <c r="V110" s="705"/>
      <c r="W110" s="705"/>
      <c r="X110" s="705"/>
      <c r="Y110" s="705"/>
      <c r="Z110" s="705"/>
      <c r="AA110" s="705"/>
      <c r="AB110" s="705"/>
      <c r="AC110" s="705"/>
      <c r="AD110" s="705"/>
      <c r="AE110" s="705"/>
      <c r="AF110" s="705"/>
      <c r="AG110" s="705"/>
      <c r="AH110" s="705"/>
      <c r="AI110" s="705"/>
      <c r="AJ110" s="705"/>
      <c r="AK110" s="705"/>
      <c r="AL110" s="705"/>
      <c r="AM110" s="705"/>
      <c r="AN110" s="705"/>
      <c r="AO110" s="705"/>
      <c r="AP110" s="705"/>
      <c r="AQ110" s="705"/>
      <c r="AR110" s="705"/>
    </row>
    <row r="111" spans="1:44" x14ac:dyDescent="0.25">
      <c r="A111" s="705"/>
      <c r="B111" s="705"/>
      <c r="C111" s="705"/>
      <c r="D111" s="705"/>
      <c r="E111" s="705"/>
      <c r="F111" s="705"/>
      <c r="G111" s="705"/>
      <c r="H111" s="705"/>
      <c r="I111" s="705"/>
      <c r="J111" s="705"/>
      <c r="K111" s="705"/>
      <c r="L111" s="705"/>
      <c r="M111" s="705"/>
      <c r="N111" s="705"/>
      <c r="O111" s="705"/>
      <c r="P111" s="705"/>
      <c r="Q111" s="705"/>
      <c r="R111" s="705"/>
      <c r="S111" s="705"/>
      <c r="T111" s="705"/>
      <c r="U111" s="705"/>
      <c r="V111" s="705"/>
      <c r="W111" s="705"/>
      <c r="X111" s="705"/>
      <c r="Y111" s="705"/>
      <c r="Z111" s="705"/>
      <c r="AA111" s="705"/>
      <c r="AB111" s="705"/>
      <c r="AC111" s="705"/>
      <c r="AD111" s="705"/>
      <c r="AE111" s="705"/>
      <c r="AF111" s="705"/>
      <c r="AG111" s="705"/>
      <c r="AH111" s="705"/>
      <c r="AI111" s="705"/>
      <c r="AJ111" s="705"/>
      <c r="AK111" s="705"/>
      <c r="AL111" s="705"/>
      <c r="AM111" s="705"/>
      <c r="AN111" s="705"/>
      <c r="AO111" s="705"/>
      <c r="AP111" s="705"/>
      <c r="AQ111" s="705"/>
      <c r="AR111" s="705"/>
    </row>
    <row r="112" spans="1:44" x14ac:dyDescent="0.25">
      <c r="A112" s="705"/>
      <c r="B112" s="705"/>
      <c r="C112" s="705"/>
      <c r="D112" s="705"/>
      <c r="E112" s="705"/>
      <c r="F112" s="705"/>
      <c r="G112" s="705"/>
      <c r="H112" s="705"/>
      <c r="I112" s="705"/>
      <c r="J112" s="705"/>
      <c r="K112" s="705"/>
      <c r="L112" s="705"/>
      <c r="M112" s="705"/>
      <c r="N112" s="705"/>
      <c r="O112" s="705"/>
      <c r="P112" s="705"/>
      <c r="Q112" s="705"/>
      <c r="R112" s="705"/>
      <c r="S112" s="705"/>
      <c r="T112" s="705"/>
      <c r="U112" s="705"/>
      <c r="V112" s="705"/>
      <c r="W112" s="705"/>
      <c r="X112" s="705"/>
      <c r="Y112" s="705"/>
      <c r="Z112" s="705"/>
      <c r="AA112" s="705"/>
      <c r="AB112" s="705"/>
      <c r="AC112" s="705"/>
      <c r="AD112" s="705"/>
      <c r="AE112" s="705"/>
      <c r="AF112" s="705"/>
      <c r="AG112" s="705"/>
      <c r="AH112" s="705"/>
      <c r="AI112" s="705"/>
      <c r="AJ112" s="705"/>
      <c r="AK112" s="705"/>
      <c r="AL112" s="705"/>
      <c r="AM112" s="705"/>
      <c r="AN112" s="705"/>
      <c r="AO112" s="705"/>
      <c r="AP112" s="705"/>
      <c r="AQ112" s="705"/>
      <c r="AR112" s="705"/>
    </row>
    <row r="113" spans="1:44" x14ac:dyDescent="0.25">
      <c r="A113" s="705"/>
      <c r="B113" s="705"/>
      <c r="C113" s="705"/>
      <c r="D113" s="705"/>
      <c r="E113" s="705"/>
      <c r="F113" s="705"/>
      <c r="G113" s="705"/>
      <c r="H113" s="705"/>
      <c r="I113" s="705"/>
      <c r="J113" s="705"/>
      <c r="K113" s="705"/>
      <c r="L113" s="705"/>
      <c r="M113" s="705"/>
      <c r="N113" s="705"/>
      <c r="O113" s="705"/>
      <c r="P113" s="705"/>
      <c r="Q113" s="705"/>
      <c r="R113" s="705"/>
      <c r="S113" s="705"/>
      <c r="T113" s="705"/>
      <c r="U113" s="705"/>
      <c r="V113" s="705"/>
      <c r="W113" s="705"/>
      <c r="X113" s="705"/>
      <c r="Y113" s="705"/>
      <c r="Z113" s="705"/>
      <c r="AA113" s="705"/>
      <c r="AB113" s="705"/>
      <c r="AC113" s="705"/>
      <c r="AD113" s="705"/>
      <c r="AE113" s="705"/>
      <c r="AF113" s="705"/>
      <c r="AG113" s="705"/>
      <c r="AH113" s="705"/>
      <c r="AI113" s="705"/>
      <c r="AJ113" s="705"/>
      <c r="AK113" s="705"/>
      <c r="AL113" s="705"/>
      <c r="AM113" s="705"/>
      <c r="AN113" s="705"/>
      <c r="AO113" s="705"/>
      <c r="AP113" s="705"/>
      <c r="AQ113" s="705"/>
      <c r="AR113" s="705"/>
    </row>
    <row r="114" spans="1:44" x14ac:dyDescent="0.25">
      <c r="A114" s="705"/>
      <c r="B114" s="705"/>
      <c r="C114" s="705"/>
      <c r="D114" s="705"/>
      <c r="E114" s="705"/>
      <c r="F114" s="705"/>
      <c r="G114" s="705"/>
      <c r="H114" s="705"/>
      <c r="I114" s="705"/>
      <c r="J114" s="705"/>
      <c r="K114" s="705"/>
      <c r="L114" s="705"/>
      <c r="M114" s="705"/>
      <c r="N114" s="705"/>
      <c r="O114" s="705"/>
      <c r="P114" s="705"/>
      <c r="Q114" s="705"/>
      <c r="R114" s="705"/>
      <c r="S114" s="705"/>
      <c r="T114" s="705"/>
      <c r="U114" s="705"/>
      <c r="V114" s="705"/>
      <c r="W114" s="705"/>
      <c r="X114" s="705"/>
      <c r="Y114" s="705"/>
      <c r="Z114" s="705"/>
      <c r="AA114" s="705"/>
      <c r="AB114" s="705"/>
      <c r="AC114" s="705"/>
      <c r="AD114" s="705"/>
      <c r="AE114" s="705"/>
      <c r="AF114" s="705"/>
      <c r="AG114" s="705"/>
      <c r="AH114" s="705"/>
      <c r="AI114" s="705"/>
      <c r="AJ114" s="705"/>
      <c r="AK114" s="705"/>
      <c r="AL114" s="705"/>
      <c r="AM114" s="705"/>
      <c r="AN114" s="705"/>
      <c r="AO114" s="705"/>
      <c r="AP114" s="705"/>
      <c r="AQ114" s="705"/>
      <c r="AR114" s="705"/>
    </row>
    <row r="115" spans="1:44" x14ac:dyDescent="0.25">
      <c r="A115" s="705"/>
      <c r="B115" s="705"/>
      <c r="C115" s="705"/>
      <c r="D115" s="705"/>
      <c r="E115" s="705"/>
      <c r="F115" s="705"/>
      <c r="G115" s="705"/>
      <c r="H115" s="705"/>
      <c r="I115" s="705"/>
      <c r="J115" s="705"/>
      <c r="K115" s="705"/>
      <c r="L115" s="705"/>
      <c r="M115" s="705"/>
      <c r="N115" s="705"/>
      <c r="O115" s="705"/>
      <c r="P115" s="705"/>
      <c r="Q115" s="705"/>
      <c r="R115" s="705"/>
      <c r="S115" s="705"/>
      <c r="T115" s="705"/>
      <c r="U115" s="705"/>
      <c r="V115" s="705"/>
      <c r="W115" s="705"/>
      <c r="X115" s="705"/>
      <c r="Y115" s="705"/>
      <c r="Z115" s="705"/>
      <c r="AA115" s="705"/>
      <c r="AB115" s="705"/>
      <c r="AC115" s="705"/>
      <c r="AD115" s="705"/>
      <c r="AE115" s="705"/>
      <c r="AF115" s="705"/>
      <c r="AG115" s="705"/>
      <c r="AH115" s="705"/>
      <c r="AI115" s="705"/>
      <c r="AJ115" s="705"/>
      <c r="AK115" s="705"/>
      <c r="AL115" s="705"/>
      <c r="AM115" s="705"/>
      <c r="AN115" s="705"/>
      <c r="AO115" s="705"/>
      <c r="AP115" s="705"/>
      <c r="AQ115" s="705"/>
      <c r="AR115" s="705"/>
    </row>
    <row r="116" spans="1:44" x14ac:dyDescent="0.25">
      <c r="A116" s="705"/>
      <c r="B116" s="705"/>
      <c r="C116" s="705"/>
      <c r="D116" s="705"/>
      <c r="E116" s="705"/>
      <c r="F116" s="705"/>
      <c r="G116" s="705"/>
      <c r="H116" s="705"/>
      <c r="I116" s="705"/>
      <c r="J116" s="705"/>
      <c r="K116" s="705"/>
      <c r="L116" s="705"/>
      <c r="M116" s="705"/>
      <c r="N116" s="705"/>
      <c r="O116" s="705"/>
      <c r="P116" s="705"/>
      <c r="Q116" s="705"/>
      <c r="R116" s="705"/>
      <c r="S116" s="705"/>
      <c r="T116" s="705"/>
      <c r="U116" s="705"/>
      <c r="V116" s="705"/>
      <c r="W116" s="705"/>
      <c r="X116" s="705"/>
      <c r="Y116" s="705"/>
      <c r="Z116" s="705"/>
      <c r="AA116" s="705"/>
      <c r="AB116" s="705"/>
      <c r="AC116" s="705"/>
      <c r="AD116" s="705"/>
      <c r="AE116" s="705"/>
      <c r="AF116" s="705"/>
      <c r="AG116" s="705"/>
      <c r="AH116" s="705"/>
      <c r="AI116" s="705"/>
      <c r="AJ116" s="705"/>
      <c r="AK116" s="705"/>
      <c r="AL116" s="705"/>
      <c r="AM116" s="705"/>
      <c r="AN116" s="705"/>
      <c r="AO116" s="705"/>
      <c r="AP116" s="705"/>
      <c r="AQ116" s="705"/>
      <c r="AR116" s="705"/>
    </row>
    <row r="117" spans="1:44" x14ac:dyDescent="0.25">
      <c r="A117" s="705"/>
      <c r="B117" s="705"/>
      <c r="C117" s="705"/>
      <c r="D117" s="705"/>
      <c r="E117" s="705"/>
      <c r="F117" s="705"/>
      <c r="G117" s="705"/>
      <c r="H117" s="705"/>
      <c r="I117" s="705"/>
      <c r="J117" s="705"/>
      <c r="K117" s="705"/>
      <c r="L117" s="705"/>
      <c r="M117" s="705"/>
      <c r="N117" s="705"/>
      <c r="O117" s="705"/>
      <c r="P117" s="705"/>
      <c r="Q117" s="705"/>
      <c r="R117" s="705"/>
      <c r="S117" s="705"/>
      <c r="T117" s="705"/>
      <c r="U117" s="705"/>
      <c r="V117" s="705"/>
      <c r="W117" s="705"/>
      <c r="X117" s="705"/>
      <c r="Y117" s="705"/>
      <c r="Z117" s="705"/>
      <c r="AA117" s="705"/>
      <c r="AB117" s="705"/>
      <c r="AC117" s="705"/>
      <c r="AD117" s="705"/>
      <c r="AE117" s="705"/>
      <c r="AF117" s="705"/>
      <c r="AG117" s="705"/>
      <c r="AH117" s="705"/>
      <c r="AI117" s="705"/>
      <c r="AJ117" s="705"/>
      <c r="AK117" s="705"/>
      <c r="AL117" s="705"/>
      <c r="AM117" s="705"/>
      <c r="AN117" s="705"/>
      <c r="AO117" s="705"/>
      <c r="AP117" s="705"/>
      <c r="AQ117" s="705"/>
      <c r="AR117" s="705"/>
    </row>
    <row r="118" spans="1:44" x14ac:dyDescent="0.25">
      <c r="A118" s="705"/>
      <c r="B118" s="705"/>
      <c r="C118" s="705"/>
      <c r="D118" s="705"/>
      <c r="E118" s="705"/>
      <c r="F118" s="705"/>
      <c r="G118" s="705"/>
      <c r="H118" s="705"/>
      <c r="I118" s="705"/>
      <c r="J118" s="705"/>
      <c r="K118" s="705"/>
      <c r="L118" s="705"/>
      <c r="M118" s="705"/>
      <c r="N118" s="705"/>
      <c r="O118" s="705"/>
      <c r="P118" s="705"/>
      <c r="Q118" s="705"/>
      <c r="R118" s="705"/>
      <c r="S118" s="705"/>
      <c r="T118" s="705"/>
      <c r="U118" s="705"/>
      <c r="V118" s="705"/>
      <c r="W118" s="705"/>
      <c r="X118" s="705"/>
      <c r="Y118" s="705"/>
      <c r="Z118" s="705"/>
      <c r="AA118" s="705"/>
      <c r="AB118" s="705"/>
      <c r="AC118" s="705"/>
      <c r="AD118" s="705"/>
      <c r="AE118" s="705"/>
      <c r="AF118" s="705"/>
      <c r="AG118" s="705"/>
      <c r="AH118" s="705"/>
      <c r="AI118" s="705"/>
      <c r="AJ118" s="705"/>
      <c r="AK118" s="705"/>
      <c r="AL118" s="705"/>
      <c r="AM118" s="705"/>
      <c r="AN118" s="705"/>
      <c r="AO118" s="705"/>
      <c r="AP118" s="705"/>
      <c r="AQ118" s="705"/>
      <c r="AR118" s="705"/>
    </row>
    <row r="119" spans="1:44" x14ac:dyDescent="0.25">
      <c r="A119" s="705"/>
      <c r="B119" s="705"/>
      <c r="C119" s="705"/>
      <c r="D119" s="705"/>
      <c r="E119" s="705"/>
      <c r="F119" s="705"/>
      <c r="G119" s="705"/>
      <c r="H119" s="705"/>
      <c r="I119" s="705"/>
      <c r="J119" s="705"/>
      <c r="K119" s="705"/>
      <c r="L119" s="705"/>
      <c r="M119" s="705"/>
      <c r="N119" s="705"/>
      <c r="O119" s="705"/>
      <c r="P119" s="705"/>
      <c r="Q119" s="705"/>
      <c r="R119" s="705"/>
      <c r="S119" s="705"/>
      <c r="T119" s="705"/>
      <c r="U119" s="705"/>
      <c r="V119" s="705"/>
      <c r="W119" s="705"/>
      <c r="X119" s="705"/>
      <c r="Y119" s="705"/>
      <c r="Z119" s="705"/>
      <c r="AA119" s="705"/>
      <c r="AB119" s="705"/>
      <c r="AC119" s="705"/>
      <c r="AD119" s="705"/>
      <c r="AE119" s="705"/>
      <c r="AF119" s="705"/>
      <c r="AG119" s="705"/>
      <c r="AH119" s="705"/>
      <c r="AI119" s="705"/>
      <c r="AJ119" s="705"/>
      <c r="AK119" s="705"/>
      <c r="AL119" s="705"/>
      <c r="AM119" s="705"/>
      <c r="AN119" s="705"/>
      <c r="AO119" s="705"/>
      <c r="AP119" s="705"/>
      <c r="AQ119" s="705"/>
      <c r="AR119" s="705"/>
    </row>
    <row r="120" spans="1:44" x14ac:dyDescent="0.25">
      <c r="A120" s="705"/>
      <c r="B120" s="705"/>
      <c r="C120" s="705"/>
      <c r="D120" s="705"/>
      <c r="E120" s="705"/>
      <c r="F120" s="705"/>
      <c r="G120" s="705"/>
      <c r="H120" s="705"/>
      <c r="I120" s="705"/>
      <c r="J120" s="705"/>
      <c r="K120" s="705"/>
      <c r="L120" s="705"/>
      <c r="M120" s="705"/>
      <c r="N120" s="705"/>
      <c r="O120" s="705"/>
      <c r="P120" s="705"/>
      <c r="Q120" s="705"/>
      <c r="R120" s="705"/>
      <c r="S120" s="705"/>
      <c r="T120" s="705"/>
      <c r="U120" s="705"/>
      <c r="V120" s="705"/>
      <c r="W120" s="705"/>
      <c r="X120" s="705"/>
      <c r="Y120" s="705"/>
      <c r="Z120" s="705"/>
      <c r="AA120" s="705"/>
      <c r="AB120" s="705"/>
      <c r="AC120" s="705"/>
      <c r="AD120" s="705"/>
      <c r="AE120" s="705"/>
      <c r="AF120" s="705"/>
      <c r="AG120" s="705"/>
      <c r="AH120" s="705"/>
      <c r="AI120" s="705"/>
      <c r="AJ120" s="705"/>
      <c r="AK120" s="705"/>
      <c r="AL120" s="705"/>
      <c r="AM120" s="705"/>
      <c r="AN120" s="705"/>
      <c r="AO120" s="705"/>
      <c r="AP120" s="705"/>
      <c r="AQ120" s="705"/>
      <c r="AR120" s="705"/>
    </row>
    <row r="121" spans="1:44" x14ac:dyDescent="0.25">
      <c r="A121" s="705"/>
      <c r="B121" s="705"/>
      <c r="C121" s="705"/>
      <c r="D121" s="705"/>
      <c r="E121" s="705"/>
      <c r="F121" s="705"/>
      <c r="G121" s="705"/>
      <c r="H121" s="705"/>
      <c r="I121" s="705"/>
      <c r="J121" s="705"/>
      <c r="K121" s="705"/>
      <c r="L121" s="705"/>
      <c r="M121" s="705"/>
      <c r="N121" s="705"/>
      <c r="O121" s="705"/>
      <c r="P121" s="705"/>
      <c r="Q121" s="705"/>
      <c r="R121" s="705"/>
      <c r="S121" s="705"/>
      <c r="T121" s="705"/>
      <c r="U121" s="705"/>
      <c r="V121" s="705"/>
      <c r="W121" s="705"/>
      <c r="X121" s="705"/>
      <c r="Y121" s="705"/>
      <c r="Z121" s="705"/>
      <c r="AA121" s="705"/>
      <c r="AB121" s="705"/>
      <c r="AC121" s="705"/>
      <c r="AD121" s="705"/>
      <c r="AE121" s="705"/>
      <c r="AF121" s="705"/>
      <c r="AG121" s="705"/>
      <c r="AH121" s="705"/>
      <c r="AI121" s="705"/>
      <c r="AJ121" s="705"/>
      <c r="AK121" s="705"/>
      <c r="AL121" s="705"/>
      <c r="AM121" s="705"/>
      <c r="AN121" s="705"/>
      <c r="AO121" s="705"/>
      <c r="AP121" s="705"/>
      <c r="AQ121" s="705"/>
      <c r="AR121" s="705"/>
    </row>
    <row r="122" spans="1:44" x14ac:dyDescent="0.25">
      <c r="A122" s="705"/>
      <c r="B122" s="705"/>
      <c r="C122" s="705"/>
      <c r="D122" s="705"/>
      <c r="E122" s="705"/>
      <c r="F122" s="705"/>
      <c r="G122" s="705"/>
      <c r="H122" s="705"/>
      <c r="I122" s="705"/>
      <c r="J122" s="705"/>
      <c r="K122" s="705"/>
      <c r="L122" s="705"/>
      <c r="M122" s="705"/>
      <c r="N122" s="705"/>
      <c r="O122" s="705"/>
      <c r="P122" s="705"/>
      <c r="Q122" s="705"/>
      <c r="R122" s="705"/>
      <c r="S122" s="705"/>
      <c r="T122" s="705"/>
      <c r="U122" s="705"/>
      <c r="V122" s="705"/>
      <c r="W122" s="705"/>
      <c r="X122" s="705"/>
      <c r="Y122" s="705"/>
      <c r="Z122" s="705"/>
      <c r="AA122" s="705"/>
      <c r="AB122" s="705"/>
      <c r="AC122" s="705"/>
      <c r="AD122" s="705"/>
      <c r="AE122" s="705"/>
      <c r="AF122" s="705"/>
      <c r="AG122" s="705"/>
      <c r="AH122" s="705"/>
      <c r="AI122" s="705"/>
      <c r="AJ122" s="705"/>
      <c r="AK122" s="705"/>
      <c r="AL122" s="705"/>
      <c r="AM122" s="705"/>
      <c r="AN122" s="705"/>
      <c r="AO122" s="705"/>
      <c r="AP122" s="705"/>
      <c r="AQ122" s="705"/>
      <c r="AR122" s="705"/>
    </row>
    <row r="123" spans="1:44" x14ac:dyDescent="0.25">
      <c r="A123" s="705"/>
      <c r="B123" s="705"/>
      <c r="C123" s="705"/>
      <c r="D123" s="705"/>
      <c r="E123" s="705"/>
      <c r="F123" s="705"/>
      <c r="G123" s="705"/>
      <c r="H123" s="705"/>
      <c r="I123" s="705"/>
      <c r="J123" s="705"/>
      <c r="K123" s="705"/>
      <c r="L123" s="705"/>
      <c r="M123" s="705"/>
      <c r="N123" s="705"/>
      <c r="O123" s="705"/>
      <c r="P123" s="705"/>
      <c r="Q123" s="705"/>
      <c r="R123" s="705"/>
      <c r="S123" s="705"/>
      <c r="T123" s="705"/>
      <c r="U123" s="705"/>
      <c r="V123" s="705"/>
      <c r="W123" s="705"/>
      <c r="X123" s="705"/>
      <c r="Y123" s="705"/>
      <c r="Z123" s="705"/>
      <c r="AA123" s="705"/>
      <c r="AB123" s="705"/>
      <c r="AC123" s="705"/>
      <c r="AD123" s="705"/>
      <c r="AE123" s="705"/>
      <c r="AF123" s="705"/>
      <c r="AG123" s="705"/>
      <c r="AH123" s="705"/>
      <c r="AI123" s="705"/>
      <c r="AJ123" s="705"/>
      <c r="AK123" s="705"/>
      <c r="AL123" s="705"/>
      <c r="AM123" s="705"/>
      <c r="AN123" s="705"/>
      <c r="AO123" s="705"/>
      <c r="AP123" s="705"/>
      <c r="AQ123" s="705"/>
      <c r="AR123" s="705"/>
    </row>
    <row r="124" spans="1:44" x14ac:dyDescent="0.25">
      <c r="A124" s="705"/>
      <c r="B124" s="705"/>
      <c r="C124" s="705"/>
      <c r="D124" s="705"/>
      <c r="E124" s="705"/>
      <c r="F124" s="705"/>
      <c r="G124" s="705"/>
      <c r="H124" s="705"/>
      <c r="I124" s="705"/>
      <c r="J124" s="705"/>
      <c r="K124" s="705"/>
      <c r="L124" s="705"/>
      <c r="M124" s="705"/>
      <c r="N124" s="705"/>
      <c r="O124" s="705"/>
      <c r="P124" s="705"/>
      <c r="Q124" s="705"/>
      <c r="R124" s="705"/>
      <c r="S124" s="705"/>
      <c r="T124" s="705"/>
      <c r="U124" s="705"/>
      <c r="V124" s="705"/>
      <c r="W124" s="705"/>
      <c r="X124" s="705"/>
      <c r="Y124" s="705"/>
      <c r="Z124" s="705"/>
      <c r="AA124" s="705"/>
      <c r="AB124" s="705"/>
      <c r="AC124" s="705"/>
      <c r="AD124" s="705"/>
      <c r="AE124" s="705"/>
      <c r="AF124" s="705"/>
      <c r="AG124" s="705"/>
      <c r="AH124" s="705"/>
      <c r="AI124" s="705"/>
      <c r="AJ124" s="705"/>
      <c r="AK124" s="705"/>
      <c r="AL124" s="705"/>
      <c r="AM124" s="705"/>
      <c r="AN124" s="705"/>
      <c r="AO124" s="705"/>
      <c r="AP124" s="705"/>
      <c r="AQ124" s="705"/>
      <c r="AR124" s="705"/>
    </row>
    <row r="125" spans="1:44" x14ac:dyDescent="0.25">
      <c r="A125" s="705"/>
      <c r="B125" s="705"/>
      <c r="C125" s="705"/>
      <c r="D125" s="705"/>
      <c r="E125" s="705"/>
      <c r="F125" s="705"/>
      <c r="G125" s="705"/>
      <c r="H125" s="705"/>
      <c r="I125" s="705"/>
      <c r="J125" s="705"/>
      <c r="K125" s="705"/>
      <c r="L125" s="705"/>
      <c r="M125" s="705"/>
      <c r="N125" s="705"/>
      <c r="O125" s="705"/>
      <c r="P125" s="705"/>
      <c r="Q125" s="705"/>
      <c r="R125" s="705"/>
      <c r="S125" s="705"/>
      <c r="T125" s="705"/>
      <c r="U125" s="705"/>
      <c r="V125" s="705"/>
      <c r="W125" s="705"/>
      <c r="X125" s="705"/>
      <c r="Y125" s="705"/>
      <c r="Z125" s="705"/>
      <c r="AA125" s="705"/>
      <c r="AB125" s="705"/>
      <c r="AC125" s="705"/>
      <c r="AD125" s="705"/>
      <c r="AE125" s="705"/>
      <c r="AF125" s="705"/>
      <c r="AG125" s="705"/>
      <c r="AH125" s="705"/>
      <c r="AI125" s="705"/>
      <c r="AJ125" s="705"/>
      <c r="AK125" s="705"/>
      <c r="AL125" s="705"/>
      <c r="AM125" s="705"/>
      <c r="AN125" s="705"/>
      <c r="AO125" s="705"/>
      <c r="AP125" s="705"/>
      <c r="AQ125" s="705"/>
      <c r="AR125" s="705"/>
    </row>
    <row r="126" spans="1:44" x14ac:dyDescent="0.25">
      <c r="A126" s="705"/>
      <c r="B126" s="705"/>
      <c r="C126" s="705"/>
      <c r="D126" s="705"/>
      <c r="E126" s="705"/>
      <c r="F126" s="705"/>
      <c r="G126" s="705"/>
      <c r="H126" s="705"/>
      <c r="I126" s="705"/>
      <c r="J126" s="705"/>
      <c r="K126" s="705"/>
      <c r="L126" s="705"/>
      <c r="M126" s="705"/>
      <c r="N126" s="705"/>
      <c r="O126" s="705"/>
      <c r="P126" s="705"/>
      <c r="Q126" s="705"/>
      <c r="R126" s="705"/>
      <c r="S126" s="705"/>
      <c r="T126" s="705"/>
      <c r="U126" s="705"/>
      <c r="V126" s="705"/>
      <c r="W126" s="705"/>
      <c r="X126" s="705"/>
      <c r="Y126" s="705"/>
      <c r="Z126" s="705"/>
      <c r="AA126" s="705"/>
      <c r="AB126" s="705"/>
      <c r="AC126" s="705"/>
      <c r="AD126" s="705"/>
      <c r="AE126" s="705"/>
      <c r="AF126" s="705"/>
      <c r="AG126" s="705"/>
      <c r="AH126" s="705"/>
      <c r="AI126" s="705"/>
      <c r="AJ126" s="705"/>
      <c r="AK126" s="705"/>
      <c r="AL126" s="705"/>
      <c r="AM126" s="705"/>
      <c r="AN126" s="705"/>
      <c r="AO126" s="705"/>
      <c r="AP126" s="705"/>
      <c r="AQ126" s="705"/>
      <c r="AR126" s="705"/>
    </row>
    <row r="127" spans="1:44" x14ac:dyDescent="0.25">
      <c r="A127" s="705"/>
      <c r="B127" s="705"/>
      <c r="C127" s="705"/>
      <c r="D127" s="705"/>
      <c r="E127" s="705"/>
      <c r="F127" s="705"/>
      <c r="G127" s="705"/>
      <c r="H127" s="705"/>
      <c r="I127" s="705"/>
      <c r="J127" s="705"/>
      <c r="K127" s="705"/>
      <c r="L127" s="705"/>
      <c r="M127" s="705"/>
      <c r="N127" s="705"/>
      <c r="O127" s="705"/>
      <c r="P127" s="705"/>
      <c r="Q127" s="705"/>
      <c r="R127" s="705"/>
      <c r="S127" s="705"/>
      <c r="T127" s="705"/>
      <c r="U127" s="705"/>
      <c r="V127" s="705"/>
      <c r="W127" s="705"/>
      <c r="X127" s="705"/>
      <c r="Y127" s="705"/>
      <c r="Z127" s="705"/>
      <c r="AA127" s="705"/>
      <c r="AB127" s="705"/>
      <c r="AC127" s="705"/>
      <c r="AD127" s="705"/>
      <c r="AE127" s="705"/>
      <c r="AF127" s="705"/>
      <c r="AG127" s="705"/>
      <c r="AH127" s="705"/>
      <c r="AI127" s="705"/>
      <c r="AJ127" s="705"/>
      <c r="AK127" s="705"/>
      <c r="AL127" s="705"/>
      <c r="AM127" s="705"/>
      <c r="AN127" s="705"/>
      <c r="AO127" s="705"/>
      <c r="AP127" s="705"/>
      <c r="AQ127" s="705"/>
      <c r="AR127" s="705"/>
    </row>
    <row r="128" spans="1:44" x14ac:dyDescent="0.25">
      <c r="A128" s="705"/>
      <c r="B128" s="705"/>
      <c r="C128" s="705"/>
      <c r="D128" s="705"/>
      <c r="E128" s="705"/>
      <c r="F128" s="705"/>
      <c r="G128" s="705"/>
      <c r="H128" s="705"/>
      <c r="I128" s="705"/>
      <c r="J128" s="705"/>
      <c r="K128" s="705"/>
      <c r="L128" s="705"/>
      <c r="M128" s="705"/>
      <c r="N128" s="705"/>
      <c r="O128" s="705"/>
      <c r="P128" s="705"/>
      <c r="Q128" s="705"/>
      <c r="R128" s="705"/>
      <c r="S128" s="705"/>
      <c r="T128" s="705"/>
      <c r="U128" s="705"/>
      <c r="V128" s="705"/>
      <c r="W128" s="705"/>
      <c r="X128" s="705"/>
      <c r="Y128" s="705"/>
      <c r="Z128" s="705"/>
      <c r="AA128" s="705"/>
      <c r="AB128" s="705"/>
      <c r="AC128" s="705"/>
      <c r="AD128" s="705"/>
      <c r="AE128" s="705"/>
      <c r="AF128" s="705"/>
      <c r="AG128" s="705"/>
      <c r="AH128" s="705"/>
      <c r="AI128" s="705"/>
      <c r="AJ128" s="705"/>
      <c r="AK128" s="705"/>
      <c r="AL128" s="705"/>
      <c r="AM128" s="705"/>
      <c r="AN128" s="705"/>
      <c r="AO128" s="705"/>
      <c r="AP128" s="705"/>
      <c r="AQ128" s="705"/>
      <c r="AR128" s="705"/>
    </row>
    <row r="129" spans="1:44" x14ac:dyDescent="0.25">
      <c r="A129" s="705"/>
      <c r="B129" s="705"/>
      <c r="C129" s="705"/>
      <c r="D129" s="705"/>
      <c r="E129" s="705"/>
      <c r="F129" s="705"/>
      <c r="G129" s="705"/>
      <c r="H129" s="705"/>
      <c r="I129" s="705"/>
      <c r="J129" s="705"/>
      <c r="K129" s="705"/>
      <c r="L129" s="705"/>
      <c r="M129" s="705"/>
      <c r="N129" s="705"/>
      <c r="O129" s="705"/>
      <c r="P129" s="705"/>
      <c r="Q129" s="705"/>
      <c r="R129" s="705"/>
      <c r="S129" s="705"/>
      <c r="T129" s="705"/>
      <c r="U129" s="705"/>
      <c r="V129" s="705"/>
      <c r="W129" s="705"/>
      <c r="X129" s="705"/>
      <c r="Y129" s="705"/>
      <c r="Z129" s="705"/>
      <c r="AA129" s="705"/>
      <c r="AB129" s="705"/>
      <c r="AC129" s="705"/>
      <c r="AD129" s="705"/>
      <c r="AE129" s="705"/>
      <c r="AF129" s="705"/>
      <c r="AG129" s="705"/>
      <c r="AH129" s="705"/>
      <c r="AI129" s="705"/>
      <c r="AJ129" s="705"/>
      <c r="AK129" s="705"/>
      <c r="AL129" s="705"/>
      <c r="AM129" s="705"/>
      <c r="AN129" s="705"/>
      <c r="AO129" s="705"/>
      <c r="AP129" s="705"/>
      <c r="AQ129" s="705"/>
      <c r="AR129" s="705"/>
    </row>
    <row r="130" spans="1:44" x14ac:dyDescent="0.25">
      <c r="A130" s="705"/>
      <c r="B130" s="705"/>
      <c r="C130" s="705"/>
      <c r="D130" s="705"/>
      <c r="E130" s="705"/>
      <c r="F130" s="705"/>
      <c r="G130" s="705"/>
      <c r="H130" s="705"/>
      <c r="I130" s="705"/>
      <c r="J130" s="705"/>
      <c r="K130" s="705"/>
      <c r="L130" s="705"/>
      <c r="M130" s="705"/>
      <c r="N130" s="705"/>
      <c r="O130" s="705"/>
      <c r="P130" s="705"/>
      <c r="Q130" s="705"/>
      <c r="R130" s="705"/>
      <c r="S130" s="705"/>
      <c r="T130" s="705"/>
      <c r="U130" s="705"/>
      <c r="V130" s="705"/>
      <c r="W130" s="705"/>
      <c r="X130" s="705"/>
      <c r="Y130" s="705"/>
      <c r="Z130" s="705"/>
      <c r="AA130" s="705"/>
      <c r="AB130" s="705"/>
      <c r="AC130" s="705"/>
      <c r="AD130" s="705"/>
      <c r="AE130" s="705"/>
      <c r="AF130" s="705"/>
      <c r="AG130" s="705"/>
      <c r="AH130" s="705"/>
      <c r="AI130" s="705"/>
      <c r="AJ130" s="705"/>
      <c r="AK130" s="705"/>
      <c r="AL130" s="705"/>
      <c r="AM130" s="705"/>
      <c r="AN130" s="705"/>
      <c r="AO130" s="705"/>
      <c r="AP130" s="705"/>
      <c r="AQ130" s="705"/>
      <c r="AR130" s="705"/>
    </row>
    <row r="131" spans="1:44" x14ac:dyDescent="0.25">
      <c r="A131" s="705"/>
      <c r="B131" s="705"/>
      <c r="C131" s="705"/>
      <c r="D131" s="705"/>
      <c r="E131" s="705"/>
      <c r="F131" s="705"/>
      <c r="G131" s="705"/>
      <c r="H131" s="705"/>
      <c r="I131" s="705"/>
      <c r="J131" s="705"/>
      <c r="K131" s="705"/>
      <c r="L131" s="705"/>
      <c r="M131" s="705"/>
      <c r="N131" s="705"/>
      <c r="O131" s="705"/>
      <c r="P131" s="705"/>
      <c r="Q131" s="705"/>
      <c r="R131" s="705"/>
      <c r="S131" s="705"/>
      <c r="T131" s="705"/>
      <c r="U131" s="705"/>
      <c r="V131" s="705"/>
      <c r="W131" s="705"/>
      <c r="X131" s="705"/>
      <c r="Y131" s="705"/>
      <c r="Z131" s="705"/>
      <c r="AA131" s="705"/>
      <c r="AB131" s="705"/>
      <c r="AC131" s="705"/>
      <c r="AD131" s="705"/>
      <c r="AE131" s="705"/>
      <c r="AF131" s="705"/>
      <c r="AG131" s="705"/>
      <c r="AH131" s="705"/>
      <c r="AI131" s="705"/>
      <c r="AJ131" s="705"/>
      <c r="AK131" s="705"/>
      <c r="AL131" s="705"/>
      <c r="AM131" s="705"/>
      <c r="AN131" s="705"/>
      <c r="AO131" s="705"/>
      <c r="AP131" s="705"/>
      <c r="AQ131" s="705"/>
      <c r="AR131" s="705"/>
    </row>
    <row r="132" spans="1:44" x14ac:dyDescent="0.25">
      <c r="A132" s="705"/>
      <c r="B132" s="705"/>
      <c r="C132" s="705"/>
      <c r="D132" s="705"/>
      <c r="E132" s="705"/>
      <c r="F132" s="705"/>
      <c r="G132" s="705"/>
      <c r="H132" s="705"/>
      <c r="I132" s="705"/>
      <c r="J132" s="705"/>
      <c r="K132" s="705"/>
      <c r="L132" s="705"/>
      <c r="M132" s="705"/>
      <c r="N132" s="705"/>
      <c r="O132" s="705"/>
      <c r="P132" s="705"/>
      <c r="Q132" s="705"/>
      <c r="R132" s="705"/>
      <c r="S132" s="705"/>
      <c r="T132" s="705"/>
      <c r="U132" s="705"/>
      <c r="V132" s="705"/>
      <c r="W132" s="705"/>
      <c r="X132" s="705"/>
      <c r="Y132" s="705"/>
      <c r="Z132" s="705"/>
      <c r="AA132" s="705"/>
      <c r="AB132" s="705"/>
      <c r="AC132" s="705"/>
      <c r="AD132" s="705"/>
      <c r="AE132" s="705"/>
      <c r="AF132" s="705"/>
      <c r="AG132" s="705"/>
      <c r="AH132" s="705"/>
      <c r="AI132" s="705"/>
      <c r="AJ132" s="705"/>
      <c r="AK132" s="705"/>
      <c r="AL132" s="705"/>
      <c r="AM132" s="705"/>
      <c r="AN132" s="705"/>
      <c r="AO132" s="705"/>
      <c r="AP132" s="705"/>
      <c r="AQ132" s="705"/>
      <c r="AR132" s="705"/>
    </row>
    <row r="133" spans="1:44" x14ac:dyDescent="0.25">
      <c r="A133" s="705"/>
      <c r="B133" s="705"/>
      <c r="C133" s="705"/>
      <c r="D133" s="705"/>
      <c r="E133" s="705"/>
      <c r="F133" s="705"/>
      <c r="G133" s="705"/>
      <c r="H133" s="705"/>
      <c r="I133" s="705"/>
      <c r="J133" s="705"/>
      <c r="K133" s="705"/>
      <c r="L133" s="705"/>
      <c r="M133" s="705"/>
      <c r="N133" s="705"/>
      <c r="O133" s="705"/>
      <c r="P133" s="705"/>
      <c r="Q133" s="705"/>
      <c r="R133" s="705"/>
      <c r="S133" s="705"/>
      <c r="T133" s="705"/>
      <c r="U133" s="705"/>
      <c r="V133" s="705"/>
      <c r="W133" s="705"/>
      <c r="X133" s="705"/>
      <c r="Y133" s="705"/>
      <c r="Z133" s="705"/>
      <c r="AA133" s="705"/>
      <c r="AB133" s="705"/>
      <c r="AC133" s="705"/>
      <c r="AD133" s="705"/>
      <c r="AE133" s="705"/>
      <c r="AF133" s="705"/>
      <c r="AG133" s="705"/>
      <c r="AH133" s="705"/>
      <c r="AI133" s="705"/>
      <c r="AJ133" s="705"/>
      <c r="AK133" s="705"/>
      <c r="AL133" s="705"/>
      <c r="AM133" s="705"/>
      <c r="AN133" s="705"/>
      <c r="AO133" s="705"/>
      <c r="AP133" s="705"/>
      <c r="AQ133" s="705"/>
      <c r="AR133" s="705"/>
    </row>
    <row r="134" spans="1:44" x14ac:dyDescent="0.25">
      <c r="A134" s="705"/>
      <c r="B134" s="705"/>
      <c r="C134" s="705"/>
      <c r="D134" s="705"/>
      <c r="E134" s="705"/>
      <c r="F134" s="705"/>
      <c r="G134" s="705"/>
      <c r="H134" s="705"/>
      <c r="I134" s="705"/>
      <c r="J134" s="705"/>
      <c r="K134" s="705"/>
      <c r="L134" s="705"/>
      <c r="M134" s="705"/>
      <c r="N134" s="705"/>
      <c r="O134" s="705"/>
      <c r="P134" s="705"/>
      <c r="Q134" s="705"/>
      <c r="R134" s="705"/>
      <c r="S134" s="705"/>
      <c r="T134" s="705"/>
      <c r="U134" s="705"/>
      <c r="V134" s="705"/>
      <c r="W134" s="705"/>
      <c r="X134" s="705"/>
      <c r="Y134" s="705"/>
      <c r="Z134" s="705"/>
      <c r="AA134" s="705"/>
      <c r="AB134" s="705"/>
      <c r="AC134" s="705"/>
      <c r="AD134" s="705"/>
      <c r="AE134" s="705"/>
      <c r="AF134" s="705"/>
      <c r="AG134" s="705"/>
      <c r="AH134" s="705"/>
      <c r="AI134" s="705"/>
      <c r="AJ134" s="705"/>
      <c r="AK134" s="705"/>
      <c r="AL134" s="705"/>
      <c r="AM134" s="705"/>
      <c r="AN134" s="705"/>
      <c r="AO134" s="705"/>
      <c r="AP134" s="705"/>
      <c r="AQ134" s="705"/>
      <c r="AR134" s="705"/>
    </row>
    <row r="135" spans="1:44" x14ac:dyDescent="0.25">
      <c r="A135" s="705"/>
      <c r="B135" s="705"/>
      <c r="C135" s="705"/>
      <c r="D135" s="705"/>
      <c r="E135" s="705"/>
      <c r="F135" s="705"/>
      <c r="G135" s="705"/>
      <c r="H135" s="705"/>
      <c r="I135" s="705"/>
      <c r="J135" s="705"/>
      <c r="K135" s="705"/>
      <c r="L135" s="705"/>
      <c r="M135" s="705"/>
      <c r="N135" s="705"/>
      <c r="O135" s="705"/>
      <c r="P135" s="705"/>
      <c r="Q135" s="705"/>
      <c r="R135" s="705"/>
      <c r="S135" s="705"/>
      <c r="T135" s="705"/>
      <c r="U135" s="705"/>
      <c r="V135" s="705"/>
      <c r="W135" s="705"/>
      <c r="X135" s="705"/>
      <c r="Y135" s="705"/>
      <c r="Z135" s="705"/>
      <c r="AA135" s="705"/>
      <c r="AB135" s="705"/>
      <c r="AC135" s="705"/>
      <c r="AD135" s="705"/>
      <c r="AE135" s="705"/>
      <c r="AF135" s="705"/>
      <c r="AG135" s="705"/>
      <c r="AH135" s="705"/>
      <c r="AI135" s="705"/>
      <c r="AJ135" s="705"/>
      <c r="AK135" s="705"/>
      <c r="AL135" s="705"/>
      <c r="AM135" s="705"/>
      <c r="AN135" s="705"/>
      <c r="AO135" s="705"/>
      <c r="AP135" s="705"/>
      <c r="AQ135" s="705"/>
      <c r="AR135" s="705"/>
    </row>
    <row r="136" spans="1:44" x14ac:dyDescent="0.25">
      <c r="A136" s="705"/>
      <c r="B136" s="705"/>
      <c r="C136" s="705"/>
      <c r="D136" s="705"/>
      <c r="E136" s="705"/>
      <c r="F136" s="705"/>
      <c r="G136" s="705"/>
      <c r="H136" s="705"/>
      <c r="I136" s="705"/>
      <c r="J136" s="705"/>
      <c r="K136" s="705"/>
      <c r="L136" s="705"/>
      <c r="M136" s="705"/>
      <c r="N136" s="705"/>
      <c r="O136" s="705"/>
      <c r="P136" s="705"/>
      <c r="Q136" s="705"/>
      <c r="R136" s="705"/>
      <c r="S136" s="705"/>
      <c r="T136" s="705"/>
      <c r="U136" s="705"/>
      <c r="V136" s="705"/>
      <c r="W136" s="705"/>
      <c r="X136" s="705"/>
      <c r="Y136" s="705"/>
      <c r="Z136" s="705"/>
      <c r="AA136" s="705"/>
      <c r="AB136" s="705"/>
      <c r="AC136" s="705"/>
      <c r="AD136" s="705"/>
      <c r="AE136" s="705"/>
      <c r="AF136" s="705"/>
      <c r="AG136" s="705"/>
      <c r="AH136" s="705"/>
      <c r="AI136" s="705"/>
      <c r="AJ136" s="705"/>
      <c r="AK136" s="705"/>
      <c r="AL136" s="705"/>
      <c r="AM136" s="705"/>
      <c r="AN136" s="705"/>
      <c r="AO136" s="705"/>
      <c r="AP136" s="705"/>
      <c r="AQ136" s="705"/>
      <c r="AR136" s="705"/>
    </row>
    <row r="137" spans="1:44" x14ac:dyDescent="0.25">
      <c r="E137" s="30"/>
      <c r="F137" s="30"/>
      <c r="G137" s="30"/>
      <c r="I137" s="30"/>
    </row>
    <row r="138" spans="1:44" x14ac:dyDescent="0.25">
      <c r="E138" s="30"/>
      <c r="F138" s="30"/>
      <c r="G138" s="30"/>
      <c r="I138" s="30"/>
    </row>
    <row r="139" spans="1:44" x14ac:dyDescent="0.25">
      <c r="E139" s="30"/>
      <c r="F139" s="30"/>
      <c r="G139" s="30"/>
      <c r="I139" s="30"/>
    </row>
  </sheetData>
  <sheetProtection password="BCD8" sheet="1" objects="1" scenarios="1"/>
  <phoneticPr fontId="0" type="noConversion"/>
  <pageMargins left="0.55000000000000004" right="0.45" top="0.63" bottom="0.45" header="0.36" footer="0.26"/>
  <pageSetup paperSize="9" scale="91"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asicmenubutton">
              <controlPr defaultSize="0" print="0" autoFill="0" autoPict="0" macro="[0]!goto_home">
                <anchor moveWithCells="1" sizeWithCells="1">
                  <from>
                    <xdr:col>0</xdr:col>
                    <xdr:colOff>177800</xdr:colOff>
                    <xdr:row>0</xdr:row>
                    <xdr:rowOff>107950</xdr:rowOff>
                  </from>
                  <to>
                    <xdr:col>0</xdr:col>
                    <xdr:colOff>1016000</xdr:colOff>
                    <xdr:row>2</xdr:row>
                    <xdr:rowOff>76200</xdr:rowOff>
                  </to>
                </anchor>
              </controlPr>
            </control>
          </mc:Choice>
        </mc:AlternateContent>
        <mc:AlternateContent xmlns:mc="http://schemas.openxmlformats.org/markup-compatibility/2006">
          <mc:Choice Requires="x14">
            <control shapeId="49154" r:id="rId5" name="Button 2">
              <controlPr defaultSize="0" print="0" autoFill="0" autoPict="0" macro="[0]!goto_basic">
                <anchor moveWithCells="1" sizeWithCells="1">
                  <from>
                    <xdr:col>10</xdr:col>
                    <xdr:colOff>196850</xdr:colOff>
                    <xdr:row>0</xdr:row>
                    <xdr:rowOff>158750</xdr:rowOff>
                  </from>
                  <to>
                    <xdr:col>12</xdr:col>
                    <xdr:colOff>279400</xdr:colOff>
                    <xdr:row>3</xdr:row>
                    <xdr:rowOff>44450</xdr:rowOff>
                  </to>
                </anchor>
              </controlPr>
            </control>
          </mc:Choice>
        </mc:AlternateContent>
        <mc:AlternateContent xmlns:mc="http://schemas.openxmlformats.org/markup-compatibility/2006">
          <mc:Choice Requires="x14">
            <control shapeId="49155" r:id="rId6" name="Button 3">
              <controlPr defaultSize="0" print="0" autoFill="0" autoPict="0" macro="[0]!PrintThis">
                <anchor moveWithCells="1" sizeWithCells="1">
                  <from>
                    <xdr:col>10</xdr:col>
                    <xdr:colOff>196850</xdr:colOff>
                    <xdr:row>3</xdr:row>
                    <xdr:rowOff>69850</xdr:rowOff>
                  </from>
                  <to>
                    <xdr:col>12</xdr:col>
                    <xdr:colOff>279400</xdr:colOff>
                    <xdr:row>6</xdr:row>
                    <xdr:rowOff>6350</xdr:rowOff>
                  </to>
                </anchor>
              </controlPr>
            </control>
          </mc:Choice>
        </mc:AlternateContent>
        <mc:AlternateContent xmlns:mc="http://schemas.openxmlformats.org/markup-compatibility/2006">
          <mc:Choice Requires="x14">
            <control shapeId="49156" r:id="rId7" name="Button 4">
              <controlPr defaultSize="0" print="0" autoFill="0" autoPict="0" macro="[0]!goto_basic_analysis_original">
                <anchor moveWithCells="1" sizeWithCells="1">
                  <from>
                    <xdr:col>10</xdr:col>
                    <xdr:colOff>196850</xdr:colOff>
                    <xdr:row>9</xdr:row>
                    <xdr:rowOff>12700</xdr:rowOff>
                  </from>
                  <to>
                    <xdr:col>12</xdr:col>
                    <xdr:colOff>482600</xdr:colOff>
                    <xdr:row>11</xdr:row>
                    <xdr:rowOff>82550</xdr:rowOff>
                  </to>
                </anchor>
              </controlPr>
            </control>
          </mc:Choice>
        </mc:AlternateContent>
        <mc:AlternateContent xmlns:mc="http://schemas.openxmlformats.org/markup-compatibility/2006">
          <mc:Choice Requires="x14">
            <control shapeId="49157" r:id="rId8" name="tdr1">
              <controlPr defaultSize="0" print="0" autoFill="0" autoPict="0" macro="[0]!goto_trans_analysis_revised">
                <anchor moveWithCells="1" sizeWithCells="1">
                  <from>
                    <xdr:col>10</xdr:col>
                    <xdr:colOff>44450</xdr:colOff>
                    <xdr:row>12</xdr:row>
                    <xdr:rowOff>139700</xdr:rowOff>
                  </from>
                  <to>
                    <xdr:col>12</xdr:col>
                    <xdr:colOff>488950</xdr:colOff>
                    <xdr:row>14</xdr:row>
                    <xdr:rowOff>38100</xdr:rowOff>
                  </to>
                </anchor>
              </controlPr>
            </control>
          </mc:Choice>
        </mc:AlternateContent>
        <mc:AlternateContent xmlns:mc="http://schemas.openxmlformats.org/markup-compatibility/2006">
          <mc:Choice Requires="x14">
            <control shapeId="49158" r:id="rId9" name="tdr2">
              <controlPr defaultSize="0" print="0" autoFill="0" autoPict="0" macro="[0]!goto_trans_analysis_revised">
                <anchor moveWithCells="1" sizeWithCells="1">
                  <from>
                    <xdr:col>10</xdr:col>
                    <xdr:colOff>44450</xdr:colOff>
                    <xdr:row>25</xdr:row>
                    <xdr:rowOff>139700</xdr:rowOff>
                  </from>
                  <to>
                    <xdr:col>12</xdr:col>
                    <xdr:colOff>488950</xdr:colOff>
                    <xdr:row>27</xdr:row>
                    <xdr:rowOff>38100</xdr:rowOff>
                  </to>
                </anchor>
              </controlPr>
            </control>
          </mc:Choice>
        </mc:AlternateContent>
        <mc:AlternateContent xmlns:mc="http://schemas.openxmlformats.org/markup-compatibility/2006">
          <mc:Choice Requires="x14">
            <control shapeId="49159" r:id="rId10" name="tdr3">
              <controlPr defaultSize="0" print="0" autoFill="0" autoPict="0" macro="[0]!goto_trans_analysis_revised">
                <anchor moveWithCells="1" sizeWithCells="1">
                  <from>
                    <xdr:col>10</xdr:col>
                    <xdr:colOff>44450</xdr:colOff>
                    <xdr:row>38</xdr:row>
                    <xdr:rowOff>146050</xdr:rowOff>
                  </from>
                  <to>
                    <xdr:col>12</xdr:col>
                    <xdr:colOff>488950</xdr:colOff>
                    <xdr:row>40</xdr:row>
                    <xdr:rowOff>44450</xdr:rowOff>
                  </to>
                </anchor>
              </controlPr>
            </control>
          </mc:Choice>
        </mc:AlternateContent>
        <mc:AlternateContent xmlns:mc="http://schemas.openxmlformats.org/markup-compatibility/2006">
          <mc:Choice Requires="x14">
            <control shapeId="49161" r:id="rId11" name="Button 9">
              <controlPr defaultSize="0" print="0" autoFill="0" autoPict="0" macro="[0]!goto_details">
                <anchor moveWithCells="1" sizeWithCells="1">
                  <from>
                    <xdr:col>0</xdr:col>
                    <xdr:colOff>165100</xdr:colOff>
                    <xdr:row>3</xdr:row>
                    <xdr:rowOff>146050</xdr:rowOff>
                  </from>
                  <to>
                    <xdr:col>0</xdr:col>
                    <xdr:colOff>984250</xdr:colOff>
                    <xdr:row>7</xdr:row>
                    <xdr:rowOff>165100</xdr:rowOff>
                  </to>
                </anchor>
              </controlPr>
            </control>
          </mc:Choice>
        </mc:AlternateContent>
        <mc:AlternateContent xmlns:mc="http://schemas.openxmlformats.org/markup-compatibility/2006">
          <mc:Choice Requires="x14">
            <control shapeId="49162" r:id="rId12" name="Button 10">
              <controlPr defaultSize="0" print="0" autoFill="0" autoPict="0" macro="[0]!add_supp1">
                <anchor moveWithCells="1" sizeWithCells="1">
                  <from>
                    <xdr:col>8</xdr:col>
                    <xdr:colOff>831850</xdr:colOff>
                    <xdr:row>9</xdr:row>
                    <xdr:rowOff>6350</xdr:rowOff>
                  </from>
                  <to>
                    <xdr:col>9</xdr:col>
                    <xdr:colOff>266700</xdr:colOff>
                    <xdr:row>10</xdr:row>
                    <xdr:rowOff>114300</xdr:rowOff>
                  </to>
                </anchor>
              </controlPr>
            </control>
          </mc:Choice>
        </mc:AlternateContent>
        <mc:AlternateContent xmlns:mc="http://schemas.openxmlformats.org/markup-compatibility/2006">
          <mc:Choice Requires="x14">
            <control shapeId="49163" r:id="rId13" name="Button 11">
              <controlPr defaultSize="0" print="0" autoFill="0" autoPict="0" macro="[0]!add_supp2">
                <anchor moveWithCells="1" sizeWithCells="1">
                  <from>
                    <xdr:col>8</xdr:col>
                    <xdr:colOff>831850</xdr:colOff>
                    <xdr:row>22</xdr:row>
                    <xdr:rowOff>12700</xdr:rowOff>
                  </from>
                  <to>
                    <xdr:col>9</xdr:col>
                    <xdr:colOff>266700</xdr:colOff>
                    <xdr:row>23</xdr:row>
                    <xdr:rowOff>120650</xdr:rowOff>
                  </to>
                </anchor>
              </controlPr>
            </control>
          </mc:Choice>
        </mc:AlternateContent>
        <mc:AlternateContent xmlns:mc="http://schemas.openxmlformats.org/markup-compatibility/2006">
          <mc:Choice Requires="x14">
            <control shapeId="49164" r:id="rId14" name="Button 12">
              <controlPr defaultSize="0" print="0" autoFill="0" autoPict="0" macro="[0]!add_supp3">
                <anchor moveWithCells="1" sizeWithCells="1">
                  <from>
                    <xdr:col>8</xdr:col>
                    <xdr:colOff>831850</xdr:colOff>
                    <xdr:row>35</xdr:row>
                    <xdr:rowOff>31750</xdr:rowOff>
                  </from>
                  <to>
                    <xdr:col>9</xdr:col>
                    <xdr:colOff>266700</xdr:colOff>
                    <xdr:row>36</xdr:row>
                    <xdr:rowOff>139700</xdr:rowOff>
                  </to>
                </anchor>
              </controlPr>
            </control>
          </mc:Choice>
        </mc:AlternateContent>
        <mc:AlternateContent xmlns:mc="http://schemas.openxmlformats.org/markup-compatibility/2006">
          <mc:Choice Requires="x14">
            <control shapeId="49166" r:id="rId15" name="Button 14">
              <controlPr defaultSize="0" print="0" autoFill="0" autoPict="0" macro="[0]!copy_as_excel">
                <anchor moveWithCells="1" sizeWithCells="1">
                  <from>
                    <xdr:col>12</xdr:col>
                    <xdr:colOff>488950</xdr:colOff>
                    <xdr:row>3</xdr:row>
                    <xdr:rowOff>44450</xdr:rowOff>
                  </from>
                  <to>
                    <xdr:col>13</xdr:col>
                    <xdr:colOff>546100</xdr:colOff>
                    <xdr:row>6</xdr:row>
                    <xdr:rowOff>0</xdr:rowOff>
                  </to>
                </anchor>
              </controlPr>
            </control>
          </mc:Choice>
        </mc:AlternateContent>
        <mc:AlternateContent xmlns:mc="http://schemas.openxmlformats.org/markup-compatibility/2006">
          <mc:Choice Requires="x14">
            <control shapeId="49167" r:id="rId16" name="Button 15">
              <controlPr defaultSize="0" print="0" autoFill="0" autoPict="0" macro="[0]!pdflauncher">
                <anchor moveWithCells="1" sizeWithCells="1">
                  <from>
                    <xdr:col>13</xdr:col>
                    <xdr:colOff>558800</xdr:colOff>
                    <xdr:row>3</xdr:row>
                    <xdr:rowOff>44450</xdr:rowOff>
                  </from>
                  <to>
                    <xdr:col>14</xdr:col>
                    <xdr:colOff>615950</xdr:colOff>
                    <xdr:row>6</xdr:row>
                    <xdr:rowOff>0</xdr:rowOff>
                  </to>
                </anchor>
              </controlPr>
            </control>
          </mc:Choice>
        </mc:AlternateContent>
        <mc:AlternateContent xmlns:mc="http://schemas.openxmlformats.org/markup-compatibility/2006">
          <mc:Choice Requires="x14">
            <control shapeId="49168" r:id="rId17" name="Button 16">
              <controlPr defaultSize="0" print="0" autoFill="0" autoPict="0" macro="[0]!openfolder">
                <anchor moveWithCells="1" sizeWithCells="1">
                  <from>
                    <xdr:col>15</xdr:col>
                    <xdr:colOff>0</xdr:colOff>
                    <xdr:row>3</xdr:row>
                    <xdr:rowOff>44450</xdr:rowOff>
                  </from>
                  <to>
                    <xdr:col>15</xdr:col>
                    <xdr:colOff>527050</xdr:colOff>
                    <xdr:row>6</xdr:row>
                    <xdr:rowOff>0</xdr:rowOff>
                  </to>
                </anchor>
              </controlPr>
            </control>
          </mc:Choice>
        </mc:AlternateContent>
        <mc:AlternateContent xmlns:mc="http://schemas.openxmlformats.org/markup-compatibility/2006">
          <mc:Choice Requires="x14">
            <control shapeId="49169" r:id="rId18" name="Button 17">
              <controlPr defaultSize="0" print="0" autoFill="0" autoPict="0" macro="[0]!goto_folder_settings">
                <anchor moveWithCells="1" sizeWithCells="1">
                  <from>
                    <xdr:col>15</xdr:col>
                    <xdr:colOff>533400</xdr:colOff>
                    <xdr:row>3</xdr:row>
                    <xdr:rowOff>44450</xdr:rowOff>
                  </from>
                  <to>
                    <xdr:col>16</xdr:col>
                    <xdr:colOff>444500</xdr:colOff>
                    <xdr:row>6</xdr:row>
                    <xdr:rowOff>0</xdr:rowOff>
                  </to>
                </anchor>
              </controlPr>
            </control>
          </mc:Choice>
        </mc:AlternateContent>
        <mc:AlternateContent xmlns:mc="http://schemas.openxmlformats.org/markup-compatibility/2006">
          <mc:Choice Requires="x14">
            <control shapeId="49170" r:id="rId19" name="Button 18">
              <controlPr defaultSize="0" print="0" autoFill="0" autoPict="0" macro="[0]!email_pdf_launch">
                <anchor moveWithCells="1" sizeWithCells="1">
                  <from>
                    <xdr:col>14</xdr:col>
                    <xdr:colOff>76200</xdr:colOff>
                    <xdr:row>1</xdr:row>
                    <xdr:rowOff>69850</xdr:rowOff>
                  </from>
                  <to>
                    <xdr:col>15</xdr:col>
                    <xdr:colOff>139700</xdr:colOff>
                    <xdr:row>3</xdr:row>
                    <xdr:rowOff>38100</xdr:rowOff>
                  </to>
                </anchor>
              </controlPr>
            </control>
          </mc:Choice>
        </mc:AlternateContent>
        <mc:AlternateContent xmlns:mc="http://schemas.openxmlformats.org/markup-compatibility/2006">
          <mc:Choice Requires="x14">
            <control shapeId="49171" r:id="rId20" name="Button 19">
              <controlPr defaultSize="0" print="0" autoFill="0" autoPict="0" macro="[0]!email_copy_as_excel">
                <anchor moveWithCells="1" sizeWithCells="1">
                  <from>
                    <xdr:col>12</xdr:col>
                    <xdr:colOff>488950</xdr:colOff>
                    <xdr:row>1</xdr:row>
                    <xdr:rowOff>69850</xdr:rowOff>
                  </from>
                  <to>
                    <xdr:col>14</xdr:col>
                    <xdr:colOff>69850</xdr:colOff>
                    <xdr:row>3</xdr:row>
                    <xdr:rowOff>38100</xdr:rowOff>
                  </to>
                </anchor>
              </controlPr>
            </control>
          </mc:Choice>
        </mc:AlternateContent>
        <mc:AlternateContent xmlns:mc="http://schemas.openxmlformats.org/markup-compatibility/2006">
          <mc:Choice Requires="x14">
            <control shapeId="49172" r:id="rId21" name="Button 20">
              <controlPr defaultSize="0" print="0" autoFill="0" autoPict="0" macro="[0]!emailsettings">
                <anchor moveWithCells="1" sizeWithCells="1">
                  <from>
                    <xdr:col>15</xdr:col>
                    <xdr:colOff>146050</xdr:colOff>
                    <xdr:row>1</xdr:row>
                    <xdr:rowOff>69850</xdr:rowOff>
                  </from>
                  <to>
                    <xdr:col>16</xdr:col>
                    <xdr:colOff>444500</xdr:colOff>
                    <xdr:row>3</xdr:row>
                    <xdr:rowOff>38100</xdr:rowOff>
                  </to>
                </anchor>
              </controlPr>
            </control>
          </mc:Choice>
        </mc:AlternateContent>
        <mc:AlternateContent xmlns:mc="http://schemas.openxmlformats.org/markup-compatibility/2006">
          <mc:Choice Requires="x14">
            <control shapeId="49173" r:id="rId22" name="globalbacktobutton">
              <controlPr defaultSize="0" print="0" autoFill="0" autoPict="0" macro="[0]!backto">
                <anchor moveWithCells="1" sizeWithCells="1">
                  <from>
                    <xdr:col>0</xdr:col>
                    <xdr:colOff>234950</xdr:colOff>
                    <xdr:row>11</xdr:row>
                    <xdr:rowOff>31750</xdr:rowOff>
                  </from>
                  <to>
                    <xdr:col>0</xdr:col>
                    <xdr:colOff>863600</xdr:colOff>
                    <xdr:row>13</xdr:row>
                    <xdr:rowOff>139700</xdr:rowOff>
                  </to>
                </anchor>
              </controlPr>
            </control>
          </mc:Choice>
        </mc:AlternateContent>
        <mc:AlternateContent xmlns:mc="http://schemas.openxmlformats.org/markup-compatibility/2006">
          <mc:Choice Requires="x14">
            <control shapeId="49174" r:id="rId23" name="globalbacktobutton">
              <controlPr defaultSize="0" print="0" autoFill="0" autoPict="0" macro="[0]!backto">
                <anchor moveWithCells="1" sizeWithCells="1">
                  <from>
                    <xdr:col>13</xdr:col>
                    <xdr:colOff>508000</xdr:colOff>
                    <xdr:row>8</xdr:row>
                    <xdr:rowOff>114300</xdr:rowOff>
                  </from>
                  <to>
                    <xdr:col>14</xdr:col>
                    <xdr:colOff>508000</xdr:colOff>
                    <xdr:row>11</xdr:row>
                    <xdr:rowOff>101600</xdr:rowOff>
                  </to>
                </anchor>
              </controlPr>
            </control>
          </mc:Choice>
        </mc:AlternateContent>
        <mc:AlternateContent xmlns:mc="http://schemas.openxmlformats.org/markup-compatibility/2006">
          <mc:Choice Requires="x14">
            <control shapeId="49175" r:id="rId24" name="Button 23">
              <controlPr defaultSize="0" print="0" autoFill="0" autoPict="0" macro="[0]!add_supp1">
                <anchor moveWithCells="1" sizeWithCells="1">
                  <from>
                    <xdr:col>8</xdr:col>
                    <xdr:colOff>831850</xdr:colOff>
                    <xdr:row>9</xdr:row>
                    <xdr:rowOff>6350</xdr:rowOff>
                  </from>
                  <to>
                    <xdr:col>9</xdr:col>
                    <xdr:colOff>266700</xdr:colOff>
                    <xdr:row>10</xdr:row>
                    <xdr:rowOff>114300</xdr:rowOff>
                  </to>
                </anchor>
              </controlPr>
            </control>
          </mc:Choice>
        </mc:AlternateContent>
        <mc:AlternateContent xmlns:mc="http://schemas.openxmlformats.org/markup-compatibility/2006">
          <mc:Choice Requires="x14">
            <control shapeId="49176" r:id="rId25" name="Button 24">
              <controlPr defaultSize="0" print="0" autoFill="0" autoPict="0" macro="[0]!add_supp2">
                <anchor moveWithCells="1" sizeWithCells="1">
                  <from>
                    <xdr:col>8</xdr:col>
                    <xdr:colOff>831850</xdr:colOff>
                    <xdr:row>22</xdr:row>
                    <xdr:rowOff>12700</xdr:rowOff>
                  </from>
                  <to>
                    <xdr:col>9</xdr:col>
                    <xdr:colOff>266700</xdr:colOff>
                    <xdr:row>23</xdr:row>
                    <xdr:rowOff>120650</xdr:rowOff>
                  </to>
                </anchor>
              </controlPr>
            </control>
          </mc:Choice>
        </mc:AlternateContent>
        <mc:AlternateContent xmlns:mc="http://schemas.openxmlformats.org/markup-compatibility/2006">
          <mc:Choice Requires="x14">
            <control shapeId="49177" r:id="rId26" name="Button 25">
              <controlPr defaultSize="0" print="0" autoFill="0" autoPict="0" macro="[0]!add_supp3">
                <anchor moveWithCells="1" sizeWithCells="1">
                  <from>
                    <xdr:col>8</xdr:col>
                    <xdr:colOff>831850</xdr:colOff>
                    <xdr:row>35</xdr:row>
                    <xdr:rowOff>31750</xdr:rowOff>
                  </from>
                  <to>
                    <xdr:col>9</xdr:col>
                    <xdr:colOff>266700</xdr:colOff>
                    <xdr:row>36</xdr:row>
                    <xdr:rowOff>139700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88B10-21DA-45AF-963D-AE099C605A06}">
  <sheetPr codeName="Sheet64">
    <pageSetUpPr fitToPage="1"/>
  </sheetPr>
  <dimension ref="A1:AR137"/>
  <sheetViews>
    <sheetView showGridLines="0" workbookViewId="0"/>
  </sheetViews>
  <sheetFormatPr defaultColWidth="9.08984375" defaultRowHeight="12.75" customHeight="1" x14ac:dyDescent="0.25"/>
  <cols>
    <col min="1" max="1" width="16.6328125" style="256" customWidth="1"/>
    <col min="2" max="2" width="2.6328125" style="256" customWidth="1"/>
    <col min="3" max="3" width="11.6328125" style="256" customWidth="1"/>
    <col min="4" max="4" width="23.453125" style="256" customWidth="1"/>
    <col min="5" max="5" width="12.08984375" style="273" customWidth="1"/>
    <col min="6" max="6" width="16.08984375" style="273" customWidth="1"/>
    <col min="7" max="7" width="10.6328125" style="273" customWidth="1"/>
    <col min="8" max="8" width="12.36328125" style="256" customWidth="1"/>
    <col min="9" max="9" width="12.453125" style="475" customWidth="1"/>
    <col min="10" max="10" width="2.54296875" style="256" customWidth="1"/>
    <col min="11" max="11" width="3.36328125" style="256" customWidth="1"/>
    <col min="12" max="12" width="39.90625" style="256" customWidth="1"/>
    <col min="13" max="13" width="15.6328125" style="256" customWidth="1"/>
    <col min="14" max="16" width="9.08984375" style="256"/>
    <col min="17" max="19" width="9.08984375" style="256" hidden="1" customWidth="1"/>
    <col min="20" max="20" width="17.453125" style="256" hidden="1" customWidth="1"/>
    <col min="21" max="26" width="9.08984375" style="256" hidden="1" customWidth="1"/>
    <col min="27" max="16384" width="9.08984375" style="256"/>
  </cols>
  <sheetData>
    <row r="1" spans="1:44" ht="12.5" x14ac:dyDescent="0.25">
      <c r="A1" s="492"/>
      <c r="B1" s="492"/>
      <c r="C1" s="492"/>
      <c r="D1" s="492"/>
      <c r="E1" s="493"/>
      <c r="F1" s="493"/>
      <c r="G1" s="493"/>
      <c r="H1" s="492"/>
      <c r="I1" s="494"/>
      <c r="J1" s="492"/>
      <c r="K1" s="492"/>
      <c r="L1" s="492"/>
      <c r="M1" s="492"/>
      <c r="N1" s="492"/>
      <c r="O1" s="492"/>
      <c r="P1" s="492"/>
      <c r="AA1" s="492"/>
      <c r="AB1" s="492"/>
      <c r="AC1" s="492"/>
      <c r="AD1" s="492"/>
      <c r="AE1" s="492"/>
      <c r="AF1" s="492"/>
      <c r="AG1" s="492"/>
      <c r="AH1" s="492"/>
      <c r="AI1" s="492"/>
      <c r="AJ1" s="492"/>
      <c r="AK1" s="492"/>
      <c r="AL1" s="492"/>
      <c r="AM1" s="492"/>
      <c r="AN1" s="492"/>
      <c r="AO1" s="492"/>
      <c r="AP1" s="492"/>
      <c r="AQ1" s="492"/>
      <c r="AR1" s="492"/>
    </row>
    <row r="2" spans="1:44" ht="12.5" x14ac:dyDescent="0.25">
      <c r="A2" s="492"/>
      <c r="B2" s="492"/>
      <c r="C2" s="492"/>
      <c r="D2" s="492"/>
      <c r="E2" s="493"/>
      <c r="F2" s="493"/>
      <c r="G2" s="493"/>
      <c r="H2" s="492"/>
      <c r="I2" s="494"/>
      <c r="J2" s="492"/>
      <c r="K2" s="492"/>
      <c r="L2" s="492"/>
      <c r="M2" s="492"/>
      <c r="N2" s="492"/>
      <c r="O2" s="492"/>
      <c r="P2" s="492"/>
      <c r="AA2" s="492"/>
      <c r="AB2" s="492"/>
      <c r="AC2" s="492"/>
      <c r="AD2" s="492"/>
      <c r="AE2" s="492"/>
      <c r="AF2" s="492"/>
      <c r="AG2" s="492"/>
      <c r="AH2" s="492"/>
      <c r="AI2" s="492"/>
      <c r="AJ2" s="492"/>
      <c r="AK2" s="492"/>
      <c r="AL2" s="492"/>
      <c r="AM2" s="492"/>
      <c r="AN2" s="492"/>
      <c r="AO2" s="492"/>
      <c r="AP2" s="492"/>
      <c r="AQ2" s="492"/>
      <c r="AR2" s="492"/>
    </row>
    <row r="3" spans="1:44" ht="12.5" x14ac:dyDescent="0.25">
      <c r="A3" s="492"/>
      <c r="K3" s="492"/>
      <c r="L3" s="492"/>
      <c r="M3" s="492"/>
      <c r="N3" s="492"/>
      <c r="O3" s="492"/>
      <c r="P3" s="492"/>
      <c r="AA3" s="492"/>
      <c r="AB3" s="492"/>
      <c r="AC3" s="492"/>
      <c r="AD3" s="492"/>
      <c r="AE3" s="492"/>
      <c r="AF3" s="492"/>
      <c r="AG3" s="492"/>
      <c r="AH3" s="492"/>
      <c r="AI3" s="492"/>
      <c r="AJ3" s="492"/>
      <c r="AK3" s="492"/>
      <c r="AL3" s="492"/>
      <c r="AM3" s="492"/>
      <c r="AN3" s="492"/>
      <c r="AO3" s="492"/>
      <c r="AP3" s="492"/>
      <c r="AQ3" s="492"/>
      <c r="AR3" s="492"/>
    </row>
    <row r="4" spans="1:44" ht="15.5" x14ac:dyDescent="0.35">
      <c r="A4" s="492"/>
      <c r="C4" s="488" t="str">
        <f>"Transitional Arrangements Calculation - "&amp;C10</f>
        <v xml:space="preserve">Transitional Arrangements Calculation - 2023/24 </v>
      </c>
      <c r="H4" s="579" t="str">
        <f>basic!D22</f>
        <v>England</v>
      </c>
      <c r="I4" s="579" t="s">
        <v>246</v>
      </c>
      <c r="K4" s="492"/>
      <c r="L4" s="492"/>
      <c r="M4" s="492"/>
      <c r="N4" s="492"/>
      <c r="O4" s="492"/>
      <c r="P4" s="492"/>
      <c r="AA4" s="492"/>
      <c r="AB4" s="492"/>
      <c r="AC4" s="492"/>
      <c r="AD4" s="492"/>
      <c r="AE4" s="492"/>
      <c r="AF4" s="492"/>
      <c r="AG4" s="492"/>
      <c r="AH4" s="492"/>
      <c r="AI4" s="492"/>
      <c r="AJ4" s="492"/>
      <c r="AK4" s="492"/>
      <c r="AL4" s="492"/>
      <c r="AM4" s="492"/>
      <c r="AN4" s="492"/>
      <c r="AO4" s="492"/>
      <c r="AP4" s="492"/>
      <c r="AQ4" s="492"/>
      <c r="AR4" s="492"/>
    </row>
    <row r="5" spans="1:44" ht="9" customHeight="1" x14ac:dyDescent="0.3">
      <c r="A5" s="492"/>
      <c r="C5" s="291"/>
      <c r="K5" s="492"/>
      <c r="L5" s="492"/>
      <c r="M5" s="492"/>
      <c r="N5" s="492"/>
      <c r="O5" s="492"/>
      <c r="P5" s="492"/>
      <c r="AA5" s="492"/>
      <c r="AB5" s="492"/>
      <c r="AC5" s="492"/>
      <c r="AD5" s="492"/>
      <c r="AE5" s="492"/>
      <c r="AF5" s="492"/>
      <c r="AG5" s="492"/>
      <c r="AH5" s="492"/>
      <c r="AI5" s="492"/>
      <c r="AJ5" s="492"/>
      <c r="AK5" s="492"/>
      <c r="AL5" s="492"/>
      <c r="AM5" s="492"/>
      <c r="AN5" s="492"/>
      <c r="AO5" s="492"/>
      <c r="AP5" s="492"/>
      <c r="AQ5" s="492"/>
      <c r="AR5" s="492"/>
    </row>
    <row r="6" spans="1:44" ht="13" x14ac:dyDescent="0.3">
      <c r="A6" s="492"/>
      <c r="C6" s="291" t="s">
        <v>667</v>
      </c>
      <c r="D6" s="291" t="str">
        <f>basic!D26</f>
        <v>Enter Address Details</v>
      </c>
      <c r="K6" s="492"/>
      <c r="L6" s="492"/>
      <c r="M6" s="492"/>
      <c r="N6" s="492"/>
      <c r="O6" s="492"/>
      <c r="P6" s="492"/>
      <c r="AA6" s="492"/>
      <c r="AB6" s="492"/>
      <c r="AC6" s="492"/>
      <c r="AD6" s="492"/>
      <c r="AE6" s="492"/>
      <c r="AF6" s="492"/>
      <c r="AG6" s="492"/>
      <c r="AH6" s="492"/>
      <c r="AI6" s="492"/>
      <c r="AJ6" s="492"/>
      <c r="AK6" s="492"/>
      <c r="AL6" s="492"/>
      <c r="AM6" s="492"/>
      <c r="AN6" s="492"/>
      <c r="AO6" s="492"/>
      <c r="AP6" s="492"/>
      <c r="AQ6" s="492"/>
      <c r="AR6" s="492"/>
    </row>
    <row r="7" spans="1:44" ht="13" x14ac:dyDescent="0.3">
      <c r="A7" s="492"/>
      <c r="C7" s="291"/>
      <c r="D7" s="291"/>
      <c r="K7" s="492"/>
      <c r="L7" s="492"/>
      <c r="M7" s="492"/>
      <c r="N7" s="492"/>
      <c r="O7" s="492"/>
      <c r="P7" s="492"/>
      <c r="AA7" s="492"/>
      <c r="AB7" s="492"/>
      <c r="AC7" s="492"/>
      <c r="AD7" s="492"/>
      <c r="AE7" s="492"/>
      <c r="AF7" s="492"/>
      <c r="AG7" s="492"/>
      <c r="AH7" s="492"/>
      <c r="AI7" s="492"/>
      <c r="AJ7" s="492"/>
      <c r="AK7" s="492"/>
      <c r="AL7" s="492"/>
      <c r="AM7" s="492"/>
      <c r="AN7" s="492"/>
      <c r="AO7" s="492"/>
      <c r="AP7" s="492"/>
      <c r="AQ7" s="492"/>
      <c r="AR7" s="492"/>
    </row>
    <row r="8" spans="1:44" ht="13.5" customHeight="1" x14ac:dyDescent="0.3">
      <c r="A8" s="492"/>
      <c r="C8" s="489"/>
      <c r="D8" s="283"/>
      <c r="E8" s="335"/>
      <c r="F8" s="335"/>
      <c r="G8" s="335"/>
      <c r="H8" s="283"/>
      <c r="I8" s="487"/>
      <c r="K8" s="492"/>
      <c r="L8" s="492"/>
      <c r="M8" s="492"/>
      <c r="N8" s="492"/>
      <c r="O8" s="492"/>
      <c r="P8" s="492"/>
      <c r="AA8" s="492"/>
      <c r="AB8" s="492"/>
      <c r="AC8" s="492"/>
      <c r="AD8" s="492"/>
      <c r="AE8" s="492"/>
      <c r="AF8" s="492"/>
      <c r="AG8" s="492"/>
      <c r="AH8" s="492"/>
      <c r="AI8" s="492"/>
      <c r="AJ8" s="492"/>
      <c r="AK8" s="492"/>
      <c r="AL8" s="492"/>
      <c r="AM8" s="492"/>
      <c r="AN8" s="492"/>
      <c r="AO8" s="492"/>
      <c r="AP8" s="492"/>
      <c r="AQ8" s="492"/>
      <c r="AR8" s="492"/>
    </row>
    <row r="9" spans="1:44" ht="9.75" customHeight="1" x14ac:dyDescent="0.3">
      <c r="A9" s="492"/>
      <c r="C9" s="291"/>
      <c r="K9" s="492"/>
      <c r="L9" s="492"/>
      <c r="M9" s="492"/>
      <c r="N9" s="492"/>
      <c r="O9" s="492"/>
      <c r="P9" s="492"/>
      <c r="S9" s="480" t="s">
        <v>57</v>
      </c>
      <c r="T9" s="302">
        <f>data!B3-1</f>
        <v>45016</v>
      </c>
      <c r="AA9" s="492"/>
      <c r="AB9" s="492"/>
      <c r="AC9" s="492"/>
      <c r="AD9" s="492"/>
      <c r="AE9" s="492"/>
      <c r="AF9" s="492"/>
      <c r="AG9" s="492"/>
      <c r="AH9" s="492"/>
      <c r="AI9" s="492"/>
      <c r="AJ9" s="492"/>
      <c r="AK9" s="492"/>
      <c r="AL9" s="492"/>
      <c r="AM9" s="492"/>
      <c r="AN9" s="492"/>
      <c r="AO9" s="492"/>
      <c r="AP9" s="492"/>
      <c r="AQ9" s="492"/>
      <c r="AR9" s="492"/>
    </row>
    <row r="10" spans="1:44" ht="13.5" customHeight="1" x14ac:dyDescent="0.3">
      <c r="A10" s="492"/>
      <c r="C10" s="291" t="str">
        <f>basic!D15</f>
        <v xml:space="preserve">2023/24 </v>
      </c>
      <c r="D10" s="257" t="str">
        <f>IF(calc1!B18=TRUE,"The Base Liability is determined using the charging basis for the Previous Year","The Base Liability is the Prior List RV ( "&amp;TEXT(T10,"#,###")&amp;" ) x the Small Multiplier")</f>
        <v>The Base Liability is the Prior List RV (  ) x the Small Multiplier</v>
      </c>
      <c r="H10" s="476"/>
      <c r="K10" s="492"/>
      <c r="L10" s="492"/>
      <c r="M10" s="492"/>
      <c r="N10" s="492"/>
      <c r="O10" s="492"/>
      <c r="P10" s="492"/>
      <c r="S10" s="480" t="s">
        <v>43</v>
      </c>
      <c r="T10" s="495">
        <f>basic!I5</f>
        <v>0</v>
      </c>
      <c r="AA10" s="492"/>
      <c r="AB10" s="492"/>
      <c r="AC10" s="492"/>
      <c r="AD10" s="492"/>
      <c r="AE10" s="492"/>
      <c r="AF10" s="492"/>
      <c r="AG10" s="492"/>
      <c r="AH10" s="492"/>
      <c r="AI10" s="492"/>
      <c r="AJ10" s="492"/>
      <c r="AK10" s="492"/>
      <c r="AL10" s="492"/>
      <c r="AM10" s="492"/>
      <c r="AN10" s="492"/>
      <c r="AO10" s="492"/>
      <c r="AP10" s="492"/>
      <c r="AQ10" s="492"/>
      <c r="AR10" s="492"/>
    </row>
    <row r="11" spans="1:44" ht="13" x14ac:dyDescent="0.3">
      <c r="A11" s="492"/>
      <c r="C11" s="291"/>
      <c r="D11" s="256" t="str">
        <f>IF(calc1!B18=TRUE,"which has been entered as £","for "&amp;TEXT(T9,"dd/mm/yy")&amp;" ( "&amp;TEXT(T11,"0.000")&amp;" ) which gives a figure of £")&amp;TEXT(T12,"#,###.00")</f>
        <v>for 31/03/23 ( 0.499 ) which gives a figure of £.00</v>
      </c>
      <c r="H11" s="496"/>
      <c r="K11" s="492"/>
      <c r="L11" s="492"/>
      <c r="M11" s="492"/>
      <c r="N11" s="492"/>
      <c r="O11" s="492"/>
      <c r="P11" s="492"/>
      <c r="S11" s="480" t="s">
        <v>44</v>
      </c>
      <c r="T11" s="480">
        <f>data!C52</f>
        <v>0.499</v>
      </c>
      <c r="AA11" s="492"/>
      <c r="AB11" s="492"/>
      <c r="AC11" s="492"/>
      <c r="AD11" s="492"/>
      <c r="AE11" s="492"/>
      <c r="AF11" s="492"/>
      <c r="AG11" s="492"/>
      <c r="AH11" s="492"/>
      <c r="AI11" s="492"/>
      <c r="AJ11" s="492"/>
      <c r="AK11" s="492"/>
      <c r="AL11" s="492"/>
      <c r="AM11" s="492"/>
      <c r="AN11" s="492"/>
      <c r="AO11" s="492"/>
      <c r="AP11" s="492"/>
      <c r="AQ11" s="492"/>
      <c r="AR11" s="492"/>
    </row>
    <row r="12" spans="1:44" ht="13.5" customHeight="1" x14ac:dyDescent="0.3">
      <c r="A12" s="492"/>
      <c r="C12" s="291"/>
      <c r="D12" s="257" t="str">
        <f>"The Notional Liability is the RV as at "&amp;TEXT(T9+1,"dd/mm/yy")&amp;" ( "&amp;TEXT(T15,"#,###")&amp;" ) x the Small"</f>
        <v>The Notional Liability is the RV as at 01/04/23 (  ) x the Small</v>
      </c>
      <c r="K12" s="492"/>
      <c r="L12" s="492"/>
      <c r="M12" s="492"/>
      <c r="N12" s="492"/>
      <c r="O12" s="492"/>
      <c r="P12" s="492"/>
      <c r="S12" s="480" t="s">
        <v>45</v>
      </c>
      <c r="T12" s="480">
        <f>T10*T11</f>
        <v>0</v>
      </c>
      <c r="AA12" s="492"/>
      <c r="AB12" s="492"/>
      <c r="AC12" s="492"/>
      <c r="AD12" s="492"/>
      <c r="AE12" s="492"/>
      <c r="AF12" s="492"/>
      <c r="AG12" s="492"/>
      <c r="AH12" s="492"/>
      <c r="AI12" s="492"/>
      <c r="AJ12" s="492"/>
      <c r="AK12" s="492"/>
      <c r="AL12" s="492"/>
      <c r="AM12" s="492"/>
      <c r="AN12" s="492"/>
      <c r="AO12" s="492"/>
      <c r="AP12" s="492"/>
      <c r="AQ12" s="492"/>
      <c r="AR12" s="492"/>
    </row>
    <row r="13" spans="1:44" ht="13.5" customHeight="1" x14ac:dyDescent="0.3">
      <c r="A13" s="492"/>
      <c r="C13" s="291"/>
      <c r="D13" s="256" t="str">
        <f>"Multiplier for "&amp;TEXT(T9+1,"dd/mm/yy")&amp;" ( "&amp;TEXT(T16,"0.000")&amp;" ) which gives a figure of "&amp;TEXT(T17,"#,###.00")</f>
        <v>Multiplier for 01/04/23 ( 0.499 ) which gives a figure of .00</v>
      </c>
      <c r="K13" s="492"/>
      <c r="L13" s="492"/>
      <c r="M13" s="492"/>
      <c r="N13" s="492"/>
      <c r="O13" s="492"/>
      <c r="P13" s="492"/>
      <c r="S13" s="480" t="s">
        <v>46</v>
      </c>
      <c r="T13" s="497">
        <f>basic!H9</f>
        <v>0</v>
      </c>
      <c r="AA13" s="492"/>
      <c r="AB13" s="492"/>
      <c r="AC13" s="492"/>
      <c r="AD13" s="492"/>
      <c r="AE13" s="492"/>
      <c r="AF13" s="492"/>
      <c r="AG13" s="492"/>
      <c r="AH13" s="492"/>
      <c r="AI13" s="492"/>
      <c r="AJ13" s="492"/>
      <c r="AK13" s="492"/>
      <c r="AL13" s="492"/>
      <c r="AM13" s="492"/>
      <c r="AN13" s="492"/>
      <c r="AO13" s="492"/>
      <c r="AP13" s="492"/>
      <c r="AQ13" s="492"/>
      <c r="AR13" s="492"/>
    </row>
    <row r="14" spans="1:44" ht="13.5" customHeight="1" x14ac:dyDescent="0.3">
      <c r="A14" s="492"/>
      <c r="C14" s="291"/>
      <c r="D14" s="257"/>
      <c r="H14" s="476"/>
      <c r="K14" s="492"/>
      <c r="L14" s="492"/>
      <c r="M14" s="492"/>
      <c r="N14" s="492"/>
      <c r="O14" s="492"/>
      <c r="P14" s="492"/>
      <c r="S14" s="480" t="s">
        <v>49</v>
      </c>
      <c r="T14" s="480">
        <f>calc1!D19</f>
        <v>0</v>
      </c>
      <c r="AA14" s="492"/>
      <c r="AB14" s="492"/>
      <c r="AC14" s="492"/>
      <c r="AD14" s="492"/>
      <c r="AE14" s="492"/>
      <c r="AF14" s="492"/>
      <c r="AG14" s="492"/>
      <c r="AH14" s="492"/>
      <c r="AI14" s="492"/>
      <c r="AJ14" s="492"/>
      <c r="AK14" s="492"/>
      <c r="AL14" s="492"/>
      <c r="AM14" s="492"/>
      <c r="AN14" s="492"/>
      <c r="AO14" s="492"/>
      <c r="AP14" s="492"/>
      <c r="AQ14" s="492"/>
      <c r="AR14" s="492"/>
    </row>
    <row r="15" spans="1:44" ht="13.5" customHeight="1" x14ac:dyDescent="0.3">
      <c r="A15" s="492"/>
      <c r="C15" s="291"/>
      <c r="D15" s="256" t="str">
        <f>"The Notional Liability is "&amp;T19&amp;" than the Base Liability so the ratepayer is a revaluation "&amp;T20</f>
        <v>The Notional Liability is less than the Base Liability so the ratepayer is a revaluation Winner</v>
      </c>
      <c r="K15" s="492"/>
      <c r="L15" s="492"/>
      <c r="M15" s="492"/>
      <c r="N15" s="492"/>
      <c r="O15" s="492"/>
      <c r="P15" s="492"/>
      <c r="S15" s="480" t="s">
        <v>1223</v>
      </c>
      <c r="T15" s="495">
        <f>calc1!D5</f>
        <v>0</v>
      </c>
      <c r="AA15" s="492"/>
      <c r="AB15" s="492"/>
      <c r="AC15" s="492"/>
      <c r="AD15" s="492"/>
      <c r="AE15" s="492"/>
      <c r="AF15" s="492"/>
      <c r="AG15" s="492"/>
      <c r="AH15" s="492"/>
      <c r="AI15" s="492"/>
      <c r="AJ15" s="492"/>
      <c r="AK15" s="492"/>
      <c r="AL15" s="492"/>
      <c r="AM15" s="492"/>
      <c r="AN15" s="492"/>
      <c r="AO15" s="492"/>
      <c r="AP15" s="492"/>
      <c r="AQ15" s="492"/>
      <c r="AR15" s="492"/>
    </row>
    <row r="16" spans="1:44" ht="13.5" customHeight="1" x14ac:dyDescent="0.3">
      <c r="A16" s="492"/>
      <c r="C16" s="291"/>
      <c r="D16" s="256" t="str">
        <f>"The property is in "&amp;H4&amp;" so the Medium/Small threshold is "&amp;TEXT(T21,"#,###")&amp;". "</f>
        <v xml:space="preserve">The property is in England so the Medium/Small threshold is 20,000. </v>
      </c>
      <c r="K16" s="492"/>
      <c r="L16" s="492"/>
      <c r="M16" s="492"/>
      <c r="N16" s="492"/>
      <c r="O16" s="492"/>
      <c r="P16" s="492"/>
      <c r="S16" s="480" t="s">
        <v>47</v>
      </c>
      <c r="T16" s="480">
        <f>data!C53</f>
        <v>0.499</v>
      </c>
      <c r="AA16" s="492"/>
      <c r="AB16" s="492"/>
      <c r="AC16" s="492"/>
      <c r="AD16" s="492"/>
      <c r="AE16" s="492"/>
      <c r="AF16" s="492"/>
      <c r="AG16" s="492"/>
      <c r="AH16" s="492"/>
      <c r="AI16" s="492"/>
      <c r="AJ16" s="492"/>
      <c r="AK16" s="492"/>
      <c r="AL16" s="492"/>
      <c r="AM16" s="492"/>
      <c r="AN16" s="492"/>
      <c r="AO16" s="492"/>
      <c r="AP16" s="492"/>
      <c r="AQ16" s="492"/>
      <c r="AR16" s="492"/>
    </row>
    <row r="17" spans="1:44" ht="13.5" customHeight="1" x14ac:dyDescent="0.3">
      <c r="A17" s="492"/>
      <c r="C17" s="291"/>
      <c r="D17" s="256" t="str">
        <f>"The Large threshold is "&amp;TEXT(Y19,"#,###")</f>
        <v>The Large threshold is 100,000</v>
      </c>
      <c r="K17" s="492"/>
      <c r="L17" s="492"/>
      <c r="M17" s="492"/>
      <c r="N17" s="492"/>
      <c r="O17" s="492"/>
      <c r="P17" s="492"/>
      <c r="S17" s="480" t="s">
        <v>48</v>
      </c>
      <c r="T17" s="480">
        <f>T15*T16</f>
        <v>0</v>
      </c>
      <c r="V17" s="479" t="s">
        <v>51</v>
      </c>
      <c r="W17" s="479"/>
      <c r="X17" s="479"/>
      <c r="Y17" s="479"/>
      <c r="AA17" s="492"/>
      <c r="AB17" s="492"/>
      <c r="AC17" s="492"/>
      <c r="AD17" s="492"/>
      <c r="AE17" s="492"/>
      <c r="AF17" s="492"/>
      <c r="AG17" s="492"/>
      <c r="AH17" s="492"/>
      <c r="AI17" s="492"/>
      <c r="AJ17" s="492"/>
      <c r="AK17" s="492"/>
      <c r="AL17" s="492"/>
      <c r="AM17" s="492"/>
      <c r="AN17" s="492"/>
      <c r="AO17" s="492"/>
      <c r="AP17" s="492"/>
      <c r="AQ17" s="492"/>
      <c r="AR17" s="492"/>
    </row>
    <row r="18" spans="1:44" ht="13.5" customHeight="1" x14ac:dyDescent="0.3">
      <c r="A18" s="492"/>
      <c r="C18" s="291"/>
      <c r="D18" s="256" t="str">
        <f>"The RV as at "&amp;TEXT(T9+1,"dd/mm/yy")&amp;" is "&amp;TEXT(T15,"#,###")&amp;" so the property is "&amp;T23</f>
        <v>The RV as at 01/04/23 is  so the property is Small</v>
      </c>
      <c r="K18" s="492"/>
      <c r="L18" s="492"/>
      <c r="M18" s="492"/>
      <c r="N18" s="492"/>
      <c r="O18" s="492"/>
      <c r="P18" s="492"/>
      <c r="S18" s="480" t="s">
        <v>27</v>
      </c>
      <c r="T18" s="480" t="b">
        <f>T17&gt;T14</f>
        <v>0</v>
      </c>
      <c r="V18" s="480" t="str">
        <f>data!C22</f>
        <v>e small &lt;=</v>
      </c>
      <c r="W18" s="480" t="str">
        <f>data!D22</f>
        <v>l small &lt;=</v>
      </c>
      <c r="X18" s="480" t="str">
        <f>data!E22</f>
        <v>c small &lt;=</v>
      </c>
      <c r="Y18" s="480" t="str">
        <f>data!F22</f>
        <v>super &gt;</v>
      </c>
      <c r="AA18" s="492"/>
      <c r="AB18" s="492"/>
      <c r="AC18" s="492"/>
      <c r="AD18" s="492"/>
      <c r="AE18" s="492"/>
      <c r="AF18" s="492"/>
      <c r="AG18" s="492"/>
      <c r="AH18" s="492"/>
      <c r="AI18" s="492"/>
      <c r="AJ18" s="492"/>
      <c r="AK18" s="492"/>
      <c r="AL18" s="492"/>
      <c r="AM18" s="492"/>
      <c r="AN18" s="492"/>
      <c r="AO18" s="492"/>
      <c r="AP18" s="492"/>
      <c r="AQ18" s="492"/>
      <c r="AR18" s="492"/>
    </row>
    <row r="19" spans="1:44" ht="13.5" customHeight="1" x14ac:dyDescent="0.25">
      <c r="A19" s="492"/>
      <c r="K19" s="492"/>
      <c r="L19" s="492"/>
      <c r="M19" s="492"/>
      <c r="N19" s="492"/>
      <c r="O19" s="492"/>
      <c r="P19" s="492"/>
      <c r="S19" s="480" t="s">
        <v>50</v>
      </c>
      <c r="T19" s="480" t="str">
        <f>IF(T18=TRUE,"greater","less")</f>
        <v>less</v>
      </c>
      <c r="V19" s="480">
        <f>data!C23</f>
        <v>20000</v>
      </c>
      <c r="W19" s="480">
        <f>data!D23</f>
        <v>28000</v>
      </c>
      <c r="X19" s="480">
        <f>data!E23</f>
        <v>28000</v>
      </c>
      <c r="Y19" s="480">
        <f>data!F23</f>
        <v>100000</v>
      </c>
      <c r="AA19" s="492"/>
      <c r="AB19" s="492"/>
      <c r="AC19" s="492"/>
      <c r="AD19" s="492"/>
      <c r="AE19" s="492"/>
      <c r="AF19" s="492"/>
      <c r="AG19" s="492"/>
      <c r="AH19" s="492"/>
      <c r="AI19" s="492"/>
      <c r="AJ19" s="492"/>
      <c r="AK19" s="492"/>
      <c r="AL19" s="492"/>
      <c r="AM19" s="492"/>
      <c r="AN19" s="492"/>
      <c r="AO19" s="492"/>
      <c r="AP19" s="492"/>
      <c r="AQ19" s="492"/>
      <c r="AR19" s="492"/>
    </row>
    <row r="20" spans="1:44" ht="13.5" customHeight="1" x14ac:dyDescent="0.25">
      <c r="A20" s="492"/>
      <c r="D20" s="256" t="s">
        <v>28</v>
      </c>
      <c r="K20" s="492"/>
      <c r="L20" s="492"/>
      <c r="M20" s="492"/>
      <c r="N20" s="492"/>
      <c r="O20" s="492"/>
      <c r="P20" s="492"/>
      <c r="S20" s="480" t="s">
        <v>285</v>
      </c>
      <c r="T20" s="480" t="str">
        <f>IF(T18=TRUE,"Loser","Winner")</f>
        <v>Winner</v>
      </c>
      <c r="AA20" s="492"/>
      <c r="AB20" s="492"/>
      <c r="AC20" s="492"/>
      <c r="AD20" s="492"/>
      <c r="AE20" s="492"/>
      <c r="AF20" s="492"/>
      <c r="AG20" s="492"/>
      <c r="AH20" s="492"/>
      <c r="AI20" s="492"/>
      <c r="AJ20" s="492"/>
      <c r="AK20" s="492"/>
      <c r="AL20" s="492"/>
      <c r="AM20" s="492"/>
      <c r="AN20" s="492"/>
      <c r="AO20" s="492"/>
      <c r="AP20" s="492"/>
      <c r="AQ20" s="492"/>
      <c r="AR20" s="492"/>
    </row>
    <row r="21" spans="1:44" ht="13.5" customHeight="1" x14ac:dyDescent="0.25">
      <c r="A21" s="492"/>
      <c r="D21" s="256" t="str">
        <f>"for a '"&amp;T24&amp;"' is found by reference to the following table"</f>
        <v>for a 'Small Winner' is found by reference to the following table</v>
      </c>
      <c r="K21" s="492"/>
      <c r="L21" s="492"/>
      <c r="M21" s="492"/>
      <c r="N21" s="492"/>
      <c r="O21" s="492"/>
      <c r="P21" s="492"/>
      <c r="S21" s="480" t="s">
        <v>56</v>
      </c>
      <c r="T21" s="480">
        <f>calc1!D13</f>
        <v>20000</v>
      </c>
      <c r="V21" s="479" t="s">
        <v>53</v>
      </c>
      <c r="W21" s="479" t="s">
        <v>803</v>
      </c>
      <c r="AA21" s="492"/>
      <c r="AB21" s="492"/>
      <c r="AC21" s="492"/>
      <c r="AD21" s="492"/>
      <c r="AE21" s="492"/>
      <c r="AF21" s="492"/>
      <c r="AG21" s="492"/>
      <c r="AH21" s="492"/>
      <c r="AI21" s="492"/>
      <c r="AJ21" s="492"/>
      <c r="AK21" s="492"/>
      <c r="AL21" s="492"/>
      <c r="AM21" s="492"/>
      <c r="AN21" s="492"/>
      <c r="AO21" s="492"/>
      <c r="AP21" s="492"/>
      <c r="AQ21" s="492"/>
      <c r="AR21" s="492"/>
    </row>
    <row r="22" spans="1:44" ht="13.5" customHeight="1" x14ac:dyDescent="0.25">
      <c r="A22" s="492"/>
      <c r="K22" s="492"/>
      <c r="L22" s="492"/>
      <c r="M22" s="492"/>
      <c r="N22" s="492"/>
      <c r="O22" s="492"/>
      <c r="P22" s="492"/>
      <c r="S22" s="480" t="s">
        <v>52</v>
      </c>
      <c r="T22" s="495" t="str">
        <f>calc1!D23</f>
        <v>s</v>
      </c>
      <c r="V22" s="479" t="s">
        <v>54</v>
      </c>
      <c r="W22" s="479" t="s">
        <v>824</v>
      </c>
      <c r="AA22" s="492"/>
      <c r="AB22" s="492"/>
      <c r="AC22" s="492"/>
      <c r="AD22" s="492"/>
      <c r="AE22" s="492"/>
      <c r="AF22" s="492"/>
      <c r="AG22" s="492"/>
      <c r="AH22" s="492"/>
      <c r="AI22" s="492"/>
      <c r="AJ22" s="492"/>
      <c r="AK22" s="492"/>
      <c r="AL22" s="492"/>
      <c r="AM22" s="492"/>
      <c r="AN22" s="492"/>
      <c r="AO22" s="492"/>
      <c r="AP22" s="492"/>
      <c r="AQ22" s="492"/>
      <c r="AR22" s="492"/>
    </row>
    <row r="23" spans="1:44" ht="13.5" customHeight="1" x14ac:dyDescent="0.3">
      <c r="A23" s="492"/>
      <c r="D23" s="291" t="s">
        <v>29</v>
      </c>
      <c r="E23" s="477" t="s">
        <v>30</v>
      </c>
      <c r="F23" s="477" t="s">
        <v>31</v>
      </c>
      <c r="G23" s="272" t="s">
        <v>32</v>
      </c>
      <c r="K23" s="492"/>
      <c r="L23" s="492"/>
      <c r="M23" s="492"/>
      <c r="N23" s="492"/>
      <c r="O23" s="492"/>
      <c r="P23" s="492"/>
      <c r="S23" s="480" t="s">
        <v>55</v>
      </c>
      <c r="T23" s="480" t="str">
        <f>VLOOKUP(T22,V21:W23,2,FALSE)</f>
        <v>Small</v>
      </c>
      <c r="V23" s="479" t="s">
        <v>293</v>
      </c>
      <c r="W23" s="479" t="s">
        <v>804</v>
      </c>
      <c r="AA23" s="492"/>
      <c r="AB23" s="492"/>
      <c r="AC23" s="492"/>
      <c r="AD23" s="492"/>
      <c r="AE23" s="492"/>
      <c r="AF23" s="492"/>
      <c r="AG23" s="492"/>
      <c r="AH23" s="492"/>
      <c r="AI23" s="492"/>
      <c r="AJ23" s="492"/>
      <c r="AK23" s="492"/>
      <c r="AL23" s="492"/>
      <c r="AM23" s="492"/>
      <c r="AN23" s="492"/>
      <c r="AO23" s="492"/>
      <c r="AP23" s="492"/>
      <c r="AQ23" s="492"/>
      <c r="AR23" s="492"/>
    </row>
    <row r="24" spans="1:44" ht="13.5" customHeight="1" x14ac:dyDescent="0.3">
      <c r="A24" s="492"/>
      <c r="C24" s="478" t="str">
        <f t="shared" ref="C24:C29" si="0">IF(D24=$T$24,"&gt;","")</f>
        <v/>
      </c>
      <c r="D24" s="479" t="s">
        <v>33</v>
      </c>
      <c r="E24" s="480">
        <f>data!C3</f>
        <v>0</v>
      </c>
      <c r="F24" s="480">
        <f>'info sheet'!J29</f>
        <v>1</v>
      </c>
      <c r="G24" s="480">
        <f t="shared" ref="G24:G29" si="1">E24*F24/100</f>
        <v>0</v>
      </c>
      <c r="K24" s="492"/>
      <c r="L24" s="492"/>
      <c r="M24" s="492"/>
      <c r="N24" s="492"/>
      <c r="O24" s="492"/>
      <c r="P24" s="492"/>
      <c r="S24" s="480" t="s">
        <v>279</v>
      </c>
      <c r="T24" s="480" t="str">
        <f>T23&amp;" "&amp;T20</f>
        <v>Small Winner</v>
      </c>
      <c r="AA24" s="492"/>
      <c r="AB24" s="492"/>
      <c r="AC24" s="492"/>
      <c r="AD24" s="492"/>
      <c r="AE24" s="492"/>
      <c r="AF24" s="492"/>
      <c r="AG24" s="492"/>
      <c r="AH24" s="492"/>
      <c r="AI24" s="492"/>
      <c r="AJ24" s="492"/>
      <c r="AK24" s="492"/>
      <c r="AL24" s="492"/>
      <c r="AM24" s="492"/>
      <c r="AN24" s="492"/>
      <c r="AO24" s="492"/>
      <c r="AP24" s="492"/>
      <c r="AQ24" s="492"/>
      <c r="AR24" s="492"/>
    </row>
    <row r="25" spans="1:44" ht="13.5" customHeight="1" x14ac:dyDescent="0.3">
      <c r="A25" s="492"/>
      <c r="C25" s="478" t="str">
        <f t="shared" si="0"/>
        <v/>
      </c>
      <c r="D25" s="479" t="s">
        <v>34</v>
      </c>
      <c r="E25" s="480">
        <f>data!D3</f>
        <v>0</v>
      </c>
      <c r="F25" s="480">
        <f>F24</f>
        <v>1</v>
      </c>
      <c r="G25" s="480">
        <f t="shared" si="1"/>
        <v>0</v>
      </c>
      <c r="K25" s="492"/>
      <c r="L25" s="492"/>
      <c r="M25" s="492"/>
      <c r="N25" s="492"/>
      <c r="O25" s="492"/>
      <c r="P25" s="492"/>
      <c r="S25" s="480" t="s">
        <v>59</v>
      </c>
      <c r="T25" s="480" t="str">
        <f>IF(T22&lt;T23,"below","above")</f>
        <v>below</v>
      </c>
      <c r="AA25" s="492"/>
      <c r="AB25" s="492"/>
      <c r="AC25" s="492"/>
      <c r="AD25" s="492"/>
      <c r="AE25" s="492"/>
      <c r="AF25" s="492"/>
      <c r="AG25" s="492"/>
      <c r="AH25" s="492"/>
      <c r="AI25" s="492"/>
      <c r="AJ25" s="492"/>
      <c r="AK25" s="492"/>
      <c r="AL25" s="492"/>
      <c r="AM25" s="492"/>
      <c r="AN25" s="492"/>
      <c r="AO25" s="492"/>
      <c r="AP25" s="492"/>
      <c r="AQ25" s="492"/>
      <c r="AR25" s="492"/>
    </row>
    <row r="26" spans="1:44" ht="13.5" customHeight="1" x14ac:dyDescent="0.3">
      <c r="A26" s="492"/>
      <c r="C26" s="478" t="str">
        <f t="shared" si="0"/>
        <v>&gt;</v>
      </c>
      <c r="D26" s="479" t="s">
        <v>35</v>
      </c>
      <c r="E26" s="480">
        <f>data!E3</f>
        <v>0</v>
      </c>
      <c r="F26" s="480">
        <f>F25</f>
        <v>1</v>
      </c>
      <c r="G26" s="480">
        <f t="shared" si="1"/>
        <v>0</v>
      </c>
      <c r="K26" s="492"/>
      <c r="L26" s="492"/>
      <c r="M26" s="492"/>
      <c r="N26" s="492"/>
      <c r="O26" s="492"/>
      <c r="P26" s="492"/>
      <c r="S26" s="480" t="s">
        <v>58</v>
      </c>
      <c r="T26" s="480">
        <f>calc1!D27</f>
        <v>1</v>
      </c>
      <c r="AA26" s="492"/>
      <c r="AB26" s="492"/>
      <c r="AC26" s="492"/>
      <c r="AD26" s="492"/>
      <c r="AE26" s="492"/>
      <c r="AF26" s="492"/>
      <c r="AG26" s="492"/>
      <c r="AH26" s="492"/>
      <c r="AI26" s="492"/>
      <c r="AJ26" s="492"/>
      <c r="AK26" s="492"/>
      <c r="AL26" s="492"/>
      <c r="AM26" s="492"/>
      <c r="AN26" s="492"/>
      <c r="AO26" s="492"/>
      <c r="AP26" s="492"/>
      <c r="AQ26" s="492"/>
      <c r="AR26" s="492"/>
    </row>
    <row r="27" spans="1:44" ht="13.5" customHeight="1" x14ac:dyDescent="0.3">
      <c r="A27" s="492"/>
      <c r="C27" s="478" t="str">
        <f t="shared" si="0"/>
        <v/>
      </c>
      <c r="D27" s="479" t="s">
        <v>36</v>
      </c>
      <c r="E27" s="480">
        <f>data!F3</f>
        <v>130</v>
      </c>
      <c r="F27" s="480">
        <f>F26</f>
        <v>1</v>
      </c>
      <c r="G27" s="480">
        <f t="shared" si="1"/>
        <v>1.3</v>
      </c>
      <c r="K27" s="492"/>
      <c r="L27" s="492"/>
      <c r="M27" s="492"/>
      <c r="N27" s="492"/>
      <c r="O27" s="492"/>
      <c r="P27" s="492"/>
      <c r="S27" s="480" t="s">
        <v>39</v>
      </c>
      <c r="T27" s="485">
        <f>F32-T17</f>
        <v>0</v>
      </c>
      <c r="AA27" s="492"/>
      <c r="AB27" s="492"/>
      <c r="AC27" s="492"/>
      <c r="AD27" s="492"/>
      <c r="AE27" s="492"/>
      <c r="AF27" s="492"/>
      <c r="AG27" s="492"/>
      <c r="AH27" s="492"/>
      <c r="AI27" s="492"/>
      <c r="AJ27" s="492"/>
      <c r="AK27" s="492"/>
      <c r="AL27" s="492"/>
      <c r="AM27" s="492"/>
      <c r="AN27" s="492"/>
      <c r="AO27" s="492"/>
      <c r="AP27" s="492"/>
      <c r="AQ27" s="492"/>
      <c r="AR27" s="492"/>
    </row>
    <row r="28" spans="1:44" ht="13.5" customHeight="1" x14ac:dyDescent="0.3">
      <c r="A28" s="492"/>
      <c r="C28" s="478" t="str">
        <f t="shared" si="0"/>
        <v/>
      </c>
      <c r="D28" s="479" t="s">
        <v>37</v>
      </c>
      <c r="E28" s="480">
        <f>data!G3</f>
        <v>115</v>
      </c>
      <c r="F28" s="480">
        <f>F27</f>
        <v>1</v>
      </c>
      <c r="G28" s="480">
        <f t="shared" si="1"/>
        <v>1.1499999999999999</v>
      </c>
      <c r="K28" s="492"/>
      <c r="L28" s="492"/>
      <c r="M28" s="492"/>
      <c r="N28" s="492"/>
      <c r="O28" s="492"/>
      <c r="P28" s="492"/>
      <c r="AA28" s="492"/>
      <c r="AB28" s="492"/>
      <c r="AC28" s="492"/>
      <c r="AD28" s="492"/>
      <c r="AE28" s="492"/>
      <c r="AF28" s="492"/>
      <c r="AG28" s="492"/>
      <c r="AH28" s="492"/>
      <c r="AI28" s="492"/>
      <c r="AJ28" s="492"/>
      <c r="AK28" s="492"/>
      <c r="AL28" s="492"/>
      <c r="AM28" s="492"/>
      <c r="AN28" s="492"/>
      <c r="AO28" s="492"/>
      <c r="AP28" s="492"/>
      <c r="AQ28" s="492"/>
      <c r="AR28" s="492"/>
    </row>
    <row r="29" spans="1:44" ht="13.5" customHeight="1" x14ac:dyDescent="0.3">
      <c r="A29" s="492"/>
      <c r="C29" s="478" t="str">
        <f t="shared" si="0"/>
        <v/>
      </c>
      <c r="D29" s="479" t="s">
        <v>38</v>
      </c>
      <c r="E29" s="480">
        <f>data!H3</f>
        <v>105</v>
      </c>
      <c r="F29" s="480">
        <f>F28</f>
        <v>1</v>
      </c>
      <c r="G29" s="480">
        <f t="shared" si="1"/>
        <v>1.05</v>
      </c>
      <c r="K29" s="492"/>
      <c r="L29" s="492"/>
      <c r="M29" s="492"/>
      <c r="N29" s="492"/>
      <c r="O29" s="492"/>
      <c r="P29" s="492"/>
      <c r="AA29" s="492"/>
      <c r="AB29" s="492"/>
      <c r="AC29" s="492"/>
      <c r="AD29" s="492"/>
      <c r="AE29" s="492"/>
      <c r="AF29" s="492"/>
      <c r="AG29" s="492"/>
      <c r="AH29" s="492"/>
      <c r="AI29" s="492"/>
      <c r="AJ29" s="492"/>
      <c r="AK29" s="492"/>
      <c r="AL29" s="492"/>
      <c r="AM29" s="492"/>
      <c r="AN29" s="492"/>
      <c r="AO29" s="492"/>
      <c r="AP29" s="492"/>
      <c r="AQ29" s="492"/>
      <c r="AR29" s="492"/>
    </row>
    <row r="30" spans="1:44" ht="13.5" customHeight="1" x14ac:dyDescent="0.3">
      <c r="A30" s="492"/>
      <c r="C30" s="291"/>
      <c r="K30" s="492"/>
      <c r="L30" s="492"/>
      <c r="M30" s="492"/>
      <c r="N30" s="492"/>
      <c r="O30" s="492"/>
      <c r="P30" s="492"/>
      <c r="AA30" s="492"/>
      <c r="AB30" s="492"/>
      <c r="AC30" s="492"/>
      <c r="AD30" s="492"/>
      <c r="AE30" s="492"/>
      <c r="AF30" s="492"/>
      <c r="AG30" s="492"/>
      <c r="AH30" s="492"/>
      <c r="AI30" s="492"/>
      <c r="AJ30" s="492"/>
      <c r="AK30" s="492"/>
      <c r="AL30" s="492"/>
      <c r="AM30" s="492"/>
      <c r="AN30" s="492"/>
      <c r="AO30" s="492"/>
      <c r="AP30" s="492"/>
      <c r="AQ30" s="492"/>
      <c r="AR30" s="492"/>
    </row>
    <row r="31" spans="1:44" ht="13.5" customHeight="1" x14ac:dyDescent="0.3">
      <c r="A31" s="492"/>
      <c r="C31" s="291"/>
      <c r="D31" s="256" t="s">
        <v>60</v>
      </c>
      <c r="K31" s="492"/>
      <c r="L31" s="492"/>
      <c r="M31" s="492"/>
      <c r="N31" s="492"/>
      <c r="O31" s="492"/>
      <c r="P31" s="492"/>
      <c r="AA31" s="492"/>
      <c r="AB31" s="492"/>
      <c r="AC31" s="492"/>
      <c r="AD31" s="492"/>
      <c r="AE31" s="492"/>
      <c r="AF31" s="492"/>
      <c r="AG31" s="492"/>
      <c r="AH31" s="492"/>
      <c r="AI31" s="492"/>
      <c r="AJ31" s="492"/>
      <c r="AK31" s="492"/>
      <c r="AL31" s="492"/>
      <c r="AM31" s="492"/>
      <c r="AN31" s="492"/>
      <c r="AO31" s="492"/>
      <c r="AP31" s="492"/>
      <c r="AQ31" s="492"/>
      <c r="AR31" s="492"/>
    </row>
    <row r="32" spans="1:44" ht="22.5" customHeight="1" x14ac:dyDescent="0.35">
      <c r="A32" s="492"/>
      <c r="C32" s="291"/>
      <c r="D32" s="488" t="str">
        <f>"    "&amp;TEXT(T14,"#,###.00"&amp;"  x  "&amp;T26&amp;" = ")</f>
        <v xml:space="preserve">    .00  x  1 = </v>
      </c>
      <c r="E32" s="490"/>
      <c r="F32" s="491">
        <f>calc1!D28</f>
        <v>0</v>
      </c>
      <c r="K32" s="492"/>
      <c r="L32" s="492"/>
      <c r="M32" s="492"/>
      <c r="N32" s="492"/>
      <c r="O32" s="492"/>
      <c r="P32" s="492"/>
      <c r="Q32" s="149"/>
      <c r="R32" s="149"/>
      <c r="S32" s="149"/>
      <c r="T32" s="149"/>
      <c r="U32" s="149"/>
      <c r="V32" s="149"/>
      <c r="W32" s="149"/>
      <c r="AA32" s="492"/>
      <c r="AB32" s="492"/>
      <c r="AC32" s="492"/>
      <c r="AD32" s="492"/>
      <c r="AE32" s="492"/>
      <c r="AF32" s="492"/>
      <c r="AG32" s="492"/>
      <c r="AH32" s="492"/>
      <c r="AI32" s="492"/>
      <c r="AJ32" s="492"/>
      <c r="AK32" s="492"/>
      <c r="AL32" s="492"/>
      <c r="AM32" s="492"/>
      <c r="AN32" s="492"/>
      <c r="AO32" s="492"/>
      <c r="AP32" s="492"/>
      <c r="AQ32" s="492"/>
      <c r="AR32" s="492"/>
    </row>
    <row r="33" spans="1:44" ht="14.5" x14ac:dyDescent="0.35">
      <c r="A33" s="492"/>
      <c r="C33" s="291"/>
      <c r="K33" s="492"/>
      <c r="L33" s="492"/>
      <c r="M33" s="492"/>
      <c r="N33" s="492"/>
      <c r="O33" s="492"/>
      <c r="P33" s="492"/>
      <c r="Q33" s="149"/>
      <c r="R33" s="149"/>
      <c r="S33" s="149"/>
      <c r="T33" s="149"/>
      <c r="U33" s="149"/>
      <c r="V33" s="149"/>
      <c r="W33" s="149"/>
      <c r="AA33" s="492"/>
      <c r="AB33" s="492"/>
      <c r="AC33" s="492"/>
      <c r="AD33" s="492"/>
      <c r="AE33" s="492"/>
      <c r="AF33" s="492"/>
      <c r="AG33" s="492"/>
      <c r="AH33" s="492"/>
      <c r="AI33" s="492"/>
      <c r="AJ33" s="492"/>
      <c r="AK33" s="492"/>
      <c r="AL33" s="492"/>
      <c r="AM33" s="492"/>
      <c r="AN33" s="492"/>
      <c r="AO33" s="492"/>
      <c r="AP33" s="492"/>
      <c r="AQ33" s="492"/>
      <c r="AR33" s="492"/>
    </row>
    <row r="34" spans="1:44" ht="13.5" customHeight="1" x14ac:dyDescent="0.35">
      <c r="A34" s="492"/>
      <c r="C34" s="291"/>
      <c r="D34" s="256" t="str">
        <f>"The ratepayer is a "&amp;T20&amp;". Therefore, if the Notional Liability is "&amp;T19&amp;" than the"</f>
        <v>The ratepayer is a Winner. Therefore, if the Notional Liability is less than the</v>
      </c>
      <c r="K34" s="492"/>
      <c r="L34" s="492"/>
      <c r="M34" s="492"/>
      <c r="N34" s="492"/>
      <c r="O34" s="492"/>
      <c r="P34" s="492"/>
      <c r="Q34" s="149"/>
      <c r="R34" s="149"/>
      <c r="S34" s="149"/>
      <c r="T34" s="149"/>
      <c r="U34" s="149"/>
      <c r="V34" s="149"/>
      <c r="W34" s="149"/>
      <c r="AA34" s="492"/>
      <c r="AB34" s="492"/>
      <c r="AC34" s="492"/>
      <c r="AD34" s="492"/>
      <c r="AE34" s="492"/>
      <c r="AF34" s="492"/>
      <c r="AG34" s="492"/>
      <c r="AH34" s="492"/>
      <c r="AI34" s="492"/>
      <c r="AJ34" s="492"/>
      <c r="AK34" s="492"/>
      <c r="AL34" s="492"/>
      <c r="AM34" s="492"/>
      <c r="AN34" s="492"/>
      <c r="AO34" s="492"/>
      <c r="AP34" s="492"/>
      <c r="AQ34" s="492"/>
      <c r="AR34" s="492"/>
    </row>
    <row r="35" spans="1:44" ht="13.5" customHeight="1" x14ac:dyDescent="0.35">
      <c r="A35" s="492"/>
      <c r="C35" s="291"/>
      <c r="D35" s="256" t="str">
        <f>"Base Liability AND "&amp;T19&amp;" than the Transitional Limit, transitional limits will apply"</f>
        <v>Base Liability AND less than the Transitional Limit, transitional limits will apply</v>
      </c>
      <c r="K35" s="492"/>
      <c r="L35" s="492"/>
      <c r="M35" s="492"/>
      <c r="N35" s="492"/>
      <c r="O35" s="492"/>
      <c r="P35" s="492"/>
      <c r="Q35" s="149"/>
      <c r="R35" s="149"/>
      <c r="S35" s="149"/>
      <c r="T35" s="149"/>
      <c r="U35" s="149"/>
      <c r="V35" s="149"/>
      <c r="W35" s="149"/>
      <c r="AA35" s="492"/>
      <c r="AB35" s="492"/>
      <c r="AC35" s="492"/>
      <c r="AD35" s="492"/>
      <c r="AE35" s="492"/>
      <c r="AF35" s="492"/>
      <c r="AG35" s="492"/>
      <c r="AH35" s="492"/>
      <c r="AI35" s="492"/>
      <c r="AJ35" s="492"/>
      <c r="AK35" s="492"/>
      <c r="AL35" s="492"/>
      <c r="AM35" s="492"/>
      <c r="AN35" s="492"/>
      <c r="AO35" s="492"/>
      <c r="AP35" s="492"/>
      <c r="AQ35" s="492"/>
      <c r="AR35" s="492"/>
    </row>
    <row r="36" spans="1:44" ht="13.5" customHeight="1" x14ac:dyDescent="0.35">
      <c r="A36" s="492"/>
      <c r="C36" s="291"/>
      <c r="K36" s="492"/>
      <c r="L36" s="492"/>
      <c r="M36" s="492"/>
      <c r="N36" s="492"/>
      <c r="O36" s="492"/>
      <c r="P36" s="492"/>
      <c r="Q36" s="149"/>
      <c r="R36" s="149"/>
      <c r="S36" s="149"/>
      <c r="T36" s="149"/>
      <c r="U36" s="149"/>
      <c r="V36" s="149"/>
      <c r="W36" s="149"/>
      <c r="AA36" s="492"/>
      <c r="AB36" s="492"/>
      <c r="AC36" s="492"/>
      <c r="AD36" s="492"/>
      <c r="AE36" s="492"/>
      <c r="AF36" s="492"/>
      <c r="AG36" s="492"/>
      <c r="AH36" s="492"/>
      <c r="AI36" s="492"/>
      <c r="AJ36" s="492"/>
      <c r="AK36" s="492"/>
      <c r="AL36" s="492"/>
      <c r="AM36" s="492"/>
      <c r="AN36" s="492"/>
      <c r="AO36" s="492"/>
      <c r="AP36" s="492"/>
      <c r="AQ36" s="492"/>
      <c r="AR36" s="492"/>
    </row>
    <row r="37" spans="1:44" ht="13.5" customHeight="1" x14ac:dyDescent="0.35">
      <c r="A37" s="492"/>
      <c r="C37" s="291"/>
      <c r="D37" s="482" t="s">
        <v>40</v>
      </c>
      <c r="E37" s="483"/>
      <c r="F37" s="484">
        <f>T17</f>
        <v>0</v>
      </c>
      <c r="K37" s="492"/>
      <c r="L37" s="492"/>
      <c r="M37" s="492"/>
      <c r="N37" s="492"/>
      <c r="O37" s="492"/>
      <c r="P37" s="492"/>
      <c r="Q37" s="149"/>
      <c r="R37" s="149"/>
      <c r="S37" s="149"/>
      <c r="T37" s="149"/>
      <c r="U37" s="149"/>
      <c r="V37" s="149"/>
      <c r="W37" s="149"/>
      <c r="AA37" s="492"/>
      <c r="AB37" s="492"/>
      <c r="AC37" s="492"/>
      <c r="AD37" s="492"/>
      <c r="AE37" s="492"/>
      <c r="AF37" s="492"/>
      <c r="AG37" s="492"/>
      <c r="AH37" s="492"/>
      <c r="AI37" s="492"/>
      <c r="AJ37" s="492"/>
      <c r="AK37" s="492"/>
      <c r="AL37" s="492"/>
      <c r="AM37" s="492"/>
      <c r="AN37" s="492"/>
      <c r="AO37" s="492"/>
      <c r="AP37" s="492"/>
      <c r="AQ37" s="492"/>
      <c r="AR37" s="492"/>
    </row>
    <row r="38" spans="1:44" ht="13.5" customHeight="1" x14ac:dyDescent="0.35">
      <c r="A38" s="492"/>
      <c r="C38" s="291"/>
      <c r="D38" s="482" t="s">
        <v>834</v>
      </c>
      <c r="E38" s="483"/>
      <c r="F38" s="484">
        <f>T14</f>
        <v>0</v>
      </c>
      <c r="K38" s="492"/>
      <c r="L38" s="492"/>
      <c r="M38" s="492"/>
      <c r="N38" s="492"/>
      <c r="O38" s="492"/>
      <c r="P38" s="492"/>
      <c r="Q38" s="149"/>
      <c r="R38" s="149"/>
      <c r="S38" s="149"/>
      <c r="T38" s="149"/>
      <c r="U38" s="149"/>
      <c r="V38" s="149"/>
      <c r="W38" s="149"/>
      <c r="AA38" s="492"/>
      <c r="AB38" s="492"/>
      <c r="AC38" s="492"/>
      <c r="AD38" s="492"/>
      <c r="AE38" s="492"/>
      <c r="AF38" s="492"/>
      <c r="AG38" s="492"/>
      <c r="AH38" s="492"/>
      <c r="AI38" s="492"/>
      <c r="AJ38" s="492"/>
      <c r="AK38" s="492"/>
      <c r="AL38" s="492"/>
      <c r="AM38" s="492"/>
      <c r="AN38" s="492"/>
      <c r="AO38" s="492"/>
      <c r="AP38" s="492"/>
      <c r="AQ38" s="492"/>
      <c r="AR38" s="492"/>
    </row>
    <row r="39" spans="1:44" ht="13.5" customHeight="1" x14ac:dyDescent="0.35">
      <c r="A39" s="492"/>
      <c r="C39" s="291"/>
      <c r="D39" s="482" t="s">
        <v>41</v>
      </c>
      <c r="E39" s="483"/>
      <c r="F39" s="484">
        <f>F32</f>
        <v>0</v>
      </c>
      <c r="K39" s="492"/>
      <c r="L39" s="492"/>
      <c r="M39" s="492"/>
      <c r="N39" s="492"/>
      <c r="O39" s="492"/>
      <c r="P39" s="492"/>
      <c r="Q39" s="149"/>
      <c r="R39" s="149"/>
      <c r="S39" s="149"/>
      <c r="T39" s="149"/>
      <c r="U39" s="149"/>
      <c r="V39" s="149"/>
      <c r="W39" s="149"/>
      <c r="AA39" s="492"/>
      <c r="AB39" s="492"/>
      <c r="AC39" s="492"/>
      <c r="AD39" s="492"/>
      <c r="AE39" s="492"/>
      <c r="AF39" s="492"/>
      <c r="AG39" s="492"/>
      <c r="AH39" s="492"/>
      <c r="AI39" s="492"/>
      <c r="AJ39" s="492"/>
      <c r="AK39" s="492"/>
      <c r="AL39" s="492"/>
      <c r="AM39" s="492"/>
      <c r="AN39" s="492"/>
      <c r="AO39" s="492"/>
      <c r="AP39" s="492"/>
      <c r="AQ39" s="492"/>
      <c r="AR39" s="492"/>
    </row>
    <row r="40" spans="1:44" ht="14.15" customHeight="1" x14ac:dyDescent="0.35">
      <c r="A40" s="492"/>
      <c r="D40" s="482" t="s">
        <v>42</v>
      </c>
      <c r="E40" s="483"/>
      <c r="F40" s="485" t="str">
        <f>IF(calc1!D38 = TRUE,"Yes","No")</f>
        <v>No</v>
      </c>
      <c r="G40" s="257" t="str">
        <f>IF(T14=0,"If there is no BL transition does not apply",IF(F40="Yes",IF(T20="Loser","(Transitional Relief)","(Transitional Premium)"),""))</f>
        <v>If there is no BL transition does not apply</v>
      </c>
      <c r="K40" s="492"/>
      <c r="L40" s="492"/>
      <c r="M40" s="492"/>
      <c r="N40" s="492"/>
      <c r="O40" s="492"/>
      <c r="P40" s="492"/>
      <c r="Q40" s="149"/>
      <c r="R40" s="149"/>
      <c r="S40" s="149"/>
      <c r="T40" s="149"/>
      <c r="U40" s="149"/>
      <c r="V40" s="149"/>
      <c r="W40" s="149"/>
      <c r="AA40" s="492"/>
      <c r="AB40" s="492"/>
      <c r="AC40" s="492"/>
      <c r="AD40" s="492"/>
      <c r="AE40" s="492"/>
      <c r="AF40" s="492"/>
      <c r="AG40" s="492"/>
      <c r="AH40" s="492"/>
      <c r="AI40" s="492"/>
      <c r="AJ40" s="492"/>
      <c r="AK40" s="492"/>
      <c r="AL40" s="492"/>
      <c r="AM40" s="492"/>
      <c r="AN40" s="492"/>
      <c r="AO40" s="492"/>
      <c r="AP40" s="492"/>
      <c r="AQ40" s="492"/>
      <c r="AR40" s="492"/>
    </row>
    <row r="41" spans="1:44" ht="14.15" customHeight="1" x14ac:dyDescent="0.35">
      <c r="A41" s="492"/>
      <c r="F41" s="486"/>
      <c r="K41" s="492"/>
      <c r="L41" s="492"/>
      <c r="M41" s="492"/>
      <c r="N41" s="492"/>
      <c r="O41" s="492"/>
      <c r="P41" s="492"/>
      <c r="Q41" s="149"/>
      <c r="R41" s="149"/>
      <c r="S41" s="149"/>
      <c r="T41" s="149"/>
      <c r="U41" s="149"/>
      <c r="V41" s="149"/>
      <c r="W41" s="149"/>
      <c r="AA41" s="492"/>
      <c r="AB41" s="492"/>
      <c r="AC41" s="492"/>
      <c r="AD41" s="492"/>
      <c r="AE41" s="492"/>
      <c r="AF41" s="492"/>
      <c r="AG41" s="492"/>
      <c r="AH41" s="492"/>
      <c r="AI41" s="492"/>
      <c r="AJ41" s="492"/>
      <c r="AK41" s="492"/>
      <c r="AL41" s="492"/>
      <c r="AM41" s="492"/>
      <c r="AN41" s="492"/>
      <c r="AO41" s="492"/>
      <c r="AP41" s="492"/>
      <c r="AQ41" s="492"/>
      <c r="AR41" s="492"/>
    </row>
    <row r="42" spans="1:44" ht="19.5" customHeight="1" x14ac:dyDescent="0.35">
      <c r="A42" s="492"/>
      <c r="D42" s="488" t="str">
        <f>IF(F40="Yes","The Transitional Adjustment (TL - NL) is therefore   "&amp;TEXT(T27,"#,###.00"),"In this case there will be no transitional adjustment")</f>
        <v>In this case there will be no transitional adjustment</v>
      </c>
      <c r="F42" s="486"/>
      <c r="G42" s="481"/>
      <c r="K42" s="492"/>
      <c r="L42" s="492"/>
      <c r="M42" s="492"/>
      <c r="N42" s="492"/>
      <c r="O42" s="492"/>
      <c r="P42" s="492"/>
      <c r="Q42" s="149"/>
      <c r="R42" s="149"/>
      <c r="S42" s="149"/>
      <c r="T42" s="149"/>
      <c r="U42" s="149"/>
      <c r="V42" s="149"/>
      <c r="W42" s="149"/>
      <c r="AA42" s="492"/>
      <c r="AB42" s="492"/>
      <c r="AC42" s="492"/>
      <c r="AD42" s="492"/>
      <c r="AE42" s="492"/>
      <c r="AF42" s="492"/>
      <c r="AG42" s="492"/>
      <c r="AH42" s="492"/>
      <c r="AI42" s="492"/>
      <c r="AJ42" s="492"/>
      <c r="AK42" s="492"/>
      <c r="AL42" s="492"/>
      <c r="AM42" s="492"/>
      <c r="AN42" s="492"/>
      <c r="AO42" s="492"/>
      <c r="AP42" s="492"/>
      <c r="AQ42" s="492"/>
      <c r="AR42" s="492"/>
    </row>
    <row r="43" spans="1:44" ht="14.15" customHeight="1" x14ac:dyDescent="0.35">
      <c r="A43" s="492"/>
      <c r="F43" s="486"/>
      <c r="K43" s="492"/>
      <c r="L43" s="492"/>
      <c r="M43" s="492"/>
      <c r="N43" s="492"/>
      <c r="O43" s="492"/>
      <c r="P43" s="492"/>
      <c r="Q43" s="149"/>
      <c r="R43" s="149"/>
      <c r="S43" s="149"/>
      <c r="T43" s="149"/>
      <c r="U43" s="149"/>
      <c r="V43" s="149"/>
      <c r="W43" s="149"/>
      <c r="AA43" s="492"/>
      <c r="AB43" s="492"/>
      <c r="AC43" s="492"/>
      <c r="AD43" s="492"/>
      <c r="AE43" s="492"/>
      <c r="AF43" s="492"/>
      <c r="AG43" s="492"/>
      <c r="AH43" s="492"/>
      <c r="AI43" s="492"/>
      <c r="AJ43" s="492"/>
      <c r="AK43" s="492"/>
      <c r="AL43" s="492"/>
      <c r="AM43" s="492"/>
      <c r="AN43" s="492"/>
      <c r="AO43" s="492"/>
      <c r="AP43" s="492"/>
      <c r="AQ43" s="492"/>
      <c r="AR43" s="492"/>
    </row>
    <row r="44" spans="1:44" ht="14.15" customHeight="1" x14ac:dyDescent="0.35">
      <c r="A44" s="492"/>
      <c r="D44" s="256" t="str">
        <f>IF(F40="Yes","This figure will be adjusted for the number of chargeable days (if not a full year) and used","")</f>
        <v/>
      </c>
      <c r="F44" s="486"/>
      <c r="K44" s="492"/>
      <c r="L44" s="492"/>
      <c r="M44" s="492"/>
      <c r="N44" s="492"/>
      <c r="O44" s="492"/>
      <c r="P44" s="492"/>
      <c r="Q44" s="149"/>
      <c r="R44" s="149"/>
      <c r="S44" s="149"/>
      <c r="T44" s="149"/>
      <c r="U44" s="149"/>
      <c r="V44" s="149"/>
      <c r="W44" s="149"/>
      <c r="AA44" s="492"/>
      <c r="AB44" s="492"/>
      <c r="AC44" s="492"/>
      <c r="AD44" s="492"/>
      <c r="AE44" s="492"/>
      <c r="AF44" s="492"/>
      <c r="AG44" s="492"/>
      <c r="AH44" s="492"/>
      <c r="AI44" s="492"/>
      <c r="AJ44" s="492"/>
      <c r="AK44" s="492"/>
      <c r="AL44" s="492"/>
      <c r="AM44" s="492"/>
      <c r="AN44" s="492"/>
      <c r="AO44" s="492"/>
      <c r="AP44" s="492"/>
      <c r="AQ44" s="492"/>
      <c r="AR44" s="492"/>
    </row>
    <row r="45" spans="1:44" ht="14.15" customHeight="1" x14ac:dyDescent="0.35">
      <c r="A45" s="492"/>
      <c r="D45" s="256" t="str">
        <f>IF(F40="Yes","in the liability calculation","")</f>
        <v/>
      </c>
      <c r="E45" s="276"/>
      <c r="H45" s="327"/>
      <c r="K45" s="492"/>
      <c r="L45" s="492"/>
      <c r="M45" s="492"/>
      <c r="N45" s="492"/>
      <c r="O45" s="492"/>
      <c r="P45" s="492"/>
      <c r="Q45" s="149"/>
      <c r="R45" s="149"/>
      <c r="S45" s="149"/>
      <c r="T45" s="149"/>
      <c r="U45" s="149"/>
      <c r="V45" s="149"/>
      <c r="W45" s="149"/>
      <c r="AA45" s="492"/>
      <c r="AB45" s="492"/>
      <c r="AC45" s="492"/>
      <c r="AD45" s="492"/>
      <c r="AE45" s="492"/>
      <c r="AF45" s="492"/>
      <c r="AG45" s="492"/>
      <c r="AH45" s="492"/>
      <c r="AI45" s="492"/>
      <c r="AJ45" s="492"/>
      <c r="AK45" s="492"/>
      <c r="AL45" s="492"/>
      <c r="AM45" s="492"/>
      <c r="AN45" s="492"/>
      <c r="AO45" s="492"/>
      <c r="AP45" s="492"/>
      <c r="AQ45" s="492"/>
      <c r="AR45" s="492"/>
    </row>
    <row r="46" spans="1:44" ht="13.5" customHeight="1" x14ac:dyDescent="0.35">
      <c r="A46" s="492"/>
      <c r="K46" s="492"/>
      <c r="L46" s="492"/>
      <c r="M46" s="492"/>
      <c r="N46" s="492"/>
      <c r="O46" s="492"/>
      <c r="P46" s="492"/>
      <c r="Q46" s="149"/>
      <c r="R46" s="149"/>
      <c r="S46" s="149"/>
      <c r="T46" s="149"/>
      <c r="U46" s="149"/>
      <c r="V46" s="149"/>
      <c r="W46" s="149"/>
      <c r="AA46" s="492"/>
      <c r="AB46" s="492"/>
      <c r="AC46" s="492"/>
      <c r="AD46" s="492"/>
      <c r="AE46" s="492"/>
      <c r="AF46" s="492"/>
      <c r="AG46" s="492"/>
      <c r="AH46" s="492"/>
      <c r="AI46" s="492"/>
      <c r="AJ46" s="492"/>
      <c r="AK46" s="492"/>
      <c r="AL46" s="492"/>
      <c r="AM46" s="492"/>
      <c r="AN46" s="492"/>
      <c r="AO46" s="492"/>
      <c r="AP46" s="492"/>
      <c r="AQ46" s="492"/>
      <c r="AR46" s="492"/>
    </row>
    <row r="47" spans="1:44" ht="13.5" customHeight="1" x14ac:dyDescent="0.35">
      <c r="A47" s="492"/>
      <c r="E47" s="276"/>
      <c r="H47" s="327"/>
      <c r="K47" s="492"/>
      <c r="L47" s="492"/>
      <c r="M47" s="492"/>
      <c r="N47" s="492"/>
      <c r="O47" s="492"/>
      <c r="P47" s="492"/>
      <c r="Q47" s="149"/>
      <c r="R47" s="149"/>
      <c r="S47" s="149"/>
      <c r="T47" s="149"/>
      <c r="U47" s="149"/>
      <c r="V47" s="149"/>
      <c r="W47" s="149"/>
      <c r="AA47" s="492"/>
      <c r="AB47" s="492"/>
      <c r="AC47" s="492"/>
      <c r="AD47" s="492"/>
      <c r="AE47" s="492"/>
      <c r="AF47" s="492"/>
      <c r="AG47" s="492"/>
      <c r="AH47" s="492"/>
      <c r="AI47" s="492"/>
      <c r="AJ47" s="492"/>
      <c r="AK47" s="492"/>
      <c r="AL47" s="492"/>
      <c r="AM47" s="492"/>
      <c r="AN47" s="492"/>
      <c r="AO47" s="492"/>
      <c r="AP47" s="492"/>
      <c r="AQ47" s="492"/>
      <c r="AR47" s="492"/>
    </row>
    <row r="48" spans="1:44" ht="9" customHeight="1" x14ac:dyDescent="0.25">
      <c r="A48" s="492"/>
      <c r="K48" s="492"/>
      <c r="L48" s="492"/>
      <c r="M48" s="492"/>
      <c r="N48" s="492"/>
      <c r="O48" s="492"/>
      <c r="P48" s="492"/>
      <c r="AA48" s="492"/>
      <c r="AB48" s="492"/>
      <c r="AC48" s="492"/>
      <c r="AD48" s="492"/>
      <c r="AE48" s="492"/>
      <c r="AF48" s="492"/>
      <c r="AG48" s="492"/>
      <c r="AH48" s="492"/>
      <c r="AI48" s="492"/>
      <c r="AJ48" s="492"/>
      <c r="AK48" s="492"/>
      <c r="AL48" s="492"/>
      <c r="AM48" s="492"/>
      <c r="AN48" s="492"/>
      <c r="AO48" s="492"/>
      <c r="AP48" s="492"/>
      <c r="AQ48" s="492"/>
      <c r="AR48" s="492"/>
    </row>
    <row r="49" spans="1:44" ht="12.75" customHeight="1" x14ac:dyDescent="0.25">
      <c r="A49" s="492"/>
      <c r="C49" s="283"/>
      <c r="D49" s="283"/>
      <c r="E49" s="335"/>
      <c r="F49" s="335"/>
      <c r="G49" s="335"/>
      <c r="H49" s="283"/>
      <c r="I49" s="487"/>
      <c r="J49" s="283"/>
      <c r="K49" s="492"/>
      <c r="L49" s="492"/>
      <c r="M49" s="492"/>
      <c r="N49" s="492"/>
      <c r="O49" s="492"/>
      <c r="P49" s="492"/>
      <c r="AA49" s="492"/>
      <c r="AB49" s="492"/>
      <c r="AC49" s="492"/>
      <c r="AD49" s="492"/>
      <c r="AE49" s="492"/>
      <c r="AF49" s="492"/>
      <c r="AG49" s="492"/>
      <c r="AH49" s="492"/>
      <c r="AI49" s="492"/>
      <c r="AJ49" s="492"/>
      <c r="AK49" s="492"/>
      <c r="AL49" s="492"/>
      <c r="AM49" s="492"/>
      <c r="AN49" s="492"/>
      <c r="AO49" s="492"/>
      <c r="AP49" s="492"/>
      <c r="AQ49" s="492"/>
      <c r="AR49" s="492"/>
    </row>
    <row r="50" spans="1:44" ht="11.25" customHeight="1" x14ac:dyDescent="0.25">
      <c r="A50" s="492"/>
      <c r="K50" s="492"/>
      <c r="L50" s="492"/>
      <c r="M50" s="492"/>
      <c r="N50" s="492"/>
      <c r="O50" s="492"/>
      <c r="P50" s="492"/>
      <c r="AA50" s="492"/>
      <c r="AB50" s="492"/>
      <c r="AC50" s="492"/>
      <c r="AD50" s="492"/>
      <c r="AE50" s="492"/>
      <c r="AF50" s="492"/>
      <c r="AG50" s="492"/>
      <c r="AH50" s="492"/>
      <c r="AI50" s="492"/>
      <c r="AJ50" s="492"/>
      <c r="AK50" s="492"/>
      <c r="AL50" s="492"/>
      <c r="AM50" s="492"/>
      <c r="AN50" s="492"/>
      <c r="AO50" s="492"/>
      <c r="AP50" s="492"/>
      <c r="AQ50" s="492"/>
      <c r="AR50" s="492"/>
    </row>
    <row r="51" spans="1:44" ht="21" customHeight="1" x14ac:dyDescent="0.35">
      <c r="A51" s="492"/>
      <c r="C51" s="256" t="str">
        <f>'basic output'!C57</f>
        <v>prepared by</v>
      </c>
      <c r="D51" s="488" t="str">
        <f>'basic output'!E57</f>
        <v>CBRE</v>
      </c>
      <c r="K51" s="492"/>
      <c r="L51" s="492"/>
      <c r="M51" s="492"/>
      <c r="N51" s="492"/>
      <c r="O51" s="492"/>
      <c r="P51" s="492"/>
      <c r="AA51" s="492"/>
      <c r="AB51" s="492"/>
      <c r="AC51" s="492"/>
      <c r="AD51" s="492"/>
      <c r="AE51" s="492"/>
      <c r="AF51" s="492"/>
      <c r="AG51" s="492"/>
      <c r="AH51" s="492"/>
      <c r="AI51" s="492"/>
      <c r="AJ51" s="492"/>
      <c r="AK51" s="492"/>
      <c r="AL51" s="492"/>
      <c r="AM51" s="492"/>
      <c r="AN51" s="492"/>
      <c r="AO51" s="492"/>
      <c r="AP51" s="492"/>
      <c r="AQ51" s="492"/>
      <c r="AR51" s="492"/>
    </row>
    <row r="52" spans="1:44" ht="24" customHeight="1" x14ac:dyDescent="0.25">
      <c r="A52" s="492"/>
      <c r="K52" s="492"/>
      <c r="L52" s="492"/>
      <c r="M52" s="492"/>
      <c r="N52" s="492"/>
      <c r="O52" s="492"/>
      <c r="P52" s="492"/>
      <c r="AA52" s="492"/>
      <c r="AB52" s="492"/>
      <c r="AC52" s="492"/>
      <c r="AD52" s="492"/>
      <c r="AE52" s="492"/>
      <c r="AF52" s="492"/>
      <c r="AG52" s="492"/>
      <c r="AH52" s="492"/>
      <c r="AI52" s="492"/>
      <c r="AJ52" s="492"/>
      <c r="AK52" s="492"/>
      <c r="AL52" s="492"/>
      <c r="AM52" s="492"/>
      <c r="AN52" s="492"/>
      <c r="AO52" s="492"/>
      <c r="AP52" s="492"/>
      <c r="AQ52" s="492"/>
      <c r="AR52" s="492"/>
    </row>
    <row r="53" spans="1:44" ht="12.75" customHeight="1" x14ac:dyDescent="0.25">
      <c r="A53" s="492"/>
      <c r="B53" s="492"/>
      <c r="C53" s="492"/>
      <c r="D53" s="492"/>
      <c r="E53" s="492"/>
      <c r="F53" s="492"/>
      <c r="G53" s="492"/>
      <c r="H53" s="492"/>
      <c r="I53" s="492"/>
      <c r="J53" s="492"/>
      <c r="K53" s="492"/>
      <c r="L53" s="492"/>
      <c r="M53" s="492"/>
      <c r="N53" s="492"/>
      <c r="O53" s="492"/>
      <c r="P53" s="492"/>
      <c r="AA53" s="492"/>
      <c r="AB53" s="492"/>
      <c r="AC53" s="492"/>
      <c r="AD53" s="492"/>
      <c r="AE53" s="492"/>
      <c r="AF53" s="492"/>
      <c r="AG53" s="492"/>
      <c r="AH53" s="492"/>
      <c r="AI53" s="492"/>
      <c r="AJ53" s="492"/>
      <c r="AK53" s="492"/>
      <c r="AL53" s="492"/>
      <c r="AM53" s="492"/>
      <c r="AN53" s="492"/>
      <c r="AO53" s="492"/>
      <c r="AP53" s="492"/>
      <c r="AQ53" s="492"/>
      <c r="AR53" s="492"/>
    </row>
    <row r="54" spans="1:44" ht="12.75" customHeight="1" x14ac:dyDescent="0.25">
      <c r="A54" s="492"/>
      <c r="B54" s="492"/>
      <c r="C54" s="492"/>
      <c r="D54" s="492"/>
      <c r="E54" s="492"/>
      <c r="F54" s="492"/>
      <c r="G54" s="492"/>
      <c r="H54" s="492"/>
      <c r="I54" s="492"/>
      <c r="J54" s="492"/>
      <c r="K54" s="492"/>
      <c r="L54" s="492"/>
      <c r="M54" s="492"/>
      <c r="N54" s="492"/>
      <c r="O54" s="492"/>
      <c r="P54" s="492"/>
      <c r="AA54" s="492"/>
      <c r="AB54" s="492"/>
      <c r="AC54" s="492"/>
      <c r="AD54" s="492"/>
      <c r="AE54" s="492"/>
      <c r="AF54" s="492"/>
      <c r="AG54" s="492"/>
      <c r="AH54" s="492"/>
      <c r="AI54" s="492"/>
      <c r="AJ54" s="492"/>
      <c r="AK54" s="492"/>
      <c r="AL54" s="492"/>
      <c r="AM54" s="492"/>
      <c r="AN54" s="492"/>
      <c r="AO54" s="492"/>
      <c r="AP54" s="492"/>
      <c r="AQ54" s="492"/>
      <c r="AR54" s="492"/>
    </row>
    <row r="55" spans="1:44" ht="12.75" customHeight="1" x14ac:dyDescent="0.25">
      <c r="A55" s="492"/>
      <c r="B55" s="492"/>
      <c r="C55" s="492"/>
      <c r="D55" s="492"/>
      <c r="E55" s="492"/>
      <c r="F55" s="492"/>
      <c r="G55" s="492"/>
      <c r="H55" s="492"/>
      <c r="I55" s="492"/>
      <c r="J55" s="492"/>
      <c r="K55" s="492"/>
      <c r="L55" s="492"/>
      <c r="M55" s="492"/>
      <c r="N55" s="492"/>
      <c r="O55" s="492"/>
      <c r="P55" s="492"/>
      <c r="AA55" s="492"/>
      <c r="AB55" s="492"/>
      <c r="AC55" s="492"/>
      <c r="AD55" s="492"/>
      <c r="AE55" s="492"/>
      <c r="AF55" s="492"/>
      <c r="AG55" s="492"/>
      <c r="AH55" s="492"/>
      <c r="AI55" s="492"/>
      <c r="AJ55" s="492"/>
      <c r="AK55" s="492"/>
      <c r="AL55" s="492"/>
      <c r="AM55" s="492"/>
      <c r="AN55" s="492"/>
      <c r="AO55" s="492"/>
      <c r="AP55" s="492"/>
      <c r="AQ55" s="492"/>
      <c r="AR55" s="492"/>
    </row>
    <row r="56" spans="1:44" ht="12.75" customHeight="1" x14ac:dyDescent="0.25">
      <c r="A56" s="492"/>
      <c r="B56" s="492"/>
      <c r="C56" s="492"/>
      <c r="D56" s="492"/>
      <c r="E56" s="492"/>
      <c r="F56" s="492"/>
      <c r="G56" s="492"/>
      <c r="H56" s="492"/>
      <c r="I56" s="492"/>
      <c r="J56" s="492"/>
      <c r="K56" s="492"/>
      <c r="L56" s="492"/>
      <c r="M56" s="492"/>
      <c r="N56" s="492"/>
      <c r="O56" s="492"/>
      <c r="P56" s="492"/>
      <c r="AA56" s="492"/>
      <c r="AB56" s="492"/>
      <c r="AC56" s="492"/>
      <c r="AD56" s="492"/>
      <c r="AE56" s="492"/>
      <c r="AF56" s="492"/>
      <c r="AG56" s="492"/>
      <c r="AH56" s="492"/>
      <c r="AI56" s="492"/>
      <c r="AJ56" s="492"/>
      <c r="AK56" s="492"/>
      <c r="AL56" s="492"/>
      <c r="AM56" s="492"/>
      <c r="AN56" s="492"/>
      <c r="AO56" s="492"/>
      <c r="AP56" s="492"/>
      <c r="AQ56" s="492"/>
      <c r="AR56" s="492"/>
    </row>
    <row r="57" spans="1:44" ht="12.75" customHeight="1" x14ac:dyDescent="0.25">
      <c r="A57" s="492"/>
      <c r="B57" s="492"/>
      <c r="C57" s="492"/>
      <c r="D57" s="492"/>
      <c r="E57" s="492"/>
      <c r="F57" s="492"/>
      <c r="G57" s="492"/>
      <c r="H57" s="492"/>
      <c r="I57" s="492"/>
      <c r="J57" s="492"/>
      <c r="K57" s="492"/>
      <c r="L57" s="492"/>
      <c r="M57" s="492"/>
      <c r="N57" s="492"/>
      <c r="O57" s="492"/>
      <c r="P57" s="492"/>
      <c r="AA57" s="492"/>
      <c r="AB57" s="492"/>
      <c r="AC57" s="492"/>
      <c r="AD57" s="492"/>
      <c r="AE57" s="492"/>
      <c r="AF57" s="492"/>
      <c r="AG57" s="492"/>
      <c r="AH57" s="492"/>
      <c r="AI57" s="492"/>
      <c r="AJ57" s="492"/>
      <c r="AK57" s="492"/>
      <c r="AL57" s="492"/>
      <c r="AM57" s="492"/>
      <c r="AN57" s="492"/>
      <c r="AO57" s="492"/>
      <c r="AP57" s="492"/>
      <c r="AQ57" s="492"/>
      <c r="AR57" s="492"/>
    </row>
    <row r="58" spans="1:44" ht="12.75" customHeight="1" x14ac:dyDescent="0.25">
      <c r="A58" s="492"/>
      <c r="B58" s="492"/>
      <c r="C58" s="492"/>
      <c r="D58" s="492"/>
      <c r="E58" s="492"/>
      <c r="F58" s="492"/>
      <c r="G58" s="492"/>
      <c r="H58" s="492"/>
      <c r="I58" s="492"/>
      <c r="J58" s="492"/>
      <c r="K58" s="492"/>
      <c r="L58" s="492"/>
      <c r="M58" s="492"/>
      <c r="N58" s="492"/>
      <c r="O58" s="492"/>
      <c r="P58" s="492"/>
      <c r="AA58" s="492"/>
      <c r="AB58" s="492"/>
      <c r="AC58" s="492"/>
      <c r="AD58" s="492"/>
      <c r="AE58" s="492"/>
      <c r="AF58" s="492"/>
      <c r="AG58" s="492"/>
      <c r="AH58" s="492"/>
      <c r="AI58" s="492"/>
      <c r="AJ58" s="492"/>
      <c r="AK58" s="492"/>
      <c r="AL58" s="492"/>
      <c r="AM58" s="492"/>
      <c r="AN58" s="492"/>
      <c r="AO58" s="492"/>
      <c r="AP58" s="492"/>
      <c r="AQ58" s="492"/>
      <c r="AR58" s="492"/>
    </row>
    <row r="59" spans="1:44" ht="12.75" customHeight="1" x14ac:dyDescent="0.25">
      <c r="A59" s="492"/>
      <c r="B59" s="492"/>
      <c r="C59" s="492"/>
      <c r="D59" s="492"/>
      <c r="E59" s="492"/>
      <c r="F59" s="492"/>
      <c r="G59" s="492"/>
      <c r="H59" s="492"/>
      <c r="I59" s="492"/>
      <c r="J59" s="492"/>
      <c r="K59" s="492"/>
      <c r="L59" s="492"/>
      <c r="M59" s="492"/>
      <c r="N59" s="492"/>
      <c r="O59" s="492"/>
      <c r="P59" s="492"/>
      <c r="AA59" s="492"/>
      <c r="AB59" s="492"/>
      <c r="AC59" s="492"/>
      <c r="AD59" s="492"/>
      <c r="AE59" s="492"/>
      <c r="AF59" s="492"/>
      <c r="AG59" s="492"/>
      <c r="AH59" s="492"/>
      <c r="AI59" s="492"/>
      <c r="AJ59" s="492"/>
      <c r="AK59" s="492"/>
      <c r="AL59" s="492"/>
      <c r="AM59" s="492"/>
      <c r="AN59" s="492"/>
      <c r="AO59" s="492"/>
      <c r="AP59" s="492"/>
      <c r="AQ59" s="492"/>
      <c r="AR59" s="492"/>
    </row>
    <row r="60" spans="1:44" ht="12.75" customHeight="1" x14ac:dyDescent="0.25">
      <c r="A60" s="492"/>
      <c r="B60" s="492"/>
      <c r="C60" s="492"/>
      <c r="D60" s="492"/>
      <c r="E60" s="492"/>
      <c r="F60" s="492"/>
      <c r="G60" s="492"/>
      <c r="H60" s="492"/>
      <c r="I60" s="492"/>
      <c r="J60" s="492"/>
      <c r="K60" s="492"/>
      <c r="L60" s="492"/>
      <c r="M60" s="492"/>
      <c r="N60" s="492"/>
      <c r="O60" s="492"/>
      <c r="P60" s="492"/>
      <c r="AA60" s="492"/>
      <c r="AB60" s="492"/>
      <c r="AC60" s="492"/>
      <c r="AD60" s="492"/>
      <c r="AE60" s="492"/>
      <c r="AF60" s="492"/>
      <c r="AG60" s="492"/>
      <c r="AH60" s="492"/>
      <c r="AI60" s="492"/>
      <c r="AJ60" s="492"/>
      <c r="AK60" s="492"/>
      <c r="AL60" s="492"/>
      <c r="AM60" s="492"/>
      <c r="AN60" s="492"/>
      <c r="AO60" s="492"/>
      <c r="AP60" s="492"/>
      <c r="AQ60" s="492"/>
      <c r="AR60" s="492"/>
    </row>
    <row r="61" spans="1:44" ht="12.75" customHeight="1" x14ac:dyDescent="0.25">
      <c r="A61" s="492"/>
      <c r="B61" s="492"/>
      <c r="C61" s="492"/>
      <c r="D61" s="492"/>
      <c r="E61" s="492"/>
      <c r="F61" s="492"/>
      <c r="G61" s="492"/>
      <c r="H61" s="492"/>
      <c r="I61" s="492"/>
      <c r="J61" s="492"/>
      <c r="K61" s="492"/>
      <c r="L61" s="492"/>
      <c r="M61" s="492"/>
      <c r="N61" s="492"/>
      <c r="O61" s="492"/>
      <c r="P61" s="492"/>
      <c r="AA61" s="492"/>
      <c r="AB61" s="492"/>
      <c r="AC61" s="492"/>
      <c r="AD61" s="492"/>
      <c r="AE61" s="492"/>
      <c r="AF61" s="492"/>
      <c r="AG61" s="492"/>
      <c r="AH61" s="492"/>
      <c r="AI61" s="492"/>
      <c r="AJ61" s="492"/>
      <c r="AK61" s="492"/>
      <c r="AL61" s="492"/>
      <c r="AM61" s="492"/>
      <c r="AN61" s="492"/>
      <c r="AO61" s="492"/>
      <c r="AP61" s="492"/>
      <c r="AQ61" s="492"/>
      <c r="AR61" s="492"/>
    </row>
    <row r="62" spans="1:44" ht="12.75" customHeight="1" x14ac:dyDescent="0.25">
      <c r="A62" s="492"/>
      <c r="B62" s="492"/>
      <c r="C62" s="492"/>
      <c r="D62" s="492"/>
      <c r="E62" s="492"/>
      <c r="F62" s="492"/>
      <c r="G62" s="492"/>
      <c r="H62" s="492"/>
      <c r="I62" s="492"/>
      <c r="J62" s="492"/>
      <c r="K62" s="492"/>
      <c r="L62" s="492"/>
      <c r="M62" s="492"/>
      <c r="N62" s="492"/>
      <c r="O62" s="492"/>
      <c r="P62" s="492"/>
      <c r="AA62" s="492"/>
      <c r="AB62" s="492"/>
      <c r="AC62" s="492"/>
      <c r="AD62" s="492"/>
      <c r="AE62" s="492"/>
      <c r="AF62" s="492"/>
      <c r="AG62" s="492"/>
      <c r="AH62" s="492"/>
      <c r="AI62" s="492"/>
      <c r="AJ62" s="492"/>
      <c r="AK62" s="492"/>
      <c r="AL62" s="492"/>
      <c r="AM62" s="492"/>
      <c r="AN62" s="492"/>
      <c r="AO62" s="492"/>
      <c r="AP62" s="492"/>
      <c r="AQ62" s="492"/>
      <c r="AR62" s="492"/>
    </row>
    <row r="63" spans="1:44" ht="12.75" customHeight="1" x14ac:dyDescent="0.25">
      <c r="A63" s="492"/>
      <c r="B63" s="492"/>
      <c r="C63" s="492"/>
      <c r="D63" s="492"/>
      <c r="E63" s="492"/>
      <c r="F63" s="492"/>
      <c r="G63" s="492"/>
      <c r="H63" s="492"/>
      <c r="I63" s="492"/>
      <c r="J63" s="492"/>
      <c r="K63" s="492"/>
      <c r="L63" s="492"/>
      <c r="M63" s="492"/>
      <c r="N63" s="492"/>
      <c r="O63" s="492"/>
      <c r="P63" s="492"/>
      <c r="AA63" s="492"/>
      <c r="AB63" s="492"/>
      <c r="AC63" s="492"/>
      <c r="AD63" s="492"/>
      <c r="AE63" s="492"/>
      <c r="AF63" s="492"/>
      <c r="AG63" s="492"/>
      <c r="AH63" s="492"/>
      <c r="AI63" s="492"/>
      <c r="AJ63" s="492"/>
      <c r="AK63" s="492"/>
      <c r="AL63" s="492"/>
      <c r="AM63" s="492"/>
      <c r="AN63" s="492"/>
      <c r="AO63" s="492"/>
      <c r="AP63" s="492"/>
      <c r="AQ63" s="492"/>
      <c r="AR63" s="492"/>
    </row>
    <row r="64" spans="1:44" ht="12.75" customHeight="1" x14ac:dyDescent="0.25">
      <c r="A64" s="492"/>
      <c r="B64" s="492"/>
      <c r="C64" s="492"/>
      <c r="D64" s="492"/>
      <c r="E64" s="492"/>
      <c r="F64" s="492"/>
      <c r="G64" s="492"/>
      <c r="H64" s="492"/>
      <c r="I64" s="492"/>
      <c r="J64" s="492"/>
      <c r="K64" s="492"/>
      <c r="L64" s="492"/>
      <c r="M64" s="492"/>
      <c r="N64" s="492"/>
      <c r="O64" s="492"/>
      <c r="P64" s="492"/>
      <c r="AA64" s="492"/>
      <c r="AB64" s="492"/>
      <c r="AC64" s="492"/>
      <c r="AD64" s="492"/>
      <c r="AE64" s="492"/>
      <c r="AF64" s="492"/>
      <c r="AG64" s="492"/>
      <c r="AH64" s="492"/>
      <c r="AI64" s="492"/>
      <c r="AJ64" s="492"/>
      <c r="AK64" s="492"/>
      <c r="AL64" s="492"/>
      <c r="AM64" s="492"/>
      <c r="AN64" s="492"/>
      <c r="AO64" s="492"/>
      <c r="AP64" s="492"/>
      <c r="AQ64" s="492"/>
      <c r="AR64" s="492"/>
    </row>
    <row r="65" spans="1:44" ht="12.75" customHeight="1" x14ac:dyDescent="0.25">
      <c r="A65" s="492"/>
      <c r="B65" s="492"/>
      <c r="C65" s="492"/>
      <c r="D65" s="492"/>
      <c r="E65" s="492"/>
      <c r="F65" s="492"/>
      <c r="G65" s="492"/>
      <c r="H65" s="492"/>
      <c r="I65" s="492"/>
      <c r="J65" s="492"/>
      <c r="K65" s="492"/>
      <c r="L65" s="492"/>
      <c r="M65" s="492"/>
      <c r="N65" s="492"/>
      <c r="O65" s="492"/>
      <c r="P65" s="492"/>
      <c r="AA65" s="492"/>
      <c r="AB65" s="492"/>
      <c r="AC65" s="492"/>
      <c r="AD65" s="492"/>
      <c r="AE65" s="492"/>
      <c r="AF65" s="492"/>
      <c r="AG65" s="492"/>
      <c r="AH65" s="492"/>
      <c r="AI65" s="492"/>
      <c r="AJ65" s="492"/>
      <c r="AK65" s="492"/>
      <c r="AL65" s="492"/>
      <c r="AM65" s="492"/>
      <c r="AN65" s="492"/>
      <c r="AO65" s="492"/>
      <c r="AP65" s="492"/>
      <c r="AQ65" s="492"/>
      <c r="AR65" s="492"/>
    </row>
    <row r="66" spans="1:44" ht="12.75" customHeight="1" x14ac:dyDescent="0.25">
      <c r="A66" s="492"/>
      <c r="B66" s="492"/>
      <c r="C66" s="492"/>
      <c r="D66" s="492"/>
      <c r="E66" s="492"/>
      <c r="F66" s="492"/>
      <c r="G66" s="492"/>
      <c r="H66" s="492"/>
      <c r="I66" s="492"/>
      <c r="J66" s="492"/>
      <c r="K66" s="492"/>
      <c r="L66" s="492"/>
      <c r="M66" s="492"/>
      <c r="N66" s="492"/>
      <c r="O66" s="492"/>
      <c r="P66" s="492"/>
      <c r="AA66" s="492"/>
      <c r="AB66" s="492"/>
      <c r="AC66" s="492"/>
      <c r="AD66" s="492"/>
      <c r="AE66" s="492"/>
      <c r="AF66" s="492"/>
      <c r="AG66" s="492"/>
      <c r="AH66" s="492"/>
      <c r="AI66" s="492"/>
      <c r="AJ66" s="492"/>
      <c r="AK66" s="492"/>
      <c r="AL66" s="492"/>
      <c r="AM66" s="492"/>
      <c r="AN66" s="492"/>
      <c r="AO66" s="492"/>
      <c r="AP66" s="492"/>
      <c r="AQ66" s="492"/>
      <c r="AR66" s="492"/>
    </row>
    <row r="67" spans="1:44" ht="12.75" customHeight="1" x14ac:dyDescent="0.25">
      <c r="A67" s="492"/>
      <c r="B67" s="492"/>
      <c r="C67" s="492"/>
      <c r="D67" s="492"/>
      <c r="E67" s="492"/>
      <c r="F67" s="492"/>
      <c r="G67" s="492"/>
      <c r="H67" s="492"/>
      <c r="I67" s="492"/>
      <c r="J67" s="492"/>
      <c r="K67" s="492"/>
      <c r="L67" s="492"/>
      <c r="M67" s="492"/>
      <c r="N67" s="492"/>
      <c r="O67" s="492"/>
      <c r="P67" s="492"/>
      <c r="AA67" s="492"/>
      <c r="AB67" s="492"/>
      <c r="AC67" s="492"/>
      <c r="AD67" s="492"/>
      <c r="AE67" s="492"/>
      <c r="AF67" s="492"/>
      <c r="AG67" s="492"/>
      <c r="AH67" s="492"/>
      <c r="AI67" s="492"/>
      <c r="AJ67" s="492"/>
      <c r="AK67" s="492"/>
      <c r="AL67" s="492"/>
      <c r="AM67" s="492"/>
      <c r="AN67" s="492"/>
      <c r="AO67" s="492"/>
      <c r="AP67" s="492"/>
      <c r="AQ67" s="492"/>
      <c r="AR67" s="492"/>
    </row>
    <row r="68" spans="1:44" ht="12.75" customHeight="1" x14ac:dyDescent="0.25">
      <c r="A68" s="492"/>
      <c r="B68" s="492"/>
      <c r="C68" s="492"/>
      <c r="D68" s="492"/>
      <c r="E68" s="492"/>
      <c r="F68" s="492"/>
      <c r="G68" s="492"/>
      <c r="H68" s="492"/>
      <c r="I68" s="492"/>
      <c r="J68" s="492"/>
      <c r="K68" s="492"/>
      <c r="L68" s="492"/>
      <c r="M68" s="492"/>
      <c r="N68" s="492"/>
      <c r="O68" s="492"/>
      <c r="P68" s="492"/>
      <c r="AA68" s="492"/>
      <c r="AB68" s="492"/>
      <c r="AC68" s="492"/>
      <c r="AD68" s="492"/>
      <c r="AE68" s="492"/>
      <c r="AF68" s="492"/>
      <c r="AG68" s="492"/>
      <c r="AH68" s="492"/>
      <c r="AI68" s="492"/>
      <c r="AJ68" s="492"/>
      <c r="AK68" s="492"/>
      <c r="AL68" s="492"/>
      <c r="AM68" s="492"/>
      <c r="AN68" s="492"/>
      <c r="AO68" s="492"/>
      <c r="AP68" s="492"/>
      <c r="AQ68" s="492"/>
      <c r="AR68" s="492"/>
    </row>
    <row r="69" spans="1:44" ht="12.75" customHeight="1" x14ac:dyDescent="0.25">
      <c r="A69" s="492"/>
      <c r="B69" s="492"/>
      <c r="C69" s="492"/>
      <c r="D69" s="492"/>
      <c r="E69" s="492"/>
      <c r="F69" s="492"/>
      <c r="G69" s="492"/>
      <c r="H69" s="492"/>
      <c r="I69" s="492"/>
      <c r="J69" s="492"/>
      <c r="K69" s="492"/>
      <c r="L69" s="492"/>
      <c r="M69" s="492"/>
      <c r="N69" s="492"/>
      <c r="O69" s="492"/>
      <c r="P69" s="492"/>
      <c r="AA69" s="492"/>
      <c r="AB69" s="492"/>
      <c r="AC69" s="492"/>
      <c r="AD69" s="492"/>
      <c r="AE69" s="492"/>
      <c r="AF69" s="492"/>
      <c r="AG69" s="492"/>
      <c r="AH69" s="492"/>
      <c r="AI69" s="492"/>
      <c r="AJ69" s="492"/>
      <c r="AK69" s="492"/>
      <c r="AL69" s="492"/>
      <c r="AM69" s="492"/>
      <c r="AN69" s="492"/>
      <c r="AO69" s="492"/>
      <c r="AP69" s="492"/>
      <c r="AQ69" s="492"/>
      <c r="AR69" s="492"/>
    </row>
    <row r="70" spans="1:44" ht="12.75" customHeight="1" x14ac:dyDescent="0.25">
      <c r="A70" s="492"/>
      <c r="B70" s="492"/>
      <c r="C70" s="492"/>
      <c r="D70" s="492"/>
      <c r="E70" s="492"/>
      <c r="F70" s="492"/>
      <c r="G70" s="492"/>
      <c r="H70" s="492"/>
      <c r="I70" s="492"/>
      <c r="J70" s="492"/>
      <c r="K70" s="492"/>
      <c r="L70" s="492"/>
      <c r="M70" s="492"/>
      <c r="N70" s="492"/>
      <c r="O70" s="492"/>
      <c r="P70" s="492"/>
      <c r="AA70" s="492"/>
      <c r="AB70" s="492"/>
      <c r="AC70" s="492"/>
      <c r="AD70" s="492"/>
      <c r="AE70" s="492"/>
      <c r="AF70" s="492"/>
      <c r="AG70" s="492"/>
      <c r="AH70" s="492"/>
      <c r="AI70" s="492"/>
      <c r="AJ70" s="492"/>
      <c r="AK70" s="492"/>
      <c r="AL70" s="492"/>
      <c r="AM70" s="492"/>
      <c r="AN70" s="492"/>
      <c r="AO70" s="492"/>
      <c r="AP70" s="492"/>
      <c r="AQ70" s="492"/>
      <c r="AR70" s="492"/>
    </row>
    <row r="71" spans="1:44" ht="12.75" customHeight="1" x14ac:dyDescent="0.25">
      <c r="A71" s="492"/>
      <c r="B71" s="492"/>
      <c r="C71" s="492"/>
      <c r="D71" s="492"/>
      <c r="E71" s="492"/>
      <c r="F71" s="492"/>
      <c r="G71" s="492"/>
      <c r="H71" s="492"/>
      <c r="I71" s="492"/>
      <c r="J71" s="492"/>
      <c r="K71" s="492"/>
      <c r="L71" s="492"/>
      <c r="M71" s="492"/>
      <c r="N71" s="492"/>
      <c r="O71" s="492"/>
      <c r="P71" s="492"/>
      <c r="AA71" s="492"/>
      <c r="AB71" s="492"/>
      <c r="AC71" s="492"/>
      <c r="AD71" s="492"/>
      <c r="AE71" s="492"/>
      <c r="AF71" s="492"/>
      <c r="AG71" s="492"/>
      <c r="AH71" s="492"/>
      <c r="AI71" s="492"/>
      <c r="AJ71" s="492"/>
      <c r="AK71" s="492"/>
      <c r="AL71" s="492"/>
      <c r="AM71" s="492"/>
      <c r="AN71" s="492"/>
      <c r="AO71" s="492"/>
      <c r="AP71" s="492"/>
      <c r="AQ71" s="492"/>
      <c r="AR71" s="492"/>
    </row>
    <row r="72" spans="1:44" ht="12.75" customHeight="1" x14ac:dyDescent="0.25">
      <c r="A72" s="492"/>
      <c r="B72" s="492"/>
      <c r="C72" s="492"/>
      <c r="D72" s="492"/>
      <c r="E72" s="492"/>
      <c r="F72" s="492"/>
      <c r="G72" s="492"/>
      <c r="H72" s="492"/>
      <c r="I72" s="492"/>
      <c r="J72" s="492"/>
      <c r="K72" s="492"/>
      <c r="L72" s="492"/>
      <c r="M72" s="492"/>
      <c r="N72" s="492"/>
      <c r="O72" s="492"/>
      <c r="P72" s="492"/>
      <c r="AA72" s="492"/>
      <c r="AB72" s="492"/>
      <c r="AC72" s="492"/>
      <c r="AD72" s="492"/>
      <c r="AE72" s="492"/>
      <c r="AF72" s="492"/>
      <c r="AG72" s="492"/>
      <c r="AH72" s="492"/>
      <c r="AI72" s="492"/>
      <c r="AJ72" s="492"/>
      <c r="AK72" s="492"/>
      <c r="AL72" s="492"/>
      <c r="AM72" s="492"/>
      <c r="AN72" s="492"/>
      <c r="AO72" s="492"/>
      <c r="AP72" s="492"/>
      <c r="AQ72" s="492"/>
      <c r="AR72" s="492"/>
    </row>
    <row r="73" spans="1:44" ht="12.75" customHeight="1" x14ac:dyDescent="0.25">
      <c r="A73" s="492"/>
      <c r="B73" s="492"/>
      <c r="C73" s="492"/>
      <c r="D73" s="492"/>
      <c r="E73" s="492"/>
      <c r="F73" s="492"/>
      <c r="G73" s="492"/>
      <c r="H73" s="492"/>
      <c r="I73" s="492"/>
      <c r="J73" s="492"/>
      <c r="K73" s="492"/>
      <c r="L73" s="492"/>
      <c r="M73" s="492"/>
      <c r="N73" s="492"/>
      <c r="O73" s="492"/>
      <c r="P73" s="492"/>
      <c r="AA73" s="492"/>
      <c r="AB73" s="492"/>
      <c r="AC73" s="492"/>
      <c r="AD73" s="492"/>
      <c r="AE73" s="492"/>
      <c r="AF73" s="492"/>
      <c r="AG73" s="492"/>
      <c r="AH73" s="492"/>
      <c r="AI73" s="492"/>
      <c r="AJ73" s="492"/>
      <c r="AK73" s="492"/>
      <c r="AL73" s="492"/>
      <c r="AM73" s="492"/>
      <c r="AN73" s="492"/>
      <c r="AO73" s="492"/>
      <c r="AP73" s="492"/>
      <c r="AQ73" s="492"/>
      <c r="AR73" s="492"/>
    </row>
    <row r="74" spans="1:44" ht="12.75" customHeight="1" x14ac:dyDescent="0.25">
      <c r="A74" s="492"/>
      <c r="B74" s="492"/>
      <c r="C74" s="492"/>
      <c r="D74" s="492"/>
      <c r="E74" s="492"/>
      <c r="F74" s="492"/>
      <c r="G74" s="492"/>
      <c r="H74" s="492"/>
      <c r="I74" s="492"/>
      <c r="J74" s="492"/>
      <c r="K74" s="492"/>
      <c r="L74" s="492"/>
      <c r="M74" s="492"/>
      <c r="N74" s="492"/>
      <c r="O74" s="492"/>
      <c r="P74" s="492"/>
      <c r="AA74" s="492"/>
      <c r="AB74" s="492"/>
      <c r="AC74" s="492"/>
      <c r="AD74" s="492"/>
      <c r="AE74" s="492"/>
      <c r="AF74" s="492"/>
      <c r="AG74" s="492"/>
      <c r="AH74" s="492"/>
      <c r="AI74" s="492"/>
      <c r="AJ74" s="492"/>
      <c r="AK74" s="492"/>
      <c r="AL74" s="492"/>
      <c r="AM74" s="492"/>
      <c r="AN74" s="492"/>
      <c r="AO74" s="492"/>
      <c r="AP74" s="492"/>
      <c r="AQ74" s="492"/>
      <c r="AR74" s="492"/>
    </row>
    <row r="75" spans="1:44" ht="12.75" customHeight="1" x14ac:dyDescent="0.25">
      <c r="A75" s="492"/>
      <c r="B75" s="492"/>
      <c r="C75" s="492"/>
      <c r="D75" s="492"/>
      <c r="E75" s="492"/>
      <c r="F75" s="492"/>
      <c r="G75" s="492"/>
      <c r="H75" s="492"/>
      <c r="I75" s="492"/>
      <c r="J75" s="492"/>
      <c r="K75" s="492"/>
      <c r="L75" s="492"/>
      <c r="M75" s="492"/>
      <c r="N75" s="492"/>
      <c r="O75" s="492"/>
      <c r="P75" s="492"/>
      <c r="AA75" s="492"/>
      <c r="AB75" s="492"/>
      <c r="AC75" s="492"/>
      <c r="AD75" s="492"/>
      <c r="AE75" s="492"/>
      <c r="AF75" s="492"/>
      <c r="AG75" s="492"/>
      <c r="AH75" s="492"/>
      <c r="AI75" s="492"/>
      <c r="AJ75" s="492"/>
      <c r="AK75" s="492"/>
      <c r="AL75" s="492"/>
      <c r="AM75" s="492"/>
      <c r="AN75" s="492"/>
      <c r="AO75" s="492"/>
      <c r="AP75" s="492"/>
      <c r="AQ75" s="492"/>
      <c r="AR75" s="492"/>
    </row>
    <row r="76" spans="1:44" ht="12.75" customHeight="1" x14ac:dyDescent="0.25">
      <c r="A76" s="492"/>
      <c r="B76" s="492"/>
      <c r="C76" s="492"/>
      <c r="D76" s="492"/>
      <c r="E76" s="492"/>
      <c r="F76" s="492"/>
      <c r="G76" s="492"/>
      <c r="H76" s="492"/>
      <c r="I76" s="492"/>
      <c r="J76" s="492"/>
      <c r="K76" s="492"/>
      <c r="L76" s="492"/>
      <c r="M76" s="492"/>
      <c r="N76" s="492"/>
      <c r="O76" s="492"/>
      <c r="P76" s="492"/>
      <c r="AA76" s="492"/>
      <c r="AB76" s="492"/>
      <c r="AC76" s="492"/>
      <c r="AD76" s="492"/>
      <c r="AE76" s="492"/>
      <c r="AF76" s="492"/>
      <c r="AG76" s="492"/>
      <c r="AH76" s="492"/>
      <c r="AI76" s="492"/>
      <c r="AJ76" s="492"/>
      <c r="AK76" s="492"/>
      <c r="AL76" s="492"/>
      <c r="AM76" s="492"/>
      <c r="AN76" s="492"/>
      <c r="AO76" s="492"/>
      <c r="AP76" s="492"/>
      <c r="AQ76" s="492"/>
      <c r="AR76" s="492"/>
    </row>
    <row r="77" spans="1:44" ht="12.75" customHeight="1" x14ac:dyDescent="0.25">
      <c r="A77" s="492"/>
      <c r="B77" s="492"/>
      <c r="C77" s="492"/>
      <c r="D77" s="492"/>
      <c r="E77" s="492"/>
      <c r="F77" s="492"/>
      <c r="G77" s="492"/>
      <c r="H77" s="492"/>
      <c r="I77" s="492"/>
      <c r="J77" s="492"/>
      <c r="K77" s="492"/>
      <c r="L77" s="492"/>
      <c r="M77" s="492"/>
      <c r="N77" s="492"/>
      <c r="O77" s="492"/>
      <c r="P77" s="492"/>
      <c r="AA77" s="492"/>
      <c r="AB77" s="492"/>
      <c r="AC77" s="492"/>
      <c r="AD77" s="492"/>
      <c r="AE77" s="492"/>
      <c r="AF77" s="492"/>
      <c r="AG77" s="492"/>
      <c r="AH77" s="492"/>
      <c r="AI77" s="492"/>
      <c r="AJ77" s="492"/>
      <c r="AK77" s="492"/>
      <c r="AL77" s="492"/>
      <c r="AM77" s="492"/>
      <c r="AN77" s="492"/>
      <c r="AO77" s="492"/>
      <c r="AP77" s="492"/>
      <c r="AQ77" s="492"/>
      <c r="AR77" s="492"/>
    </row>
    <row r="78" spans="1:44" ht="12.75" customHeight="1" x14ac:dyDescent="0.25">
      <c r="A78" s="492"/>
      <c r="B78" s="492"/>
      <c r="C78" s="492"/>
      <c r="D78" s="492"/>
      <c r="E78" s="492"/>
      <c r="F78" s="492"/>
      <c r="G78" s="492"/>
      <c r="H78" s="492"/>
      <c r="I78" s="492"/>
      <c r="J78" s="492"/>
      <c r="K78" s="492"/>
      <c r="L78" s="492"/>
      <c r="M78" s="492"/>
      <c r="N78" s="492"/>
      <c r="O78" s="492"/>
      <c r="P78" s="492"/>
      <c r="AA78" s="492"/>
      <c r="AB78" s="492"/>
      <c r="AC78" s="492"/>
      <c r="AD78" s="492"/>
      <c r="AE78" s="492"/>
      <c r="AF78" s="492"/>
      <c r="AG78" s="492"/>
      <c r="AH78" s="492"/>
      <c r="AI78" s="492"/>
      <c r="AJ78" s="492"/>
      <c r="AK78" s="492"/>
      <c r="AL78" s="492"/>
      <c r="AM78" s="492"/>
      <c r="AN78" s="492"/>
      <c r="AO78" s="492"/>
      <c r="AP78" s="492"/>
      <c r="AQ78" s="492"/>
      <c r="AR78" s="492"/>
    </row>
    <row r="79" spans="1:44" ht="12.75" customHeight="1" x14ac:dyDescent="0.25">
      <c r="A79" s="492"/>
      <c r="B79" s="492"/>
      <c r="C79" s="492"/>
      <c r="D79" s="492"/>
      <c r="E79" s="492"/>
      <c r="F79" s="492"/>
      <c r="G79" s="492"/>
      <c r="H79" s="492"/>
      <c r="I79" s="492"/>
      <c r="J79" s="492"/>
      <c r="K79" s="492"/>
      <c r="L79" s="492"/>
      <c r="M79" s="492"/>
      <c r="N79" s="492"/>
      <c r="O79" s="492"/>
      <c r="P79" s="492"/>
      <c r="AA79" s="492"/>
      <c r="AB79" s="492"/>
      <c r="AC79" s="492"/>
      <c r="AD79" s="492"/>
      <c r="AE79" s="492"/>
      <c r="AF79" s="492"/>
      <c r="AG79" s="492"/>
      <c r="AH79" s="492"/>
      <c r="AI79" s="492"/>
      <c r="AJ79" s="492"/>
      <c r="AK79" s="492"/>
      <c r="AL79" s="492"/>
      <c r="AM79" s="492"/>
      <c r="AN79" s="492"/>
      <c r="AO79" s="492"/>
      <c r="AP79" s="492"/>
      <c r="AQ79" s="492"/>
      <c r="AR79" s="492"/>
    </row>
    <row r="80" spans="1:44" ht="12.75" customHeight="1" x14ac:dyDescent="0.25">
      <c r="A80" s="492"/>
      <c r="B80" s="492"/>
      <c r="C80" s="492"/>
      <c r="D80" s="492"/>
      <c r="E80" s="492"/>
      <c r="F80" s="492"/>
      <c r="G80" s="492"/>
      <c r="H80" s="492"/>
      <c r="I80" s="492"/>
      <c r="J80" s="492"/>
      <c r="K80" s="492"/>
      <c r="L80" s="492"/>
      <c r="M80" s="492"/>
      <c r="N80" s="492"/>
      <c r="O80" s="492"/>
      <c r="P80" s="492"/>
      <c r="AA80" s="492"/>
      <c r="AB80" s="492"/>
      <c r="AC80" s="492"/>
      <c r="AD80" s="492"/>
      <c r="AE80" s="492"/>
      <c r="AF80" s="492"/>
      <c r="AG80" s="492"/>
      <c r="AH80" s="492"/>
      <c r="AI80" s="492"/>
      <c r="AJ80" s="492"/>
      <c r="AK80" s="492"/>
      <c r="AL80" s="492"/>
      <c r="AM80" s="492"/>
      <c r="AN80" s="492"/>
      <c r="AO80" s="492"/>
      <c r="AP80" s="492"/>
      <c r="AQ80" s="492"/>
      <c r="AR80" s="492"/>
    </row>
    <row r="81" spans="1:44" ht="12.75" customHeight="1" x14ac:dyDescent="0.25">
      <c r="A81" s="492"/>
      <c r="B81" s="492"/>
      <c r="C81" s="492"/>
      <c r="D81" s="492"/>
      <c r="E81" s="492"/>
      <c r="F81" s="492"/>
      <c r="G81" s="492"/>
      <c r="H81" s="492"/>
      <c r="I81" s="492"/>
      <c r="J81" s="492"/>
      <c r="K81" s="492"/>
      <c r="L81" s="492"/>
      <c r="M81" s="492"/>
      <c r="N81" s="492"/>
      <c r="O81" s="492"/>
      <c r="P81" s="492"/>
      <c r="AA81" s="492"/>
      <c r="AB81" s="492"/>
      <c r="AC81" s="492"/>
      <c r="AD81" s="492"/>
      <c r="AE81" s="492"/>
      <c r="AF81" s="492"/>
      <c r="AG81" s="492"/>
      <c r="AH81" s="492"/>
      <c r="AI81" s="492"/>
      <c r="AJ81" s="492"/>
      <c r="AK81" s="492"/>
      <c r="AL81" s="492"/>
      <c r="AM81" s="492"/>
      <c r="AN81" s="492"/>
      <c r="AO81" s="492"/>
      <c r="AP81" s="492"/>
      <c r="AQ81" s="492"/>
      <c r="AR81" s="492"/>
    </row>
    <row r="82" spans="1:44" ht="12.75" customHeight="1" x14ac:dyDescent="0.25">
      <c r="A82" s="492"/>
      <c r="B82" s="492"/>
      <c r="C82" s="492"/>
      <c r="D82" s="492"/>
      <c r="E82" s="492"/>
      <c r="F82" s="492"/>
      <c r="G82" s="492"/>
      <c r="H82" s="492"/>
      <c r="I82" s="492"/>
      <c r="J82" s="492"/>
      <c r="K82" s="492"/>
      <c r="L82" s="492"/>
      <c r="M82" s="492"/>
      <c r="N82" s="492"/>
      <c r="O82" s="492"/>
      <c r="P82" s="492"/>
      <c r="AA82" s="492"/>
      <c r="AB82" s="492"/>
      <c r="AC82" s="492"/>
      <c r="AD82" s="492"/>
      <c r="AE82" s="492"/>
      <c r="AF82" s="492"/>
      <c r="AG82" s="492"/>
      <c r="AH82" s="492"/>
      <c r="AI82" s="492"/>
      <c r="AJ82" s="492"/>
      <c r="AK82" s="492"/>
      <c r="AL82" s="492"/>
      <c r="AM82" s="492"/>
      <c r="AN82" s="492"/>
      <c r="AO82" s="492"/>
      <c r="AP82" s="492"/>
      <c r="AQ82" s="492"/>
      <c r="AR82" s="492"/>
    </row>
    <row r="83" spans="1:44" ht="12.75" customHeight="1" x14ac:dyDescent="0.25">
      <c r="A83" s="492"/>
      <c r="B83" s="492"/>
      <c r="C83" s="492"/>
      <c r="D83" s="492"/>
      <c r="E83" s="492"/>
      <c r="F83" s="492"/>
      <c r="G83" s="492"/>
      <c r="H83" s="492"/>
      <c r="I83" s="492"/>
      <c r="J83" s="492"/>
      <c r="K83" s="492"/>
      <c r="L83" s="492"/>
      <c r="M83" s="492"/>
      <c r="N83" s="492"/>
      <c r="O83" s="492"/>
      <c r="P83" s="492"/>
      <c r="AA83" s="492"/>
      <c r="AB83" s="492"/>
      <c r="AC83" s="492"/>
      <c r="AD83" s="492"/>
      <c r="AE83" s="492"/>
      <c r="AF83" s="492"/>
      <c r="AG83" s="492"/>
      <c r="AH83" s="492"/>
      <c r="AI83" s="492"/>
      <c r="AJ83" s="492"/>
      <c r="AK83" s="492"/>
      <c r="AL83" s="492"/>
      <c r="AM83" s="492"/>
      <c r="AN83" s="492"/>
      <c r="AO83" s="492"/>
      <c r="AP83" s="492"/>
      <c r="AQ83" s="492"/>
      <c r="AR83" s="492"/>
    </row>
    <row r="84" spans="1:44" ht="12.75" customHeight="1" x14ac:dyDescent="0.25">
      <c r="A84" s="492"/>
      <c r="B84" s="492"/>
      <c r="C84" s="492"/>
      <c r="D84" s="492"/>
      <c r="E84" s="492"/>
      <c r="F84" s="492"/>
      <c r="G84" s="492"/>
      <c r="H84" s="492"/>
      <c r="I84" s="492"/>
      <c r="J84" s="492"/>
      <c r="K84" s="492"/>
      <c r="L84" s="492"/>
      <c r="M84" s="492"/>
      <c r="N84" s="492"/>
      <c r="O84" s="492"/>
      <c r="P84" s="492"/>
      <c r="AA84" s="492"/>
      <c r="AB84" s="492"/>
      <c r="AC84" s="492"/>
      <c r="AD84" s="492"/>
      <c r="AE84" s="492"/>
      <c r="AF84" s="492"/>
      <c r="AG84" s="492"/>
      <c r="AH84" s="492"/>
      <c r="AI84" s="492"/>
      <c r="AJ84" s="492"/>
      <c r="AK84" s="492"/>
      <c r="AL84" s="492"/>
      <c r="AM84" s="492"/>
      <c r="AN84" s="492"/>
      <c r="AO84" s="492"/>
      <c r="AP84" s="492"/>
      <c r="AQ84" s="492"/>
      <c r="AR84" s="492"/>
    </row>
    <row r="85" spans="1:44" ht="12.75" customHeight="1" x14ac:dyDescent="0.25">
      <c r="A85" s="492"/>
      <c r="B85" s="492"/>
      <c r="C85" s="492"/>
      <c r="D85" s="492"/>
      <c r="E85" s="492"/>
      <c r="F85" s="492"/>
      <c r="G85" s="492"/>
      <c r="H85" s="492"/>
      <c r="I85" s="492"/>
      <c r="J85" s="492"/>
      <c r="K85" s="492"/>
      <c r="L85" s="492"/>
      <c r="M85" s="492"/>
      <c r="N85" s="492"/>
      <c r="O85" s="492"/>
      <c r="P85" s="492"/>
      <c r="AA85" s="492"/>
      <c r="AB85" s="492"/>
      <c r="AC85" s="492"/>
      <c r="AD85" s="492"/>
      <c r="AE85" s="492"/>
      <c r="AF85" s="492"/>
      <c r="AG85" s="492"/>
      <c r="AH85" s="492"/>
      <c r="AI85" s="492"/>
      <c r="AJ85" s="492"/>
      <c r="AK85" s="492"/>
      <c r="AL85" s="492"/>
      <c r="AM85" s="492"/>
      <c r="AN85" s="492"/>
      <c r="AO85" s="492"/>
      <c r="AP85" s="492"/>
      <c r="AQ85" s="492"/>
      <c r="AR85" s="492"/>
    </row>
    <row r="86" spans="1:44" ht="12.75" customHeight="1" x14ac:dyDescent="0.25">
      <c r="A86" s="492"/>
      <c r="B86" s="492"/>
      <c r="C86" s="492"/>
      <c r="D86" s="492"/>
      <c r="E86" s="492"/>
      <c r="F86" s="492"/>
      <c r="G86" s="492"/>
      <c r="H86" s="492"/>
      <c r="I86" s="492"/>
      <c r="J86" s="492"/>
      <c r="K86" s="492"/>
      <c r="L86" s="492"/>
      <c r="M86" s="492"/>
      <c r="N86" s="492"/>
      <c r="O86" s="492"/>
      <c r="P86" s="492"/>
      <c r="AA86" s="492"/>
      <c r="AB86" s="492"/>
      <c r="AC86" s="492"/>
      <c r="AD86" s="492"/>
      <c r="AE86" s="492"/>
      <c r="AF86" s="492"/>
      <c r="AG86" s="492"/>
      <c r="AH86" s="492"/>
      <c r="AI86" s="492"/>
      <c r="AJ86" s="492"/>
      <c r="AK86" s="492"/>
      <c r="AL86" s="492"/>
      <c r="AM86" s="492"/>
      <c r="AN86" s="492"/>
      <c r="AO86" s="492"/>
      <c r="AP86" s="492"/>
      <c r="AQ86" s="492"/>
      <c r="AR86" s="492"/>
    </row>
    <row r="87" spans="1:44" ht="12.75" customHeight="1" x14ac:dyDescent="0.25">
      <c r="A87" s="492"/>
      <c r="B87" s="492"/>
      <c r="C87" s="492"/>
      <c r="D87" s="492"/>
      <c r="E87" s="492"/>
      <c r="F87" s="492"/>
      <c r="G87" s="492"/>
      <c r="H87" s="492"/>
      <c r="I87" s="492"/>
      <c r="J87" s="492"/>
      <c r="K87" s="492"/>
      <c r="L87" s="492"/>
      <c r="M87" s="492"/>
      <c r="N87" s="492"/>
      <c r="O87" s="492"/>
      <c r="P87" s="492"/>
      <c r="AA87" s="492"/>
      <c r="AB87" s="492"/>
      <c r="AC87" s="492"/>
      <c r="AD87" s="492"/>
      <c r="AE87" s="492"/>
      <c r="AF87" s="492"/>
      <c r="AG87" s="492"/>
      <c r="AH87" s="492"/>
      <c r="AI87" s="492"/>
      <c r="AJ87" s="492"/>
      <c r="AK87" s="492"/>
      <c r="AL87" s="492"/>
      <c r="AM87" s="492"/>
      <c r="AN87" s="492"/>
      <c r="AO87" s="492"/>
      <c r="AP87" s="492"/>
      <c r="AQ87" s="492"/>
      <c r="AR87" s="492"/>
    </row>
    <row r="88" spans="1:44" ht="12.75" customHeight="1" x14ac:dyDescent="0.25">
      <c r="A88" s="492"/>
      <c r="B88" s="492"/>
      <c r="C88" s="492"/>
      <c r="D88" s="492"/>
      <c r="E88" s="492"/>
      <c r="F88" s="492"/>
      <c r="G88" s="492"/>
      <c r="H88" s="492"/>
      <c r="I88" s="492"/>
      <c r="J88" s="492"/>
      <c r="K88" s="492"/>
      <c r="L88" s="492"/>
      <c r="M88" s="492"/>
      <c r="N88" s="492"/>
      <c r="O88" s="492"/>
      <c r="P88" s="492"/>
      <c r="AA88" s="492"/>
      <c r="AB88" s="492"/>
      <c r="AC88" s="492"/>
      <c r="AD88" s="492"/>
      <c r="AE88" s="492"/>
      <c r="AF88" s="492"/>
      <c r="AG88" s="492"/>
      <c r="AH88" s="492"/>
      <c r="AI88" s="492"/>
      <c r="AJ88" s="492"/>
      <c r="AK88" s="492"/>
      <c r="AL88" s="492"/>
      <c r="AM88" s="492"/>
      <c r="AN88" s="492"/>
      <c r="AO88" s="492"/>
      <c r="AP88" s="492"/>
      <c r="AQ88" s="492"/>
      <c r="AR88" s="492"/>
    </row>
    <row r="89" spans="1:44" ht="12.75" customHeight="1" x14ac:dyDescent="0.25">
      <c r="A89" s="492"/>
      <c r="B89" s="492"/>
      <c r="C89" s="492"/>
      <c r="D89" s="492"/>
      <c r="E89" s="492"/>
      <c r="F89" s="492"/>
      <c r="G89" s="492"/>
      <c r="H89" s="492"/>
      <c r="I89" s="492"/>
      <c r="J89" s="492"/>
      <c r="K89" s="492"/>
      <c r="L89" s="492"/>
      <c r="M89" s="492"/>
      <c r="N89" s="492"/>
      <c r="O89" s="492"/>
      <c r="P89" s="492"/>
      <c r="AA89" s="492"/>
      <c r="AB89" s="492"/>
      <c r="AC89" s="492"/>
      <c r="AD89" s="492"/>
      <c r="AE89" s="492"/>
      <c r="AF89" s="492"/>
      <c r="AG89" s="492"/>
      <c r="AH89" s="492"/>
      <c r="AI89" s="492"/>
      <c r="AJ89" s="492"/>
      <c r="AK89" s="492"/>
      <c r="AL89" s="492"/>
      <c r="AM89" s="492"/>
      <c r="AN89" s="492"/>
      <c r="AO89" s="492"/>
      <c r="AP89" s="492"/>
      <c r="AQ89" s="492"/>
      <c r="AR89" s="492"/>
    </row>
    <row r="90" spans="1:44" ht="12.75" customHeight="1" x14ac:dyDescent="0.25">
      <c r="A90" s="492"/>
      <c r="B90" s="492"/>
      <c r="C90" s="492"/>
      <c r="D90" s="492"/>
      <c r="E90" s="492"/>
      <c r="F90" s="492"/>
      <c r="G90" s="492"/>
      <c r="H90" s="492"/>
      <c r="I90" s="492"/>
      <c r="J90" s="492"/>
      <c r="K90" s="492"/>
      <c r="L90" s="492"/>
      <c r="M90" s="492"/>
      <c r="N90" s="492"/>
      <c r="O90" s="492"/>
      <c r="P90" s="492"/>
      <c r="AA90" s="492"/>
      <c r="AB90" s="492"/>
      <c r="AC90" s="492"/>
      <c r="AD90" s="492"/>
      <c r="AE90" s="492"/>
      <c r="AF90" s="492"/>
      <c r="AG90" s="492"/>
      <c r="AH90" s="492"/>
      <c r="AI90" s="492"/>
      <c r="AJ90" s="492"/>
      <c r="AK90" s="492"/>
      <c r="AL90" s="492"/>
      <c r="AM90" s="492"/>
      <c r="AN90" s="492"/>
      <c r="AO90" s="492"/>
      <c r="AP90" s="492"/>
      <c r="AQ90" s="492"/>
      <c r="AR90" s="492"/>
    </row>
    <row r="91" spans="1:44" ht="12.75" customHeight="1" x14ac:dyDescent="0.25">
      <c r="A91" s="492"/>
      <c r="B91" s="492"/>
      <c r="C91" s="492"/>
      <c r="D91" s="492"/>
      <c r="E91" s="492"/>
      <c r="F91" s="492"/>
      <c r="G91" s="492"/>
      <c r="H91" s="492"/>
      <c r="I91" s="492"/>
      <c r="J91" s="492"/>
      <c r="K91" s="492"/>
      <c r="L91" s="492"/>
      <c r="M91" s="492"/>
      <c r="N91" s="492"/>
      <c r="O91" s="492"/>
      <c r="P91" s="492"/>
      <c r="AA91" s="492"/>
      <c r="AB91" s="492"/>
      <c r="AC91" s="492"/>
      <c r="AD91" s="492"/>
      <c r="AE91" s="492"/>
      <c r="AF91" s="492"/>
      <c r="AG91" s="492"/>
      <c r="AH91" s="492"/>
      <c r="AI91" s="492"/>
      <c r="AJ91" s="492"/>
      <c r="AK91" s="492"/>
      <c r="AL91" s="492"/>
      <c r="AM91" s="492"/>
      <c r="AN91" s="492"/>
      <c r="AO91" s="492"/>
      <c r="AP91" s="492"/>
      <c r="AQ91" s="492"/>
      <c r="AR91" s="492"/>
    </row>
    <row r="92" spans="1:44" ht="12.75" customHeight="1" x14ac:dyDescent="0.25">
      <c r="A92" s="492"/>
      <c r="B92" s="492"/>
      <c r="C92" s="492"/>
      <c r="D92" s="492"/>
      <c r="E92" s="492"/>
      <c r="F92" s="492"/>
      <c r="G92" s="492"/>
      <c r="H92" s="492"/>
      <c r="I92" s="492"/>
      <c r="J92" s="492"/>
      <c r="K92" s="492"/>
      <c r="L92" s="492"/>
      <c r="M92" s="492"/>
      <c r="N92" s="492"/>
      <c r="O92" s="492"/>
      <c r="P92" s="492"/>
      <c r="AA92" s="492"/>
      <c r="AB92" s="492"/>
      <c r="AC92" s="492"/>
      <c r="AD92" s="492"/>
      <c r="AE92" s="492"/>
      <c r="AF92" s="492"/>
      <c r="AG92" s="492"/>
      <c r="AH92" s="492"/>
      <c r="AI92" s="492"/>
      <c r="AJ92" s="492"/>
      <c r="AK92" s="492"/>
      <c r="AL92" s="492"/>
      <c r="AM92" s="492"/>
      <c r="AN92" s="492"/>
      <c r="AO92" s="492"/>
      <c r="AP92" s="492"/>
      <c r="AQ92" s="492"/>
      <c r="AR92" s="492"/>
    </row>
    <row r="93" spans="1:44" ht="12.75" customHeight="1" x14ac:dyDescent="0.25">
      <c r="A93" s="492"/>
      <c r="B93" s="492"/>
      <c r="C93" s="492"/>
      <c r="D93" s="492"/>
      <c r="E93" s="492"/>
      <c r="F93" s="492"/>
      <c r="G93" s="492"/>
      <c r="H93" s="492"/>
      <c r="I93" s="492"/>
      <c r="J93" s="492"/>
      <c r="K93" s="492"/>
      <c r="L93" s="492"/>
      <c r="M93" s="492"/>
      <c r="N93" s="492"/>
      <c r="O93" s="492"/>
      <c r="P93" s="492"/>
      <c r="AA93" s="492"/>
      <c r="AB93" s="492"/>
      <c r="AC93" s="492"/>
      <c r="AD93" s="492"/>
      <c r="AE93" s="492"/>
      <c r="AF93" s="492"/>
      <c r="AG93" s="492"/>
      <c r="AH93" s="492"/>
      <c r="AI93" s="492"/>
      <c r="AJ93" s="492"/>
      <c r="AK93" s="492"/>
      <c r="AL93" s="492"/>
      <c r="AM93" s="492"/>
      <c r="AN93" s="492"/>
      <c r="AO93" s="492"/>
      <c r="AP93" s="492"/>
      <c r="AQ93" s="492"/>
      <c r="AR93" s="492"/>
    </row>
    <row r="94" spans="1:44" ht="12.75" customHeight="1" x14ac:dyDescent="0.25">
      <c r="A94" s="492"/>
      <c r="B94" s="492"/>
      <c r="C94" s="492"/>
      <c r="D94" s="492"/>
      <c r="E94" s="492"/>
      <c r="F94" s="492"/>
      <c r="G94" s="492"/>
      <c r="H94" s="492"/>
      <c r="I94" s="492"/>
      <c r="J94" s="492"/>
      <c r="K94" s="492"/>
      <c r="L94" s="492"/>
      <c r="M94" s="492"/>
      <c r="N94" s="492"/>
      <c r="O94" s="492"/>
      <c r="P94" s="492"/>
      <c r="AA94" s="492"/>
      <c r="AB94" s="492"/>
      <c r="AC94" s="492"/>
      <c r="AD94" s="492"/>
      <c r="AE94" s="492"/>
      <c r="AF94" s="492"/>
      <c r="AG94" s="492"/>
      <c r="AH94" s="492"/>
      <c r="AI94" s="492"/>
      <c r="AJ94" s="492"/>
      <c r="AK94" s="492"/>
      <c r="AL94" s="492"/>
      <c r="AM94" s="492"/>
      <c r="AN94" s="492"/>
      <c r="AO94" s="492"/>
      <c r="AP94" s="492"/>
      <c r="AQ94" s="492"/>
      <c r="AR94" s="492"/>
    </row>
    <row r="95" spans="1:44" ht="12.75" customHeight="1" x14ac:dyDescent="0.25">
      <c r="A95" s="492"/>
      <c r="B95" s="492"/>
      <c r="C95" s="492"/>
      <c r="D95" s="492"/>
      <c r="E95" s="492"/>
      <c r="F95" s="492"/>
      <c r="G95" s="492"/>
      <c r="H95" s="492"/>
      <c r="I95" s="492"/>
      <c r="J95" s="492"/>
      <c r="K95" s="492"/>
      <c r="L95" s="492"/>
      <c r="M95" s="492"/>
      <c r="N95" s="492"/>
      <c r="O95" s="492"/>
      <c r="P95" s="492"/>
      <c r="AA95" s="492"/>
      <c r="AB95" s="492"/>
      <c r="AC95" s="492"/>
      <c r="AD95" s="492"/>
      <c r="AE95" s="492"/>
      <c r="AF95" s="492"/>
      <c r="AG95" s="492"/>
      <c r="AH95" s="492"/>
      <c r="AI95" s="492"/>
      <c r="AJ95" s="492"/>
      <c r="AK95" s="492"/>
      <c r="AL95" s="492"/>
      <c r="AM95" s="492"/>
      <c r="AN95" s="492"/>
      <c r="AO95" s="492"/>
      <c r="AP95" s="492"/>
      <c r="AQ95" s="492"/>
      <c r="AR95" s="492"/>
    </row>
    <row r="96" spans="1:44" ht="12.75" customHeight="1" x14ac:dyDescent="0.25">
      <c r="A96" s="492"/>
      <c r="B96" s="492"/>
      <c r="C96" s="492"/>
      <c r="D96" s="492"/>
      <c r="E96" s="492"/>
      <c r="F96" s="492"/>
      <c r="G96" s="492"/>
      <c r="H96" s="492"/>
      <c r="I96" s="492"/>
      <c r="J96" s="492"/>
      <c r="K96" s="492"/>
      <c r="L96" s="492"/>
      <c r="M96" s="492"/>
      <c r="N96" s="492"/>
      <c r="O96" s="492"/>
      <c r="P96" s="492"/>
      <c r="AA96" s="492"/>
      <c r="AB96" s="492"/>
      <c r="AC96" s="492"/>
      <c r="AD96" s="492"/>
      <c r="AE96" s="492"/>
      <c r="AF96" s="492"/>
      <c r="AG96" s="492"/>
      <c r="AH96" s="492"/>
      <c r="AI96" s="492"/>
      <c r="AJ96" s="492"/>
      <c r="AK96" s="492"/>
      <c r="AL96" s="492"/>
      <c r="AM96" s="492"/>
      <c r="AN96" s="492"/>
      <c r="AO96" s="492"/>
      <c r="AP96" s="492"/>
      <c r="AQ96" s="492"/>
      <c r="AR96" s="492"/>
    </row>
    <row r="97" spans="1:44" ht="12.75" customHeight="1" x14ac:dyDescent="0.25">
      <c r="A97" s="492"/>
      <c r="B97" s="492"/>
      <c r="C97" s="492"/>
      <c r="D97" s="492"/>
      <c r="E97" s="492"/>
      <c r="F97" s="492"/>
      <c r="G97" s="492"/>
      <c r="H97" s="492"/>
      <c r="I97" s="492"/>
      <c r="J97" s="492"/>
      <c r="K97" s="492"/>
      <c r="L97" s="492"/>
      <c r="M97" s="492"/>
      <c r="N97" s="492"/>
      <c r="O97" s="492"/>
      <c r="P97" s="492"/>
      <c r="AA97" s="492"/>
      <c r="AB97" s="492"/>
      <c r="AC97" s="492"/>
      <c r="AD97" s="492"/>
      <c r="AE97" s="492"/>
      <c r="AF97" s="492"/>
      <c r="AG97" s="492"/>
      <c r="AH97" s="492"/>
      <c r="AI97" s="492"/>
      <c r="AJ97" s="492"/>
      <c r="AK97" s="492"/>
      <c r="AL97" s="492"/>
      <c r="AM97" s="492"/>
      <c r="AN97" s="492"/>
      <c r="AO97" s="492"/>
      <c r="AP97" s="492"/>
      <c r="AQ97" s="492"/>
      <c r="AR97" s="492"/>
    </row>
    <row r="98" spans="1:44" ht="12.75" customHeight="1" x14ac:dyDescent="0.25">
      <c r="A98" s="492"/>
      <c r="B98" s="492"/>
      <c r="C98" s="492"/>
      <c r="D98" s="492"/>
      <c r="E98" s="492"/>
      <c r="F98" s="492"/>
      <c r="G98" s="492"/>
      <c r="H98" s="492"/>
      <c r="I98" s="492"/>
      <c r="J98" s="492"/>
      <c r="K98" s="492"/>
      <c r="L98" s="492"/>
      <c r="M98" s="492"/>
      <c r="N98" s="492"/>
      <c r="O98" s="492"/>
      <c r="P98" s="492"/>
      <c r="AA98" s="492"/>
      <c r="AB98" s="492"/>
      <c r="AC98" s="492"/>
      <c r="AD98" s="492"/>
      <c r="AE98" s="492"/>
      <c r="AF98" s="492"/>
      <c r="AG98" s="492"/>
      <c r="AH98" s="492"/>
      <c r="AI98" s="492"/>
      <c r="AJ98" s="492"/>
      <c r="AK98" s="492"/>
      <c r="AL98" s="492"/>
      <c r="AM98" s="492"/>
      <c r="AN98" s="492"/>
      <c r="AO98" s="492"/>
      <c r="AP98" s="492"/>
      <c r="AQ98" s="492"/>
      <c r="AR98" s="492"/>
    </row>
    <row r="99" spans="1:44" ht="12.75" customHeight="1" x14ac:dyDescent="0.25">
      <c r="A99" s="492"/>
      <c r="B99" s="492"/>
      <c r="C99" s="492"/>
      <c r="D99" s="492"/>
      <c r="E99" s="492"/>
      <c r="F99" s="492"/>
      <c r="G99" s="492"/>
      <c r="H99" s="492"/>
      <c r="I99" s="492"/>
      <c r="J99" s="492"/>
      <c r="K99" s="492"/>
      <c r="L99" s="492"/>
      <c r="M99" s="492"/>
      <c r="N99" s="492"/>
      <c r="O99" s="492"/>
      <c r="P99" s="492"/>
      <c r="AA99" s="492"/>
      <c r="AB99" s="492"/>
      <c r="AC99" s="492"/>
      <c r="AD99" s="492"/>
      <c r="AE99" s="492"/>
      <c r="AF99" s="492"/>
      <c r="AG99" s="492"/>
      <c r="AH99" s="492"/>
      <c r="AI99" s="492"/>
      <c r="AJ99" s="492"/>
      <c r="AK99" s="492"/>
      <c r="AL99" s="492"/>
      <c r="AM99" s="492"/>
      <c r="AN99" s="492"/>
      <c r="AO99" s="492"/>
      <c r="AP99" s="492"/>
      <c r="AQ99" s="492"/>
      <c r="AR99" s="492"/>
    </row>
    <row r="100" spans="1:44" ht="12.75" customHeight="1" x14ac:dyDescent="0.25">
      <c r="A100" s="492"/>
      <c r="B100" s="492"/>
      <c r="C100" s="492"/>
      <c r="D100" s="492"/>
      <c r="E100" s="492"/>
      <c r="F100" s="492"/>
      <c r="G100" s="492"/>
      <c r="H100" s="492"/>
      <c r="I100" s="492"/>
      <c r="J100" s="492"/>
      <c r="K100" s="492"/>
      <c r="L100" s="492"/>
      <c r="M100" s="492"/>
      <c r="N100" s="492"/>
      <c r="O100" s="492"/>
      <c r="P100" s="492"/>
      <c r="AA100" s="492"/>
      <c r="AB100" s="492"/>
      <c r="AC100" s="492"/>
      <c r="AD100" s="492"/>
      <c r="AE100" s="492"/>
      <c r="AF100" s="492"/>
      <c r="AG100" s="492"/>
      <c r="AH100" s="492"/>
      <c r="AI100" s="492"/>
      <c r="AJ100" s="492"/>
      <c r="AK100" s="492"/>
      <c r="AL100" s="492"/>
      <c r="AM100" s="492"/>
      <c r="AN100" s="492"/>
      <c r="AO100" s="492"/>
      <c r="AP100" s="492"/>
      <c r="AQ100" s="492"/>
      <c r="AR100" s="492"/>
    </row>
    <row r="101" spans="1:44" ht="12.75" customHeight="1" x14ac:dyDescent="0.25">
      <c r="A101" s="492"/>
      <c r="B101" s="492"/>
      <c r="C101" s="492"/>
      <c r="D101" s="492"/>
      <c r="E101" s="492"/>
      <c r="F101" s="492"/>
      <c r="G101" s="492"/>
      <c r="H101" s="492"/>
      <c r="I101" s="492"/>
      <c r="J101" s="492"/>
      <c r="K101" s="492"/>
      <c r="L101" s="492"/>
      <c r="M101" s="492"/>
      <c r="N101" s="492"/>
      <c r="O101" s="492"/>
      <c r="P101" s="492"/>
      <c r="AA101" s="492"/>
      <c r="AB101" s="492"/>
      <c r="AC101" s="492"/>
      <c r="AD101" s="492"/>
      <c r="AE101" s="492"/>
      <c r="AF101" s="492"/>
      <c r="AG101" s="492"/>
      <c r="AH101" s="492"/>
      <c r="AI101" s="492"/>
      <c r="AJ101" s="492"/>
      <c r="AK101" s="492"/>
      <c r="AL101" s="492"/>
      <c r="AM101" s="492"/>
      <c r="AN101" s="492"/>
      <c r="AO101" s="492"/>
      <c r="AP101" s="492"/>
      <c r="AQ101" s="492"/>
      <c r="AR101" s="492"/>
    </row>
    <row r="102" spans="1:44" ht="12.75" customHeight="1" x14ac:dyDescent="0.25">
      <c r="A102" s="492"/>
      <c r="B102" s="492"/>
      <c r="C102" s="492"/>
      <c r="D102" s="492"/>
      <c r="E102" s="492"/>
      <c r="F102" s="492"/>
      <c r="G102" s="492"/>
      <c r="H102" s="492"/>
      <c r="I102" s="492"/>
      <c r="J102" s="492"/>
      <c r="K102" s="492"/>
      <c r="L102" s="492"/>
      <c r="M102" s="492"/>
      <c r="N102" s="492"/>
      <c r="O102" s="492"/>
      <c r="P102" s="492"/>
      <c r="AA102" s="492"/>
      <c r="AB102" s="492"/>
      <c r="AC102" s="492"/>
      <c r="AD102" s="492"/>
      <c r="AE102" s="492"/>
      <c r="AF102" s="492"/>
      <c r="AG102" s="492"/>
      <c r="AH102" s="492"/>
      <c r="AI102" s="492"/>
      <c r="AJ102" s="492"/>
      <c r="AK102" s="492"/>
      <c r="AL102" s="492"/>
      <c r="AM102" s="492"/>
      <c r="AN102" s="492"/>
      <c r="AO102" s="492"/>
      <c r="AP102" s="492"/>
      <c r="AQ102" s="492"/>
      <c r="AR102" s="492"/>
    </row>
    <row r="103" spans="1:44" ht="12.75" customHeight="1" x14ac:dyDescent="0.25">
      <c r="A103" s="492"/>
      <c r="B103" s="492"/>
      <c r="C103" s="492"/>
      <c r="D103" s="492"/>
      <c r="E103" s="492"/>
      <c r="F103" s="492"/>
      <c r="G103" s="492"/>
      <c r="H103" s="492"/>
      <c r="I103" s="492"/>
      <c r="J103" s="492"/>
      <c r="K103" s="492"/>
      <c r="L103" s="492"/>
      <c r="M103" s="492"/>
      <c r="N103" s="492"/>
      <c r="O103" s="492"/>
      <c r="P103" s="492"/>
      <c r="AA103" s="492"/>
      <c r="AB103" s="492"/>
      <c r="AC103" s="492"/>
      <c r="AD103" s="492"/>
      <c r="AE103" s="492"/>
      <c r="AF103" s="492"/>
      <c r="AG103" s="492"/>
      <c r="AH103" s="492"/>
      <c r="AI103" s="492"/>
      <c r="AJ103" s="492"/>
      <c r="AK103" s="492"/>
      <c r="AL103" s="492"/>
      <c r="AM103" s="492"/>
      <c r="AN103" s="492"/>
      <c r="AO103" s="492"/>
      <c r="AP103" s="492"/>
      <c r="AQ103" s="492"/>
      <c r="AR103" s="492"/>
    </row>
    <row r="104" spans="1:44" ht="12.75" customHeight="1" x14ac:dyDescent="0.25">
      <c r="A104" s="492"/>
      <c r="B104" s="492"/>
      <c r="C104" s="492"/>
      <c r="D104" s="492"/>
      <c r="E104" s="492"/>
      <c r="F104" s="492"/>
      <c r="G104" s="492"/>
      <c r="H104" s="492"/>
      <c r="I104" s="492"/>
      <c r="J104" s="492"/>
      <c r="K104" s="492"/>
      <c r="L104" s="492"/>
      <c r="M104" s="492"/>
      <c r="N104" s="492"/>
      <c r="O104" s="492"/>
      <c r="P104" s="492"/>
      <c r="AA104" s="492"/>
      <c r="AB104" s="492"/>
      <c r="AC104" s="492"/>
      <c r="AD104" s="492"/>
      <c r="AE104" s="492"/>
      <c r="AF104" s="492"/>
      <c r="AG104" s="492"/>
      <c r="AH104" s="492"/>
      <c r="AI104" s="492"/>
      <c r="AJ104" s="492"/>
      <c r="AK104" s="492"/>
      <c r="AL104" s="492"/>
      <c r="AM104" s="492"/>
      <c r="AN104" s="492"/>
      <c r="AO104" s="492"/>
      <c r="AP104" s="492"/>
      <c r="AQ104" s="492"/>
      <c r="AR104" s="492"/>
    </row>
    <row r="105" spans="1:44" ht="12.75" customHeight="1" x14ac:dyDescent="0.25">
      <c r="A105" s="492"/>
      <c r="B105" s="492"/>
      <c r="C105" s="492"/>
      <c r="D105" s="492"/>
      <c r="E105" s="492"/>
      <c r="F105" s="492"/>
      <c r="G105" s="492"/>
      <c r="H105" s="492"/>
      <c r="I105" s="492"/>
      <c r="J105" s="492"/>
      <c r="K105" s="492"/>
      <c r="L105" s="492"/>
      <c r="M105" s="492"/>
      <c r="N105" s="492"/>
      <c r="O105" s="492"/>
      <c r="P105" s="492"/>
      <c r="AA105" s="492"/>
      <c r="AB105" s="492"/>
      <c r="AC105" s="492"/>
      <c r="AD105" s="492"/>
      <c r="AE105" s="492"/>
      <c r="AF105" s="492"/>
      <c r="AG105" s="492"/>
      <c r="AH105" s="492"/>
      <c r="AI105" s="492"/>
      <c r="AJ105" s="492"/>
      <c r="AK105" s="492"/>
      <c r="AL105" s="492"/>
      <c r="AM105" s="492"/>
      <c r="AN105" s="492"/>
      <c r="AO105" s="492"/>
      <c r="AP105" s="492"/>
      <c r="AQ105" s="492"/>
      <c r="AR105" s="492"/>
    </row>
    <row r="106" spans="1:44" ht="12.75" customHeight="1" x14ac:dyDescent="0.25">
      <c r="A106" s="492"/>
      <c r="B106" s="492"/>
      <c r="C106" s="492"/>
      <c r="D106" s="492"/>
      <c r="E106" s="492"/>
      <c r="F106" s="492"/>
      <c r="G106" s="492"/>
      <c r="H106" s="492"/>
      <c r="I106" s="492"/>
      <c r="J106" s="492"/>
      <c r="K106" s="492"/>
      <c r="L106" s="492"/>
      <c r="M106" s="492"/>
      <c r="N106" s="492"/>
      <c r="O106" s="492"/>
      <c r="P106" s="492"/>
      <c r="AA106" s="492"/>
      <c r="AB106" s="492"/>
      <c r="AC106" s="492"/>
      <c r="AD106" s="492"/>
      <c r="AE106" s="492"/>
      <c r="AF106" s="492"/>
      <c r="AG106" s="492"/>
      <c r="AH106" s="492"/>
      <c r="AI106" s="492"/>
      <c r="AJ106" s="492"/>
      <c r="AK106" s="492"/>
      <c r="AL106" s="492"/>
      <c r="AM106" s="492"/>
      <c r="AN106" s="492"/>
      <c r="AO106" s="492"/>
      <c r="AP106" s="492"/>
      <c r="AQ106" s="492"/>
      <c r="AR106" s="492"/>
    </row>
    <row r="107" spans="1:44" ht="12.75" customHeight="1" x14ac:dyDescent="0.25">
      <c r="A107" s="492"/>
      <c r="B107" s="492"/>
      <c r="C107" s="492"/>
      <c r="D107" s="492"/>
      <c r="E107" s="492"/>
      <c r="F107" s="492"/>
      <c r="G107" s="492"/>
      <c r="H107" s="492"/>
      <c r="I107" s="492"/>
      <c r="J107" s="492"/>
      <c r="K107" s="492"/>
      <c r="L107" s="492"/>
      <c r="M107" s="492"/>
      <c r="N107" s="492"/>
      <c r="O107" s="492"/>
      <c r="P107" s="492"/>
      <c r="AA107" s="492"/>
      <c r="AB107" s="492"/>
      <c r="AC107" s="492"/>
      <c r="AD107" s="492"/>
      <c r="AE107" s="492"/>
      <c r="AF107" s="492"/>
      <c r="AG107" s="492"/>
      <c r="AH107" s="492"/>
      <c r="AI107" s="492"/>
      <c r="AJ107" s="492"/>
      <c r="AK107" s="492"/>
      <c r="AL107" s="492"/>
      <c r="AM107" s="492"/>
      <c r="AN107" s="492"/>
      <c r="AO107" s="492"/>
      <c r="AP107" s="492"/>
      <c r="AQ107" s="492"/>
      <c r="AR107" s="492"/>
    </row>
    <row r="108" spans="1:44" ht="12.75" customHeight="1" x14ac:dyDescent="0.25">
      <c r="A108" s="492"/>
      <c r="B108" s="492"/>
      <c r="C108" s="492"/>
      <c r="D108" s="492"/>
      <c r="E108" s="492"/>
      <c r="F108" s="492"/>
      <c r="G108" s="492"/>
      <c r="H108" s="492"/>
      <c r="I108" s="492"/>
      <c r="J108" s="492"/>
      <c r="K108" s="492"/>
      <c r="L108" s="492"/>
      <c r="M108" s="492"/>
      <c r="N108" s="492"/>
      <c r="O108" s="492"/>
      <c r="P108" s="492"/>
      <c r="AA108" s="492"/>
      <c r="AB108" s="492"/>
      <c r="AC108" s="492"/>
      <c r="AD108" s="492"/>
      <c r="AE108" s="492"/>
      <c r="AF108" s="492"/>
      <c r="AG108" s="492"/>
      <c r="AH108" s="492"/>
      <c r="AI108" s="492"/>
      <c r="AJ108" s="492"/>
      <c r="AK108" s="492"/>
      <c r="AL108" s="492"/>
      <c r="AM108" s="492"/>
      <c r="AN108" s="492"/>
      <c r="AO108" s="492"/>
      <c r="AP108" s="492"/>
      <c r="AQ108" s="492"/>
      <c r="AR108" s="492"/>
    </row>
    <row r="109" spans="1:44" ht="12.75" customHeight="1" x14ac:dyDescent="0.25">
      <c r="A109" s="492"/>
      <c r="B109" s="492"/>
      <c r="C109" s="492"/>
      <c r="D109" s="492"/>
      <c r="E109" s="492"/>
      <c r="F109" s="492"/>
      <c r="G109" s="492"/>
      <c r="H109" s="492"/>
      <c r="I109" s="492"/>
      <c r="J109" s="492"/>
      <c r="K109" s="492"/>
      <c r="L109" s="492"/>
      <c r="M109" s="492"/>
      <c r="N109" s="492"/>
      <c r="O109" s="492"/>
      <c r="P109" s="492"/>
      <c r="AA109" s="492"/>
      <c r="AB109" s="492"/>
      <c r="AC109" s="492"/>
      <c r="AD109" s="492"/>
      <c r="AE109" s="492"/>
      <c r="AF109" s="492"/>
      <c r="AG109" s="492"/>
      <c r="AH109" s="492"/>
      <c r="AI109" s="492"/>
      <c r="AJ109" s="492"/>
      <c r="AK109" s="492"/>
      <c r="AL109" s="492"/>
      <c r="AM109" s="492"/>
      <c r="AN109" s="492"/>
      <c r="AO109" s="492"/>
      <c r="AP109" s="492"/>
      <c r="AQ109" s="492"/>
      <c r="AR109" s="492"/>
    </row>
    <row r="110" spans="1:44" ht="12.75" customHeight="1" x14ac:dyDescent="0.25">
      <c r="A110" s="492"/>
      <c r="B110" s="492"/>
      <c r="C110" s="492"/>
      <c r="D110" s="492"/>
      <c r="E110" s="492"/>
      <c r="F110" s="492"/>
      <c r="G110" s="492"/>
      <c r="H110" s="492"/>
      <c r="I110" s="492"/>
      <c r="J110" s="492"/>
      <c r="K110" s="492"/>
      <c r="L110" s="492"/>
      <c r="M110" s="492"/>
      <c r="N110" s="492"/>
      <c r="O110" s="492"/>
      <c r="P110" s="492"/>
      <c r="AA110" s="492"/>
      <c r="AB110" s="492"/>
      <c r="AC110" s="492"/>
      <c r="AD110" s="492"/>
      <c r="AE110" s="492"/>
      <c r="AF110" s="492"/>
      <c r="AG110" s="492"/>
      <c r="AH110" s="492"/>
      <c r="AI110" s="492"/>
      <c r="AJ110" s="492"/>
      <c r="AK110" s="492"/>
      <c r="AL110" s="492"/>
      <c r="AM110" s="492"/>
      <c r="AN110" s="492"/>
      <c r="AO110" s="492"/>
      <c r="AP110" s="492"/>
      <c r="AQ110" s="492"/>
      <c r="AR110" s="492"/>
    </row>
    <row r="111" spans="1:44" ht="12.75" customHeight="1" x14ac:dyDescent="0.25">
      <c r="A111" s="492"/>
      <c r="B111" s="492"/>
      <c r="C111" s="492"/>
      <c r="D111" s="492"/>
      <c r="E111" s="492"/>
      <c r="F111" s="492"/>
      <c r="G111" s="492"/>
      <c r="H111" s="492"/>
      <c r="I111" s="492"/>
      <c r="J111" s="492"/>
      <c r="K111" s="492"/>
      <c r="L111" s="492"/>
      <c r="M111" s="492"/>
      <c r="N111" s="492"/>
      <c r="O111" s="492"/>
      <c r="P111" s="492"/>
      <c r="AA111" s="492"/>
      <c r="AB111" s="492"/>
      <c r="AC111" s="492"/>
      <c r="AD111" s="492"/>
      <c r="AE111" s="492"/>
      <c r="AF111" s="492"/>
      <c r="AG111" s="492"/>
      <c r="AH111" s="492"/>
      <c r="AI111" s="492"/>
      <c r="AJ111" s="492"/>
      <c r="AK111" s="492"/>
      <c r="AL111" s="492"/>
      <c r="AM111" s="492"/>
      <c r="AN111" s="492"/>
      <c r="AO111" s="492"/>
      <c r="AP111" s="492"/>
      <c r="AQ111" s="492"/>
      <c r="AR111" s="492"/>
    </row>
    <row r="112" spans="1:44" ht="12.75" customHeight="1" x14ac:dyDescent="0.25">
      <c r="A112" s="492"/>
      <c r="B112" s="492"/>
      <c r="C112" s="492"/>
      <c r="D112" s="492"/>
      <c r="E112" s="492"/>
      <c r="F112" s="492"/>
      <c r="G112" s="492"/>
      <c r="H112" s="492"/>
      <c r="I112" s="492"/>
      <c r="J112" s="492"/>
      <c r="K112" s="492"/>
      <c r="L112" s="492"/>
      <c r="M112" s="492"/>
      <c r="N112" s="492"/>
      <c r="O112" s="492"/>
      <c r="P112" s="492"/>
      <c r="AA112" s="492"/>
      <c r="AB112" s="492"/>
      <c r="AC112" s="492"/>
      <c r="AD112" s="492"/>
      <c r="AE112" s="492"/>
      <c r="AF112" s="492"/>
      <c r="AG112" s="492"/>
      <c r="AH112" s="492"/>
      <c r="AI112" s="492"/>
      <c r="AJ112" s="492"/>
      <c r="AK112" s="492"/>
      <c r="AL112" s="492"/>
      <c r="AM112" s="492"/>
      <c r="AN112" s="492"/>
      <c r="AO112" s="492"/>
      <c r="AP112" s="492"/>
      <c r="AQ112" s="492"/>
      <c r="AR112" s="492"/>
    </row>
    <row r="113" spans="1:44" ht="12.75" customHeight="1" x14ac:dyDescent="0.25">
      <c r="A113" s="492"/>
      <c r="B113" s="492"/>
      <c r="C113" s="492"/>
      <c r="D113" s="492"/>
      <c r="E113" s="492"/>
      <c r="F113" s="492"/>
      <c r="G113" s="492"/>
      <c r="H113" s="492"/>
      <c r="I113" s="492"/>
      <c r="J113" s="492"/>
      <c r="K113" s="492"/>
      <c r="L113" s="492"/>
      <c r="M113" s="492"/>
      <c r="N113" s="492"/>
      <c r="O113" s="492"/>
      <c r="P113" s="492"/>
      <c r="AA113" s="492"/>
      <c r="AB113" s="492"/>
      <c r="AC113" s="492"/>
      <c r="AD113" s="492"/>
      <c r="AE113" s="492"/>
      <c r="AF113" s="492"/>
      <c r="AG113" s="492"/>
      <c r="AH113" s="492"/>
      <c r="AI113" s="492"/>
      <c r="AJ113" s="492"/>
      <c r="AK113" s="492"/>
      <c r="AL113" s="492"/>
      <c r="AM113" s="492"/>
      <c r="AN113" s="492"/>
      <c r="AO113" s="492"/>
      <c r="AP113" s="492"/>
      <c r="AQ113" s="492"/>
      <c r="AR113" s="492"/>
    </row>
    <row r="114" spans="1:44" ht="12.75" customHeight="1" x14ac:dyDescent="0.25">
      <c r="A114" s="492"/>
      <c r="B114" s="492"/>
      <c r="C114" s="492"/>
      <c r="D114" s="492"/>
      <c r="E114" s="492"/>
      <c r="F114" s="492"/>
      <c r="G114" s="492"/>
      <c r="H114" s="492"/>
      <c r="I114" s="492"/>
      <c r="J114" s="492"/>
      <c r="K114" s="492"/>
      <c r="L114" s="492"/>
      <c r="M114" s="492"/>
      <c r="N114" s="492"/>
      <c r="O114" s="492"/>
      <c r="P114" s="492"/>
      <c r="AA114" s="492"/>
      <c r="AB114" s="492"/>
      <c r="AC114" s="492"/>
      <c r="AD114" s="492"/>
      <c r="AE114" s="492"/>
      <c r="AF114" s="492"/>
      <c r="AG114" s="492"/>
      <c r="AH114" s="492"/>
      <c r="AI114" s="492"/>
      <c r="AJ114" s="492"/>
      <c r="AK114" s="492"/>
      <c r="AL114" s="492"/>
      <c r="AM114" s="492"/>
      <c r="AN114" s="492"/>
      <c r="AO114" s="492"/>
      <c r="AP114" s="492"/>
      <c r="AQ114" s="492"/>
      <c r="AR114" s="492"/>
    </row>
    <row r="115" spans="1:44" ht="12.75" customHeight="1" x14ac:dyDescent="0.25">
      <c r="A115" s="492"/>
      <c r="B115" s="492"/>
      <c r="C115" s="492"/>
      <c r="D115" s="492"/>
      <c r="E115" s="492"/>
      <c r="F115" s="492"/>
      <c r="G115" s="492"/>
      <c r="H115" s="492"/>
      <c r="I115" s="492"/>
      <c r="J115" s="492"/>
      <c r="K115" s="492"/>
      <c r="L115" s="492"/>
      <c r="M115" s="492"/>
      <c r="N115" s="492"/>
      <c r="O115" s="492"/>
      <c r="P115" s="492"/>
      <c r="AA115" s="492"/>
      <c r="AB115" s="492"/>
      <c r="AC115" s="492"/>
      <c r="AD115" s="492"/>
      <c r="AE115" s="492"/>
      <c r="AF115" s="492"/>
      <c r="AG115" s="492"/>
      <c r="AH115" s="492"/>
      <c r="AI115" s="492"/>
      <c r="AJ115" s="492"/>
      <c r="AK115" s="492"/>
      <c r="AL115" s="492"/>
      <c r="AM115" s="492"/>
      <c r="AN115" s="492"/>
      <c r="AO115" s="492"/>
      <c r="AP115" s="492"/>
      <c r="AQ115" s="492"/>
      <c r="AR115" s="492"/>
    </row>
    <row r="116" spans="1:44" ht="12.75" customHeight="1" x14ac:dyDescent="0.25">
      <c r="A116" s="492"/>
      <c r="B116" s="492"/>
      <c r="C116" s="492"/>
      <c r="D116" s="492"/>
      <c r="E116" s="492"/>
      <c r="F116" s="492"/>
      <c r="G116" s="492"/>
      <c r="H116" s="492"/>
      <c r="I116" s="492"/>
      <c r="J116" s="492"/>
      <c r="K116" s="492"/>
      <c r="L116" s="492"/>
      <c r="M116" s="492"/>
      <c r="N116" s="492"/>
      <c r="O116" s="492"/>
      <c r="P116" s="492"/>
      <c r="AA116" s="492"/>
      <c r="AB116" s="492"/>
      <c r="AC116" s="492"/>
      <c r="AD116" s="492"/>
      <c r="AE116" s="492"/>
      <c r="AF116" s="492"/>
      <c r="AG116" s="492"/>
      <c r="AH116" s="492"/>
      <c r="AI116" s="492"/>
      <c r="AJ116" s="492"/>
      <c r="AK116" s="492"/>
      <c r="AL116" s="492"/>
      <c r="AM116" s="492"/>
      <c r="AN116" s="492"/>
      <c r="AO116" s="492"/>
      <c r="AP116" s="492"/>
      <c r="AQ116" s="492"/>
      <c r="AR116" s="492"/>
    </row>
    <row r="117" spans="1:44" ht="12.75" customHeight="1" x14ac:dyDescent="0.25">
      <c r="A117" s="492"/>
      <c r="B117" s="492"/>
      <c r="C117" s="492"/>
      <c r="D117" s="492"/>
      <c r="E117" s="492"/>
      <c r="F117" s="492"/>
      <c r="G117" s="492"/>
      <c r="H117" s="492"/>
      <c r="I117" s="492"/>
      <c r="J117" s="492"/>
      <c r="K117" s="492"/>
      <c r="L117" s="492"/>
      <c r="M117" s="492"/>
      <c r="N117" s="492"/>
      <c r="O117" s="492"/>
      <c r="P117" s="492"/>
      <c r="AA117" s="492"/>
      <c r="AB117" s="492"/>
      <c r="AC117" s="492"/>
      <c r="AD117" s="492"/>
      <c r="AE117" s="492"/>
      <c r="AF117" s="492"/>
      <c r="AG117" s="492"/>
      <c r="AH117" s="492"/>
      <c r="AI117" s="492"/>
      <c r="AJ117" s="492"/>
      <c r="AK117" s="492"/>
      <c r="AL117" s="492"/>
      <c r="AM117" s="492"/>
      <c r="AN117" s="492"/>
      <c r="AO117" s="492"/>
      <c r="AP117" s="492"/>
      <c r="AQ117" s="492"/>
      <c r="AR117" s="492"/>
    </row>
    <row r="118" spans="1:44" ht="12.75" customHeight="1" x14ac:dyDescent="0.25">
      <c r="A118" s="492"/>
      <c r="B118" s="492"/>
      <c r="C118" s="492"/>
      <c r="D118" s="492"/>
      <c r="E118" s="492"/>
      <c r="F118" s="492"/>
      <c r="G118" s="492"/>
      <c r="H118" s="492"/>
      <c r="I118" s="492"/>
      <c r="J118" s="492"/>
      <c r="K118" s="492"/>
      <c r="L118" s="492"/>
      <c r="M118" s="492"/>
      <c r="N118" s="492"/>
      <c r="O118" s="492"/>
      <c r="P118" s="492"/>
      <c r="AA118" s="492"/>
      <c r="AB118" s="492"/>
      <c r="AC118" s="492"/>
      <c r="AD118" s="492"/>
      <c r="AE118" s="492"/>
      <c r="AF118" s="492"/>
      <c r="AG118" s="492"/>
      <c r="AH118" s="492"/>
      <c r="AI118" s="492"/>
      <c r="AJ118" s="492"/>
      <c r="AK118" s="492"/>
      <c r="AL118" s="492"/>
      <c r="AM118" s="492"/>
      <c r="AN118" s="492"/>
      <c r="AO118" s="492"/>
      <c r="AP118" s="492"/>
      <c r="AQ118" s="492"/>
      <c r="AR118" s="492"/>
    </row>
    <row r="119" spans="1:44" ht="12.75" customHeight="1" x14ac:dyDescent="0.25">
      <c r="A119" s="492"/>
      <c r="B119" s="492"/>
      <c r="C119" s="492"/>
      <c r="D119" s="492"/>
      <c r="E119" s="492"/>
      <c r="F119" s="492"/>
      <c r="G119" s="492"/>
      <c r="H119" s="492"/>
      <c r="I119" s="492"/>
      <c r="J119" s="492"/>
      <c r="K119" s="492"/>
      <c r="L119" s="492"/>
      <c r="M119" s="492"/>
      <c r="N119" s="492"/>
      <c r="O119" s="492"/>
      <c r="P119" s="492"/>
      <c r="AA119" s="492"/>
      <c r="AB119" s="492"/>
      <c r="AC119" s="492"/>
      <c r="AD119" s="492"/>
      <c r="AE119" s="492"/>
      <c r="AF119" s="492"/>
      <c r="AG119" s="492"/>
      <c r="AH119" s="492"/>
      <c r="AI119" s="492"/>
      <c r="AJ119" s="492"/>
      <c r="AK119" s="492"/>
      <c r="AL119" s="492"/>
      <c r="AM119" s="492"/>
      <c r="AN119" s="492"/>
      <c r="AO119" s="492"/>
      <c r="AP119" s="492"/>
      <c r="AQ119" s="492"/>
      <c r="AR119" s="492"/>
    </row>
    <row r="120" spans="1:44" ht="12.75" customHeight="1" x14ac:dyDescent="0.25">
      <c r="A120" s="492"/>
      <c r="B120" s="492"/>
      <c r="C120" s="492"/>
      <c r="D120" s="492"/>
      <c r="E120" s="492"/>
      <c r="F120" s="492"/>
      <c r="G120" s="492"/>
      <c r="H120" s="492"/>
      <c r="I120" s="492"/>
      <c r="J120" s="492"/>
      <c r="K120" s="492"/>
      <c r="L120" s="492"/>
      <c r="M120" s="492"/>
      <c r="N120" s="492"/>
      <c r="O120" s="492"/>
      <c r="P120" s="492"/>
      <c r="AA120" s="492"/>
      <c r="AB120" s="492"/>
      <c r="AC120" s="492"/>
      <c r="AD120" s="492"/>
      <c r="AE120" s="492"/>
      <c r="AF120" s="492"/>
      <c r="AG120" s="492"/>
      <c r="AH120" s="492"/>
      <c r="AI120" s="492"/>
      <c r="AJ120" s="492"/>
      <c r="AK120" s="492"/>
      <c r="AL120" s="492"/>
      <c r="AM120" s="492"/>
      <c r="AN120" s="492"/>
      <c r="AO120" s="492"/>
      <c r="AP120" s="492"/>
      <c r="AQ120" s="492"/>
      <c r="AR120" s="492"/>
    </row>
    <row r="121" spans="1:44" ht="12.75" customHeight="1" x14ac:dyDescent="0.25">
      <c r="A121" s="492"/>
      <c r="B121" s="492"/>
      <c r="C121" s="492"/>
      <c r="D121" s="492"/>
      <c r="E121" s="492"/>
      <c r="F121" s="492"/>
      <c r="G121" s="492"/>
      <c r="H121" s="492"/>
      <c r="I121" s="492"/>
      <c r="J121" s="492"/>
      <c r="K121" s="492"/>
      <c r="L121" s="492"/>
      <c r="M121" s="492"/>
      <c r="N121" s="492"/>
      <c r="O121" s="492"/>
      <c r="P121" s="492"/>
      <c r="AA121" s="492"/>
      <c r="AB121" s="492"/>
      <c r="AC121" s="492"/>
      <c r="AD121" s="492"/>
      <c r="AE121" s="492"/>
      <c r="AF121" s="492"/>
      <c r="AG121" s="492"/>
      <c r="AH121" s="492"/>
      <c r="AI121" s="492"/>
      <c r="AJ121" s="492"/>
      <c r="AK121" s="492"/>
      <c r="AL121" s="492"/>
      <c r="AM121" s="492"/>
      <c r="AN121" s="492"/>
      <c r="AO121" s="492"/>
      <c r="AP121" s="492"/>
      <c r="AQ121" s="492"/>
      <c r="AR121" s="492"/>
    </row>
    <row r="122" spans="1:44" ht="12.75" customHeight="1" x14ac:dyDescent="0.25">
      <c r="A122" s="492"/>
      <c r="B122" s="492"/>
      <c r="C122" s="492"/>
      <c r="D122" s="492"/>
      <c r="E122" s="492"/>
      <c r="F122" s="492"/>
      <c r="G122" s="492"/>
      <c r="H122" s="492"/>
      <c r="I122" s="492"/>
      <c r="J122" s="492"/>
      <c r="K122" s="492"/>
      <c r="L122" s="492"/>
      <c r="M122" s="492"/>
      <c r="N122" s="492"/>
      <c r="O122" s="492"/>
      <c r="P122" s="492"/>
      <c r="AA122" s="492"/>
      <c r="AB122" s="492"/>
      <c r="AC122" s="492"/>
      <c r="AD122" s="492"/>
      <c r="AE122" s="492"/>
      <c r="AF122" s="492"/>
      <c r="AG122" s="492"/>
      <c r="AH122" s="492"/>
      <c r="AI122" s="492"/>
      <c r="AJ122" s="492"/>
      <c r="AK122" s="492"/>
      <c r="AL122" s="492"/>
      <c r="AM122" s="492"/>
      <c r="AN122" s="492"/>
      <c r="AO122" s="492"/>
      <c r="AP122" s="492"/>
      <c r="AQ122" s="492"/>
      <c r="AR122" s="492"/>
    </row>
    <row r="123" spans="1:44" ht="12.75" customHeight="1" x14ac:dyDescent="0.25">
      <c r="A123" s="492"/>
      <c r="B123" s="492"/>
      <c r="C123" s="492"/>
      <c r="D123" s="492"/>
      <c r="E123" s="492"/>
      <c r="F123" s="492"/>
      <c r="G123" s="492"/>
      <c r="H123" s="492"/>
      <c r="I123" s="492"/>
      <c r="J123" s="492"/>
      <c r="K123" s="492"/>
      <c r="L123" s="492"/>
      <c r="M123" s="492"/>
      <c r="N123" s="492"/>
      <c r="O123" s="492"/>
      <c r="P123" s="492"/>
      <c r="AA123" s="492"/>
      <c r="AB123" s="492"/>
      <c r="AC123" s="492"/>
      <c r="AD123" s="492"/>
      <c r="AE123" s="492"/>
      <c r="AF123" s="492"/>
      <c r="AG123" s="492"/>
      <c r="AH123" s="492"/>
      <c r="AI123" s="492"/>
      <c r="AJ123" s="492"/>
      <c r="AK123" s="492"/>
      <c r="AL123" s="492"/>
      <c r="AM123" s="492"/>
      <c r="AN123" s="492"/>
      <c r="AO123" s="492"/>
      <c r="AP123" s="492"/>
      <c r="AQ123" s="492"/>
      <c r="AR123" s="492"/>
    </row>
    <row r="124" spans="1:44" ht="12.75" customHeight="1" x14ac:dyDescent="0.25">
      <c r="A124" s="492"/>
      <c r="B124" s="492"/>
      <c r="C124" s="492"/>
      <c r="D124" s="492"/>
      <c r="E124" s="492"/>
      <c r="F124" s="492"/>
      <c r="G124" s="492"/>
      <c r="H124" s="492"/>
      <c r="I124" s="492"/>
      <c r="J124" s="492"/>
      <c r="K124" s="492"/>
      <c r="L124" s="492"/>
      <c r="M124" s="492"/>
      <c r="N124" s="492"/>
      <c r="O124" s="492"/>
      <c r="P124" s="492"/>
      <c r="AA124" s="492"/>
      <c r="AB124" s="492"/>
      <c r="AC124" s="492"/>
      <c r="AD124" s="492"/>
      <c r="AE124" s="492"/>
      <c r="AF124" s="492"/>
      <c r="AG124" s="492"/>
      <c r="AH124" s="492"/>
      <c r="AI124" s="492"/>
      <c r="AJ124" s="492"/>
      <c r="AK124" s="492"/>
      <c r="AL124" s="492"/>
      <c r="AM124" s="492"/>
      <c r="AN124" s="492"/>
      <c r="AO124" s="492"/>
      <c r="AP124" s="492"/>
      <c r="AQ124" s="492"/>
      <c r="AR124" s="492"/>
    </row>
    <row r="125" spans="1:44" ht="12.75" customHeight="1" x14ac:dyDescent="0.25">
      <c r="A125" s="492"/>
      <c r="B125" s="492"/>
      <c r="C125" s="492"/>
      <c r="D125" s="492"/>
      <c r="E125" s="492"/>
      <c r="F125" s="492"/>
      <c r="G125" s="492"/>
      <c r="H125" s="492"/>
      <c r="I125" s="492"/>
      <c r="J125" s="492"/>
      <c r="K125" s="492"/>
      <c r="L125" s="492"/>
      <c r="M125" s="492"/>
      <c r="N125" s="492"/>
      <c r="O125" s="492"/>
      <c r="P125" s="492"/>
      <c r="AA125" s="492"/>
      <c r="AB125" s="492"/>
      <c r="AC125" s="492"/>
      <c r="AD125" s="492"/>
      <c r="AE125" s="492"/>
      <c r="AF125" s="492"/>
      <c r="AG125" s="492"/>
      <c r="AH125" s="492"/>
      <c r="AI125" s="492"/>
      <c r="AJ125" s="492"/>
      <c r="AK125" s="492"/>
      <c r="AL125" s="492"/>
      <c r="AM125" s="492"/>
      <c r="AN125" s="492"/>
      <c r="AO125" s="492"/>
      <c r="AP125" s="492"/>
      <c r="AQ125" s="492"/>
      <c r="AR125" s="492"/>
    </row>
    <row r="126" spans="1:44" ht="12.75" customHeight="1" x14ac:dyDescent="0.25">
      <c r="A126" s="492"/>
      <c r="B126" s="492"/>
      <c r="C126" s="492"/>
      <c r="D126" s="492"/>
      <c r="E126" s="492"/>
      <c r="F126" s="492"/>
      <c r="G126" s="492"/>
      <c r="H126" s="492"/>
      <c r="I126" s="492"/>
      <c r="J126" s="492"/>
      <c r="K126" s="492"/>
      <c r="L126" s="492"/>
      <c r="M126" s="492"/>
      <c r="N126" s="492"/>
      <c r="O126" s="492"/>
      <c r="P126" s="492"/>
      <c r="AA126" s="492"/>
      <c r="AB126" s="492"/>
      <c r="AC126" s="492"/>
      <c r="AD126" s="492"/>
      <c r="AE126" s="492"/>
      <c r="AF126" s="492"/>
      <c r="AG126" s="492"/>
      <c r="AH126" s="492"/>
      <c r="AI126" s="492"/>
      <c r="AJ126" s="492"/>
      <c r="AK126" s="492"/>
      <c r="AL126" s="492"/>
      <c r="AM126" s="492"/>
      <c r="AN126" s="492"/>
      <c r="AO126" s="492"/>
      <c r="AP126" s="492"/>
      <c r="AQ126" s="492"/>
      <c r="AR126" s="492"/>
    </row>
    <row r="127" spans="1:44" ht="12.75" customHeight="1" x14ac:dyDescent="0.25">
      <c r="A127" s="492"/>
      <c r="B127" s="492"/>
      <c r="C127" s="492"/>
      <c r="D127" s="492"/>
      <c r="E127" s="492"/>
      <c r="F127" s="492"/>
      <c r="G127" s="492"/>
      <c r="H127" s="492"/>
      <c r="I127" s="492"/>
      <c r="J127" s="492"/>
      <c r="K127" s="492"/>
      <c r="L127" s="492"/>
      <c r="M127" s="492"/>
      <c r="N127" s="492"/>
      <c r="O127" s="492"/>
      <c r="P127" s="492"/>
      <c r="AA127" s="492"/>
      <c r="AB127" s="492"/>
      <c r="AC127" s="492"/>
      <c r="AD127" s="492"/>
      <c r="AE127" s="492"/>
      <c r="AF127" s="492"/>
      <c r="AG127" s="492"/>
      <c r="AH127" s="492"/>
      <c r="AI127" s="492"/>
      <c r="AJ127" s="492"/>
      <c r="AK127" s="492"/>
      <c r="AL127" s="492"/>
      <c r="AM127" s="492"/>
      <c r="AN127" s="492"/>
      <c r="AO127" s="492"/>
      <c r="AP127" s="492"/>
      <c r="AQ127" s="492"/>
      <c r="AR127" s="492"/>
    </row>
    <row r="128" spans="1:44" ht="12.75" customHeight="1" x14ac:dyDescent="0.25">
      <c r="A128" s="492"/>
      <c r="B128" s="492"/>
      <c r="C128" s="492"/>
      <c r="D128" s="492"/>
      <c r="E128" s="492"/>
      <c r="F128" s="492"/>
      <c r="G128" s="492"/>
      <c r="H128" s="492"/>
      <c r="I128" s="492"/>
      <c r="J128" s="492"/>
      <c r="K128" s="492"/>
      <c r="L128" s="492"/>
      <c r="M128" s="492"/>
      <c r="N128" s="492"/>
      <c r="O128" s="492"/>
      <c r="P128" s="492"/>
      <c r="AA128" s="492"/>
      <c r="AB128" s="492"/>
      <c r="AC128" s="492"/>
      <c r="AD128" s="492"/>
      <c r="AE128" s="492"/>
      <c r="AF128" s="492"/>
      <c r="AG128" s="492"/>
      <c r="AH128" s="492"/>
      <c r="AI128" s="492"/>
      <c r="AJ128" s="492"/>
      <c r="AK128" s="492"/>
      <c r="AL128" s="492"/>
      <c r="AM128" s="492"/>
      <c r="AN128" s="492"/>
      <c r="AO128" s="492"/>
      <c r="AP128" s="492"/>
      <c r="AQ128" s="492"/>
      <c r="AR128" s="492"/>
    </row>
    <row r="129" spans="1:44" ht="12.75" customHeight="1" x14ac:dyDescent="0.25">
      <c r="A129" s="492"/>
      <c r="B129" s="492"/>
      <c r="C129" s="492"/>
      <c r="D129" s="492"/>
      <c r="E129" s="492"/>
      <c r="F129" s="492"/>
      <c r="G129" s="492"/>
      <c r="H129" s="492"/>
      <c r="I129" s="492"/>
      <c r="J129" s="492"/>
      <c r="K129" s="492"/>
      <c r="L129" s="492"/>
      <c r="M129" s="492"/>
      <c r="N129" s="492"/>
      <c r="O129" s="492"/>
      <c r="P129" s="492"/>
      <c r="AA129" s="492"/>
      <c r="AB129" s="492"/>
      <c r="AC129" s="492"/>
      <c r="AD129" s="492"/>
      <c r="AE129" s="492"/>
      <c r="AF129" s="492"/>
      <c r="AG129" s="492"/>
      <c r="AH129" s="492"/>
      <c r="AI129" s="492"/>
      <c r="AJ129" s="492"/>
      <c r="AK129" s="492"/>
      <c r="AL129" s="492"/>
      <c r="AM129" s="492"/>
      <c r="AN129" s="492"/>
      <c r="AO129" s="492"/>
      <c r="AP129" s="492"/>
      <c r="AQ129" s="492"/>
      <c r="AR129" s="492"/>
    </row>
    <row r="130" spans="1:44" ht="12.75" customHeight="1" x14ac:dyDescent="0.25">
      <c r="A130" s="492"/>
      <c r="B130" s="492"/>
      <c r="C130" s="492"/>
      <c r="D130" s="492"/>
      <c r="E130" s="492"/>
      <c r="F130" s="492"/>
      <c r="G130" s="492"/>
      <c r="H130" s="492"/>
      <c r="I130" s="492"/>
      <c r="J130" s="492"/>
      <c r="K130" s="492"/>
      <c r="L130" s="492"/>
      <c r="M130" s="492"/>
      <c r="N130" s="492"/>
      <c r="O130" s="492"/>
      <c r="P130" s="492"/>
      <c r="AA130" s="492"/>
      <c r="AB130" s="492"/>
      <c r="AC130" s="492"/>
      <c r="AD130" s="492"/>
      <c r="AE130" s="492"/>
      <c r="AF130" s="492"/>
      <c r="AG130" s="492"/>
      <c r="AH130" s="492"/>
      <c r="AI130" s="492"/>
      <c r="AJ130" s="492"/>
      <c r="AK130" s="492"/>
      <c r="AL130" s="492"/>
      <c r="AM130" s="492"/>
      <c r="AN130" s="492"/>
      <c r="AO130" s="492"/>
      <c r="AP130" s="492"/>
      <c r="AQ130" s="492"/>
      <c r="AR130" s="492"/>
    </row>
    <row r="131" spans="1:44" ht="12.75" customHeight="1" x14ac:dyDescent="0.25">
      <c r="A131" s="492"/>
      <c r="B131" s="492"/>
      <c r="C131" s="492"/>
      <c r="D131" s="492"/>
      <c r="E131" s="492"/>
      <c r="F131" s="492"/>
      <c r="G131" s="492"/>
      <c r="H131" s="492"/>
      <c r="I131" s="492"/>
      <c r="J131" s="492"/>
      <c r="K131" s="492"/>
      <c r="L131" s="492"/>
      <c r="M131" s="492"/>
      <c r="N131" s="492"/>
      <c r="O131" s="492"/>
      <c r="P131" s="492"/>
      <c r="AA131" s="492"/>
      <c r="AB131" s="492"/>
      <c r="AC131" s="492"/>
      <c r="AD131" s="492"/>
      <c r="AE131" s="492"/>
      <c r="AF131" s="492"/>
      <c r="AG131" s="492"/>
      <c r="AH131" s="492"/>
      <c r="AI131" s="492"/>
      <c r="AJ131" s="492"/>
      <c r="AK131" s="492"/>
      <c r="AL131" s="492"/>
      <c r="AM131" s="492"/>
      <c r="AN131" s="492"/>
      <c r="AO131" s="492"/>
      <c r="AP131" s="492"/>
      <c r="AQ131" s="492"/>
      <c r="AR131" s="492"/>
    </row>
    <row r="132" spans="1:44" ht="12.75" customHeight="1" x14ac:dyDescent="0.25">
      <c r="A132" s="492"/>
      <c r="B132" s="492"/>
      <c r="C132" s="492"/>
      <c r="D132" s="492"/>
      <c r="E132" s="492"/>
      <c r="F132" s="492"/>
      <c r="G132" s="492"/>
      <c r="H132" s="492"/>
      <c r="I132" s="492"/>
      <c r="J132" s="492"/>
      <c r="K132" s="492"/>
      <c r="L132" s="492"/>
      <c r="M132" s="492"/>
      <c r="N132" s="492"/>
      <c r="O132" s="492"/>
      <c r="P132" s="492"/>
      <c r="AA132" s="492"/>
      <c r="AB132" s="492"/>
      <c r="AC132" s="492"/>
      <c r="AD132" s="492"/>
      <c r="AE132" s="492"/>
      <c r="AF132" s="492"/>
      <c r="AG132" s="492"/>
      <c r="AH132" s="492"/>
      <c r="AI132" s="492"/>
      <c r="AJ132" s="492"/>
      <c r="AK132" s="492"/>
      <c r="AL132" s="492"/>
      <c r="AM132" s="492"/>
      <c r="AN132" s="492"/>
      <c r="AO132" s="492"/>
      <c r="AP132" s="492"/>
      <c r="AQ132" s="492"/>
      <c r="AR132" s="492"/>
    </row>
    <row r="133" spans="1:44" ht="12.75" customHeight="1" x14ac:dyDescent="0.25">
      <c r="A133" s="492"/>
      <c r="B133" s="492"/>
      <c r="C133" s="492"/>
      <c r="D133" s="492"/>
      <c r="E133" s="492"/>
      <c r="F133" s="492"/>
      <c r="G133" s="492"/>
      <c r="H133" s="492"/>
      <c r="I133" s="492"/>
      <c r="J133" s="492"/>
      <c r="K133" s="492"/>
      <c r="L133" s="492"/>
      <c r="M133" s="492"/>
      <c r="N133" s="492"/>
      <c r="O133" s="492"/>
      <c r="P133" s="492"/>
      <c r="AA133" s="492"/>
      <c r="AB133" s="492"/>
      <c r="AC133" s="492"/>
      <c r="AD133" s="492"/>
      <c r="AE133" s="492"/>
      <c r="AF133" s="492"/>
      <c r="AG133" s="492"/>
      <c r="AH133" s="492"/>
      <c r="AI133" s="492"/>
      <c r="AJ133" s="492"/>
      <c r="AK133" s="492"/>
      <c r="AL133" s="492"/>
      <c r="AM133" s="492"/>
      <c r="AN133" s="492"/>
      <c r="AO133" s="492"/>
      <c r="AP133" s="492"/>
      <c r="AQ133" s="492"/>
      <c r="AR133" s="492"/>
    </row>
    <row r="134" spans="1:44" ht="12.75" customHeight="1" x14ac:dyDescent="0.25">
      <c r="A134" s="492"/>
      <c r="B134" s="492"/>
      <c r="C134" s="492"/>
      <c r="D134" s="492"/>
      <c r="E134" s="492"/>
      <c r="F134" s="492"/>
      <c r="G134" s="492"/>
      <c r="H134" s="492"/>
      <c r="I134" s="492"/>
      <c r="J134" s="492"/>
      <c r="K134" s="492"/>
      <c r="L134" s="492"/>
      <c r="M134" s="492"/>
      <c r="N134" s="492"/>
      <c r="O134" s="492"/>
      <c r="P134" s="492"/>
      <c r="AA134" s="492"/>
      <c r="AB134" s="492"/>
      <c r="AC134" s="492"/>
      <c r="AD134" s="492"/>
      <c r="AE134" s="492"/>
      <c r="AF134" s="492"/>
      <c r="AG134" s="492"/>
      <c r="AH134" s="492"/>
      <c r="AI134" s="492"/>
      <c r="AJ134" s="492"/>
      <c r="AK134" s="492"/>
      <c r="AL134" s="492"/>
      <c r="AM134" s="492"/>
      <c r="AN134" s="492"/>
      <c r="AO134" s="492"/>
      <c r="AP134" s="492"/>
      <c r="AQ134" s="492"/>
      <c r="AR134" s="492"/>
    </row>
    <row r="135" spans="1:44" ht="12.75" customHeight="1" x14ac:dyDescent="0.25">
      <c r="E135" s="256"/>
      <c r="F135" s="256"/>
      <c r="G135" s="256"/>
      <c r="I135" s="256"/>
    </row>
    <row r="136" spans="1:44" ht="12.75" customHeight="1" x14ac:dyDescent="0.25">
      <c r="E136" s="256"/>
      <c r="F136" s="256"/>
      <c r="G136" s="256"/>
      <c r="I136" s="256"/>
    </row>
    <row r="137" spans="1:44" ht="12.75" customHeight="1" x14ac:dyDescent="0.25">
      <c r="E137" s="256"/>
      <c r="F137" s="256"/>
      <c r="G137" s="256"/>
      <c r="I137" s="256"/>
    </row>
  </sheetData>
  <sheetProtection password="BCD8" sheet="1" objects="1" scenarios="1"/>
  <phoneticPr fontId="0" type="noConversion"/>
  <conditionalFormatting sqref="C24:C29">
    <cfRule type="cellIs" dxfId="179" priority="2" stopIfTrue="1" operator="equal">
      <formula>"&gt;"</formula>
    </cfRule>
  </conditionalFormatting>
  <conditionalFormatting sqref="D24:G29">
    <cfRule type="expression" dxfId="178" priority="1" stopIfTrue="1">
      <formula>$C24="&gt;"</formula>
    </cfRule>
  </conditionalFormatting>
  <pageMargins left="0.55000000000000004" right="0.45" top="0.63" bottom="0.45" header="0.36" footer="0.26"/>
  <pageSetup paperSize="9" scale="88"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9" r:id="rId4" name="home">
              <controlPr defaultSize="0" print="0" autoFill="0" autoPict="0" macro="[0]!globalgoto">
                <anchor moveWithCells="1" sizeWithCells="1">
                  <from>
                    <xdr:col>0</xdr:col>
                    <xdr:colOff>88900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29700" r:id="rId5" name="basic">
              <controlPr defaultSize="0" print="0" autoFill="0" autoPict="0" macro="[0]!globalgoto">
                <anchor moveWithCells="1" sizeWithCells="1">
                  <from>
                    <xdr:col>0</xdr:col>
                    <xdr:colOff>88900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29701" r:id="rId6" name="Button 5">
              <controlPr defaultSize="0" print="0" autoFill="0" autoPict="0" macro="[0]!goto_next_year_any_sheet">
                <anchor moveWithCells="1" sizeWithCells="1">
                  <from>
                    <xdr:col>0</xdr:col>
                    <xdr:colOff>107950</xdr:colOff>
                    <xdr:row>19</xdr:row>
                    <xdr:rowOff>12700</xdr:rowOff>
                  </from>
                  <to>
                    <xdr:col>0</xdr:col>
                    <xdr:colOff>1066800</xdr:colOff>
                    <xdr:row>22</xdr:row>
                    <xdr:rowOff>114300</xdr:rowOff>
                  </to>
                </anchor>
              </controlPr>
            </control>
          </mc:Choice>
        </mc:AlternateContent>
        <mc:AlternateContent xmlns:mc="http://schemas.openxmlformats.org/markup-compatibility/2006">
          <mc:Choice Requires="x14">
            <control shapeId="29702" r:id="rId7" name="Button 6">
              <controlPr defaultSize="0" print="0" autoFill="0" autoPict="0" macro="[0]!goto_next_year_any_sheet">
                <anchor moveWithCells="1" sizeWithCells="1">
                  <from>
                    <xdr:col>10</xdr:col>
                    <xdr:colOff>101600</xdr:colOff>
                    <xdr:row>2</xdr:row>
                    <xdr:rowOff>127000</xdr:rowOff>
                  </from>
                  <to>
                    <xdr:col>11</xdr:col>
                    <xdr:colOff>831850</xdr:colOff>
                    <xdr:row>4</xdr:row>
                    <xdr:rowOff>63500</xdr:rowOff>
                  </to>
                </anchor>
              </controlPr>
            </control>
          </mc:Choice>
        </mc:AlternateContent>
        <mc:AlternateContent xmlns:mc="http://schemas.openxmlformats.org/markup-compatibility/2006">
          <mc:Choice Requires="x14">
            <control shapeId="29710" r:id="rId8" name="Button 14">
              <controlPr defaultSize="0" print="0" autoFill="0" autoPict="0" macro="[0]!copy_as_excel">
                <anchor moveWithCells="1" sizeWithCells="1">
                  <from>
                    <xdr:col>10</xdr:col>
                    <xdr:colOff>38100</xdr:colOff>
                    <xdr:row>11</xdr:row>
                    <xdr:rowOff>88900</xdr:rowOff>
                  </from>
                  <to>
                    <xdr:col>11</xdr:col>
                    <xdr:colOff>501650</xdr:colOff>
                    <xdr:row>13</xdr:row>
                    <xdr:rowOff>146050</xdr:rowOff>
                  </to>
                </anchor>
              </controlPr>
            </control>
          </mc:Choice>
        </mc:AlternateContent>
        <mc:AlternateContent xmlns:mc="http://schemas.openxmlformats.org/markup-compatibility/2006">
          <mc:Choice Requires="x14">
            <control shapeId="29711" r:id="rId9" name="Button 15">
              <controlPr defaultSize="0" print="0" autoFill="0" autoPict="0" macro="[0]!pdflauncher">
                <anchor moveWithCells="1" sizeWithCells="1">
                  <from>
                    <xdr:col>11</xdr:col>
                    <xdr:colOff>508000</xdr:colOff>
                    <xdr:row>11</xdr:row>
                    <xdr:rowOff>88900</xdr:rowOff>
                  </from>
                  <to>
                    <xdr:col>11</xdr:col>
                    <xdr:colOff>1193800</xdr:colOff>
                    <xdr:row>13</xdr:row>
                    <xdr:rowOff>146050</xdr:rowOff>
                  </to>
                </anchor>
              </controlPr>
            </control>
          </mc:Choice>
        </mc:AlternateContent>
        <mc:AlternateContent xmlns:mc="http://schemas.openxmlformats.org/markup-compatibility/2006">
          <mc:Choice Requires="x14">
            <control shapeId="29712" r:id="rId10" name="Button 16">
              <controlPr defaultSize="0" print="0" autoFill="0" autoPict="0" macro="[0]!openfolder">
                <anchor moveWithCells="1" sizeWithCells="1">
                  <from>
                    <xdr:col>11</xdr:col>
                    <xdr:colOff>1206500</xdr:colOff>
                    <xdr:row>11</xdr:row>
                    <xdr:rowOff>88900</xdr:rowOff>
                  </from>
                  <to>
                    <xdr:col>11</xdr:col>
                    <xdr:colOff>1739900</xdr:colOff>
                    <xdr:row>13</xdr:row>
                    <xdr:rowOff>146050</xdr:rowOff>
                  </to>
                </anchor>
              </controlPr>
            </control>
          </mc:Choice>
        </mc:AlternateContent>
        <mc:AlternateContent xmlns:mc="http://schemas.openxmlformats.org/markup-compatibility/2006">
          <mc:Choice Requires="x14">
            <control shapeId="29713" r:id="rId11" name="Button 17">
              <controlPr defaultSize="0" print="0" autoFill="0" autoPict="0" macro="[0]!goto_folder_settings">
                <anchor moveWithCells="1" sizeWithCells="1">
                  <from>
                    <xdr:col>11</xdr:col>
                    <xdr:colOff>1746250</xdr:colOff>
                    <xdr:row>11</xdr:row>
                    <xdr:rowOff>88900</xdr:rowOff>
                  </from>
                  <to>
                    <xdr:col>11</xdr:col>
                    <xdr:colOff>2273300</xdr:colOff>
                    <xdr:row>13</xdr:row>
                    <xdr:rowOff>146050</xdr:rowOff>
                  </to>
                </anchor>
              </controlPr>
            </control>
          </mc:Choice>
        </mc:AlternateContent>
        <mc:AlternateContent xmlns:mc="http://schemas.openxmlformats.org/markup-compatibility/2006">
          <mc:Choice Requires="x14">
            <control shapeId="29714" r:id="rId12" name="Button 18">
              <controlPr defaultSize="0" print="0" autoFill="0" autoPict="0" macro="[0]!email_pdf_launch">
                <anchor moveWithCells="1" sizeWithCells="1">
                  <from>
                    <xdr:col>11</xdr:col>
                    <xdr:colOff>654050</xdr:colOff>
                    <xdr:row>9</xdr:row>
                    <xdr:rowOff>120650</xdr:rowOff>
                  </from>
                  <to>
                    <xdr:col>11</xdr:col>
                    <xdr:colOff>1339850</xdr:colOff>
                    <xdr:row>11</xdr:row>
                    <xdr:rowOff>82550</xdr:rowOff>
                  </to>
                </anchor>
              </controlPr>
            </control>
          </mc:Choice>
        </mc:AlternateContent>
        <mc:AlternateContent xmlns:mc="http://schemas.openxmlformats.org/markup-compatibility/2006">
          <mc:Choice Requires="x14">
            <control shapeId="29715" r:id="rId13" name="Button 19">
              <controlPr defaultSize="0" print="0" autoFill="0" autoPict="0" macro="[0]!email_copy_as_excel">
                <anchor moveWithCells="1" sizeWithCells="1">
                  <from>
                    <xdr:col>10</xdr:col>
                    <xdr:colOff>38100</xdr:colOff>
                    <xdr:row>9</xdr:row>
                    <xdr:rowOff>120650</xdr:rowOff>
                  </from>
                  <to>
                    <xdr:col>11</xdr:col>
                    <xdr:colOff>647700</xdr:colOff>
                    <xdr:row>11</xdr:row>
                    <xdr:rowOff>82550</xdr:rowOff>
                  </to>
                </anchor>
              </controlPr>
            </control>
          </mc:Choice>
        </mc:AlternateContent>
        <mc:AlternateContent xmlns:mc="http://schemas.openxmlformats.org/markup-compatibility/2006">
          <mc:Choice Requires="x14">
            <control shapeId="29716" r:id="rId14" name="Button 20">
              <controlPr defaultSize="0" print="0" autoFill="0" autoPict="0" macro="[0]!emailsettings">
                <anchor moveWithCells="1" sizeWithCells="1">
                  <from>
                    <xdr:col>11</xdr:col>
                    <xdr:colOff>1346200</xdr:colOff>
                    <xdr:row>9</xdr:row>
                    <xdr:rowOff>120650</xdr:rowOff>
                  </from>
                  <to>
                    <xdr:col>11</xdr:col>
                    <xdr:colOff>2273300</xdr:colOff>
                    <xdr:row>11</xdr:row>
                    <xdr:rowOff>82550</xdr:rowOff>
                  </to>
                </anchor>
              </controlPr>
            </control>
          </mc:Choice>
        </mc:AlternateContent>
        <mc:AlternateContent xmlns:mc="http://schemas.openxmlformats.org/markup-compatibility/2006">
          <mc:Choice Requires="x14">
            <control shapeId="29717" r:id="rId15" name="Button 21">
              <controlPr defaultSize="0" print="0" autoFill="0" autoPict="0" macro="[0]!goto_other_analysis">
                <anchor moveWithCells="1" sizeWithCells="1">
                  <from>
                    <xdr:col>10</xdr:col>
                    <xdr:colOff>127000</xdr:colOff>
                    <xdr:row>22</xdr:row>
                    <xdr:rowOff>114300</xdr:rowOff>
                  </from>
                  <to>
                    <xdr:col>11</xdr:col>
                    <xdr:colOff>863600</xdr:colOff>
                    <xdr:row>26</xdr:row>
                    <xdr:rowOff>38100</xdr:rowOff>
                  </to>
                </anchor>
              </controlPr>
            </control>
          </mc:Choice>
        </mc:AlternateContent>
        <mc:AlternateContent xmlns:mc="http://schemas.openxmlformats.org/markup-compatibility/2006">
          <mc:Choice Requires="x14">
            <control shapeId="29718" r:id="rId16" name="Button 22">
              <controlPr defaultSize="0" print="0" autoFill="0" autoPict="0" macro="[0]!goto_basic_analysis_original">
                <anchor moveWithCells="1" sizeWithCells="1">
                  <from>
                    <xdr:col>10</xdr:col>
                    <xdr:colOff>127000</xdr:colOff>
                    <xdr:row>28</xdr:row>
                    <xdr:rowOff>146050</xdr:rowOff>
                  </from>
                  <to>
                    <xdr:col>11</xdr:col>
                    <xdr:colOff>863600</xdr:colOff>
                    <xdr:row>31</xdr:row>
                    <xdr:rowOff>234950</xdr:rowOff>
                  </to>
                </anchor>
              </controlPr>
            </control>
          </mc:Choice>
        </mc:AlternateContent>
        <mc:AlternateContent xmlns:mc="http://schemas.openxmlformats.org/markup-compatibility/2006">
          <mc:Choice Requires="x14">
            <control shapeId="29719" r:id="rId17" name="globalbacktobutton">
              <controlPr defaultSize="0" print="0" autoFill="0" autoPict="0" macro="[0]!backto">
                <anchor moveWithCells="1" sizeWithCells="1">
                  <from>
                    <xdr:col>10</xdr:col>
                    <xdr:colOff>139700</xdr:colOff>
                    <xdr:row>19</xdr:row>
                    <xdr:rowOff>38100</xdr:rowOff>
                  </from>
                  <to>
                    <xdr:col>11</xdr:col>
                    <xdr:colOff>863600</xdr:colOff>
                    <xdr:row>21</xdr:row>
                    <xdr:rowOff>146050</xdr:rowOff>
                  </to>
                </anchor>
              </controlPr>
            </control>
          </mc:Choice>
        </mc:AlternateContent>
        <mc:AlternateContent xmlns:mc="http://schemas.openxmlformats.org/markup-compatibility/2006">
          <mc:Choice Requires="x14">
            <control shapeId="29720" r:id="rId18" name="troyr1">
              <controlPr defaultSize="0" print="0" autoFill="0" autoPict="0" macro="[0]!goto_basic_analysis_original">
                <anchor moveWithCells="1" sizeWithCells="1">
                  <from>
                    <xdr:col>3</xdr:col>
                    <xdr:colOff>1593850</xdr:colOff>
                    <xdr:row>44</xdr:row>
                    <xdr:rowOff>139700</xdr:rowOff>
                  </from>
                  <to>
                    <xdr:col>5</xdr:col>
                    <xdr:colOff>901700</xdr:colOff>
                    <xdr:row>46</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C33AA-9A82-46CD-B051-98B0BD7A39D4}">
  <sheetPr codeName="Sheet68">
    <pageSetUpPr fitToPage="1"/>
  </sheetPr>
  <dimension ref="A1:AR137"/>
  <sheetViews>
    <sheetView showGridLines="0" workbookViewId="0">
      <selection activeCell="B3" sqref="B3"/>
    </sheetView>
  </sheetViews>
  <sheetFormatPr defaultColWidth="9.08984375" defaultRowHeight="12.75" customHeight="1" x14ac:dyDescent="0.25"/>
  <cols>
    <col min="1" max="1" width="16.6328125" style="256" customWidth="1"/>
    <col min="2" max="2" width="2.6328125" style="256" customWidth="1"/>
    <col min="3" max="3" width="11.6328125" style="256" customWidth="1"/>
    <col min="4" max="4" width="23.453125" style="256" customWidth="1"/>
    <col min="5" max="5" width="12.08984375" style="273" customWidth="1"/>
    <col min="6" max="6" width="16.08984375" style="273" customWidth="1"/>
    <col min="7" max="7" width="10.6328125" style="273" customWidth="1"/>
    <col min="8" max="8" width="12.36328125" style="256" customWidth="1"/>
    <col min="9" max="9" width="12.453125" style="475" customWidth="1"/>
    <col min="10" max="10" width="2.54296875" style="256" customWidth="1"/>
    <col min="11" max="11" width="3.36328125" style="256" customWidth="1"/>
    <col min="12" max="12" width="39.90625" style="256" customWidth="1"/>
    <col min="13" max="13" width="15.6328125" style="256" customWidth="1"/>
    <col min="14" max="16" width="9.08984375" style="256"/>
    <col min="17" max="19" width="9.08984375" style="256" hidden="1" customWidth="1"/>
    <col min="20" max="20" width="17.453125" style="256" hidden="1" customWidth="1"/>
    <col min="21" max="26" width="9.08984375" style="256" hidden="1" customWidth="1"/>
    <col min="27" max="27" width="0" style="256" hidden="1" customWidth="1"/>
    <col min="28" max="16384" width="9.08984375" style="256"/>
  </cols>
  <sheetData>
    <row r="1" spans="1:44" ht="12.75" customHeight="1" x14ac:dyDescent="0.35">
      <c r="A1" s="580"/>
      <c r="B1" s="581"/>
      <c r="C1" s="581"/>
      <c r="D1" s="581"/>
      <c r="E1" s="582"/>
      <c r="F1" s="582"/>
      <c r="G1" s="582"/>
      <c r="H1" s="581"/>
      <c r="I1" s="583"/>
      <c r="J1" s="581"/>
      <c r="K1" s="581"/>
      <c r="L1" s="581"/>
      <c r="M1" s="581"/>
      <c r="N1" s="581"/>
      <c r="O1" s="581"/>
      <c r="P1" s="581"/>
      <c r="Q1" s="1758"/>
      <c r="R1" s="1758"/>
      <c r="S1" s="1758"/>
      <c r="T1" s="1758"/>
      <c r="U1" s="1758"/>
      <c r="V1" s="1758"/>
      <c r="W1" s="1758"/>
      <c r="X1" s="1758"/>
      <c r="Y1" s="1758"/>
      <c r="Z1" s="1758"/>
      <c r="AA1" s="1758"/>
      <c r="AB1" s="581"/>
      <c r="AC1" s="581"/>
      <c r="AD1" s="581"/>
      <c r="AE1" s="581"/>
      <c r="AF1" s="581"/>
      <c r="AG1" s="581"/>
      <c r="AH1" s="581"/>
      <c r="AI1" s="581"/>
      <c r="AJ1" s="581"/>
      <c r="AK1" s="581"/>
      <c r="AL1" s="581"/>
      <c r="AM1" s="581"/>
      <c r="AN1" s="581"/>
      <c r="AO1" s="581"/>
      <c r="AP1" s="581"/>
      <c r="AQ1" s="581"/>
      <c r="AR1" s="581"/>
    </row>
    <row r="2" spans="1:44" ht="12.5" x14ac:dyDescent="0.25">
      <c r="A2" s="581"/>
      <c r="B2" s="581"/>
      <c r="C2" s="581"/>
      <c r="D2" s="581"/>
      <c r="E2" s="582"/>
      <c r="F2" s="582"/>
      <c r="G2" s="582"/>
      <c r="H2" s="581"/>
      <c r="I2" s="583"/>
      <c r="J2" s="581"/>
      <c r="K2" s="581"/>
      <c r="L2" s="581"/>
      <c r="M2" s="581"/>
      <c r="N2" s="581"/>
      <c r="O2" s="581"/>
      <c r="P2" s="581"/>
      <c r="Q2" s="1758"/>
      <c r="R2" s="1758"/>
      <c r="S2" s="1758"/>
      <c r="T2" s="1758"/>
      <c r="U2" s="1758"/>
      <c r="V2" s="1758"/>
      <c r="W2" s="1758"/>
      <c r="X2" s="1758"/>
      <c r="Y2" s="1758"/>
      <c r="Z2" s="1758"/>
      <c r="AA2" s="1758"/>
      <c r="AB2" s="581"/>
      <c r="AC2" s="581"/>
      <c r="AD2" s="581"/>
      <c r="AE2" s="581"/>
      <c r="AF2" s="581"/>
      <c r="AG2" s="581"/>
      <c r="AH2" s="581"/>
      <c r="AI2" s="581"/>
      <c r="AJ2" s="581"/>
      <c r="AK2" s="581"/>
      <c r="AL2" s="581"/>
      <c r="AM2" s="581"/>
      <c r="AN2" s="581"/>
      <c r="AO2" s="581"/>
      <c r="AP2" s="581"/>
      <c r="AQ2" s="581"/>
      <c r="AR2" s="581"/>
    </row>
    <row r="3" spans="1:44" ht="12.5" x14ac:dyDescent="0.25">
      <c r="A3" s="581"/>
      <c r="K3" s="581"/>
      <c r="L3" s="581"/>
      <c r="M3" s="581"/>
      <c r="N3" s="581"/>
      <c r="O3" s="581"/>
      <c r="P3" s="581"/>
      <c r="Q3" s="1758"/>
      <c r="R3" s="1758"/>
      <c r="S3" s="1758"/>
      <c r="T3" s="1758"/>
      <c r="U3" s="1758"/>
      <c r="V3" s="1758"/>
      <c r="W3" s="1758"/>
      <c r="X3" s="1758"/>
      <c r="Y3" s="1758"/>
      <c r="Z3" s="1758"/>
      <c r="AA3" s="1758"/>
      <c r="AB3" s="581"/>
      <c r="AC3" s="581"/>
      <c r="AD3" s="581"/>
      <c r="AE3" s="581"/>
      <c r="AF3" s="581"/>
      <c r="AG3" s="581"/>
      <c r="AH3" s="581"/>
      <c r="AI3" s="581"/>
      <c r="AJ3" s="581"/>
      <c r="AK3" s="581"/>
      <c r="AL3" s="581"/>
      <c r="AM3" s="581"/>
      <c r="AN3" s="581"/>
      <c r="AO3" s="581"/>
      <c r="AP3" s="581"/>
      <c r="AQ3" s="581"/>
      <c r="AR3" s="581"/>
    </row>
    <row r="4" spans="1:44" ht="15.5" x14ac:dyDescent="0.35">
      <c r="A4" s="581"/>
      <c r="C4" s="488" t="str">
        <f>"Transitional Arrangements Calculation - "&amp;C10</f>
        <v xml:space="preserve">Transitional Arrangements Calculation - 2023/24 </v>
      </c>
      <c r="H4" s="579" t="str">
        <f>'ta analysis original yr1'!H4</f>
        <v>England</v>
      </c>
      <c r="I4" s="579" t="s">
        <v>246</v>
      </c>
      <c r="K4" s="581"/>
      <c r="L4" s="581"/>
      <c r="M4" s="581"/>
      <c r="N4" s="581"/>
      <c r="O4" s="581"/>
      <c r="P4" s="581"/>
      <c r="Q4" s="1758"/>
      <c r="R4" s="1758"/>
      <c r="S4" s="1758"/>
      <c r="T4" s="1758"/>
      <c r="U4" s="1758"/>
      <c r="V4" s="1758"/>
      <c r="W4" s="1758"/>
      <c r="X4" s="1758"/>
      <c r="Y4" s="1758"/>
      <c r="Z4" s="1758"/>
      <c r="AA4" s="1758"/>
      <c r="AB4" s="581"/>
      <c r="AC4" s="581"/>
      <c r="AD4" s="581"/>
      <c r="AE4" s="581"/>
      <c r="AF4" s="581"/>
      <c r="AG4" s="581"/>
      <c r="AH4" s="581"/>
      <c r="AI4" s="581"/>
      <c r="AJ4" s="581"/>
      <c r="AK4" s="581"/>
      <c r="AL4" s="581"/>
      <c r="AM4" s="581"/>
      <c r="AN4" s="581"/>
      <c r="AO4" s="581"/>
      <c r="AP4" s="581"/>
      <c r="AQ4" s="581"/>
      <c r="AR4" s="581"/>
    </row>
    <row r="5" spans="1:44" ht="9" customHeight="1" x14ac:dyDescent="0.3">
      <c r="A5" s="581"/>
      <c r="C5" s="291"/>
      <c r="K5" s="581"/>
      <c r="L5" s="581"/>
      <c r="M5" s="581"/>
      <c r="N5" s="581"/>
      <c r="O5" s="581"/>
      <c r="P5" s="581"/>
      <c r="Q5" s="1758"/>
      <c r="R5" s="1758"/>
      <c r="S5" s="1758"/>
      <c r="T5" s="1758"/>
      <c r="U5" s="1758"/>
      <c r="V5" s="1758"/>
      <c r="W5" s="1758"/>
      <c r="X5" s="1758"/>
      <c r="Y5" s="1758"/>
      <c r="Z5" s="1758"/>
      <c r="AA5" s="1758"/>
      <c r="AB5" s="581"/>
      <c r="AC5" s="581"/>
      <c r="AD5" s="581"/>
      <c r="AE5" s="581"/>
      <c r="AF5" s="581"/>
      <c r="AG5" s="581"/>
      <c r="AH5" s="581"/>
      <c r="AI5" s="581"/>
      <c r="AJ5" s="581"/>
      <c r="AK5" s="581"/>
      <c r="AL5" s="581"/>
      <c r="AM5" s="581"/>
      <c r="AN5" s="581"/>
      <c r="AO5" s="581"/>
      <c r="AP5" s="581"/>
      <c r="AQ5" s="581"/>
      <c r="AR5" s="581"/>
    </row>
    <row r="6" spans="1:44" ht="13" x14ac:dyDescent="0.3">
      <c r="A6" s="581"/>
      <c r="C6" s="291" t="s">
        <v>667</v>
      </c>
      <c r="D6" s="291" t="str">
        <f>basic!D26</f>
        <v>Enter Address Details</v>
      </c>
      <c r="K6" s="581"/>
      <c r="L6" s="581"/>
      <c r="M6" s="581"/>
      <c r="N6" s="581"/>
      <c r="O6" s="581"/>
      <c r="P6" s="581"/>
      <c r="Q6" s="1758"/>
      <c r="R6" s="1758"/>
      <c r="S6" s="1758"/>
      <c r="T6" s="1758"/>
      <c r="U6" s="1758" t="s">
        <v>1263</v>
      </c>
      <c r="V6" s="1758"/>
      <c r="W6" s="1758"/>
      <c r="X6" s="1758"/>
      <c r="Y6" s="1758"/>
      <c r="Z6" s="1758"/>
      <c r="AA6" s="1758"/>
      <c r="AB6" s="581"/>
      <c r="AC6" s="581"/>
      <c r="AD6" s="581"/>
      <c r="AE6" s="581"/>
      <c r="AF6" s="581"/>
      <c r="AG6" s="581"/>
      <c r="AH6" s="581"/>
      <c r="AI6" s="581"/>
      <c r="AJ6" s="581"/>
      <c r="AK6" s="581"/>
      <c r="AL6" s="581"/>
      <c r="AM6" s="581"/>
      <c r="AN6" s="581"/>
      <c r="AO6" s="581"/>
      <c r="AP6" s="581"/>
      <c r="AQ6" s="581"/>
      <c r="AR6" s="581"/>
    </row>
    <row r="7" spans="1:44" ht="13" x14ac:dyDescent="0.3">
      <c r="A7" s="581"/>
      <c r="C7" s="291"/>
      <c r="D7" s="291"/>
      <c r="K7" s="581"/>
      <c r="L7" s="581"/>
      <c r="M7" s="581"/>
      <c r="N7" s="581"/>
      <c r="O7" s="581"/>
      <c r="P7" s="581"/>
      <c r="Q7" s="1758"/>
      <c r="R7" s="1758"/>
      <c r="S7" s="1758" t="s">
        <v>1261</v>
      </c>
      <c r="T7" s="1758" t="b">
        <f>basic!AA7&lt;&gt;""</f>
        <v>0</v>
      </c>
      <c r="U7" s="1758" t="s">
        <v>1264</v>
      </c>
      <c r="V7" s="1758"/>
      <c r="W7" s="1758"/>
      <c r="X7" s="1758"/>
      <c r="Y7" s="1758"/>
      <c r="Z7" s="1758"/>
      <c r="AA7" s="1758"/>
      <c r="AB7" s="581"/>
      <c r="AC7" s="581"/>
      <c r="AD7" s="581"/>
      <c r="AE7" s="581"/>
      <c r="AF7" s="581"/>
      <c r="AG7" s="581"/>
      <c r="AH7" s="581"/>
      <c r="AI7" s="581"/>
      <c r="AJ7" s="581"/>
      <c r="AK7" s="581"/>
      <c r="AL7" s="581"/>
      <c r="AM7" s="581"/>
      <c r="AN7" s="581"/>
      <c r="AO7" s="581"/>
      <c r="AP7" s="581"/>
      <c r="AQ7" s="581"/>
      <c r="AR7" s="581"/>
    </row>
    <row r="8" spans="1:44" ht="13.5" customHeight="1" x14ac:dyDescent="0.3">
      <c r="A8" s="581"/>
      <c r="C8" s="489"/>
      <c r="D8" s="283"/>
      <c r="E8" s="335"/>
      <c r="F8" s="335"/>
      <c r="G8" s="335"/>
      <c r="H8" s="283"/>
      <c r="I8" s="487"/>
      <c r="K8" s="581"/>
      <c r="L8" s="581"/>
      <c r="M8" s="581"/>
      <c r="N8" s="581"/>
      <c r="O8" s="581"/>
      <c r="P8" s="581"/>
      <c r="Q8" s="1758"/>
      <c r="R8" s="1758"/>
      <c r="S8" s="1758" t="s">
        <v>1262</v>
      </c>
      <c r="T8" s="1758" t="str">
        <f>IF(T7=TRUE,U7,U6)</f>
        <v xml:space="preserve">The Base Liability is the Prior List RV ( </v>
      </c>
      <c r="U8" s="1758"/>
      <c r="V8" s="1758"/>
      <c r="W8" s="1758"/>
      <c r="X8" s="1758"/>
      <c r="Y8" s="1758"/>
      <c r="Z8" s="1758"/>
      <c r="AA8" s="1758"/>
      <c r="AB8" s="581"/>
      <c r="AC8" s="581"/>
      <c r="AD8" s="581"/>
      <c r="AE8" s="581"/>
      <c r="AF8" s="581"/>
      <c r="AG8" s="581"/>
      <c r="AH8" s="581"/>
      <c r="AI8" s="581"/>
      <c r="AJ8" s="581"/>
      <c r="AK8" s="581"/>
      <c r="AL8" s="581"/>
      <c r="AM8" s="581"/>
      <c r="AN8" s="581"/>
      <c r="AO8" s="581"/>
      <c r="AP8" s="581"/>
      <c r="AQ8" s="581"/>
      <c r="AR8" s="581"/>
    </row>
    <row r="9" spans="1:44" ht="9.75" customHeight="1" x14ac:dyDescent="0.3">
      <c r="A9" s="581"/>
      <c r="C9" s="291"/>
      <c r="K9" s="581"/>
      <c r="L9" s="581"/>
      <c r="M9" s="581"/>
      <c r="N9" s="581"/>
      <c r="O9" s="581"/>
      <c r="P9" s="581"/>
      <c r="Q9" s="1758"/>
      <c r="R9" s="1758"/>
      <c r="S9" s="1759" t="s">
        <v>57</v>
      </c>
      <c r="T9" s="1760">
        <f>data!B3-1</f>
        <v>45016</v>
      </c>
      <c r="U9" s="1758"/>
      <c r="V9" s="1758"/>
      <c r="W9" s="1758"/>
      <c r="X9" s="1758"/>
      <c r="Y9" s="1758"/>
      <c r="Z9" s="1758"/>
      <c r="AA9" s="1758"/>
      <c r="AB9" s="581"/>
      <c r="AC9" s="581"/>
      <c r="AD9" s="581"/>
      <c r="AE9" s="581"/>
      <c r="AF9" s="581"/>
      <c r="AG9" s="581"/>
      <c r="AH9" s="581"/>
      <c r="AI9" s="581"/>
      <c r="AJ9" s="581"/>
      <c r="AK9" s="581"/>
      <c r="AL9" s="581"/>
      <c r="AM9" s="581"/>
      <c r="AN9" s="581"/>
      <c r="AO9" s="581"/>
      <c r="AP9" s="581"/>
      <c r="AQ9" s="581"/>
      <c r="AR9" s="581"/>
    </row>
    <row r="10" spans="1:44" ht="13.5" customHeight="1" x14ac:dyDescent="0.3">
      <c r="A10" s="581"/>
      <c r="C10" s="291" t="str">
        <f>basic!D15</f>
        <v xml:space="preserve">2023/24 </v>
      </c>
      <c r="D10" s="257" t="str">
        <f>IF(calc2!B18=TRUE,"The Base Liability is determined using the charging basis for the Previous Year",T8&amp;TEXT(T10,"#,###")&amp;" ) x the Small Multiplier")</f>
        <v>The Base Liability is the Prior List RV (  ) x the Small Multiplier</v>
      </c>
      <c r="H10" s="476"/>
      <c r="K10" s="581"/>
      <c r="L10" s="581"/>
      <c r="M10" s="581"/>
      <c r="N10" s="581"/>
      <c r="O10" s="581"/>
      <c r="P10" s="581"/>
      <c r="Q10" s="1758"/>
      <c r="R10" s="1758"/>
      <c r="S10" s="1759" t="s">
        <v>43</v>
      </c>
      <c r="T10" s="1761">
        <f>IF(T7=TRUE,basic!AA7,basic!I5)</f>
        <v>0</v>
      </c>
      <c r="U10" s="1758"/>
      <c r="V10" s="1758"/>
      <c r="W10" s="1758"/>
      <c r="X10" s="1758"/>
      <c r="Y10" s="1758"/>
      <c r="Z10" s="1758"/>
      <c r="AA10" s="1758"/>
      <c r="AB10" s="581"/>
      <c r="AC10" s="581"/>
      <c r="AD10" s="581"/>
      <c r="AE10" s="581"/>
      <c r="AF10" s="581"/>
      <c r="AG10" s="581"/>
      <c r="AH10" s="581"/>
      <c r="AI10" s="581"/>
      <c r="AJ10" s="581"/>
      <c r="AK10" s="581"/>
      <c r="AL10" s="581"/>
      <c r="AM10" s="581"/>
      <c r="AN10" s="581"/>
      <c r="AO10" s="581"/>
      <c r="AP10" s="581"/>
      <c r="AQ10" s="581"/>
      <c r="AR10" s="581"/>
    </row>
    <row r="11" spans="1:44" ht="13" x14ac:dyDescent="0.3">
      <c r="A11" s="581"/>
      <c r="C11" s="291"/>
      <c r="D11" s="256" t="str">
        <f>IF(calc2!B18=TRUE,"which has been entered as £","for "&amp;TEXT(T9,"dd/mm/yy")&amp;" ( "&amp;TEXT(T11,"0.000")&amp;" ) which gives a figure of £")&amp;TEXT(T12,"#,###.00")</f>
        <v>for 31/03/23 ( 0.499 ) which gives a figure of £.00</v>
      </c>
      <c r="H11" s="496"/>
      <c r="K11" s="581"/>
      <c r="L11" s="581"/>
      <c r="M11" s="581"/>
      <c r="N11" s="581"/>
      <c r="O11" s="581"/>
      <c r="P11" s="581"/>
      <c r="Q11" s="1758"/>
      <c r="R11" s="1758"/>
      <c r="S11" s="1759" t="s">
        <v>44</v>
      </c>
      <c r="T11" s="1759">
        <f>data!C52</f>
        <v>0.499</v>
      </c>
      <c r="U11" s="1758"/>
      <c r="V11" s="1758"/>
      <c r="W11" s="1758"/>
      <c r="X11" s="1758"/>
      <c r="Y11" s="1758"/>
      <c r="Z11" s="1758"/>
      <c r="AA11" s="1758"/>
      <c r="AB11" s="581"/>
      <c r="AC11" s="581"/>
      <c r="AD11" s="581"/>
      <c r="AE11" s="581"/>
      <c r="AF11" s="581"/>
      <c r="AG11" s="581"/>
      <c r="AH11" s="581"/>
      <c r="AI11" s="581"/>
      <c r="AJ11" s="581"/>
      <c r="AK11" s="581"/>
      <c r="AL11" s="581"/>
      <c r="AM11" s="581"/>
      <c r="AN11" s="581"/>
      <c r="AO11" s="581"/>
      <c r="AP11" s="581"/>
      <c r="AQ11" s="581"/>
      <c r="AR11" s="581"/>
    </row>
    <row r="12" spans="1:44" ht="13.5" customHeight="1" x14ac:dyDescent="0.3">
      <c r="A12" s="581"/>
      <c r="C12" s="291"/>
      <c r="D12" s="257" t="str">
        <f>"The Notional Liability is the RV as at "&amp;TEXT(T9+1,"dd/mm/yy")&amp;" ( "&amp;TEXT(T15,"#,###")&amp;" ) x the Small"</f>
        <v>The Notional Liability is the RV as at 01/04/23 (  ) x the Small</v>
      </c>
      <c r="K12" s="581"/>
      <c r="L12" s="581"/>
      <c r="M12" s="581"/>
      <c r="N12" s="581"/>
      <c r="O12" s="581"/>
      <c r="P12" s="581"/>
      <c r="Q12" s="1758"/>
      <c r="R12" s="1758"/>
      <c r="S12" s="1759" t="s">
        <v>45</v>
      </c>
      <c r="T12" s="1759">
        <f>T10*T11</f>
        <v>0</v>
      </c>
      <c r="U12" s="1758"/>
      <c r="V12" s="1758"/>
      <c r="W12" s="1758"/>
      <c r="X12" s="1758"/>
      <c r="Y12" s="1758"/>
      <c r="Z12" s="1758"/>
      <c r="AA12" s="1758"/>
      <c r="AB12" s="581"/>
      <c r="AC12" s="581"/>
      <c r="AD12" s="581"/>
      <c r="AE12" s="581"/>
      <c r="AF12" s="581"/>
      <c r="AG12" s="581"/>
      <c r="AH12" s="581"/>
      <c r="AI12" s="581"/>
      <c r="AJ12" s="581"/>
      <c r="AK12" s="581"/>
      <c r="AL12" s="581"/>
      <c r="AM12" s="581"/>
      <c r="AN12" s="581"/>
      <c r="AO12" s="581"/>
      <c r="AP12" s="581"/>
      <c r="AQ12" s="581"/>
      <c r="AR12" s="581"/>
    </row>
    <row r="13" spans="1:44" ht="13.5" customHeight="1" x14ac:dyDescent="0.3">
      <c r="A13" s="581"/>
      <c r="C13" s="291"/>
      <c r="D13" s="256" t="str">
        <f>"Multiplier for "&amp;TEXT(T9+1,"dd/mm/yy")&amp;" ( "&amp;TEXT(T16,"0.000")&amp;" ) which gives a figure of "&amp;TEXT(T17,"#,###.00")</f>
        <v>Multiplier for 01/04/23 ( 0.499 ) which gives a figure of .00</v>
      </c>
      <c r="K13" s="581"/>
      <c r="L13" s="581"/>
      <c r="M13" s="581"/>
      <c r="N13" s="581"/>
      <c r="O13" s="581"/>
      <c r="P13" s="581"/>
      <c r="Q13" s="1758"/>
      <c r="R13" s="1758"/>
      <c r="S13" s="1759" t="s">
        <v>46</v>
      </c>
      <c r="T13" s="1762">
        <f>basic!H9</f>
        <v>0</v>
      </c>
      <c r="U13" s="1758"/>
      <c r="V13" s="1758"/>
      <c r="W13" s="1758"/>
      <c r="X13" s="1758"/>
      <c r="Y13" s="1758"/>
      <c r="Z13" s="1758"/>
      <c r="AA13" s="1758"/>
      <c r="AB13" s="581"/>
      <c r="AC13" s="581"/>
      <c r="AD13" s="581"/>
      <c r="AE13" s="581"/>
      <c r="AF13" s="581"/>
      <c r="AG13" s="581"/>
      <c r="AH13" s="581"/>
      <c r="AI13" s="581"/>
      <c r="AJ13" s="581"/>
      <c r="AK13" s="581"/>
      <c r="AL13" s="581"/>
      <c r="AM13" s="581"/>
      <c r="AN13" s="581"/>
      <c r="AO13" s="581"/>
      <c r="AP13" s="581"/>
      <c r="AQ13" s="581"/>
      <c r="AR13" s="581"/>
    </row>
    <row r="14" spans="1:44" ht="13.5" customHeight="1" x14ac:dyDescent="0.3">
      <c r="A14" s="581"/>
      <c r="C14" s="291"/>
      <c r="D14" s="257"/>
      <c r="H14" s="476"/>
      <c r="K14" s="581"/>
      <c r="L14" s="581"/>
      <c r="M14" s="581"/>
      <c r="N14" s="581"/>
      <c r="O14" s="581"/>
      <c r="P14" s="581"/>
      <c r="Q14" s="1758"/>
      <c r="R14" s="1758"/>
      <c r="S14" s="1759" t="s">
        <v>49</v>
      </c>
      <c r="T14" s="1759">
        <f>calc2!D19</f>
        <v>0</v>
      </c>
      <c r="U14" s="1758"/>
      <c r="V14" s="1758"/>
      <c r="W14" s="1758"/>
      <c r="X14" s="1758"/>
      <c r="Y14" s="1758"/>
      <c r="Z14" s="1758"/>
      <c r="AA14" s="1758"/>
      <c r="AB14" s="581"/>
      <c r="AC14" s="581"/>
      <c r="AD14" s="581"/>
      <c r="AE14" s="581"/>
      <c r="AF14" s="581"/>
      <c r="AG14" s="581"/>
      <c r="AH14" s="581"/>
      <c r="AI14" s="581"/>
      <c r="AJ14" s="581"/>
      <c r="AK14" s="581"/>
      <c r="AL14" s="581"/>
      <c r="AM14" s="581"/>
      <c r="AN14" s="581"/>
      <c r="AO14" s="581"/>
      <c r="AP14" s="581"/>
      <c r="AQ14" s="581"/>
      <c r="AR14" s="581"/>
    </row>
    <row r="15" spans="1:44" ht="13.5" customHeight="1" x14ac:dyDescent="0.3">
      <c r="A15" s="581"/>
      <c r="C15" s="291"/>
      <c r="D15" s="256" t="str">
        <f>"The Notional Liability is "&amp;T19&amp;" than the Base Liability so the ratepayer is a revaluation "&amp;T20</f>
        <v>The Notional Liability is less than the Base Liability so the ratepayer is a revaluation Winner</v>
      </c>
      <c r="K15" s="581"/>
      <c r="L15" s="581"/>
      <c r="M15" s="581"/>
      <c r="N15" s="581"/>
      <c r="O15" s="581"/>
      <c r="P15" s="581"/>
      <c r="Q15" s="1758"/>
      <c r="R15" s="1758"/>
      <c r="S15" s="1759" t="s">
        <v>1223</v>
      </c>
      <c r="T15" s="1761">
        <f>calc2!D5</f>
        <v>0</v>
      </c>
      <c r="U15" s="1758"/>
      <c r="V15" s="1758"/>
      <c r="W15" s="1758"/>
      <c r="X15" s="1758"/>
      <c r="Y15" s="1758"/>
      <c r="Z15" s="1758"/>
      <c r="AA15" s="1758"/>
      <c r="AB15" s="581"/>
      <c r="AC15" s="581"/>
      <c r="AD15" s="581"/>
      <c r="AE15" s="581"/>
      <c r="AF15" s="581"/>
      <c r="AG15" s="581"/>
      <c r="AH15" s="581"/>
      <c r="AI15" s="581"/>
      <c r="AJ15" s="581"/>
      <c r="AK15" s="581"/>
      <c r="AL15" s="581"/>
      <c r="AM15" s="581"/>
      <c r="AN15" s="581"/>
      <c r="AO15" s="581"/>
      <c r="AP15" s="581"/>
      <c r="AQ15" s="581"/>
      <c r="AR15" s="581"/>
    </row>
    <row r="16" spans="1:44" ht="13.5" customHeight="1" x14ac:dyDescent="0.3">
      <c r="A16" s="581"/>
      <c r="C16" s="291"/>
      <c r="D16" s="256" t="str">
        <f>"The property is in "&amp;H4&amp;" so the Medium/Small threshold is "&amp;TEXT(T21,"#,###")&amp;". "</f>
        <v xml:space="preserve">The property is in England so the Medium/Small threshold is 20,000. </v>
      </c>
      <c r="K16" s="581"/>
      <c r="L16" s="581"/>
      <c r="M16" s="581"/>
      <c r="N16" s="581"/>
      <c r="O16" s="581"/>
      <c r="P16" s="581"/>
      <c r="Q16" s="1758"/>
      <c r="R16" s="1758"/>
      <c r="S16" s="1759" t="s">
        <v>47</v>
      </c>
      <c r="T16" s="1759">
        <f>data!C53</f>
        <v>0.499</v>
      </c>
      <c r="U16" s="1758"/>
      <c r="V16" s="1758"/>
      <c r="W16" s="1758"/>
      <c r="X16" s="1758"/>
      <c r="Y16" s="1758"/>
      <c r="Z16" s="1758"/>
      <c r="AA16" s="1758"/>
      <c r="AB16" s="581"/>
      <c r="AC16" s="581"/>
      <c r="AD16" s="581"/>
      <c r="AE16" s="581"/>
      <c r="AF16" s="581"/>
      <c r="AG16" s="581"/>
      <c r="AH16" s="581"/>
      <c r="AI16" s="581"/>
      <c r="AJ16" s="581"/>
      <c r="AK16" s="581"/>
      <c r="AL16" s="581"/>
      <c r="AM16" s="581"/>
      <c r="AN16" s="581"/>
      <c r="AO16" s="581"/>
      <c r="AP16" s="581"/>
      <c r="AQ16" s="581"/>
      <c r="AR16" s="581"/>
    </row>
    <row r="17" spans="1:44" ht="13.5" customHeight="1" x14ac:dyDescent="0.3">
      <c r="A17" s="581"/>
      <c r="C17" s="291"/>
      <c r="D17" s="256" t="str">
        <f>"The Large threshold is "&amp;TEXT(Y19,"#,###")</f>
        <v>The Large threshold is 100,000</v>
      </c>
      <c r="K17" s="581"/>
      <c r="L17" s="581"/>
      <c r="M17" s="581"/>
      <c r="N17" s="581"/>
      <c r="O17" s="581"/>
      <c r="P17" s="581"/>
      <c r="Q17" s="1758"/>
      <c r="R17" s="1758"/>
      <c r="S17" s="1759" t="s">
        <v>48</v>
      </c>
      <c r="T17" s="1759">
        <f>T15*T16</f>
        <v>0</v>
      </c>
      <c r="U17" s="1758"/>
      <c r="V17" s="1763" t="s">
        <v>51</v>
      </c>
      <c r="W17" s="1763"/>
      <c r="X17" s="1763"/>
      <c r="Y17" s="1763"/>
      <c r="Z17" s="1758"/>
      <c r="AA17" s="1758"/>
      <c r="AB17" s="581"/>
      <c r="AC17" s="581"/>
      <c r="AD17" s="581"/>
      <c r="AE17" s="581"/>
      <c r="AF17" s="581"/>
      <c r="AG17" s="581"/>
      <c r="AH17" s="581"/>
      <c r="AI17" s="581"/>
      <c r="AJ17" s="581"/>
      <c r="AK17" s="581"/>
      <c r="AL17" s="581"/>
      <c r="AM17" s="581"/>
      <c r="AN17" s="581"/>
      <c r="AO17" s="581"/>
      <c r="AP17" s="581"/>
      <c r="AQ17" s="581"/>
      <c r="AR17" s="581"/>
    </row>
    <row r="18" spans="1:44" ht="13.5" customHeight="1" x14ac:dyDescent="0.3">
      <c r="A18" s="581"/>
      <c r="C18" s="291"/>
      <c r="D18" s="256" t="str">
        <f>"The RV as at "&amp;TEXT(T9+1,"dd/mm/yy")&amp;" is "&amp;TEXT(T15,"#,###")&amp;" so the property is "&amp;T23</f>
        <v>The RV as at 01/04/23 is  so the property is Small</v>
      </c>
      <c r="K18" s="581"/>
      <c r="L18" s="581"/>
      <c r="M18" s="581"/>
      <c r="N18" s="581"/>
      <c r="O18" s="581"/>
      <c r="P18" s="581"/>
      <c r="Q18" s="1758"/>
      <c r="R18" s="1758"/>
      <c r="S18" s="1759" t="s">
        <v>27</v>
      </c>
      <c r="T18" s="1759" t="b">
        <f>T17&gt;T14</f>
        <v>0</v>
      </c>
      <c r="U18" s="1758"/>
      <c r="V18" s="1759" t="str">
        <f>data!C22</f>
        <v>e small &lt;=</v>
      </c>
      <c r="W18" s="1759" t="str">
        <f>data!D22</f>
        <v>l small &lt;=</v>
      </c>
      <c r="X18" s="1759" t="str">
        <f>data!E22</f>
        <v>c small &lt;=</v>
      </c>
      <c r="Y18" s="1759" t="str">
        <f>data!F22</f>
        <v>super &gt;</v>
      </c>
      <c r="Z18" s="1758"/>
      <c r="AA18" s="1758"/>
      <c r="AB18" s="581"/>
      <c r="AC18" s="581"/>
      <c r="AD18" s="581"/>
      <c r="AE18" s="581"/>
      <c r="AF18" s="581"/>
      <c r="AG18" s="581"/>
      <c r="AH18" s="581"/>
      <c r="AI18" s="581"/>
      <c r="AJ18" s="581"/>
      <c r="AK18" s="581"/>
      <c r="AL18" s="581"/>
      <c r="AM18" s="581"/>
      <c r="AN18" s="581"/>
      <c r="AO18" s="581"/>
      <c r="AP18" s="581"/>
      <c r="AQ18" s="581"/>
      <c r="AR18" s="581"/>
    </row>
    <row r="19" spans="1:44" ht="13.5" customHeight="1" x14ac:dyDescent="0.25">
      <c r="A19" s="581"/>
      <c r="K19" s="581"/>
      <c r="L19" s="581"/>
      <c r="M19" s="581"/>
      <c r="N19" s="581"/>
      <c r="O19" s="581"/>
      <c r="P19" s="581"/>
      <c r="Q19" s="1758"/>
      <c r="R19" s="1758"/>
      <c r="S19" s="1759" t="s">
        <v>50</v>
      </c>
      <c r="T19" s="1759" t="str">
        <f>IF(T18=TRUE,"greater","less")</f>
        <v>less</v>
      </c>
      <c r="U19" s="1758"/>
      <c r="V19" s="1759">
        <f>data!C23</f>
        <v>20000</v>
      </c>
      <c r="W19" s="1759">
        <f>data!D23</f>
        <v>28000</v>
      </c>
      <c r="X19" s="1759">
        <f>data!E23</f>
        <v>28000</v>
      </c>
      <c r="Y19" s="1759">
        <f>data!F23</f>
        <v>100000</v>
      </c>
      <c r="Z19" s="1758"/>
      <c r="AA19" s="1758"/>
      <c r="AB19" s="581"/>
      <c r="AC19" s="581"/>
      <c r="AD19" s="581"/>
      <c r="AE19" s="581"/>
      <c r="AF19" s="581"/>
      <c r="AG19" s="581"/>
      <c r="AH19" s="581"/>
      <c r="AI19" s="581"/>
      <c r="AJ19" s="581"/>
      <c r="AK19" s="581"/>
      <c r="AL19" s="581"/>
      <c r="AM19" s="581"/>
      <c r="AN19" s="581"/>
      <c r="AO19" s="581"/>
      <c r="AP19" s="581"/>
      <c r="AQ19" s="581"/>
      <c r="AR19" s="581"/>
    </row>
    <row r="20" spans="1:44" ht="13.5" customHeight="1" x14ac:dyDescent="0.25">
      <c r="A20" s="581"/>
      <c r="D20" s="256" t="s">
        <v>28</v>
      </c>
      <c r="K20" s="581"/>
      <c r="L20" s="581"/>
      <c r="M20" s="581"/>
      <c r="N20" s="581"/>
      <c r="O20" s="581"/>
      <c r="P20" s="581"/>
      <c r="Q20" s="1758"/>
      <c r="R20" s="1758"/>
      <c r="S20" s="1759" t="s">
        <v>285</v>
      </c>
      <c r="T20" s="1759" t="str">
        <f>IF(T18=TRUE,"Loser","Winner")</f>
        <v>Winner</v>
      </c>
      <c r="U20" s="1758"/>
      <c r="V20" s="1758"/>
      <c r="W20" s="1758"/>
      <c r="X20" s="1758"/>
      <c r="Y20" s="1758"/>
      <c r="Z20" s="1758"/>
      <c r="AA20" s="1758"/>
      <c r="AB20" s="581"/>
      <c r="AC20" s="581"/>
      <c r="AD20" s="581"/>
      <c r="AE20" s="581"/>
      <c r="AF20" s="581"/>
      <c r="AG20" s="581"/>
      <c r="AH20" s="581"/>
      <c r="AI20" s="581"/>
      <c r="AJ20" s="581"/>
      <c r="AK20" s="581"/>
      <c r="AL20" s="581"/>
      <c r="AM20" s="581"/>
      <c r="AN20" s="581"/>
      <c r="AO20" s="581"/>
      <c r="AP20" s="581"/>
      <c r="AQ20" s="581"/>
      <c r="AR20" s="581"/>
    </row>
    <row r="21" spans="1:44" ht="13.5" customHeight="1" x14ac:dyDescent="0.25">
      <c r="A21" s="581"/>
      <c r="D21" s="256" t="str">
        <f>"for a '"&amp;T24&amp;"' is found by reference to the following table"</f>
        <v>for a 'Small Winner' is found by reference to the following table</v>
      </c>
      <c r="K21" s="581"/>
      <c r="L21" s="581"/>
      <c r="M21" s="581"/>
      <c r="N21" s="581"/>
      <c r="O21" s="581"/>
      <c r="P21" s="581"/>
      <c r="Q21" s="1758"/>
      <c r="R21" s="1758"/>
      <c r="S21" s="1759" t="s">
        <v>56</v>
      </c>
      <c r="T21" s="1759">
        <f>calc2!D13</f>
        <v>20000</v>
      </c>
      <c r="U21" s="1758"/>
      <c r="V21" s="1763" t="s">
        <v>53</v>
      </c>
      <c r="W21" s="1763" t="s">
        <v>803</v>
      </c>
      <c r="X21" s="1758"/>
      <c r="Y21" s="1758"/>
      <c r="Z21" s="1758"/>
      <c r="AA21" s="1758"/>
      <c r="AB21" s="581"/>
      <c r="AC21" s="581"/>
      <c r="AD21" s="581"/>
      <c r="AE21" s="581"/>
      <c r="AF21" s="581"/>
      <c r="AG21" s="581"/>
      <c r="AH21" s="581"/>
      <c r="AI21" s="581"/>
      <c r="AJ21" s="581"/>
      <c r="AK21" s="581"/>
      <c r="AL21" s="581"/>
      <c r="AM21" s="581"/>
      <c r="AN21" s="581"/>
      <c r="AO21" s="581"/>
      <c r="AP21" s="581"/>
      <c r="AQ21" s="581"/>
      <c r="AR21" s="581"/>
    </row>
    <row r="22" spans="1:44" ht="13.5" customHeight="1" x14ac:dyDescent="0.25">
      <c r="A22" s="581"/>
      <c r="K22" s="581"/>
      <c r="L22" s="581"/>
      <c r="M22" s="581"/>
      <c r="N22" s="581"/>
      <c r="O22" s="581"/>
      <c r="P22" s="581"/>
      <c r="Q22" s="1758"/>
      <c r="R22" s="1758"/>
      <c r="S22" s="1759" t="s">
        <v>52</v>
      </c>
      <c r="T22" s="1761" t="str">
        <f>calc2!D23</f>
        <v>s</v>
      </c>
      <c r="U22" s="1758"/>
      <c r="V22" s="1763" t="s">
        <v>54</v>
      </c>
      <c r="W22" s="1763" t="s">
        <v>824</v>
      </c>
      <c r="X22" s="1758"/>
      <c r="Y22" s="1758"/>
      <c r="Z22" s="1758"/>
      <c r="AA22" s="1758"/>
      <c r="AB22" s="581"/>
      <c r="AC22" s="581"/>
      <c r="AD22" s="581"/>
      <c r="AE22" s="581"/>
      <c r="AF22" s="581"/>
      <c r="AG22" s="581"/>
      <c r="AH22" s="581"/>
      <c r="AI22" s="581"/>
      <c r="AJ22" s="581"/>
      <c r="AK22" s="581"/>
      <c r="AL22" s="581"/>
      <c r="AM22" s="581"/>
      <c r="AN22" s="581"/>
      <c r="AO22" s="581"/>
      <c r="AP22" s="581"/>
      <c r="AQ22" s="581"/>
      <c r="AR22" s="581"/>
    </row>
    <row r="23" spans="1:44" ht="13.5" customHeight="1" x14ac:dyDescent="0.3">
      <c r="A23" s="581"/>
      <c r="D23" s="291" t="s">
        <v>29</v>
      </c>
      <c r="E23" s="477" t="s">
        <v>30</v>
      </c>
      <c r="F23" s="477" t="s">
        <v>31</v>
      </c>
      <c r="G23" s="272" t="s">
        <v>32</v>
      </c>
      <c r="K23" s="581"/>
      <c r="L23" s="581"/>
      <c r="M23" s="581"/>
      <c r="N23" s="581"/>
      <c r="O23" s="581"/>
      <c r="P23" s="581"/>
      <c r="Q23" s="1758"/>
      <c r="R23" s="1758"/>
      <c r="S23" s="1759" t="s">
        <v>55</v>
      </c>
      <c r="T23" s="1759" t="str">
        <f>VLOOKUP(T22,V21:W23,2,FALSE)</f>
        <v>Small</v>
      </c>
      <c r="U23" s="1758"/>
      <c r="V23" s="1763" t="s">
        <v>293</v>
      </c>
      <c r="W23" s="1763" t="s">
        <v>804</v>
      </c>
      <c r="X23" s="1758"/>
      <c r="Y23" s="1758"/>
      <c r="Z23" s="1758"/>
      <c r="AA23" s="1758"/>
      <c r="AB23" s="581"/>
      <c r="AC23" s="581"/>
      <c r="AD23" s="581"/>
      <c r="AE23" s="581"/>
      <c r="AF23" s="581"/>
      <c r="AG23" s="581"/>
      <c r="AH23" s="581"/>
      <c r="AI23" s="581"/>
      <c r="AJ23" s="581"/>
      <c r="AK23" s="581"/>
      <c r="AL23" s="581"/>
      <c r="AM23" s="581"/>
      <c r="AN23" s="581"/>
      <c r="AO23" s="581"/>
      <c r="AP23" s="581"/>
      <c r="AQ23" s="581"/>
      <c r="AR23" s="581"/>
    </row>
    <row r="24" spans="1:44" ht="13.5" customHeight="1" x14ac:dyDescent="0.3">
      <c r="A24" s="581"/>
      <c r="C24" s="478" t="str">
        <f t="shared" ref="C24:C29" si="0">IF(D24=$T$24,"&gt;","")</f>
        <v/>
      </c>
      <c r="D24" s="479" t="s">
        <v>33</v>
      </c>
      <c r="E24" s="480">
        <f>data!C3</f>
        <v>0</v>
      </c>
      <c r="F24" s="480">
        <f>'info sheet'!J29</f>
        <v>1</v>
      </c>
      <c r="G24" s="480">
        <f t="shared" ref="G24:G29" si="1">E24*F24/100</f>
        <v>0</v>
      </c>
      <c r="K24" s="581"/>
      <c r="L24" s="581"/>
      <c r="M24" s="581"/>
      <c r="N24" s="581"/>
      <c r="O24" s="581"/>
      <c r="P24" s="581"/>
      <c r="Q24" s="1758"/>
      <c r="R24" s="1758"/>
      <c r="S24" s="1759" t="s">
        <v>279</v>
      </c>
      <c r="T24" s="1759" t="str">
        <f>T23&amp;" "&amp;T20</f>
        <v>Small Winner</v>
      </c>
      <c r="U24" s="1758"/>
      <c r="V24" s="1758"/>
      <c r="W24" s="1758"/>
      <c r="X24" s="1758"/>
      <c r="Y24" s="1758"/>
      <c r="Z24" s="1758"/>
      <c r="AA24" s="1758"/>
      <c r="AB24" s="581"/>
      <c r="AC24" s="581"/>
      <c r="AD24" s="581"/>
      <c r="AE24" s="581"/>
      <c r="AF24" s="581"/>
      <c r="AG24" s="581"/>
      <c r="AH24" s="581"/>
      <c r="AI24" s="581"/>
      <c r="AJ24" s="581"/>
      <c r="AK24" s="581"/>
      <c r="AL24" s="581"/>
      <c r="AM24" s="581"/>
      <c r="AN24" s="581"/>
      <c r="AO24" s="581"/>
      <c r="AP24" s="581"/>
      <c r="AQ24" s="581"/>
      <c r="AR24" s="581"/>
    </row>
    <row r="25" spans="1:44" ht="13.5" customHeight="1" x14ac:dyDescent="0.3">
      <c r="A25" s="581"/>
      <c r="C25" s="478" t="str">
        <f t="shared" si="0"/>
        <v/>
      </c>
      <c r="D25" s="479" t="s">
        <v>34</v>
      </c>
      <c r="E25" s="480">
        <f>data!D3</f>
        <v>0</v>
      </c>
      <c r="F25" s="480">
        <f>F24</f>
        <v>1</v>
      </c>
      <c r="G25" s="480">
        <f t="shared" si="1"/>
        <v>0</v>
      </c>
      <c r="K25" s="581"/>
      <c r="L25" s="581"/>
      <c r="M25" s="581"/>
      <c r="N25" s="581"/>
      <c r="O25" s="581"/>
      <c r="P25" s="581"/>
      <c r="Q25" s="1758"/>
      <c r="R25" s="1758"/>
      <c r="S25" s="1759" t="s">
        <v>59</v>
      </c>
      <c r="T25" s="1759" t="str">
        <f>IF(T22&lt;T23,"below","above")</f>
        <v>below</v>
      </c>
      <c r="U25" s="1758"/>
      <c r="V25" s="1758"/>
      <c r="W25" s="1758"/>
      <c r="X25" s="1758"/>
      <c r="Y25" s="1758"/>
      <c r="Z25" s="1758"/>
      <c r="AA25" s="1758"/>
      <c r="AB25" s="581"/>
      <c r="AC25" s="581"/>
      <c r="AD25" s="581"/>
      <c r="AE25" s="581"/>
      <c r="AF25" s="581"/>
      <c r="AG25" s="581"/>
      <c r="AH25" s="581"/>
      <c r="AI25" s="581"/>
      <c r="AJ25" s="581"/>
      <c r="AK25" s="581"/>
      <c r="AL25" s="581"/>
      <c r="AM25" s="581"/>
      <c r="AN25" s="581"/>
      <c r="AO25" s="581"/>
      <c r="AP25" s="581"/>
      <c r="AQ25" s="581"/>
      <c r="AR25" s="581"/>
    </row>
    <row r="26" spans="1:44" ht="13.5" customHeight="1" x14ac:dyDescent="0.3">
      <c r="A26" s="581"/>
      <c r="C26" s="478" t="str">
        <f t="shared" si="0"/>
        <v>&gt;</v>
      </c>
      <c r="D26" s="479" t="s">
        <v>35</v>
      </c>
      <c r="E26" s="480">
        <f>data!E3</f>
        <v>0</v>
      </c>
      <c r="F26" s="480">
        <f>F25</f>
        <v>1</v>
      </c>
      <c r="G26" s="480">
        <f t="shared" si="1"/>
        <v>0</v>
      </c>
      <c r="K26" s="581"/>
      <c r="L26" s="581"/>
      <c r="M26" s="581"/>
      <c r="N26" s="581"/>
      <c r="O26" s="581"/>
      <c r="P26" s="581"/>
      <c r="Q26" s="1758"/>
      <c r="R26" s="1758"/>
      <c r="S26" s="1759" t="s">
        <v>58</v>
      </c>
      <c r="T26" s="1759">
        <f>calc2!D27</f>
        <v>1</v>
      </c>
      <c r="U26" s="1758"/>
      <c r="V26" s="1758"/>
      <c r="W26" s="1758"/>
      <c r="X26" s="1758"/>
      <c r="Y26" s="1758"/>
      <c r="Z26" s="1758"/>
      <c r="AA26" s="1758"/>
      <c r="AB26" s="581"/>
      <c r="AC26" s="581"/>
      <c r="AD26" s="581"/>
      <c r="AE26" s="581"/>
      <c r="AF26" s="581"/>
      <c r="AG26" s="581"/>
      <c r="AH26" s="581"/>
      <c r="AI26" s="581"/>
      <c r="AJ26" s="581"/>
      <c r="AK26" s="581"/>
      <c r="AL26" s="581"/>
      <c r="AM26" s="581"/>
      <c r="AN26" s="581"/>
      <c r="AO26" s="581"/>
      <c r="AP26" s="581"/>
      <c r="AQ26" s="581"/>
      <c r="AR26" s="581"/>
    </row>
    <row r="27" spans="1:44" ht="13.5" customHeight="1" x14ac:dyDescent="0.3">
      <c r="A27" s="581"/>
      <c r="C27" s="478" t="str">
        <f t="shared" si="0"/>
        <v/>
      </c>
      <c r="D27" s="479" t="s">
        <v>36</v>
      </c>
      <c r="E27" s="480">
        <f>data!F3</f>
        <v>130</v>
      </c>
      <c r="F27" s="480">
        <f>F26</f>
        <v>1</v>
      </c>
      <c r="G27" s="480">
        <f t="shared" si="1"/>
        <v>1.3</v>
      </c>
      <c r="K27" s="581"/>
      <c r="L27" s="581"/>
      <c r="M27" s="581"/>
      <c r="N27" s="581"/>
      <c r="O27" s="581"/>
      <c r="P27" s="581"/>
      <c r="Q27" s="1758"/>
      <c r="R27" s="1758"/>
      <c r="S27" s="1759" t="s">
        <v>39</v>
      </c>
      <c r="T27" s="1764">
        <f>F32-T17</f>
        <v>0</v>
      </c>
      <c r="U27" s="1758"/>
      <c r="V27" s="1758"/>
      <c r="W27" s="1758"/>
      <c r="X27" s="1758"/>
      <c r="Y27" s="1758"/>
      <c r="Z27" s="1758"/>
      <c r="AA27" s="1758"/>
      <c r="AB27" s="581"/>
      <c r="AC27" s="581"/>
      <c r="AD27" s="581"/>
      <c r="AE27" s="581"/>
      <c r="AF27" s="581"/>
      <c r="AG27" s="581"/>
      <c r="AH27" s="581"/>
      <c r="AI27" s="581"/>
      <c r="AJ27" s="581"/>
      <c r="AK27" s="581"/>
      <c r="AL27" s="581"/>
      <c r="AM27" s="581"/>
      <c r="AN27" s="581"/>
      <c r="AO27" s="581"/>
      <c r="AP27" s="581"/>
      <c r="AQ27" s="581"/>
      <c r="AR27" s="581"/>
    </row>
    <row r="28" spans="1:44" ht="13.5" customHeight="1" x14ac:dyDescent="0.3">
      <c r="A28" s="581"/>
      <c r="C28" s="478" t="str">
        <f t="shared" si="0"/>
        <v/>
      </c>
      <c r="D28" s="479" t="s">
        <v>37</v>
      </c>
      <c r="E28" s="480">
        <f>data!G3</f>
        <v>115</v>
      </c>
      <c r="F28" s="480">
        <f>F27</f>
        <v>1</v>
      </c>
      <c r="G28" s="480">
        <f t="shared" si="1"/>
        <v>1.1499999999999999</v>
      </c>
      <c r="K28" s="581"/>
      <c r="L28" s="581"/>
      <c r="M28" s="581"/>
      <c r="N28" s="581"/>
      <c r="O28" s="581"/>
      <c r="P28" s="581"/>
      <c r="Q28" s="1758"/>
      <c r="R28" s="1758"/>
      <c r="S28" s="1758"/>
      <c r="T28" s="1758"/>
      <c r="U28" s="1758"/>
      <c r="V28" s="1758"/>
      <c r="W28" s="1758"/>
      <c r="X28" s="1758"/>
      <c r="Y28" s="1758"/>
      <c r="Z28" s="1758"/>
      <c r="AA28" s="1758"/>
      <c r="AB28" s="581"/>
      <c r="AC28" s="581"/>
      <c r="AD28" s="581"/>
      <c r="AE28" s="581"/>
      <c r="AF28" s="581"/>
      <c r="AG28" s="581"/>
      <c r="AH28" s="581"/>
      <c r="AI28" s="581"/>
      <c r="AJ28" s="581"/>
      <c r="AK28" s="581"/>
      <c r="AL28" s="581"/>
      <c r="AM28" s="581"/>
      <c r="AN28" s="581"/>
      <c r="AO28" s="581"/>
      <c r="AP28" s="581"/>
      <c r="AQ28" s="581"/>
      <c r="AR28" s="581"/>
    </row>
    <row r="29" spans="1:44" ht="13.5" customHeight="1" x14ac:dyDescent="0.3">
      <c r="A29" s="581"/>
      <c r="C29" s="478" t="str">
        <f t="shared" si="0"/>
        <v/>
      </c>
      <c r="D29" s="479" t="s">
        <v>38</v>
      </c>
      <c r="E29" s="480">
        <f>data!H3</f>
        <v>105</v>
      </c>
      <c r="F29" s="480">
        <f>F28</f>
        <v>1</v>
      </c>
      <c r="G29" s="480">
        <f t="shared" si="1"/>
        <v>1.05</v>
      </c>
      <c r="K29" s="581"/>
      <c r="L29" s="581"/>
      <c r="M29" s="581"/>
      <c r="N29" s="581"/>
      <c r="O29" s="581"/>
      <c r="P29" s="581"/>
      <c r="Q29" s="1758"/>
      <c r="R29" s="1758"/>
      <c r="S29" s="1758"/>
      <c r="T29" s="1758"/>
      <c r="U29" s="1758"/>
      <c r="V29" s="1758"/>
      <c r="W29" s="1758"/>
      <c r="X29" s="1758"/>
      <c r="Y29" s="1758"/>
      <c r="Z29" s="1758"/>
      <c r="AA29" s="1758"/>
      <c r="AB29" s="581"/>
      <c r="AC29" s="581"/>
      <c r="AD29" s="581"/>
      <c r="AE29" s="581"/>
      <c r="AF29" s="581"/>
      <c r="AG29" s="581"/>
      <c r="AH29" s="581"/>
      <c r="AI29" s="581"/>
      <c r="AJ29" s="581"/>
      <c r="AK29" s="581"/>
      <c r="AL29" s="581"/>
      <c r="AM29" s="581"/>
      <c r="AN29" s="581"/>
      <c r="AO29" s="581"/>
      <c r="AP29" s="581"/>
      <c r="AQ29" s="581"/>
      <c r="AR29" s="581"/>
    </row>
    <row r="30" spans="1:44" ht="13.5" customHeight="1" x14ac:dyDescent="0.3">
      <c r="A30" s="581"/>
      <c r="C30" s="291"/>
      <c r="K30" s="581"/>
      <c r="L30" s="581"/>
      <c r="M30" s="581"/>
      <c r="N30" s="581"/>
      <c r="O30" s="581"/>
      <c r="P30" s="581"/>
      <c r="Q30" s="1758"/>
      <c r="R30" s="1758"/>
      <c r="S30" s="1758"/>
      <c r="T30" s="1758"/>
      <c r="U30" s="1758"/>
      <c r="V30" s="1758"/>
      <c r="W30" s="1758"/>
      <c r="X30" s="1758"/>
      <c r="Y30" s="1758"/>
      <c r="Z30" s="1758"/>
      <c r="AA30" s="1758"/>
      <c r="AB30" s="581"/>
      <c r="AC30" s="581"/>
      <c r="AD30" s="581"/>
      <c r="AE30" s="581"/>
      <c r="AF30" s="581"/>
      <c r="AG30" s="581"/>
      <c r="AH30" s="581"/>
      <c r="AI30" s="581"/>
      <c r="AJ30" s="581"/>
      <c r="AK30" s="581"/>
      <c r="AL30" s="581"/>
      <c r="AM30" s="581"/>
      <c r="AN30" s="581"/>
      <c r="AO30" s="581"/>
      <c r="AP30" s="581"/>
      <c r="AQ30" s="581"/>
      <c r="AR30" s="581"/>
    </row>
    <row r="31" spans="1:44" ht="13.5" customHeight="1" x14ac:dyDescent="0.3">
      <c r="A31" s="581"/>
      <c r="C31" s="291"/>
      <c r="D31" s="256" t="s">
        <v>60</v>
      </c>
      <c r="K31" s="581"/>
      <c r="L31" s="581"/>
      <c r="M31" s="581"/>
      <c r="N31" s="581"/>
      <c r="O31" s="581"/>
      <c r="P31" s="581"/>
      <c r="Q31" s="1758"/>
      <c r="R31" s="1758"/>
      <c r="S31" s="1758"/>
      <c r="T31" s="1758"/>
      <c r="U31" s="1758"/>
      <c r="V31" s="1758"/>
      <c r="W31" s="1758"/>
      <c r="X31" s="1758"/>
      <c r="Y31" s="1758"/>
      <c r="Z31" s="1758"/>
      <c r="AA31" s="1758"/>
      <c r="AB31" s="581"/>
      <c r="AC31" s="581"/>
      <c r="AD31" s="581"/>
      <c r="AE31" s="581"/>
      <c r="AF31" s="581"/>
      <c r="AG31" s="581"/>
      <c r="AH31" s="581"/>
      <c r="AI31" s="581"/>
      <c r="AJ31" s="581"/>
      <c r="AK31" s="581"/>
      <c r="AL31" s="581"/>
      <c r="AM31" s="581"/>
      <c r="AN31" s="581"/>
      <c r="AO31" s="581"/>
      <c r="AP31" s="581"/>
      <c r="AQ31" s="581"/>
      <c r="AR31" s="581"/>
    </row>
    <row r="32" spans="1:44" ht="22.5" customHeight="1" x14ac:dyDescent="0.35">
      <c r="A32" s="581"/>
      <c r="C32" s="291"/>
      <c r="D32" s="488" t="str">
        <f>"    "&amp;TEXT(T14,"#,###.00"&amp;"  x  "&amp;T26&amp;" = ")</f>
        <v xml:space="preserve">    .00  x  1 = </v>
      </c>
      <c r="E32" s="490"/>
      <c r="F32" s="491">
        <f>calc2!D28</f>
        <v>0</v>
      </c>
      <c r="K32" s="581"/>
      <c r="L32" s="581"/>
      <c r="M32" s="581"/>
      <c r="N32" s="581"/>
      <c r="O32" s="581"/>
      <c r="P32" s="581"/>
      <c r="Q32" s="584"/>
      <c r="R32" s="584"/>
      <c r="S32" s="584"/>
      <c r="T32" s="584"/>
      <c r="U32" s="584"/>
      <c r="V32" s="584"/>
      <c r="W32" s="584"/>
      <c r="X32" s="581"/>
      <c r="Y32" s="581"/>
      <c r="Z32" s="581"/>
      <c r="AA32" s="581"/>
      <c r="AB32" s="581"/>
      <c r="AC32" s="581"/>
      <c r="AD32" s="581"/>
      <c r="AE32" s="581"/>
      <c r="AF32" s="581"/>
      <c r="AG32" s="581"/>
      <c r="AH32" s="581"/>
      <c r="AI32" s="581"/>
      <c r="AJ32" s="581"/>
      <c r="AK32" s="581"/>
      <c r="AL32" s="581"/>
      <c r="AM32" s="581"/>
      <c r="AN32" s="581"/>
      <c r="AO32" s="581"/>
      <c r="AP32" s="581"/>
      <c r="AQ32" s="581"/>
      <c r="AR32" s="581"/>
    </row>
    <row r="33" spans="1:44" ht="14.5" x14ac:dyDescent="0.35">
      <c r="A33" s="581"/>
      <c r="C33" s="291"/>
      <c r="K33" s="581"/>
      <c r="L33" s="581"/>
      <c r="M33" s="581"/>
      <c r="N33" s="581"/>
      <c r="O33" s="581"/>
      <c r="P33" s="581"/>
      <c r="Q33" s="584"/>
      <c r="R33" s="584"/>
      <c r="S33" s="584"/>
      <c r="T33" s="584"/>
      <c r="U33" s="584"/>
      <c r="V33" s="584"/>
      <c r="W33" s="584"/>
      <c r="X33" s="581"/>
      <c r="Y33" s="581"/>
      <c r="Z33" s="581"/>
      <c r="AA33" s="581"/>
      <c r="AB33" s="581"/>
      <c r="AC33" s="581"/>
      <c r="AD33" s="581"/>
      <c r="AE33" s="581"/>
      <c r="AF33" s="581"/>
      <c r="AG33" s="581"/>
      <c r="AH33" s="581"/>
      <c r="AI33" s="581"/>
      <c r="AJ33" s="581"/>
      <c r="AK33" s="581"/>
      <c r="AL33" s="581"/>
      <c r="AM33" s="581"/>
      <c r="AN33" s="581"/>
      <c r="AO33" s="581"/>
      <c r="AP33" s="581"/>
      <c r="AQ33" s="581"/>
      <c r="AR33" s="581"/>
    </row>
    <row r="34" spans="1:44" ht="13.5" customHeight="1" x14ac:dyDescent="0.35">
      <c r="A34" s="581"/>
      <c r="C34" s="291"/>
      <c r="D34" s="256" t="str">
        <f>"The ratepayer is a "&amp;T20&amp;". Therefore, if the Notional Liability is "&amp;T19&amp;" than the"</f>
        <v>The ratepayer is a Winner. Therefore, if the Notional Liability is less than the</v>
      </c>
      <c r="K34" s="581"/>
      <c r="L34" s="581"/>
      <c r="M34" s="581"/>
      <c r="N34" s="581"/>
      <c r="O34" s="581"/>
      <c r="P34" s="581"/>
      <c r="Q34" s="584"/>
      <c r="R34" s="584"/>
      <c r="S34" s="584"/>
      <c r="T34" s="584"/>
      <c r="U34" s="584"/>
      <c r="V34" s="584"/>
      <c r="W34" s="584"/>
      <c r="X34" s="581"/>
      <c r="Y34" s="581"/>
      <c r="Z34" s="581"/>
      <c r="AA34" s="581"/>
      <c r="AB34" s="581"/>
      <c r="AC34" s="581"/>
      <c r="AD34" s="581"/>
      <c r="AE34" s="581"/>
      <c r="AF34" s="581"/>
      <c r="AG34" s="581"/>
      <c r="AH34" s="581"/>
      <c r="AI34" s="581"/>
      <c r="AJ34" s="581"/>
      <c r="AK34" s="581"/>
      <c r="AL34" s="581"/>
      <c r="AM34" s="581"/>
      <c r="AN34" s="581"/>
      <c r="AO34" s="581"/>
      <c r="AP34" s="581"/>
      <c r="AQ34" s="581"/>
      <c r="AR34" s="581"/>
    </row>
    <row r="35" spans="1:44" ht="13.5" customHeight="1" x14ac:dyDescent="0.35">
      <c r="A35" s="581"/>
      <c r="C35" s="291"/>
      <c r="D35" s="256" t="str">
        <f>"Base Liability AND "&amp;T19&amp;" than the Transitional Limit, transitional limits will apply"</f>
        <v>Base Liability AND less than the Transitional Limit, transitional limits will apply</v>
      </c>
      <c r="K35" s="581"/>
      <c r="L35" s="581"/>
      <c r="M35" s="581"/>
      <c r="N35" s="581"/>
      <c r="O35" s="581"/>
      <c r="P35" s="581"/>
      <c r="Q35" s="584"/>
      <c r="R35" s="584"/>
      <c r="S35" s="584"/>
      <c r="T35" s="584"/>
      <c r="U35" s="584"/>
      <c r="V35" s="584"/>
      <c r="W35" s="584"/>
      <c r="X35" s="581"/>
      <c r="Y35" s="581"/>
      <c r="Z35" s="581"/>
      <c r="AA35" s="581"/>
      <c r="AB35" s="581"/>
      <c r="AC35" s="581"/>
      <c r="AD35" s="581"/>
      <c r="AE35" s="581"/>
      <c r="AF35" s="581"/>
      <c r="AG35" s="581"/>
      <c r="AH35" s="581"/>
      <c r="AI35" s="581"/>
      <c r="AJ35" s="581"/>
      <c r="AK35" s="581"/>
      <c r="AL35" s="581"/>
      <c r="AM35" s="581"/>
      <c r="AN35" s="581"/>
      <c r="AO35" s="581"/>
      <c r="AP35" s="581"/>
      <c r="AQ35" s="581"/>
      <c r="AR35" s="581"/>
    </row>
    <row r="36" spans="1:44" ht="13.5" customHeight="1" x14ac:dyDescent="0.35">
      <c r="A36" s="581"/>
      <c r="C36" s="291"/>
      <c r="K36" s="581"/>
      <c r="L36" s="581"/>
      <c r="M36" s="581"/>
      <c r="N36" s="581"/>
      <c r="O36" s="581"/>
      <c r="P36" s="581"/>
      <c r="Q36" s="584"/>
      <c r="R36" s="584"/>
      <c r="S36" s="584"/>
      <c r="T36" s="584"/>
      <c r="U36" s="584"/>
      <c r="V36" s="584"/>
      <c r="W36" s="584"/>
      <c r="X36" s="581"/>
      <c r="Y36" s="581"/>
      <c r="Z36" s="581"/>
      <c r="AA36" s="581"/>
      <c r="AB36" s="581"/>
      <c r="AC36" s="581"/>
      <c r="AD36" s="581"/>
      <c r="AE36" s="581"/>
      <c r="AF36" s="581"/>
      <c r="AG36" s="581"/>
      <c r="AH36" s="581"/>
      <c r="AI36" s="581"/>
      <c r="AJ36" s="581"/>
      <c r="AK36" s="581"/>
      <c r="AL36" s="581"/>
      <c r="AM36" s="581"/>
      <c r="AN36" s="581"/>
      <c r="AO36" s="581"/>
      <c r="AP36" s="581"/>
      <c r="AQ36" s="581"/>
      <c r="AR36" s="581"/>
    </row>
    <row r="37" spans="1:44" ht="13.5" customHeight="1" x14ac:dyDescent="0.35">
      <c r="A37" s="581"/>
      <c r="C37" s="291"/>
      <c r="D37" s="482" t="s">
        <v>40</v>
      </c>
      <c r="E37" s="483"/>
      <c r="F37" s="484">
        <f>T17</f>
        <v>0</v>
      </c>
      <c r="K37" s="581"/>
      <c r="L37" s="581"/>
      <c r="M37" s="581"/>
      <c r="N37" s="581"/>
      <c r="O37" s="581"/>
      <c r="P37" s="581"/>
      <c r="Q37" s="584"/>
      <c r="R37" s="584"/>
      <c r="S37" s="584"/>
      <c r="T37" s="584"/>
      <c r="U37" s="584"/>
      <c r="V37" s="584"/>
      <c r="W37" s="584"/>
      <c r="X37" s="581"/>
      <c r="Y37" s="581"/>
      <c r="Z37" s="581"/>
      <c r="AA37" s="581"/>
      <c r="AB37" s="581"/>
      <c r="AC37" s="581"/>
      <c r="AD37" s="581"/>
      <c r="AE37" s="581"/>
      <c r="AF37" s="581"/>
      <c r="AG37" s="581"/>
      <c r="AH37" s="581"/>
      <c r="AI37" s="581"/>
      <c r="AJ37" s="581"/>
      <c r="AK37" s="581"/>
      <c r="AL37" s="581"/>
      <c r="AM37" s="581"/>
      <c r="AN37" s="581"/>
      <c r="AO37" s="581"/>
      <c r="AP37" s="581"/>
      <c r="AQ37" s="581"/>
      <c r="AR37" s="581"/>
    </row>
    <row r="38" spans="1:44" ht="13.5" customHeight="1" x14ac:dyDescent="0.35">
      <c r="A38" s="581"/>
      <c r="C38" s="291"/>
      <c r="D38" s="482" t="s">
        <v>834</v>
      </c>
      <c r="E38" s="483"/>
      <c r="F38" s="484">
        <f>T14</f>
        <v>0</v>
      </c>
      <c r="K38" s="581"/>
      <c r="L38" s="581"/>
      <c r="M38" s="581"/>
      <c r="N38" s="581"/>
      <c r="O38" s="581"/>
      <c r="P38" s="581"/>
      <c r="Q38" s="584"/>
      <c r="R38" s="584"/>
      <c r="S38" s="584"/>
      <c r="T38" s="584"/>
      <c r="U38" s="584"/>
      <c r="V38" s="584"/>
      <c r="W38" s="584"/>
      <c r="X38" s="581"/>
      <c r="Y38" s="581"/>
      <c r="Z38" s="581"/>
      <c r="AA38" s="581"/>
      <c r="AB38" s="581"/>
      <c r="AC38" s="581"/>
      <c r="AD38" s="581"/>
      <c r="AE38" s="581"/>
      <c r="AF38" s="581"/>
      <c r="AG38" s="581"/>
      <c r="AH38" s="581"/>
      <c r="AI38" s="581"/>
      <c r="AJ38" s="581"/>
      <c r="AK38" s="581"/>
      <c r="AL38" s="581"/>
      <c r="AM38" s="581"/>
      <c r="AN38" s="581"/>
      <c r="AO38" s="581"/>
      <c r="AP38" s="581"/>
      <c r="AQ38" s="581"/>
      <c r="AR38" s="581"/>
    </row>
    <row r="39" spans="1:44" ht="13.5" customHeight="1" x14ac:dyDescent="0.35">
      <c r="A39" s="581"/>
      <c r="C39" s="291"/>
      <c r="D39" s="482" t="s">
        <v>41</v>
      </c>
      <c r="E39" s="483"/>
      <c r="F39" s="484">
        <f>F32</f>
        <v>0</v>
      </c>
      <c r="K39" s="581"/>
      <c r="L39" s="581"/>
      <c r="M39" s="581"/>
      <c r="N39" s="581"/>
      <c r="O39" s="581"/>
      <c r="P39" s="581"/>
      <c r="Q39" s="584"/>
      <c r="R39" s="584"/>
      <c r="S39" s="584"/>
      <c r="T39" s="584"/>
      <c r="U39" s="584"/>
      <c r="V39" s="584"/>
      <c r="W39" s="584"/>
      <c r="X39" s="581"/>
      <c r="Y39" s="581"/>
      <c r="Z39" s="581"/>
      <c r="AA39" s="581"/>
      <c r="AB39" s="581"/>
      <c r="AC39" s="581"/>
      <c r="AD39" s="581"/>
      <c r="AE39" s="581"/>
      <c r="AF39" s="581"/>
      <c r="AG39" s="581"/>
      <c r="AH39" s="581"/>
      <c r="AI39" s="581"/>
      <c r="AJ39" s="581"/>
      <c r="AK39" s="581"/>
      <c r="AL39" s="581"/>
      <c r="AM39" s="581"/>
      <c r="AN39" s="581"/>
      <c r="AO39" s="581"/>
      <c r="AP39" s="581"/>
      <c r="AQ39" s="581"/>
      <c r="AR39" s="581"/>
    </row>
    <row r="40" spans="1:44" ht="14.15" customHeight="1" x14ac:dyDescent="0.35">
      <c r="A40" s="581"/>
      <c r="D40" s="482" t="s">
        <v>42</v>
      </c>
      <c r="E40" s="483"/>
      <c r="F40" s="485" t="str">
        <f>IF(calc2!D38 = TRUE,"Yes","No")</f>
        <v>No</v>
      </c>
      <c r="G40" s="257" t="str">
        <f>IF(T14=0,"If there is no BL transition does not apply",IF(F40="Yes",IF(T20="Loser","(Transitional Relief)","(Transitional Premium)"),""))</f>
        <v>If there is no BL transition does not apply</v>
      </c>
      <c r="K40" s="581"/>
      <c r="L40" s="581"/>
      <c r="M40" s="581"/>
      <c r="N40" s="581"/>
      <c r="O40" s="581"/>
      <c r="P40" s="581"/>
      <c r="Q40" s="584"/>
      <c r="R40" s="584"/>
      <c r="S40" s="584"/>
      <c r="T40" s="584"/>
      <c r="U40" s="584"/>
      <c r="V40" s="584"/>
      <c r="W40" s="584"/>
      <c r="X40" s="581"/>
      <c r="Y40" s="581"/>
      <c r="Z40" s="581"/>
      <c r="AA40" s="581"/>
      <c r="AB40" s="581"/>
      <c r="AC40" s="581"/>
      <c r="AD40" s="581"/>
      <c r="AE40" s="581"/>
      <c r="AF40" s="581"/>
      <c r="AG40" s="581"/>
      <c r="AH40" s="581"/>
      <c r="AI40" s="581"/>
      <c r="AJ40" s="581"/>
      <c r="AK40" s="581"/>
      <c r="AL40" s="581"/>
      <c r="AM40" s="581"/>
      <c r="AN40" s="581"/>
      <c r="AO40" s="581"/>
      <c r="AP40" s="581"/>
      <c r="AQ40" s="581"/>
      <c r="AR40" s="581"/>
    </row>
    <row r="41" spans="1:44" ht="14.15" customHeight="1" x14ac:dyDescent="0.35">
      <c r="A41" s="581"/>
      <c r="F41" s="486"/>
      <c r="K41" s="581"/>
      <c r="L41" s="581"/>
      <c r="M41" s="581"/>
      <c r="N41" s="581"/>
      <c r="O41" s="581"/>
      <c r="P41" s="581"/>
      <c r="Q41" s="584"/>
      <c r="R41" s="584"/>
      <c r="S41" s="584"/>
      <c r="T41" s="584"/>
      <c r="U41" s="584"/>
      <c r="V41" s="584"/>
      <c r="W41" s="584"/>
      <c r="X41" s="581"/>
      <c r="Y41" s="581"/>
      <c r="Z41" s="581"/>
      <c r="AA41" s="581"/>
      <c r="AB41" s="581"/>
      <c r="AC41" s="581"/>
      <c r="AD41" s="581"/>
      <c r="AE41" s="581"/>
      <c r="AF41" s="581"/>
      <c r="AG41" s="581"/>
      <c r="AH41" s="581"/>
      <c r="AI41" s="581"/>
      <c r="AJ41" s="581"/>
      <c r="AK41" s="581"/>
      <c r="AL41" s="581"/>
      <c r="AM41" s="581"/>
      <c r="AN41" s="581"/>
      <c r="AO41" s="581"/>
      <c r="AP41" s="581"/>
      <c r="AQ41" s="581"/>
      <c r="AR41" s="581"/>
    </row>
    <row r="42" spans="1:44" ht="19.5" customHeight="1" x14ac:dyDescent="0.35">
      <c r="A42" s="581"/>
      <c r="D42" s="488" t="str">
        <f>IF(F40="Yes","The Transitional Adjustment (TL - NL) is therefore   "&amp;TEXT(T27,"#,###.00"),"In this case there will be no transitional adjustment")</f>
        <v>In this case there will be no transitional adjustment</v>
      </c>
      <c r="F42" s="486"/>
      <c r="G42" s="481"/>
      <c r="K42" s="581"/>
      <c r="L42" s="581"/>
      <c r="M42" s="581"/>
      <c r="N42" s="581"/>
      <c r="O42" s="581"/>
      <c r="P42" s="581"/>
      <c r="Q42" s="584"/>
      <c r="R42" s="584"/>
      <c r="S42" s="584"/>
      <c r="T42" s="584"/>
      <c r="U42" s="584"/>
      <c r="V42" s="584"/>
      <c r="W42" s="584"/>
      <c r="X42" s="581"/>
      <c r="Y42" s="581"/>
      <c r="Z42" s="581"/>
      <c r="AA42" s="581"/>
      <c r="AB42" s="581"/>
      <c r="AC42" s="581"/>
      <c r="AD42" s="581"/>
      <c r="AE42" s="581"/>
      <c r="AF42" s="581"/>
      <c r="AG42" s="581"/>
      <c r="AH42" s="581"/>
      <c r="AI42" s="581"/>
      <c r="AJ42" s="581"/>
      <c r="AK42" s="581"/>
      <c r="AL42" s="581"/>
      <c r="AM42" s="581"/>
      <c r="AN42" s="581"/>
      <c r="AO42" s="581"/>
      <c r="AP42" s="581"/>
      <c r="AQ42" s="581"/>
      <c r="AR42" s="581"/>
    </row>
    <row r="43" spans="1:44" ht="14.15" customHeight="1" x14ac:dyDescent="0.35">
      <c r="A43" s="581"/>
      <c r="F43" s="486"/>
      <c r="K43" s="581"/>
      <c r="L43" s="581"/>
      <c r="M43" s="581"/>
      <c r="N43" s="581"/>
      <c r="O43" s="581"/>
      <c r="P43" s="581"/>
      <c r="Q43" s="584"/>
      <c r="R43" s="584"/>
      <c r="S43" s="584"/>
      <c r="T43" s="584"/>
      <c r="U43" s="584"/>
      <c r="V43" s="584"/>
      <c r="W43" s="584"/>
      <c r="X43" s="581"/>
      <c r="Y43" s="581"/>
      <c r="Z43" s="581"/>
      <c r="AA43" s="581"/>
      <c r="AB43" s="581"/>
      <c r="AC43" s="581"/>
      <c r="AD43" s="581"/>
      <c r="AE43" s="581"/>
      <c r="AF43" s="581"/>
      <c r="AG43" s="581"/>
      <c r="AH43" s="581"/>
      <c r="AI43" s="581"/>
      <c r="AJ43" s="581"/>
      <c r="AK43" s="581"/>
      <c r="AL43" s="581"/>
      <c r="AM43" s="581"/>
      <c r="AN43" s="581"/>
      <c r="AO43" s="581"/>
      <c r="AP43" s="581"/>
      <c r="AQ43" s="581"/>
      <c r="AR43" s="581"/>
    </row>
    <row r="44" spans="1:44" ht="14.15" customHeight="1" x14ac:dyDescent="0.35">
      <c r="A44" s="581"/>
      <c r="D44" s="256" t="str">
        <f>IF(F40="Yes","This figure will be adjusted for the number of chargeable days (if not a full year) and used","")</f>
        <v/>
      </c>
      <c r="F44" s="486"/>
      <c r="K44" s="581"/>
      <c r="L44" s="581"/>
      <c r="M44" s="581"/>
      <c r="N44" s="581"/>
      <c r="O44" s="581"/>
      <c r="P44" s="581"/>
      <c r="Q44" s="584"/>
      <c r="R44" s="584"/>
      <c r="S44" s="584"/>
      <c r="T44" s="584"/>
      <c r="U44" s="584"/>
      <c r="V44" s="584"/>
      <c r="W44" s="584"/>
      <c r="X44" s="581"/>
      <c r="Y44" s="581"/>
      <c r="Z44" s="581"/>
      <c r="AA44" s="581"/>
      <c r="AB44" s="581"/>
      <c r="AC44" s="581"/>
      <c r="AD44" s="581"/>
      <c r="AE44" s="581"/>
      <c r="AF44" s="581"/>
      <c r="AG44" s="581"/>
      <c r="AH44" s="581"/>
      <c r="AI44" s="581"/>
      <c r="AJ44" s="581"/>
      <c r="AK44" s="581"/>
      <c r="AL44" s="581"/>
      <c r="AM44" s="581"/>
      <c r="AN44" s="581"/>
      <c r="AO44" s="581"/>
      <c r="AP44" s="581"/>
      <c r="AQ44" s="581"/>
      <c r="AR44" s="581"/>
    </row>
    <row r="45" spans="1:44" ht="14.15" customHeight="1" x14ac:dyDescent="0.35">
      <c r="A45" s="581"/>
      <c r="D45" s="256" t="str">
        <f>IF(F40="Yes","in the liability calculation","")</f>
        <v/>
      </c>
      <c r="E45" s="276"/>
      <c r="H45" s="327"/>
      <c r="K45" s="581"/>
      <c r="L45" s="581"/>
      <c r="M45" s="581"/>
      <c r="N45" s="581"/>
      <c r="O45" s="581"/>
      <c r="P45" s="581"/>
      <c r="Q45" s="584"/>
      <c r="R45" s="584"/>
      <c r="S45" s="584"/>
      <c r="T45" s="584"/>
      <c r="U45" s="584"/>
      <c r="V45" s="584"/>
      <c r="W45" s="584"/>
      <c r="X45" s="581"/>
      <c r="Y45" s="581"/>
      <c r="Z45" s="581"/>
      <c r="AA45" s="581"/>
      <c r="AB45" s="581"/>
      <c r="AC45" s="581"/>
      <c r="AD45" s="581"/>
      <c r="AE45" s="581"/>
      <c r="AF45" s="581"/>
      <c r="AG45" s="581"/>
      <c r="AH45" s="581"/>
      <c r="AI45" s="581"/>
      <c r="AJ45" s="581"/>
      <c r="AK45" s="581"/>
      <c r="AL45" s="581"/>
      <c r="AM45" s="581"/>
      <c r="AN45" s="581"/>
      <c r="AO45" s="581"/>
      <c r="AP45" s="581"/>
      <c r="AQ45" s="581"/>
      <c r="AR45" s="581"/>
    </row>
    <row r="46" spans="1:44" ht="13.5" customHeight="1" x14ac:dyDescent="0.35">
      <c r="A46" s="581"/>
      <c r="K46" s="581"/>
      <c r="L46" s="581"/>
      <c r="M46" s="581"/>
      <c r="N46" s="581"/>
      <c r="O46" s="581"/>
      <c r="P46" s="581"/>
      <c r="Q46" s="584"/>
      <c r="R46" s="584"/>
      <c r="S46" s="584"/>
      <c r="T46" s="584"/>
      <c r="U46" s="584"/>
      <c r="V46" s="584"/>
      <c r="W46" s="584"/>
      <c r="X46" s="581"/>
      <c r="Y46" s="581"/>
      <c r="Z46" s="581"/>
      <c r="AA46" s="581"/>
      <c r="AB46" s="581"/>
      <c r="AC46" s="581"/>
      <c r="AD46" s="581"/>
      <c r="AE46" s="581"/>
      <c r="AF46" s="581"/>
      <c r="AG46" s="581"/>
      <c r="AH46" s="581"/>
      <c r="AI46" s="581"/>
      <c r="AJ46" s="581"/>
      <c r="AK46" s="581"/>
      <c r="AL46" s="581"/>
      <c r="AM46" s="581"/>
      <c r="AN46" s="581"/>
      <c r="AO46" s="581"/>
      <c r="AP46" s="581"/>
      <c r="AQ46" s="581"/>
      <c r="AR46" s="581"/>
    </row>
    <row r="47" spans="1:44" ht="13.5" customHeight="1" x14ac:dyDescent="0.35">
      <c r="A47" s="581"/>
      <c r="E47" s="276"/>
      <c r="H47" s="327"/>
      <c r="K47" s="581"/>
      <c r="L47" s="581"/>
      <c r="M47" s="581"/>
      <c r="N47" s="581"/>
      <c r="O47" s="581"/>
      <c r="P47" s="581"/>
      <c r="Q47" s="584"/>
      <c r="R47" s="584"/>
      <c r="S47" s="584"/>
      <c r="T47" s="584"/>
      <c r="U47" s="584"/>
      <c r="V47" s="584"/>
      <c r="W47" s="584"/>
      <c r="X47" s="581"/>
      <c r="Y47" s="581"/>
      <c r="Z47" s="581"/>
      <c r="AA47" s="581"/>
      <c r="AB47" s="581"/>
      <c r="AC47" s="581"/>
      <c r="AD47" s="581"/>
      <c r="AE47" s="581"/>
      <c r="AF47" s="581"/>
      <c r="AG47" s="581"/>
      <c r="AH47" s="581"/>
      <c r="AI47" s="581"/>
      <c r="AJ47" s="581"/>
      <c r="AK47" s="581"/>
      <c r="AL47" s="581"/>
      <c r="AM47" s="581"/>
      <c r="AN47" s="581"/>
      <c r="AO47" s="581"/>
      <c r="AP47" s="581"/>
      <c r="AQ47" s="581"/>
      <c r="AR47" s="581"/>
    </row>
    <row r="48" spans="1:44" ht="9" customHeight="1" x14ac:dyDescent="0.25">
      <c r="A48" s="581"/>
      <c r="K48" s="581"/>
      <c r="L48" s="581"/>
      <c r="M48" s="581"/>
      <c r="N48" s="581"/>
      <c r="O48" s="581"/>
      <c r="P48" s="581"/>
      <c r="Q48" s="581"/>
      <c r="R48" s="581"/>
      <c r="S48" s="581"/>
      <c r="T48" s="581"/>
      <c r="U48" s="581"/>
      <c r="V48" s="581"/>
      <c r="W48" s="581"/>
      <c r="X48" s="581"/>
      <c r="Y48" s="581"/>
      <c r="Z48" s="581"/>
      <c r="AA48" s="581"/>
      <c r="AB48" s="581"/>
      <c r="AC48" s="581"/>
      <c r="AD48" s="581"/>
      <c r="AE48" s="581"/>
      <c r="AF48" s="581"/>
      <c r="AG48" s="581"/>
      <c r="AH48" s="581"/>
      <c r="AI48" s="581"/>
      <c r="AJ48" s="581"/>
      <c r="AK48" s="581"/>
      <c r="AL48" s="581"/>
      <c r="AM48" s="581"/>
      <c r="AN48" s="581"/>
      <c r="AO48" s="581"/>
      <c r="AP48" s="581"/>
      <c r="AQ48" s="581"/>
      <c r="AR48" s="581"/>
    </row>
    <row r="49" spans="1:44" ht="12.75" customHeight="1" x14ac:dyDescent="0.25">
      <c r="A49" s="581"/>
      <c r="C49" s="283"/>
      <c r="D49" s="283"/>
      <c r="E49" s="335"/>
      <c r="F49" s="335"/>
      <c r="G49" s="335"/>
      <c r="H49" s="283"/>
      <c r="I49" s="487"/>
      <c r="J49" s="283"/>
      <c r="K49" s="581"/>
      <c r="L49" s="581"/>
      <c r="M49" s="581"/>
      <c r="N49" s="581"/>
      <c r="O49" s="581"/>
      <c r="P49" s="581"/>
      <c r="Q49" s="581"/>
      <c r="R49" s="581"/>
      <c r="S49" s="581"/>
      <c r="T49" s="581"/>
      <c r="U49" s="581"/>
      <c r="V49" s="581"/>
      <c r="W49" s="581"/>
      <c r="X49" s="581"/>
      <c r="Y49" s="581"/>
      <c r="Z49" s="581"/>
      <c r="AA49" s="581"/>
      <c r="AB49" s="581"/>
      <c r="AC49" s="581"/>
      <c r="AD49" s="581"/>
      <c r="AE49" s="581"/>
      <c r="AF49" s="581"/>
      <c r="AG49" s="581"/>
      <c r="AH49" s="581"/>
      <c r="AI49" s="581"/>
      <c r="AJ49" s="581"/>
      <c r="AK49" s="581"/>
      <c r="AL49" s="581"/>
      <c r="AM49" s="581"/>
      <c r="AN49" s="581"/>
      <c r="AO49" s="581"/>
      <c r="AP49" s="581"/>
      <c r="AQ49" s="581"/>
      <c r="AR49" s="581"/>
    </row>
    <row r="50" spans="1:44" ht="11.25" customHeight="1" x14ac:dyDescent="0.25">
      <c r="A50" s="581"/>
      <c r="K50" s="581"/>
      <c r="L50" s="581"/>
      <c r="M50" s="581"/>
      <c r="N50" s="581"/>
      <c r="O50" s="581"/>
      <c r="P50" s="581"/>
      <c r="Q50" s="581"/>
      <c r="R50" s="581"/>
      <c r="S50" s="581"/>
      <c r="T50" s="581"/>
      <c r="U50" s="581"/>
      <c r="V50" s="581"/>
      <c r="W50" s="581"/>
      <c r="X50" s="581"/>
      <c r="Y50" s="581"/>
      <c r="Z50" s="581"/>
      <c r="AA50" s="581"/>
      <c r="AB50" s="581"/>
      <c r="AC50" s="581"/>
      <c r="AD50" s="581"/>
      <c r="AE50" s="581"/>
      <c r="AF50" s="581"/>
      <c r="AG50" s="581"/>
      <c r="AH50" s="581"/>
      <c r="AI50" s="581"/>
      <c r="AJ50" s="581"/>
      <c r="AK50" s="581"/>
      <c r="AL50" s="581"/>
      <c r="AM50" s="581"/>
      <c r="AN50" s="581"/>
      <c r="AO50" s="581"/>
      <c r="AP50" s="581"/>
      <c r="AQ50" s="581"/>
      <c r="AR50" s="581"/>
    </row>
    <row r="51" spans="1:44" ht="21" customHeight="1" x14ac:dyDescent="0.35">
      <c r="A51" s="581"/>
      <c r="C51" s="256" t="str">
        <f>'basic output'!C57</f>
        <v>prepared by</v>
      </c>
      <c r="D51" s="488" t="str">
        <f>'basic output'!E57</f>
        <v>CBRE</v>
      </c>
      <c r="K51" s="581"/>
      <c r="L51" s="581"/>
      <c r="M51" s="581"/>
      <c r="N51" s="581"/>
      <c r="O51" s="581"/>
      <c r="P51" s="581"/>
      <c r="Q51" s="581"/>
      <c r="R51" s="581"/>
      <c r="S51" s="581"/>
      <c r="T51" s="581"/>
      <c r="U51" s="581"/>
      <c r="V51" s="581"/>
      <c r="W51" s="581"/>
      <c r="X51" s="581"/>
      <c r="Y51" s="581"/>
      <c r="Z51" s="581"/>
      <c r="AA51" s="581"/>
      <c r="AB51" s="581"/>
      <c r="AC51" s="581"/>
      <c r="AD51" s="581"/>
      <c r="AE51" s="581"/>
      <c r="AF51" s="581"/>
      <c r="AG51" s="581"/>
      <c r="AH51" s="581"/>
      <c r="AI51" s="581"/>
      <c r="AJ51" s="581"/>
      <c r="AK51" s="581"/>
      <c r="AL51" s="581"/>
      <c r="AM51" s="581"/>
      <c r="AN51" s="581"/>
      <c r="AO51" s="581"/>
      <c r="AP51" s="581"/>
      <c r="AQ51" s="581"/>
      <c r="AR51" s="581"/>
    </row>
    <row r="52" spans="1:44" ht="24" customHeight="1" x14ac:dyDescent="0.25">
      <c r="A52" s="581"/>
      <c r="K52" s="581"/>
      <c r="L52" s="581"/>
      <c r="M52" s="581"/>
      <c r="N52" s="581"/>
      <c r="O52" s="581"/>
      <c r="P52" s="581"/>
      <c r="Q52" s="581"/>
      <c r="R52" s="581"/>
      <c r="S52" s="581"/>
      <c r="T52" s="581"/>
      <c r="U52" s="581"/>
      <c r="V52" s="581"/>
      <c r="W52" s="581"/>
      <c r="X52" s="581"/>
      <c r="Y52" s="581"/>
      <c r="Z52" s="581"/>
      <c r="AA52" s="581"/>
      <c r="AB52" s="581"/>
      <c r="AC52" s="581"/>
      <c r="AD52" s="581"/>
      <c r="AE52" s="581"/>
      <c r="AF52" s="581"/>
      <c r="AG52" s="581"/>
      <c r="AH52" s="581"/>
      <c r="AI52" s="581"/>
      <c r="AJ52" s="581"/>
      <c r="AK52" s="581"/>
      <c r="AL52" s="581"/>
      <c r="AM52" s="581"/>
      <c r="AN52" s="581"/>
      <c r="AO52" s="581"/>
      <c r="AP52" s="581"/>
      <c r="AQ52" s="581"/>
      <c r="AR52" s="581"/>
    </row>
    <row r="53" spans="1:44" ht="12.75" customHeight="1" x14ac:dyDescent="0.25">
      <c r="A53" s="581"/>
      <c r="B53" s="581"/>
      <c r="C53" s="581"/>
      <c r="D53" s="581"/>
      <c r="E53" s="581"/>
      <c r="F53" s="581"/>
      <c r="G53" s="581"/>
      <c r="H53" s="581"/>
      <c r="I53" s="581"/>
      <c r="J53" s="581"/>
      <c r="K53" s="581"/>
      <c r="L53" s="581"/>
      <c r="M53" s="581"/>
      <c r="N53" s="581"/>
      <c r="O53" s="581"/>
      <c r="P53" s="581"/>
      <c r="Q53" s="581"/>
      <c r="R53" s="581"/>
      <c r="S53" s="581"/>
      <c r="T53" s="581"/>
      <c r="U53" s="581"/>
      <c r="V53" s="581"/>
      <c r="W53" s="581"/>
      <c r="X53" s="581"/>
      <c r="Y53" s="581"/>
      <c r="Z53" s="581"/>
      <c r="AA53" s="581"/>
      <c r="AB53" s="581"/>
      <c r="AC53" s="581"/>
      <c r="AD53" s="581"/>
      <c r="AE53" s="581"/>
      <c r="AF53" s="581"/>
      <c r="AG53" s="581"/>
      <c r="AH53" s="581"/>
      <c r="AI53" s="581"/>
      <c r="AJ53" s="581"/>
      <c r="AK53" s="581"/>
      <c r="AL53" s="581"/>
      <c r="AM53" s="581"/>
      <c r="AN53" s="581"/>
      <c r="AO53" s="581"/>
      <c r="AP53" s="581"/>
      <c r="AQ53" s="581"/>
      <c r="AR53" s="581"/>
    </row>
    <row r="54" spans="1:44" ht="12.75" customHeight="1" x14ac:dyDescent="0.25">
      <c r="A54" s="581"/>
      <c r="B54" s="581"/>
      <c r="C54" s="581"/>
      <c r="D54" s="581"/>
      <c r="E54" s="581"/>
      <c r="F54" s="581"/>
      <c r="G54" s="581"/>
      <c r="H54" s="581"/>
      <c r="I54" s="581"/>
      <c r="J54" s="581"/>
      <c r="K54" s="581"/>
      <c r="L54" s="581"/>
      <c r="M54" s="581"/>
      <c r="N54" s="581"/>
      <c r="O54" s="581"/>
      <c r="P54" s="581"/>
      <c r="Q54" s="581"/>
      <c r="R54" s="581"/>
      <c r="S54" s="581"/>
      <c r="T54" s="581"/>
      <c r="U54" s="581"/>
      <c r="V54" s="581"/>
      <c r="W54" s="581"/>
      <c r="X54" s="581"/>
      <c r="Y54" s="581"/>
      <c r="Z54" s="581"/>
      <c r="AA54" s="581"/>
      <c r="AB54" s="581"/>
      <c r="AC54" s="581"/>
      <c r="AD54" s="581"/>
      <c r="AE54" s="581"/>
      <c r="AF54" s="581"/>
      <c r="AG54" s="581"/>
      <c r="AH54" s="581"/>
      <c r="AI54" s="581"/>
      <c r="AJ54" s="581"/>
      <c r="AK54" s="581"/>
      <c r="AL54" s="581"/>
      <c r="AM54" s="581"/>
      <c r="AN54" s="581"/>
      <c r="AO54" s="581"/>
      <c r="AP54" s="581"/>
      <c r="AQ54" s="581"/>
      <c r="AR54" s="581"/>
    </row>
    <row r="55" spans="1:44" ht="12.75" customHeight="1" x14ac:dyDescent="0.25">
      <c r="A55" s="581"/>
      <c r="B55" s="581"/>
      <c r="C55" s="581"/>
      <c r="D55" s="581"/>
      <c r="E55" s="581"/>
      <c r="F55" s="581"/>
      <c r="G55" s="581"/>
      <c r="H55" s="581"/>
      <c r="I55" s="581"/>
      <c r="J55" s="581"/>
      <c r="K55" s="581"/>
      <c r="L55" s="581"/>
      <c r="M55" s="581"/>
      <c r="N55" s="581"/>
      <c r="O55" s="581"/>
      <c r="P55" s="581"/>
      <c r="Q55" s="581"/>
      <c r="R55" s="581"/>
      <c r="S55" s="581"/>
      <c r="T55" s="581"/>
      <c r="U55" s="581"/>
      <c r="V55" s="581"/>
      <c r="W55" s="581"/>
      <c r="X55" s="581"/>
      <c r="Y55" s="581"/>
      <c r="Z55" s="581"/>
      <c r="AA55" s="581"/>
      <c r="AB55" s="581"/>
      <c r="AC55" s="581"/>
      <c r="AD55" s="581"/>
      <c r="AE55" s="581"/>
      <c r="AF55" s="581"/>
      <c r="AG55" s="581"/>
      <c r="AH55" s="581"/>
      <c r="AI55" s="581"/>
      <c r="AJ55" s="581"/>
      <c r="AK55" s="581"/>
      <c r="AL55" s="581"/>
      <c r="AM55" s="581"/>
      <c r="AN55" s="581"/>
      <c r="AO55" s="581"/>
      <c r="AP55" s="581"/>
      <c r="AQ55" s="581"/>
      <c r="AR55" s="581"/>
    </row>
    <row r="56" spans="1:44" ht="12.75" customHeight="1" x14ac:dyDescent="0.25">
      <c r="A56" s="581"/>
      <c r="B56" s="581"/>
      <c r="C56" s="581"/>
      <c r="D56" s="581"/>
      <c r="E56" s="581"/>
      <c r="F56" s="581"/>
      <c r="G56" s="581"/>
      <c r="H56" s="581"/>
      <c r="I56" s="581"/>
      <c r="J56" s="581"/>
      <c r="K56" s="581"/>
      <c r="L56" s="581"/>
      <c r="M56" s="581"/>
      <c r="N56" s="581"/>
      <c r="O56" s="581"/>
      <c r="P56" s="581"/>
      <c r="Q56" s="581"/>
      <c r="R56" s="581"/>
      <c r="S56" s="581"/>
      <c r="T56" s="581"/>
      <c r="U56" s="581"/>
      <c r="V56" s="581"/>
      <c r="W56" s="581"/>
      <c r="X56" s="581"/>
      <c r="Y56" s="581"/>
      <c r="Z56" s="581"/>
      <c r="AA56" s="581"/>
      <c r="AB56" s="581"/>
      <c r="AC56" s="581"/>
      <c r="AD56" s="581"/>
      <c r="AE56" s="581"/>
      <c r="AF56" s="581"/>
      <c r="AG56" s="581"/>
      <c r="AH56" s="581"/>
      <c r="AI56" s="581"/>
      <c r="AJ56" s="581"/>
      <c r="AK56" s="581"/>
      <c r="AL56" s="581"/>
      <c r="AM56" s="581"/>
      <c r="AN56" s="581"/>
      <c r="AO56" s="581"/>
      <c r="AP56" s="581"/>
      <c r="AQ56" s="581"/>
      <c r="AR56" s="581"/>
    </row>
    <row r="57" spans="1:44" ht="12.75" customHeight="1" x14ac:dyDescent="0.25">
      <c r="A57" s="581"/>
      <c r="B57" s="581"/>
      <c r="C57" s="581"/>
      <c r="D57" s="581"/>
      <c r="E57" s="581"/>
      <c r="F57" s="581"/>
      <c r="G57" s="581"/>
      <c r="H57" s="581"/>
      <c r="I57" s="581"/>
      <c r="J57" s="581"/>
      <c r="K57" s="581"/>
      <c r="L57" s="581"/>
      <c r="M57" s="581"/>
      <c r="N57" s="581"/>
      <c r="O57" s="581"/>
      <c r="P57" s="581"/>
      <c r="Q57" s="581"/>
      <c r="R57" s="581"/>
      <c r="S57" s="581"/>
      <c r="T57" s="581"/>
      <c r="U57" s="581"/>
      <c r="V57" s="581"/>
      <c r="W57" s="581"/>
      <c r="X57" s="581"/>
      <c r="Y57" s="581"/>
      <c r="Z57" s="581"/>
      <c r="AA57" s="581"/>
      <c r="AB57" s="581"/>
      <c r="AC57" s="581"/>
      <c r="AD57" s="581"/>
      <c r="AE57" s="581"/>
      <c r="AF57" s="581"/>
      <c r="AG57" s="581"/>
      <c r="AH57" s="581"/>
      <c r="AI57" s="581"/>
      <c r="AJ57" s="581"/>
      <c r="AK57" s="581"/>
      <c r="AL57" s="581"/>
      <c r="AM57" s="581"/>
      <c r="AN57" s="581"/>
      <c r="AO57" s="581"/>
      <c r="AP57" s="581"/>
      <c r="AQ57" s="581"/>
      <c r="AR57" s="581"/>
    </row>
    <row r="58" spans="1:44" ht="12.75" customHeight="1" x14ac:dyDescent="0.25">
      <c r="A58" s="581"/>
      <c r="B58" s="581"/>
      <c r="C58" s="581"/>
      <c r="D58" s="581"/>
      <c r="E58" s="581"/>
      <c r="F58" s="581"/>
      <c r="G58" s="581"/>
      <c r="H58" s="581"/>
      <c r="I58" s="581"/>
      <c r="J58" s="581"/>
      <c r="K58" s="581"/>
      <c r="L58" s="581"/>
      <c r="M58" s="581"/>
      <c r="N58" s="581"/>
      <c r="O58" s="581"/>
      <c r="P58" s="581"/>
      <c r="Q58" s="581"/>
      <c r="R58" s="581"/>
      <c r="S58" s="581"/>
      <c r="T58" s="581"/>
      <c r="U58" s="581"/>
      <c r="V58" s="581"/>
      <c r="W58" s="581"/>
      <c r="X58" s="581"/>
      <c r="Y58" s="581"/>
      <c r="Z58" s="581"/>
      <c r="AA58" s="581"/>
      <c r="AB58" s="581"/>
      <c r="AC58" s="581"/>
      <c r="AD58" s="581"/>
      <c r="AE58" s="581"/>
      <c r="AF58" s="581"/>
      <c r="AG58" s="581"/>
      <c r="AH58" s="581"/>
      <c r="AI58" s="581"/>
      <c r="AJ58" s="581"/>
      <c r="AK58" s="581"/>
      <c r="AL58" s="581"/>
      <c r="AM58" s="581"/>
      <c r="AN58" s="581"/>
      <c r="AO58" s="581"/>
      <c r="AP58" s="581"/>
      <c r="AQ58" s="581"/>
      <c r="AR58" s="581"/>
    </row>
    <row r="59" spans="1:44" ht="12.75" customHeight="1" x14ac:dyDescent="0.25">
      <c r="A59" s="581"/>
      <c r="B59" s="581"/>
      <c r="C59" s="581"/>
      <c r="D59" s="581"/>
      <c r="E59" s="581"/>
      <c r="F59" s="581"/>
      <c r="G59" s="581"/>
      <c r="H59" s="581"/>
      <c r="I59" s="581"/>
      <c r="J59" s="581"/>
      <c r="K59" s="581"/>
      <c r="L59" s="581"/>
      <c r="M59" s="581"/>
      <c r="N59" s="581"/>
      <c r="O59" s="581"/>
      <c r="P59" s="581"/>
      <c r="Q59" s="581"/>
      <c r="R59" s="581"/>
      <c r="S59" s="581"/>
      <c r="T59" s="581"/>
      <c r="U59" s="581"/>
      <c r="V59" s="581"/>
      <c r="W59" s="581"/>
      <c r="X59" s="581"/>
      <c r="Y59" s="581"/>
      <c r="Z59" s="581"/>
      <c r="AA59" s="581"/>
      <c r="AB59" s="581"/>
      <c r="AC59" s="581"/>
      <c r="AD59" s="581"/>
      <c r="AE59" s="581"/>
      <c r="AF59" s="581"/>
      <c r="AG59" s="581"/>
      <c r="AH59" s="581"/>
      <c r="AI59" s="581"/>
      <c r="AJ59" s="581"/>
      <c r="AK59" s="581"/>
      <c r="AL59" s="581"/>
      <c r="AM59" s="581"/>
      <c r="AN59" s="581"/>
      <c r="AO59" s="581"/>
      <c r="AP59" s="581"/>
      <c r="AQ59" s="581"/>
      <c r="AR59" s="581"/>
    </row>
    <row r="60" spans="1:44" ht="12.75" customHeight="1" x14ac:dyDescent="0.25">
      <c r="A60" s="581"/>
      <c r="B60" s="581"/>
      <c r="C60" s="581"/>
      <c r="D60" s="581"/>
      <c r="E60" s="581"/>
      <c r="F60" s="581"/>
      <c r="G60" s="581"/>
      <c r="H60" s="581"/>
      <c r="I60" s="581"/>
      <c r="J60" s="581"/>
      <c r="K60" s="581"/>
      <c r="L60" s="581"/>
      <c r="M60" s="581"/>
      <c r="N60" s="581"/>
      <c r="O60" s="581"/>
      <c r="P60" s="581"/>
      <c r="Q60" s="581"/>
      <c r="R60" s="581"/>
      <c r="S60" s="581"/>
      <c r="T60" s="581"/>
      <c r="U60" s="581"/>
      <c r="V60" s="581"/>
      <c r="W60" s="581"/>
      <c r="X60" s="581"/>
      <c r="Y60" s="581"/>
      <c r="Z60" s="581"/>
      <c r="AA60" s="581"/>
      <c r="AB60" s="581"/>
      <c r="AC60" s="581"/>
      <c r="AD60" s="581"/>
      <c r="AE60" s="581"/>
      <c r="AF60" s="581"/>
      <c r="AG60" s="581"/>
      <c r="AH60" s="581"/>
      <c r="AI60" s="581"/>
      <c r="AJ60" s="581"/>
      <c r="AK60" s="581"/>
      <c r="AL60" s="581"/>
      <c r="AM60" s="581"/>
      <c r="AN60" s="581"/>
      <c r="AO60" s="581"/>
      <c r="AP60" s="581"/>
      <c r="AQ60" s="581"/>
      <c r="AR60" s="581"/>
    </row>
    <row r="61" spans="1:44" ht="12.75" customHeight="1" x14ac:dyDescent="0.25">
      <c r="A61" s="581"/>
      <c r="B61" s="581"/>
      <c r="C61" s="581"/>
      <c r="D61" s="581"/>
      <c r="E61" s="581"/>
      <c r="F61" s="581"/>
      <c r="G61" s="581"/>
      <c r="H61" s="581"/>
      <c r="I61" s="581"/>
      <c r="J61" s="581"/>
      <c r="K61" s="581"/>
      <c r="L61" s="581"/>
      <c r="M61" s="581"/>
      <c r="N61" s="581"/>
      <c r="O61" s="581"/>
      <c r="P61" s="581"/>
      <c r="Q61" s="581"/>
      <c r="R61" s="581"/>
      <c r="S61" s="581"/>
      <c r="T61" s="581"/>
      <c r="U61" s="581"/>
      <c r="V61" s="581"/>
      <c r="W61" s="581"/>
      <c r="X61" s="581"/>
      <c r="Y61" s="581"/>
      <c r="Z61" s="581"/>
      <c r="AA61" s="581"/>
      <c r="AB61" s="581"/>
      <c r="AC61" s="581"/>
      <c r="AD61" s="581"/>
      <c r="AE61" s="581"/>
      <c r="AF61" s="581"/>
      <c r="AG61" s="581"/>
      <c r="AH61" s="581"/>
      <c r="AI61" s="581"/>
      <c r="AJ61" s="581"/>
      <c r="AK61" s="581"/>
      <c r="AL61" s="581"/>
      <c r="AM61" s="581"/>
      <c r="AN61" s="581"/>
      <c r="AO61" s="581"/>
      <c r="AP61" s="581"/>
      <c r="AQ61" s="581"/>
      <c r="AR61" s="581"/>
    </row>
    <row r="62" spans="1:44" ht="12.75" customHeight="1" x14ac:dyDescent="0.25">
      <c r="A62" s="581"/>
      <c r="B62" s="581"/>
      <c r="C62" s="581"/>
      <c r="D62" s="581"/>
      <c r="E62" s="581"/>
      <c r="F62" s="581"/>
      <c r="G62" s="581"/>
      <c r="H62" s="581"/>
      <c r="I62" s="581"/>
      <c r="J62" s="581"/>
      <c r="K62" s="581"/>
      <c r="L62" s="581"/>
      <c r="M62" s="581"/>
      <c r="N62" s="581"/>
      <c r="O62" s="581"/>
      <c r="P62" s="581"/>
      <c r="Q62" s="581"/>
      <c r="R62" s="581"/>
      <c r="S62" s="581"/>
      <c r="T62" s="581"/>
      <c r="U62" s="581"/>
      <c r="V62" s="581"/>
      <c r="W62" s="581"/>
      <c r="X62" s="581"/>
      <c r="Y62" s="581"/>
      <c r="Z62" s="581"/>
      <c r="AA62" s="581"/>
      <c r="AB62" s="581"/>
      <c r="AC62" s="581"/>
      <c r="AD62" s="581"/>
      <c r="AE62" s="581"/>
      <c r="AF62" s="581"/>
      <c r="AG62" s="581"/>
      <c r="AH62" s="581"/>
      <c r="AI62" s="581"/>
      <c r="AJ62" s="581"/>
      <c r="AK62" s="581"/>
      <c r="AL62" s="581"/>
      <c r="AM62" s="581"/>
      <c r="AN62" s="581"/>
      <c r="AO62" s="581"/>
      <c r="AP62" s="581"/>
      <c r="AQ62" s="581"/>
      <c r="AR62" s="581"/>
    </row>
    <row r="63" spans="1:44" ht="12.75" customHeight="1" x14ac:dyDescent="0.25">
      <c r="A63" s="581"/>
      <c r="B63" s="581"/>
      <c r="C63" s="581"/>
      <c r="D63" s="581"/>
      <c r="E63" s="581"/>
      <c r="F63" s="581"/>
      <c r="G63" s="581"/>
      <c r="H63" s="581"/>
      <c r="I63" s="581"/>
      <c r="J63" s="581"/>
      <c r="K63" s="581"/>
      <c r="L63" s="581"/>
      <c r="M63" s="581"/>
      <c r="N63" s="581"/>
      <c r="O63" s="581"/>
      <c r="P63" s="581"/>
      <c r="Q63" s="581"/>
      <c r="R63" s="581"/>
      <c r="S63" s="581"/>
      <c r="T63" s="581"/>
      <c r="U63" s="581"/>
      <c r="V63" s="581"/>
      <c r="W63" s="581"/>
      <c r="X63" s="581"/>
      <c r="Y63" s="581"/>
      <c r="Z63" s="581"/>
      <c r="AA63" s="581"/>
      <c r="AB63" s="581"/>
      <c r="AC63" s="581"/>
      <c r="AD63" s="581"/>
      <c r="AE63" s="581"/>
      <c r="AF63" s="581"/>
      <c r="AG63" s="581"/>
      <c r="AH63" s="581"/>
      <c r="AI63" s="581"/>
      <c r="AJ63" s="581"/>
      <c r="AK63" s="581"/>
      <c r="AL63" s="581"/>
      <c r="AM63" s="581"/>
      <c r="AN63" s="581"/>
      <c r="AO63" s="581"/>
      <c r="AP63" s="581"/>
      <c r="AQ63" s="581"/>
      <c r="AR63" s="581"/>
    </row>
    <row r="64" spans="1:44" ht="12.75" customHeight="1" x14ac:dyDescent="0.25">
      <c r="A64" s="581"/>
      <c r="B64" s="581"/>
      <c r="C64" s="581"/>
      <c r="D64" s="581"/>
      <c r="E64" s="581"/>
      <c r="F64" s="581"/>
      <c r="G64" s="581"/>
      <c r="H64" s="581"/>
      <c r="I64" s="581"/>
      <c r="J64" s="581"/>
      <c r="K64" s="581"/>
      <c r="L64" s="581"/>
      <c r="M64" s="581"/>
      <c r="N64" s="581"/>
      <c r="O64" s="581"/>
      <c r="P64" s="581"/>
      <c r="Q64" s="581"/>
      <c r="R64" s="581"/>
      <c r="S64" s="581"/>
      <c r="T64" s="581"/>
      <c r="U64" s="581"/>
      <c r="V64" s="581"/>
      <c r="W64" s="581"/>
      <c r="X64" s="581"/>
      <c r="Y64" s="581"/>
      <c r="Z64" s="581"/>
      <c r="AA64" s="581"/>
      <c r="AB64" s="581"/>
      <c r="AC64" s="581"/>
      <c r="AD64" s="581"/>
      <c r="AE64" s="581"/>
      <c r="AF64" s="581"/>
      <c r="AG64" s="581"/>
      <c r="AH64" s="581"/>
      <c r="AI64" s="581"/>
      <c r="AJ64" s="581"/>
      <c r="AK64" s="581"/>
      <c r="AL64" s="581"/>
      <c r="AM64" s="581"/>
      <c r="AN64" s="581"/>
      <c r="AO64" s="581"/>
      <c r="AP64" s="581"/>
      <c r="AQ64" s="581"/>
      <c r="AR64" s="581"/>
    </row>
    <row r="65" spans="1:44" ht="12.75" customHeight="1" x14ac:dyDescent="0.25">
      <c r="A65" s="581"/>
      <c r="B65" s="581"/>
      <c r="C65" s="581"/>
      <c r="D65" s="581"/>
      <c r="E65" s="581"/>
      <c r="F65" s="581"/>
      <c r="G65" s="581"/>
      <c r="H65" s="581"/>
      <c r="I65" s="581"/>
      <c r="J65" s="581"/>
      <c r="K65" s="581"/>
      <c r="L65" s="581"/>
      <c r="M65" s="581"/>
      <c r="N65" s="581"/>
      <c r="O65" s="581"/>
      <c r="P65" s="581"/>
      <c r="Q65" s="581"/>
      <c r="R65" s="581"/>
      <c r="S65" s="581"/>
      <c r="T65" s="581"/>
      <c r="U65" s="581"/>
      <c r="V65" s="581"/>
      <c r="W65" s="581"/>
      <c r="X65" s="581"/>
      <c r="Y65" s="581"/>
      <c r="Z65" s="581"/>
      <c r="AA65" s="581"/>
      <c r="AB65" s="581"/>
      <c r="AC65" s="581"/>
      <c r="AD65" s="581"/>
      <c r="AE65" s="581"/>
      <c r="AF65" s="581"/>
      <c r="AG65" s="581"/>
      <c r="AH65" s="581"/>
      <c r="AI65" s="581"/>
      <c r="AJ65" s="581"/>
      <c r="AK65" s="581"/>
      <c r="AL65" s="581"/>
      <c r="AM65" s="581"/>
      <c r="AN65" s="581"/>
      <c r="AO65" s="581"/>
      <c r="AP65" s="581"/>
      <c r="AQ65" s="581"/>
      <c r="AR65" s="581"/>
    </row>
    <row r="66" spans="1:44" ht="12.75" customHeight="1" x14ac:dyDescent="0.25">
      <c r="A66" s="581"/>
      <c r="B66" s="581"/>
      <c r="C66" s="581"/>
      <c r="D66" s="581"/>
      <c r="E66" s="581"/>
      <c r="F66" s="581"/>
      <c r="G66" s="581"/>
      <c r="H66" s="581"/>
      <c r="I66" s="581"/>
      <c r="J66" s="581"/>
      <c r="K66" s="581"/>
      <c r="L66" s="581"/>
      <c r="M66" s="581"/>
      <c r="N66" s="581"/>
      <c r="O66" s="581"/>
      <c r="P66" s="581"/>
      <c r="Q66" s="581"/>
      <c r="R66" s="581"/>
      <c r="S66" s="581"/>
      <c r="T66" s="581"/>
      <c r="U66" s="581"/>
      <c r="V66" s="581"/>
      <c r="W66" s="581"/>
      <c r="X66" s="581"/>
      <c r="Y66" s="581"/>
      <c r="Z66" s="581"/>
      <c r="AA66" s="581"/>
      <c r="AB66" s="581"/>
      <c r="AC66" s="581"/>
      <c r="AD66" s="581"/>
      <c r="AE66" s="581"/>
      <c r="AF66" s="581"/>
      <c r="AG66" s="581"/>
      <c r="AH66" s="581"/>
      <c r="AI66" s="581"/>
      <c r="AJ66" s="581"/>
      <c r="AK66" s="581"/>
      <c r="AL66" s="581"/>
      <c r="AM66" s="581"/>
      <c r="AN66" s="581"/>
      <c r="AO66" s="581"/>
      <c r="AP66" s="581"/>
      <c r="AQ66" s="581"/>
      <c r="AR66" s="581"/>
    </row>
    <row r="67" spans="1:44" ht="12.75" customHeight="1" x14ac:dyDescent="0.25">
      <c r="A67" s="581"/>
      <c r="B67" s="581"/>
      <c r="C67" s="581"/>
      <c r="D67" s="581"/>
      <c r="E67" s="581"/>
      <c r="F67" s="581"/>
      <c r="G67" s="581"/>
      <c r="H67" s="581"/>
      <c r="I67" s="581"/>
      <c r="J67" s="581"/>
      <c r="K67" s="581"/>
      <c r="L67" s="581"/>
      <c r="M67" s="581"/>
      <c r="N67" s="581"/>
      <c r="O67" s="581"/>
      <c r="P67" s="581"/>
      <c r="Q67" s="581"/>
      <c r="R67" s="581"/>
      <c r="S67" s="581"/>
      <c r="T67" s="581"/>
      <c r="U67" s="581"/>
      <c r="V67" s="581"/>
      <c r="W67" s="581"/>
      <c r="X67" s="581"/>
      <c r="Y67" s="581"/>
      <c r="Z67" s="581"/>
      <c r="AA67" s="581"/>
      <c r="AB67" s="581"/>
      <c r="AC67" s="581"/>
      <c r="AD67" s="581"/>
      <c r="AE67" s="581"/>
      <c r="AF67" s="581"/>
      <c r="AG67" s="581"/>
      <c r="AH67" s="581"/>
      <c r="AI67" s="581"/>
      <c r="AJ67" s="581"/>
      <c r="AK67" s="581"/>
      <c r="AL67" s="581"/>
      <c r="AM67" s="581"/>
      <c r="AN67" s="581"/>
      <c r="AO67" s="581"/>
      <c r="AP67" s="581"/>
      <c r="AQ67" s="581"/>
      <c r="AR67" s="581"/>
    </row>
    <row r="68" spans="1:44" ht="12.75" customHeight="1" x14ac:dyDescent="0.25">
      <c r="A68" s="581"/>
      <c r="B68" s="581"/>
      <c r="C68" s="581"/>
      <c r="D68" s="581"/>
      <c r="E68" s="581"/>
      <c r="F68" s="581"/>
      <c r="G68" s="581"/>
      <c r="H68" s="581"/>
      <c r="I68" s="581"/>
      <c r="J68" s="581"/>
      <c r="K68" s="581"/>
      <c r="L68" s="581"/>
      <c r="M68" s="581"/>
      <c r="N68" s="581"/>
      <c r="O68" s="581"/>
      <c r="P68" s="581"/>
      <c r="Q68" s="581"/>
      <c r="R68" s="581"/>
      <c r="S68" s="581"/>
      <c r="T68" s="581"/>
      <c r="U68" s="581"/>
      <c r="V68" s="581"/>
      <c r="W68" s="581"/>
      <c r="X68" s="581"/>
      <c r="Y68" s="581"/>
      <c r="Z68" s="581"/>
      <c r="AA68" s="581"/>
      <c r="AB68" s="581"/>
      <c r="AC68" s="581"/>
      <c r="AD68" s="581"/>
      <c r="AE68" s="581"/>
      <c r="AF68" s="581"/>
      <c r="AG68" s="581"/>
      <c r="AH68" s="581"/>
      <c r="AI68" s="581"/>
      <c r="AJ68" s="581"/>
      <c r="AK68" s="581"/>
      <c r="AL68" s="581"/>
      <c r="AM68" s="581"/>
      <c r="AN68" s="581"/>
      <c r="AO68" s="581"/>
      <c r="AP68" s="581"/>
      <c r="AQ68" s="581"/>
      <c r="AR68" s="581"/>
    </row>
    <row r="69" spans="1:44" ht="12.75" customHeight="1" x14ac:dyDescent="0.25">
      <c r="A69" s="581"/>
      <c r="B69" s="581"/>
      <c r="C69" s="581"/>
      <c r="D69" s="581"/>
      <c r="E69" s="581"/>
      <c r="F69" s="581"/>
      <c r="G69" s="581"/>
      <c r="H69" s="581"/>
      <c r="I69" s="581"/>
      <c r="J69" s="581"/>
      <c r="K69" s="581"/>
      <c r="L69" s="581"/>
      <c r="M69" s="581"/>
      <c r="N69" s="581"/>
      <c r="O69" s="581"/>
      <c r="P69" s="581"/>
      <c r="Q69" s="581"/>
      <c r="R69" s="581"/>
      <c r="S69" s="581"/>
      <c r="T69" s="581"/>
      <c r="U69" s="581"/>
      <c r="V69" s="581"/>
      <c r="W69" s="581"/>
      <c r="X69" s="581"/>
      <c r="Y69" s="581"/>
      <c r="Z69" s="581"/>
      <c r="AA69" s="581"/>
      <c r="AB69" s="581"/>
      <c r="AC69" s="581"/>
      <c r="AD69" s="581"/>
      <c r="AE69" s="581"/>
      <c r="AF69" s="581"/>
      <c r="AG69" s="581"/>
      <c r="AH69" s="581"/>
      <c r="AI69" s="581"/>
      <c r="AJ69" s="581"/>
      <c r="AK69" s="581"/>
      <c r="AL69" s="581"/>
      <c r="AM69" s="581"/>
      <c r="AN69" s="581"/>
      <c r="AO69" s="581"/>
      <c r="AP69" s="581"/>
      <c r="AQ69" s="581"/>
      <c r="AR69" s="581"/>
    </row>
    <row r="70" spans="1:44" ht="12.75" customHeight="1" x14ac:dyDescent="0.25">
      <c r="A70" s="581"/>
      <c r="B70" s="581"/>
      <c r="C70" s="581"/>
      <c r="D70" s="581"/>
      <c r="E70" s="581"/>
      <c r="F70" s="581"/>
      <c r="G70" s="581"/>
      <c r="H70" s="581"/>
      <c r="I70" s="581"/>
      <c r="J70" s="581"/>
      <c r="K70" s="581"/>
      <c r="L70" s="581"/>
      <c r="M70" s="581"/>
      <c r="N70" s="581"/>
      <c r="O70" s="581"/>
      <c r="P70" s="581"/>
      <c r="Q70" s="581"/>
      <c r="R70" s="581"/>
      <c r="S70" s="581"/>
      <c r="T70" s="581"/>
      <c r="U70" s="581"/>
      <c r="V70" s="581"/>
      <c r="W70" s="581"/>
      <c r="X70" s="581"/>
      <c r="Y70" s="581"/>
      <c r="Z70" s="581"/>
      <c r="AA70" s="581"/>
      <c r="AB70" s="581"/>
      <c r="AC70" s="581"/>
      <c r="AD70" s="581"/>
      <c r="AE70" s="581"/>
      <c r="AF70" s="581"/>
      <c r="AG70" s="581"/>
      <c r="AH70" s="581"/>
      <c r="AI70" s="581"/>
      <c r="AJ70" s="581"/>
      <c r="AK70" s="581"/>
      <c r="AL70" s="581"/>
      <c r="AM70" s="581"/>
      <c r="AN70" s="581"/>
      <c r="AO70" s="581"/>
      <c r="AP70" s="581"/>
      <c r="AQ70" s="581"/>
      <c r="AR70" s="581"/>
    </row>
    <row r="71" spans="1:44" ht="12.75" customHeight="1" x14ac:dyDescent="0.25">
      <c r="A71" s="581"/>
      <c r="B71" s="581"/>
      <c r="C71" s="581"/>
      <c r="D71" s="581"/>
      <c r="E71" s="581"/>
      <c r="F71" s="581"/>
      <c r="G71" s="581"/>
      <c r="H71" s="581"/>
      <c r="I71" s="581"/>
      <c r="J71" s="581"/>
      <c r="K71" s="581"/>
      <c r="L71" s="581"/>
      <c r="M71" s="581"/>
      <c r="N71" s="581"/>
      <c r="O71" s="581"/>
      <c r="P71" s="581"/>
      <c r="Q71" s="581"/>
      <c r="R71" s="581"/>
      <c r="S71" s="581"/>
      <c r="T71" s="581"/>
      <c r="U71" s="581"/>
      <c r="V71" s="581"/>
      <c r="W71" s="581"/>
      <c r="X71" s="581"/>
      <c r="Y71" s="581"/>
      <c r="Z71" s="581"/>
      <c r="AA71" s="581"/>
      <c r="AB71" s="581"/>
      <c r="AC71" s="581"/>
      <c r="AD71" s="581"/>
      <c r="AE71" s="581"/>
      <c r="AF71" s="581"/>
      <c r="AG71" s="581"/>
      <c r="AH71" s="581"/>
      <c r="AI71" s="581"/>
      <c r="AJ71" s="581"/>
      <c r="AK71" s="581"/>
      <c r="AL71" s="581"/>
      <c r="AM71" s="581"/>
      <c r="AN71" s="581"/>
      <c r="AO71" s="581"/>
      <c r="AP71" s="581"/>
      <c r="AQ71" s="581"/>
      <c r="AR71" s="581"/>
    </row>
    <row r="72" spans="1:44" ht="12.75" customHeight="1" x14ac:dyDescent="0.25">
      <c r="A72" s="581"/>
      <c r="B72" s="581"/>
      <c r="C72" s="581"/>
      <c r="D72" s="581"/>
      <c r="E72" s="581"/>
      <c r="F72" s="581"/>
      <c r="G72" s="581"/>
      <c r="H72" s="581"/>
      <c r="I72" s="581"/>
      <c r="J72" s="581"/>
      <c r="K72" s="581"/>
      <c r="L72" s="581"/>
      <c r="M72" s="581"/>
      <c r="N72" s="581"/>
      <c r="O72" s="581"/>
      <c r="P72" s="581"/>
      <c r="Q72" s="581"/>
      <c r="R72" s="581"/>
      <c r="S72" s="581"/>
      <c r="T72" s="581"/>
      <c r="U72" s="581"/>
      <c r="V72" s="581"/>
      <c r="W72" s="581"/>
      <c r="X72" s="581"/>
      <c r="Y72" s="581"/>
      <c r="Z72" s="581"/>
      <c r="AA72" s="581"/>
      <c r="AB72" s="581"/>
      <c r="AC72" s="581"/>
      <c r="AD72" s="581"/>
      <c r="AE72" s="581"/>
      <c r="AF72" s="581"/>
      <c r="AG72" s="581"/>
      <c r="AH72" s="581"/>
      <c r="AI72" s="581"/>
      <c r="AJ72" s="581"/>
      <c r="AK72" s="581"/>
      <c r="AL72" s="581"/>
      <c r="AM72" s="581"/>
      <c r="AN72" s="581"/>
      <c r="AO72" s="581"/>
      <c r="AP72" s="581"/>
      <c r="AQ72" s="581"/>
      <c r="AR72" s="581"/>
    </row>
    <row r="73" spans="1:44" ht="12.75" customHeight="1" x14ac:dyDescent="0.25">
      <c r="A73" s="581"/>
      <c r="B73" s="581"/>
      <c r="C73" s="581"/>
      <c r="D73" s="581"/>
      <c r="E73" s="581"/>
      <c r="F73" s="581"/>
      <c r="G73" s="581"/>
      <c r="H73" s="581"/>
      <c r="I73" s="581"/>
      <c r="J73" s="581"/>
      <c r="K73" s="581"/>
      <c r="L73" s="581"/>
      <c r="M73" s="581"/>
      <c r="N73" s="581"/>
      <c r="O73" s="581"/>
      <c r="P73" s="581"/>
      <c r="Q73" s="581"/>
      <c r="R73" s="581"/>
      <c r="S73" s="581"/>
      <c r="T73" s="581"/>
      <c r="U73" s="581"/>
      <c r="V73" s="581"/>
      <c r="W73" s="581"/>
      <c r="X73" s="581"/>
      <c r="Y73" s="581"/>
      <c r="Z73" s="581"/>
      <c r="AA73" s="581"/>
      <c r="AB73" s="581"/>
      <c r="AC73" s="581"/>
      <c r="AD73" s="581"/>
      <c r="AE73" s="581"/>
      <c r="AF73" s="581"/>
      <c r="AG73" s="581"/>
      <c r="AH73" s="581"/>
      <c r="AI73" s="581"/>
      <c r="AJ73" s="581"/>
      <c r="AK73" s="581"/>
      <c r="AL73" s="581"/>
      <c r="AM73" s="581"/>
      <c r="AN73" s="581"/>
      <c r="AO73" s="581"/>
      <c r="AP73" s="581"/>
      <c r="AQ73" s="581"/>
      <c r="AR73" s="581"/>
    </row>
    <row r="74" spans="1:44" ht="12.75" customHeight="1" x14ac:dyDescent="0.25">
      <c r="A74" s="581"/>
      <c r="B74" s="581"/>
      <c r="C74" s="581"/>
      <c r="D74" s="581"/>
      <c r="E74" s="581"/>
      <c r="F74" s="581"/>
      <c r="G74" s="581"/>
      <c r="H74" s="581"/>
      <c r="I74" s="581"/>
      <c r="J74" s="581"/>
      <c r="K74" s="581"/>
      <c r="L74" s="581"/>
      <c r="M74" s="581"/>
      <c r="N74" s="581"/>
      <c r="O74" s="581"/>
      <c r="P74" s="581"/>
      <c r="Q74" s="581"/>
      <c r="R74" s="581"/>
      <c r="S74" s="581"/>
      <c r="T74" s="581"/>
      <c r="U74" s="581"/>
      <c r="V74" s="581"/>
      <c r="W74" s="581"/>
      <c r="X74" s="581"/>
      <c r="Y74" s="581"/>
      <c r="Z74" s="581"/>
      <c r="AA74" s="581"/>
      <c r="AB74" s="581"/>
      <c r="AC74" s="581"/>
      <c r="AD74" s="581"/>
      <c r="AE74" s="581"/>
      <c r="AF74" s="581"/>
      <c r="AG74" s="581"/>
      <c r="AH74" s="581"/>
      <c r="AI74" s="581"/>
      <c r="AJ74" s="581"/>
      <c r="AK74" s="581"/>
      <c r="AL74" s="581"/>
      <c r="AM74" s="581"/>
      <c r="AN74" s="581"/>
      <c r="AO74" s="581"/>
      <c r="AP74" s="581"/>
      <c r="AQ74" s="581"/>
      <c r="AR74" s="581"/>
    </row>
    <row r="75" spans="1:44" ht="12.75" customHeight="1" x14ac:dyDescent="0.25">
      <c r="A75" s="581"/>
      <c r="B75" s="581"/>
      <c r="C75" s="581"/>
      <c r="D75" s="581"/>
      <c r="E75" s="581"/>
      <c r="F75" s="581"/>
      <c r="G75" s="581"/>
      <c r="H75" s="581"/>
      <c r="I75" s="581"/>
      <c r="J75" s="581"/>
      <c r="K75" s="581"/>
      <c r="L75" s="581"/>
      <c r="M75" s="581"/>
      <c r="N75" s="581"/>
      <c r="O75" s="581"/>
      <c r="P75" s="581"/>
      <c r="Q75" s="581"/>
      <c r="R75" s="581"/>
      <c r="S75" s="581"/>
      <c r="T75" s="581"/>
      <c r="U75" s="581"/>
      <c r="V75" s="581"/>
      <c r="W75" s="581"/>
      <c r="X75" s="581"/>
      <c r="Y75" s="581"/>
      <c r="Z75" s="581"/>
      <c r="AA75" s="581"/>
      <c r="AB75" s="581"/>
      <c r="AC75" s="581"/>
      <c r="AD75" s="581"/>
      <c r="AE75" s="581"/>
      <c r="AF75" s="581"/>
      <c r="AG75" s="581"/>
      <c r="AH75" s="581"/>
      <c r="AI75" s="581"/>
      <c r="AJ75" s="581"/>
      <c r="AK75" s="581"/>
      <c r="AL75" s="581"/>
      <c r="AM75" s="581"/>
      <c r="AN75" s="581"/>
      <c r="AO75" s="581"/>
      <c r="AP75" s="581"/>
      <c r="AQ75" s="581"/>
      <c r="AR75" s="581"/>
    </row>
    <row r="76" spans="1:44" ht="12.75" customHeight="1" x14ac:dyDescent="0.25">
      <c r="A76" s="581"/>
      <c r="B76" s="581"/>
      <c r="C76" s="581"/>
      <c r="D76" s="581"/>
      <c r="E76" s="581"/>
      <c r="F76" s="581"/>
      <c r="G76" s="581"/>
      <c r="H76" s="581"/>
      <c r="I76" s="581"/>
      <c r="J76" s="581"/>
      <c r="K76" s="581"/>
      <c r="L76" s="581"/>
      <c r="M76" s="581"/>
      <c r="N76" s="581"/>
      <c r="O76" s="581"/>
      <c r="P76" s="581"/>
      <c r="Q76" s="581"/>
      <c r="R76" s="581"/>
      <c r="S76" s="581"/>
      <c r="T76" s="581"/>
      <c r="U76" s="581"/>
      <c r="V76" s="581"/>
      <c r="W76" s="581"/>
      <c r="X76" s="581"/>
      <c r="Y76" s="581"/>
      <c r="Z76" s="581"/>
      <c r="AA76" s="581"/>
      <c r="AB76" s="581"/>
      <c r="AC76" s="581"/>
      <c r="AD76" s="581"/>
      <c r="AE76" s="581"/>
      <c r="AF76" s="581"/>
      <c r="AG76" s="581"/>
      <c r="AH76" s="581"/>
      <c r="AI76" s="581"/>
      <c r="AJ76" s="581"/>
      <c r="AK76" s="581"/>
      <c r="AL76" s="581"/>
      <c r="AM76" s="581"/>
      <c r="AN76" s="581"/>
      <c r="AO76" s="581"/>
      <c r="AP76" s="581"/>
      <c r="AQ76" s="581"/>
      <c r="AR76" s="581"/>
    </row>
    <row r="77" spans="1:44" ht="12.75" customHeight="1" x14ac:dyDescent="0.25">
      <c r="A77" s="581"/>
      <c r="B77" s="581"/>
      <c r="C77" s="581"/>
      <c r="D77" s="581"/>
      <c r="E77" s="581"/>
      <c r="F77" s="581"/>
      <c r="G77" s="581"/>
      <c r="H77" s="581"/>
      <c r="I77" s="581"/>
      <c r="J77" s="581"/>
      <c r="K77" s="581"/>
      <c r="L77" s="581"/>
      <c r="M77" s="581"/>
      <c r="N77" s="581"/>
      <c r="O77" s="581"/>
      <c r="P77" s="581"/>
      <c r="Q77" s="581"/>
      <c r="R77" s="581"/>
      <c r="S77" s="581"/>
      <c r="T77" s="581"/>
      <c r="U77" s="581"/>
      <c r="V77" s="581"/>
      <c r="W77" s="581"/>
      <c r="X77" s="581"/>
      <c r="Y77" s="581"/>
      <c r="Z77" s="581"/>
      <c r="AA77" s="581"/>
      <c r="AB77" s="581"/>
      <c r="AC77" s="581"/>
      <c r="AD77" s="581"/>
      <c r="AE77" s="581"/>
      <c r="AF77" s="581"/>
      <c r="AG77" s="581"/>
      <c r="AH77" s="581"/>
      <c r="AI77" s="581"/>
      <c r="AJ77" s="581"/>
      <c r="AK77" s="581"/>
      <c r="AL77" s="581"/>
      <c r="AM77" s="581"/>
      <c r="AN77" s="581"/>
      <c r="AO77" s="581"/>
      <c r="AP77" s="581"/>
      <c r="AQ77" s="581"/>
      <c r="AR77" s="581"/>
    </row>
    <row r="78" spans="1:44" ht="12.75" customHeight="1" x14ac:dyDescent="0.25">
      <c r="A78" s="581"/>
      <c r="B78" s="581"/>
      <c r="C78" s="581"/>
      <c r="D78" s="581"/>
      <c r="E78" s="581"/>
      <c r="F78" s="581"/>
      <c r="G78" s="581"/>
      <c r="H78" s="581"/>
      <c r="I78" s="581"/>
      <c r="J78" s="581"/>
      <c r="K78" s="581"/>
      <c r="L78" s="581"/>
      <c r="M78" s="581"/>
      <c r="N78" s="581"/>
      <c r="O78" s="581"/>
      <c r="P78" s="581"/>
      <c r="Q78" s="581"/>
      <c r="R78" s="581"/>
      <c r="S78" s="581"/>
      <c r="T78" s="581"/>
      <c r="U78" s="581"/>
      <c r="V78" s="581"/>
      <c r="W78" s="581"/>
      <c r="X78" s="581"/>
      <c r="Y78" s="581"/>
      <c r="Z78" s="581"/>
      <c r="AA78" s="581"/>
      <c r="AB78" s="581"/>
      <c r="AC78" s="581"/>
      <c r="AD78" s="581"/>
      <c r="AE78" s="581"/>
      <c r="AF78" s="581"/>
      <c r="AG78" s="581"/>
      <c r="AH78" s="581"/>
      <c r="AI78" s="581"/>
      <c r="AJ78" s="581"/>
      <c r="AK78" s="581"/>
      <c r="AL78" s="581"/>
      <c r="AM78" s="581"/>
      <c r="AN78" s="581"/>
      <c r="AO78" s="581"/>
      <c r="AP78" s="581"/>
      <c r="AQ78" s="581"/>
      <c r="AR78" s="581"/>
    </row>
    <row r="79" spans="1:44" ht="12.75" customHeight="1" x14ac:dyDescent="0.25">
      <c r="A79" s="581"/>
      <c r="B79" s="581"/>
      <c r="C79" s="581"/>
      <c r="D79" s="581"/>
      <c r="E79" s="581"/>
      <c r="F79" s="581"/>
      <c r="G79" s="581"/>
      <c r="H79" s="581"/>
      <c r="I79" s="581"/>
      <c r="J79" s="581"/>
      <c r="K79" s="581"/>
      <c r="L79" s="581"/>
      <c r="M79" s="581"/>
      <c r="N79" s="581"/>
      <c r="O79" s="581"/>
      <c r="P79" s="581"/>
      <c r="Q79" s="581"/>
      <c r="R79" s="581"/>
      <c r="S79" s="581"/>
      <c r="T79" s="581"/>
      <c r="U79" s="581"/>
      <c r="V79" s="581"/>
      <c r="W79" s="581"/>
      <c r="X79" s="581"/>
      <c r="Y79" s="581"/>
      <c r="Z79" s="581"/>
      <c r="AA79" s="581"/>
      <c r="AB79" s="581"/>
      <c r="AC79" s="581"/>
      <c r="AD79" s="581"/>
      <c r="AE79" s="581"/>
      <c r="AF79" s="581"/>
      <c r="AG79" s="581"/>
      <c r="AH79" s="581"/>
      <c r="AI79" s="581"/>
      <c r="AJ79" s="581"/>
      <c r="AK79" s="581"/>
      <c r="AL79" s="581"/>
      <c r="AM79" s="581"/>
      <c r="AN79" s="581"/>
      <c r="AO79" s="581"/>
      <c r="AP79" s="581"/>
      <c r="AQ79" s="581"/>
      <c r="AR79" s="581"/>
    </row>
    <row r="80" spans="1:44" ht="12.75" customHeight="1" x14ac:dyDescent="0.25">
      <c r="A80" s="581"/>
      <c r="B80" s="581"/>
      <c r="C80" s="581"/>
      <c r="D80" s="581"/>
      <c r="E80" s="581"/>
      <c r="F80" s="581"/>
      <c r="G80" s="581"/>
      <c r="H80" s="581"/>
      <c r="I80" s="581"/>
      <c r="J80" s="581"/>
      <c r="K80" s="581"/>
      <c r="L80" s="581"/>
      <c r="M80" s="581"/>
      <c r="N80" s="581"/>
      <c r="O80" s="581"/>
      <c r="P80" s="581"/>
      <c r="Q80" s="581"/>
      <c r="R80" s="581"/>
      <c r="S80" s="581"/>
      <c r="T80" s="581"/>
      <c r="U80" s="581"/>
      <c r="V80" s="581"/>
      <c r="W80" s="581"/>
      <c r="X80" s="581"/>
      <c r="Y80" s="581"/>
      <c r="Z80" s="581"/>
      <c r="AA80" s="581"/>
      <c r="AB80" s="581"/>
      <c r="AC80" s="581"/>
      <c r="AD80" s="581"/>
      <c r="AE80" s="581"/>
      <c r="AF80" s="581"/>
      <c r="AG80" s="581"/>
      <c r="AH80" s="581"/>
      <c r="AI80" s="581"/>
      <c r="AJ80" s="581"/>
      <c r="AK80" s="581"/>
      <c r="AL80" s="581"/>
      <c r="AM80" s="581"/>
      <c r="AN80" s="581"/>
      <c r="AO80" s="581"/>
      <c r="AP80" s="581"/>
      <c r="AQ80" s="581"/>
      <c r="AR80" s="581"/>
    </row>
    <row r="81" spans="1:44" ht="12.75" customHeight="1" x14ac:dyDescent="0.25">
      <c r="A81" s="581"/>
      <c r="B81" s="581"/>
      <c r="C81" s="581"/>
      <c r="D81" s="581"/>
      <c r="E81" s="581"/>
      <c r="F81" s="581"/>
      <c r="G81" s="581"/>
      <c r="H81" s="581"/>
      <c r="I81" s="581"/>
      <c r="J81" s="581"/>
      <c r="K81" s="581"/>
      <c r="L81" s="581"/>
      <c r="M81" s="581"/>
      <c r="N81" s="581"/>
      <c r="O81" s="581"/>
      <c r="P81" s="581"/>
      <c r="Q81" s="581"/>
      <c r="R81" s="581"/>
      <c r="S81" s="581"/>
      <c r="T81" s="581"/>
      <c r="U81" s="581"/>
      <c r="V81" s="581"/>
      <c r="W81" s="581"/>
      <c r="X81" s="581"/>
      <c r="Y81" s="581"/>
      <c r="Z81" s="581"/>
      <c r="AA81" s="581"/>
      <c r="AB81" s="581"/>
      <c r="AC81" s="581"/>
      <c r="AD81" s="581"/>
      <c r="AE81" s="581"/>
      <c r="AF81" s="581"/>
      <c r="AG81" s="581"/>
      <c r="AH81" s="581"/>
      <c r="AI81" s="581"/>
      <c r="AJ81" s="581"/>
      <c r="AK81" s="581"/>
      <c r="AL81" s="581"/>
      <c r="AM81" s="581"/>
      <c r="AN81" s="581"/>
      <c r="AO81" s="581"/>
      <c r="AP81" s="581"/>
      <c r="AQ81" s="581"/>
      <c r="AR81" s="581"/>
    </row>
    <row r="82" spans="1:44" ht="12.75" customHeight="1" x14ac:dyDescent="0.25">
      <c r="A82" s="581"/>
      <c r="B82" s="581"/>
      <c r="C82" s="581"/>
      <c r="D82" s="581"/>
      <c r="E82" s="581"/>
      <c r="F82" s="581"/>
      <c r="G82" s="581"/>
      <c r="H82" s="581"/>
      <c r="I82" s="581"/>
      <c r="J82" s="581"/>
      <c r="K82" s="581"/>
      <c r="L82" s="581"/>
      <c r="M82" s="581"/>
      <c r="N82" s="581"/>
      <c r="O82" s="581"/>
      <c r="P82" s="581"/>
      <c r="Q82" s="581"/>
      <c r="R82" s="581"/>
      <c r="S82" s="581"/>
      <c r="T82" s="581"/>
      <c r="U82" s="581"/>
      <c r="V82" s="581"/>
      <c r="W82" s="581"/>
      <c r="X82" s="581"/>
      <c r="Y82" s="581"/>
      <c r="Z82" s="581"/>
      <c r="AA82" s="581"/>
      <c r="AB82" s="581"/>
      <c r="AC82" s="581"/>
      <c r="AD82" s="581"/>
      <c r="AE82" s="581"/>
      <c r="AF82" s="581"/>
      <c r="AG82" s="581"/>
      <c r="AH82" s="581"/>
      <c r="AI82" s="581"/>
      <c r="AJ82" s="581"/>
      <c r="AK82" s="581"/>
      <c r="AL82" s="581"/>
      <c r="AM82" s="581"/>
      <c r="AN82" s="581"/>
      <c r="AO82" s="581"/>
      <c r="AP82" s="581"/>
      <c r="AQ82" s="581"/>
      <c r="AR82" s="581"/>
    </row>
    <row r="83" spans="1:44" ht="12.75" customHeight="1" x14ac:dyDescent="0.25">
      <c r="A83" s="581"/>
      <c r="B83" s="581"/>
      <c r="C83" s="581"/>
      <c r="D83" s="581"/>
      <c r="E83" s="581"/>
      <c r="F83" s="581"/>
      <c r="G83" s="581"/>
      <c r="H83" s="581"/>
      <c r="I83" s="581"/>
      <c r="J83" s="581"/>
      <c r="K83" s="581"/>
      <c r="L83" s="581"/>
      <c r="M83" s="581"/>
      <c r="N83" s="581"/>
      <c r="O83" s="581"/>
      <c r="P83" s="581"/>
      <c r="Q83" s="581"/>
      <c r="R83" s="581"/>
      <c r="S83" s="581"/>
      <c r="T83" s="581"/>
      <c r="U83" s="581"/>
      <c r="V83" s="581"/>
      <c r="W83" s="581"/>
      <c r="X83" s="581"/>
      <c r="Y83" s="581"/>
      <c r="Z83" s="581"/>
      <c r="AA83" s="581"/>
      <c r="AB83" s="581"/>
      <c r="AC83" s="581"/>
      <c r="AD83" s="581"/>
      <c r="AE83" s="581"/>
      <c r="AF83" s="581"/>
      <c r="AG83" s="581"/>
      <c r="AH83" s="581"/>
      <c r="AI83" s="581"/>
      <c r="AJ83" s="581"/>
      <c r="AK83" s="581"/>
      <c r="AL83" s="581"/>
      <c r="AM83" s="581"/>
      <c r="AN83" s="581"/>
      <c r="AO83" s="581"/>
      <c r="AP83" s="581"/>
      <c r="AQ83" s="581"/>
      <c r="AR83" s="581"/>
    </row>
    <row r="84" spans="1:44" ht="12.75" customHeight="1" x14ac:dyDescent="0.25">
      <c r="A84" s="581"/>
      <c r="B84" s="581"/>
      <c r="C84" s="581"/>
      <c r="D84" s="581"/>
      <c r="E84" s="581"/>
      <c r="F84" s="581"/>
      <c r="G84" s="581"/>
      <c r="H84" s="581"/>
      <c r="I84" s="581"/>
      <c r="J84" s="581"/>
      <c r="K84" s="581"/>
      <c r="L84" s="581"/>
      <c r="M84" s="581"/>
      <c r="N84" s="581"/>
      <c r="O84" s="581"/>
      <c r="P84" s="581"/>
      <c r="Q84" s="581"/>
      <c r="R84" s="581"/>
      <c r="S84" s="581"/>
      <c r="T84" s="581"/>
      <c r="U84" s="581"/>
      <c r="V84" s="581"/>
      <c r="W84" s="581"/>
      <c r="X84" s="581"/>
      <c r="Y84" s="581"/>
      <c r="Z84" s="581"/>
      <c r="AA84" s="581"/>
      <c r="AB84" s="581"/>
      <c r="AC84" s="581"/>
      <c r="AD84" s="581"/>
      <c r="AE84" s="581"/>
      <c r="AF84" s="581"/>
      <c r="AG84" s="581"/>
      <c r="AH84" s="581"/>
      <c r="AI84" s="581"/>
      <c r="AJ84" s="581"/>
      <c r="AK84" s="581"/>
      <c r="AL84" s="581"/>
      <c r="AM84" s="581"/>
      <c r="AN84" s="581"/>
      <c r="AO84" s="581"/>
      <c r="AP84" s="581"/>
      <c r="AQ84" s="581"/>
      <c r="AR84" s="581"/>
    </row>
    <row r="85" spans="1:44" ht="12.75" customHeight="1" x14ac:dyDescent="0.25">
      <c r="A85" s="581"/>
      <c r="B85" s="581"/>
      <c r="C85" s="581"/>
      <c r="D85" s="581"/>
      <c r="E85" s="581"/>
      <c r="F85" s="581"/>
      <c r="G85" s="581"/>
      <c r="H85" s="581"/>
      <c r="I85" s="581"/>
      <c r="J85" s="581"/>
      <c r="K85" s="581"/>
      <c r="L85" s="581"/>
      <c r="M85" s="581"/>
      <c r="N85" s="581"/>
      <c r="O85" s="581"/>
      <c r="P85" s="581"/>
      <c r="Q85" s="581"/>
      <c r="R85" s="581"/>
      <c r="S85" s="581"/>
      <c r="T85" s="581"/>
      <c r="U85" s="581"/>
      <c r="V85" s="581"/>
      <c r="W85" s="581"/>
      <c r="X85" s="581"/>
      <c r="Y85" s="581"/>
      <c r="Z85" s="581"/>
      <c r="AA85" s="581"/>
      <c r="AB85" s="581"/>
      <c r="AC85" s="581"/>
      <c r="AD85" s="581"/>
      <c r="AE85" s="581"/>
      <c r="AF85" s="581"/>
      <c r="AG85" s="581"/>
      <c r="AH85" s="581"/>
      <c r="AI85" s="581"/>
      <c r="AJ85" s="581"/>
      <c r="AK85" s="581"/>
      <c r="AL85" s="581"/>
      <c r="AM85" s="581"/>
      <c r="AN85" s="581"/>
      <c r="AO85" s="581"/>
      <c r="AP85" s="581"/>
      <c r="AQ85" s="581"/>
      <c r="AR85" s="581"/>
    </row>
    <row r="86" spans="1:44" ht="12.75" customHeight="1" x14ac:dyDescent="0.25">
      <c r="A86" s="581"/>
      <c r="B86" s="581"/>
      <c r="C86" s="581"/>
      <c r="D86" s="581"/>
      <c r="E86" s="581"/>
      <c r="F86" s="581"/>
      <c r="G86" s="581"/>
      <c r="H86" s="581"/>
      <c r="I86" s="581"/>
      <c r="J86" s="581"/>
      <c r="K86" s="581"/>
      <c r="L86" s="581"/>
      <c r="M86" s="581"/>
      <c r="N86" s="581"/>
      <c r="O86" s="581"/>
      <c r="P86" s="581"/>
      <c r="Q86" s="581"/>
      <c r="R86" s="581"/>
      <c r="S86" s="581"/>
      <c r="T86" s="581"/>
      <c r="U86" s="581"/>
      <c r="V86" s="581"/>
      <c r="W86" s="581"/>
      <c r="X86" s="581"/>
      <c r="Y86" s="581"/>
      <c r="Z86" s="581"/>
      <c r="AA86" s="581"/>
      <c r="AB86" s="581"/>
      <c r="AC86" s="581"/>
      <c r="AD86" s="581"/>
      <c r="AE86" s="581"/>
      <c r="AF86" s="581"/>
      <c r="AG86" s="581"/>
      <c r="AH86" s="581"/>
      <c r="AI86" s="581"/>
      <c r="AJ86" s="581"/>
      <c r="AK86" s="581"/>
      <c r="AL86" s="581"/>
      <c r="AM86" s="581"/>
      <c r="AN86" s="581"/>
      <c r="AO86" s="581"/>
      <c r="AP86" s="581"/>
      <c r="AQ86" s="581"/>
      <c r="AR86" s="581"/>
    </row>
    <row r="87" spans="1:44" ht="12.75" customHeight="1" x14ac:dyDescent="0.25">
      <c r="A87" s="581"/>
      <c r="B87" s="581"/>
      <c r="C87" s="581"/>
      <c r="D87" s="581"/>
      <c r="E87" s="581"/>
      <c r="F87" s="581"/>
      <c r="G87" s="581"/>
      <c r="H87" s="581"/>
      <c r="I87" s="581"/>
      <c r="J87" s="581"/>
      <c r="K87" s="581"/>
      <c r="L87" s="581"/>
      <c r="M87" s="581"/>
      <c r="N87" s="581"/>
      <c r="O87" s="581"/>
      <c r="P87" s="581"/>
      <c r="Q87" s="581"/>
      <c r="R87" s="581"/>
      <c r="S87" s="581"/>
      <c r="T87" s="581"/>
      <c r="U87" s="581"/>
      <c r="V87" s="581"/>
      <c r="W87" s="581"/>
      <c r="X87" s="581"/>
      <c r="Y87" s="581"/>
      <c r="Z87" s="581"/>
      <c r="AA87" s="581"/>
      <c r="AB87" s="581"/>
      <c r="AC87" s="581"/>
      <c r="AD87" s="581"/>
      <c r="AE87" s="581"/>
      <c r="AF87" s="581"/>
      <c r="AG87" s="581"/>
      <c r="AH87" s="581"/>
      <c r="AI87" s="581"/>
      <c r="AJ87" s="581"/>
      <c r="AK87" s="581"/>
      <c r="AL87" s="581"/>
      <c r="AM87" s="581"/>
      <c r="AN87" s="581"/>
      <c r="AO87" s="581"/>
      <c r="AP87" s="581"/>
      <c r="AQ87" s="581"/>
      <c r="AR87" s="581"/>
    </row>
    <row r="88" spans="1:44" ht="12.75" customHeight="1" x14ac:dyDescent="0.25">
      <c r="A88" s="581"/>
      <c r="B88" s="581"/>
      <c r="C88" s="581"/>
      <c r="D88" s="581"/>
      <c r="E88" s="581"/>
      <c r="F88" s="581"/>
      <c r="G88" s="581"/>
      <c r="H88" s="581"/>
      <c r="I88" s="581"/>
      <c r="J88" s="581"/>
      <c r="K88" s="581"/>
      <c r="L88" s="581"/>
      <c r="M88" s="581"/>
      <c r="N88" s="581"/>
      <c r="O88" s="581"/>
      <c r="P88" s="581"/>
      <c r="Q88" s="581"/>
      <c r="R88" s="581"/>
      <c r="S88" s="581"/>
      <c r="T88" s="581"/>
      <c r="U88" s="581"/>
      <c r="V88" s="581"/>
      <c r="W88" s="581"/>
      <c r="X88" s="581"/>
      <c r="Y88" s="581"/>
      <c r="Z88" s="581"/>
      <c r="AA88" s="581"/>
      <c r="AB88" s="581"/>
      <c r="AC88" s="581"/>
      <c r="AD88" s="581"/>
      <c r="AE88" s="581"/>
      <c r="AF88" s="581"/>
      <c r="AG88" s="581"/>
      <c r="AH88" s="581"/>
      <c r="AI88" s="581"/>
      <c r="AJ88" s="581"/>
      <c r="AK88" s="581"/>
      <c r="AL88" s="581"/>
      <c r="AM88" s="581"/>
      <c r="AN88" s="581"/>
      <c r="AO88" s="581"/>
      <c r="AP88" s="581"/>
      <c r="AQ88" s="581"/>
      <c r="AR88" s="581"/>
    </row>
    <row r="89" spans="1:44" ht="12.75" customHeight="1" x14ac:dyDescent="0.25">
      <c r="A89" s="581"/>
      <c r="B89" s="581"/>
      <c r="C89" s="581"/>
      <c r="D89" s="581"/>
      <c r="E89" s="581"/>
      <c r="F89" s="581"/>
      <c r="G89" s="581"/>
      <c r="H89" s="581"/>
      <c r="I89" s="581"/>
      <c r="J89" s="581"/>
      <c r="K89" s="581"/>
      <c r="L89" s="581"/>
      <c r="M89" s="581"/>
      <c r="N89" s="581"/>
      <c r="O89" s="581"/>
      <c r="P89" s="581"/>
      <c r="Q89" s="581"/>
      <c r="R89" s="581"/>
      <c r="S89" s="581"/>
      <c r="T89" s="581"/>
      <c r="U89" s="581"/>
      <c r="V89" s="581"/>
      <c r="W89" s="581"/>
      <c r="X89" s="581"/>
      <c r="Y89" s="581"/>
      <c r="Z89" s="581"/>
      <c r="AA89" s="581"/>
      <c r="AB89" s="581"/>
      <c r="AC89" s="581"/>
      <c r="AD89" s="581"/>
      <c r="AE89" s="581"/>
      <c r="AF89" s="581"/>
      <c r="AG89" s="581"/>
      <c r="AH89" s="581"/>
      <c r="AI89" s="581"/>
      <c r="AJ89" s="581"/>
      <c r="AK89" s="581"/>
      <c r="AL89" s="581"/>
      <c r="AM89" s="581"/>
      <c r="AN89" s="581"/>
      <c r="AO89" s="581"/>
      <c r="AP89" s="581"/>
      <c r="AQ89" s="581"/>
      <c r="AR89" s="581"/>
    </row>
    <row r="90" spans="1:44" ht="12.75" customHeight="1" x14ac:dyDescent="0.25">
      <c r="A90" s="581"/>
      <c r="B90" s="581"/>
      <c r="C90" s="581"/>
      <c r="D90" s="581"/>
      <c r="E90" s="581"/>
      <c r="F90" s="581"/>
      <c r="G90" s="581"/>
      <c r="H90" s="581"/>
      <c r="I90" s="581"/>
      <c r="J90" s="581"/>
      <c r="K90" s="581"/>
      <c r="L90" s="581"/>
      <c r="M90" s="581"/>
      <c r="N90" s="581"/>
      <c r="O90" s="581"/>
      <c r="P90" s="581"/>
      <c r="Q90" s="581"/>
      <c r="R90" s="581"/>
      <c r="S90" s="581"/>
      <c r="T90" s="581"/>
      <c r="U90" s="581"/>
      <c r="V90" s="581"/>
      <c r="W90" s="581"/>
      <c r="X90" s="581"/>
      <c r="Y90" s="581"/>
      <c r="Z90" s="581"/>
      <c r="AA90" s="581"/>
      <c r="AB90" s="581"/>
      <c r="AC90" s="581"/>
      <c r="AD90" s="581"/>
      <c r="AE90" s="581"/>
      <c r="AF90" s="581"/>
      <c r="AG90" s="581"/>
      <c r="AH90" s="581"/>
      <c r="AI90" s="581"/>
      <c r="AJ90" s="581"/>
      <c r="AK90" s="581"/>
      <c r="AL90" s="581"/>
      <c r="AM90" s="581"/>
      <c r="AN90" s="581"/>
      <c r="AO90" s="581"/>
      <c r="AP90" s="581"/>
      <c r="AQ90" s="581"/>
      <c r="AR90" s="581"/>
    </row>
    <row r="91" spans="1:44" ht="12.75" customHeight="1" x14ac:dyDescent="0.25">
      <c r="A91" s="581"/>
      <c r="B91" s="581"/>
      <c r="C91" s="581"/>
      <c r="D91" s="581"/>
      <c r="E91" s="581"/>
      <c r="F91" s="581"/>
      <c r="G91" s="581"/>
      <c r="H91" s="581"/>
      <c r="I91" s="581"/>
      <c r="J91" s="581"/>
      <c r="K91" s="581"/>
      <c r="L91" s="581"/>
      <c r="M91" s="581"/>
      <c r="N91" s="581"/>
      <c r="O91" s="581"/>
      <c r="P91" s="581"/>
      <c r="Q91" s="581"/>
      <c r="R91" s="581"/>
      <c r="S91" s="581"/>
      <c r="T91" s="581"/>
      <c r="U91" s="581"/>
      <c r="V91" s="581"/>
      <c r="W91" s="581"/>
      <c r="X91" s="581"/>
      <c r="Y91" s="581"/>
      <c r="Z91" s="581"/>
      <c r="AA91" s="581"/>
      <c r="AB91" s="581"/>
      <c r="AC91" s="581"/>
      <c r="AD91" s="581"/>
      <c r="AE91" s="581"/>
      <c r="AF91" s="581"/>
      <c r="AG91" s="581"/>
      <c r="AH91" s="581"/>
      <c r="AI91" s="581"/>
      <c r="AJ91" s="581"/>
      <c r="AK91" s="581"/>
      <c r="AL91" s="581"/>
      <c r="AM91" s="581"/>
      <c r="AN91" s="581"/>
      <c r="AO91" s="581"/>
      <c r="AP91" s="581"/>
      <c r="AQ91" s="581"/>
      <c r="AR91" s="581"/>
    </row>
    <row r="92" spans="1:44" ht="12.75" customHeight="1" x14ac:dyDescent="0.25">
      <c r="A92" s="581"/>
      <c r="B92" s="581"/>
      <c r="C92" s="581"/>
      <c r="D92" s="581"/>
      <c r="E92" s="581"/>
      <c r="F92" s="581"/>
      <c r="G92" s="581"/>
      <c r="H92" s="581"/>
      <c r="I92" s="581"/>
      <c r="J92" s="581"/>
      <c r="K92" s="581"/>
      <c r="L92" s="581"/>
      <c r="M92" s="581"/>
      <c r="N92" s="581"/>
      <c r="O92" s="581"/>
      <c r="P92" s="581"/>
      <c r="Q92" s="581"/>
      <c r="R92" s="581"/>
      <c r="S92" s="581"/>
      <c r="T92" s="581"/>
      <c r="U92" s="581"/>
      <c r="V92" s="581"/>
      <c r="W92" s="581"/>
      <c r="X92" s="581"/>
      <c r="Y92" s="581"/>
      <c r="Z92" s="581"/>
      <c r="AA92" s="581"/>
      <c r="AB92" s="581"/>
      <c r="AC92" s="581"/>
      <c r="AD92" s="581"/>
      <c r="AE92" s="581"/>
      <c r="AF92" s="581"/>
      <c r="AG92" s="581"/>
      <c r="AH92" s="581"/>
      <c r="AI92" s="581"/>
      <c r="AJ92" s="581"/>
      <c r="AK92" s="581"/>
      <c r="AL92" s="581"/>
      <c r="AM92" s="581"/>
      <c r="AN92" s="581"/>
      <c r="AO92" s="581"/>
      <c r="AP92" s="581"/>
      <c r="AQ92" s="581"/>
      <c r="AR92" s="581"/>
    </row>
    <row r="93" spans="1:44" ht="12.75" customHeight="1" x14ac:dyDescent="0.25">
      <c r="A93" s="581"/>
      <c r="B93" s="581"/>
      <c r="C93" s="581"/>
      <c r="D93" s="581"/>
      <c r="E93" s="581"/>
      <c r="F93" s="581"/>
      <c r="G93" s="581"/>
      <c r="H93" s="581"/>
      <c r="I93" s="581"/>
      <c r="J93" s="581"/>
      <c r="K93" s="581"/>
      <c r="L93" s="581"/>
      <c r="M93" s="581"/>
      <c r="N93" s="581"/>
      <c r="O93" s="581"/>
      <c r="P93" s="581"/>
      <c r="Q93" s="581"/>
      <c r="R93" s="581"/>
      <c r="S93" s="581"/>
      <c r="T93" s="581"/>
      <c r="U93" s="581"/>
      <c r="V93" s="581"/>
      <c r="W93" s="581"/>
      <c r="X93" s="581"/>
      <c r="Y93" s="581"/>
      <c r="Z93" s="581"/>
      <c r="AA93" s="581"/>
      <c r="AB93" s="581"/>
      <c r="AC93" s="581"/>
      <c r="AD93" s="581"/>
      <c r="AE93" s="581"/>
      <c r="AF93" s="581"/>
      <c r="AG93" s="581"/>
      <c r="AH93" s="581"/>
      <c r="AI93" s="581"/>
      <c r="AJ93" s="581"/>
      <c r="AK93" s="581"/>
      <c r="AL93" s="581"/>
      <c r="AM93" s="581"/>
      <c r="AN93" s="581"/>
      <c r="AO93" s="581"/>
      <c r="AP93" s="581"/>
      <c r="AQ93" s="581"/>
      <c r="AR93" s="581"/>
    </row>
    <row r="94" spans="1:44" ht="12.75" customHeight="1" x14ac:dyDescent="0.25">
      <c r="A94" s="581"/>
      <c r="B94" s="581"/>
      <c r="C94" s="581"/>
      <c r="D94" s="581"/>
      <c r="E94" s="581"/>
      <c r="F94" s="581"/>
      <c r="G94" s="581"/>
      <c r="H94" s="581"/>
      <c r="I94" s="581"/>
      <c r="J94" s="581"/>
      <c r="K94" s="581"/>
      <c r="L94" s="581"/>
      <c r="M94" s="581"/>
      <c r="N94" s="581"/>
      <c r="O94" s="581"/>
      <c r="P94" s="581"/>
      <c r="Q94" s="581"/>
      <c r="R94" s="581"/>
      <c r="S94" s="581"/>
      <c r="T94" s="581"/>
      <c r="U94" s="581"/>
      <c r="V94" s="581"/>
      <c r="W94" s="581"/>
      <c r="X94" s="581"/>
      <c r="Y94" s="581"/>
      <c r="Z94" s="581"/>
      <c r="AA94" s="581"/>
      <c r="AB94" s="581"/>
      <c r="AC94" s="581"/>
      <c r="AD94" s="581"/>
      <c r="AE94" s="581"/>
      <c r="AF94" s="581"/>
      <c r="AG94" s="581"/>
      <c r="AH94" s="581"/>
      <c r="AI94" s="581"/>
      <c r="AJ94" s="581"/>
      <c r="AK94" s="581"/>
      <c r="AL94" s="581"/>
      <c r="AM94" s="581"/>
      <c r="AN94" s="581"/>
      <c r="AO94" s="581"/>
      <c r="AP94" s="581"/>
      <c r="AQ94" s="581"/>
      <c r="AR94" s="581"/>
    </row>
    <row r="95" spans="1:44" ht="12.75" customHeight="1" x14ac:dyDescent="0.25">
      <c r="A95" s="581"/>
      <c r="B95" s="581"/>
      <c r="C95" s="581"/>
      <c r="D95" s="581"/>
      <c r="E95" s="581"/>
      <c r="F95" s="581"/>
      <c r="G95" s="581"/>
      <c r="H95" s="581"/>
      <c r="I95" s="581"/>
      <c r="J95" s="581"/>
      <c r="K95" s="581"/>
      <c r="L95" s="581"/>
      <c r="M95" s="581"/>
      <c r="N95" s="581"/>
      <c r="O95" s="581"/>
      <c r="P95" s="581"/>
      <c r="Q95" s="581"/>
      <c r="R95" s="581"/>
      <c r="S95" s="581"/>
      <c r="T95" s="581"/>
      <c r="U95" s="581"/>
      <c r="V95" s="581"/>
      <c r="W95" s="581"/>
      <c r="X95" s="581"/>
      <c r="Y95" s="581"/>
      <c r="Z95" s="581"/>
      <c r="AA95" s="581"/>
      <c r="AB95" s="581"/>
      <c r="AC95" s="581"/>
      <c r="AD95" s="581"/>
      <c r="AE95" s="581"/>
      <c r="AF95" s="581"/>
      <c r="AG95" s="581"/>
      <c r="AH95" s="581"/>
      <c r="AI95" s="581"/>
      <c r="AJ95" s="581"/>
      <c r="AK95" s="581"/>
      <c r="AL95" s="581"/>
      <c r="AM95" s="581"/>
      <c r="AN95" s="581"/>
      <c r="AO95" s="581"/>
      <c r="AP95" s="581"/>
      <c r="AQ95" s="581"/>
      <c r="AR95" s="581"/>
    </row>
    <row r="96" spans="1:44" ht="12.75" customHeight="1" x14ac:dyDescent="0.25">
      <c r="A96" s="581"/>
      <c r="B96" s="581"/>
      <c r="C96" s="581"/>
      <c r="D96" s="581"/>
      <c r="E96" s="581"/>
      <c r="F96" s="581"/>
      <c r="G96" s="581"/>
      <c r="H96" s="581"/>
      <c r="I96" s="581"/>
      <c r="J96" s="581"/>
      <c r="K96" s="581"/>
      <c r="L96" s="581"/>
      <c r="M96" s="581"/>
      <c r="N96" s="581"/>
      <c r="O96" s="581"/>
      <c r="P96" s="581"/>
      <c r="Q96" s="581"/>
      <c r="R96" s="581"/>
      <c r="S96" s="581"/>
      <c r="T96" s="581"/>
      <c r="U96" s="581"/>
      <c r="V96" s="581"/>
      <c r="W96" s="581"/>
      <c r="X96" s="581"/>
      <c r="Y96" s="581"/>
      <c r="Z96" s="581"/>
      <c r="AA96" s="581"/>
      <c r="AB96" s="581"/>
      <c r="AC96" s="581"/>
      <c r="AD96" s="581"/>
      <c r="AE96" s="581"/>
      <c r="AF96" s="581"/>
      <c r="AG96" s="581"/>
      <c r="AH96" s="581"/>
      <c r="AI96" s="581"/>
      <c r="AJ96" s="581"/>
      <c r="AK96" s="581"/>
      <c r="AL96" s="581"/>
      <c r="AM96" s="581"/>
      <c r="AN96" s="581"/>
      <c r="AO96" s="581"/>
      <c r="AP96" s="581"/>
      <c r="AQ96" s="581"/>
      <c r="AR96" s="581"/>
    </row>
    <row r="97" spans="1:44" ht="12.75" customHeight="1" x14ac:dyDescent="0.25">
      <c r="A97" s="581"/>
      <c r="B97" s="581"/>
      <c r="C97" s="581"/>
      <c r="D97" s="581"/>
      <c r="E97" s="581"/>
      <c r="F97" s="581"/>
      <c r="G97" s="581"/>
      <c r="H97" s="581"/>
      <c r="I97" s="581"/>
      <c r="J97" s="581"/>
      <c r="K97" s="581"/>
      <c r="L97" s="581"/>
      <c r="M97" s="581"/>
      <c r="N97" s="581"/>
      <c r="O97" s="581"/>
      <c r="P97" s="581"/>
      <c r="Q97" s="581"/>
      <c r="R97" s="581"/>
      <c r="S97" s="581"/>
      <c r="T97" s="581"/>
      <c r="U97" s="581"/>
      <c r="V97" s="581"/>
      <c r="W97" s="581"/>
      <c r="X97" s="581"/>
      <c r="Y97" s="581"/>
      <c r="Z97" s="581"/>
      <c r="AA97" s="581"/>
      <c r="AB97" s="581"/>
      <c r="AC97" s="581"/>
      <c r="AD97" s="581"/>
      <c r="AE97" s="581"/>
      <c r="AF97" s="581"/>
      <c r="AG97" s="581"/>
      <c r="AH97" s="581"/>
      <c r="AI97" s="581"/>
      <c r="AJ97" s="581"/>
      <c r="AK97" s="581"/>
      <c r="AL97" s="581"/>
      <c r="AM97" s="581"/>
      <c r="AN97" s="581"/>
      <c r="AO97" s="581"/>
      <c r="AP97" s="581"/>
      <c r="AQ97" s="581"/>
      <c r="AR97" s="581"/>
    </row>
    <row r="98" spans="1:44" ht="12.75" customHeight="1" x14ac:dyDescent="0.25">
      <c r="A98" s="581"/>
      <c r="B98" s="581"/>
      <c r="C98" s="581"/>
      <c r="D98" s="581"/>
      <c r="E98" s="581"/>
      <c r="F98" s="581"/>
      <c r="G98" s="581"/>
      <c r="H98" s="581"/>
      <c r="I98" s="581"/>
      <c r="J98" s="581"/>
      <c r="K98" s="581"/>
      <c r="L98" s="581"/>
      <c r="M98" s="581"/>
      <c r="N98" s="581"/>
      <c r="O98" s="581"/>
      <c r="P98" s="581"/>
      <c r="Q98" s="581"/>
      <c r="R98" s="581"/>
      <c r="S98" s="581"/>
      <c r="T98" s="581"/>
      <c r="U98" s="581"/>
      <c r="V98" s="581"/>
      <c r="W98" s="581"/>
      <c r="X98" s="581"/>
      <c r="Y98" s="581"/>
      <c r="Z98" s="581"/>
      <c r="AA98" s="581"/>
      <c r="AB98" s="581"/>
      <c r="AC98" s="581"/>
      <c r="AD98" s="581"/>
      <c r="AE98" s="581"/>
      <c r="AF98" s="581"/>
      <c r="AG98" s="581"/>
      <c r="AH98" s="581"/>
      <c r="AI98" s="581"/>
      <c r="AJ98" s="581"/>
      <c r="AK98" s="581"/>
      <c r="AL98" s="581"/>
      <c r="AM98" s="581"/>
      <c r="AN98" s="581"/>
      <c r="AO98" s="581"/>
      <c r="AP98" s="581"/>
      <c r="AQ98" s="581"/>
      <c r="AR98" s="581"/>
    </row>
    <row r="99" spans="1:44" ht="12.75" customHeight="1" x14ac:dyDescent="0.25">
      <c r="A99" s="581"/>
      <c r="B99" s="581"/>
      <c r="C99" s="581"/>
      <c r="D99" s="581"/>
      <c r="E99" s="581"/>
      <c r="F99" s="581"/>
      <c r="G99" s="581"/>
      <c r="H99" s="581"/>
      <c r="I99" s="581"/>
      <c r="J99" s="581"/>
      <c r="K99" s="581"/>
      <c r="L99" s="581"/>
      <c r="M99" s="581"/>
      <c r="N99" s="581"/>
      <c r="O99" s="581"/>
      <c r="P99" s="581"/>
      <c r="Q99" s="581"/>
      <c r="R99" s="581"/>
      <c r="S99" s="581"/>
      <c r="T99" s="581"/>
      <c r="U99" s="581"/>
      <c r="V99" s="581"/>
      <c r="W99" s="581"/>
      <c r="X99" s="581"/>
      <c r="Y99" s="581"/>
      <c r="Z99" s="581"/>
      <c r="AA99" s="581"/>
      <c r="AB99" s="581"/>
      <c r="AC99" s="581"/>
      <c r="AD99" s="581"/>
      <c r="AE99" s="581"/>
      <c r="AF99" s="581"/>
      <c r="AG99" s="581"/>
      <c r="AH99" s="581"/>
      <c r="AI99" s="581"/>
      <c r="AJ99" s="581"/>
      <c r="AK99" s="581"/>
      <c r="AL99" s="581"/>
      <c r="AM99" s="581"/>
      <c r="AN99" s="581"/>
      <c r="AO99" s="581"/>
      <c r="AP99" s="581"/>
      <c r="AQ99" s="581"/>
      <c r="AR99" s="581"/>
    </row>
    <row r="100" spans="1:44" ht="12.75" customHeight="1" x14ac:dyDescent="0.25">
      <c r="A100" s="581"/>
      <c r="B100" s="581"/>
      <c r="C100" s="581"/>
      <c r="D100" s="581"/>
      <c r="E100" s="581"/>
      <c r="F100" s="581"/>
      <c r="G100" s="581"/>
      <c r="H100" s="581"/>
      <c r="I100" s="581"/>
      <c r="J100" s="581"/>
      <c r="K100" s="581"/>
      <c r="L100" s="581"/>
      <c r="M100" s="581"/>
      <c r="N100" s="581"/>
      <c r="O100" s="581"/>
      <c r="P100" s="581"/>
      <c r="Q100" s="581"/>
      <c r="R100" s="581"/>
      <c r="S100" s="581"/>
      <c r="T100" s="581"/>
      <c r="U100" s="581"/>
      <c r="V100" s="581"/>
      <c r="W100" s="581"/>
      <c r="X100" s="581"/>
      <c r="Y100" s="581"/>
      <c r="Z100" s="581"/>
      <c r="AA100" s="581"/>
      <c r="AB100" s="581"/>
      <c r="AC100" s="581"/>
      <c r="AD100" s="581"/>
      <c r="AE100" s="581"/>
      <c r="AF100" s="581"/>
      <c r="AG100" s="581"/>
      <c r="AH100" s="581"/>
      <c r="AI100" s="581"/>
      <c r="AJ100" s="581"/>
      <c r="AK100" s="581"/>
      <c r="AL100" s="581"/>
      <c r="AM100" s="581"/>
      <c r="AN100" s="581"/>
      <c r="AO100" s="581"/>
      <c r="AP100" s="581"/>
      <c r="AQ100" s="581"/>
      <c r="AR100" s="581"/>
    </row>
    <row r="101" spans="1:44" ht="12.75" customHeight="1" x14ac:dyDescent="0.25">
      <c r="A101" s="581"/>
      <c r="B101" s="581"/>
      <c r="C101" s="581"/>
      <c r="D101" s="581"/>
      <c r="E101" s="581"/>
      <c r="F101" s="581"/>
      <c r="G101" s="581"/>
      <c r="H101" s="581"/>
      <c r="I101" s="581"/>
      <c r="J101" s="581"/>
      <c r="K101" s="581"/>
      <c r="L101" s="581"/>
      <c r="M101" s="581"/>
      <c r="N101" s="581"/>
      <c r="O101" s="581"/>
      <c r="P101" s="581"/>
      <c r="Q101" s="581"/>
      <c r="R101" s="581"/>
      <c r="S101" s="581"/>
      <c r="T101" s="581"/>
      <c r="U101" s="581"/>
      <c r="V101" s="581"/>
      <c r="W101" s="581"/>
      <c r="X101" s="581"/>
      <c r="Y101" s="581"/>
      <c r="Z101" s="581"/>
      <c r="AA101" s="581"/>
      <c r="AB101" s="581"/>
      <c r="AC101" s="581"/>
      <c r="AD101" s="581"/>
      <c r="AE101" s="581"/>
      <c r="AF101" s="581"/>
      <c r="AG101" s="581"/>
      <c r="AH101" s="581"/>
      <c r="AI101" s="581"/>
      <c r="AJ101" s="581"/>
      <c r="AK101" s="581"/>
      <c r="AL101" s="581"/>
      <c r="AM101" s="581"/>
      <c r="AN101" s="581"/>
      <c r="AO101" s="581"/>
      <c r="AP101" s="581"/>
      <c r="AQ101" s="581"/>
      <c r="AR101" s="581"/>
    </row>
    <row r="102" spans="1:44" ht="12.75" customHeight="1" x14ac:dyDescent="0.25">
      <c r="A102" s="581"/>
      <c r="B102" s="581"/>
      <c r="C102" s="581"/>
      <c r="D102" s="581"/>
      <c r="E102" s="581"/>
      <c r="F102" s="581"/>
      <c r="G102" s="581"/>
      <c r="H102" s="581"/>
      <c r="I102" s="581"/>
      <c r="J102" s="581"/>
      <c r="K102" s="581"/>
      <c r="L102" s="581"/>
      <c r="M102" s="581"/>
      <c r="N102" s="581"/>
      <c r="O102" s="581"/>
      <c r="P102" s="581"/>
      <c r="Q102" s="581"/>
      <c r="R102" s="581"/>
      <c r="S102" s="581"/>
      <c r="T102" s="581"/>
      <c r="U102" s="581"/>
      <c r="V102" s="581"/>
      <c r="W102" s="581"/>
      <c r="X102" s="581"/>
      <c r="Y102" s="581"/>
      <c r="Z102" s="581"/>
      <c r="AA102" s="581"/>
      <c r="AB102" s="581"/>
      <c r="AC102" s="581"/>
      <c r="AD102" s="581"/>
      <c r="AE102" s="581"/>
      <c r="AF102" s="581"/>
      <c r="AG102" s="581"/>
      <c r="AH102" s="581"/>
      <c r="AI102" s="581"/>
      <c r="AJ102" s="581"/>
      <c r="AK102" s="581"/>
      <c r="AL102" s="581"/>
      <c r="AM102" s="581"/>
      <c r="AN102" s="581"/>
      <c r="AO102" s="581"/>
      <c r="AP102" s="581"/>
      <c r="AQ102" s="581"/>
      <c r="AR102" s="581"/>
    </row>
    <row r="103" spans="1:44" ht="12.75" customHeight="1" x14ac:dyDescent="0.25">
      <c r="A103" s="581"/>
      <c r="B103" s="581"/>
      <c r="C103" s="581"/>
      <c r="D103" s="581"/>
      <c r="E103" s="581"/>
      <c r="F103" s="581"/>
      <c r="G103" s="581"/>
      <c r="H103" s="581"/>
      <c r="I103" s="581"/>
      <c r="J103" s="581"/>
      <c r="K103" s="581"/>
      <c r="L103" s="581"/>
      <c r="M103" s="581"/>
      <c r="N103" s="581"/>
      <c r="O103" s="581"/>
      <c r="P103" s="581"/>
      <c r="Q103" s="581"/>
      <c r="R103" s="581"/>
      <c r="S103" s="581"/>
      <c r="T103" s="581"/>
      <c r="U103" s="581"/>
      <c r="V103" s="581"/>
      <c r="W103" s="581"/>
      <c r="X103" s="581"/>
      <c r="Y103" s="581"/>
      <c r="Z103" s="581"/>
      <c r="AA103" s="581"/>
      <c r="AB103" s="581"/>
      <c r="AC103" s="581"/>
      <c r="AD103" s="581"/>
      <c r="AE103" s="581"/>
      <c r="AF103" s="581"/>
      <c r="AG103" s="581"/>
      <c r="AH103" s="581"/>
      <c r="AI103" s="581"/>
      <c r="AJ103" s="581"/>
      <c r="AK103" s="581"/>
      <c r="AL103" s="581"/>
      <c r="AM103" s="581"/>
      <c r="AN103" s="581"/>
      <c r="AO103" s="581"/>
      <c r="AP103" s="581"/>
      <c r="AQ103" s="581"/>
      <c r="AR103" s="581"/>
    </row>
    <row r="104" spans="1:44" ht="12.75" customHeight="1" x14ac:dyDescent="0.25">
      <c r="A104" s="581"/>
      <c r="B104" s="581"/>
      <c r="C104" s="581"/>
      <c r="D104" s="581"/>
      <c r="E104" s="581"/>
      <c r="F104" s="581"/>
      <c r="G104" s="581"/>
      <c r="H104" s="581"/>
      <c r="I104" s="581"/>
      <c r="J104" s="581"/>
      <c r="K104" s="581"/>
      <c r="L104" s="581"/>
      <c r="M104" s="581"/>
      <c r="N104" s="581"/>
      <c r="O104" s="581"/>
      <c r="P104" s="581"/>
      <c r="Q104" s="581"/>
      <c r="R104" s="581"/>
      <c r="S104" s="581"/>
      <c r="T104" s="581"/>
      <c r="U104" s="581"/>
      <c r="V104" s="581"/>
      <c r="W104" s="581"/>
      <c r="X104" s="581"/>
      <c r="Y104" s="581"/>
      <c r="Z104" s="581"/>
      <c r="AA104" s="581"/>
      <c r="AB104" s="581"/>
      <c r="AC104" s="581"/>
      <c r="AD104" s="581"/>
      <c r="AE104" s="581"/>
      <c r="AF104" s="581"/>
      <c r="AG104" s="581"/>
      <c r="AH104" s="581"/>
      <c r="AI104" s="581"/>
      <c r="AJ104" s="581"/>
      <c r="AK104" s="581"/>
      <c r="AL104" s="581"/>
      <c r="AM104" s="581"/>
      <c r="AN104" s="581"/>
      <c r="AO104" s="581"/>
      <c r="AP104" s="581"/>
      <c r="AQ104" s="581"/>
      <c r="AR104" s="581"/>
    </row>
    <row r="105" spans="1:44" ht="12.75" customHeight="1" x14ac:dyDescent="0.25">
      <c r="A105" s="581"/>
      <c r="B105" s="581"/>
      <c r="C105" s="581"/>
      <c r="D105" s="581"/>
      <c r="E105" s="581"/>
      <c r="F105" s="581"/>
      <c r="G105" s="581"/>
      <c r="H105" s="581"/>
      <c r="I105" s="581"/>
      <c r="J105" s="581"/>
      <c r="K105" s="581"/>
      <c r="L105" s="581"/>
      <c r="M105" s="581"/>
      <c r="N105" s="581"/>
      <c r="O105" s="581"/>
      <c r="P105" s="581"/>
      <c r="Q105" s="581"/>
      <c r="R105" s="581"/>
      <c r="S105" s="581"/>
      <c r="T105" s="581"/>
      <c r="U105" s="581"/>
      <c r="V105" s="581"/>
      <c r="W105" s="581"/>
      <c r="X105" s="581"/>
      <c r="Y105" s="581"/>
      <c r="Z105" s="581"/>
      <c r="AA105" s="581"/>
      <c r="AB105" s="581"/>
      <c r="AC105" s="581"/>
      <c r="AD105" s="581"/>
      <c r="AE105" s="581"/>
      <c r="AF105" s="581"/>
      <c r="AG105" s="581"/>
      <c r="AH105" s="581"/>
      <c r="AI105" s="581"/>
      <c r="AJ105" s="581"/>
      <c r="AK105" s="581"/>
      <c r="AL105" s="581"/>
      <c r="AM105" s="581"/>
      <c r="AN105" s="581"/>
      <c r="AO105" s="581"/>
      <c r="AP105" s="581"/>
      <c r="AQ105" s="581"/>
      <c r="AR105" s="581"/>
    </row>
    <row r="106" spans="1:44" ht="12.75" customHeight="1" x14ac:dyDescent="0.25">
      <c r="A106" s="581"/>
      <c r="B106" s="581"/>
      <c r="C106" s="581"/>
      <c r="D106" s="581"/>
      <c r="E106" s="581"/>
      <c r="F106" s="581"/>
      <c r="G106" s="581"/>
      <c r="H106" s="581"/>
      <c r="I106" s="581"/>
      <c r="J106" s="581"/>
      <c r="K106" s="581"/>
      <c r="L106" s="581"/>
      <c r="M106" s="581"/>
      <c r="N106" s="581"/>
      <c r="O106" s="581"/>
      <c r="P106" s="581"/>
      <c r="Q106" s="581"/>
      <c r="R106" s="581"/>
      <c r="S106" s="581"/>
      <c r="T106" s="581"/>
      <c r="U106" s="581"/>
      <c r="V106" s="581"/>
      <c r="W106" s="581"/>
      <c r="X106" s="581"/>
      <c r="Y106" s="581"/>
      <c r="Z106" s="581"/>
      <c r="AA106" s="581"/>
      <c r="AB106" s="581"/>
      <c r="AC106" s="581"/>
      <c r="AD106" s="581"/>
      <c r="AE106" s="581"/>
      <c r="AF106" s="581"/>
      <c r="AG106" s="581"/>
      <c r="AH106" s="581"/>
      <c r="AI106" s="581"/>
      <c r="AJ106" s="581"/>
      <c r="AK106" s="581"/>
      <c r="AL106" s="581"/>
      <c r="AM106" s="581"/>
      <c r="AN106" s="581"/>
      <c r="AO106" s="581"/>
      <c r="AP106" s="581"/>
      <c r="AQ106" s="581"/>
      <c r="AR106" s="581"/>
    </row>
    <row r="107" spans="1:44" ht="12.75" customHeight="1" x14ac:dyDescent="0.25">
      <c r="A107" s="581"/>
      <c r="B107" s="581"/>
      <c r="C107" s="581"/>
      <c r="D107" s="581"/>
      <c r="E107" s="581"/>
      <c r="F107" s="581"/>
      <c r="G107" s="581"/>
      <c r="H107" s="581"/>
      <c r="I107" s="581"/>
      <c r="J107" s="581"/>
      <c r="K107" s="581"/>
      <c r="L107" s="581"/>
      <c r="M107" s="581"/>
      <c r="N107" s="581"/>
      <c r="O107" s="581"/>
      <c r="P107" s="581"/>
      <c r="Q107" s="581"/>
      <c r="R107" s="581"/>
      <c r="S107" s="581"/>
      <c r="T107" s="581"/>
      <c r="U107" s="581"/>
      <c r="V107" s="581"/>
      <c r="W107" s="581"/>
      <c r="X107" s="581"/>
      <c r="Y107" s="581"/>
      <c r="Z107" s="581"/>
      <c r="AA107" s="581"/>
      <c r="AB107" s="581"/>
      <c r="AC107" s="581"/>
      <c r="AD107" s="581"/>
      <c r="AE107" s="581"/>
      <c r="AF107" s="581"/>
      <c r="AG107" s="581"/>
      <c r="AH107" s="581"/>
      <c r="AI107" s="581"/>
      <c r="AJ107" s="581"/>
      <c r="AK107" s="581"/>
      <c r="AL107" s="581"/>
      <c r="AM107" s="581"/>
      <c r="AN107" s="581"/>
      <c r="AO107" s="581"/>
      <c r="AP107" s="581"/>
      <c r="AQ107" s="581"/>
      <c r="AR107" s="581"/>
    </row>
    <row r="108" spans="1:44" ht="12.75" customHeight="1" x14ac:dyDescent="0.25">
      <c r="A108" s="581"/>
      <c r="B108" s="581"/>
      <c r="C108" s="581"/>
      <c r="D108" s="581"/>
      <c r="E108" s="581"/>
      <c r="F108" s="581"/>
      <c r="G108" s="581"/>
      <c r="H108" s="581"/>
      <c r="I108" s="581"/>
      <c r="J108" s="581"/>
      <c r="K108" s="581"/>
      <c r="L108" s="581"/>
      <c r="M108" s="581"/>
      <c r="N108" s="581"/>
      <c r="O108" s="581"/>
      <c r="P108" s="581"/>
      <c r="Q108" s="581"/>
      <c r="R108" s="581"/>
      <c r="S108" s="581"/>
      <c r="T108" s="581"/>
      <c r="U108" s="581"/>
      <c r="V108" s="581"/>
      <c r="W108" s="581"/>
      <c r="X108" s="581"/>
      <c r="Y108" s="581"/>
      <c r="Z108" s="581"/>
      <c r="AA108" s="581"/>
      <c r="AB108" s="581"/>
      <c r="AC108" s="581"/>
      <c r="AD108" s="581"/>
      <c r="AE108" s="581"/>
      <c r="AF108" s="581"/>
      <c r="AG108" s="581"/>
      <c r="AH108" s="581"/>
      <c r="AI108" s="581"/>
      <c r="AJ108" s="581"/>
      <c r="AK108" s="581"/>
      <c r="AL108" s="581"/>
      <c r="AM108" s="581"/>
      <c r="AN108" s="581"/>
      <c r="AO108" s="581"/>
      <c r="AP108" s="581"/>
      <c r="AQ108" s="581"/>
      <c r="AR108" s="581"/>
    </row>
    <row r="109" spans="1:44" ht="12.75" customHeight="1" x14ac:dyDescent="0.25">
      <c r="A109" s="581"/>
      <c r="B109" s="581"/>
      <c r="C109" s="581"/>
      <c r="D109" s="581"/>
      <c r="E109" s="581"/>
      <c r="F109" s="581"/>
      <c r="G109" s="581"/>
      <c r="H109" s="581"/>
      <c r="I109" s="581"/>
      <c r="J109" s="581"/>
      <c r="K109" s="581"/>
      <c r="L109" s="581"/>
      <c r="M109" s="581"/>
      <c r="N109" s="581"/>
      <c r="O109" s="581"/>
      <c r="P109" s="581"/>
      <c r="Q109" s="581"/>
      <c r="R109" s="581"/>
      <c r="S109" s="581"/>
      <c r="T109" s="581"/>
      <c r="U109" s="581"/>
      <c r="V109" s="581"/>
      <c r="W109" s="581"/>
      <c r="X109" s="581"/>
      <c r="Y109" s="581"/>
      <c r="Z109" s="581"/>
      <c r="AA109" s="581"/>
      <c r="AB109" s="581"/>
      <c r="AC109" s="581"/>
      <c r="AD109" s="581"/>
      <c r="AE109" s="581"/>
      <c r="AF109" s="581"/>
      <c r="AG109" s="581"/>
      <c r="AH109" s="581"/>
      <c r="AI109" s="581"/>
      <c r="AJ109" s="581"/>
      <c r="AK109" s="581"/>
      <c r="AL109" s="581"/>
      <c r="AM109" s="581"/>
      <c r="AN109" s="581"/>
      <c r="AO109" s="581"/>
      <c r="AP109" s="581"/>
      <c r="AQ109" s="581"/>
      <c r="AR109" s="581"/>
    </row>
    <row r="110" spans="1:44" ht="12.75" customHeight="1" x14ac:dyDescent="0.25">
      <c r="A110" s="581"/>
      <c r="B110" s="581"/>
      <c r="C110" s="581"/>
      <c r="D110" s="581"/>
      <c r="E110" s="581"/>
      <c r="F110" s="581"/>
      <c r="G110" s="581"/>
      <c r="H110" s="581"/>
      <c r="I110" s="581"/>
      <c r="J110" s="581"/>
      <c r="K110" s="581"/>
      <c r="L110" s="581"/>
      <c r="M110" s="581"/>
      <c r="N110" s="581"/>
      <c r="O110" s="581"/>
      <c r="P110" s="581"/>
      <c r="Q110" s="581"/>
      <c r="R110" s="581"/>
      <c r="S110" s="581"/>
      <c r="T110" s="581"/>
      <c r="U110" s="581"/>
      <c r="V110" s="581"/>
      <c r="W110" s="581"/>
      <c r="X110" s="581"/>
      <c r="Y110" s="581"/>
      <c r="Z110" s="581"/>
      <c r="AA110" s="581"/>
      <c r="AB110" s="581"/>
      <c r="AC110" s="581"/>
      <c r="AD110" s="581"/>
      <c r="AE110" s="581"/>
      <c r="AF110" s="581"/>
      <c r="AG110" s="581"/>
      <c r="AH110" s="581"/>
      <c r="AI110" s="581"/>
      <c r="AJ110" s="581"/>
      <c r="AK110" s="581"/>
      <c r="AL110" s="581"/>
      <c r="AM110" s="581"/>
      <c r="AN110" s="581"/>
      <c r="AO110" s="581"/>
      <c r="AP110" s="581"/>
      <c r="AQ110" s="581"/>
      <c r="AR110" s="581"/>
    </row>
    <row r="111" spans="1:44" ht="12.75" customHeight="1" x14ac:dyDescent="0.25">
      <c r="A111" s="581"/>
      <c r="B111" s="581"/>
      <c r="C111" s="581"/>
      <c r="D111" s="581"/>
      <c r="E111" s="581"/>
      <c r="F111" s="581"/>
      <c r="G111" s="581"/>
      <c r="H111" s="581"/>
      <c r="I111" s="581"/>
      <c r="J111" s="581"/>
      <c r="K111" s="581"/>
      <c r="L111" s="581"/>
      <c r="M111" s="581"/>
      <c r="N111" s="581"/>
      <c r="O111" s="581"/>
      <c r="P111" s="581"/>
      <c r="Q111" s="581"/>
      <c r="R111" s="581"/>
      <c r="S111" s="581"/>
      <c r="T111" s="581"/>
      <c r="U111" s="581"/>
      <c r="V111" s="581"/>
      <c r="W111" s="581"/>
      <c r="X111" s="581"/>
      <c r="Y111" s="581"/>
      <c r="Z111" s="581"/>
      <c r="AA111" s="581"/>
      <c r="AB111" s="581"/>
      <c r="AC111" s="581"/>
      <c r="AD111" s="581"/>
      <c r="AE111" s="581"/>
      <c r="AF111" s="581"/>
      <c r="AG111" s="581"/>
      <c r="AH111" s="581"/>
      <c r="AI111" s="581"/>
      <c r="AJ111" s="581"/>
      <c r="AK111" s="581"/>
      <c r="AL111" s="581"/>
      <c r="AM111" s="581"/>
      <c r="AN111" s="581"/>
      <c r="AO111" s="581"/>
      <c r="AP111" s="581"/>
      <c r="AQ111" s="581"/>
      <c r="AR111" s="581"/>
    </row>
    <row r="112" spans="1:44" ht="12.75" customHeight="1" x14ac:dyDescent="0.25">
      <c r="A112" s="581"/>
      <c r="B112" s="581"/>
      <c r="C112" s="581"/>
      <c r="D112" s="581"/>
      <c r="E112" s="581"/>
      <c r="F112" s="581"/>
      <c r="G112" s="581"/>
      <c r="H112" s="581"/>
      <c r="I112" s="581"/>
      <c r="J112" s="581"/>
      <c r="K112" s="581"/>
      <c r="L112" s="581"/>
      <c r="M112" s="581"/>
      <c r="N112" s="581"/>
      <c r="O112" s="581"/>
      <c r="P112" s="581"/>
      <c r="Q112" s="581"/>
      <c r="R112" s="581"/>
      <c r="S112" s="581"/>
      <c r="T112" s="581"/>
      <c r="U112" s="581"/>
      <c r="V112" s="581"/>
      <c r="W112" s="581"/>
      <c r="X112" s="581"/>
      <c r="Y112" s="581"/>
      <c r="Z112" s="581"/>
      <c r="AA112" s="581"/>
      <c r="AB112" s="581"/>
      <c r="AC112" s="581"/>
      <c r="AD112" s="581"/>
      <c r="AE112" s="581"/>
      <c r="AF112" s="581"/>
      <c r="AG112" s="581"/>
      <c r="AH112" s="581"/>
      <c r="AI112" s="581"/>
      <c r="AJ112" s="581"/>
      <c r="AK112" s="581"/>
      <c r="AL112" s="581"/>
      <c r="AM112" s="581"/>
      <c r="AN112" s="581"/>
      <c r="AO112" s="581"/>
      <c r="AP112" s="581"/>
      <c r="AQ112" s="581"/>
      <c r="AR112" s="581"/>
    </row>
    <row r="113" spans="1:44" ht="12.75" customHeight="1" x14ac:dyDescent="0.25">
      <c r="A113" s="581"/>
      <c r="B113" s="581"/>
      <c r="C113" s="581"/>
      <c r="D113" s="581"/>
      <c r="E113" s="581"/>
      <c r="F113" s="581"/>
      <c r="G113" s="581"/>
      <c r="H113" s="581"/>
      <c r="I113" s="581"/>
      <c r="J113" s="581"/>
      <c r="K113" s="581"/>
      <c r="L113" s="581"/>
      <c r="M113" s="581"/>
      <c r="N113" s="581"/>
      <c r="O113" s="581"/>
      <c r="P113" s="581"/>
      <c r="Q113" s="581"/>
      <c r="R113" s="581"/>
      <c r="S113" s="581"/>
      <c r="T113" s="581"/>
      <c r="U113" s="581"/>
      <c r="V113" s="581"/>
      <c r="W113" s="581"/>
      <c r="X113" s="581"/>
      <c r="Y113" s="581"/>
      <c r="Z113" s="581"/>
      <c r="AA113" s="581"/>
      <c r="AB113" s="581"/>
      <c r="AC113" s="581"/>
      <c r="AD113" s="581"/>
      <c r="AE113" s="581"/>
      <c r="AF113" s="581"/>
      <c r="AG113" s="581"/>
      <c r="AH113" s="581"/>
      <c r="AI113" s="581"/>
      <c r="AJ113" s="581"/>
      <c r="AK113" s="581"/>
      <c r="AL113" s="581"/>
      <c r="AM113" s="581"/>
      <c r="AN113" s="581"/>
      <c r="AO113" s="581"/>
      <c r="AP113" s="581"/>
      <c r="AQ113" s="581"/>
      <c r="AR113" s="581"/>
    </row>
    <row r="114" spans="1:44" ht="12.75" customHeight="1" x14ac:dyDescent="0.25">
      <c r="A114" s="581"/>
      <c r="B114" s="581"/>
      <c r="C114" s="581"/>
      <c r="D114" s="581"/>
      <c r="E114" s="581"/>
      <c r="F114" s="581"/>
      <c r="G114" s="581"/>
      <c r="H114" s="581"/>
      <c r="I114" s="581"/>
      <c r="J114" s="581"/>
      <c r="K114" s="581"/>
      <c r="L114" s="581"/>
      <c r="M114" s="581"/>
      <c r="N114" s="581"/>
      <c r="O114" s="581"/>
      <c r="P114" s="581"/>
      <c r="Q114" s="581"/>
      <c r="R114" s="581"/>
      <c r="S114" s="581"/>
      <c r="T114" s="581"/>
      <c r="U114" s="581"/>
      <c r="V114" s="581"/>
      <c r="W114" s="581"/>
      <c r="X114" s="581"/>
      <c r="Y114" s="581"/>
      <c r="Z114" s="581"/>
      <c r="AA114" s="581"/>
      <c r="AB114" s="581"/>
      <c r="AC114" s="581"/>
      <c r="AD114" s="581"/>
      <c r="AE114" s="581"/>
      <c r="AF114" s="581"/>
      <c r="AG114" s="581"/>
      <c r="AH114" s="581"/>
      <c r="AI114" s="581"/>
      <c r="AJ114" s="581"/>
      <c r="AK114" s="581"/>
      <c r="AL114" s="581"/>
      <c r="AM114" s="581"/>
      <c r="AN114" s="581"/>
      <c r="AO114" s="581"/>
      <c r="AP114" s="581"/>
      <c r="AQ114" s="581"/>
      <c r="AR114" s="581"/>
    </row>
    <row r="115" spans="1:44" ht="12.75" customHeight="1" x14ac:dyDescent="0.25">
      <c r="A115" s="581"/>
      <c r="B115" s="581"/>
      <c r="C115" s="581"/>
      <c r="D115" s="581"/>
      <c r="E115" s="581"/>
      <c r="F115" s="581"/>
      <c r="G115" s="581"/>
      <c r="H115" s="581"/>
      <c r="I115" s="581"/>
      <c r="J115" s="581"/>
      <c r="K115" s="581"/>
      <c r="L115" s="581"/>
      <c r="M115" s="581"/>
      <c r="N115" s="581"/>
      <c r="O115" s="581"/>
      <c r="P115" s="581"/>
      <c r="Q115" s="581"/>
      <c r="R115" s="581"/>
      <c r="S115" s="581"/>
      <c r="T115" s="581"/>
      <c r="U115" s="581"/>
      <c r="V115" s="581"/>
      <c r="W115" s="581"/>
      <c r="X115" s="581"/>
      <c r="Y115" s="581"/>
      <c r="Z115" s="581"/>
      <c r="AA115" s="581"/>
      <c r="AB115" s="581"/>
      <c r="AC115" s="581"/>
      <c r="AD115" s="581"/>
      <c r="AE115" s="581"/>
      <c r="AF115" s="581"/>
      <c r="AG115" s="581"/>
      <c r="AH115" s="581"/>
      <c r="AI115" s="581"/>
      <c r="AJ115" s="581"/>
      <c r="AK115" s="581"/>
      <c r="AL115" s="581"/>
      <c r="AM115" s="581"/>
      <c r="AN115" s="581"/>
      <c r="AO115" s="581"/>
      <c r="AP115" s="581"/>
      <c r="AQ115" s="581"/>
      <c r="AR115" s="581"/>
    </row>
    <row r="116" spans="1:44" ht="12.75" customHeight="1" x14ac:dyDescent="0.25">
      <c r="A116" s="581"/>
      <c r="B116" s="581"/>
      <c r="C116" s="581"/>
      <c r="D116" s="581"/>
      <c r="E116" s="581"/>
      <c r="F116" s="581"/>
      <c r="G116" s="581"/>
      <c r="H116" s="581"/>
      <c r="I116" s="581"/>
      <c r="J116" s="581"/>
      <c r="K116" s="581"/>
      <c r="L116" s="581"/>
      <c r="M116" s="581"/>
      <c r="N116" s="581"/>
      <c r="O116" s="581"/>
      <c r="P116" s="581"/>
      <c r="Q116" s="581"/>
      <c r="R116" s="581"/>
      <c r="S116" s="581"/>
      <c r="T116" s="581"/>
      <c r="U116" s="581"/>
      <c r="V116" s="581"/>
      <c r="W116" s="581"/>
      <c r="X116" s="581"/>
      <c r="Y116" s="581"/>
      <c r="Z116" s="581"/>
      <c r="AA116" s="581"/>
      <c r="AB116" s="581"/>
      <c r="AC116" s="581"/>
      <c r="AD116" s="581"/>
      <c r="AE116" s="581"/>
      <c r="AF116" s="581"/>
      <c r="AG116" s="581"/>
      <c r="AH116" s="581"/>
      <c r="AI116" s="581"/>
      <c r="AJ116" s="581"/>
      <c r="AK116" s="581"/>
      <c r="AL116" s="581"/>
      <c r="AM116" s="581"/>
      <c r="AN116" s="581"/>
      <c r="AO116" s="581"/>
      <c r="AP116" s="581"/>
      <c r="AQ116" s="581"/>
      <c r="AR116" s="581"/>
    </row>
    <row r="117" spans="1:44" ht="12.75" customHeight="1" x14ac:dyDescent="0.25">
      <c r="A117" s="581"/>
      <c r="B117" s="581"/>
      <c r="C117" s="581"/>
      <c r="D117" s="581"/>
      <c r="E117" s="581"/>
      <c r="F117" s="581"/>
      <c r="G117" s="581"/>
      <c r="H117" s="581"/>
      <c r="I117" s="581"/>
      <c r="J117" s="581"/>
      <c r="K117" s="581"/>
      <c r="L117" s="581"/>
      <c r="M117" s="581"/>
      <c r="N117" s="581"/>
      <c r="O117" s="581"/>
      <c r="P117" s="581"/>
      <c r="Q117" s="581"/>
      <c r="R117" s="581"/>
      <c r="S117" s="581"/>
      <c r="T117" s="581"/>
      <c r="U117" s="581"/>
      <c r="V117" s="581"/>
      <c r="W117" s="581"/>
      <c r="X117" s="581"/>
      <c r="Y117" s="581"/>
      <c r="Z117" s="581"/>
      <c r="AA117" s="581"/>
      <c r="AB117" s="581"/>
      <c r="AC117" s="581"/>
      <c r="AD117" s="581"/>
      <c r="AE117" s="581"/>
      <c r="AF117" s="581"/>
      <c r="AG117" s="581"/>
      <c r="AH117" s="581"/>
      <c r="AI117" s="581"/>
      <c r="AJ117" s="581"/>
      <c r="AK117" s="581"/>
      <c r="AL117" s="581"/>
      <c r="AM117" s="581"/>
      <c r="AN117" s="581"/>
      <c r="AO117" s="581"/>
      <c r="AP117" s="581"/>
      <c r="AQ117" s="581"/>
      <c r="AR117" s="581"/>
    </row>
    <row r="118" spans="1:44" ht="12.75" customHeight="1" x14ac:dyDescent="0.25">
      <c r="A118" s="581"/>
      <c r="B118" s="581"/>
      <c r="C118" s="581"/>
      <c r="D118" s="581"/>
      <c r="E118" s="581"/>
      <c r="F118" s="581"/>
      <c r="G118" s="581"/>
      <c r="H118" s="581"/>
      <c r="I118" s="581"/>
      <c r="J118" s="581"/>
      <c r="K118" s="581"/>
      <c r="L118" s="581"/>
      <c r="M118" s="581"/>
      <c r="N118" s="581"/>
      <c r="O118" s="581"/>
      <c r="P118" s="581"/>
      <c r="Q118" s="581"/>
      <c r="R118" s="581"/>
      <c r="S118" s="581"/>
      <c r="T118" s="581"/>
      <c r="U118" s="581"/>
      <c r="V118" s="581"/>
      <c r="W118" s="581"/>
      <c r="X118" s="581"/>
      <c r="Y118" s="581"/>
      <c r="Z118" s="581"/>
      <c r="AA118" s="581"/>
      <c r="AB118" s="581"/>
      <c r="AC118" s="581"/>
      <c r="AD118" s="581"/>
      <c r="AE118" s="581"/>
      <c r="AF118" s="581"/>
      <c r="AG118" s="581"/>
      <c r="AH118" s="581"/>
      <c r="AI118" s="581"/>
      <c r="AJ118" s="581"/>
      <c r="AK118" s="581"/>
      <c r="AL118" s="581"/>
      <c r="AM118" s="581"/>
      <c r="AN118" s="581"/>
      <c r="AO118" s="581"/>
      <c r="AP118" s="581"/>
      <c r="AQ118" s="581"/>
      <c r="AR118" s="581"/>
    </row>
    <row r="119" spans="1:44" ht="12.75" customHeight="1" x14ac:dyDescent="0.25">
      <c r="A119" s="581"/>
      <c r="B119" s="581"/>
      <c r="C119" s="581"/>
      <c r="D119" s="581"/>
      <c r="E119" s="581"/>
      <c r="F119" s="581"/>
      <c r="G119" s="581"/>
      <c r="H119" s="581"/>
      <c r="I119" s="581"/>
      <c r="J119" s="581"/>
      <c r="K119" s="581"/>
      <c r="L119" s="581"/>
      <c r="M119" s="581"/>
      <c r="N119" s="581"/>
      <c r="O119" s="581"/>
      <c r="P119" s="581"/>
      <c r="Q119" s="581"/>
      <c r="R119" s="581"/>
      <c r="S119" s="581"/>
      <c r="T119" s="581"/>
      <c r="U119" s="581"/>
      <c r="V119" s="581"/>
      <c r="W119" s="581"/>
      <c r="X119" s="581"/>
      <c r="Y119" s="581"/>
      <c r="Z119" s="581"/>
      <c r="AA119" s="581"/>
      <c r="AB119" s="581"/>
      <c r="AC119" s="581"/>
      <c r="AD119" s="581"/>
      <c r="AE119" s="581"/>
      <c r="AF119" s="581"/>
      <c r="AG119" s="581"/>
      <c r="AH119" s="581"/>
      <c r="AI119" s="581"/>
      <c r="AJ119" s="581"/>
      <c r="AK119" s="581"/>
      <c r="AL119" s="581"/>
      <c r="AM119" s="581"/>
      <c r="AN119" s="581"/>
      <c r="AO119" s="581"/>
      <c r="AP119" s="581"/>
      <c r="AQ119" s="581"/>
      <c r="AR119" s="581"/>
    </row>
    <row r="120" spans="1:44" ht="12.75" customHeight="1" x14ac:dyDescent="0.25">
      <c r="A120" s="581"/>
      <c r="B120" s="581"/>
      <c r="C120" s="581"/>
      <c r="D120" s="581"/>
      <c r="E120" s="581"/>
      <c r="F120" s="581"/>
      <c r="G120" s="581"/>
      <c r="H120" s="581"/>
      <c r="I120" s="581"/>
      <c r="J120" s="581"/>
      <c r="K120" s="581"/>
      <c r="L120" s="581"/>
      <c r="M120" s="581"/>
      <c r="N120" s="581"/>
      <c r="O120" s="581"/>
      <c r="P120" s="581"/>
      <c r="Q120" s="581"/>
      <c r="R120" s="581"/>
      <c r="S120" s="581"/>
      <c r="T120" s="581"/>
      <c r="U120" s="581"/>
      <c r="V120" s="581"/>
      <c r="W120" s="581"/>
      <c r="X120" s="581"/>
      <c r="Y120" s="581"/>
      <c r="Z120" s="581"/>
      <c r="AA120" s="581"/>
      <c r="AB120" s="581"/>
      <c r="AC120" s="581"/>
      <c r="AD120" s="581"/>
      <c r="AE120" s="581"/>
      <c r="AF120" s="581"/>
      <c r="AG120" s="581"/>
      <c r="AH120" s="581"/>
      <c r="AI120" s="581"/>
      <c r="AJ120" s="581"/>
      <c r="AK120" s="581"/>
      <c r="AL120" s="581"/>
      <c r="AM120" s="581"/>
      <c r="AN120" s="581"/>
      <c r="AO120" s="581"/>
      <c r="AP120" s="581"/>
      <c r="AQ120" s="581"/>
      <c r="AR120" s="581"/>
    </row>
    <row r="121" spans="1:44" ht="12.75" customHeight="1" x14ac:dyDescent="0.25">
      <c r="A121" s="581"/>
      <c r="B121" s="581"/>
      <c r="C121" s="581"/>
      <c r="D121" s="581"/>
      <c r="E121" s="581"/>
      <c r="F121" s="581"/>
      <c r="G121" s="581"/>
      <c r="H121" s="581"/>
      <c r="I121" s="581"/>
      <c r="J121" s="581"/>
      <c r="K121" s="581"/>
      <c r="L121" s="581"/>
      <c r="M121" s="581"/>
      <c r="N121" s="581"/>
      <c r="O121" s="581"/>
      <c r="P121" s="581"/>
      <c r="Q121" s="581"/>
      <c r="R121" s="581"/>
      <c r="S121" s="581"/>
      <c r="T121" s="581"/>
      <c r="U121" s="581"/>
      <c r="V121" s="581"/>
      <c r="W121" s="581"/>
      <c r="X121" s="581"/>
      <c r="Y121" s="581"/>
      <c r="Z121" s="581"/>
      <c r="AA121" s="581"/>
      <c r="AB121" s="581"/>
      <c r="AC121" s="581"/>
      <c r="AD121" s="581"/>
      <c r="AE121" s="581"/>
      <c r="AF121" s="581"/>
      <c r="AG121" s="581"/>
      <c r="AH121" s="581"/>
      <c r="AI121" s="581"/>
      <c r="AJ121" s="581"/>
      <c r="AK121" s="581"/>
      <c r="AL121" s="581"/>
      <c r="AM121" s="581"/>
      <c r="AN121" s="581"/>
      <c r="AO121" s="581"/>
      <c r="AP121" s="581"/>
      <c r="AQ121" s="581"/>
      <c r="AR121" s="581"/>
    </row>
    <row r="122" spans="1:44" ht="12.75" customHeight="1" x14ac:dyDescent="0.25">
      <c r="A122" s="581"/>
      <c r="B122" s="581"/>
      <c r="C122" s="581"/>
      <c r="D122" s="581"/>
      <c r="E122" s="581"/>
      <c r="F122" s="581"/>
      <c r="G122" s="581"/>
      <c r="H122" s="581"/>
      <c r="I122" s="581"/>
      <c r="J122" s="581"/>
      <c r="K122" s="581"/>
      <c r="L122" s="581"/>
      <c r="M122" s="581"/>
      <c r="N122" s="581"/>
      <c r="O122" s="581"/>
      <c r="P122" s="581"/>
      <c r="Q122" s="581"/>
      <c r="R122" s="581"/>
      <c r="S122" s="581"/>
      <c r="T122" s="581"/>
      <c r="U122" s="581"/>
      <c r="V122" s="581"/>
      <c r="W122" s="581"/>
      <c r="X122" s="581"/>
      <c r="Y122" s="581"/>
      <c r="Z122" s="581"/>
      <c r="AA122" s="581"/>
      <c r="AB122" s="581"/>
      <c r="AC122" s="581"/>
      <c r="AD122" s="581"/>
      <c r="AE122" s="581"/>
      <c r="AF122" s="581"/>
      <c r="AG122" s="581"/>
      <c r="AH122" s="581"/>
      <c r="AI122" s="581"/>
      <c r="AJ122" s="581"/>
      <c r="AK122" s="581"/>
      <c r="AL122" s="581"/>
      <c r="AM122" s="581"/>
      <c r="AN122" s="581"/>
      <c r="AO122" s="581"/>
      <c r="AP122" s="581"/>
      <c r="AQ122" s="581"/>
      <c r="AR122" s="581"/>
    </row>
    <row r="123" spans="1:44" ht="12.75" customHeight="1" x14ac:dyDescent="0.25">
      <c r="A123" s="581"/>
      <c r="B123" s="581"/>
      <c r="C123" s="581"/>
      <c r="D123" s="581"/>
      <c r="E123" s="581"/>
      <c r="F123" s="581"/>
      <c r="G123" s="581"/>
      <c r="H123" s="581"/>
      <c r="I123" s="581"/>
      <c r="J123" s="581"/>
      <c r="K123" s="581"/>
      <c r="L123" s="581"/>
      <c r="M123" s="581"/>
      <c r="N123" s="581"/>
      <c r="O123" s="581"/>
      <c r="P123" s="581"/>
      <c r="Q123" s="581"/>
      <c r="R123" s="581"/>
      <c r="S123" s="581"/>
      <c r="T123" s="581"/>
      <c r="U123" s="581"/>
      <c r="V123" s="581"/>
      <c r="W123" s="581"/>
      <c r="X123" s="581"/>
      <c r="Y123" s="581"/>
      <c r="Z123" s="581"/>
      <c r="AA123" s="581"/>
      <c r="AB123" s="581"/>
      <c r="AC123" s="581"/>
      <c r="AD123" s="581"/>
      <c r="AE123" s="581"/>
      <c r="AF123" s="581"/>
      <c r="AG123" s="581"/>
      <c r="AH123" s="581"/>
      <c r="AI123" s="581"/>
      <c r="AJ123" s="581"/>
      <c r="AK123" s="581"/>
      <c r="AL123" s="581"/>
      <c r="AM123" s="581"/>
      <c r="AN123" s="581"/>
      <c r="AO123" s="581"/>
      <c r="AP123" s="581"/>
      <c r="AQ123" s="581"/>
      <c r="AR123" s="581"/>
    </row>
    <row r="124" spans="1:44" ht="12.75" customHeight="1" x14ac:dyDescent="0.25">
      <c r="A124" s="581"/>
      <c r="B124" s="581"/>
      <c r="C124" s="581"/>
      <c r="D124" s="581"/>
      <c r="E124" s="581"/>
      <c r="F124" s="581"/>
      <c r="G124" s="581"/>
      <c r="H124" s="581"/>
      <c r="I124" s="581"/>
      <c r="J124" s="581"/>
      <c r="K124" s="581"/>
      <c r="L124" s="581"/>
      <c r="M124" s="581"/>
      <c r="N124" s="581"/>
      <c r="O124" s="581"/>
      <c r="P124" s="581"/>
      <c r="Q124" s="581"/>
      <c r="R124" s="581"/>
      <c r="S124" s="581"/>
      <c r="T124" s="581"/>
      <c r="U124" s="581"/>
      <c r="V124" s="581"/>
      <c r="W124" s="581"/>
      <c r="X124" s="581"/>
      <c r="Y124" s="581"/>
      <c r="Z124" s="581"/>
      <c r="AA124" s="581"/>
      <c r="AB124" s="581"/>
      <c r="AC124" s="581"/>
      <c r="AD124" s="581"/>
      <c r="AE124" s="581"/>
      <c r="AF124" s="581"/>
      <c r="AG124" s="581"/>
      <c r="AH124" s="581"/>
      <c r="AI124" s="581"/>
      <c r="AJ124" s="581"/>
      <c r="AK124" s="581"/>
      <c r="AL124" s="581"/>
      <c r="AM124" s="581"/>
      <c r="AN124" s="581"/>
      <c r="AO124" s="581"/>
      <c r="AP124" s="581"/>
      <c r="AQ124" s="581"/>
      <c r="AR124" s="581"/>
    </row>
    <row r="125" spans="1:44" ht="12.75" customHeight="1" x14ac:dyDescent="0.25">
      <c r="A125" s="581"/>
      <c r="B125" s="581"/>
      <c r="C125" s="581"/>
      <c r="D125" s="581"/>
      <c r="E125" s="581"/>
      <c r="F125" s="581"/>
      <c r="G125" s="581"/>
      <c r="H125" s="581"/>
      <c r="I125" s="581"/>
      <c r="J125" s="581"/>
      <c r="K125" s="581"/>
      <c r="L125" s="581"/>
      <c r="M125" s="581"/>
      <c r="N125" s="581"/>
      <c r="O125" s="581"/>
      <c r="P125" s="581"/>
      <c r="Q125" s="581"/>
      <c r="R125" s="581"/>
      <c r="S125" s="581"/>
      <c r="T125" s="581"/>
      <c r="U125" s="581"/>
      <c r="V125" s="581"/>
      <c r="W125" s="581"/>
      <c r="X125" s="581"/>
      <c r="Y125" s="581"/>
      <c r="Z125" s="581"/>
      <c r="AA125" s="581"/>
      <c r="AB125" s="581"/>
      <c r="AC125" s="581"/>
      <c r="AD125" s="581"/>
      <c r="AE125" s="581"/>
      <c r="AF125" s="581"/>
      <c r="AG125" s="581"/>
      <c r="AH125" s="581"/>
      <c r="AI125" s="581"/>
      <c r="AJ125" s="581"/>
      <c r="AK125" s="581"/>
      <c r="AL125" s="581"/>
      <c r="AM125" s="581"/>
      <c r="AN125" s="581"/>
      <c r="AO125" s="581"/>
      <c r="AP125" s="581"/>
      <c r="AQ125" s="581"/>
      <c r="AR125" s="581"/>
    </row>
    <row r="126" spans="1:44" ht="12.75" customHeight="1" x14ac:dyDescent="0.25">
      <c r="A126" s="581"/>
      <c r="B126" s="581"/>
      <c r="C126" s="581"/>
      <c r="D126" s="581"/>
      <c r="E126" s="581"/>
      <c r="F126" s="581"/>
      <c r="G126" s="581"/>
      <c r="H126" s="581"/>
      <c r="I126" s="581"/>
      <c r="J126" s="581"/>
      <c r="K126" s="581"/>
      <c r="L126" s="581"/>
      <c r="M126" s="581"/>
      <c r="N126" s="581"/>
      <c r="O126" s="581"/>
      <c r="P126" s="581"/>
      <c r="Q126" s="581"/>
      <c r="R126" s="581"/>
      <c r="S126" s="581"/>
      <c r="T126" s="581"/>
      <c r="U126" s="581"/>
      <c r="V126" s="581"/>
      <c r="W126" s="581"/>
      <c r="X126" s="581"/>
      <c r="Y126" s="581"/>
      <c r="Z126" s="581"/>
      <c r="AA126" s="581"/>
      <c r="AB126" s="581"/>
      <c r="AC126" s="581"/>
      <c r="AD126" s="581"/>
      <c r="AE126" s="581"/>
      <c r="AF126" s="581"/>
      <c r="AG126" s="581"/>
      <c r="AH126" s="581"/>
      <c r="AI126" s="581"/>
      <c r="AJ126" s="581"/>
      <c r="AK126" s="581"/>
      <c r="AL126" s="581"/>
      <c r="AM126" s="581"/>
      <c r="AN126" s="581"/>
      <c r="AO126" s="581"/>
      <c r="AP126" s="581"/>
      <c r="AQ126" s="581"/>
      <c r="AR126" s="581"/>
    </row>
    <row r="127" spans="1:44" ht="12.75" customHeight="1" x14ac:dyDescent="0.25">
      <c r="A127" s="581"/>
      <c r="B127" s="581"/>
      <c r="C127" s="581"/>
      <c r="D127" s="581"/>
      <c r="E127" s="581"/>
      <c r="F127" s="581"/>
      <c r="G127" s="581"/>
      <c r="H127" s="581"/>
      <c r="I127" s="581"/>
      <c r="J127" s="581"/>
      <c r="K127" s="581"/>
      <c r="L127" s="581"/>
      <c r="M127" s="581"/>
      <c r="N127" s="581"/>
      <c r="O127" s="581"/>
      <c r="P127" s="581"/>
      <c r="Q127" s="581"/>
      <c r="R127" s="581"/>
      <c r="S127" s="581"/>
      <c r="T127" s="581"/>
      <c r="U127" s="581"/>
      <c r="V127" s="581"/>
      <c r="W127" s="581"/>
      <c r="X127" s="581"/>
      <c r="Y127" s="581"/>
      <c r="Z127" s="581"/>
      <c r="AA127" s="581"/>
      <c r="AB127" s="581"/>
      <c r="AC127" s="581"/>
      <c r="AD127" s="581"/>
      <c r="AE127" s="581"/>
      <c r="AF127" s="581"/>
      <c r="AG127" s="581"/>
      <c r="AH127" s="581"/>
      <c r="AI127" s="581"/>
      <c r="AJ127" s="581"/>
      <c r="AK127" s="581"/>
      <c r="AL127" s="581"/>
      <c r="AM127" s="581"/>
      <c r="AN127" s="581"/>
      <c r="AO127" s="581"/>
      <c r="AP127" s="581"/>
      <c r="AQ127" s="581"/>
      <c r="AR127" s="581"/>
    </row>
    <row r="128" spans="1:44" ht="12.75" customHeight="1" x14ac:dyDescent="0.25">
      <c r="A128" s="581"/>
      <c r="B128" s="581"/>
      <c r="C128" s="581"/>
      <c r="D128" s="581"/>
      <c r="E128" s="581"/>
      <c r="F128" s="581"/>
      <c r="G128" s="581"/>
      <c r="H128" s="581"/>
      <c r="I128" s="581"/>
      <c r="J128" s="581"/>
      <c r="K128" s="581"/>
      <c r="L128" s="581"/>
      <c r="M128" s="581"/>
      <c r="N128" s="581"/>
      <c r="O128" s="581"/>
      <c r="P128" s="581"/>
      <c r="Q128" s="581"/>
      <c r="R128" s="581"/>
      <c r="S128" s="581"/>
      <c r="T128" s="581"/>
      <c r="U128" s="581"/>
      <c r="V128" s="581"/>
      <c r="W128" s="581"/>
      <c r="X128" s="581"/>
      <c r="Y128" s="581"/>
      <c r="Z128" s="581"/>
      <c r="AA128" s="581"/>
      <c r="AB128" s="581"/>
      <c r="AC128" s="581"/>
      <c r="AD128" s="581"/>
      <c r="AE128" s="581"/>
      <c r="AF128" s="581"/>
      <c r="AG128" s="581"/>
      <c r="AH128" s="581"/>
      <c r="AI128" s="581"/>
      <c r="AJ128" s="581"/>
      <c r="AK128" s="581"/>
      <c r="AL128" s="581"/>
      <c r="AM128" s="581"/>
      <c r="AN128" s="581"/>
      <c r="AO128" s="581"/>
      <c r="AP128" s="581"/>
      <c r="AQ128" s="581"/>
      <c r="AR128" s="581"/>
    </row>
    <row r="129" spans="1:44" ht="12.75" customHeight="1" x14ac:dyDescent="0.25">
      <c r="A129" s="581"/>
      <c r="B129" s="581"/>
      <c r="C129" s="581"/>
      <c r="D129" s="581"/>
      <c r="E129" s="581"/>
      <c r="F129" s="581"/>
      <c r="G129" s="581"/>
      <c r="H129" s="581"/>
      <c r="I129" s="581"/>
      <c r="J129" s="581"/>
      <c r="K129" s="581"/>
      <c r="L129" s="581"/>
      <c r="M129" s="581"/>
      <c r="N129" s="581"/>
      <c r="O129" s="581"/>
      <c r="P129" s="581"/>
      <c r="Q129" s="581"/>
      <c r="R129" s="581"/>
      <c r="S129" s="581"/>
      <c r="T129" s="581"/>
      <c r="U129" s="581"/>
      <c r="V129" s="581"/>
      <c r="W129" s="581"/>
      <c r="X129" s="581"/>
      <c r="Y129" s="581"/>
      <c r="Z129" s="581"/>
      <c r="AA129" s="581"/>
      <c r="AB129" s="581"/>
      <c r="AC129" s="581"/>
      <c r="AD129" s="581"/>
      <c r="AE129" s="581"/>
      <c r="AF129" s="581"/>
      <c r="AG129" s="581"/>
      <c r="AH129" s="581"/>
      <c r="AI129" s="581"/>
      <c r="AJ129" s="581"/>
      <c r="AK129" s="581"/>
      <c r="AL129" s="581"/>
      <c r="AM129" s="581"/>
      <c r="AN129" s="581"/>
      <c r="AO129" s="581"/>
      <c r="AP129" s="581"/>
      <c r="AQ129" s="581"/>
      <c r="AR129" s="581"/>
    </row>
    <row r="130" spans="1:44" ht="12.75" customHeight="1" x14ac:dyDescent="0.25">
      <c r="A130" s="581"/>
      <c r="B130" s="581"/>
      <c r="C130" s="581"/>
      <c r="D130" s="581"/>
      <c r="E130" s="581"/>
      <c r="F130" s="581"/>
      <c r="G130" s="581"/>
      <c r="H130" s="581"/>
      <c r="I130" s="581"/>
      <c r="J130" s="581"/>
      <c r="K130" s="581"/>
      <c r="L130" s="581"/>
      <c r="M130" s="581"/>
      <c r="N130" s="581"/>
      <c r="O130" s="581"/>
      <c r="P130" s="581"/>
      <c r="Q130" s="581"/>
      <c r="R130" s="581"/>
      <c r="S130" s="581"/>
      <c r="T130" s="581"/>
      <c r="U130" s="581"/>
      <c r="V130" s="581"/>
      <c r="W130" s="581"/>
      <c r="X130" s="581"/>
      <c r="Y130" s="581"/>
      <c r="Z130" s="581"/>
      <c r="AA130" s="581"/>
      <c r="AB130" s="581"/>
      <c r="AC130" s="581"/>
      <c r="AD130" s="581"/>
      <c r="AE130" s="581"/>
      <c r="AF130" s="581"/>
      <c r="AG130" s="581"/>
      <c r="AH130" s="581"/>
      <c r="AI130" s="581"/>
      <c r="AJ130" s="581"/>
      <c r="AK130" s="581"/>
      <c r="AL130" s="581"/>
      <c r="AM130" s="581"/>
      <c r="AN130" s="581"/>
      <c r="AO130" s="581"/>
      <c r="AP130" s="581"/>
      <c r="AQ130" s="581"/>
      <c r="AR130" s="581"/>
    </row>
    <row r="131" spans="1:44" ht="12.75" customHeight="1" x14ac:dyDescent="0.25">
      <c r="A131" s="581"/>
      <c r="B131" s="581"/>
      <c r="C131" s="581"/>
      <c r="D131" s="581"/>
      <c r="E131" s="581"/>
      <c r="F131" s="581"/>
      <c r="G131" s="581"/>
      <c r="H131" s="581"/>
      <c r="I131" s="581"/>
      <c r="J131" s="581"/>
      <c r="K131" s="581"/>
      <c r="L131" s="581"/>
      <c r="M131" s="581"/>
      <c r="N131" s="581"/>
      <c r="O131" s="581"/>
      <c r="P131" s="581"/>
      <c r="Q131" s="581"/>
      <c r="R131" s="581"/>
      <c r="S131" s="581"/>
      <c r="T131" s="581"/>
      <c r="U131" s="581"/>
      <c r="V131" s="581"/>
      <c r="W131" s="581"/>
      <c r="X131" s="581"/>
      <c r="Y131" s="581"/>
      <c r="Z131" s="581"/>
      <c r="AA131" s="581"/>
      <c r="AB131" s="581"/>
      <c r="AC131" s="581"/>
      <c r="AD131" s="581"/>
      <c r="AE131" s="581"/>
      <c r="AF131" s="581"/>
      <c r="AG131" s="581"/>
      <c r="AH131" s="581"/>
      <c r="AI131" s="581"/>
      <c r="AJ131" s="581"/>
      <c r="AK131" s="581"/>
      <c r="AL131" s="581"/>
      <c r="AM131" s="581"/>
      <c r="AN131" s="581"/>
      <c r="AO131" s="581"/>
      <c r="AP131" s="581"/>
      <c r="AQ131" s="581"/>
      <c r="AR131" s="581"/>
    </row>
    <row r="132" spans="1:44" ht="12.75" customHeight="1" x14ac:dyDescent="0.25">
      <c r="A132" s="581"/>
      <c r="B132" s="581"/>
      <c r="C132" s="581"/>
      <c r="D132" s="581"/>
      <c r="E132" s="581"/>
      <c r="F132" s="581"/>
      <c r="G132" s="581"/>
      <c r="H132" s="581"/>
      <c r="I132" s="581"/>
      <c r="J132" s="581"/>
      <c r="K132" s="581"/>
      <c r="L132" s="581"/>
      <c r="M132" s="581"/>
      <c r="N132" s="581"/>
      <c r="O132" s="581"/>
      <c r="P132" s="581"/>
      <c r="Q132" s="581"/>
      <c r="R132" s="581"/>
      <c r="S132" s="581"/>
      <c r="T132" s="581"/>
      <c r="U132" s="581"/>
      <c r="V132" s="581"/>
      <c r="W132" s="581"/>
      <c r="X132" s="581"/>
      <c r="Y132" s="581"/>
      <c r="Z132" s="581"/>
      <c r="AA132" s="581"/>
      <c r="AB132" s="581"/>
      <c r="AC132" s="581"/>
      <c r="AD132" s="581"/>
      <c r="AE132" s="581"/>
      <c r="AF132" s="581"/>
      <c r="AG132" s="581"/>
      <c r="AH132" s="581"/>
      <c r="AI132" s="581"/>
      <c r="AJ132" s="581"/>
      <c r="AK132" s="581"/>
      <c r="AL132" s="581"/>
      <c r="AM132" s="581"/>
      <c r="AN132" s="581"/>
      <c r="AO132" s="581"/>
      <c r="AP132" s="581"/>
      <c r="AQ132" s="581"/>
      <c r="AR132" s="581"/>
    </row>
    <row r="133" spans="1:44" ht="12.75" customHeight="1" x14ac:dyDescent="0.25">
      <c r="A133" s="581"/>
      <c r="B133" s="581"/>
      <c r="C133" s="581"/>
      <c r="D133" s="581"/>
      <c r="E133" s="581"/>
      <c r="F133" s="581"/>
      <c r="G133" s="581"/>
      <c r="H133" s="581"/>
      <c r="I133" s="581"/>
      <c r="J133" s="581"/>
      <c r="K133" s="581"/>
      <c r="L133" s="581"/>
      <c r="M133" s="581"/>
      <c r="N133" s="581"/>
      <c r="O133" s="581"/>
      <c r="P133" s="581"/>
      <c r="Q133" s="581"/>
      <c r="R133" s="581"/>
      <c r="S133" s="581"/>
      <c r="T133" s="581"/>
      <c r="U133" s="581"/>
      <c r="V133" s="581"/>
      <c r="W133" s="581"/>
      <c r="X133" s="581"/>
      <c r="Y133" s="581"/>
      <c r="Z133" s="581"/>
      <c r="AA133" s="581"/>
      <c r="AB133" s="581"/>
      <c r="AC133" s="581"/>
      <c r="AD133" s="581"/>
      <c r="AE133" s="581"/>
      <c r="AF133" s="581"/>
      <c r="AG133" s="581"/>
      <c r="AH133" s="581"/>
      <c r="AI133" s="581"/>
      <c r="AJ133" s="581"/>
      <c r="AK133" s="581"/>
      <c r="AL133" s="581"/>
      <c r="AM133" s="581"/>
      <c r="AN133" s="581"/>
      <c r="AO133" s="581"/>
      <c r="AP133" s="581"/>
      <c r="AQ133" s="581"/>
      <c r="AR133" s="581"/>
    </row>
    <row r="134" spans="1:44" ht="12.75" customHeight="1" x14ac:dyDescent="0.25">
      <c r="A134" s="581"/>
      <c r="B134" s="581"/>
      <c r="C134" s="581"/>
      <c r="D134" s="581"/>
      <c r="E134" s="581"/>
      <c r="F134" s="581"/>
      <c r="G134" s="581"/>
      <c r="H134" s="581"/>
      <c r="I134" s="581"/>
      <c r="J134" s="581"/>
      <c r="K134" s="581"/>
      <c r="L134" s="581"/>
      <c r="M134" s="581"/>
      <c r="N134" s="581"/>
      <c r="O134" s="581"/>
      <c r="P134" s="581"/>
      <c r="Q134" s="581"/>
      <c r="R134" s="581"/>
      <c r="S134" s="581"/>
      <c r="T134" s="581"/>
      <c r="U134" s="581"/>
      <c r="V134" s="581"/>
      <c r="W134" s="581"/>
      <c r="X134" s="581"/>
      <c r="Y134" s="581"/>
      <c r="Z134" s="581"/>
      <c r="AA134" s="581"/>
      <c r="AB134" s="581"/>
      <c r="AC134" s="581"/>
      <c r="AD134" s="581"/>
      <c r="AE134" s="581"/>
      <c r="AF134" s="581"/>
      <c r="AG134" s="581"/>
      <c r="AH134" s="581"/>
      <c r="AI134" s="581"/>
      <c r="AJ134" s="581"/>
      <c r="AK134" s="581"/>
      <c r="AL134" s="581"/>
      <c r="AM134" s="581"/>
      <c r="AN134" s="581"/>
      <c r="AO134" s="581"/>
      <c r="AP134" s="581"/>
      <c r="AQ134" s="581"/>
      <c r="AR134" s="581"/>
    </row>
    <row r="135" spans="1:44" ht="12.75" customHeight="1" x14ac:dyDescent="0.25">
      <c r="E135" s="256"/>
      <c r="F135" s="256"/>
      <c r="G135" s="256"/>
      <c r="I135" s="256"/>
    </row>
    <row r="136" spans="1:44" ht="12.75" customHeight="1" x14ac:dyDescent="0.25">
      <c r="E136" s="256"/>
      <c r="F136" s="256"/>
      <c r="G136" s="256"/>
      <c r="I136" s="256"/>
    </row>
    <row r="137" spans="1:44" ht="12.75" customHeight="1" x14ac:dyDescent="0.25">
      <c r="E137" s="256"/>
      <c r="F137" s="256"/>
      <c r="G137" s="256"/>
      <c r="I137" s="256"/>
    </row>
  </sheetData>
  <sheetProtection password="BCD8" sheet="1" objects="1" scenarios="1"/>
  <phoneticPr fontId="0" type="noConversion"/>
  <conditionalFormatting sqref="C24:C29">
    <cfRule type="cellIs" dxfId="177" priority="2" stopIfTrue="1" operator="equal">
      <formula>"&gt;"</formula>
    </cfRule>
  </conditionalFormatting>
  <conditionalFormatting sqref="D24:G29">
    <cfRule type="expression" dxfId="176" priority="1" stopIfTrue="1">
      <formula>$C24="&gt;"</formula>
    </cfRule>
  </conditionalFormatting>
  <pageMargins left="0.55000000000000004" right="0.45" top="0.63" bottom="0.45" header="0.36" footer="0.26"/>
  <pageSetup paperSize="9" scale="88"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913" r:id="rId4" name="home">
              <controlPr defaultSize="0" print="0" autoFill="0" autoPict="0" macro="[0]!globalgoto">
                <anchor moveWithCells="1" sizeWithCells="1">
                  <from>
                    <xdr:col>0</xdr:col>
                    <xdr:colOff>88900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38914" r:id="rId5" name="basic">
              <controlPr defaultSize="0" print="0" autoFill="0" autoPict="0" macro="[0]!globalgoto">
                <anchor moveWithCells="1" sizeWithCells="1">
                  <from>
                    <xdr:col>0</xdr:col>
                    <xdr:colOff>88900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38915" r:id="rId6" name="Button 3">
              <controlPr defaultSize="0" print="0" autoFill="0" autoPict="0" macro="[0]!goto_next_year_any_sheet">
                <anchor moveWithCells="1" sizeWithCells="1">
                  <from>
                    <xdr:col>0</xdr:col>
                    <xdr:colOff>107950</xdr:colOff>
                    <xdr:row>19</xdr:row>
                    <xdr:rowOff>12700</xdr:rowOff>
                  </from>
                  <to>
                    <xdr:col>0</xdr:col>
                    <xdr:colOff>1066800</xdr:colOff>
                    <xdr:row>22</xdr:row>
                    <xdr:rowOff>114300</xdr:rowOff>
                  </to>
                </anchor>
              </controlPr>
            </control>
          </mc:Choice>
        </mc:AlternateContent>
        <mc:AlternateContent xmlns:mc="http://schemas.openxmlformats.org/markup-compatibility/2006">
          <mc:Choice Requires="x14">
            <control shapeId="38916" r:id="rId7" name="Button 4">
              <controlPr defaultSize="0" print="0" autoFill="0" autoPict="0" macro="[0]!goto_next_year_any_sheet">
                <anchor moveWithCells="1" sizeWithCells="1">
                  <from>
                    <xdr:col>10</xdr:col>
                    <xdr:colOff>101600</xdr:colOff>
                    <xdr:row>2</xdr:row>
                    <xdr:rowOff>127000</xdr:rowOff>
                  </from>
                  <to>
                    <xdr:col>11</xdr:col>
                    <xdr:colOff>831850</xdr:colOff>
                    <xdr:row>4</xdr:row>
                    <xdr:rowOff>63500</xdr:rowOff>
                  </to>
                </anchor>
              </controlPr>
            </control>
          </mc:Choice>
        </mc:AlternateContent>
        <mc:AlternateContent xmlns:mc="http://schemas.openxmlformats.org/markup-compatibility/2006">
          <mc:Choice Requires="x14">
            <control shapeId="38917" r:id="rId8" name="Button 5">
              <controlPr defaultSize="0" print="0" autoFill="0" autoPict="0" macro="[0]!copy_as_excel">
                <anchor moveWithCells="1" sizeWithCells="1">
                  <from>
                    <xdr:col>10</xdr:col>
                    <xdr:colOff>38100</xdr:colOff>
                    <xdr:row>11</xdr:row>
                    <xdr:rowOff>88900</xdr:rowOff>
                  </from>
                  <to>
                    <xdr:col>11</xdr:col>
                    <xdr:colOff>501650</xdr:colOff>
                    <xdr:row>13</xdr:row>
                    <xdr:rowOff>146050</xdr:rowOff>
                  </to>
                </anchor>
              </controlPr>
            </control>
          </mc:Choice>
        </mc:AlternateContent>
        <mc:AlternateContent xmlns:mc="http://schemas.openxmlformats.org/markup-compatibility/2006">
          <mc:Choice Requires="x14">
            <control shapeId="38918" r:id="rId9" name="Button 6">
              <controlPr defaultSize="0" print="0" autoFill="0" autoPict="0" macro="[0]!pdflauncher">
                <anchor moveWithCells="1" sizeWithCells="1">
                  <from>
                    <xdr:col>11</xdr:col>
                    <xdr:colOff>508000</xdr:colOff>
                    <xdr:row>11</xdr:row>
                    <xdr:rowOff>88900</xdr:rowOff>
                  </from>
                  <to>
                    <xdr:col>11</xdr:col>
                    <xdr:colOff>1193800</xdr:colOff>
                    <xdr:row>13</xdr:row>
                    <xdr:rowOff>146050</xdr:rowOff>
                  </to>
                </anchor>
              </controlPr>
            </control>
          </mc:Choice>
        </mc:AlternateContent>
        <mc:AlternateContent xmlns:mc="http://schemas.openxmlformats.org/markup-compatibility/2006">
          <mc:Choice Requires="x14">
            <control shapeId="38919" r:id="rId10" name="Button 7">
              <controlPr defaultSize="0" print="0" autoFill="0" autoPict="0" macro="[0]!openfolder">
                <anchor moveWithCells="1" sizeWithCells="1">
                  <from>
                    <xdr:col>11</xdr:col>
                    <xdr:colOff>1206500</xdr:colOff>
                    <xdr:row>11</xdr:row>
                    <xdr:rowOff>88900</xdr:rowOff>
                  </from>
                  <to>
                    <xdr:col>11</xdr:col>
                    <xdr:colOff>1739900</xdr:colOff>
                    <xdr:row>13</xdr:row>
                    <xdr:rowOff>146050</xdr:rowOff>
                  </to>
                </anchor>
              </controlPr>
            </control>
          </mc:Choice>
        </mc:AlternateContent>
        <mc:AlternateContent xmlns:mc="http://schemas.openxmlformats.org/markup-compatibility/2006">
          <mc:Choice Requires="x14">
            <control shapeId="38920" r:id="rId11" name="Button 8">
              <controlPr defaultSize="0" print="0" autoFill="0" autoPict="0" macro="[0]!goto_folder_settings">
                <anchor moveWithCells="1" sizeWithCells="1">
                  <from>
                    <xdr:col>11</xdr:col>
                    <xdr:colOff>1746250</xdr:colOff>
                    <xdr:row>11</xdr:row>
                    <xdr:rowOff>88900</xdr:rowOff>
                  </from>
                  <to>
                    <xdr:col>11</xdr:col>
                    <xdr:colOff>2273300</xdr:colOff>
                    <xdr:row>13</xdr:row>
                    <xdr:rowOff>146050</xdr:rowOff>
                  </to>
                </anchor>
              </controlPr>
            </control>
          </mc:Choice>
        </mc:AlternateContent>
        <mc:AlternateContent xmlns:mc="http://schemas.openxmlformats.org/markup-compatibility/2006">
          <mc:Choice Requires="x14">
            <control shapeId="38921" r:id="rId12" name="Button 9">
              <controlPr defaultSize="0" print="0" autoFill="0" autoPict="0" macro="[0]!email_pdf_launch">
                <anchor moveWithCells="1" sizeWithCells="1">
                  <from>
                    <xdr:col>11</xdr:col>
                    <xdr:colOff>654050</xdr:colOff>
                    <xdr:row>9</xdr:row>
                    <xdr:rowOff>120650</xdr:rowOff>
                  </from>
                  <to>
                    <xdr:col>11</xdr:col>
                    <xdr:colOff>1339850</xdr:colOff>
                    <xdr:row>11</xdr:row>
                    <xdr:rowOff>82550</xdr:rowOff>
                  </to>
                </anchor>
              </controlPr>
            </control>
          </mc:Choice>
        </mc:AlternateContent>
        <mc:AlternateContent xmlns:mc="http://schemas.openxmlformats.org/markup-compatibility/2006">
          <mc:Choice Requires="x14">
            <control shapeId="38922" r:id="rId13" name="Button 10">
              <controlPr defaultSize="0" print="0" autoFill="0" autoPict="0" macro="[0]!email_copy_as_excel">
                <anchor moveWithCells="1" sizeWithCells="1">
                  <from>
                    <xdr:col>10</xdr:col>
                    <xdr:colOff>38100</xdr:colOff>
                    <xdr:row>9</xdr:row>
                    <xdr:rowOff>120650</xdr:rowOff>
                  </from>
                  <to>
                    <xdr:col>11</xdr:col>
                    <xdr:colOff>647700</xdr:colOff>
                    <xdr:row>11</xdr:row>
                    <xdr:rowOff>82550</xdr:rowOff>
                  </to>
                </anchor>
              </controlPr>
            </control>
          </mc:Choice>
        </mc:AlternateContent>
        <mc:AlternateContent xmlns:mc="http://schemas.openxmlformats.org/markup-compatibility/2006">
          <mc:Choice Requires="x14">
            <control shapeId="38923" r:id="rId14" name="Button 11">
              <controlPr defaultSize="0" print="0" autoFill="0" autoPict="0" macro="[0]!emailsettings">
                <anchor moveWithCells="1" sizeWithCells="1">
                  <from>
                    <xdr:col>11</xdr:col>
                    <xdr:colOff>1346200</xdr:colOff>
                    <xdr:row>9</xdr:row>
                    <xdr:rowOff>120650</xdr:rowOff>
                  </from>
                  <to>
                    <xdr:col>11</xdr:col>
                    <xdr:colOff>2273300</xdr:colOff>
                    <xdr:row>11</xdr:row>
                    <xdr:rowOff>82550</xdr:rowOff>
                  </to>
                </anchor>
              </controlPr>
            </control>
          </mc:Choice>
        </mc:AlternateContent>
        <mc:AlternateContent xmlns:mc="http://schemas.openxmlformats.org/markup-compatibility/2006">
          <mc:Choice Requires="x14">
            <control shapeId="38924" r:id="rId15" name="Button 12">
              <controlPr defaultSize="0" print="0" autoFill="0" autoPict="0" macro="[0]!goto_other_analysis">
                <anchor moveWithCells="1" sizeWithCells="1">
                  <from>
                    <xdr:col>10</xdr:col>
                    <xdr:colOff>127000</xdr:colOff>
                    <xdr:row>22</xdr:row>
                    <xdr:rowOff>114300</xdr:rowOff>
                  </from>
                  <to>
                    <xdr:col>11</xdr:col>
                    <xdr:colOff>863600</xdr:colOff>
                    <xdr:row>26</xdr:row>
                    <xdr:rowOff>38100</xdr:rowOff>
                  </to>
                </anchor>
              </controlPr>
            </control>
          </mc:Choice>
        </mc:AlternateContent>
        <mc:AlternateContent xmlns:mc="http://schemas.openxmlformats.org/markup-compatibility/2006">
          <mc:Choice Requires="x14">
            <control shapeId="38925" r:id="rId16" name="Button 13">
              <controlPr defaultSize="0" print="0" autoFill="0" autoPict="0" macro="[0]!goto_basic_analysis_revised">
                <anchor moveWithCells="1" sizeWithCells="1">
                  <from>
                    <xdr:col>10</xdr:col>
                    <xdr:colOff>127000</xdr:colOff>
                    <xdr:row>28</xdr:row>
                    <xdr:rowOff>146050</xdr:rowOff>
                  </from>
                  <to>
                    <xdr:col>11</xdr:col>
                    <xdr:colOff>863600</xdr:colOff>
                    <xdr:row>31</xdr:row>
                    <xdr:rowOff>234950</xdr:rowOff>
                  </to>
                </anchor>
              </controlPr>
            </control>
          </mc:Choice>
        </mc:AlternateContent>
        <mc:AlternateContent xmlns:mc="http://schemas.openxmlformats.org/markup-compatibility/2006">
          <mc:Choice Requires="x14">
            <control shapeId="38926" r:id="rId17" name="globalbacktobutton">
              <controlPr defaultSize="0" print="0" autoFill="0" autoPict="0" macro="[0]!backto">
                <anchor moveWithCells="1" sizeWithCells="1">
                  <from>
                    <xdr:col>10</xdr:col>
                    <xdr:colOff>139700</xdr:colOff>
                    <xdr:row>19</xdr:row>
                    <xdr:rowOff>38100</xdr:rowOff>
                  </from>
                  <to>
                    <xdr:col>11</xdr:col>
                    <xdr:colOff>863600</xdr:colOff>
                    <xdr:row>21</xdr:row>
                    <xdr:rowOff>146050</xdr:rowOff>
                  </to>
                </anchor>
              </controlPr>
            </control>
          </mc:Choice>
        </mc:AlternateContent>
        <mc:AlternateContent xmlns:mc="http://schemas.openxmlformats.org/markup-compatibility/2006">
          <mc:Choice Requires="x14">
            <control shapeId="38927" r:id="rId18" name="troyr1">
              <controlPr defaultSize="0" print="0" autoFill="0" autoPict="0" macro="[0]!goto_basic_analysis_revised">
                <anchor moveWithCells="1" sizeWithCells="1">
                  <from>
                    <xdr:col>3</xdr:col>
                    <xdr:colOff>1593850</xdr:colOff>
                    <xdr:row>44</xdr:row>
                    <xdr:rowOff>139700</xdr:rowOff>
                  </from>
                  <to>
                    <xdr:col>5</xdr:col>
                    <xdr:colOff>901700</xdr:colOff>
                    <xdr:row>46</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62833-5BC4-4E58-9E96-E6541F2C5D9D}">
  <sheetPr codeName="Sheet65">
    <pageSetUpPr fitToPage="1"/>
  </sheetPr>
  <dimension ref="A1:AR137"/>
  <sheetViews>
    <sheetView showGridLines="0" workbookViewId="0">
      <selection activeCell="L11" sqref="L11"/>
    </sheetView>
  </sheetViews>
  <sheetFormatPr defaultColWidth="9.08984375" defaultRowHeight="12.75" customHeight="1" x14ac:dyDescent="0.25"/>
  <cols>
    <col min="1" max="1" width="16.6328125" style="256" customWidth="1"/>
    <col min="2" max="2" width="2.6328125" style="256" customWidth="1"/>
    <col min="3" max="3" width="11.6328125" style="256" customWidth="1"/>
    <col min="4" max="4" width="23.453125" style="256" customWidth="1"/>
    <col min="5" max="5" width="12.08984375" style="273" customWidth="1"/>
    <col min="6" max="6" width="16.08984375" style="273" customWidth="1"/>
    <col min="7" max="7" width="10.6328125" style="273" customWidth="1"/>
    <col min="8" max="8" width="12.36328125" style="256" customWidth="1"/>
    <col min="9" max="9" width="12.453125" style="475" customWidth="1"/>
    <col min="10" max="10" width="2.54296875" style="256" customWidth="1"/>
    <col min="11" max="11" width="9.36328125" style="256" customWidth="1"/>
    <col min="12" max="12" width="11.90625" style="256" customWidth="1"/>
    <col min="13" max="13" width="15.6328125" style="256" customWidth="1"/>
    <col min="14" max="16" width="9.08984375" style="256"/>
    <col min="17" max="19" width="9.08984375" style="256" hidden="1" customWidth="1"/>
    <col min="20" max="20" width="17.453125" style="256" hidden="1" customWidth="1"/>
    <col min="21" max="26" width="9.08984375" style="256" hidden="1" customWidth="1"/>
    <col min="27" max="16384" width="9.08984375" style="256"/>
  </cols>
  <sheetData>
    <row r="1" spans="1:44" ht="12.5" x14ac:dyDescent="0.25">
      <c r="A1" s="492"/>
      <c r="B1" s="492"/>
      <c r="C1" s="492"/>
      <c r="D1" s="492"/>
      <c r="E1" s="493"/>
      <c r="F1" s="493"/>
      <c r="G1" s="493"/>
      <c r="H1" s="492"/>
      <c r="I1" s="494"/>
      <c r="J1" s="492"/>
      <c r="K1" s="492"/>
      <c r="L1" s="492"/>
      <c r="M1" s="492"/>
      <c r="N1" s="492"/>
      <c r="O1" s="492"/>
      <c r="P1" s="492"/>
      <c r="AA1" s="492"/>
      <c r="AB1" s="492"/>
      <c r="AC1" s="492"/>
      <c r="AD1" s="492"/>
      <c r="AE1" s="492"/>
      <c r="AF1" s="492"/>
      <c r="AG1" s="492"/>
      <c r="AH1" s="492"/>
      <c r="AI1" s="492"/>
      <c r="AJ1" s="492"/>
      <c r="AK1" s="492"/>
      <c r="AL1" s="492"/>
      <c r="AM1" s="492"/>
      <c r="AN1" s="492"/>
      <c r="AO1" s="492"/>
      <c r="AP1" s="492"/>
      <c r="AQ1" s="492"/>
      <c r="AR1" s="492"/>
    </row>
    <row r="2" spans="1:44" ht="12.5" x14ac:dyDescent="0.25">
      <c r="A2" s="492"/>
      <c r="B2" s="492"/>
      <c r="C2" s="492"/>
      <c r="D2" s="492"/>
      <c r="E2" s="493"/>
      <c r="F2" s="493"/>
      <c r="G2" s="493"/>
      <c r="H2" s="492"/>
      <c r="I2" s="494"/>
      <c r="J2" s="492"/>
      <c r="K2" s="492"/>
      <c r="L2" s="492"/>
      <c r="M2" s="492"/>
      <c r="N2" s="492"/>
      <c r="O2" s="492"/>
      <c r="P2" s="492"/>
      <c r="AA2" s="492"/>
      <c r="AB2" s="492"/>
      <c r="AC2" s="492"/>
      <c r="AD2" s="492"/>
      <c r="AE2" s="492"/>
      <c r="AF2" s="492"/>
      <c r="AG2" s="492"/>
      <c r="AH2" s="492"/>
      <c r="AI2" s="492"/>
      <c r="AJ2" s="492"/>
      <c r="AK2" s="492"/>
      <c r="AL2" s="492"/>
      <c r="AM2" s="492"/>
      <c r="AN2" s="492"/>
      <c r="AO2" s="492"/>
      <c r="AP2" s="492"/>
      <c r="AQ2" s="492"/>
      <c r="AR2" s="492"/>
    </row>
    <row r="3" spans="1:44" ht="12.5" x14ac:dyDescent="0.25">
      <c r="A3" s="492"/>
      <c r="K3" s="492"/>
      <c r="L3" s="492"/>
      <c r="M3" s="492"/>
      <c r="N3" s="492"/>
      <c r="O3" s="492"/>
      <c r="P3" s="492"/>
      <c r="AA3" s="492"/>
      <c r="AB3" s="492"/>
      <c r="AC3" s="492"/>
      <c r="AD3" s="492"/>
      <c r="AE3" s="492"/>
      <c r="AF3" s="492"/>
      <c r="AG3" s="492"/>
      <c r="AH3" s="492"/>
      <c r="AI3" s="492"/>
      <c r="AJ3" s="492"/>
      <c r="AK3" s="492"/>
      <c r="AL3" s="492"/>
      <c r="AM3" s="492"/>
      <c r="AN3" s="492"/>
      <c r="AO3" s="492"/>
      <c r="AP3" s="492"/>
      <c r="AQ3" s="492"/>
      <c r="AR3" s="492"/>
    </row>
    <row r="4" spans="1:44" ht="15.5" x14ac:dyDescent="0.35">
      <c r="A4" s="492"/>
      <c r="C4" s="488" t="str">
        <f>"Transitional Arrangements Calculation - "&amp;C10</f>
        <v xml:space="preserve">Transitional Arrangements Calculation - 2024/25 </v>
      </c>
      <c r="H4" s="579" t="str">
        <f>basic!D22</f>
        <v>England</v>
      </c>
      <c r="I4" s="579" t="s">
        <v>249</v>
      </c>
      <c r="K4" s="492"/>
      <c r="L4" s="492"/>
      <c r="M4" s="492"/>
      <c r="N4" s="492"/>
      <c r="O4" s="492"/>
      <c r="P4" s="492"/>
      <c r="AA4" s="492"/>
      <c r="AB4" s="492"/>
      <c r="AC4" s="492"/>
      <c r="AD4" s="492"/>
      <c r="AE4" s="492"/>
      <c r="AF4" s="492"/>
      <c r="AG4" s="492"/>
      <c r="AH4" s="492"/>
      <c r="AI4" s="492"/>
      <c r="AJ4" s="492"/>
      <c r="AK4" s="492"/>
      <c r="AL4" s="492"/>
      <c r="AM4" s="492"/>
      <c r="AN4" s="492"/>
      <c r="AO4" s="492"/>
      <c r="AP4" s="492"/>
      <c r="AQ4" s="492"/>
      <c r="AR4" s="492"/>
    </row>
    <row r="5" spans="1:44" ht="9" customHeight="1" x14ac:dyDescent="0.3">
      <c r="A5" s="492"/>
      <c r="C5" s="291"/>
      <c r="K5" s="492"/>
      <c r="L5" s="492"/>
      <c r="M5" s="492"/>
      <c r="N5" s="492"/>
      <c r="O5" s="492"/>
      <c r="P5" s="492"/>
      <c r="AA5" s="492"/>
      <c r="AB5" s="492"/>
      <c r="AC5" s="492"/>
      <c r="AD5" s="492"/>
      <c r="AE5" s="492"/>
      <c r="AF5" s="492"/>
      <c r="AG5" s="492"/>
      <c r="AH5" s="492"/>
      <c r="AI5" s="492"/>
      <c r="AJ5" s="492"/>
      <c r="AK5" s="492"/>
      <c r="AL5" s="492"/>
      <c r="AM5" s="492"/>
      <c r="AN5" s="492"/>
      <c r="AO5" s="492"/>
      <c r="AP5" s="492"/>
      <c r="AQ5" s="492"/>
      <c r="AR5" s="492"/>
    </row>
    <row r="6" spans="1:44" ht="13" x14ac:dyDescent="0.3">
      <c r="A6" s="492"/>
      <c r="C6" s="291" t="s">
        <v>667</v>
      </c>
      <c r="D6" s="291" t="str">
        <f>basic!D26</f>
        <v>Enter Address Details</v>
      </c>
      <c r="K6" s="492"/>
      <c r="L6" s="492"/>
      <c r="M6" s="492"/>
      <c r="N6" s="492"/>
      <c r="O6" s="492"/>
      <c r="P6" s="492"/>
      <c r="AA6" s="492"/>
      <c r="AB6" s="492"/>
      <c r="AC6" s="492"/>
      <c r="AD6" s="492"/>
      <c r="AE6" s="492"/>
      <c r="AF6" s="492"/>
      <c r="AG6" s="492"/>
      <c r="AH6" s="492"/>
      <c r="AI6" s="492"/>
      <c r="AJ6" s="492"/>
      <c r="AK6" s="492"/>
      <c r="AL6" s="492"/>
      <c r="AM6" s="492"/>
      <c r="AN6" s="492"/>
      <c r="AO6" s="492"/>
      <c r="AP6" s="492"/>
      <c r="AQ6" s="492"/>
      <c r="AR6" s="492"/>
    </row>
    <row r="7" spans="1:44" ht="13" x14ac:dyDescent="0.3">
      <c r="A7" s="492"/>
      <c r="C7" s="291"/>
      <c r="D7" s="291"/>
      <c r="K7" s="492"/>
      <c r="L7" s="492"/>
      <c r="M7" s="492"/>
      <c r="N7" s="492"/>
      <c r="O7" s="492"/>
      <c r="P7" s="492"/>
      <c r="AA7" s="492"/>
      <c r="AB7" s="492"/>
      <c r="AC7" s="492"/>
      <c r="AD7" s="492"/>
      <c r="AE7" s="492"/>
      <c r="AF7" s="492"/>
      <c r="AG7" s="492"/>
      <c r="AH7" s="492"/>
      <c r="AI7" s="492"/>
      <c r="AJ7" s="492"/>
      <c r="AK7" s="492"/>
      <c r="AL7" s="492"/>
      <c r="AM7" s="492"/>
      <c r="AN7" s="492"/>
      <c r="AO7" s="492"/>
      <c r="AP7" s="492"/>
      <c r="AQ7" s="492"/>
      <c r="AR7" s="492"/>
    </row>
    <row r="8" spans="1:44" ht="13.5" customHeight="1" x14ac:dyDescent="0.3">
      <c r="A8" s="492"/>
      <c r="C8" s="489"/>
      <c r="D8" s="498" t="str">
        <f>IF(calc1!D38=FALSE,"As Transition did not apply in the previous year it will not apply this year","")</f>
        <v>As Transition did not apply in the previous year it will not apply this year</v>
      </c>
      <c r="E8" s="335"/>
      <c r="F8" s="335"/>
      <c r="G8" s="335"/>
      <c r="H8" s="283"/>
      <c r="I8" s="487"/>
      <c r="K8" s="492"/>
      <c r="L8" s="492"/>
      <c r="M8" s="492"/>
      <c r="N8" s="492"/>
      <c r="O8" s="492"/>
      <c r="P8" s="492"/>
      <c r="AA8" s="492"/>
      <c r="AB8" s="492"/>
      <c r="AC8" s="492"/>
      <c r="AD8" s="492"/>
      <c r="AE8" s="492"/>
      <c r="AF8" s="492"/>
      <c r="AG8" s="492"/>
      <c r="AH8" s="492"/>
      <c r="AI8" s="492"/>
      <c r="AJ8" s="492"/>
      <c r="AK8" s="492"/>
      <c r="AL8" s="492"/>
      <c r="AM8" s="492"/>
      <c r="AN8" s="492"/>
      <c r="AO8" s="492"/>
      <c r="AP8" s="492"/>
      <c r="AQ8" s="492"/>
      <c r="AR8" s="492"/>
    </row>
    <row r="9" spans="1:44" ht="9.75" customHeight="1" x14ac:dyDescent="0.3">
      <c r="A9" s="492"/>
      <c r="C9" s="291"/>
      <c r="K9" s="492"/>
      <c r="L9" s="492"/>
      <c r="M9" s="492"/>
      <c r="N9" s="492"/>
      <c r="O9" s="492"/>
      <c r="P9" s="492"/>
      <c r="S9" s="480" t="s">
        <v>57</v>
      </c>
      <c r="T9" s="302">
        <f>data!B3-1</f>
        <v>45016</v>
      </c>
      <c r="AA9" s="492"/>
      <c r="AB9" s="492"/>
      <c r="AC9" s="492"/>
      <c r="AD9" s="492"/>
      <c r="AE9" s="492"/>
      <c r="AF9" s="492"/>
      <c r="AG9" s="492"/>
      <c r="AH9" s="492"/>
      <c r="AI9" s="492"/>
      <c r="AJ9" s="492"/>
      <c r="AK9" s="492"/>
      <c r="AL9" s="492"/>
      <c r="AM9" s="492"/>
      <c r="AN9" s="492"/>
      <c r="AO9" s="492"/>
      <c r="AP9" s="492"/>
      <c r="AQ9" s="492"/>
      <c r="AR9" s="492"/>
    </row>
    <row r="10" spans="1:44" ht="13.5" customHeight="1" x14ac:dyDescent="0.3">
      <c r="A10" s="492"/>
      <c r="C10" s="291" t="str">
        <f>basic!D16</f>
        <v xml:space="preserve">2024/25 </v>
      </c>
      <c r="D10" s="257" t="str">
        <f>"The Base Liability is the Transitional Limit from the previous year"</f>
        <v>The Base Liability is the Transitional Limit from the previous year</v>
      </c>
      <c r="H10" s="476"/>
      <c r="K10" s="492"/>
      <c r="L10" s="492"/>
      <c r="M10" s="492"/>
      <c r="N10" s="492"/>
      <c r="O10" s="492"/>
      <c r="P10" s="492"/>
      <c r="S10" s="480" t="s">
        <v>43</v>
      </c>
      <c r="T10" s="495">
        <f>basic!I5</f>
        <v>0</v>
      </c>
      <c r="AA10" s="492"/>
      <c r="AB10" s="492"/>
      <c r="AC10" s="492"/>
      <c r="AD10" s="492"/>
      <c r="AE10" s="492"/>
      <c r="AF10" s="492"/>
      <c r="AG10" s="492"/>
      <c r="AH10" s="492"/>
      <c r="AI10" s="492"/>
      <c r="AJ10" s="492"/>
      <c r="AK10" s="492"/>
      <c r="AL10" s="492"/>
      <c r="AM10" s="492"/>
      <c r="AN10" s="492"/>
      <c r="AO10" s="492"/>
      <c r="AP10" s="492"/>
      <c r="AQ10" s="492"/>
      <c r="AR10" s="492"/>
    </row>
    <row r="11" spans="1:44" ht="13" x14ac:dyDescent="0.3">
      <c r="A11" s="492"/>
      <c r="C11" s="291"/>
      <c r="D11" s="256" t="str">
        <f>"which is a figure of £"&amp;TEXT(T14,"#,###.00")</f>
        <v>which is a figure of £.00</v>
      </c>
      <c r="H11" s="496"/>
      <c r="K11" s="492"/>
      <c r="L11" s="492"/>
      <c r="M11" s="492"/>
      <c r="N11" s="492"/>
      <c r="O11" s="492"/>
      <c r="P11" s="492"/>
      <c r="S11" s="480" t="s">
        <v>44</v>
      </c>
      <c r="T11" s="480"/>
      <c r="AA11" s="492"/>
      <c r="AB11" s="492"/>
      <c r="AC11" s="492"/>
      <c r="AD11" s="492"/>
      <c r="AE11" s="492"/>
      <c r="AF11" s="492"/>
      <c r="AG11" s="492"/>
      <c r="AH11" s="492"/>
      <c r="AI11" s="492"/>
      <c r="AJ11" s="492"/>
      <c r="AK11" s="492"/>
      <c r="AL11" s="492"/>
      <c r="AM11" s="492"/>
      <c r="AN11" s="492"/>
      <c r="AO11" s="492"/>
      <c r="AP11" s="492"/>
      <c r="AQ11" s="492"/>
      <c r="AR11" s="492"/>
    </row>
    <row r="12" spans="1:44" ht="13.5" customHeight="1" x14ac:dyDescent="0.3">
      <c r="A12" s="492"/>
      <c r="C12" s="291"/>
      <c r="D12" s="257" t="str">
        <f>"The Notional Liability is the RV as at "&amp;TEXT(T9+1,"dd/mm/yy")&amp;" ( "&amp;TEXT(T15,"#,###")&amp;" ) x the Small"</f>
        <v>The Notional Liability is the RV as at 01/04/23 (  ) x the Small</v>
      </c>
      <c r="K12" s="492"/>
      <c r="L12" s="492"/>
      <c r="M12" s="492"/>
      <c r="N12" s="492"/>
      <c r="O12" s="492"/>
      <c r="P12" s="492"/>
      <c r="S12" s="480" t="s">
        <v>45</v>
      </c>
      <c r="T12" s="480"/>
      <c r="AA12" s="492"/>
      <c r="AB12" s="492"/>
      <c r="AC12" s="492"/>
      <c r="AD12" s="492"/>
      <c r="AE12" s="492"/>
      <c r="AF12" s="492"/>
      <c r="AG12" s="492"/>
      <c r="AH12" s="492"/>
      <c r="AI12" s="492"/>
      <c r="AJ12" s="492"/>
      <c r="AK12" s="492"/>
      <c r="AL12" s="492"/>
      <c r="AM12" s="492"/>
      <c r="AN12" s="492"/>
      <c r="AO12" s="492"/>
      <c r="AP12" s="492"/>
      <c r="AQ12" s="492"/>
      <c r="AR12" s="492"/>
    </row>
    <row r="13" spans="1:44" ht="13.5" customHeight="1" x14ac:dyDescent="0.3">
      <c r="A13" s="492"/>
      <c r="C13" s="291"/>
      <c r="D13" s="256" t="str">
        <f>"Multiplier for "&amp;TEXT(text!B10,"dd/mm/yy")&amp;" ( "&amp;TEXT(T16,"0.000")&amp;" ) which gives a figure of "&amp;TEXT(T17,"#,###.00")</f>
        <v>Multiplier for 01/04/24 ( 0.499 ) which gives a figure of .00</v>
      </c>
      <c r="K13" s="492"/>
      <c r="L13" s="492"/>
      <c r="M13" s="492"/>
      <c r="N13" s="492"/>
      <c r="O13" s="492"/>
      <c r="P13" s="492"/>
      <c r="S13" s="480" t="s">
        <v>46</v>
      </c>
      <c r="T13" s="497"/>
      <c r="AA13" s="492"/>
      <c r="AB13" s="492"/>
      <c r="AC13" s="492"/>
      <c r="AD13" s="492"/>
      <c r="AE13" s="492"/>
      <c r="AF13" s="492"/>
      <c r="AG13" s="492"/>
      <c r="AH13" s="492"/>
      <c r="AI13" s="492"/>
      <c r="AJ13" s="492"/>
      <c r="AK13" s="492"/>
      <c r="AL13" s="492"/>
      <c r="AM13" s="492"/>
      <c r="AN13" s="492"/>
      <c r="AO13" s="492"/>
      <c r="AP13" s="492"/>
      <c r="AQ13" s="492"/>
      <c r="AR13" s="492"/>
    </row>
    <row r="14" spans="1:44" ht="13.5" customHeight="1" x14ac:dyDescent="0.3">
      <c r="A14" s="492"/>
      <c r="C14" s="291"/>
      <c r="D14" s="257"/>
      <c r="H14" s="476"/>
      <c r="K14" s="492"/>
      <c r="L14" s="492"/>
      <c r="M14" s="492"/>
      <c r="N14" s="492"/>
      <c r="O14" s="492"/>
      <c r="P14" s="492"/>
      <c r="S14" s="480" t="s">
        <v>49</v>
      </c>
      <c r="T14" s="480">
        <f>calc1!E19</f>
        <v>0</v>
      </c>
      <c r="AA14" s="492"/>
      <c r="AB14" s="492"/>
      <c r="AC14" s="492"/>
      <c r="AD14" s="492"/>
      <c r="AE14" s="492"/>
      <c r="AF14" s="492"/>
      <c r="AG14" s="492"/>
      <c r="AH14" s="492"/>
      <c r="AI14" s="492"/>
      <c r="AJ14" s="492"/>
      <c r="AK14" s="492"/>
      <c r="AL14" s="492"/>
      <c r="AM14" s="492"/>
      <c r="AN14" s="492"/>
      <c r="AO14" s="492"/>
      <c r="AP14" s="492"/>
      <c r="AQ14" s="492"/>
      <c r="AR14" s="492"/>
    </row>
    <row r="15" spans="1:44" ht="13.5" customHeight="1" x14ac:dyDescent="0.3">
      <c r="A15" s="492"/>
      <c r="C15" s="291"/>
      <c r="D15" s="256" t="str">
        <f>"The Notional Liability is "&amp;T19&amp;" than the Base Liability so the ratepayer is a revaluation "&amp;T20</f>
        <v>The Notional Liability is less than the Base Liability so the ratepayer is a revaluation Winner</v>
      </c>
      <c r="K15" s="492"/>
      <c r="L15" s="492"/>
      <c r="M15" s="492"/>
      <c r="N15" s="492"/>
      <c r="O15" s="492"/>
      <c r="P15" s="492"/>
      <c r="S15" s="480" t="s">
        <v>1223</v>
      </c>
      <c r="T15" s="495">
        <f>calc1!D5</f>
        <v>0</v>
      </c>
      <c r="AA15" s="492"/>
      <c r="AB15" s="492"/>
      <c r="AC15" s="492"/>
      <c r="AD15" s="492"/>
      <c r="AE15" s="492"/>
      <c r="AF15" s="492"/>
      <c r="AG15" s="492"/>
      <c r="AH15" s="492"/>
      <c r="AI15" s="492"/>
      <c r="AJ15" s="492"/>
      <c r="AK15" s="492"/>
      <c r="AL15" s="492"/>
      <c r="AM15" s="492"/>
      <c r="AN15" s="492"/>
      <c r="AO15" s="492"/>
      <c r="AP15" s="492"/>
      <c r="AQ15" s="492"/>
      <c r="AR15" s="492"/>
    </row>
    <row r="16" spans="1:44" ht="13.5" customHeight="1" x14ac:dyDescent="0.3">
      <c r="A16" s="492"/>
      <c r="C16" s="291"/>
      <c r="D16" s="256" t="str">
        <f>"The property is in "&amp;H4&amp;" so the Medium/Small threshold is "&amp;TEXT(T21,"#,###")&amp;". "</f>
        <v xml:space="preserve">The property is in England so the Medium/Small threshold is 20,000. </v>
      </c>
      <c r="K16" s="492"/>
      <c r="L16" s="492"/>
      <c r="M16" s="492"/>
      <c r="N16" s="492"/>
      <c r="O16" s="492"/>
      <c r="P16" s="492"/>
      <c r="S16" s="480" t="s">
        <v>47</v>
      </c>
      <c r="T16" s="480">
        <f>data!C54</f>
        <v>0.499</v>
      </c>
      <c r="AA16" s="492"/>
      <c r="AB16" s="492"/>
      <c r="AC16" s="492"/>
      <c r="AD16" s="492"/>
      <c r="AE16" s="492"/>
      <c r="AF16" s="492"/>
      <c r="AG16" s="492"/>
      <c r="AH16" s="492"/>
      <c r="AI16" s="492"/>
      <c r="AJ16" s="492"/>
      <c r="AK16" s="492"/>
      <c r="AL16" s="492"/>
      <c r="AM16" s="492"/>
      <c r="AN16" s="492"/>
      <c r="AO16" s="492"/>
      <c r="AP16" s="492"/>
      <c r="AQ16" s="492"/>
      <c r="AR16" s="492"/>
    </row>
    <row r="17" spans="1:44" ht="13.5" customHeight="1" x14ac:dyDescent="0.3">
      <c r="A17" s="492"/>
      <c r="C17" s="291"/>
      <c r="D17" s="256" t="str">
        <f>"The Large threshold is "&amp;TEXT(Y19,"#,###")</f>
        <v>The Large threshold is 100,000</v>
      </c>
      <c r="K17" s="492"/>
      <c r="L17" s="492"/>
      <c r="M17" s="492"/>
      <c r="N17" s="492"/>
      <c r="O17" s="492"/>
      <c r="P17" s="492"/>
      <c r="S17" s="480" t="s">
        <v>48</v>
      </c>
      <c r="T17" s="480">
        <f>T15*T16</f>
        <v>0</v>
      </c>
      <c r="V17" s="479" t="s">
        <v>51</v>
      </c>
      <c r="W17" s="479"/>
      <c r="X17" s="479"/>
      <c r="Y17" s="479"/>
      <c r="AA17" s="492"/>
      <c r="AB17" s="492"/>
      <c r="AC17" s="492"/>
      <c r="AD17" s="492"/>
      <c r="AE17" s="492"/>
      <c r="AF17" s="492"/>
      <c r="AG17" s="492"/>
      <c r="AH17" s="492"/>
      <c r="AI17" s="492"/>
      <c r="AJ17" s="492"/>
      <c r="AK17" s="492"/>
      <c r="AL17" s="492"/>
      <c r="AM17" s="492"/>
      <c r="AN17" s="492"/>
      <c r="AO17" s="492"/>
      <c r="AP17" s="492"/>
      <c r="AQ17" s="492"/>
      <c r="AR17" s="492"/>
    </row>
    <row r="18" spans="1:44" ht="13.5" customHeight="1" x14ac:dyDescent="0.3">
      <c r="A18" s="492"/>
      <c r="C18" s="291"/>
      <c r="D18" s="256" t="str">
        <f>"The RV as at "&amp;TEXT(T9+1,"dd/mm/yy")&amp;" is "&amp;TEXT(T15,"#,###")&amp;" so the property is "&amp;T23</f>
        <v>The RV as at 01/04/23 is  so the property is Small</v>
      </c>
      <c r="K18" s="492"/>
      <c r="L18" s="492"/>
      <c r="M18" s="492"/>
      <c r="N18" s="492"/>
      <c r="O18" s="492"/>
      <c r="P18" s="492"/>
      <c r="S18" s="480" t="s">
        <v>27</v>
      </c>
      <c r="T18" s="480" t="b">
        <f>T17&gt;T14</f>
        <v>0</v>
      </c>
      <c r="V18" s="480" t="str">
        <f>data!C22</f>
        <v>e small &lt;=</v>
      </c>
      <c r="W18" s="480" t="str">
        <f>data!D22</f>
        <v>l small &lt;=</v>
      </c>
      <c r="X18" s="480" t="str">
        <f>data!E22</f>
        <v>c small &lt;=</v>
      </c>
      <c r="Y18" s="480" t="str">
        <f>data!F22</f>
        <v>super &gt;</v>
      </c>
      <c r="AA18" s="492"/>
      <c r="AB18" s="492"/>
      <c r="AC18" s="492"/>
      <c r="AD18" s="492"/>
      <c r="AE18" s="492"/>
      <c r="AF18" s="492"/>
      <c r="AG18" s="492"/>
      <c r="AH18" s="492"/>
      <c r="AI18" s="492"/>
      <c r="AJ18" s="492"/>
      <c r="AK18" s="492"/>
      <c r="AL18" s="492"/>
      <c r="AM18" s="492"/>
      <c r="AN18" s="492"/>
      <c r="AO18" s="492"/>
      <c r="AP18" s="492"/>
      <c r="AQ18" s="492"/>
      <c r="AR18" s="492"/>
    </row>
    <row r="19" spans="1:44" ht="13.5" customHeight="1" x14ac:dyDescent="0.25">
      <c r="A19" s="492"/>
      <c r="K19" s="492"/>
      <c r="L19" s="492"/>
      <c r="M19" s="492"/>
      <c r="N19" s="492"/>
      <c r="O19" s="492"/>
      <c r="P19" s="492"/>
      <c r="S19" s="480" t="s">
        <v>50</v>
      </c>
      <c r="T19" s="480" t="str">
        <f>IF(T18=TRUE,"greater","less")</f>
        <v>less</v>
      </c>
      <c r="V19" s="480">
        <f>data!C23</f>
        <v>20000</v>
      </c>
      <c r="W19" s="480">
        <f>data!D23</f>
        <v>28000</v>
      </c>
      <c r="X19" s="480">
        <f>data!E23</f>
        <v>28000</v>
      </c>
      <c r="Y19" s="480">
        <f>data!F23</f>
        <v>100000</v>
      </c>
      <c r="AA19" s="492"/>
      <c r="AB19" s="492"/>
      <c r="AC19" s="492"/>
      <c r="AD19" s="492"/>
      <c r="AE19" s="492"/>
      <c r="AF19" s="492"/>
      <c r="AG19" s="492"/>
      <c r="AH19" s="492"/>
      <c r="AI19" s="492"/>
      <c r="AJ19" s="492"/>
      <c r="AK19" s="492"/>
      <c r="AL19" s="492"/>
      <c r="AM19" s="492"/>
      <c r="AN19" s="492"/>
      <c r="AO19" s="492"/>
      <c r="AP19" s="492"/>
      <c r="AQ19" s="492"/>
      <c r="AR19" s="492"/>
    </row>
    <row r="20" spans="1:44" ht="13.5" customHeight="1" x14ac:dyDescent="0.25">
      <c r="A20" s="492"/>
      <c r="D20" s="256" t="s">
        <v>28</v>
      </c>
      <c r="K20" s="492"/>
      <c r="L20" s="492"/>
      <c r="M20" s="492"/>
      <c r="N20" s="492"/>
      <c r="O20" s="492"/>
      <c r="P20" s="492"/>
      <c r="S20" s="480" t="s">
        <v>285</v>
      </c>
      <c r="T20" s="480" t="str">
        <f>IF(T18=TRUE,"Loser","Winner")</f>
        <v>Winner</v>
      </c>
      <c r="AA20" s="492"/>
      <c r="AB20" s="492"/>
      <c r="AC20" s="492"/>
      <c r="AD20" s="492"/>
      <c r="AE20" s="492"/>
      <c r="AF20" s="492"/>
      <c r="AG20" s="492"/>
      <c r="AH20" s="492"/>
      <c r="AI20" s="492"/>
      <c r="AJ20" s="492"/>
      <c r="AK20" s="492"/>
      <c r="AL20" s="492"/>
      <c r="AM20" s="492"/>
      <c r="AN20" s="492"/>
      <c r="AO20" s="492"/>
      <c r="AP20" s="492"/>
      <c r="AQ20" s="492"/>
      <c r="AR20" s="492"/>
    </row>
    <row r="21" spans="1:44" ht="13.5" customHeight="1" x14ac:dyDescent="0.25">
      <c r="A21" s="492"/>
      <c r="D21" s="256" t="str">
        <f>"for a '"&amp;T24&amp;"' is found by reference to the following table"</f>
        <v>for a 'Small Winner' is found by reference to the following table</v>
      </c>
      <c r="K21" s="492"/>
      <c r="L21" s="492"/>
      <c r="M21" s="492"/>
      <c r="N21" s="492"/>
      <c r="O21" s="492"/>
      <c r="P21" s="492"/>
      <c r="S21" s="480" t="s">
        <v>56</v>
      </c>
      <c r="T21" s="480">
        <f>calc1!D13</f>
        <v>20000</v>
      </c>
      <c r="V21" s="479" t="s">
        <v>53</v>
      </c>
      <c r="W21" s="479" t="s">
        <v>803</v>
      </c>
      <c r="AA21" s="492"/>
      <c r="AB21" s="492"/>
      <c r="AC21" s="492"/>
      <c r="AD21" s="492"/>
      <c r="AE21" s="492"/>
      <c r="AF21" s="492"/>
      <c r="AG21" s="492"/>
      <c r="AH21" s="492"/>
      <c r="AI21" s="492"/>
      <c r="AJ21" s="492"/>
      <c r="AK21" s="492"/>
      <c r="AL21" s="492"/>
      <c r="AM21" s="492"/>
      <c r="AN21" s="492"/>
      <c r="AO21" s="492"/>
      <c r="AP21" s="492"/>
      <c r="AQ21" s="492"/>
      <c r="AR21" s="492"/>
    </row>
    <row r="22" spans="1:44" ht="13.5" customHeight="1" x14ac:dyDescent="0.25">
      <c r="A22" s="492"/>
      <c r="K22" s="492"/>
      <c r="L22" s="492"/>
      <c r="M22" s="492"/>
      <c r="N22" s="492"/>
      <c r="O22" s="492"/>
      <c r="P22" s="492"/>
      <c r="S22" s="480" t="s">
        <v>52</v>
      </c>
      <c r="T22" s="495" t="str">
        <f>calc1!D23</f>
        <v>s</v>
      </c>
      <c r="V22" s="479" t="s">
        <v>54</v>
      </c>
      <c r="W22" s="479" t="s">
        <v>824</v>
      </c>
      <c r="AA22" s="492"/>
      <c r="AB22" s="492"/>
      <c r="AC22" s="492"/>
      <c r="AD22" s="492"/>
      <c r="AE22" s="492"/>
      <c r="AF22" s="492"/>
      <c r="AG22" s="492"/>
      <c r="AH22" s="492"/>
      <c r="AI22" s="492"/>
      <c r="AJ22" s="492"/>
      <c r="AK22" s="492"/>
      <c r="AL22" s="492"/>
      <c r="AM22" s="492"/>
      <c r="AN22" s="492"/>
      <c r="AO22" s="492"/>
      <c r="AP22" s="492"/>
      <c r="AQ22" s="492"/>
      <c r="AR22" s="492"/>
    </row>
    <row r="23" spans="1:44" ht="13.5" customHeight="1" x14ac:dyDescent="0.3">
      <c r="A23" s="492"/>
      <c r="D23" s="291" t="s">
        <v>29</v>
      </c>
      <c r="E23" s="477" t="s">
        <v>30</v>
      </c>
      <c r="F23" s="477" t="s">
        <v>31</v>
      </c>
      <c r="G23" s="272" t="s">
        <v>32</v>
      </c>
      <c r="K23" s="492"/>
      <c r="L23" s="492"/>
      <c r="M23" s="492"/>
      <c r="N23" s="492"/>
      <c r="O23" s="492"/>
      <c r="P23" s="492"/>
      <c r="S23" s="480" t="s">
        <v>55</v>
      </c>
      <c r="T23" s="480" t="str">
        <f>VLOOKUP(T22,V21:W23,2,FALSE)</f>
        <v>Small</v>
      </c>
      <c r="V23" s="479" t="s">
        <v>293</v>
      </c>
      <c r="W23" s="479" t="s">
        <v>804</v>
      </c>
      <c r="AA23" s="492"/>
      <c r="AB23" s="492"/>
      <c r="AC23" s="492"/>
      <c r="AD23" s="492"/>
      <c r="AE23" s="492"/>
      <c r="AF23" s="492"/>
      <c r="AG23" s="492"/>
      <c r="AH23" s="492"/>
      <c r="AI23" s="492"/>
      <c r="AJ23" s="492"/>
      <c r="AK23" s="492"/>
      <c r="AL23" s="492"/>
      <c r="AM23" s="492"/>
      <c r="AN23" s="492"/>
      <c r="AO23" s="492"/>
      <c r="AP23" s="492"/>
      <c r="AQ23" s="492"/>
      <c r="AR23" s="492"/>
    </row>
    <row r="24" spans="1:44" ht="13.5" customHeight="1" x14ac:dyDescent="0.3">
      <c r="A24" s="492"/>
      <c r="C24" s="478" t="str">
        <f t="shared" ref="C24:C29" si="0">IF(D24=$T$24,"&gt;","")</f>
        <v/>
      </c>
      <c r="D24" s="479" t="s">
        <v>33</v>
      </c>
      <c r="E24" s="480">
        <f>data!C4</f>
        <v>0</v>
      </c>
      <c r="F24" s="480">
        <f>'info sheet'!J30</f>
        <v>1</v>
      </c>
      <c r="G24" s="480">
        <f t="shared" ref="G24:G29" si="1">E24*F24/100</f>
        <v>0</v>
      </c>
      <c r="K24" s="492"/>
      <c r="L24" s="492"/>
      <c r="M24" s="492"/>
      <c r="N24" s="492"/>
      <c r="O24" s="492"/>
      <c r="P24" s="492"/>
      <c r="S24" s="480" t="s">
        <v>279</v>
      </c>
      <c r="T24" s="480" t="str">
        <f>T23&amp;" "&amp;T20</f>
        <v>Small Winner</v>
      </c>
      <c r="AA24" s="492"/>
      <c r="AB24" s="492"/>
      <c r="AC24" s="492"/>
      <c r="AD24" s="492"/>
      <c r="AE24" s="492"/>
      <c r="AF24" s="492"/>
      <c r="AG24" s="492"/>
      <c r="AH24" s="492"/>
      <c r="AI24" s="492"/>
      <c r="AJ24" s="492"/>
      <c r="AK24" s="492"/>
      <c r="AL24" s="492"/>
      <c r="AM24" s="492"/>
      <c r="AN24" s="492"/>
      <c r="AO24" s="492"/>
      <c r="AP24" s="492"/>
      <c r="AQ24" s="492"/>
      <c r="AR24" s="492"/>
    </row>
    <row r="25" spans="1:44" ht="13.5" customHeight="1" x14ac:dyDescent="0.3">
      <c r="A25" s="492"/>
      <c r="C25" s="478" t="str">
        <f t="shared" si="0"/>
        <v/>
      </c>
      <c r="D25" s="479" t="s">
        <v>34</v>
      </c>
      <c r="E25" s="480">
        <f>data!D4</f>
        <v>0</v>
      </c>
      <c r="F25" s="480">
        <f>F24</f>
        <v>1</v>
      </c>
      <c r="G25" s="480">
        <f t="shared" si="1"/>
        <v>0</v>
      </c>
      <c r="K25" s="492"/>
      <c r="L25" s="492"/>
      <c r="M25" s="492"/>
      <c r="N25" s="492"/>
      <c r="O25" s="492"/>
      <c r="P25" s="492"/>
      <c r="S25" s="480" t="s">
        <v>59</v>
      </c>
      <c r="T25" s="480" t="str">
        <f>IF(T22&lt;T23,"below","above")</f>
        <v>below</v>
      </c>
      <c r="AA25" s="492"/>
      <c r="AB25" s="492"/>
      <c r="AC25" s="492"/>
      <c r="AD25" s="492"/>
      <c r="AE25" s="492"/>
      <c r="AF25" s="492"/>
      <c r="AG25" s="492"/>
      <c r="AH25" s="492"/>
      <c r="AI25" s="492"/>
      <c r="AJ25" s="492"/>
      <c r="AK25" s="492"/>
      <c r="AL25" s="492"/>
      <c r="AM25" s="492"/>
      <c r="AN25" s="492"/>
      <c r="AO25" s="492"/>
      <c r="AP25" s="492"/>
      <c r="AQ25" s="492"/>
      <c r="AR25" s="492"/>
    </row>
    <row r="26" spans="1:44" ht="13.5" customHeight="1" x14ac:dyDescent="0.3">
      <c r="A26" s="492"/>
      <c r="C26" s="478" t="str">
        <f t="shared" si="0"/>
        <v>&gt;</v>
      </c>
      <c r="D26" s="479" t="s">
        <v>35</v>
      </c>
      <c r="E26" s="480">
        <f>data!E4</f>
        <v>0</v>
      </c>
      <c r="F26" s="480">
        <f>F25</f>
        <v>1</v>
      </c>
      <c r="G26" s="480">
        <f t="shared" si="1"/>
        <v>0</v>
      </c>
      <c r="K26" s="492"/>
      <c r="L26" s="492"/>
      <c r="M26" s="492"/>
      <c r="N26" s="492"/>
      <c r="O26" s="492"/>
      <c r="P26" s="492"/>
      <c r="S26" s="480" t="s">
        <v>58</v>
      </c>
      <c r="T26" s="480">
        <f>calc1!E27</f>
        <v>1</v>
      </c>
      <c r="AA26" s="492"/>
      <c r="AB26" s="492"/>
      <c r="AC26" s="492"/>
      <c r="AD26" s="492"/>
      <c r="AE26" s="492"/>
      <c r="AF26" s="492"/>
      <c r="AG26" s="492"/>
      <c r="AH26" s="492"/>
      <c r="AI26" s="492"/>
      <c r="AJ26" s="492"/>
      <c r="AK26" s="492"/>
      <c r="AL26" s="492"/>
      <c r="AM26" s="492"/>
      <c r="AN26" s="492"/>
      <c r="AO26" s="492"/>
      <c r="AP26" s="492"/>
      <c r="AQ26" s="492"/>
      <c r="AR26" s="492"/>
    </row>
    <row r="27" spans="1:44" ht="13.5" customHeight="1" x14ac:dyDescent="0.3">
      <c r="A27" s="492"/>
      <c r="C27" s="478" t="str">
        <f t="shared" si="0"/>
        <v/>
      </c>
      <c r="D27" s="479" t="s">
        <v>36</v>
      </c>
      <c r="E27" s="480">
        <f>data!F4</f>
        <v>140</v>
      </c>
      <c r="F27" s="480">
        <f>F26</f>
        <v>1</v>
      </c>
      <c r="G27" s="480">
        <f t="shared" si="1"/>
        <v>1.4</v>
      </c>
      <c r="K27" s="492"/>
      <c r="L27" s="492"/>
      <c r="M27" s="492"/>
      <c r="N27" s="492"/>
      <c r="O27" s="492"/>
      <c r="P27" s="492"/>
      <c r="S27" s="480" t="s">
        <v>39</v>
      </c>
      <c r="T27" s="485">
        <f>F32-T17</f>
        <v>0</v>
      </c>
      <c r="AA27" s="492"/>
      <c r="AB27" s="492"/>
      <c r="AC27" s="492"/>
      <c r="AD27" s="492"/>
      <c r="AE27" s="492"/>
      <c r="AF27" s="492"/>
      <c r="AG27" s="492"/>
      <c r="AH27" s="492"/>
      <c r="AI27" s="492"/>
      <c r="AJ27" s="492"/>
      <c r="AK27" s="492"/>
      <c r="AL27" s="492"/>
      <c r="AM27" s="492"/>
      <c r="AN27" s="492"/>
      <c r="AO27" s="492"/>
      <c r="AP27" s="492"/>
      <c r="AQ27" s="492"/>
      <c r="AR27" s="492"/>
    </row>
    <row r="28" spans="1:44" ht="13.5" customHeight="1" x14ac:dyDescent="0.3">
      <c r="A28" s="492"/>
      <c r="C28" s="478" t="str">
        <f t="shared" si="0"/>
        <v/>
      </c>
      <c r="D28" s="479" t="s">
        <v>37</v>
      </c>
      <c r="E28" s="480">
        <f>data!G4</f>
        <v>125</v>
      </c>
      <c r="F28" s="480">
        <f>F27</f>
        <v>1</v>
      </c>
      <c r="G28" s="480">
        <f t="shared" si="1"/>
        <v>1.25</v>
      </c>
      <c r="K28" s="492"/>
      <c r="L28" s="492"/>
      <c r="M28" s="492"/>
      <c r="N28" s="492"/>
      <c r="O28" s="492"/>
      <c r="P28" s="492"/>
      <c r="AA28" s="492"/>
      <c r="AB28" s="492"/>
      <c r="AC28" s="492"/>
      <c r="AD28" s="492"/>
      <c r="AE28" s="492"/>
      <c r="AF28" s="492"/>
      <c r="AG28" s="492"/>
      <c r="AH28" s="492"/>
      <c r="AI28" s="492"/>
      <c r="AJ28" s="492"/>
      <c r="AK28" s="492"/>
      <c r="AL28" s="492"/>
      <c r="AM28" s="492"/>
      <c r="AN28" s="492"/>
      <c r="AO28" s="492"/>
      <c r="AP28" s="492"/>
      <c r="AQ28" s="492"/>
      <c r="AR28" s="492"/>
    </row>
    <row r="29" spans="1:44" ht="13.5" customHeight="1" x14ac:dyDescent="0.3">
      <c r="A29" s="492"/>
      <c r="C29" s="478" t="str">
        <f t="shared" si="0"/>
        <v/>
      </c>
      <c r="D29" s="479" t="s">
        <v>38</v>
      </c>
      <c r="E29" s="480">
        <f>data!H4</f>
        <v>110</v>
      </c>
      <c r="F29" s="480">
        <f>F28</f>
        <v>1</v>
      </c>
      <c r="G29" s="480">
        <f t="shared" si="1"/>
        <v>1.1000000000000001</v>
      </c>
      <c r="K29" s="492"/>
      <c r="L29" s="492"/>
      <c r="M29" s="492"/>
      <c r="N29" s="492"/>
      <c r="O29" s="492"/>
      <c r="P29" s="492"/>
      <c r="AA29" s="492"/>
      <c r="AB29" s="492"/>
      <c r="AC29" s="492"/>
      <c r="AD29" s="492"/>
      <c r="AE29" s="492"/>
      <c r="AF29" s="492"/>
      <c r="AG29" s="492"/>
      <c r="AH29" s="492"/>
      <c r="AI29" s="492"/>
      <c r="AJ29" s="492"/>
      <c r="AK29" s="492"/>
      <c r="AL29" s="492"/>
      <c r="AM29" s="492"/>
      <c r="AN29" s="492"/>
      <c r="AO29" s="492"/>
      <c r="AP29" s="492"/>
      <c r="AQ29" s="492"/>
      <c r="AR29" s="492"/>
    </row>
    <row r="30" spans="1:44" ht="13.5" customHeight="1" x14ac:dyDescent="0.3">
      <c r="A30" s="492"/>
      <c r="C30" s="291"/>
      <c r="K30" s="492"/>
      <c r="L30" s="492"/>
      <c r="M30" s="492"/>
      <c r="N30" s="492"/>
      <c r="O30" s="492"/>
      <c r="P30" s="492"/>
      <c r="AA30" s="492"/>
      <c r="AB30" s="492"/>
      <c r="AC30" s="492"/>
      <c r="AD30" s="492"/>
      <c r="AE30" s="492"/>
      <c r="AF30" s="492"/>
      <c r="AG30" s="492"/>
      <c r="AH30" s="492"/>
      <c r="AI30" s="492"/>
      <c r="AJ30" s="492"/>
      <c r="AK30" s="492"/>
      <c r="AL30" s="492"/>
      <c r="AM30" s="492"/>
      <c r="AN30" s="492"/>
      <c r="AO30" s="492"/>
      <c r="AP30" s="492"/>
      <c r="AQ30" s="492"/>
      <c r="AR30" s="492"/>
    </row>
    <row r="31" spans="1:44" ht="13.5" customHeight="1" x14ac:dyDescent="0.3">
      <c r="A31" s="492"/>
      <c r="C31" s="291"/>
      <c r="D31" s="256" t="s">
        <v>60</v>
      </c>
      <c r="K31" s="492"/>
      <c r="L31" s="492"/>
      <c r="M31" s="492"/>
      <c r="N31" s="492"/>
      <c r="O31" s="492"/>
      <c r="P31" s="492"/>
      <c r="AA31" s="492"/>
      <c r="AB31" s="492"/>
      <c r="AC31" s="492"/>
      <c r="AD31" s="492"/>
      <c r="AE31" s="492"/>
      <c r="AF31" s="492"/>
      <c r="AG31" s="492"/>
      <c r="AH31" s="492"/>
      <c r="AI31" s="492"/>
      <c r="AJ31" s="492"/>
      <c r="AK31" s="492"/>
      <c r="AL31" s="492"/>
      <c r="AM31" s="492"/>
      <c r="AN31" s="492"/>
      <c r="AO31" s="492"/>
      <c r="AP31" s="492"/>
      <c r="AQ31" s="492"/>
      <c r="AR31" s="492"/>
    </row>
    <row r="32" spans="1:44" ht="22.5" customHeight="1" x14ac:dyDescent="0.35">
      <c r="A32" s="492"/>
      <c r="C32" s="291"/>
      <c r="D32" s="488" t="str">
        <f>"    "&amp;TEXT(T14,"#,###.00")&amp;"  x  "&amp;T26&amp;" = "</f>
        <v xml:space="preserve">    .00  x  1 = </v>
      </c>
      <c r="E32" s="490"/>
      <c r="F32" s="491">
        <f>calc1!E28</f>
        <v>0</v>
      </c>
      <c r="K32" s="492"/>
      <c r="L32" s="492"/>
      <c r="M32" s="492"/>
      <c r="N32" s="492"/>
      <c r="O32" s="492"/>
      <c r="P32" s="492"/>
      <c r="Q32" s="149"/>
      <c r="R32" s="149"/>
      <c r="S32" s="149"/>
      <c r="T32" s="149"/>
      <c r="U32" s="149"/>
      <c r="V32" s="149"/>
      <c r="W32" s="149"/>
      <c r="AA32" s="492"/>
      <c r="AB32" s="492"/>
      <c r="AC32" s="492"/>
      <c r="AD32" s="492"/>
      <c r="AE32" s="492"/>
      <c r="AF32" s="492"/>
      <c r="AG32" s="492"/>
      <c r="AH32" s="492"/>
      <c r="AI32" s="492"/>
      <c r="AJ32" s="492"/>
      <c r="AK32" s="492"/>
      <c r="AL32" s="492"/>
      <c r="AM32" s="492"/>
      <c r="AN32" s="492"/>
      <c r="AO32" s="492"/>
      <c r="AP32" s="492"/>
      <c r="AQ32" s="492"/>
      <c r="AR32" s="492"/>
    </row>
    <row r="33" spans="1:44" ht="14.5" x14ac:dyDescent="0.35">
      <c r="A33" s="492"/>
      <c r="C33" s="291"/>
      <c r="K33" s="492"/>
      <c r="L33" s="492"/>
      <c r="M33" s="492"/>
      <c r="N33" s="492"/>
      <c r="O33" s="492"/>
      <c r="P33" s="492"/>
      <c r="Q33" s="149"/>
      <c r="R33" s="149"/>
      <c r="S33" s="149"/>
      <c r="T33" s="149"/>
      <c r="U33" s="149"/>
      <c r="V33" s="149"/>
      <c r="W33" s="149"/>
      <c r="AA33" s="492"/>
      <c r="AB33" s="492"/>
      <c r="AC33" s="492"/>
      <c r="AD33" s="492"/>
      <c r="AE33" s="492"/>
      <c r="AF33" s="492"/>
      <c r="AG33" s="492"/>
      <c r="AH33" s="492"/>
      <c r="AI33" s="492"/>
      <c r="AJ33" s="492"/>
      <c r="AK33" s="492"/>
      <c r="AL33" s="492"/>
      <c r="AM33" s="492"/>
      <c r="AN33" s="492"/>
      <c r="AO33" s="492"/>
      <c r="AP33" s="492"/>
      <c r="AQ33" s="492"/>
      <c r="AR33" s="492"/>
    </row>
    <row r="34" spans="1:44" ht="13.5" customHeight="1" x14ac:dyDescent="0.35">
      <c r="A34" s="492"/>
      <c r="C34" s="291"/>
      <c r="D34" s="256" t="str">
        <f>"The ratepayer is a "&amp;T20&amp;". Therefore, if the Notional Liability is "&amp;T19&amp;" than the"</f>
        <v>The ratepayer is a Winner. Therefore, if the Notional Liability is less than the</v>
      </c>
      <c r="K34" s="492"/>
      <c r="L34" s="492"/>
      <c r="M34" s="492"/>
      <c r="N34" s="492"/>
      <c r="O34" s="492"/>
      <c r="P34" s="492"/>
      <c r="Q34" s="149"/>
      <c r="R34" s="149"/>
      <c r="S34" s="149"/>
      <c r="T34" s="149"/>
      <c r="U34" s="149"/>
      <c r="V34" s="149"/>
      <c r="W34" s="149"/>
      <c r="AA34" s="492"/>
      <c r="AB34" s="492"/>
      <c r="AC34" s="492"/>
      <c r="AD34" s="492"/>
      <c r="AE34" s="492"/>
      <c r="AF34" s="492"/>
      <c r="AG34" s="492"/>
      <c r="AH34" s="492"/>
      <c r="AI34" s="492"/>
      <c r="AJ34" s="492"/>
      <c r="AK34" s="492"/>
      <c r="AL34" s="492"/>
      <c r="AM34" s="492"/>
      <c r="AN34" s="492"/>
      <c r="AO34" s="492"/>
      <c r="AP34" s="492"/>
      <c r="AQ34" s="492"/>
      <c r="AR34" s="492"/>
    </row>
    <row r="35" spans="1:44" ht="13.5" customHeight="1" x14ac:dyDescent="0.35">
      <c r="A35" s="492"/>
      <c r="C35" s="291"/>
      <c r="D35" s="256" t="str">
        <f>"Base Liability AND "&amp;T19&amp;" than the Transitional Limit, transitional limits will apply"</f>
        <v>Base Liability AND less than the Transitional Limit, transitional limits will apply</v>
      </c>
      <c r="K35" s="492"/>
      <c r="L35" s="492"/>
      <c r="M35" s="492"/>
      <c r="N35" s="492"/>
      <c r="O35" s="492"/>
      <c r="P35" s="492"/>
      <c r="Q35" s="149"/>
      <c r="R35" s="149"/>
      <c r="S35" s="149"/>
      <c r="T35" s="149"/>
      <c r="U35" s="149"/>
      <c r="V35" s="149"/>
      <c r="W35" s="149"/>
      <c r="AA35" s="492"/>
      <c r="AB35" s="492"/>
      <c r="AC35" s="492"/>
      <c r="AD35" s="492"/>
      <c r="AE35" s="492"/>
      <c r="AF35" s="492"/>
      <c r="AG35" s="492"/>
      <c r="AH35" s="492"/>
      <c r="AI35" s="492"/>
      <c r="AJ35" s="492"/>
      <c r="AK35" s="492"/>
      <c r="AL35" s="492"/>
      <c r="AM35" s="492"/>
      <c r="AN35" s="492"/>
      <c r="AO35" s="492"/>
      <c r="AP35" s="492"/>
      <c r="AQ35" s="492"/>
      <c r="AR35" s="492"/>
    </row>
    <row r="36" spans="1:44" ht="13.5" customHeight="1" x14ac:dyDescent="0.35">
      <c r="A36" s="492"/>
      <c r="C36" s="291"/>
      <c r="K36" s="492"/>
      <c r="L36" s="492"/>
      <c r="M36" s="492"/>
      <c r="N36" s="492"/>
      <c r="O36" s="492"/>
      <c r="P36" s="492"/>
      <c r="Q36" s="149"/>
      <c r="R36" s="149"/>
      <c r="S36" s="149"/>
      <c r="T36" s="149"/>
      <c r="U36" s="149"/>
      <c r="V36" s="149"/>
      <c r="W36" s="149"/>
      <c r="AA36" s="492"/>
      <c r="AB36" s="492"/>
      <c r="AC36" s="492"/>
      <c r="AD36" s="492"/>
      <c r="AE36" s="492"/>
      <c r="AF36" s="492"/>
      <c r="AG36" s="492"/>
      <c r="AH36" s="492"/>
      <c r="AI36" s="492"/>
      <c r="AJ36" s="492"/>
      <c r="AK36" s="492"/>
      <c r="AL36" s="492"/>
      <c r="AM36" s="492"/>
      <c r="AN36" s="492"/>
      <c r="AO36" s="492"/>
      <c r="AP36" s="492"/>
      <c r="AQ36" s="492"/>
      <c r="AR36" s="492"/>
    </row>
    <row r="37" spans="1:44" ht="13.5" customHeight="1" x14ac:dyDescent="0.35">
      <c r="A37" s="492"/>
      <c r="C37" s="291"/>
      <c r="D37" s="482" t="s">
        <v>40</v>
      </c>
      <c r="E37" s="483"/>
      <c r="F37" s="484">
        <f>T17</f>
        <v>0</v>
      </c>
      <c r="K37" s="492"/>
      <c r="L37" s="492"/>
      <c r="M37" s="492"/>
      <c r="N37" s="492"/>
      <c r="O37" s="492"/>
      <c r="P37" s="492"/>
      <c r="Q37" s="149"/>
      <c r="R37" s="149"/>
      <c r="S37" s="149"/>
      <c r="T37" s="149"/>
      <c r="U37" s="149"/>
      <c r="V37" s="149"/>
      <c r="W37" s="149"/>
      <c r="AA37" s="492"/>
      <c r="AB37" s="492"/>
      <c r="AC37" s="492"/>
      <c r="AD37" s="492"/>
      <c r="AE37" s="492"/>
      <c r="AF37" s="492"/>
      <c r="AG37" s="492"/>
      <c r="AH37" s="492"/>
      <c r="AI37" s="492"/>
      <c r="AJ37" s="492"/>
      <c r="AK37" s="492"/>
      <c r="AL37" s="492"/>
      <c r="AM37" s="492"/>
      <c r="AN37" s="492"/>
      <c r="AO37" s="492"/>
      <c r="AP37" s="492"/>
      <c r="AQ37" s="492"/>
      <c r="AR37" s="492"/>
    </row>
    <row r="38" spans="1:44" ht="13.5" customHeight="1" x14ac:dyDescent="0.35">
      <c r="A38" s="492"/>
      <c r="C38" s="291"/>
      <c r="D38" s="482" t="s">
        <v>834</v>
      </c>
      <c r="E38" s="483"/>
      <c r="F38" s="484">
        <f>T14</f>
        <v>0</v>
      </c>
      <c r="K38" s="492"/>
      <c r="L38" s="492"/>
      <c r="M38" s="492"/>
      <c r="N38" s="492"/>
      <c r="O38" s="492"/>
      <c r="P38" s="492"/>
      <c r="Q38" s="149"/>
      <c r="R38" s="149"/>
      <c r="S38" s="149"/>
      <c r="T38" s="149"/>
      <c r="U38" s="149"/>
      <c r="V38" s="149"/>
      <c r="W38" s="149"/>
      <c r="AA38" s="492"/>
      <c r="AB38" s="492"/>
      <c r="AC38" s="492"/>
      <c r="AD38" s="492"/>
      <c r="AE38" s="492"/>
      <c r="AF38" s="492"/>
      <c r="AG38" s="492"/>
      <c r="AH38" s="492"/>
      <c r="AI38" s="492"/>
      <c r="AJ38" s="492"/>
      <c r="AK38" s="492"/>
      <c r="AL38" s="492"/>
      <c r="AM38" s="492"/>
      <c r="AN38" s="492"/>
      <c r="AO38" s="492"/>
      <c r="AP38" s="492"/>
      <c r="AQ38" s="492"/>
      <c r="AR38" s="492"/>
    </row>
    <row r="39" spans="1:44" ht="13.5" customHeight="1" x14ac:dyDescent="0.35">
      <c r="A39" s="492"/>
      <c r="C39" s="291"/>
      <c r="D39" s="482" t="s">
        <v>41</v>
      </c>
      <c r="E39" s="483"/>
      <c r="F39" s="484">
        <f>F32</f>
        <v>0</v>
      </c>
      <c r="K39" s="492"/>
      <c r="L39" s="492"/>
      <c r="M39" s="492"/>
      <c r="N39" s="492"/>
      <c r="O39" s="492"/>
      <c r="P39" s="492"/>
      <c r="Q39" s="149"/>
      <c r="R39" s="149"/>
      <c r="S39" s="149"/>
      <c r="T39" s="149"/>
      <c r="U39" s="149"/>
      <c r="V39" s="149"/>
      <c r="W39" s="149"/>
      <c r="AA39" s="492"/>
      <c r="AB39" s="492"/>
      <c r="AC39" s="492"/>
      <c r="AD39" s="492"/>
      <c r="AE39" s="492"/>
      <c r="AF39" s="492"/>
      <c r="AG39" s="492"/>
      <c r="AH39" s="492"/>
      <c r="AI39" s="492"/>
      <c r="AJ39" s="492"/>
      <c r="AK39" s="492"/>
      <c r="AL39" s="492"/>
      <c r="AM39" s="492"/>
      <c r="AN39" s="492"/>
      <c r="AO39" s="492"/>
      <c r="AP39" s="492"/>
      <c r="AQ39" s="492"/>
      <c r="AR39" s="492"/>
    </row>
    <row r="40" spans="1:44" ht="14.15" customHeight="1" x14ac:dyDescent="0.35">
      <c r="A40" s="492"/>
      <c r="D40" s="482" t="s">
        <v>42</v>
      </c>
      <c r="E40" s="483"/>
      <c r="F40" s="485" t="str">
        <f>IF(calc1!E38 = TRUE,"Yes","No")</f>
        <v>No</v>
      </c>
      <c r="G40" s="257" t="str">
        <f>IF(T14=0,"If there is no BL transition does not apply",IF(F40="Yes",IF(T20="Loser","(Transitional Relief)","(Transitional Premium)"),""))</f>
        <v>If there is no BL transition does not apply</v>
      </c>
      <c r="K40" s="492"/>
      <c r="L40" s="492"/>
      <c r="M40" s="492"/>
      <c r="N40" s="492"/>
      <c r="O40" s="492"/>
      <c r="P40" s="492"/>
      <c r="Q40" s="149"/>
      <c r="R40" s="149"/>
      <c r="S40" s="149"/>
      <c r="T40" s="149"/>
      <c r="U40" s="149"/>
      <c r="V40" s="149"/>
      <c r="W40" s="149"/>
      <c r="AA40" s="492"/>
      <c r="AB40" s="492"/>
      <c r="AC40" s="492"/>
      <c r="AD40" s="492"/>
      <c r="AE40" s="492"/>
      <c r="AF40" s="492"/>
      <c r="AG40" s="492"/>
      <c r="AH40" s="492"/>
      <c r="AI40" s="492"/>
      <c r="AJ40" s="492"/>
      <c r="AK40" s="492"/>
      <c r="AL40" s="492"/>
      <c r="AM40" s="492"/>
      <c r="AN40" s="492"/>
      <c r="AO40" s="492"/>
      <c r="AP40" s="492"/>
      <c r="AQ40" s="492"/>
      <c r="AR40" s="492"/>
    </row>
    <row r="41" spans="1:44" ht="14.15" customHeight="1" x14ac:dyDescent="0.35">
      <c r="A41" s="492"/>
      <c r="F41" s="486"/>
      <c r="K41" s="492"/>
      <c r="L41" s="492"/>
      <c r="M41" s="492"/>
      <c r="N41" s="492"/>
      <c r="O41" s="492"/>
      <c r="P41" s="492"/>
      <c r="Q41" s="149"/>
      <c r="R41" s="149"/>
      <c r="S41" s="149"/>
      <c r="T41" s="149"/>
      <c r="U41" s="149"/>
      <c r="V41" s="149"/>
      <c r="W41" s="149"/>
      <c r="AA41" s="492"/>
      <c r="AB41" s="492"/>
      <c r="AC41" s="492"/>
      <c r="AD41" s="492"/>
      <c r="AE41" s="492"/>
      <c r="AF41" s="492"/>
      <c r="AG41" s="492"/>
      <c r="AH41" s="492"/>
      <c r="AI41" s="492"/>
      <c r="AJ41" s="492"/>
      <c r="AK41" s="492"/>
      <c r="AL41" s="492"/>
      <c r="AM41" s="492"/>
      <c r="AN41" s="492"/>
      <c r="AO41" s="492"/>
      <c r="AP41" s="492"/>
      <c r="AQ41" s="492"/>
      <c r="AR41" s="492"/>
    </row>
    <row r="42" spans="1:44" ht="19.5" customHeight="1" x14ac:dyDescent="0.35">
      <c r="A42" s="492"/>
      <c r="D42" s="488" t="str">
        <f>IF(F40="Yes","The Transitional Adjustment (TL - NL) is therefore   "&amp;TEXT(T27,"#,###.00"),"In this case there will be no transitional adjustment")</f>
        <v>In this case there will be no transitional adjustment</v>
      </c>
      <c r="F42" s="486"/>
      <c r="G42" s="481"/>
      <c r="K42" s="492"/>
      <c r="L42" s="492"/>
      <c r="M42" s="492"/>
      <c r="N42" s="492"/>
      <c r="O42" s="492"/>
      <c r="P42" s="492"/>
      <c r="Q42" s="149"/>
      <c r="R42" s="149"/>
      <c r="S42" s="149"/>
      <c r="T42" s="149"/>
      <c r="U42" s="149"/>
      <c r="V42" s="149"/>
      <c r="W42" s="149"/>
      <c r="AA42" s="492"/>
      <c r="AB42" s="492"/>
      <c r="AC42" s="492"/>
      <c r="AD42" s="492"/>
      <c r="AE42" s="492"/>
      <c r="AF42" s="492"/>
      <c r="AG42" s="492"/>
      <c r="AH42" s="492"/>
      <c r="AI42" s="492"/>
      <c r="AJ42" s="492"/>
      <c r="AK42" s="492"/>
      <c r="AL42" s="492"/>
      <c r="AM42" s="492"/>
      <c r="AN42" s="492"/>
      <c r="AO42" s="492"/>
      <c r="AP42" s="492"/>
      <c r="AQ42" s="492"/>
      <c r="AR42" s="492"/>
    </row>
    <row r="43" spans="1:44" ht="14.15" customHeight="1" x14ac:dyDescent="0.35">
      <c r="A43" s="492"/>
      <c r="F43" s="486"/>
      <c r="K43" s="492"/>
      <c r="L43" s="492"/>
      <c r="M43" s="492"/>
      <c r="N43" s="492"/>
      <c r="O43" s="492"/>
      <c r="P43" s="492"/>
      <c r="Q43" s="149"/>
      <c r="R43" s="149"/>
      <c r="S43" s="149"/>
      <c r="T43" s="149"/>
      <c r="U43" s="149"/>
      <c r="V43" s="149"/>
      <c r="W43" s="149"/>
      <c r="AA43" s="492"/>
      <c r="AB43" s="492"/>
      <c r="AC43" s="492"/>
      <c r="AD43" s="492"/>
      <c r="AE43" s="492"/>
      <c r="AF43" s="492"/>
      <c r="AG43" s="492"/>
      <c r="AH43" s="492"/>
      <c r="AI43" s="492"/>
      <c r="AJ43" s="492"/>
      <c r="AK43" s="492"/>
      <c r="AL43" s="492"/>
      <c r="AM43" s="492"/>
      <c r="AN43" s="492"/>
      <c r="AO43" s="492"/>
      <c r="AP43" s="492"/>
      <c r="AQ43" s="492"/>
      <c r="AR43" s="492"/>
    </row>
    <row r="44" spans="1:44" ht="14.15" customHeight="1" x14ac:dyDescent="0.35">
      <c r="A44" s="492"/>
      <c r="D44" s="256" t="str">
        <f>IF(F40="Yes","This figure will be adjusted for the number of chargeable days (if not a full year) and used","")</f>
        <v/>
      </c>
      <c r="F44" s="486"/>
      <c r="K44" s="492"/>
      <c r="L44" s="492"/>
      <c r="M44" s="492"/>
      <c r="N44" s="492"/>
      <c r="O44" s="492"/>
      <c r="P44" s="492"/>
      <c r="Q44" s="149"/>
      <c r="R44" s="149"/>
      <c r="S44" s="149"/>
      <c r="T44" s="149"/>
      <c r="U44" s="149"/>
      <c r="V44" s="149"/>
      <c r="W44" s="149"/>
      <c r="AA44" s="492"/>
      <c r="AB44" s="492"/>
      <c r="AC44" s="492"/>
      <c r="AD44" s="492"/>
      <c r="AE44" s="492"/>
      <c r="AF44" s="492"/>
      <c r="AG44" s="492"/>
      <c r="AH44" s="492"/>
      <c r="AI44" s="492"/>
      <c r="AJ44" s="492"/>
      <c r="AK44" s="492"/>
      <c r="AL44" s="492"/>
      <c r="AM44" s="492"/>
      <c r="AN44" s="492"/>
      <c r="AO44" s="492"/>
      <c r="AP44" s="492"/>
      <c r="AQ44" s="492"/>
      <c r="AR44" s="492"/>
    </row>
    <row r="45" spans="1:44" ht="14.15" customHeight="1" x14ac:dyDescent="0.35">
      <c r="A45" s="492"/>
      <c r="D45" s="256" t="str">
        <f>IF(F40="Yes","in the liability calculation","")</f>
        <v/>
      </c>
      <c r="E45" s="276"/>
      <c r="H45" s="327"/>
      <c r="K45" s="492"/>
      <c r="L45" s="492"/>
      <c r="M45" s="492"/>
      <c r="N45" s="492"/>
      <c r="O45" s="492"/>
      <c r="P45" s="492"/>
      <c r="Q45" s="149"/>
      <c r="R45" s="149"/>
      <c r="S45" s="149"/>
      <c r="T45" s="149"/>
      <c r="U45" s="149"/>
      <c r="V45" s="149"/>
      <c r="W45" s="149"/>
      <c r="AA45" s="492"/>
      <c r="AB45" s="492"/>
      <c r="AC45" s="492"/>
      <c r="AD45" s="492"/>
      <c r="AE45" s="492"/>
      <c r="AF45" s="492"/>
      <c r="AG45" s="492"/>
      <c r="AH45" s="492"/>
      <c r="AI45" s="492"/>
      <c r="AJ45" s="492"/>
      <c r="AK45" s="492"/>
      <c r="AL45" s="492"/>
      <c r="AM45" s="492"/>
      <c r="AN45" s="492"/>
      <c r="AO45" s="492"/>
      <c r="AP45" s="492"/>
      <c r="AQ45" s="492"/>
      <c r="AR45" s="492"/>
    </row>
    <row r="46" spans="1:44" ht="14.15" customHeight="1" x14ac:dyDescent="0.35">
      <c r="A46" s="492"/>
      <c r="K46" s="492"/>
      <c r="L46" s="492"/>
      <c r="M46" s="492"/>
      <c r="N46" s="492"/>
      <c r="O46" s="492"/>
      <c r="P46" s="492"/>
      <c r="Q46" s="149"/>
      <c r="R46" s="149"/>
      <c r="S46" s="149"/>
      <c r="T46" s="149"/>
      <c r="U46" s="149"/>
      <c r="V46" s="149"/>
      <c r="W46" s="149"/>
      <c r="AA46" s="492"/>
      <c r="AB46" s="492"/>
      <c r="AC46" s="492"/>
      <c r="AD46" s="492"/>
      <c r="AE46" s="492"/>
      <c r="AF46" s="492"/>
      <c r="AG46" s="492"/>
      <c r="AH46" s="492"/>
      <c r="AI46" s="492"/>
      <c r="AJ46" s="492"/>
      <c r="AK46" s="492"/>
      <c r="AL46" s="492"/>
      <c r="AM46" s="492"/>
      <c r="AN46" s="492"/>
      <c r="AO46" s="492"/>
      <c r="AP46" s="492"/>
      <c r="AQ46" s="492"/>
      <c r="AR46" s="492"/>
    </row>
    <row r="47" spans="1:44" ht="14.15" customHeight="1" x14ac:dyDescent="0.35">
      <c r="A47" s="492"/>
      <c r="E47" s="276"/>
      <c r="H47" s="327"/>
      <c r="K47" s="492"/>
      <c r="L47" s="492"/>
      <c r="M47" s="492"/>
      <c r="N47" s="492"/>
      <c r="O47" s="492"/>
      <c r="P47" s="492"/>
      <c r="Q47" s="149"/>
      <c r="R47" s="149"/>
      <c r="S47" s="149"/>
      <c r="T47" s="149"/>
      <c r="U47" s="149"/>
      <c r="V47" s="149"/>
      <c r="W47" s="149"/>
      <c r="AA47" s="492"/>
      <c r="AB47" s="492"/>
      <c r="AC47" s="492"/>
      <c r="AD47" s="492"/>
      <c r="AE47" s="492"/>
      <c r="AF47" s="492"/>
      <c r="AG47" s="492"/>
      <c r="AH47" s="492"/>
      <c r="AI47" s="492"/>
      <c r="AJ47" s="492"/>
      <c r="AK47" s="492"/>
      <c r="AL47" s="492"/>
      <c r="AM47" s="492"/>
      <c r="AN47" s="492"/>
      <c r="AO47" s="492"/>
      <c r="AP47" s="492"/>
      <c r="AQ47" s="492"/>
      <c r="AR47" s="492"/>
    </row>
    <row r="48" spans="1:44" ht="9" customHeight="1" x14ac:dyDescent="0.25">
      <c r="A48" s="492"/>
      <c r="K48" s="492"/>
      <c r="L48" s="492"/>
      <c r="M48" s="492"/>
      <c r="N48" s="492"/>
      <c r="O48" s="492"/>
      <c r="P48" s="492"/>
      <c r="AA48" s="492"/>
      <c r="AB48" s="492"/>
      <c r="AC48" s="492"/>
      <c r="AD48" s="492"/>
      <c r="AE48" s="492"/>
      <c r="AF48" s="492"/>
      <c r="AG48" s="492"/>
      <c r="AH48" s="492"/>
      <c r="AI48" s="492"/>
      <c r="AJ48" s="492"/>
      <c r="AK48" s="492"/>
      <c r="AL48" s="492"/>
      <c r="AM48" s="492"/>
      <c r="AN48" s="492"/>
      <c r="AO48" s="492"/>
      <c r="AP48" s="492"/>
      <c r="AQ48" s="492"/>
      <c r="AR48" s="492"/>
    </row>
    <row r="49" spans="1:44" ht="12.5" x14ac:dyDescent="0.25">
      <c r="A49" s="492"/>
      <c r="C49" s="283"/>
      <c r="D49" s="283"/>
      <c r="E49" s="335"/>
      <c r="F49" s="335"/>
      <c r="G49" s="335"/>
      <c r="H49" s="283"/>
      <c r="I49" s="487"/>
      <c r="J49" s="283"/>
      <c r="K49" s="492"/>
      <c r="L49" s="492"/>
      <c r="M49" s="492"/>
      <c r="N49" s="492"/>
      <c r="O49" s="492"/>
      <c r="P49" s="492"/>
      <c r="AA49" s="492"/>
      <c r="AB49" s="492"/>
      <c r="AC49" s="492"/>
      <c r="AD49" s="492"/>
      <c r="AE49" s="492"/>
      <c r="AF49" s="492"/>
      <c r="AG49" s="492"/>
      <c r="AH49" s="492"/>
      <c r="AI49" s="492"/>
      <c r="AJ49" s="492"/>
      <c r="AK49" s="492"/>
      <c r="AL49" s="492"/>
      <c r="AM49" s="492"/>
      <c r="AN49" s="492"/>
      <c r="AO49" s="492"/>
      <c r="AP49" s="492"/>
      <c r="AQ49" s="492"/>
      <c r="AR49" s="492"/>
    </row>
    <row r="50" spans="1:44" ht="11.25" customHeight="1" x14ac:dyDescent="0.25">
      <c r="A50" s="492"/>
      <c r="K50" s="492"/>
      <c r="L50" s="492"/>
      <c r="M50" s="492"/>
      <c r="N50" s="492"/>
      <c r="O50" s="492"/>
      <c r="P50" s="492"/>
      <c r="AA50" s="492"/>
      <c r="AB50" s="492"/>
      <c r="AC50" s="492"/>
      <c r="AD50" s="492"/>
      <c r="AE50" s="492"/>
      <c r="AF50" s="492"/>
      <c r="AG50" s="492"/>
      <c r="AH50" s="492"/>
      <c r="AI50" s="492"/>
      <c r="AJ50" s="492"/>
      <c r="AK50" s="492"/>
      <c r="AL50" s="492"/>
      <c r="AM50" s="492"/>
      <c r="AN50" s="492"/>
      <c r="AO50" s="492"/>
      <c r="AP50" s="492"/>
      <c r="AQ50" s="492"/>
      <c r="AR50" s="492"/>
    </row>
    <row r="51" spans="1:44" ht="21" customHeight="1" x14ac:dyDescent="0.35">
      <c r="A51" s="492"/>
      <c r="C51" s="256" t="str">
        <f>'basic output'!C57</f>
        <v>prepared by</v>
      </c>
      <c r="D51" s="488" t="str">
        <f>'basic output'!E57</f>
        <v>CBRE</v>
      </c>
      <c r="K51" s="492"/>
      <c r="L51" s="492"/>
      <c r="M51" s="492"/>
      <c r="N51" s="492"/>
      <c r="O51" s="492"/>
      <c r="P51" s="492"/>
      <c r="AA51" s="492"/>
      <c r="AB51" s="492"/>
      <c r="AC51" s="492"/>
      <c r="AD51" s="492"/>
      <c r="AE51" s="492"/>
      <c r="AF51" s="492"/>
      <c r="AG51" s="492"/>
      <c r="AH51" s="492"/>
      <c r="AI51" s="492"/>
      <c r="AJ51" s="492"/>
      <c r="AK51" s="492"/>
      <c r="AL51" s="492"/>
      <c r="AM51" s="492"/>
      <c r="AN51" s="492"/>
      <c r="AO51" s="492"/>
      <c r="AP51" s="492"/>
      <c r="AQ51" s="492"/>
      <c r="AR51" s="492"/>
    </row>
    <row r="52" spans="1:44" ht="24" customHeight="1" x14ac:dyDescent="0.25">
      <c r="A52" s="492"/>
      <c r="K52" s="492"/>
      <c r="L52" s="492"/>
      <c r="M52" s="492"/>
      <c r="N52" s="492"/>
      <c r="O52" s="492"/>
      <c r="P52" s="492"/>
      <c r="AA52" s="492"/>
      <c r="AB52" s="492"/>
      <c r="AC52" s="492"/>
      <c r="AD52" s="492"/>
      <c r="AE52" s="492"/>
      <c r="AF52" s="492"/>
      <c r="AG52" s="492"/>
      <c r="AH52" s="492"/>
      <c r="AI52" s="492"/>
      <c r="AJ52" s="492"/>
      <c r="AK52" s="492"/>
      <c r="AL52" s="492"/>
      <c r="AM52" s="492"/>
      <c r="AN52" s="492"/>
      <c r="AO52" s="492"/>
      <c r="AP52" s="492"/>
      <c r="AQ52" s="492"/>
      <c r="AR52" s="492"/>
    </row>
    <row r="53" spans="1:44" ht="12.75" customHeight="1" x14ac:dyDescent="0.25">
      <c r="A53" s="492"/>
      <c r="B53" s="492"/>
      <c r="C53" s="492"/>
      <c r="D53" s="492"/>
      <c r="E53" s="492"/>
      <c r="F53" s="492"/>
      <c r="G53" s="492"/>
      <c r="H53" s="492"/>
      <c r="I53" s="492"/>
      <c r="J53" s="492"/>
      <c r="K53" s="492"/>
      <c r="L53" s="492"/>
      <c r="M53" s="492"/>
      <c r="N53" s="492"/>
      <c r="O53" s="492"/>
      <c r="P53" s="492"/>
      <c r="AA53" s="492"/>
      <c r="AB53" s="492"/>
      <c r="AC53" s="492"/>
      <c r="AD53" s="492"/>
      <c r="AE53" s="492"/>
      <c r="AF53" s="492"/>
      <c r="AG53" s="492"/>
      <c r="AH53" s="492"/>
      <c r="AI53" s="492"/>
      <c r="AJ53" s="492"/>
      <c r="AK53" s="492"/>
      <c r="AL53" s="492"/>
      <c r="AM53" s="492"/>
      <c r="AN53" s="492"/>
      <c r="AO53" s="492"/>
      <c r="AP53" s="492"/>
      <c r="AQ53" s="492"/>
      <c r="AR53" s="492"/>
    </row>
    <row r="54" spans="1:44" ht="12.75" customHeight="1" x14ac:dyDescent="0.25">
      <c r="A54" s="492"/>
      <c r="B54" s="492"/>
      <c r="C54" s="492"/>
      <c r="D54" s="492"/>
      <c r="E54" s="492"/>
      <c r="F54" s="492"/>
      <c r="G54" s="492"/>
      <c r="H54" s="492"/>
      <c r="I54" s="492"/>
      <c r="J54" s="492"/>
      <c r="K54" s="492"/>
      <c r="L54" s="492"/>
      <c r="M54" s="492"/>
      <c r="N54" s="492"/>
      <c r="O54" s="492"/>
      <c r="P54" s="492"/>
      <c r="AA54" s="492"/>
      <c r="AB54" s="492"/>
      <c r="AC54" s="492"/>
      <c r="AD54" s="492"/>
      <c r="AE54" s="492"/>
      <c r="AF54" s="492"/>
      <c r="AG54" s="492"/>
      <c r="AH54" s="492"/>
      <c r="AI54" s="492"/>
      <c r="AJ54" s="492"/>
      <c r="AK54" s="492"/>
      <c r="AL54" s="492"/>
      <c r="AM54" s="492"/>
      <c r="AN54" s="492"/>
      <c r="AO54" s="492"/>
      <c r="AP54" s="492"/>
      <c r="AQ54" s="492"/>
      <c r="AR54" s="492"/>
    </row>
    <row r="55" spans="1:44" ht="12.75" customHeight="1" x14ac:dyDescent="0.25">
      <c r="A55" s="492"/>
      <c r="B55" s="492"/>
      <c r="C55" s="492"/>
      <c r="D55" s="492"/>
      <c r="E55" s="492"/>
      <c r="F55" s="492"/>
      <c r="G55" s="492"/>
      <c r="H55" s="492"/>
      <c r="I55" s="492"/>
      <c r="J55" s="492"/>
      <c r="K55" s="492"/>
      <c r="L55" s="492"/>
      <c r="M55" s="492"/>
      <c r="N55" s="492"/>
      <c r="O55" s="492"/>
      <c r="P55" s="492"/>
      <c r="AA55" s="492"/>
      <c r="AB55" s="492"/>
      <c r="AC55" s="492"/>
      <c r="AD55" s="492"/>
      <c r="AE55" s="492"/>
      <c r="AF55" s="492"/>
      <c r="AG55" s="492"/>
      <c r="AH55" s="492"/>
      <c r="AI55" s="492"/>
      <c r="AJ55" s="492"/>
      <c r="AK55" s="492"/>
      <c r="AL55" s="492"/>
      <c r="AM55" s="492"/>
      <c r="AN55" s="492"/>
      <c r="AO55" s="492"/>
      <c r="AP55" s="492"/>
      <c r="AQ55" s="492"/>
      <c r="AR55" s="492"/>
    </row>
    <row r="56" spans="1:44" ht="12.75" customHeight="1" x14ac:dyDescent="0.25">
      <c r="A56" s="492"/>
      <c r="B56" s="492"/>
      <c r="C56" s="492"/>
      <c r="D56" s="492"/>
      <c r="E56" s="492"/>
      <c r="F56" s="492"/>
      <c r="G56" s="492"/>
      <c r="H56" s="492"/>
      <c r="I56" s="492"/>
      <c r="J56" s="492"/>
      <c r="K56" s="492"/>
      <c r="L56" s="492"/>
      <c r="M56" s="492"/>
      <c r="N56" s="492"/>
      <c r="O56" s="492"/>
      <c r="P56" s="492"/>
      <c r="AA56" s="492"/>
      <c r="AB56" s="492"/>
      <c r="AC56" s="492"/>
      <c r="AD56" s="492"/>
      <c r="AE56" s="492"/>
      <c r="AF56" s="492"/>
      <c r="AG56" s="492"/>
      <c r="AH56" s="492"/>
      <c r="AI56" s="492"/>
      <c r="AJ56" s="492"/>
      <c r="AK56" s="492"/>
      <c r="AL56" s="492"/>
      <c r="AM56" s="492"/>
      <c r="AN56" s="492"/>
      <c r="AO56" s="492"/>
      <c r="AP56" s="492"/>
      <c r="AQ56" s="492"/>
      <c r="AR56" s="492"/>
    </row>
    <row r="57" spans="1:44" ht="12.75" customHeight="1" x14ac:dyDescent="0.25">
      <c r="A57" s="492"/>
      <c r="B57" s="492"/>
      <c r="C57" s="492"/>
      <c r="D57" s="492"/>
      <c r="E57" s="492"/>
      <c r="F57" s="492"/>
      <c r="G57" s="492"/>
      <c r="H57" s="492"/>
      <c r="I57" s="492"/>
      <c r="J57" s="492"/>
      <c r="K57" s="492"/>
      <c r="L57" s="492"/>
      <c r="M57" s="492"/>
      <c r="N57" s="492"/>
      <c r="O57" s="492"/>
      <c r="P57" s="492"/>
      <c r="AA57" s="492"/>
      <c r="AB57" s="492"/>
      <c r="AC57" s="492"/>
      <c r="AD57" s="492"/>
      <c r="AE57" s="492"/>
      <c r="AF57" s="492"/>
      <c r="AG57" s="492"/>
      <c r="AH57" s="492"/>
      <c r="AI57" s="492"/>
      <c r="AJ57" s="492"/>
      <c r="AK57" s="492"/>
      <c r="AL57" s="492"/>
      <c r="AM57" s="492"/>
      <c r="AN57" s="492"/>
      <c r="AO57" s="492"/>
      <c r="AP57" s="492"/>
      <c r="AQ57" s="492"/>
      <c r="AR57" s="492"/>
    </row>
    <row r="58" spans="1:44" ht="12.75" customHeight="1" x14ac:dyDescent="0.25">
      <c r="A58" s="492"/>
      <c r="B58" s="492"/>
      <c r="C58" s="492"/>
      <c r="D58" s="492"/>
      <c r="E58" s="492"/>
      <c r="F58" s="492"/>
      <c r="G58" s="492"/>
      <c r="H58" s="492"/>
      <c r="I58" s="492"/>
      <c r="J58" s="492"/>
      <c r="K58" s="492"/>
      <c r="L58" s="492"/>
      <c r="M58" s="492"/>
      <c r="N58" s="492"/>
      <c r="O58" s="492"/>
      <c r="P58" s="492"/>
      <c r="AA58" s="492"/>
      <c r="AB58" s="492"/>
      <c r="AC58" s="492"/>
      <c r="AD58" s="492"/>
      <c r="AE58" s="492"/>
      <c r="AF58" s="492"/>
      <c r="AG58" s="492"/>
      <c r="AH58" s="492"/>
      <c r="AI58" s="492"/>
      <c r="AJ58" s="492"/>
      <c r="AK58" s="492"/>
      <c r="AL58" s="492"/>
      <c r="AM58" s="492"/>
      <c r="AN58" s="492"/>
      <c r="AO58" s="492"/>
      <c r="AP58" s="492"/>
      <c r="AQ58" s="492"/>
      <c r="AR58" s="492"/>
    </row>
    <row r="59" spans="1:44" ht="12.75" customHeight="1" x14ac:dyDescent="0.25">
      <c r="A59" s="492"/>
      <c r="B59" s="492"/>
      <c r="C59" s="492"/>
      <c r="D59" s="492"/>
      <c r="E59" s="492"/>
      <c r="F59" s="492"/>
      <c r="G59" s="492"/>
      <c r="H59" s="492"/>
      <c r="I59" s="492"/>
      <c r="J59" s="492"/>
      <c r="K59" s="492"/>
      <c r="L59" s="492"/>
      <c r="M59" s="492"/>
      <c r="N59" s="492"/>
      <c r="O59" s="492"/>
      <c r="P59" s="492"/>
      <c r="AA59" s="492"/>
      <c r="AB59" s="492"/>
      <c r="AC59" s="492"/>
      <c r="AD59" s="492"/>
      <c r="AE59" s="492"/>
      <c r="AF59" s="492"/>
      <c r="AG59" s="492"/>
      <c r="AH59" s="492"/>
      <c r="AI59" s="492"/>
      <c r="AJ59" s="492"/>
      <c r="AK59" s="492"/>
      <c r="AL59" s="492"/>
      <c r="AM59" s="492"/>
      <c r="AN59" s="492"/>
      <c r="AO59" s="492"/>
      <c r="AP59" s="492"/>
      <c r="AQ59" s="492"/>
      <c r="AR59" s="492"/>
    </row>
    <row r="60" spans="1:44" ht="12.75" customHeight="1" x14ac:dyDescent="0.25">
      <c r="A60" s="492"/>
      <c r="B60" s="492"/>
      <c r="C60" s="492"/>
      <c r="D60" s="492"/>
      <c r="E60" s="492"/>
      <c r="F60" s="492"/>
      <c r="G60" s="492"/>
      <c r="H60" s="492"/>
      <c r="I60" s="492"/>
      <c r="J60" s="492"/>
      <c r="K60" s="492"/>
      <c r="L60" s="492"/>
      <c r="M60" s="492"/>
      <c r="N60" s="492"/>
      <c r="O60" s="492"/>
      <c r="P60" s="492"/>
      <c r="AA60" s="492"/>
      <c r="AB60" s="492"/>
      <c r="AC60" s="492"/>
      <c r="AD60" s="492"/>
      <c r="AE60" s="492"/>
      <c r="AF60" s="492"/>
      <c r="AG60" s="492"/>
      <c r="AH60" s="492"/>
      <c r="AI60" s="492"/>
      <c r="AJ60" s="492"/>
      <c r="AK60" s="492"/>
      <c r="AL60" s="492"/>
      <c r="AM60" s="492"/>
      <c r="AN60" s="492"/>
      <c r="AO60" s="492"/>
      <c r="AP60" s="492"/>
      <c r="AQ60" s="492"/>
      <c r="AR60" s="492"/>
    </row>
    <row r="61" spans="1:44" ht="12.75" customHeight="1" x14ac:dyDescent="0.25">
      <c r="A61" s="492"/>
      <c r="B61" s="492"/>
      <c r="C61" s="492"/>
      <c r="D61" s="492"/>
      <c r="E61" s="492"/>
      <c r="F61" s="492"/>
      <c r="G61" s="492"/>
      <c r="H61" s="492"/>
      <c r="I61" s="492"/>
      <c r="J61" s="492"/>
      <c r="K61" s="492"/>
      <c r="L61" s="492"/>
      <c r="M61" s="492"/>
      <c r="N61" s="492"/>
      <c r="O61" s="492"/>
      <c r="P61" s="492"/>
      <c r="AA61" s="492"/>
      <c r="AB61" s="492"/>
      <c r="AC61" s="492"/>
      <c r="AD61" s="492"/>
      <c r="AE61" s="492"/>
      <c r="AF61" s="492"/>
      <c r="AG61" s="492"/>
      <c r="AH61" s="492"/>
      <c r="AI61" s="492"/>
      <c r="AJ61" s="492"/>
      <c r="AK61" s="492"/>
      <c r="AL61" s="492"/>
      <c r="AM61" s="492"/>
      <c r="AN61" s="492"/>
      <c r="AO61" s="492"/>
      <c r="AP61" s="492"/>
      <c r="AQ61" s="492"/>
      <c r="AR61" s="492"/>
    </row>
    <row r="62" spans="1:44" ht="12.75" customHeight="1" x14ac:dyDescent="0.25">
      <c r="A62" s="492"/>
      <c r="B62" s="492"/>
      <c r="C62" s="492"/>
      <c r="D62" s="492"/>
      <c r="E62" s="492"/>
      <c r="F62" s="492"/>
      <c r="G62" s="492"/>
      <c r="H62" s="492"/>
      <c r="I62" s="492"/>
      <c r="J62" s="492"/>
      <c r="K62" s="492"/>
      <c r="L62" s="492"/>
      <c r="M62" s="492"/>
      <c r="N62" s="492"/>
      <c r="O62" s="492"/>
      <c r="P62" s="492"/>
      <c r="AA62" s="492"/>
      <c r="AB62" s="492"/>
      <c r="AC62" s="492"/>
      <c r="AD62" s="492"/>
      <c r="AE62" s="492"/>
      <c r="AF62" s="492"/>
      <c r="AG62" s="492"/>
      <c r="AH62" s="492"/>
      <c r="AI62" s="492"/>
      <c r="AJ62" s="492"/>
      <c r="AK62" s="492"/>
      <c r="AL62" s="492"/>
      <c r="AM62" s="492"/>
      <c r="AN62" s="492"/>
      <c r="AO62" s="492"/>
      <c r="AP62" s="492"/>
      <c r="AQ62" s="492"/>
      <c r="AR62" s="492"/>
    </row>
    <row r="63" spans="1:44" ht="12.75" customHeight="1" x14ac:dyDescent="0.25">
      <c r="A63" s="492"/>
      <c r="B63" s="492"/>
      <c r="C63" s="492"/>
      <c r="D63" s="492"/>
      <c r="E63" s="492"/>
      <c r="F63" s="492"/>
      <c r="G63" s="492"/>
      <c r="H63" s="492"/>
      <c r="I63" s="492"/>
      <c r="J63" s="492"/>
      <c r="K63" s="492"/>
      <c r="L63" s="492"/>
      <c r="M63" s="492"/>
      <c r="N63" s="492"/>
      <c r="O63" s="492"/>
      <c r="P63" s="492"/>
      <c r="AA63" s="492"/>
      <c r="AB63" s="492"/>
      <c r="AC63" s="492"/>
      <c r="AD63" s="492"/>
      <c r="AE63" s="492"/>
      <c r="AF63" s="492"/>
      <c r="AG63" s="492"/>
      <c r="AH63" s="492"/>
      <c r="AI63" s="492"/>
      <c r="AJ63" s="492"/>
      <c r="AK63" s="492"/>
      <c r="AL63" s="492"/>
      <c r="AM63" s="492"/>
      <c r="AN63" s="492"/>
      <c r="AO63" s="492"/>
      <c r="AP63" s="492"/>
      <c r="AQ63" s="492"/>
      <c r="AR63" s="492"/>
    </row>
    <row r="64" spans="1:44" ht="12.75" customHeight="1" x14ac:dyDescent="0.25">
      <c r="A64" s="492"/>
      <c r="B64" s="492"/>
      <c r="C64" s="492"/>
      <c r="D64" s="492"/>
      <c r="E64" s="492"/>
      <c r="F64" s="492"/>
      <c r="G64" s="492"/>
      <c r="H64" s="492"/>
      <c r="I64" s="492"/>
      <c r="J64" s="492"/>
      <c r="K64" s="492"/>
      <c r="L64" s="492"/>
      <c r="M64" s="492"/>
      <c r="N64" s="492"/>
      <c r="O64" s="492"/>
      <c r="P64" s="492"/>
      <c r="AA64" s="492"/>
      <c r="AB64" s="492"/>
      <c r="AC64" s="492"/>
      <c r="AD64" s="492"/>
      <c r="AE64" s="492"/>
      <c r="AF64" s="492"/>
      <c r="AG64" s="492"/>
      <c r="AH64" s="492"/>
      <c r="AI64" s="492"/>
      <c r="AJ64" s="492"/>
      <c r="AK64" s="492"/>
      <c r="AL64" s="492"/>
      <c r="AM64" s="492"/>
      <c r="AN64" s="492"/>
      <c r="AO64" s="492"/>
      <c r="AP64" s="492"/>
      <c r="AQ64" s="492"/>
      <c r="AR64" s="492"/>
    </row>
    <row r="65" spans="1:44" ht="12.75" customHeight="1" x14ac:dyDescent="0.25">
      <c r="A65" s="492"/>
      <c r="B65" s="492"/>
      <c r="C65" s="492"/>
      <c r="D65" s="492"/>
      <c r="E65" s="492"/>
      <c r="F65" s="492"/>
      <c r="G65" s="492"/>
      <c r="H65" s="492"/>
      <c r="I65" s="492"/>
      <c r="J65" s="492"/>
      <c r="K65" s="492"/>
      <c r="L65" s="492"/>
      <c r="M65" s="492"/>
      <c r="N65" s="492"/>
      <c r="O65" s="492"/>
      <c r="P65" s="492"/>
      <c r="AA65" s="492"/>
      <c r="AB65" s="492"/>
      <c r="AC65" s="492"/>
      <c r="AD65" s="492"/>
      <c r="AE65" s="492"/>
      <c r="AF65" s="492"/>
      <c r="AG65" s="492"/>
      <c r="AH65" s="492"/>
      <c r="AI65" s="492"/>
      <c r="AJ65" s="492"/>
      <c r="AK65" s="492"/>
      <c r="AL65" s="492"/>
      <c r="AM65" s="492"/>
      <c r="AN65" s="492"/>
      <c r="AO65" s="492"/>
      <c r="AP65" s="492"/>
      <c r="AQ65" s="492"/>
      <c r="AR65" s="492"/>
    </row>
    <row r="66" spans="1:44" ht="12.75" customHeight="1" x14ac:dyDescent="0.25">
      <c r="A66" s="492"/>
      <c r="B66" s="492"/>
      <c r="C66" s="492"/>
      <c r="D66" s="492"/>
      <c r="E66" s="492"/>
      <c r="F66" s="492"/>
      <c r="G66" s="492"/>
      <c r="H66" s="492"/>
      <c r="I66" s="492"/>
      <c r="J66" s="492"/>
      <c r="K66" s="492"/>
      <c r="L66" s="492"/>
      <c r="M66" s="492"/>
      <c r="N66" s="492"/>
      <c r="O66" s="492"/>
      <c r="P66" s="492"/>
      <c r="AA66" s="492"/>
      <c r="AB66" s="492"/>
      <c r="AC66" s="492"/>
      <c r="AD66" s="492"/>
      <c r="AE66" s="492"/>
      <c r="AF66" s="492"/>
      <c r="AG66" s="492"/>
      <c r="AH66" s="492"/>
      <c r="AI66" s="492"/>
      <c r="AJ66" s="492"/>
      <c r="AK66" s="492"/>
      <c r="AL66" s="492"/>
      <c r="AM66" s="492"/>
      <c r="AN66" s="492"/>
      <c r="AO66" s="492"/>
      <c r="AP66" s="492"/>
      <c r="AQ66" s="492"/>
      <c r="AR66" s="492"/>
    </row>
    <row r="67" spans="1:44" ht="12.75" customHeight="1" x14ac:dyDescent="0.25">
      <c r="A67" s="492"/>
      <c r="B67" s="492"/>
      <c r="C67" s="492"/>
      <c r="D67" s="492"/>
      <c r="E67" s="492"/>
      <c r="F67" s="492"/>
      <c r="G67" s="492"/>
      <c r="H67" s="492"/>
      <c r="I67" s="492"/>
      <c r="J67" s="492"/>
      <c r="K67" s="492"/>
      <c r="L67" s="492"/>
      <c r="M67" s="492"/>
      <c r="N67" s="492"/>
      <c r="O67" s="492"/>
      <c r="P67" s="492"/>
      <c r="AA67" s="492"/>
      <c r="AB67" s="492"/>
      <c r="AC67" s="492"/>
      <c r="AD67" s="492"/>
      <c r="AE67" s="492"/>
      <c r="AF67" s="492"/>
      <c r="AG67" s="492"/>
      <c r="AH67" s="492"/>
      <c r="AI67" s="492"/>
      <c r="AJ67" s="492"/>
      <c r="AK67" s="492"/>
      <c r="AL67" s="492"/>
      <c r="AM67" s="492"/>
      <c r="AN67" s="492"/>
      <c r="AO67" s="492"/>
      <c r="AP67" s="492"/>
      <c r="AQ67" s="492"/>
      <c r="AR67" s="492"/>
    </row>
    <row r="68" spans="1:44" ht="12.75" customHeight="1" x14ac:dyDescent="0.25">
      <c r="A68" s="492"/>
      <c r="B68" s="492"/>
      <c r="C68" s="492"/>
      <c r="D68" s="492"/>
      <c r="E68" s="492"/>
      <c r="F68" s="492"/>
      <c r="G68" s="492"/>
      <c r="H68" s="492"/>
      <c r="I68" s="492"/>
      <c r="J68" s="492"/>
      <c r="K68" s="492"/>
      <c r="L68" s="492"/>
      <c r="M68" s="492"/>
      <c r="N68" s="492"/>
      <c r="O68" s="492"/>
      <c r="P68" s="492"/>
      <c r="AA68" s="492"/>
      <c r="AB68" s="492"/>
      <c r="AC68" s="492"/>
      <c r="AD68" s="492"/>
      <c r="AE68" s="492"/>
      <c r="AF68" s="492"/>
      <c r="AG68" s="492"/>
      <c r="AH68" s="492"/>
      <c r="AI68" s="492"/>
      <c r="AJ68" s="492"/>
      <c r="AK68" s="492"/>
      <c r="AL68" s="492"/>
      <c r="AM68" s="492"/>
      <c r="AN68" s="492"/>
      <c r="AO68" s="492"/>
      <c r="AP68" s="492"/>
      <c r="AQ68" s="492"/>
      <c r="AR68" s="492"/>
    </row>
    <row r="69" spans="1:44" ht="12.75" customHeight="1" x14ac:dyDescent="0.25">
      <c r="A69" s="492"/>
      <c r="B69" s="492"/>
      <c r="C69" s="492"/>
      <c r="D69" s="492"/>
      <c r="E69" s="492"/>
      <c r="F69" s="492"/>
      <c r="G69" s="492"/>
      <c r="H69" s="492"/>
      <c r="I69" s="492"/>
      <c r="J69" s="492"/>
      <c r="K69" s="492"/>
      <c r="L69" s="492"/>
      <c r="M69" s="492"/>
      <c r="N69" s="492"/>
      <c r="O69" s="492"/>
      <c r="P69" s="492"/>
      <c r="AA69" s="492"/>
      <c r="AB69" s="492"/>
      <c r="AC69" s="492"/>
      <c r="AD69" s="492"/>
      <c r="AE69" s="492"/>
      <c r="AF69" s="492"/>
      <c r="AG69" s="492"/>
      <c r="AH69" s="492"/>
      <c r="AI69" s="492"/>
      <c r="AJ69" s="492"/>
      <c r="AK69" s="492"/>
      <c r="AL69" s="492"/>
      <c r="AM69" s="492"/>
      <c r="AN69" s="492"/>
      <c r="AO69" s="492"/>
      <c r="AP69" s="492"/>
      <c r="AQ69" s="492"/>
      <c r="AR69" s="492"/>
    </row>
    <row r="70" spans="1:44" ht="12.75" customHeight="1" x14ac:dyDescent="0.25">
      <c r="A70" s="492"/>
      <c r="B70" s="492"/>
      <c r="C70" s="492"/>
      <c r="D70" s="492"/>
      <c r="E70" s="492"/>
      <c r="F70" s="492"/>
      <c r="G70" s="492"/>
      <c r="H70" s="492"/>
      <c r="I70" s="492"/>
      <c r="J70" s="492"/>
      <c r="K70" s="492"/>
      <c r="L70" s="492"/>
      <c r="M70" s="492"/>
      <c r="N70" s="492"/>
      <c r="O70" s="492"/>
      <c r="P70" s="492"/>
      <c r="AA70" s="492"/>
      <c r="AB70" s="492"/>
      <c r="AC70" s="492"/>
      <c r="AD70" s="492"/>
      <c r="AE70" s="492"/>
      <c r="AF70" s="492"/>
      <c r="AG70" s="492"/>
      <c r="AH70" s="492"/>
      <c r="AI70" s="492"/>
      <c r="AJ70" s="492"/>
      <c r="AK70" s="492"/>
      <c r="AL70" s="492"/>
      <c r="AM70" s="492"/>
      <c r="AN70" s="492"/>
      <c r="AO70" s="492"/>
      <c r="AP70" s="492"/>
      <c r="AQ70" s="492"/>
      <c r="AR70" s="492"/>
    </row>
    <row r="71" spans="1:44" ht="12.75" customHeight="1" x14ac:dyDescent="0.25">
      <c r="A71" s="492"/>
      <c r="B71" s="492"/>
      <c r="C71" s="492"/>
      <c r="D71" s="492"/>
      <c r="E71" s="492"/>
      <c r="F71" s="492"/>
      <c r="G71" s="492"/>
      <c r="H71" s="492"/>
      <c r="I71" s="492"/>
      <c r="J71" s="492"/>
      <c r="K71" s="492"/>
      <c r="L71" s="492"/>
      <c r="M71" s="492"/>
      <c r="N71" s="492"/>
      <c r="O71" s="492"/>
      <c r="P71" s="492"/>
      <c r="AA71" s="492"/>
      <c r="AB71" s="492"/>
      <c r="AC71" s="492"/>
      <c r="AD71" s="492"/>
      <c r="AE71" s="492"/>
      <c r="AF71" s="492"/>
      <c r="AG71" s="492"/>
      <c r="AH71" s="492"/>
      <c r="AI71" s="492"/>
      <c r="AJ71" s="492"/>
      <c r="AK71" s="492"/>
      <c r="AL71" s="492"/>
      <c r="AM71" s="492"/>
      <c r="AN71" s="492"/>
      <c r="AO71" s="492"/>
      <c r="AP71" s="492"/>
      <c r="AQ71" s="492"/>
      <c r="AR71" s="492"/>
    </row>
    <row r="72" spans="1:44" ht="12.75" customHeight="1" x14ac:dyDescent="0.25">
      <c r="A72" s="492"/>
      <c r="B72" s="492"/>
      <c r="C72" s="492"/>
      <c r="D72" s="492"/>
      <c r="E72" s="492"/>
      <c r="F72" s="492"/>
      <c r="G72" s="492"/>
      <c r="H72" s="492"/>
      <c r="I72" s="492"/>
      <c r="J72" s="492"/>
      <c r="K72" s="492"/>
      <c r="L72" s="492"/>
      <c r="M72" s="492"/>
      <c r="N72" s="492"/>
      <c r="O72" s="492"/>
      <c r="P72" s="492"/>
      <c r="AA72" s="492"/>
      <c r="AB72" s="492"/>
      <c r="AC72" s="492"/>
      <c r="AD72" s="492"/>
      <c r="AE72" s="492"/>
      <c r="AF72" s="492"/>
      <c r="AG72" s="492"/>
      <c r="AH72" s="492"/>
      <c r="AI72" s="492"/>
      <c r="AJ72" s="492"/>
      <c r="AK72" s="492"/>
      <c r="AL72" s="492"/>
      <c r="AM72" s="492"/>
      <c r="AN72" s="492"/>
      <c r="AO72" s="492"/>
      <c r="AP72" s="492"/>
      <c r="AQ72" s="492"/>
      <c r="AR72" s="492"/>
    </row>
    <row r="73" spans="1:44" ht="12.75" customHeight="1" x14ac:dyDescent="0.25">
      <c r="A73" s="492"/>
      <c r="B73" s="492"/>
      <c r="C73" s="492"/>
      <c r="D73" s="492"/>
      <c r="E73" s="492"/>
      <c r="F73" s="492"/>
      <c r="G73" s="492"/>
      <c r="H73" s="492"/>
      <c r="I73" s="492"/>
      <c r="J73" s="492"/>
      <c r="K73" s="492"/>
      <c r="L73" s="492"/>
      <c r="M73" s="492"/>
      <c r="N73" s="492"/>
      <c r="O73" s="492"/>
      <c r="P73" s="492"/>
      <c r="AA73" s="492"/>
      <c r="AB73" s="492"/>
      <c r="AC73" s="492"/>
      <c r="AD73" s="492"/>
      <c r="AE73" s="492"/>
      <c r="AF73" s="492"/>
      <c r="AG73" s="492"/>
      <c r="AH73" s="492"/>
      <c r="AI73" s="492"/>
      <c r="AJ73" s="492"/>
      <c r="AK73" s="492"/>
      <c r="AL73" s="492"/>
      <c r="AM73" s="492"/>
      <c r="AN73" s="492"/>
      <c r="AO73" s="492"/>
      <c r="AP73" s="492"/>
      <c r="AQ73" s="492"/>
      <c r="AR73" s="492"/>
    </row>
    <row r="74" spans="1:44" ht="12.75" customHeight="1" x14ac:dyDescent="0.25">
      <c r="A74" s="492"/>
      <c r="B74" s="492"/>
      <c r="C74" s="492"/>
      <c r="D74" s="492"/>
      <c r="E74" s="492"/>
      <c r="F74" s="492"/>
      <c r="G74" s="492"/>
      <c r="H74" s="492"/>
      <c r="I74" s="492"/>
      <c r="J74" s="492"/>
      <c r="K74" s="492"/>
      <c r="L74" s="492"/>
      <c r="M74" s="492"/>
      <c r="N74" s="492"/>
      <c r="O74" s="492"/>
      <c r="P74" s="492"/>
      <c r="AA74" s="492"/>
      <c r="AB74" s="492"/>
      <c r="AC74" s="492"/>
      <c r="AD74" s="492"/>
      <c r="AE74" s="492"/>
      <c r="AF74" s="492"/>
      <c r="AG74" s="492"/>
      <c r="AH74" s="492"/>
      <c r="AI74" s="492"/>
      <c r="AJ74" s="492"/>
      <c r="AK74" s="492"/>
      <c r="AL74" s="492"/>
      <c r="AM74" s="492"/>
      <c r="AN74" s="492"/>
      <c r="AO74" s="492"/>
      <c r="AP74" s="492"/>
      <c r="AQ74" s="492"/>
      <c r="AR74" s="492"/>
    </row>
    <row r="75" spans="1:44" ht="12.75" customHeight="1" x14ac:dyDescent="0.25">
      <c r="A75" s="492"/>
      <c r="B75" s="492"/>
      <c r="C75" s="492"/>
      <c r="D75" s="492"/>
      <c r="E75" s="492"/>
      <c r="F75" s="492"/>
      <c r="G75" s="492"/>
      <c r="H75" s="492"/>
      <c r="I75" s="492"/>
      <c r="J75" s="492"/>
      <c r="K75" s="492"/>
      <c r="L75" s="492"/>
      <c r="M75" s="492"/>
      <c r="N75" s="492"/>
      <c r="O75" s="492"/>
      <c r="P75" s="492"/>
      <c r="AA75" s="492"/>
      <c r="AB75" s="492"/>
      <c r="AC75" s="492"/>
      <c r="AD75" s="492"/>
      <c r="AE75" s="492"/>
      <c r="AF75" s="492"/>
      <c r="AG75" s="492"/>
      <c r="AH75" s="492"/>
      <c r="AI75" s="492"/>
      <c r="AJ75" s="492"/>
      <c r="AK75" s="492"/>
      <c r="AL75" s="492"/>
      <c r="AM75" s="492"/>
      <c r="AN75" s="492"/>
      <c r="AO75" s="492"/>
      <c r="AP75" s="492"/>
      <c r="AQ75" s="492"/>
      <c r="AR75" s="492"/>
    </row>
    <row r="76" spans="1:44" ht="12.75" customHeight="1" x14ac:dyDescent="0.25">
      <c r="A76" s="492"/>
      <c r="B76" s="492"/>
      <c r="C76" s="492"/>
      <c r="D76" s="492"/>
      <c r="E76" s="492"/>
      <c r="F76" s="492"/>
      <c r="G76" s="492"/>
      <c r="H76" s="492"/>
      <c r="I76" s="492"/>
      <c r="J76" s="492"/>
      <c r="K76" s="492"/>
      <c r="L76" s="492"/>
      <c r="M76" s="492"/>
      <c r="N76" s="492"/>
      <c r="O76" s="492"/>
      <c r="P76" s="492"/>
      <c r="AA76" s="492"/>
      <c r="AB76" s="492"/>
      <c r="AC76" s="492"/>
      <c r="AD76" s="492"/>
      <c r="AE76" s="492"/>
      <c r="AF76" s="492"/>
      <c r="AG76" s="492"/>
      <c r="AH76" s="492"/>
      <c r="AI76" s="492"/>
      <c r="AJ76" s="492"/>
      <c r="AK76" s="492"/>
      <c r="AL76" s="492"/>
      <c r="AM76" s="492"/>
      <c r="AN76" s="492"/>
      <c r="AO76" s="492"/>
      <c r="AP76" s="492"/>
      <c r="AQ76" s="492"/>
      <c r="AR76" s="492"/>
    </row>
    <row r="77" spans="1:44" ht="12.75" customHeight="1" x14ac:dyDescent="0.25">
      <c r="A77" s="492"/>
      <c r="B77" s="492"/>
      <c r="C77" s="492"/>
      <c r="D77" s="492"/>
      <c r="E77" s="492"/>
      <c r="F77" s="492"/>
      <c r="G77" s="492"/>
      <c r="H77" s="492"/>
      <c r="I77" s="492"/>
      <c r="J77" s="492"/>
      <c r="K77" s="492"/>
      <c r="L77" s="492"/>
      <c r="M77" s="492"/>
      <c r="N77" s="492"/>
      <c r="O77" s="492"/>
      <c r="P77" s="492"/>
      <c r="AA77" s="492"/>
      <c r="AB77" s="492"/>
      <c r="AC77" s="492"/>
      <c r="AD77" s="492"/>
      <c r="AE77" s="492"/>
      <c r="AF77" s="492"/>
      <c r="AG77" s="492"/>
      <c r="AH77" s="492"/>
      <c r="AI77" s="492"/>
      <c r="AJ77" s="492"/>
      <c r="AK77" s="492"/>
      <c r="AL77" s="492"/>
      <c r="AM77" s="492"/>
      <c r="AN77" s="492"/>
      <c r="AO77" s="492"/>
      <c r="AP77" s="492"/>
      <c r="AQ77" s="492"/>
      <c r="AR77" s="492"/>
    </row>
    <row r="78" spans="1:44" ht="12.75" customHeight="1" x14ac:dyDescent="0.25">
      <c r="A78" s="492"/>
      <c r="B78" s="492"/>
      <c r="C78" s="492"/>
      <c r="D78" s="492"/>
      <c r="E78" s="492"/>
      <c r="F78" s="492"/>
      <c r="G78" s="492"/>
      <c r="H78" s="492"/>
      <c r="I78" s="492"/>
      <c r="J78" s="492"/>
      <c r="K78" s="492"/>
      <c r="L78" s="492"/>
      <c r="M78" s="492"/>
      <c r="N78" s="492"/>
      <c r="O78" s="492"/>
      <c r="P78" s="492"/>
      <c r="AA78" s="492"/>
      <c r="AB78" s="492"/>
      <c r="AC78" s="492"/>
      <c r="AD78" s="492"/>
      <c r="AE78" s="492"/>
      <c r="AF78" s="492"/>
      <c r="AG78" s="492"/>
      <c r="AH78" s="492"/>
      <c r="AI78" s="492"/>
      <c r="AJ78" s="492"/>
      <c r="AK78" s="492"/>
      <c r="AL78" s="492"/>
      <c r="AM78" s="492"/>
      <c r="AN78" s="492"/>
      <c r="AO78" s="492"/>
      <c r="AP78" s="492"/>
      <c r="AQ78" s="492"/>
      <c r="AR78" s="492"/>
    </row>
    <row r="79" spans="1:44" ht="12.75" customHeight="1" x14ac:dyDescent="0.25">
      <c r="A79" s="492"/>
      <c r="B79" s="492"/>
      <c r="C79" s="492"/>
      <c r="D79" s="492"/>
      <c r="E79" s="492"/>
      <c r="F79" s="492"/>
      <c r="G79" s="492"/>
      <c r="H79" s="492"/>
      <c r="I79" s="492"/>
      <c r="J79" s="492"/>
      <c r="K79" s="492"/>
      <c r="L79" s="492"/>
      <c r="M79" s="492"/>
      <c r="N79" s="492"/>
      <c r="O79" s="492"/>
      <c r="P79" s="492"/>
      <c r="AA79" s="492"/>
      <c r="AB79" s="492"/>
      <c r="AC79" s="492"/>
      <c r="AD79" s="492"/>
      <c r="AE79" s="492"/>
      <c r="AF79" s="492"/>
      <c r="AG79" s="492"/>
      <c r="AH79" s="492"/>
      <c r="AI79" s="492"/>
      <c r="AJ79" s="492"/>
      <c r="AK79" s="492"/>
      <c r="AL79" s="492"/>
      <c r="AM79" s="492"/>
      <c r="AN79" s="492"/>
      <c r="AO79" s="492"/>
      <c r="AP79" s="492"/>
      <c r="AQ79" s="492"/>
      <c r="AR79" s="492"/>
    </row>
    <row r="80" spans="1:44" ht="12.75" customHeight="1" x14ac:dyDescent="0.25">
      <c r="A80" s="492"/>
      <c r="B80" s="492"/>
      <c r="C80" s="492"/>
      <c r="D80" s="492"/>
      <c r="E80" s="492"/>
      <c r="F80" s="492"/>
      <c r="G80" s="492"/>
      <c r="H80" s="492"/>
      <c r="I80" s="492"/>
      <c r="J80" s="492"/>
      <c r="K80" s="492"/>
      <c r="L80" s="492"/>
      <c r="M80" s="492"/>
      <c r="N80" s="492"/>
      <c r="O80" s="492"/>
      <c r="P80" s="492"/>
      <c r="AA80" s="492"/>
      <c r="AB80" s="492"/>
      <c r="AC80" s="492"/>
      <c r="AD80" s="492"/>
      <c r="AE80" s="492"/>
      <c r="AF80" s="492"/>
      <c r="AG80" s="492"/>
      <c r="AH80" s="492"/>
      <c r="AI80" s="492"/>
      <c r="AJ80" s="492"/>
      <c r="AK80" s="492"/>
      <c r="AL80" s="492"/>
      <c r="AM80" s="492"/>
      <c r="AN80" s="492"/>
      <c r="AO80" s="492"/>
      <c r="AP80" s="492"/>
      <c r="AQ80" s="492"/>
      <c r="AR80" s="492"/>
    </row>
    <row r="81" spans="1:44" ht="12.75" customHeight="1" x14ac:dyDescent="0.25">
      <c r="A81" s="492"/>
      <c r="B81" s="492"/>
      <c r="C81" s="492"/>
      <c r="D81" s="492"/>
      <c r="E81" s="492"/>
      <c r="F81" s="492"/>
      <c r="G81" s="492"/>
      <c r="H81" s="492"/>
      <c r="I81" s="492"/>
      <c r="J81" s="492"/>
      <c r="K81" s="492"/>
      <c r="L81" s="492"/>
      <c r="M81" s="492"/>
      <c r="N81" s="492"/>
      <c r="O81" s="492"/>
      <c r="P81" s="492"/>
      <c r="AA81" s="492"/>
      <c r="AB81" s="492"/>
      <c r="AC81" s="492"/>
      <c r="AD81" s="492"/>
      <c r="AE81" s="492"/>
      <c r="AF81" s="492"/>
      <c r="AG81" s="492"/>
      <c r="AH81" s="492"/>
      <c r="AI81" s="492"/>
      <c r="AJ81" s="492"/>
      <c r="AK81" s="492"/>
      <c r="AL81" s="492"/>
      <c r="AM81" s="492"/>
      <c r="AN81" s="492"/>
      <c r="AO81" s="492"/>
      <c r="AP81" s="492"/>
      <c r="AQ81" s="492"/>
      <c r="AR81" s="492"/>
    </row>
    <row r="82" spans="1:44" ht="12.75" customHeight="1" x14ac:dyDescent="0.25">
      <c r="A82" s="492"/>
      <c r="B82" s="492"/>
      <c r="C82" s="492"/>
      <c r="D82" s="492"/>
      <c r="E82" s="492"/>
      <c r="F82" s="492"/>
      <c r="G82" s="492"/>
      <c r="H82" s="492"/>
      <c r="I82" s="492"/>
      <c r="J82" s="492"/>
      <c r="K82" s="492"/>
      <c r="L82" s="492"/>
      <c r="M82" s="492"/>
      <c r="N82" s="492"/>
      <c r="O82" s="492"/>
      <c r="P82" s="492"/>
      <c r="AA82" s="492"/>
      <c r="AB82" s="492"/>
      <c r="AC82" s="492"/>
      <c r="AD82" s="492"/>
      <c r="AE82" s="492"/>
      <c r="AF82" s="492"/>
      <c r="AG82" s="492"/>
      <c r="AH82" s="492"/>
      <c r="AI82" s="492"/>
      <c r="AJ82" s="492"/>
      <c r="AK82" s="492"/>
      <c r="AL82" s="492"/>
      <c r="AM82" s="492"/>
      <c r="AN82" s="492"/>
      <c r="AO82" s="492"/>
      <c r="AP82" s="492"/>
      <c r="AQ82" s="492"/>
      <c r="AR82" s="492"/>
    </row>
    <row r="83" spans="1:44" ht="12.75" customHeight="1" x14ac:dyDescent="0.25">
      <c r="A83" s="492"/>
      <c r="B83" s="492"/>
      <c r="C83" s="492"/>
      <c r="D83" s="492"/>
      <c r="E83" s="492"/>
      <c r="F83" s="492"/>
      <c r="G83" s="492"/>
      <c r="H83" s="492"/>
      <c r="I83" s="492"/>
      <c r="J83" s="492"/>
      <c r="K83" s="492"/>
      <c r="L83" s="492"/>
      <c r="M83" s="492"/>
      <c r="N83" s="492"/>
      <c r="O83" s="492"/>
      <c r="P83" s="492"/>
      <c r="AA83" s="492"/>
      <c r="AB83" s="492"/>
      <c r="AC83" s="492"/>
      <c r="AD83" s="492"/>
      <c r="AE83" s="492"/>
      <c r="AF83" s="492"/>
      <c r="AG83" s="492"/>
      <c r="AH83" s="492"/>
      <c r="AI83" s="492"/>
      <c r="AJ83" s="492"/>
      <c r="AK83" s="492"/>
      <c r="AL83" s="492"/>
      <c r="AM83" s="492"/>
      <c r="AN83" s="492"/>
      <c r="AO83" s="492"/>
      <c r="AP83" s="492"/>
      <c r="AQ83" s="492"/>
      <c r="AR83" s="492"/>
    </row>
    <row r="84" spans="1:44" ht="12.75" customHeight="1" x14ac:dyDescent="0.25">
      <c r="A84" s="492"/>
      <c r="B84" s="492"/>
      <c r="C84" s="492"/>
      <c r="D84" s="492"/>
      <c r="E84" s="492"/>
      <c r="F84" s="492"/>
      <c r="G84" s="492"/>
      <c r="H84" s="492"/>
      <c r="I84" s="492"/>
      <c r="J84" s="492"/>
      <c r="K84" s="492"/>
      <c r="L84" s="492"/>
      <c r="M84" s="492"/>
      <c r="N84" s="492"/>
      <c r="O84" s="492"/>
      <c r="P84" s="492"/>
      <c r="AA84" s="492"/>
      <c r="AB84" s="492"/>
      <c r="AC84" s="492"/>
      <c r="AD84" s="492"/>
      <c r="AE84" s="492"/>
      <c r="AF84" s="492"/>
      <c r="AG84" s="492"/>
      <c r="AH84" s="492"/>
      <c r="AI84" s="492"/>
      <c r="AJ84" s="492"/>
      <c r="AK84" s="492"/>
      <c r="AL84" s="492"/>
      <c r="AM84" s="492"/>
      <c r="AN84" s="492"/>
      <c r="AO84" s="492"/>
      <c r="AP84" s="492"/>
      <c r="AQ84" s="492"/>
      <c r="AR84" s="492"/>
    </row>
    <row r="85" spans="1:44" ht="12.75" customHeight="1" x14ac:dyDescent="0.25">
      <c r="A85" s="492"/>
      <c r="B85" s="492"/>
      <c r="C85" s="492"/>
      <c r="D85" s="492"/>
      <c r="E85" s="492"/>
      <c r="F85" s="492"/>
      <c r="G85" s="492"/>
      <c r="H85" s="492"/>
      <c r="I85" s="492"/>
      <c r="J85" s="492"/>
      <c r="K85" s="492"/>
      <c r="L85" s="492"/>
      <c r="M85" s="492"/>
      <c r="N85" s="492"/>
      <c r="O85" s="492"/>
      <c r="P85" s="492"/>
      <c r="AA85" s="492"/>
      <c r="AB85" s="492"/>
      <c r="AC85" s="492"/>
      <c r="AD85" s="492"/>
      <c r="AE85" s="492"/>
      <c r="AF85" s="492"/>
      <c r="AG85" s="492"/>
      <c r="AH85" s="492"/>
      <c r="AI85" s="492"/>
      <c r="AJ85" s="492"/>
      <c r="AK85" s="492"/>
      <c r="AL85" s="492"/>
      <c r="AM85" s="492"/>
      <c r="AN85" s="492"/>
      <c r="AO85" s="492"/>
      <c r="AP85" s="492"/>
      <c r="AQ85" s="492"/>
      <c r="AR85" s="492"/>
    </row>
    <row r="86" spans="1:44" ht="12.75" customHeight="1" x14ac:dyDescent="0.25">
      <c r="A86" s="492"/>
      <c r="B86" s="492"/>
      <c r="C86" s="492"/>
      <c r="D86" s="492"/>
      <c r="E86" s="492"/>
      <c r="F86" s="492"/>
      <c r="G86" s="492"/>
      <c r="H86" s="492"/>
      <c r="I86" s="492"/>
      <c r="J86" s="492"/>
      <c r="K86" s="492"/>
      <c r="L86" s="492"/>
      <c r="M86" s="492"/>
      <c r="N86" s="492"/>
      <c r="O86" s="492"/>
      <c r="P86" s="492"/>
      <c r="AA86" s="492"/>
      <c r="AB86" s="492"/>
      <c r="AC86" s="492"/>
      <c r="AD86" s="492"/>
      <c r="AE86" s="492"/>
      <c r="AF86" s="492"/>
      <c r="AG86" s="492"/>
      <c r="AH86" s="492"/>
      <c r="AI86" s="492"/>
      <c r="AJ86" s="492"/>
      <c r="AK86" s="492"/>
      <c r="AL86" s="492"/>
      <c r="AM86" s="492"/>
      <c r="AN86" s="492"/>
      <c r="AO86" s="492"/>
      <c r="AP86" s="492"/>
      <c r="AQ86" s="492"/>
      <c r="AR86" s="492"/>
    </row>
    <row r="87" spans="1:44" ht="12.75" customHeight="1" x14ac:dyDescent="0.25">
      <c r="A87" s="492"/>
      <c r="B87" s="492"/>
      <c r="C87" s="492"/>
      <c r="D87" s="492"/>
      <c r="E87" s="492"/>
      <c r="F87" s="492"/>
      <c r="G87" s="492"/>
      <c r="H87" s="492"/>
      <c r="I87" s="492"/>
      <c r="J87" s="492"/>
      <c r="K87" s="492"/>
      <c r="L87" s="492"/>
      <c r="M87" s="492"/>
      <c r="N87" s="492"/>
      <c r="O87" s="492"/>
      <c r="P87" s="492"/>
      <c r="AA87" s="492"/>
      <c r="AB87" s="492"/>
      <c r="AC87" s="492"/>
      <c r="AD87" s="492"/>
      <c r="AE87" s="492"/>
      <c r="AF87" s="492"/>
      <c r="AG87" s="492"/>
      <c r="AH87" s="492"/>
      <c r="AI87" s="492"/>
      <c r="AJ87" s="492"/>
      <c r="AK87" s="492"/>
      <c r="AL87" s="492"/>
      <c r="AM87" s="492"/>
      <c r="AN87" s="492"/>
      <c r="AO87" s="492"/>
      <c r="AP87" s="492"/>
      <c r="AQ87" s="492"/>
      <c r="AR87" s="492"/>
    </row>
    <row r="88" spans="1:44" ht="12.75" customHeight="1" x14ac:dyDescent="0.25">
      <c r="A88" s="492"/>
      <c r="B88" s="492"/>
      <c r="C88" s="492"/>
      <c r="D88" s="492"/>
      <c r="E88" s="492"/>
      <c r="F88" s="492"/>
      <c r="G88" s="492"/>
      <c r="H88" s="492"/>
      <c r="I88" s="492"/>
      <c r="J88" s="492"/>
      <c r="K88" s="492"/>
      <c r="L88" s="492"/>
      <c r="M88" s="492"/>
      <c r="N88" s="492"/>
      <c r="O88" s="492"/>
      <c r="P88" s="492"/>
      <c r="AA88" s="492"/>
      <c r="AB88" s="492"/>
      <c r="AC88" s="492"/>
      <c r="AD88" s="492"/>
      <c r="AE88" s="492"/>
      <c r="AF88" s="492"/>
      <c r="AG88" s="492"/>
      <c r="AH88" s="492"/>
      <c r="AI88" s="492"/>
      <c r="AJ88" s="492"/>
      <c r="AK88" s="492"/>
      <c r="AL88" s="492"/>
      <c r="AM88" s="492"/>
      <c r="AN88" s="492"/>
      <c r="AO88" s="492"/>
      <c r="AP88" s="492"/>
      <c r="AQ88" s="492"/>
      <c r="AR88" s="492"/>
    </row>
    <row r="89" spans="1:44" ht="12.75" customHeight="1" x14ac:dyDescent="0.25">
      <c r="A89" s="492"/>
      <c r="B89" s="492"/>
      <c r="C89" s="492"/>
      <c r="D89" s="492"/>
      <c r="E89" s="492"/>
      <c r="F89" s="492"/>
      <c r="G89" s="492"/>
      <c r="H89" s="492"/>
      <c r="I89" s="492"/>
      <c r="J89" s="492"/>
      <c r="K89" s="492"/>
      <c r="L89" s="492"/>
      <c r="M89" s="492"/>
      <c r="N89" s="492"/>
      <c r="O89" s="492"/>
      <c r="P89" s="492"/>
      <c r="AA89" s="492"/>
      <c r="AB89" s="492"/>
      <c r="AC89" s="492"/>
      <c r="AD89" s="492"/>
      <c r="AE89" s="492"/>
      <c r="AF89" s="492"/>
      <c r="AG89" s="492"/>
      <c r="AH89" s="492"/>
      <c r="AI89" s="492"/>
      <c r="AJ89" s="492"/>
      <c r="AK89" s="492"/>
      <c r="AL89" s="492"/>
      <c r="AM89" s="492"/>
      <c r="AN89" s="492"/>
      <c r="AO89" s="492"/>
      <c r="AP89" s="492"/>
      <c r="AQ89" s="492"/>
      <c r="AR89" s="492"/>
    </row>
    <row r="90" spans="1:44" ht="12.75" customHeight="1" x14ac:dyDescent="0.25">
      <c r="A90" s="492"/>
      <c r="B90" s="492"/>
      <c r="C90" s="492"/>
      <c r="D90" s="492"/>
      <c r="E90" s="492"/>
      <c r="F90" s="492"/>
      <c r="G90" s="492"/>
      <c r="H90" s="492"/>
      <c r="I90" s="492"/>
      <c r="J90" s="492"/>
      <c r="K90" s="492"/>
      <c r="L90" s="492"/>
      <c r="M90" s="492"/>
      <c r="N90" s="492"/>
      <c r="O90" s="492"/>
      <c r="P90" s="492"/>
      <c r="AA90" s="492"/>
      <c r="AB90" s="492"/>
      <c r="AC90" s="492"/>
      <c r="AD90" s="492"/>
      <c r="AE90" s="492"/>
      <c r="AF90" s="492"/>
      <c r="AG90" s="492"/>
      <c r="AH90" s="492"/>
      <c r="AI90" s="492"/>
      <c r="AJ90" s="492"/>
      <c r="AK90" s="492"/>
      <c r="AL90" s="492"/>
      <c r="AM90" s="492"/>
      <c r="AN90" s="492"/>
      <c r="AO90" s="492"/>
      <c r="AP90" s="492"/>
      <c r="AQ90" s="492"/>
      <c r="AR90" s="492"/>
    </row>
    <row r="91" spans="1:44" ht="12.75" customHeight="1" x14ac:dyDescent="0.25">
      <c r="A91" s="492"/>
      <c r="B91" s="492"/>
      <c r="C91" s="492"/>
      <c r="D91" s="492"/>
      <c r="E91" s="492"/>
      <c r="F91" s="492"/>
      <c r="G91" s="492"/>
      <c r="H91" s="492"/>
      <c r="I91" s="492"/>
      <c r="J91" s="492"/>
      <c r="K91" s="492"/>
      <c r="L91" s="492"/>
      <c r="M91" s="492"/>
      <c r="N91" s="492"/>
      <c r="O91" s="492"/>
      <c r="P91" s="492"/>
      <c r="AA91" s="492"/>
      <c r="AB91" s="492"/>
      <c r="AC91" s="492"/>
      <c r="AD91" s="492"/>
      <c r="AE91" s="492"/>
      <c r="AF91" s="492"/>
      <c r="AG91" s="492"/>
      <c r="AH91" s="492"/>
      <c r="AI91" s="492"/>
      <c r="AJ91" s="492"/>
      <c r="AK91" s="492"/>
      <c r="AL91" s="492"/>
      <c r="AM91" s="492"/>
      <c r="AN91" s="492"/>
      <c r="AO91" s="492"/>
      <c r="AP91" s="492"/>
      <c r="AQ91" s="492"/>
      <c r="AR91" s="492"/>
    </row>
    <row r="92" spans="1:44" ht="12.75" customHeight="1" x14ac:dyDescent="0.25">
      <c r="A92" s="492"/>
      <c r="B92" s="492"/>
      <c r="C92" s="492"/>
      <c r="D92" s="492"/>
      <c r="E92" s="492"/>
      <c r="F92" s="492"/>
      <c r="G92" s="492"/>
      <c r="H92" s="492"/>
      <c r="I92" s="492"/>
      <c r="J92" s="492"/>
      <c r="K92" s="492"/>
      <c r="L92" s="492"/>
      <c r="M92" s="492"/>
      <c r="N92" s="492"/>
      <c r="O92" s="492"/>
      <c r="P92" s="492"/>
      <c r="AA92" s="492"/>
      <c r="AB92" s="492"/>
      <c r="AC92" s="492"/>
      <c r="AD92" s="492"/>
      <c r="AE92" s="492"/>
      <c r="AF92" s="492"/>
      <c r="AG92" s="492"/>
      <c r="AH92" s="492"/>
      <c r="AI92" s="492"/>
      <c r="AJ92" s="492"/>
      <c r="AK92" s="492"/>
      <c r="AL92" s="492"/>
      <c r="AM92" s="492"/>
      <c r="AN92" s="492"/>
      <c r="AO92" s="492"/>
      <c r="AP92" s="492"/>
      <c r="AQ92" s="492"/>
      <c r="AR92" s="492"/>
    </row>
    <row r="93" spans="1:44" ht="12.75" customHeight="1" x14ac:dyDescent="0.25">
      <c r="A93" s="492"/>
      <c r="B93" s="492"/>
      <c r="C93" s="492"/>
      <c r="D93" s="492"/>
      <c r="E93" s="492"/>
      <c r="F93" s="492"/>
      <c r="G93" s="492"/>
      <c r="H93" s="492"/>
      <c r="I93" s="492"/>
      <c r="J93" s="492"/>
      <c r="K93" s="492"/>
      <c r="L93" s="492"/>
      <c r="M93" s="492"/>
      <c r="N93" s="492"/>
      <c r="O93" s="492"/>
      <c r="P93" s="492"/>
      <c r="AA93" s="492"/>
      <c r="AB93" s="492"/>
      <c r="AC93" s="492"/>
      <c r="AD93" s="492"/>
      <c r="AE93" s="492"/>
      <c r="AF93" s="492"/>
      <c r="AG93" s="492"/>
      <c r="AH93" s="492"/>
      <c r="AI93" s="492"/>
      <c r="AJ93" s="492"/>
      <c r="AK93" s="492"/>
      <c r="AL93" s="492"/>
      <c r="AM93" s="492"/>
      <c r="AN93" s="492"/>
      <c r="AO93" s="492"/>
      <c r="AP93" s="492"/>
      <c r="AQ93" s="492"/>
      <c r="AR93" s="492"/>
    </row>
    <row r="94" spans="1:44" ht="12.75" customHeight="1" x14ac:dyDescent="0.25">
      <c r="A94" s="492"/>
      <c r="B94" s="492"/>
      <c r="C94" s="492"/>
      <c r="D94" s="492"/>
      <c r="E94" s="492"/>
      <c r="F94" s="492"/>
      <c r="G94" s="492"/>
      <c r="H94" s="492"/>
      <c r="I94" s="492"/>
      <c r="J94" s="492"/>
      <c r="K94" s="492"/>
      <c r="L94" s="492"/>
      <c r="M94" s="492"/>
      <c r="N94" s="492"/>
      <c r="O94" s="492"/>
      <c r="P94" s="492"/>
      <c r="AA94" s="492"/>
      <c r="AB94" s="492"/>
      <c r="AC94" s="492"/>
      <c r="AD94" s="492"/>
      <c r="AE94" s="492"/>
      <c r="AF94" s="492"/>
      <c r="AG94" s="492"/>
      <c r="AH94" s="492"/>
      <c r="AI94" s="492"/>
      <c r="AJ94" s="492"/>
      <c r="AK94" s="492"/>
      <c r="AL94" s="492"/>
      <c r="AM94" s="492"/>
      <c r="AN94" s="492"/>
      <c r="AO94" s="492"/>
      <c r="AP94" s="492"/>
      <c r="AQ94" s="492"/>
      <c r="AR94" s="492"/>
    </row>
    <row r="95" spans="1:44" ht="12.75" customHeight="1" x14ac:dyDescent="0.25">
      <c r="A95" s="492"/>
      <c r="B95" s="492"/>
      <c r="C95" s="492"/>
      <c r="D95" s="492"/>
      <c r="E95" s="492"/>
      <c r="F95" s="492"/>
      <c r="G95" s="492"/>
      <c r="H95" s="492"/>
      <c r="I95" s="492"/>
      <c r="J95" s="492"/>
      <c r="K95" s="492"/>
      <c r="L95" s="492"/>
      <c r="M95" s="492"/>
      <c r="N95" s="492"/>
      <c r="O95" s="492"/>
      <c r="P95" s="492"/>
      <c r="AA95" s="492"/>
      <c r="AB95" s="492"/>
      <c r="AC95" s="492"/>
      <c r="AD95" s="492"/>
      <c r="AE95" s="492"/>
      <c r="AF95" s="492"/>
      <c r="AG95" s="492"/>
      <c r="AH95" s="492"/>
      <c r="AI95" s="492"/>
      <c r="AJ95" s="492"/>
      <c r="AK95" s="492"/>
      <c r="AL95" s="492"/>
      <c r="AM95" s="492"/>
      <c r="AN95" s="492"/>
      <c r="AO95" s="492"/>
      <c r="AP95" s="492"/>
      <c r="AQ95" s="492"/>
      <c r="AR95" s="492"/>
    </row>
    <row r="96" spans="1:44" ht="12.75" customHeight="1" x14ac:dyDescent="0.25">
      <c r="A96" s="492"/>
      <c r="B96" s="492"/>
      <c r="C96" s="492"/>
      <c r="D96" s="492"/>
      <c r="E96" s="492"/>
      <c r="F96" s="492"/>
      <c r="G96" s="492"/>
      <c r="H96" s="492"/>
      <c r="I96" s="492"/>
      <c r="J96" s="492"/>
      <c r="K96" s="492"/>
      <c r="L96" s="492"/>
      <c r="M96" s="492"/>
      <c r="N96" s="492"/>
      <c r="O96" s="492"/>
      <c r="P96" s="492"/>
      <c r="AA96" s="492"/>
      <c r="AB96" s="492"/>
      <c r="AC96" s="492"/>
      <c r="AD96" s="492"/>
      <c r="AE96" s="492"/>
      <c r="AF96" s="492"/>
      <c r="AG96" s="492"/>
      <c r="AH96" s="492"/>
      <c r="AI96" s="492"/>
      <c r="AJ96" s="492"/>
      <c r="AK96" s="492"/>
      <c r="AL96" s="492"/>
      <c r="AM96" s="492"/>
      <c r="AN96" s="492"/>
      <c r="AO96" s="492"/>
      <c r="AP96" s="492"/>
      <c r="AQ96" s="492"/>
      <c r="AR96" s="492"/>
    </row>
    <row r="97" spans="1:44" ht="12.75" customHeight="1" x14ac:dyDescent="0.25">
      <c r="A97" s="492"/>
      <c r="B97" s="492"/>
      <c r="C97" s="492"/>
      <c r="D97" s="492"/>
      <c r="E97" s="492"/>
      <c r="F97" s="492"/>
      <c r="G97" s="492"/>
      <c r="H97" s="492"/>
      <c r="I97" s="492"/>
      <c r="J97" s="492"/>
      <c r="K97" s="492"/>
      <c r="L97" s="492"/>
      <c r="M97" s="492"/>
      <c r="N97" s="492"/>
      <c r="O97" s="492"/>
      <c r="P97" s="492"/>
      <c r="AA97" s="492"/>
      <c r="AB97" s="492"/>
      <c r="AC97" s="492"/>
      <c r="AD97" s="492"/>
      <c r="AE97" s="492"/>
      <c r="AF97" s="492"/>
      <c r="AG97" s="492"/>
      <c r="AH97" s="492"/>
      <c r="AI97" s="492"/>
      <c r="AJ97" s="492"/>
      <c r="AK97" s="492"/>
      <c r="AL97" s="492"/>
      <c r="AM97" s="492"/>
      <c r="AN97" s="492"/>
      <c r="AO97" s="492"/>
      <c r="AP97" s="492"/>
      <c r="AQ97" s="492"/>
      <c r="AR97" s="492"/>
    </row>
    <row r="98" spans="1:44" ht="12.75" customHeight="1" x14ac:dyDescent="0.25">
      <c r="A98" s="492"/>
      <c r="B98" s="492"/>
      <c r="C98" s="492"/>
      <c r="D98" s="492"/>
      <c r="E98" s="492"/>
      <c r="F98" s="492"/>
      <c r="G98" s="492"/>
      <c r="H98" s="492"/>
      <c r="I98" s="492"/>
      <c r="J98" s="492"/>
      <c r="K98" s="492"/>
      <c r="L98" s="492"/>
      <c r="M98" s="492"/>
      <c r="N98" s="492"/>
      <c r="O98" s="492"/>
      <c r="P98" s="492"/>
      <c r="AA98" s="492"/>
      <c r="AB98" s="492"/>
      <c r="AC98" s="492"/>
      <c r="AD98" s="492"/>
      <c r="AE98" s="492"/>
      <c r="AF98" s="492"/>
      <c r="AG98" s="492"/>
      <c r="AH98" s="492"/>
      <c r="AI98" s="492"/>
      <c r="AJ98" s="492"/>
      <c r="AK98" s="492"/>
      <c r="AL98" s="492"/>
      <c r="AM98" s="492"/>
      <c r="AN98" s="492"/>
      <c r="AO98" s="492"/>
      <c r="AP98" s="492"/>
      <c r="AQ98" s="492"/>
      <c r="AR98" s="492"/>
    </row>
    <row r="99" spans="1:44" ht="12.75" customHeight="1" x14ac:dyDescent="0.25">
      <c r="A99" s="492"/>
      <c r="B99" s="492"/>
      <c r="C99" s="492"/>
      <c r="D99" s="492"/>
      <c r="E99" s="492"/>
      <c r="F99" s="492"/>
      <c r="G99" s="492"/>
      <c r="H99" s="492"/>
      <c r="I99" s="492"/>
      <c r="J99" s="492"/>
      <c r="K99" s="492"/>
      <c r="L99" s="492"/>
      <c r="M99" s="492"/>
      <c r="N99" s="492"/>
      <c r="O99" s="492"/>
      <c r="P99" s="492"/>
      <c r="AA99" s="492"/>
      <c r="AB99" s="492"/>
      <c r="AC99" s="492"/>
      <c r="AD99" s="492"/>
      <c r="AE99" s="492"/>
      <c r="AF99" s="492"/>
      <c r="AG99" s="492"/>
      <c r="AH99" s="492"/>
      <c r="AI99" s="492"/>
      <c r="AJ99" s="492"/>
      <c r="AK99" s="492"/>
      <c r="AL99" s="492"/>
      <c r="AM99" s="492"/>
      <c r="AN99" s="492"/>
      <c r="AO99" s="492"/>
      <c r="AP99" s="492"/>
      <c r="AQ99" s="492"/>
      <c r="AR99" s="492"/>
    </row>
    <row r="100" spans="1:44" ht="12.75" customHeight="1" x14ac:dyDescent="0.25">
      <c r="A100" s="492"/>
      <c r="B100" s="492"/>
      <c r="C100" s="492"/>
      <c r="D100" s="492"/>
      <c r="E100" s="492"/>
      <c r="F100" s="492"/>
      <c r="G100" s="492"/>
      <c r="H100" s="492"/>
      <c r="I100" s="492"/>
      <c r="J100" s="492"/>
      <c r="K100" s="492"/>
      <c r="L100" s="492"/>
      <c r="M100" s="492"/>
      <c r="N100" s="492"/>
      <c r="O100" s="492"/>
      <c r="P100" s="492"/>
      <c r="AA100" s="492"/>
      <c r="AB100" s="492"/>
      <c r="AC100" s="492"/>
      <c r="AD100" s="492"/>
      <c r="AE100" s="492"/>
      <c r="AF100" s="492"/>
      <c r="AG100" s="492"/>
      <c r="AH100" s="492"/>
      <c r="AI100" s="492"/>
      <c r="AJ100" s="492"/>
      <c r="AK100" s="492"/>
      <c r="AL100" s="492"/>
      <c r="AM100" s="492"/>
      <c r="AN100" s="492"/>
      <c r="AO100" s="492"/>
      <c r="AP100" s="492"/>
      <c r="AQ100" s="492"/>
      <c r="AR100" s="492"/>
    </row>
    <row r="101" spans="1:44" ht="12.75" customHeight="1" x14ac:dyDescent="0.25">
      <c r="A101" s="492"/>
      <c r="B101" s="492"/>
      <c r="C101" s="492"/>
      <c r="D101" s="492"/>
      <c r="E101" s="492"/>
      <c r="F101" s="492"/>
      <c r="G101" s="492"/>
      <c r="H101" s="492"/>
      <c r="I101" s="492"/>
      <c r="J101" s="492"/>
      <c r="K101" s="492"/>
      <c r="L101" s="492"/>
      <c r="M101" s="492"/>
      <c r="N101" s="492"/>
      <c r="O101" s="492"/>
      <c r="P101" s="492"/>
      <c r="AA101" s="492"/>
      <c r="AB101" s="492"/>
      <c r="AC101" s="492"/>
      <c r="AD101" s="492"/>
      <c r="AE101" s="492"/>
      <c r="AF101" s="492"/>
      <c r="AG101" s="492"/>
      <c r="AH101" s="492"/>
      <c r="AI101" s="492"/>
      <c r="AJ101" s="492"/>
      <c r="AK101" s="492"/>
      <c r="AL101" s="492"/>
      <c r="AM101" s="492"/>
      <c r="AN101" s="492"/>
      <c r="AO101" s="492"/>
      <c r="AP101" s="492"/>
      <c r="AQ101" s="492"/>
      <c r="AR101" s="492"/>
    </row>
    <row r="102" spans="1:44" ht="12.75" customHeight="1" x14ac:dyDescent="0.25">
      <c r="A102" s="492"/>
      <c r="B102" s="492"/>
      <c r="C102" s="492"/>
      <c r="D102" s="492"/>
      <c r="E102" s="492"/>
      <c r="F102" s="492"/>
      <c r="G102" s="492"/>
      <c r="H102" s="492"/>
      <c r="I102" s="492"/>
      <c r="J102" s="492"/>
      <c r="K102" s="492"/>
      <c r="L102" s="492"/>
      <c r="M102" s="492"/>
      <c r="N102" s="492"/>
      <c r="O102" s="492"/>
      <c r="P102" s="492"/>
      <c r="AA102" s="492"/>
      <c r="AB102" s="492"/>
      <c r="AC102" s="492"/>
      <c r="AD102" s="492"/>
      <c r="AE102" s="492"/>
      <c r="AF102" s="492"/>
      <c r="AG102" s="492"/>
      <c r="AH102" s="492"/>
      <c r="AI102" s="492"/>
      <c r="AJ102" s="492"/>
      <c r="AK102" s="492"/>
      <c r="AL102" s="492"/>
      <c r="AM102" s="492"/>
      <c r="AN102" s="492"/>
      <c r="AO102" s="492"/>
      <c r="AP102" s="492"/>
      <c r="AQ102" s="492"/>
      <c r="AR102" s="492"/>
    </row>
    <row r="103" spans="1:44" ht="12.75" customHeight="1" x14ac:dyDescent="0.25">
      <c r="A103" s="492"/>
      <c r="B103" s="492"/>
      <c r="C103" s="492"/>
      <c r="D103" s="492"/>
      <c r="E103" s="492"/>
      <c r="F103" s="492"/>
      <c r="G103" s="492"/>
      <c r="H103" s="492"/>
      <c r="I103" s="492"/>
      <c r="J103" s="492"/>
      <c r="K103" s="492"/>
      <c r="L103" s="492"/>
      <c r="M103" s="492"/>
      <c r="N103" s="492"/>
      <c r="O103" s="492"/>
      <c r="P103" s="492"/>
      <c r="AA103" s="492"/>
      <c r="AB103" s="492"/>
      <c r="AC103" s="492"/>
      <c r="AD103" s="492"/>
      <c r="AE103" s="492"/>
      <c r="AF103" s="492"/>
      <c r="AG103" s="492"/>
      <c r="AH103" s="492"/>
      <c r="AI103" s="492"/>
      <c r="AJ103" s="492"/>
      <c r="AK103" s="492"/>
      <c r="AL103" s="492"/>
      <c r="AM103" s="492"/>
      <c r="AN103" s="492"/>
      <c r="AO103" s="492"/>
      <c r="AP103" s="492"/>
      <c r="AQ103" s="492"/>
      <c r="AR103" s="492"/>
    </row>
    <row r="104" spans="1:44" ht="12.75" customHeight="1" x14ac:dyDescent="0.25">
      <c r="A104" s="492"/>
      <c r="B104" s="492"/>
      <c r="C104" s="492"/>
      <c r="D104" s="492"/>
      <c r="E104" s="492"/>
      <c r="F104" s="492"/>
      <c r="G104" s="492"/>
      <c r="H104" s="492"/>
      <c r="I104" s="492"/>
      <c r="J104" s="492"/>
      <c r="K104" s="492"/>
      <c r="L104" s="492"/>
      <c r="M104" s="492"/>
      <c r="N104" s="492"/>
      <c r="O104" s="492"/>
      <c r="P104" s="492"/>
      <c r="AA104" s="492"/>
      <c r="AB104" s="492"/>
      <c r="AC104" s="492"/>
      <c r="AD104" s="492"/>
      <c r="AE104" s="492"/>
      <c r="AF104" s="492"/>
      <c r="AG104" s="492"/>
      <c r="AH104" s="492"/>
      <c r="AI104" s="492"/>
      <c r="AJ104" s="492"/>
      <c r="AK104" s="492"/>
      <c r="AL104" s="492"/>
      <c r="AM104" s="492"/>
      <c r="AN104" s="492"/>
      <c r="AO104" s="492"/>
      <c r="AP104" s="492"/>
      <c r="AQ104" s="492"/>
      <c r="AR104" s="492"/>
    </row>
    <row r="105" spans="1:44" ht="12.75" customHeight="1" x14ac:dyDescent="0.25">
      <c r="A105" s="492"/>
      <c r="B105" s="492"/>
      <c r="C105" s="492"/>
      <c r="D105" s="492"/>
      <c r="E105" s="492"/>
      <c r="F105" s="492"/>
      <c r="G105" s="492"/>
      <c r="H105" s="492"/>
      <c r="I105" s="492"/>
      <c r="J105" s="492"/>
      <c r="K105" s="492"/>
      <c r="L105" s="492"/>
      <c r="M105" s="492"/>
      <c r="N105" s="492"/>
      <c r="O105" s="492"/>
      <c r="P105" s="492"/>
      <c r="AA105" s="492"/>
      <c r="AB105" s="492"/>
      <c r="AC105" s="492"/>
      <c r="AD105" s="492"/>
      <c r="AE105" s="492"/>
      <c r="AF105" s="492"/>
      <c r="AG105" s="492"/>
      <c r="AH105" s="492"/>
      <c r="AI105" s="492"/>
      <c r="AJ105" s="492"/>
      <c r="AK105" s="492"/>
      <c r="AL105" s="492"/>
      <c r="AM105" s="492"/>
      <c r="AN105" s="492"/>
      <c r="AO105" s="492"/>
      <c r="AP105" s="492"/>
      <c r="AQ105" s="492"/>
      <c r="AR105" s="492"/>
    </row>
    <row r="106" spans="1:44" ht="12.75" customHeight="1" x14ac:dyDescent="0.25">
      <c r="A106" s="492"/>
      <c r="B106" s="492"/>
      <c r="C106" s="492"/>
      <c r="D106" s="492"/>
      <c r="E106" s="492"/>
      <c r="F106" s="492"/>
      <c r="G106" s="492"/>
      <c r="H106" s="492"/>
      <c r="I106" s="492"/>
      <c r="J106" s="492"/>
      <c r="K106" s="492"/>
      <c r="L106" s="492"/>
      <c r="M106" s="492"/>
      <c r="N106" s="492"/>
      <c r="O106" s="492"/>
      <c r="P106" s="492"/>
      <c r="AA106" s="492"/>
      <c r="AB106" s="492"/>
      <c r="AC106" s="492"/>
      <c r="AD106" s="492"/>
      <c r="AE106" s="492"/>
      <c r="AF106" s="492"/>
      <c r="AG106" s="492"/>
      <c r="AH106" s="492"/>
      <c r="AI106" s="492"/>
      <c r="AJ106" s="492"/>
      <c r="AK106" s="492"/>
      <c r="AL106" s="492"/>
      <c r="AM106" s="492"/>
      <c r="AN106" s="492"/>
      <c r="AO106" s="492"/>
      <c r="AP106" s="492"/>
      <c r="AQ106" s="492"/>
      <c r="AR106" s="492"/>
    </row>
    <row r="107" spans="1:44" ht="12.75" customHeight="1" x14ac:dyDescent="0.25">
      <c r="A107" s="492"/>
      <c r="B107" s="492"/>
      <c r="C107" s="492"/>
      <c r="D107" s="492"/>
      <c r="E107" s="492"/>
      <c r="F107" s="492"/>
      <c r="G107" s="492"/>
      <c r="H107" s="492"/>
      <c r="I107" s="492"/>
      <c r="J107" s="492"/>
      <c r="K107" s="492"/>
      <c r="L107" s="492"/>
      <c r="M107" s="492"/>
      <c r="N107" s="492"/>
      <c r="O107" s="492"/>
      <c r="P107" s="492"/>
      <c r="AA107" s="492"/>
      <c r="AB107" s="492"/>
      <c r="AC107" s="492"/>
      <c r="AD107" s="492"/>
      <c r="AE107" s="492"/>
      <c r="AF107" s="492"/>
      <c r="AG107" s="492"/>
      <c r="AH107" s="492"/>
      <c r="AI107" s="492"/>
      <c r="AJ107" s="492"/>
      <c r="AK107" s="492"/>
      <c r="AL107" s="492"/>
      <c r="AM107" s="492"/>
      <c r="AN107" s="492"/>
      <c r="AO107" s="492"/>
      <c r="AP107" s="492"/>
      <c r="AQ107" s="492"/>
      <c r="AR107" s="492"/>
    </row>
    <row r="108" spans="1:44" ht="12.75" customHeight="1" x14ac:dyDescent="0.25">
      <c r="A108" s="492"/>
      <c r="B108" s="492"/>
      <c r="C108" s="492"/>
      <c r="D108" s="492"/>
      <c r="E108" s="492"/>
      <c r="F108" s="492"/>
      <c r="G108" s="492"/>
      <c r="H108" s="492"/>
      <c r="I108" s="492"/>
      <c r="J108" s="492"/>
      <c r="K108" s="492"/>
      <c r="L108" s="492"/>
      <c r="M108" s="492"/>
      <c r="N108" s="492"/>
      <c r="O108" s="492"/>
      <c r="P108" s="492"/>
      <c r="AA108" s="492"/>
      <c r="AB108" s="492"/>
      <c r="AC108" s="492"/>
      <c r="AD108" s="492"/>
      <c r="AE108" s="492"/>
      <c r="AF108" s="492"/>
      <c r="AG108" s="492"/>
      <c r="AH108" s="492"/>
      <c r="AI108" s="492"/>
      <c r="AJ108" s="492"/>
      <c r="AK108" s="492"/>
      <c r="AL108" s="492"/>
      <c r="AM108" s="492"/>
      <c r="AN108" s="492"/>
      <c r="AO108" s="492"/>
      <c r="AP108" s="492"/>
      <c r="AQ108" s="492"/>
      <c r="AR108" s="492"/>
    </row>
    <row r="109" spans="1:44" ht="12.75" customHeight="1" x14ac:dyDescent="0.25">
      <c r="A109" s="492"/>
      <c r="B109" s="492"/>
      <c r="C109" s="492"/>
      <c r="D109" s="492"/>
      <c r="E109" s="492"/>
      <c r="F109" s="492"/>
      <c r="G109" s="492"/>
      <c r="H109" s="492"/>
      <c r="I109" s="492"/>
      <c r="J109" s="492"/>
      <c r="K109" s="492"/>
      <c r="L109" s="492"/>
      <c r="M109" s="492"/>
      <c r="N109" s="492"/>
      <c r="O109" s="492"/>
      <c r="P109" s="492"/>
      <c r="AA109" s="492"/>
      <c r="AB109" s="492"/>
      <c r="AC109" s="492"/>
      <c r="AD109" s="492"/>
      <c r="AE109" s="492"/>
      <c r="AF109" s="492"/>
      <c r="AG109" s="492"/>
      <c r="AH109" s="492"/>
      <c r="AI109" s="492"/>
      <c r="AJ109" s="492"/>
      <c r="AK109" s="492"/>
      <c r="AL109" s="492"/>
      <c r="AM109" s="492"/>
      <c r="AN109" s="492"/>
      <c r="AO109" s="492"/>
      <c r="AP109" s="492"/>
      <c r="AQ109" s="492"/>
      <c r="AR109" s="492"/>
    </row>
    <row r="110" spans="1:44" ht="12.75" customHeight="1" x14ac:dyDescent="0.25">
      <c r="A110" s="492"/>
      <c r="B110" s="492"/>
      <c r="C110" s="492"/>
      <c r="D110" s="492"/>
      <c r="E110" s="492"/>
      <c r="F110" s="492"/>
      <c r="G110" s="492"/>
      <c r="H110" s="492"/>
      <c r="I110" s="492"/>
      <c r="J110" s="492"/>
      <c r="K110" s="492"/>
      <c r="L110" s="492"/>
      <c r="M110" s="492"/>
      <c r="N110" s="492"/>
      <c r="O110" s="492"/>
      <c r="P110" s="492"/>
      <c r="AA110" s="492"/>
      <c r="AB110" s="492"/>
      <c r="AC110" s="492"/>
      <c r="AD110" s="492"/>
      <c r="AE110" s="492"/>
      <c r="AF110" s="492"/>
      <c r="AG110" s="492"/>
      <c r="AH110" s="492"/>
      <c r="AI110" s="492"/>
      <c r="AJ110" s="492"/>
      <c r="AK110" s="492"/>
      <c r="AL110" s="492"/>
      <c r="AM110" s="492"/>
      <c r="AN110" s="492"/>
      <c r="AO110" s="492"/>
      <c r="AP110" s="492"/>
      <c r="AQ110" s="492"/>
      <c r="AR110" s="492"/>
    </row>
    <row r="111" spans="1:44" ht="12.75" customHeight="1" x14ac:dyDescent="0.25">
      <c r="A111" s="492"/>
      <c r="B111" s="492"/>
      <c r="C111" s="492"/>
      <c r="D111" s="492"/>
      <c r="E111" s="492"/>
      <c r="F111" s="492"/>
      <c r="G111" s="492"/>
      <c r="H111" s="492"/>
      <c r="I111" s="492"/>
      <c r="J111" s="492"/>
      <c r="K111" s="492"/>
      <c r="L111" s="492"/>
      <c r="M111" s="492"/>
      <c r="N111" s="492"/>
      <c r="O111" s="492"/>
      <c r="P111" s="492"/>
      <c r="AA111" s="492"/>
      <c r="AB111" s="492"/>
      <c r="AC111" s="492"/>
      <c r="AD111" s="492"/>
      <c r="AE111" s="492"/>
      <c r="AF111" s="492"/>
      <c r="AG111" s="492"/>
      <c r="AH111" s="492"/>
      <c r="AI111" s="492"/>
      <c r="AJ111" s="492"/>
      <c r="AK111" s="492"/>
      <c r="AL111" s="492"/>
      <c r="AM111" s="492"/>
      <c r="AN111" s="492"/>
      <c r="AO111" s="492"/>
      <c r="AP111" s="492"/>
      <c r="AQ111" s="492"/>
      <c r="AR111" s="492"/>
    </row>
    <row r="112" spans="1:44" ht="12.75" customHeight="1" x14ac:dyDescent="0.25">
      <c r="A112" s="492"/>
      <c r="B112" s="492"/>
      <c r="C112" s="492"/>
      <c r="D112" s="492"/>
      <c r="E112" s="492"/>
      <c r="F112" s="492"/>
      <c r="G112" s="492"/>
      <c r="H112" s="492"/>
      <c r="I112" s="492"/>
      <c r="J112" s="492"/>
      <c r="K112" s="492"/>
      <c r="L112" s="492"/>
      <c r="M112" s="492"/>
      <c r="N112" s="492"/>
      <c r="O112" s="492"/>
      <c r="P112" s="492"/>
      <c r="AA112" s="492"/>
      <c r="AB112" s="492"/>
      <c r="AC112" s="492"/>
      <c r="AD112" s="492"/>
      <c r="AE112" s="492"/>
      <c r="AF112" s="492"/>
      <c r="AG112" s="492"/>
      <c r="AH112" s="492"/>
      <c r="AI112" s="492"/>
      <c r="AJ112" s="492"/>
      <c r="AK112" s="492"/>
      <c r="AL112" s="492"/>
      <c r="AM112" s="492"/>
      <c r="AN112" s="492"/>
      <c r="AO112" s="492"/>
      <c r="AP112" s="492"/>
      <c r="AQ112" s="492"/>
      <c r="AR112" s="492"/>
    </row>
    <row r="113" spans="1:44" ht="12.75" customHeight="1" x14ac:dyDescent="0.25">
      <c r="A113" s="492"/>
      <c r="B113" s="492"/>
      <c r="C113" s="492"/>
      <c r="D113" s="492"/>
      <c r="E113" s="492"/>
      <c r="F113" s="492"/>
      <c r="G113" s="492"/>
      <c r="H113" s="492"/>
      <c r="I113" s="492"/>
      <c r="J113" s="492"/>
      <c r="K113" s="492"/>
      <c r="L113" s="492"/>
      <c r="M113" s="492"/>
      <c r="N113" s="492"/>
      <c r="O113" s="492"/>
      <c r="P113" s="492"/>
      <c r="AA113" s="492"/>
      <c r="AB113" s="492"/>
      <c r="AC113" s="492"/>
      <c r="AD113" s="492"/>
      <c r="AE113" s="492"/>
      <c r="AF113" s="492"/>
      <c r="AG113" s="492"/>
      <c r="AH113" s="492"/>
      <c r="AI113" s="492"/>
      <c r="AJ113" s="492"/>
      <c r="AK113" s="492"/>
      <c r="AL113" s="492"/>
      <c r="AM113" s="492"/>
      <c r="AN113" s="492"/>
      <c r="AO113" s="492"/>
      <c r="AP113" s="492"/>
      <c r="AQ113" s="492"/>
      <c r="AR113" s="492"/>
    </row>
    <row r="114" spans="1:44" ht="12.75" customHeight="1" x14ac:dyDescent="0.25">
      <c r="A114" s="492"/>
      <c r="B114" s="492"/>
      <c r="C114" s="492"/>
      <c r="D114" s="492"/>
      <c r="E114" s="492"/>
      <c r="F114" s="492"/>
      <c r="G114" s="492"/>
      <c r="H114" s="492"/>
      <c r="I114" s="492"/>
      <c r="J114" s="492"/>
      <c r="K114" s="492"/>
      <c r="L114" s="492"/>
      <c r="M114" s="492"/>
      <c r="N114" s="492"/>
      <c r="O114" s="492"/>
      <c r="P114" s="492"/>
      <c r="AA114" s="492"/>
      <c r="AB114" s="492"/>
      <c r="AC114" s="492"/>
      <c r="AD114" s="492"/>
      <c r="AE114" s="492"/>
      <c r="AF114" s="492"/>
      <c r="AG114" s="492"/>
      <c r="AH114" s="492"/>
      <c r="AI114" s="492"/>
      <c r="AJ114" s="492"/>
      <c r="AK114" s="492"/>
      <c r="AL114" s="492"/>
      <c r="AM114" s="492"/>
      <c r="AN114" s="492"/>
      <c r="AO114" s="492"/>
      <c r="AP114" s="492"/>
      <c r="AQ114" s="492"/>
      <c r="AR114" s="492"/>
    </row>
    <row r="115" spans="1:44" ht="12.75" customHeight="1" x14ac:dyDescent="0.25">
      <c r="A115" s="492"/>
      <c r="B115" s="492"/>
      <c r="C115" s="492"/>
      <c r="D115" s="492"/>
      <c r="E115" s="492"/>
      <c r="F115" s="492"/>
      <c r="G115" s="492"/>
      <c r="H115" s="492"/>
      <c r="I115" s="492"/>
      <c r="J115" s="492"/>
      <c r="K115" s="492"/>
      <c r="L115" s="492"/>
      <c r="M115" s="492"/>
      <c r="N115" s="492"/>
      <c r="O115" s="492"/>
      <c r="P115" s="492"/>
      <c r="AA115" s="492"/>
      <c r="AB115" s="492"/>
      <c r="AC115" s="492"/>
      <c r="AD115" s="492"/>
      <c r="AE115" s="492"/>
      <c r="AF115" s="492"/>
      <c r="AG115" s="492"/>
      <c r="AH115" s="492"/>
      <c r="AI115" s="492"/>
      <c r="AJ115" s="492"/>
      <c r="AK115" s="492"/>
      <c r="AL115" s="492"/>
      <c r="AM115" s="492"/>
      <c r="AN115" s="492"/>
      <c r="AO115" s="492"/>
      <c r="AP115" s="492"/>
      <c r="AQ115" s="492"/>
      <c r="AR115" s="492"/>
    </row>
    <row r="116" spans="1:44" ht="12.75" customHeight="1" x14ac:dyDescent="0.25">
      <c r="A116" s="492"/>
      <c r="B116" s="492"/>
      <c r="C116" s="492"/>
      <c r="D116" s="492"/>
      <c r="E116" s="492"/>
      <c r="F116" s="492"/>
      <c r="G116" s="492"/>
      <c r="H116" s="492"/>
      <c r="I116" s="492"/>
      <c r="J116" s="492"/>
      <c r="K116" s="492"/>
      <c r="L116" s="492"/>
      <c r="M116" s="492"/>
      <c r="N116" s="492"/>
      <c r="O116" s="492"/>
      <c r="P116" s="492"/>
      <c r="AA116" s="492"/>
      <c r="AB116" s="492"/>
      <c r="AC116" s="492"/>
      <c r="AD116" s="492"/>
      <c r="AE116" s="492"/>
      <c r="AF116" s="492"/>
      <c r="AG116" s="492"/>
      <c r="AH116" s="492"/>
      <c r="AI116" s="492"/>
      <c r="AJ116" s="492"/>
      <c r="AK116" s="492"/>
      <c r="AL116" s="492"/>
      <c r="AM116" s="492"/>
      <c r="AN116" s="492"/>
      <c r="AO116" s="492"/>
      <c r="AP116" s="492"/>
      <c r="AQ116" s="492"/>
      <c r="AR116" s="492"/>
    </row>
    <row r="117" spans="1:44" ht="12.75" customHeight="1" x14ac:dyDescent="0.25">
      <c r="A117" s="492"/>
      <c r="B117" s="492"/>
      <c r="C117" s="492"/>
      <c r="D117" s="492"/>
      <c r="E117" s="492"/>
      <c r="F117" s="492"/>
      <c r="G117" s="492"/>
      <c r="H117" s="492"/>
      <c r="I117" s="492"/>
      <c r="J117" s="492"/>
      <c r="K117" s="492"/>
      <c r="L117" s="492"/>
      <c r="M117" s="492"/>
      <c r="N117" s="492"/>
      <c r="O117" s="492"/>
      <c r="P117" s="492"/>
      <c r="AA117" s="492"/>
      <c r="AB117" s="492"/>
      <c r="AC117" s="492"/>
      <c r="AD117" s="492"/>
      <c r="AE117" s="492"/>
      <c r="AF117" s="492"/>
      <c r="AG117" s="492"/>
      <c r="AH117" s="492"/>
      <c r="AI117" s="492"/>
      <c r="AJ117" s="492"/>
      <c r="AK117" s="492"/>
      <c r="AL117" s="492"/>
      <c r="AM117" s="492"/>
      <c r="AN117" s="492"/>
      <c r="AO117" s="492"/>
      <c r="AP117" s="492"/>
      <c r="AQ117" s="492"/>
      <c r="AR117" s="492"/>
    </row>
    <row r="118" spans="1:44" ht="12.75" customHeight="1" x14ac:dyDescent="0.25">
      <c r="A118" s="492"/>
      <c r="B118" s="492"/>
      <c r="C118" s="492"/>
      <c r="D118" s="492"/>
      <c r="E118" s="492"/>
      <c r="F118" s="492"/>
      <c r="G118" s="492"/>
      <c r="H118" s="492"/>
      <c r="I118" s="492"/>
      <c r="J118" s="492"/>
      <c r="K118" s="492"/>
      <c r="L118" s="492"/>
      <c r="M118" s="492"/>
      <c r="N118" s="492"/>
      <c r="O118" s="492"/>
      <c r="P118" s="492"/>
      <c r="AA118" s="492"/>
      <c r="AB118" s="492"/>
      <c r="AC118" s="492"/>
      <c r="AD118" s="492"/>
      <c r="AE118" s="492"/>
      <c r="AF118" s="492"/>
      <c r="AG118" s="492"/>
      <c r="AH118" s="492"/>
      <c r="AI118" s="492"/>
      <c r="AJ118" s="492"/>
      <c r="AK118" s="492"/>
      <c r="AL118" s="492"/>
      <c r="AM118" s="492"/>
      <c r="AN118" s="492"/>
      <c r="AO118" s="492"/>
      <c r="AP118" s="492"/>
      <c r="AQ118" s="492"/>
      <c r="AR118" s="492"/>
    </row>
    <row r="119" spans="1:44" ht="12.75" customHeight="1" x14ac:dyDescent="0.25">
      <c r="A119" s="492"/>
      <c r="B119" s="492"/>
      <c r="C119" s="492"/>
      <c r="D119" s="492"/>
      <c r="E119" s="492"/>
      <c r="F119" s="492"/>
      <c r="G119" s="492"/>
      <c r="H119" s="492"/>
      <c r="I119" s="492"/>
      <c r="J119" s="492"/>
      <c r="K119" s="492"/>
      <c r="L119" s="492"/>
      <c r="M119" s="492"/>
      <c r="N119" s="492"/>
      <c r="O119" s="492"/>
      <c r="P119" s="492"/>
      <c r="AA119" s="492"/>
      <c r="AB119" s="492"/>
      <c r="AC119" s="492"/>
      <c r="AD119" s="492"/>
      <c r="AE119" s="492"/>
      <c r="AF119" s="492"/>
      <c r="AG119" s="492"/>
      <c r="AH119" s="492"/>
      <c r="AI119" s="492"/>
      <c r="AJ119" s="492"/>
      <c r="AK119" s="492"/>
      <c r="AL119" s="492"/>
      <c r="AM119" s="492"/>
      <c r="AN119" s="492"/>
      <c r="AO119" s="492"/>
      <c r="AP119" s="492"/>
      <c r="AQ119" s="492"/>
      <c r="AR119" s="492"/>
    </row>
    <row r="120" spans="1:44" ht="12.75" customHeight="1" x14ac:dyDescent="0.25">
      <c r="A120" s="492"/>
      <c r="B120" s="492"/>
      <c r="C120" s="492"/>
      <c r="D120" s="492"/>
      <c r="E120" s="492"/>
      <c r="F120" s="492"/>
      <c r="G120" s="492"/>
      <c r="H120" s="492"/>
      <c r="I120" s="492"/>
      <c r="J120" s="492"/>
      <c r="K120" s="492"/>
      <c r="L120" s="492"/>
      <c r="M120" s="492"/>
      <c r="N120" s="492"/>
      <c r="O120" s="492"/>
      <c r="P120" s="492"/>
      <c r="AA120" s="492"/>
      <c r="AB120" s="492"/>
      <c r="AC120" s="492"/>
      <c r="AD120" s="492"/>
      <c r="AE120" s="492"/>
      <c r="AF120" s="492"/>
      <c r="AG120" s="492"/>
      <c r="AH120" s="492"/>
      <c r="AI120" s="492"/>
      <c r="AJ120" s="492"/>
      <c r="AK120" s="492"/>
      <c r="AL120" s="492"/>
      <c r="AM120" s="492"/>
      <c r="AN120" s="492"/>
      <c r="AO120" s="492"/>
      <c r="AP120" s="492"/>
      <c r="AQ120" s="492"/>
      <c r="AR120" s="492"/>
    </row>
    <row r="121" spans="1:44" ht="12.75" customHeight="1" x14ac:dyDescent="0.25">
      <c r="A121" s="492"/>
      <c r="B121" s="492"/>
      <c r="C121" s="492"/>
      <c r="D121" s="492"/>
      <c r="E121" s="492"/>
      <c r="F121" s="492"/>
      <c r="G121" s="492"/>
      <c r="H121" s="492"/>
      <c r="I121" s="492"/>
      <c r="J121" s="492"/>
      <c r="K121" s="492"/>
      <c r="L121" s="492"/>
      <c r="M121" s="492"/>
      <c r="N121" s="492"/>
      <c r="O121" s="492"/>
      <c r="P121" s="492"/>
      <c r="AA121" s="492"/>
      <c r="AB121" s="492"/>
      <c r="AC121" s="492"/>
      <c r="AD121" s="492"/>
      <c r="AE121" s="492"/>
      <c r="AF121" s="492"/>
      <c r="AG121" s="492"/>
      <c r="AH121" s="492"/>
      <c r="AI121" s="492"/>
      <c r="AJ121" s="492"/>
      <c r="AK121" s="492"/>
      <c r="AL121" s="492"/>
      <c r="AM121" s="492"/>
      <c r="AN121" s="492"/>
      <c r="AO121" s="492"/>
      <c r="AP121" s="492"/>
      <c r="AQ121" s="492"/>
      <c r="AR121" s="492"/>
    </row>
    <row r="122" spans="1:44" ht="12.75" customHeight="1" x14ac:dyDescent="0.25">
      <c r="A122" s="492"/>
      <c r="B122" s="492"/>
      <c r="C122" s="492"/>
      <c r="D122" s="492"/>
      <c r="E122" s="492"/>
      <c r="F122" s="492"/>
      <c r="G122" s="492"/>
      <c r="H122" s="492"/>
      <c r="I122" s="492"/>
      <c r="J122" s="492"/>
      <c r="K122" s="492"/>
      <c r="L122" s="492"/>
      <c r="M122" s="492"/>
      <c r="N122" s="492"/>
      <c r="O122" s="492"/>
      <c r="P122" s="492"/>
      <c r="AA122" s="492"/>
      <c r="AB122" s="492"/>
      <c r="AC122" s="492"/>
      <c r="AD122" s="492"/>
      <c r="AE122" s="492"/>
      <c r="AF122" s="492"/>
      <c r="AG122" s="492"/>
      <c r="AH122" s="492"/>
      <c r="AI122" s="492"/>
      <c r="AJ122" s="492"/>
      <c r="AK122" s="492"/>
      <c r="AL122" s="492"/>
      <c r="AM122" s="492"/>
      <c r="AN122" s="492"/>
      <c r="AO122" s="492"/>
      <c r="AP122" s="492"/>
      <c r="AQ122" s="492"/>
      <c r="AR122" s="492"/>
    </row>
    <row r="123" spans="1:44" ht="12.75" customHeight="1" x14ac:dyDescent="0.25">
      <c r="A123" s="492"/>
      <c r="B123" s="492"/>
      <c r="C123" s="492"/>
      <c r="D123" s="492"/>
      <c r="E123" s="492"/>
      <c r="F123" s="492"/>
      <c r="G123" s="492"/>
      <c r="H123" s="492"/>
      <c r="I123" s="492"/>
      <c r="J123" s="492"/>
      <c r="K123" s="492"/>
      <c r="L123" s="492"/>
      <c r="M123" s="492"/>
      <c r="N123" s="492"/>
      <c r="O123" s="492"/>
      <c r="P123" s="492"/>
      <c r="AA123" s="492"/>
      <c r="AB123" s="492"/>
      <c r="AC123" s="492"/>
      <c r="AD123" s="492"/>
      <c r="AE123" s="492"/>
      <c r="AF123" s="492"/>
      <c r="AG123" s="492"/>
      <c r="AH123" s="492"/>
      <c r="AI123" s="492"/>
      <c r="AJ123" s="492"/>
      <c r="AK123" s="492"/>
      <c r="AL123" s="492"/>
      <c r="AM123" s="492"/>
      <c r="AN123" s="492"/>
      <c r="AO123" s="492"/>
      <c r="AP123" s="492"/>
      <c r="AQ123" s="492"/>
      <c r="AR123" s="492"/>
    </row>
    <row r="124" spans="1:44" ht="12.75" customHeight="1" x14ac:dyDescent="0.25">
      <c r="A124" s="492"/>
      <c r="B124" s="492"/>
      <c r="C124" s="492"/>
      <c r="D124" s="492"/>
      <c r="E124" s="492"/>
      <c r="F124" s="492"/>
      <c r="G124" s="492"/>
      <c r="H124" s="492"/>
      <c r="I124" s="492"/>
      <c r="J124" s="492"/>
      <c r="K124" s="492"/>
      <c r="L124" s="492"/>
      <c r="M124" s="492"/>
      <c r="N124" s="492"/>
      <c r="O124" s="492"/>
      <c r="P124" s="492"/>
      <c r="AA124" s="492"/>
      <c r="AB124" s="492"/>
      <c r="AC124" s="492"/>
      <c r="AD124" s="492"/>
      <c r="AE124" s="492"/>
      <c r="AF124" s="492"/>
      <c r="AG124" s="492"/>
      <c r="AH124" s="492"/>
      <c r="AI124" s="492"/>
      <c r="AJ124" s="492"/>
      <c r="AK124" s="492"/>
      <c r="AL124" s="492"/>
      <c r="AM124" s="492"/>
      <c r="AN124" s="492"/>
      <c r="AO124" s="492"/>
      <c r="AP124" s="492"/>
      <c r="AQ124" s="492"/>
      <c r="AR124" s="492"/>
    </row>
    <row r="125" spans="1:44" ht="12.75" customHeight="1" x14ac:dyDescent="0.25">
      <c r="A125" s="492"/>
      <c r="B125" s="492"/>
      <c r="C125" s="492"/>
      <c r="D125" s="492"/>
      <c r="E125" s="492"/>
      <c r="F125" s="492"/>
      <c r="G125" s="492"/>
      <c r="H125" s="492"/>
      <c r="I125" s="492"/>
      <c r="J125" s="492"/>
      <c r="K125" s="492"/>
      <c r="L125" s="492"/>
      <c r="M125" s="492"/>
      <c r="N125" s="492"/>
      <c r="O125" s="492"/>
      <c r="P125" s="492"/>
      <c r="AA125" s="492"/>
      <c r="AB125" s="492"/>
      <c r="AC125" s="492"/>
      <c r="AD125" s="492"/>
      <c r="AE125" s="492"/>
      <c r="AF125" s="492"/>
      <c r="AG125" s="492"/>
      <c r="AH125" s="492"/>
      <c r="AI125" s="492"/>
      <c r="AJ125" s="492"/>
      <c r="AK125" s="492"/>
      <c r="AL125" s="492"/>
      <c r="AM125" s="492"/>
      <c r="AN125" s="492"/>
      <c r="AO125" s="492"/>
      <c r="AP125" s="492"/>
      <c r="AQ125" s="492"/>
      <c r="AR125" s="492"/>
    </row>
    <row r="126" spans="1:44" ht="12.75" customHeight="1" x14ac:dyDescent="0.25">
      <c r="A126" s="492"/>
      <c r="B126" s="492"/>
      <c r="C126" s="492"/>
      <c r="D126" s="492"/>
      <c r="E126" s="492"/>
      <c r="F126" s="492"/>
      <c r="G126" s="492"/>
      <c r="H126" s="492"/>
      <c r="I126" s="492"/>
      <c r="J126" s="492"/>
      <c r="K126" s="492"/>
      <c r="L126" s="492"/>
      <c r="M126" s="492"/>
      <c r="N126" s="492"/>
      <c r="O126" s="492"/>
      <c r="P126" s="492"/>
      <c r="AA126" s="492"/>
      <c r="AB126" s="492"/>
      <c r="AC126" s="492"/>
      <c r="AD126" s="492"/>
      <c r="AE126" s="492"/>
      <c r="AF126" s="492"/>
      <c r="AG126" s="492"/>
      <c r="AH126" s="492"/>
      <c r="AI126" s="492"/>
      <c r="AJ126" s="492"/>
      <c r="AK126" s="492"/>
      <c r="AL126" s="492"/>
      <c r="AM126" s="492"/>
      <c r="AN126" s="492"/>
      <c r="AO126" s="492"/>
      <c r="AP126" s="492"/>
      <c r="AQ126" s="492"/>
      <c r="AR126" s="492"/>
    </row>
    <row r="127" spans="1:44" ht="12.75" customHeight="1" x14ac:dyDescent="0.25">
      <c r="A127" s="492"/>
      <c r="B127" s="492"/>
      <c r="C127" s="492"/>
      <c r="D127" s="492"/>
      <c r="E127" s="492"/>
      <c r="F127" s="492"/>
      <c r="G127" s="492"/>
      <c r="H127" s="492"/>
      <c r="I127" s="492"/>
      <c r="J127" s="492"/>
      <c r="K127" s="492"/>
      <c r="L127" s="492"/>
      <c r="M127" s="492"/>
      <c r="N127" s="492"/>
      <c r="O127" s="492"/>
      <c r="P127" s="492"/>
      <c r="AA127" s="492"/>
      <c r="AB127" s="492"/>
      <c r="AC127" s="492"/>
      <c r="AD127" s="492"/>
      <c r="AE127" s="492"/>
      <c r="AF127" s="492"/>
      <c r="AG127" s="492"/>
      <c r="AH127" s="492"/>
      <c r="AI127" s="492"/>
      <c r="AJ127" s="492"/>
      <c r="AK127" s="492"/>
      <c r="AL127" s="492"/>
      <c r="AM127" s="492"/>
      <c r="AN127" s="492"/>
      <c r="AO127" s="492"/>
      <c r="AP127" s="492"/>
      <c r="AQ127" s="492"/>
      <c r="AR127" s="492"/>
    </row>
    <row r="128" spans="1:44" ht="12.75" customHeight="1" x14ac:dyDescent="0.25">
      <c r="A128" s="492"/>
      <c r="B128" s="492"/>
      <c r="C128" s="492"/>
      <c r="D128" s="492"/>
      <c r="E128" s="492"/>
      <c r="F128" s="492"/>
      <c r="G128" s="492"/>
      <c r="H128" s="492"/>
      <c r="I128" s="492"/>
      <c r="J128" s="492"/>
      <c r="K128" s="492"/>
      <c r="L128" s="492"/>
      <c r="M128" s="492"/>
      <c r="N128" s="492"/>
      <c r="O128" s="492"/>
      <c r="P128" s="492"/>
      <c r="AA128" s="492"/>
      <c r="AB128" s="492"/>
      <c r="AC128" s="492"/>
      <c r="AD128" s="492"/>
      <c r="AE128" s="492"/>
      <c r="AF128" s="492"/>
      <c r="AG128" s="492"/>
      <c r="AH128" s="492"/>
      <c r="AI128" s="492"/>
      <c r="AJ128" s="492"/>
      <c r="AK128" s="492"/>
      <c r="AL128" s="492"/>
      <c r="AM128" s="492"/>
      <c r="AN128" s="492"/>
      <c r="AO128" s="492"/>
      <c r="AP128" s="492"/>
      <c r="AQ128" s="492"/>
      <c r="AR128" s="492"/>
    </row>
    <row r="129" spans="1:44" ht="12.75" customHeight="1" x14ac:dyDescent="0.25">
      <c r="A129" s="492"/>
      <c r="B129" s="492"/>
      <c r="C129" s="492"/>
      <c r="D129" s="492"/>
      <c r="E129" s="492"/>
      <c r="F129" s="492"/>
      <c r="G129" s="492"/>
      <c r="H129" s="492"/>
      <c r="I129" s="492"/>
      <c r="J129" s="492"/>
      <c r="K129" s="492"/>
      <c r="L129" s="492"/>
      <c r="M129" s="492"/>
      <c r="N129" s="492"/>
      <c r="O129" s="492"/>
      <c r="P129" s="492"/>
      <c r="AA129" s="492"/>
      <c r="AB129" s="492"/>
      <c r="AC129" s="492"/>
      <c r="AD129" s="492"/>
      <c r="AE129" s="492"/>
      <c r="AF129" s="492"/>
      <c r="AG129" s="492"/>
      <c r="AH129" s="492"/>
      <c r="AI129" s="492"/>
      <c r="AJ129" s="492"/>
      <c r="AK129" s="492"/>
      <c r="AL129" s="492"/>
      <c r="AM129" s="492"/>
      <c r="AN129" s="492"/>
      <c r="AO129" s="492"/>
      <c r="AP129" s="492"/>
      <c r="AQ129" s="492"/>
      <c r="AR129" s="492"/>
    </row>
    <row r="130" spans="1:44" ht="12.75" customHeight="1" x14ac:dyDescent="0.25">
      <c r="A130" s="492"/>
      <c r="B130" s="492"/>
      <c r="C130" s="492"/>
      <c r="D130" s="492"/>
      <c r="E130" s="492"/>
      <c r="F130" s="492"/>
      <c r="G130" s="492"/>
      <c r="H130" s="492"/>
      <c r="I130" s="492"/>
      <c r="J130" s="492"/>
      <c r="K130" s="492"/>
      <c r="L130" s="492"/>
      <c r="M130" s="492"/>
      <c r="N130" s="492"/>
      <c r="O130" s="492"/>
      <c r="P130" s="492"/>
      <c r="AA130" s="492"/>
      <c r="AB130" s="492"/>
      <c r="AC130" s="492"/>
      <c r="AD130" s="492"/>
      <c r="AE130" s="492"/>
      <c r="AF130" s="492"/>
      <c r="AG130" s="492"/>
      <c r="AH130" s="492"/>
      <c r="AI130" s="492"/>
      <c r="AJ130" s="492"/>
      <c r="AK130" s="492"/>
      <c r="AL130" s="492"/>
      <c r="AM130" s="492"/>
      <c r="AN130" s="492"/>
      <c r="AO130" s="492"/>
      <c r="AP130" s="492"/>
      <c r="AQ130" s="492"/>
      <c r="AR130" s="492"/>
    </row>
    <row r="131" spans="1:44" ht="12.75" customHeight="1" x14ac:dyDescent="0.25">
      <c r="A131" s="492"/>
      <c r="B131" s="492"/>
      <c r="C131" s="492"/>
      <c r="D131" s="492"/>
      <c r="E131" s="492"/>
      <c r="F131" s="492"/>
      <c r="G131" s="492"/>
      <c r="H131" s="492"/>
      <c r="I131" s="492"/>
      <c r="J131" s="492"/>
      <c r="K131" s="492"/>
      <c r="L131" s="492"/>
      <c r="M131" s="492"/>
      <c r="N131" s="492"/>
      <c r="O131" s="492"/>
      <c r="P131" s="492"/>
      <c r="AA131" s="492"/>
      <c r="AB131" s="492"/>
      <c r="AC131" s="492"/>
      <c r="AD131" s="492"/>
      <c r="AE131" s="492"/>
      <c r="AF131" s="492"/>
      <c r="AG131" s="492"/>
      <c r="AH131" s="492"/>
      <c r="AI131" s="492"/>
      <c r="AJ131" s="492"/>
      <c r="AK131" s="492"/>
      <c r="AL131" s="492"/>
      <c r="AM131" s="492"/>
      <c r="AN131" s="492"/>
      <c r="AO131" s="492"/>
      <c r="AP131" s="492"/>
      <c r="AQ131" s="492"/>
      <c r="AR131" s="492"/>
    </row>
    <row r="132" spans="1:44" ht="12.75" customHeight="1" x14ac:dyDescent="0.25">
      <c r="A132" s="492"/>
      <c r="B132" s="492"/>
      <c r="C132" s="492"/>
      <c r="D132" s="492"/>
      <c r="E132" s="492"/>
      <c r="F132" s="492"/>
      <c r="G132" s="492"/>
      <c r="H132" s="492"/>
      <c r="I132" s="492"/>
      <c r="J132" s="492"/>
      <c r="K132" s="492"/>
      <c r="L132" s="492"/>
      <c r="M132" s="492"/>
      <c r="N132" s="492"/>
      <c r="O132" s="492"/>
      <c r="P132" s="492"/>
      <c r="AA132" s="492"/>
      <c r="AB132" s="492"/>
      <c r="AC132" s="492"/>
      <c r="AD132" s="492"/>
      <c r="AE132" s="492"/>
      <c r="AF132" s="492"/>
      <c r="AG132" s="492"/>
      <c r="AH132" s="492"/>
      <c r="AI132" s="492"/>
      <c r="AJ132" s="492"/>
      <c r="AK132" s="492"/>
      <c r="AL132" s="492"/>
      <c r="AM132" s="492"/>
      <c r="AN132" s="492"/>
      <c r="AO132" s="492"/>
      <c r="AP132" s="492"/>
      <c r="AQ132" s="492"/>
      <c r="AR132" s="492"/>
    </row>
    <row r="133" spans="1:44" ht="12.75" customHeight="1" x14ac:dyDescent="0.25">
      <c r="A133" s="492"/>
      <c r="B133" s="492"/>
      <c r="C133" s="492"/>
      <c r="D133" s="492"/>
      <c r="E133" s="492"/>
      <c r="F133" s="492"/>
      <c r="G133" s="492"/>
      <c r="H133" s="492"/>
      <c r="I133" s="492"/>
      <c r="J133" s="492"/>
      <c r="K133" s="492"/>
      <c r="L133" s="492"/>
      <c r="M133" s="492"/>
      <c r="N133" s="492"/>
      <c r="O133" s="492"/>
      <c r="P133" s="492"/>
      <c r="AA133" s="492"/>
      <c r="AB133" s="492"/>
      <c r="AC133" s="492"/>
      <c r="AD133" s="492"/>
      <c r="AE133" s="492"/>
      <c r="AF133" s="492"/>
      <c r="AG133" s="492"/>
      <c r="AH133" s="492"/>
      <c r="AI133" s="492"/>
      <c r="AJ133" s="492"/>
      <c r="AK133" s="492"/>
      <c r="AL133" s="492"/>
      <c r="AM133" s="492"/>
      <c r="AN133" s="492"/>
      <c r="AO133" s="492"/>
      <c r="AP133" s="492"/>
      <c r="AQ133" s="492"/>
      <c r="AR133" s="492"/>
    </row>
    <row r="134" spans="1:44" ht="12.75" customHeight="1" x14ac:dyDescent="0.25">
      <c r="A134" s="492"/>
      <c r="B134" s="492"/>
      <c r="C134" s="492"/>
      <c r="D134" s="492"/>
      <c r="E134" s="492"/>
      <c r="F134" s="492"/>
      <c r="G134" s="492"/>
      <c r="H134" s="492"/>
      <c r="I134" s="492"/>
      <c r="J134" s="492"/>
      <c r="K134" s="492"/>
      <c r="L134" s="492"/>
      <c r="M134" s="492"/>
      <c r="N134" s="492"/>
      <c r="O134" s="492"/>
      <c r="P134" s="492"/>
      <c r="AA134" s="492"/>
      <c r="AB134" s="492"/>
      <c r="AC134" s="492"/>
      <c r="AD134" s="492"/>
      <c r="AE134" s="492"/>
      <c r="AF134" s="492"/>
      <c r="AG134" s="492"/>
      <c r="AH134" s="492"/>
      <c r="AI134" s="492"/>
      <c r="AJ134" s="492"/>
      <c r="AK134" s="492"/>
      <c r="AL134" s="492"/>
      <c r="AM134" s="492"/>
      <c r="AN134" s="492"/>
      <c r="AO134" s="492"/>
      <c r="AP134" s="492"/>
      <c r="AQ134" s="492"/>
      <c r="AR134" s="492"/>
    </row>
    <row r="135" spans="1:44" ht="12.75" customHeight="1" x14ac:dyDescent="0.25">
      <c r="E135" s="256"/>
      <c r="F135" s="256"/>
      <c r="G135" s="256"/>
      <c r="I135" s="256"/>
    </row>
    <row r="136" spans="1:44" ht="12.75" customHeight="1" x14ac:dyDescent="0.25">
      <c r="E136" s="256"/>
      <c r="F136" s="256"/>
      <c r="G136" s="256"/>
      <c r="I136" s="256"/>
    </row>
    <row r="137" spans="1:44" ht="12.75" customHeight="1" x14ac:dyDescent="0.25">
      <c r="E137" s="256"/>
      <c r="F137" s="256"/>
      <c r="G137" s="256"/>
      <c r="I137" s="256"/>
    </row>
  </sheetData>
  <sheetProtection password="BCD8" sheet="1" objects="1" scenarios="1"/>
  <phoneticPr fontId="0" type="noConversion"/>
  <conditionalFormatting sqref="C24:C29">
    <cfRule type="cellIs" dxfId="175" priority="2" stopIfTrue="1" operator="equal">
      <formula>"&gt;"</formula>
    </cfRule>
  </conditionalFormatting>
  <conditionalFormatting sqref="D24:G29">
    <cfRule type="expression" dxfId="174"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21" r:id="rId4" name="home">
              <controlPr defaultSize="0" print="0" autoFill="0" autoPict="0" macro="[0]!globalgoto">
                <anchor moveWithCells="1" sizeWithCells="1">
                  <from>
                    <xdr:col>0</xdr:col>
                    <xdr:colOff>88900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30722" r:id="rId5" name="basic">
              <controlPr defaultSize="0" print="0" autoFill="0" autoPict="0" macro="[0]!globalgoto">
                <anchor moveWithCells="1" sizeWithCells="1">
                  <from>
                    <xdr:col>0</xdr:col>
                    <xdr:colOff>88900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30723" r:id="rId6" name="Button 3">
              <controlPr defaultSize="0" print="0" autoFill="0" autoPict="0" macro="[0]!goto_next_year_any_sheet">
                <anchor moveWithCells="1" sizeWithCells="1">
                  <from>
                    <xdr:col>0</xdr:col>
                    <xdr:colOff>107950</xdr:colOff>
                    <xdr:row>19</xdr:row>
                    <xdr:rowOff>12700</xdr:rowOff>
                  </from>
                  <to>
                    <xdr:col>0</xdr:col>
                    <xdr:colOff>1066800</xdr:colOff>
                    <xdr:row>22</xdr:row>
                    <xdr:rowOff>114300</xdr:rowOff>
                  </to>
                </anchor>
              </controlPr>
            </control>
          </mc:Choice>
        </mc:AlternateContent>
        <mc:AlternateContent xmlns:mc="http://schemas.openxmlformats.org/markup-compatibility/2006">
          <mc:Choice Requires="x14">
            <control shapeId="30724" r:id="rId7" name="Button 4">
              <controlPr defaultSize="0" print="0" autoFill="0" autoPict="0" macro="[0]!goto_previous_year_any_sheet">
                <anchor moveWithCells="1" sizeWithCells="1">
                  <from>
                    <xdr:col>0</xdr:col>
                    <xdr:colOff>107950</xdr:colOff>
                    <xdr:row>23</xdr:row>
                    <xdr:rowOff>12700</xdr:rowOff>
                  </from>
                  <to>
                    <xdr:col>0</xdr:col>
                    <xdr:colOff>1066800</xdr:colOff>
                    <xdr:row>26</xdr:row>
                    <xdr:rowOff>114300</xdr:rowOff>
                  </to>
                </anchor>
              </controlPr>
            </control>
          </mc:Choice>
        </mc:AlternateContent>
        <mc:AlternateContent xmlns:mc="http://schemas.openxmlformats.org/markup-compatibility/2006">
          <mc:Choice Requires="x14">
            <control shapeId="30725" r:id="rId8" name="Button 5">
              <controlPr defaultSize="0" print="0" autoFill="0" autoPict="0" macro="[0]!goto_next_year_any_sheet">
                <anchor moveWithCells="1" sizeWithCells="1">
                  <from>
                    <xdr:col>10</xdr:col>
                    <xdr:colOff>101600</xdr:colOff>
                    <xdr:row>2</xdr:row>
                    <xdr:rowOff>127000</xdr:rowOff>
                  </from>
                  <to>
                    <xdr:col>11</xdr:col>
                    <xdr:colOff>419100</xdr:colOff>
                    <xdr:row>4</xdr:row>
                    <xdr:rowOff>63500</xdr:rowOff>
                  </to>
                </anchor>
              </controlPr>
            </control>
          </mc:Choice>
        </mc:AlternateContent>
        <mc:AlternateContent xmlns:mc="http://schemas.openxmlformats.org/markup-compatibility/2006">
          <mc:Choice Requires="x14">
            <control shapeId="30726" r:id="rId9" name="Button 6">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30727" r:id="rId10" name="Button 7">
              <controlPr defaultSize="0" print="0" autoFill="0" autoPict="0" macro="[0]!copy_as_excel">
                <anchor moveWithCells="1" sizeWithCells="1">
                  <from>
                    <xdr:col>10</xdr:col>
                    <xdr:colOff>38100</xdr:colOff>
                    <xdr:row>11</xdr:row>
                    <xdr:rowOff>88900</xdr:rowOff>
                  </from>
                  <to>
                    <xdr:col>11</xdr:col>
                    <xdr:colOff>88900</xdr:colOff>
                    <xdr:row>13</xdr:row>
                    <xdr:rowOff>146050</xdr:rowOff>
                  </to>
                </anchor>
              </controlPr>
            </control>
          </mc:Choice>
        </mc:AlternateContent>
        <mc:AlternateContent xmlns:mc="http://schemas.openxmlformats.org/markup-compatibility/2006">
          <mc:Choice Requires="x14">
            <control shapeId="30728" r:id="rId11" name="Button 8">
              <controlPr defaultSize="0" print="0" autoFill="0" autoPict="0" macro="[0]!pdflauncher">
                <anchor moveWithCells="1" sizeWithCells="1">
                  <from>
                    <xdr:col>11</xdr:col>
                    <xdr:colOff>101600</xdr:colOff>
                    <xdr:row>11</xdr:row>
                    <xdr:rowOff>88900</xdr:rowOff>
                  </from>
                  <to>
                    <xdr:col>11</xdr:col>
                    <xdr:colOff>787400</xdr:colOff>
                    <xdr:row>13</xdr:row>
                    <xdr:rowOff>146050</xdr:rowOff>
                  </to>
                </anchor>
              </controlPr>
            </control>
          </mc:Choice>
        </mc:AlternateContent>
        <mc:AlternateContent xmlns:mc="http://schemas.openxmlformats.org/markup-compatibility/2006">
          <mc:Choice Requires="x14">
            <control shapeId="30729" r:id="rId12" name="Button 9">
              <controlPr defaultSize="0" print="0" autoFill="0" autoPict="0" macro="[0]!openfolder">
                <anchor moveWithCells="1" sizeWithCells="1">
                  <from>
                    <xdr:col>11</xdr:col>
                    <xdr:colOff>793750</xdr:colOff>
                    <xdr:row>11</xdr:row>
                    <xdr:rowOff>88900</xdr:rowOff>
                  </from>
                  <to>
                    <xdr:col>12</xdr:col>
                    <xdr:colOff>508000</xdr:colOff>
                    <xdr:row>13</xdr:row>
                    <xdr:rowOff>146050</xdr:rowOff>
                  </to>
                </anchor>
              </controlPr>
            </control>
          </mc:Choice>
        </mc:AlternateContent>
        <mc:AlternateContent xmlns:mc="http://schemas.openxmlformats.org/markup-compatibility/2006">
          <mc:Choice Requires="x14">
            <control shapeId="30730" r:id="rId13" name="Button 10">
              <controlPr defaultSize="0" print="0" autoFill="0" autoPict="0" macro="[0]!goto_folder_settings">
                <anchor moveWithCells="1" sizeWithCells="1">
                  <from>
                    <xdr:col>12</xdr:col>
                    <xdr:colOff>520700</xdr:colOff>
                    <xdr:row>11</xdr:row>
                    <xdr:rowOff>88900</xdr:rowOff>
                  </from>
                  <to>
                    <xdr:col>12</xdr:col>
                    <xdr:colOff>1041400</xdr:colOff>
                    <xdr:row>13</xdr:row>
                    <xdr:rowOff>146050</xdr:rowOff>
                  </to>
                </anchor>
              </controlPr>
            </control>
          </mc:Choice>
        </mc:AlternateContent>
        <mc:AlternateContent xmlns:mc="http://schemas.openxmlformats.org/markup-compatibility/2006">
          <mc:Choice Requires="x14">
            <control shapeId="30731" r:id="rId14" name="Button 11">
              <controlPr defaultSize="0" print="0" autoFill="0" autoPict="0" macro="[0]!email_pdf_launch">
                <anchor moveWithCells="1" sizeWithCells="1">
                  <from>
                    <xdr:col>11</xdr:col>
                    <xdr:colOff>241300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30732" r:id="rId15" name="Button 12">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30733" r:id="rId16" name="Button 13">
              <controlPr defaultSize="0" print="0" autoFill="0" autoPict="0" macro="[0]!emailsettings">
                <anchor moveWithCells="1" sizeWithCells="1">
                  <from>
                    <xdr:col>12</xdr:col>
                    <xdr:colOff>127000</xdr:colOff>
                    <xdr:row>9</xdr:row>
                    <xdr:rowOff>120650</xdr:rowOff>
                  </from>
                  <to>
                    <xdr:col>12</xdr:col>
                    <xdr:colOff>1041400</xdr:colOff>
                    <xdr:row>11</xdr:row>
                    <xdr:rowOff>82550</xdr:rowOff>
                  </to>
                </anchor>
              </controlPr>
            </control>
          </mc:Choice>
        </mc:AlternateContent>
        <mc:AlternateContent xmlns:mc="http://schemas.openxmlformats.org/markup-compatibility/2006">
          <mc:Choice Requires="x14">
            <control shapeId="30734" r:id="rId17" name="Button 14">
              <controlPr defaultSize="0" print="0" autoFill="0" autoPict="0" macro="[0]!goto_other_analysis">
                <anchor moveWithCells="1" sizeWithCells="1">
                  <from>
                    <xdr:col>10</xdr:col>
                    <xdr:colOff>127000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30735" r:id="rId18" name="Button 15">
              <controlPr defaultSize="0" print="0" autoFill="0" autoPict="0" macro="[0]!goto_basic_analysis_original">
                <anchor moveWithCells="1" sizeWithCells="1">
                  <from>
                    <xdr:col>10</xdr:col>
                    <xdr:colOff>127000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30736" r:id="rId19"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mc:AlternateContent xmlns:mc="http://schemas.openxmlformats.org/markup-compatibility/2006">
          <mc:Choice Requires="x14">
            <control shapeId="30738" r:id="rId20" name="troyr1">
              <controlPr defaultSize="0" print="0" autoFill="0" autoPict="0" macro="[0]!goto_basic_analysis_original">
                <anchor moveWithCells="1" sizeWithCells="1">
                  <from>
                    <xdr:col>3</xdr:col>
                    <xdr:colOff>1593850</xdr:colOff>
                    <xdr:row>44</xdr:row>
                    <xdr:rowOff>139700</xdr:rowOff>
                  </from>
                  <to>
                    <xdr:col>5</xdr:col>
                    <xdr:colOff>901700</xdr:colOff>
                    <xdr:row>46</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D2A0B-AAEC-4268-AE93-4F9C05C633F8}">
  <sheetPr codeName="Sheet69">
    <pageSetUpPr fitToPage="1"/>
  </sheetPr>
  <dimension ref="A1:AR137"/>
  <sheetViews>
    <sheetView showGridLines="0" workbookViewId="0">
      <selection activeCell="L11" sqref="L11"/>
    </sheetView>
  </sheetViews>
  <sheetFormatPr defaultColWidth="9.08984375" defaultRowHeight="12.75" customHeight="1" x14ac:dyDescent="0.25"/>
  <cols>
    <col min="1" max="1" width="16.6328125" style="256" customWidth="1"/>
    <col min="2" max="2" width="2.6328125" style="256" customWidth="1"/>
    <col min="3" max="3" width="11.6328125" style="256" customWidth="1"/>
    <col min="4" max="4" width="23.453125" style="256" customWidth="1"/>
    <col min="5" max="5" width="12.08984375" style="273" customWidth="1"/>
    <col min="6" max="6" width="16.08984375" style="273" customWidth="1"/>
    <col min="7" max="7" width="10.6328125" style="273" customWidth="1"/>
    <col min="8" max="8" width="12.36328125" style="256" customWidth="1"/>
    <col min="9" max="9" width="12.453125" style="475" customWidth="1"/>
    <col min="10" max="10" width="2.54296875" style="256" customWidth="1"/>
    <col min="11" max="11" width="9.36328125" style="256" customWidth="1"/>
    <col min="12" max="12" width="11.90625" style="256" customWidth="1"/>
    <col min="13" max="13" width="15.6328125" style="256" customWidth="1"/>
    <col min="14" max="16" width="9.08984375" style="256"/>
    <col min="17" max="19" width="9.08984375" style="256" hidden="1" customWidth="1"/>
    <col min="20" max="20" width="17.453125" style="256" hidden="1" customWidth="1"/>
    <col min="21" max="26" width="9.08984375" style="256" hidden="1" customWidth="1"/>
    <col min="27" max="16384" width="9.08984375" style="256"/>
  </cols>
  <sheetData>
    <row r="1" spans="1:44" ht="12.5" x14ac:dyDescent="0.25">
      <c r="A1" s="581"/>
      <c r="B1" s="581"/>
      <c r="C1" s="581"/>
      <c r="D1" s="581"/>
      <c r="E1" s="582"/>
      <c r="F1" s="582"/>
      <c r="G1" s="582"/>
      <c r="H1" s="581"/>
      <c r="I1" s="583"/>
      <c r="J1" s="581"/>
      <c r="K1" s="581"/>
      <c r="L1" s="581"/>
      <c r="M1" s="581"/>
      <c r="N1" s="581"/>
      <c r="O1" s="581"/>
      <c r="P1" s="581"/>
      <c r="AA1" s="581"/>
      <c r="AB1" s="581"/>
      <c r="AC1" s="581"/>
      <c r="AD1" s="581"/>
      <c r="AE1" s="581"/>
      <c r="AF1" s="581"/>
      <c r="AG1" s="581"/>
      <c r="AH1" s="581"/>
      <c r="AI1" s="581"/>
      <c r="AJ1" s="581"/>
      <c r="AK1" s="581"/>
      <c r="AL1" s="581"/>
      <c r="AM1" s="581"/>
      <c r="AN1" s="581"/>
      <c r="AO1" s="581"/>
      <c r="AP1" s="581"/>
      <c r="AQ1" s="581"/>
      <c r="AR1" s="581"/>
    </row>
    <row r="2" spans="1:44" ht="12.5" x14ac:dyDescent="0.25">
      <c r="A2" s="581"/>
      <c r="B2" s="581"/>
      <c r="C2" s="581"/>
      <c r="D2" s="581"/>
      <c r="E2" s="582"/>
      <c r="F2" s="582"/>
      <c r="G2" s="582"/>
      <c r="H2" s="581"/>
      <c r="I2" s="583"/>
      <c r="J2" s="581"/>
      <c r="K2" s="581"/>
      <c r="L2" s="581"/>
      <c r="M2" s="581"/>
      <c r="N2" s="581"/>
      <c r="O2" s="581"/>
      <c r="P2" s="581"/>
      <c r="AA2" s="581"/>
      <c r="AB2" s="581"/>
      <c r="AC2" s="581"/>
      <c r="AD2" s="581"/>
      <c r="AE2" s="581"/>
      <c r="AF2" s="581"/>
      <c r="AG2" s="581"/>
      <c r="AH2" s="581"/>
      <c r="AI2" s="581"/>
      <c r="AJ2" s="581"/>
      <c r="AK2" s="581"/>
      <c r="AL2" s="581"/>
      <c r="AM2" s="581"/>
      <c r="AN2" s="581"/>
      <c r="AO2" s="581"/>
      <c r="AP2" s="581"/>
      <c r="AQ2" s="581"/>
      <c r="AR2" s="581"/>
    </row>
    <row r="3" spans="1:44" ht="12.5" x14ac:dyDescent="0.25">
      <c r="A3" s="581"/>
      <c r="K3" s="581"/>
      <c r="L3" s="581"/>
      <c r="M3" s="581"/>
      <c r="N3" s="581"/>
      <c r="O3" s="581"/>
      <c r="P3" s="581"/>
      <c r="AA3" s="581"/>
      <c r="AB3" s="581"/>
      <c r="AC3" s="581"/>
      <c r="AD3" s="581"/>
      <c r="AE3" s="581"/>
      <c r="AF3" s="581"/>
      <c r="AG3" s="581"/>
      <c r="AH3" s="581"/>
      <c r="AI3" s="581"/>
      <c r="AJ3" s="581"/>
      <c r="AK3" s="581"/>
      <c r="AL3" s="581"/>
      <c r="AM3" s="581"/>
      <c r="AN3" s="581"/>
      <c r="AO3" s="581"/>
      <c r="AP3" s="581"/>
      <c r="AQ3" s="581"/>
      <c r="AR3" s="581"/>
    </row>
    <row r="4" spans="1:44" ht="15.5" x14ac:dyDescent="0.35">
      <c r="A4" s="581"/>
      <c r="C4" s="488" t="str">
        <f>"Transitional Arrangements Calculation - "&amp;C10</f>
        <v xml:space="preserve">Transitional Arrangements Calculation - 2024/25 </v>
      </c>
      <c r="H4" s="579" t="str">
        <f>basic!D22</f>
        <v>England</v>
      </c>
      <c r="I4" s="579" t="s">
        <v>249</v>
      </c>
      <c r="K4" s="581"/>
      <c r="L4" s="581"/>
      <c r="M4" s="581"/>
      <c r="N4" s="581"/>
      <c r="O4" s="581"/>
      <c r="P4" s="581"/>
      <c r="AA4" s="581"/>
      <c r="AB4" s="581"/>
      <c r="AC4" s="581"/>
      <c r="AD4" s="581"/>
      <c r="AE4" s="581"/>
      <c r="AF4" s="581"/>
      <c r="AG4" s="581"/>
      <c r="AH4" s="581"/>
      <c r="AI4" s="581"/>
      <c r="AJ4" s="581"/>
      <c r="AK4" s="581"/>
      <c r="AL4" s="581"/>
      <c r="AM4" s="581"/>
      <c r="AN4" s="581"/>
      <c r="AO4" s="581"/>
      <c r="AP4" s="581"/>
      <c r="AQ4" s="581"/>
      <c r="AR4" s="581"/>
    </row>
    <row r="5" spans="1:44" ht="9" customHeight="1" x14ac:dyDescent="0.3">
      <c r="A5" s="581"/>
      <c r="C5" s="291"/>
      <c r="K5" s="581"/>
      <c r="L5" s="581"/>
      <c r="M5" s="581"/>
      <c r="N5" s="581"/>
      <c r="O5" s="581"/>
      <c r="P5" s="581"/>
      <c r="AA5" s="581"/>
      <c r="AB5" s="581"/>
      <c r="AC5" s="581"/>
      <c r="AD5" s="581"/>
      <c r="AE5" s="581"/>
      <c r="AF5" s="581"/>
      <c r="AG5" s="581"/>
      <c r="AH5" s="581"/>
      <c r="AI5" s="581"/>
      <c r="AJ5" s="581"/>
      <c r="AK5" s="581"/>
      <c r="AL5" s="581"/>
      <c r="AM5" s="581"/>
      <c r="AN5" s="581"/>
      <c r="AO5" s="581"/>
      <c r="AP5" s="581"/>
      <c r="AQ5" s="581"/>
      <c r="AR5" s="581"/>
    </row>
    <row r="6" spans="1:44" ht="13" x14ac:dyDescent="0.3">
      <c r="A6" s="581"/>
      <c r="C6" s="291" t="s">
        <v>667</v>
      </c>
      <c r="D6" s="291" t="str">
        <f>basic!D26</f>
        <v>Enter Address Details</v>
      </c>
      <c r="K6" s="581"/>
      <c r="L6" s="581"/>
      <c r="M6" s="581"/>
      <c r="N6" s="581"/>
      <c r="O6" s="581"/>
      <c r="P6" s="581"/>
      <c r="AA6" s="581"/>
      <c r="AB6" s="581"/>
      <c r="AC6" s="581"/>
      <c r="AD6" s="581"/>
      <c r="AE6" s="581"/>
      <c r="AF6" s="581"/>
      <c r="AG6" s="581"/>
      <c r="AH6" s="581"/>
      <c r="AI6" s="581"/>
      <c r="AJ6" s="581"/>
      <c r="AK6" s="581"/>
      <c r="AL6" s="581"/>
      <c r="AM6" s="581"/>
      <c r="AN6" s="581"/>
      <c r="AO6" s="581"/>
      <c r="AP6" s="581"/>
      <c r="AQ6" s="581"/>
      <c r="AR6" s="581"/>
    </row>
    <row r="7" spans="1:44" ht="13" x14ac:dyDescent="0.3">
      <c r="A7" s="581"/>
      <c r="C7" s="291"/>
      <c r="D7" s="291"/>
      <c r="K7" s="581"/>
      <c r="L7" s="581"/>
      <c r="M7" s="581"/>
      <c r="N7" s="581"/>
      <c r="O7" s="581"/>
      <c r="P7" s="581"/>
      <c r="AA7" s="581"/>
      <c r="AB7" s="581"/>
      <c r="AC7" s="581"/>
      <c r="AD7" s="581"/>
      <c r="AE7" s="581"/>
      <c r="AF7" s="581"/>
      <c r="AG7" s="581"/>
      <c r="AH7" s="581"/>
      <c r="AI7" s="581"/>
      <c r="AJ7" s="581"/>
      <c r="AK7" s="581"/>
      <c r="AL7" s="581"/>
      <c r="AM7" s="581"/>
      <c r="AN7" s="581"/>
      <c r="AO7" s="581"/>
      <c r="AP7" s="581"/>
      <c r="AQ7" s="581"/>
      <c r="AR7" s="581"/>
    </row>
    <row r="8" spans="1:44" ht="13.5" customHeight="1" x14ac:dyDescent="0.3">
      <c r="A8" s="581"/>
      <c r="C8" s="489"/>
      <c r="D8" s="498" t="str">
        <f>IF(calc2!D38=FALSE,"As Transition did not apply in the previous year it will not apply this year","")</f>
        <v>As Transition did not apply in the previous year it will not apply this year</v>
      </c>
      <c r="E8" s="335"/>
      <c r="F8" s="335"/>
      <c r="G8" s="335"/>
      <c r="H8" s="283"/>
      <c r="I8" s="487"/>
      <c r="K8" s="581"/>
      <c r="L8" s="581"/>
      <c r="M8" s="581"/>
      <c r="N8" s="581"/>
      <c r="O8" s="581"/>
      <c r="P8" s="581"/>
      <c r="AA8" s="581"/>
      <c r="AB8" s="581"/>
      <c r="AC8" s="581"/>
      <c r="AD8" s="581"/>
      <c r="AE8" s="581"/>
      <c r="AF8" s="581"/>
      <c r="AG8" s="581"/>
      <c r="AH8" s="581"/>
      <c r="AI8" s="581"/>
      <c r="AJ8" s="581"/>
      <c r="AK8" s="581"/>
      <c r="AL8" s="581"/>
      <c r="AM8" s="581"/>
      <c r="AN8" s="581"/>
      <c r="AO8" s="581"/>
      <c r="AP8" s="581"/>
      <c r="AQ8" s="581"/>
      <c r="AR8" s="581"/>
    </row>
    <row r="9" spans="1:44" ht="9.75" customHeight="1" x14ac:dyDescent="0.3">
      <c r="A9" s="581"/>
      <c r="C9" s="291"/>
      <c r="K9" s="581"/>
      <c r="L9" s="581"/>
      <c r="M9" s="581"/>
      <c r="N9" s="581"/>
      <c r="O9" s="581"/>
      <c r="P9" s="581"/>
      <c r="S9" s="480" t="s">
        <v>57</v>
      </c>
      <c r="T9" s="302">
        <f>data!B3-1</f>
        <v>45016</v>
      </c>
      <c r="AA9" s="581"/>
      <c r="AB9" s="581"/>
      <c r="AC9" s="581"/>
      <c r="AD9" s="581"/>
      <c r="AE9" s="581"/>
      <c r="AF9" s="581"/>
      <c r="AG9" s="581"/>
      <c r="AH9" s="581"/>
      <c r="AI9" s="581"/>
      <c r="AJ9" s="581"/>
      <c r="AK9" s="581"/>
      <c r="AL9" s="581"/>
      <c r="AM9" s="581"/>
      <c r="AN9" s="581"/>
      <c r="AO9" s="581"/>
      <c r="AP9" s="581"/>
      <c r="AQ9" s="581"/>
      <c r="AR9" s="581"/>
    </row>
    <row r="10" spans="1:44" ht="13.5" customHeight="1" x14ac:dyDescent="0.3">
      <c r="A10" s="581"/>
      <c r="C10" s="291" t="str">
        <f>basic!D16</f>
        <v xml:space="preserve">2024/25 </v>
      </c>
      <c r="D10" s="257" t="str">
        <f>"The Base Liability is the Transitional Limit from the previous year"</f>
        <v>The Base Liability is the Transitional Limit from the previous year</v>
      </c>
      <c r="H10" s="476"/>
      <c r="K10" s="581"/>
      <c r="L10" s="581"/>
      <c r="M10" s="581"/>
      <c r="N10" s="581"/>
      <c r="O10" s="581"/>
      <c r="P10" s="581"/>
      <c r="S10" s="480" t="s">
        <v>43</v>
      </c>
      <c r="T10" s="495">
        <f>basic!I5</f>
        <v>0</v>
      </c>
      <c r="AA10" s="581"/>
      <c r="AB10" s="581"/>
      <c r="AC10" s="581"/>
      <c r="AD10" s="581"/>
      <c r="AE10" s="581"/>
      <c r="AF10" s="581"/>
      <c r="AG10" s="581"/>
      <c r="AH10" s="581"/>
      <c r="AI10" s="581"/>
      <c r="AJ10" s="581"/>
      <c r="AK10" s="581"/>
      <c r="AL10" s="581"/>
      <c r="AM10" s="581"/>
      <c r="AN10" s="581"/>
      <c r="AO10" s="581"/>
      <c r="AP10" s="581"/>
      <c r="AQ10" s="581"/>
      <c r="AR10" s="581"/>
    </row>
    <row r="11" spans="1:44" ht="13" x14ac:dyDescent="0.3">
      <c r="A11" s="581"/>
      <c r="C11" s="291"/>
      <c r="D11" s="256" t="str">
        <f>"which is a figure of £"&amp;TEXT(T14,"#,###.00")</f>
        <v>which is a figure of £.00</v>
      </c>
      <c r="H11" s="496"/>
      <c r="K11" s="581"/>
      <c r="L11" s="581"/>
      <c r="M11" s="581"/>
      <c r="N11" s="581"/>
      <c r="O11" s="581"/>
      <c r="P11" s="581"/>
      <c r="S11" s="480" t="s">
        <v>44</v>
      </c>
      <c r="T11" s="480"/>
      <c r="AA11" s="581"/>
      <c r="AB11" s="581"/>
      <c r="AC11" s="581"/>
      <c r="AD11" s="581"/>
      <c r="AE11" s="581"/>
      <c r="AF11" s="581"/>
      <c r="AG11" s="581"/>
      <c r="AH11" s="581"/>
      <c r="AI11" s="581"/>
      <c r="AJ11" s="581"/>
      <c r="AK11" s="581"/>
      <c r="AL11" s="581"/>
      <c r="AM11" s="581"/>
      <c r="AN11" s="581"/>
      <c r="AO11" s="581"/>
      <c r="AP11" s="581"/>
      <c r="AQ11" s="581"/>
      <c r="AR11" s="581"/>
    </row>
    <row r="12" spans="1:44" ht="13.5" customHeight="1" x14ac:dyDescent="0.3">
      <c r="A12" s="581"/>
      <c r="C12" s="291"/>
      <c r="D12" s="257" t="str">
        <f>"The Notional Liability is the RV as at "&amp;TEXT(T9+1,"dd/mm/yy")&amp;" ( "&amp;TEXT(T15,"#,###")&amp;" ) x the Small"</f>
        <v>The Notional Liability is the RV as at 01/04/23 (  ) x the Small</v>
      </c>
      <c r="K12" s="581"/>
      <c r="L12" s="581"/>
      <c r="M12" s="581"/>
      <c r="N12" s="581"/>
      <c r="O12" s="581"/>
      <c r="P12" s="581"/>
      <c r="S12" s="480" t="s">
        <v>45</v>
      </c>
      <c r="T12" s="480"/>
      <c r="AA12" s="581"/>
      <c r="AB12" s="581"/>
      <c r="AC12" s="581"/>
      <c r="AD12" s="581"/>
      <c r="AE12" s="581"/>
      <c r="AF12" s="581"/>
      <c r="AG12" s="581"/>
      <c r="AH12" s="581"/>
      <c r="AI12" s="581"/>
      <c r="AJ12" s="581"/>
      <c r="AK12" s="581"/>
      <c r="AL12" s="581"/>
      <c r="AM12" s="581"/>
      <c r="AN12" s="581"/>
      <c r="AO12" s="581"/>
      <c r="AP12" s="581"/>
      <c r="AQ12" s="581"/>
      <c r="AR12" s="581"/>
    </row>
    <row r="13" spans="1:44" ht="13.5" customHeight="1" x14ac:dyDescent="0.3">
      <c r="A13" s="581"/>
      <c r="C13" s="291"/>
      <c r="D13" s="256" t="str">
        <f>"Multiplier for "&amp;TEXT(text!B10,"dd/mm/yy")&amp;" ( "&amp;TEXT(T16,"0.000")&amp;" ) which gives a figure of "&amp;TEXT(T17,"#,###.00")</f>
        <v>Multiplier for 01/04/24 ( 0.499 ) which gives a figure of .00</v>
      </c>
      <c r="K13" s="581"/>
      <c r="L13" s="581"/>
      <c r="M13" s="581"/>
      <c r="N13" s="581"/>
      <c r="O13" s="581"/>
      <c r="P13" s="581"/>
      <c r="S13" s="480" t="s">
        <v>46</v>
      </c>
      <c r="T13" s="497"/>
      <c r="AA13" s="581"/>
      <c r="AB13" s="581"/>
      <c r="AC13" s="581"/>
      <c r="AD13" s="581"/>
      <c r="AE13" s="581"/>
      <c r="AF13" s="581"/>
      <c r="AG13" s="581"/>
      <c r="AH13" s="581"/>
      <c r="AI13" s="581"/>
      <c r="AJ13" s="581"/>
      <c r="AK13" s="581"/>
      <c r="AL13" s="581"/>
      <c r="AM13" s="581"/>
      <c r="AN13" s="581"/>
      <c r="AO13" s="581"/>
      <c r="AP13" s="581"/>
      <c r="AQ13" s="581"/>
      <c r="AR13" s="581"/>
    </row>
    <row r="14" spans="1:44" ht="13.5" customHeight="1" x14ac:dyDescent="0.3">
      <c r="A14" s="581"/>
      <c r="C14" s="291"/>
      <c r="D14" s="257"/>
      <c r="H14" s="476"/>
      <c r="K14" s="581"/>
      <c r="L14" s="581"/>
      <c r="M14" s="581"/>
      <c r="N14" s="581"/>
      <c r="O14" s="581"/>
      <c r="P14" s="581"/>
      <c r="S14" s="480" t="s">
        <v>49</v>
      </c>
      <c r="T14" s="480">
        <f>calc2!E19</f>
        <v>0</v>
      </c>
      <c r="AA14" s="581"/>
      <c r="AB14" s="581"/>
      <c r="AC14" s="581"/>
      <c r="AD14" s="581"/>
      <c r="AE14" s="581"/>
      <c r="AF14" s="581"/>
      <c r="AG14" s="581"/>
      <c r="AH14" s="581"/>
      <c r="AI14" s="581"/>
      <c r="AJ14" s="581"/>
      <c r="AK14" s="581"/>
      <c r="AL14" s="581"/>
      <c r="AM14" s="581"/>
      <c r="AN14" s="581"/>
      <c r="AO14" s="581"/>
      <c r="AP14" s="581"/>
      <c r="AQ14" s="581"/>
      <c r="AR14" s="581"/>
    </row>
    <row r="15" spans="1:44" ht="13.5" customHeight="1" x14ac:dyDescent="0.3">
      <c r="A15" s="581"/>
      <c r="C15" s="291"/>
      <c r="D15" s="256" t="str">
        <f>"The Notional Liability is "&amp;T19&amp;" than the Base Liability so the ratepayer is a revaluation "&amp;T20</f>
        <v>The Notional Liability is less than the Base Liability so the ratepayer is a revaluation Winner</v>
      </c>
      <c r="K15" s="581"/>
      <c r="L15" s="581"/>
      <c r="M15" s="581"/>
      <c r="N15" s="581"/>
      <c r="O15" s="581"/>
      <c r="P15" s="581"/>
      <c r="S15" s="480" t="s">
        <v>1223</v>
      </c>
      <c r="T15" s="495">
        <f>calc2!D5</f>
        <v>0</v>
      </c>
      <c r="AA15" s="581"/>
      <c r="AB15" s="581"/>
      <c r="AC15" s="581"/>
      <c r="AD15" s="581"/>
      <c r="AE15" s="581"/>
      <c r="AF15" s="581"/>
      <c r="AG15" s="581"/>
      <c r="AH15" s="581"/>
      <c r="AI15" s="581"/>
      <c r="AJ15" s="581"/>
      <c r="AK15" s="581"/>
      <c r="AL15" s="581"/>
      <c r="AM15" s="581"/>
      <c r="AN15" s="581"/>
      <c r="AO15" s="581"/>
      <c r="AP15" s="581"/>
      <c r="AQ15" s="581"/>
      <c r="AR15" s="581"/>
    </row>
    <row r="16" spans="1:44" ht="13.5" customHeight="1" x14ac:dyDescent="0.3">
      <c r="A16" s="581"/>
      <c r="C16" s="291"/>
      <c r="D16" s="256" t="str">
        <f>"The property is in "&amp;H4&amp;" so the Medium/Small threshold is "&amp;TEXT(T21,"#,###")&amp;". "</f>
        <v xml:space="preserve">The property is in England so the Medium/Small threshold is 20,000. </v>
      </c>
      <c r="K16" s="581"/>
      <c r="L16" s="581"/>
      <c r="M16" s="581"/>
      <c r="N16" s="581"/>
      <c r="O16" s="581"/>
      <c r="P16" s="581"/>
      <c r="S16" s="480" t="s">
        <v>47</v>
      </c>
      <c r="T16" s="480">
        <f>data!C54</f>
        <v>0.499</v>
      </c>
      <c r="AA16" s="581"/>
      <c r="AB16" s="581"/>
      <c r="AC16" s="581"/>
      <c r="AD16" s="581"/>
      <c r="AE16" s="581"/>
      <c r="AF16" s="581"/>
      <c r="AG16" s="581"/>
      <c r="AH16" s="581"/>
      <c r="AI16" s="581"/>
      <c r="AJ16" s="581"/>
      <c r="AK16" s="581"/>
      <c r="AL16" s="581"/>
      <c r="AM16" s="581"/>
      <c r="AN16" s="581"/>
      <c r="AO16" s="581"/>
      <c r="AP16" s="581"/>
      <c r="AQ16" s="581"/>
      <c r="AR16" s="581"/>
    </row>
    <row r="17" spans="1:44" ht="13.5" customHeight="1" x14ac:dyDescent="0.3">
      <c r="A17" s="581"/>
      <c r="C17" s="291"/>
      <c r="D17" s="256" t="str">
        <f>"The Large threshold is "&amp;TEXT(Y19,"#,###")</f>
        <v>The Large threshold is 100,000</v>
      </c>
      <c r="K17" s="581"/>
      <c r="L17" s="581"/>
      <c r="M17" s="581"/>
      <c r="N17" s="581"/>
      <c r="O17" s="581"/>
      <c r="P17" s="581"/>
      <c r="S17" s="480" t="s">
        <v>48</v>
      </c>
      <c r="T17" s="480">
        <f>T15*T16</f>
        <v>0</v>
      </c>
      <c r="V17" s="479" t="s">
        <v>51</v>
      </c>
      <c r="W17" s="479"/>
      <c r="X17" s="479"/>
      <c r="Y17" s="479"/>
      <c r="AA17" s="581"/>
      <c r="AB17" s="581"/>
      <c r="AC17" s="581"/>
      <c r="AD17" s="581"/>
      <c r="AE17" s="581"/>
      <c r="AF17" s="581"/>
      <c r="AG17" s="581"/>
      <c r="AH17" s="581"/>
      <c r="AI17" s="581"/>
      <c r="AJ17" s="581"/>
      <c r="AK17" s="581"/>
      <c r="AL17" s="581"/>
      <c r="AM17" s="581"/>
      <c r="AN17" s="581"/>
      <c r="AO17" s="581"/>
      <c r="AP17" s="581"/>
      <c r="AQ17" s="581"/>
      <c r="AR17" s="581"/>
    </row>
    <row r="18" spans="1:44" ht="13.5" customHeight="1" x14ac:dyDescent="0.3">
      <c r="A18" s="581"/>
      <c r="C18" s="291"/>
      <c r="D18" s="256" t="str">
        <f>"The RV as at "&amp;TEXT(T9+1,"dd/mm/yy")&amp;" is "&amp;TEXT(T15,"#,###")&amp;" so the property is "&amp;T23</f>
        <v>The RV as at 01/04/23 is  so the property is Small</v>
      </c>
      <c r="K18" s="581"/>
      <c r="L18" s="581"/>
      <c r="M18" s="581"/>
      <c r="N18" s="581"/>
      <c r="O18" s="581"/>
      <c r="P18" s="581"/>
      <c r="S18" s="480" t="s">
        <v>27</v>
      </c>
      <c r="T18" s="480" t="b">
        <f>T17&gt;T14</f>
        <v>0</v>
      </c>
      <c r="V18" s="480" t="str">
        <f>data!C22</f>
        <v>e small &lt;=</v>
      </c>
      <c r="W18" s="480" t="str">
        <f>data!D22</f>
        <v>l small &lt;=</v>
      </c>
      <c r="X18" s="480" t="str">
        <f>data!E22</f>
        <v>c small &lt;=</v>
      </c>
      <c r="Y18" s="480" t="str">
        <f>data!F22</f>
        <v>super &gt;</v>
      </c>
      <c r="AA18" s="581"/>
      <c r="AB18" s="581"/>
      <c r="AC18" s="581"/>
      <c r="AD18" s="581"/>
      <c r="AE18" s="581"/>
      <c r="AF18" s="581"/>
      <c r="AG18" s="581"/>
      <c r="AH18" s="581"/>
      <c r="AI18" s="581"/>
      <c r="AJ18" s="581"/>
      <c r="AK18" s="581"/>
      <c r="AL18" s="581"/>
      <c r="AM18" s="581"/>
      <c r="AN18" s="581"/>
      <c r="AO18" s="581"/>
      <c r="AP18" s="581"/>
      <c r="AQ18" s="581"/>
      <c r="AR18" s="581"/>
    </row>
    <row r="19" spans="1:44" ht="13.5" customHeight="1" x14ac:dyDescent="0.25">
      <c r="A19" s="581"/>
      <c r="K19" s="581"/>
      <c r="L19" s="581"/>
      <c r="M19" s="581"/>
      <c r="N19" s="581"/>
      <c r="O19" s="581"/>
      <c r="P19" s="581"/>
      <c r="S19" s="480" t="s">
        <v>50</v>
      </c>
      <c r="T19" s="480" t="str">
        <f>IF(T18=TRUE,"greater","less")</f>
        <v>less</v>
      </c>
      <c r="V19" s="480">
        <f>data!C23</f>
        <v>20000</v>
      </c>
      <c r="W19" s="480">
        <f>data!D23</f>
        <v>28000</v>
      </c>
      <c r="X19" s="480">
        <f>data!E23</f>
        <v>28000</v>
      </c>
      <c r="Y19" s="480">
        <f>data!F23</f>
        <v>100000</v>
      </c>
      <c r="AA19" s="581"/>
      <c r="AB19" s="581"/>
      <c r="AC19" s="581"/>
      <c r="AD19" s="581"/>
      <c r="AE19" s="581"/>
      <c r="AF19" s="581"/>
      <c r="AG19" s="581"/>
      <c r="AH19" s="581"/>
      <c r="AI19" s="581"/>
      <c r="AJ19" s="581"/>
      <c r="AK19" s="581"/>
      <c r="AL19" s="581"/>
      <c r="AM19" s="581"/>
      <c r="AN19" s="581"/>
      <c r="AO19" s="581"/>
      <c r="AP19" s="581"/>
      <c r="AQ19" s="581"/>
      <c r="AR19" s="581"/>
    </row>
    <row r="20" spans="1:44" ht="13.5" customHeight="1" x14ac:dyDescent="0.25">
      <c r="A20" s="581"/>
      <c r="D20" s="256" t="s">
        <v>28</v>
      </c>
      <c r="K20" s="581"/>
      <c r="L20" s="581"/>
      <c r="M20" s="581"/>
      <c r="N20" s="581"/>
      <c r="O20" s="581"/>
      <c r="P20" s="581"/>
      <c r="S20" s="480" t="s">
        <v>285</v>
      </c>
      <c r="T20" s="480" t="str">
        <f>IF(T18=TRUE,"Loser","Winner")</f>
        <v>Winner</v>
      </c>
      <c r="AA20" s="581"/>
      <c r="AB20" s="581"/>
      <c r="AC20" s="581"/>
      <c r="AD20" s="581"/>
      <c r="AE20" s="581"/>
      <c r="AF20" s="581"/>
      <c r="AG20" s="581"/>
      <c r="AH20" s="581"/>
      <c r="AI20" s="581"/>
      <c r="AJ20" s="581"/>
      <c r="AK20" s="581"/>
      <c r="AL20" s="581"/>
      <c r="AM20" s="581"/>
      <c r="AN20" s="581"/>
      <c r="AO20" s="581"/>
      <c r="AP20" s="581"/>
      <c r="AQ20" s="581"/>
      <c r="AR20" s="581"/>
    </row>
    <row r="21" spans="1:44" ht="13.5" customHeight="1" x14ac:dyDescent="0.25">
      <c r="A21" s="581"/>
      <c r="D21" s="256" t="str">
        <f>"for a '"&amp;T24&amp;"' is found by reference to the following table"</f>
        <v>for a 'Small Winner' is found by reference to the following table</v>
      </c>
      <c r="K21" s="581"/>
      <c r="L21" s="581"/>
      <c r="M21" s="581"/>
      <c r="N21" s="581"/>
      <c r="O21" s="581"/>
      <c r="P21" s="581"/>
      <c r="S21" s="480" t="s">
        <v>56</v>
      </c>
      <c r="T21" s="480">
        <f>calc2!D13</f>
        <v>20000</v>
      </c>
      <c r="V21" s="479" t="s">
        <v>53</v>
      </c>
      <c r="W21" s="479" t="s">
        <v>803</v>
      </c>
      <c r="AA21" s="581"/>
      <c r="AB21" s="581"/>
      <c r="AC21" s="581"/>
      <c r="AD21" s="581"/>
      <c r="AE21" s="581"/>
      <c r="AF21" s="581"/>
      <c r="AG21" s="581"/>
      <c r="AH21" s="581"/>
      <c r="AI21" s="581"/>
      <c r="AJ21" s="581"/>
      <c r="AK21" s="581"/>
      <c r="AL21" s="581"/>
      <c r="AM21" s="581"/>
      <c r="AN21" s="581"/>
      <c r="AO21" s="581"/>
      <c r="AP21" s="581"/>
      <c r="AQ21" s="581"/>
      <c r="AR21" s="581"/>
    </row>
    <row r="22" spans="1:44" ht="13.5" customHeight="1" x14ac:dyDescent="0.25">
      <c r="A22" s="581"/>
      <c r="K22" s="581"/>
      <c r="L22" s="581"/>
      <c r="M22" s="581"/>
      <c r="N22" s="581"/>
      <c r="O22" s="581"/>
      <c r="P22" s="581"/>
      <c r="S22" s="480" t="s">
        <v>52</v>
      </c>
      <c r="T22" s="495" t="str">
        <f>calc2!D23</f>
        <v>s</v>
      </c>
      <c r="V22" s="479" t="s">
        <v>54</v>
      </c>
      <c r="W22" s="479" t="s">
        <v>824</v>
      </c>
      <c r="AA22" s="581"/>
      <c r="AB22" s="581"/>
      <c r="AC22" s="581"/>
      <c r="AD22" s="581"/>
      <c r="AE22" s="581"/>
      <c r="AF22" s="581"/>
      <c r="AG22" s="581"/>
      <c r="AH22" s="581"/>
      <c r="AI22" s="581"/>
      <c r="AJ22" s="581"/>
      <c r="AK22" s="581"/>
      <c r="AL22" s="581"/>
      <c r="AM22" s="581"/>
      <c r="AN22" s="581"/>
      <c r="AO22" s="581"/>
      <c r="AP22" s="581"/>
      <c r="AQ22" s="581"/>
      <c r="AR22" s="581"/>
    </row>
    <row r="23" spans="1:44" ht="13.5" customHeight="1" x14ac:dyDescent="0.3">
      <c r="A23" s="581"/>
      <c r="D23" s="291" t="s">
        <v>29</v>
      </c>
      <c r="E23" s="477" t="s">
        <v>30</v>
      </c>
      <c r="F23" s="477" t="s">
        <v>31</v>
      </c>
      <c r="G23" s="272" t="s">
        <v>32</v>
      </c>
      <c r="K23" s="581"/>
      <c r="L23" s="581"/>
      <c r="M23" s="581"/>
      <c r="N23" s="581"/>
      <c r="O23" s="581"/>
      <c r="P23" s="581"/>
      <c r="S23" s="480" t="s">
        <v>55</v>
      </c>
      <c r="T23" s="480" t="str">
        <f>VLOOKUP(T22,V21:W23,2,FALSE)</f>
        <v>Small</v>
      </c>
      <c r="V23" s="479" t="s">
        <v>293</v>
      </c>
      <c r="W23" s="479" t="s">
        <v>804</v>
      </c>
      <c r="AA23" s="581"/>
      <c r="AB23" s="581"/>
      <c r="AC23" s="581"/>
      <c r="AD23" s="581"/>
      <c r="AE23" s="581"/>
      <c r="AF23" s="581"/>
      <c r="AG23" s="581"/>
      <c r="AH23" s="581"/>
      <c r="AI23" s="581"/>
      <c r="AJ23" s="581"/>
      <c r="AK23" s="581"/>
      <c r="AL23" s="581"/>
      <c r="AM23" s="581"/>
      <c r="AN23" s="581"/>
      <c r="AO23" s="581"/>
      <c r="AP23" s="581"/>
      <c r="AQ23" s="581"/>
      <c r="AR23" s="581"/>
    </row>
    <row r="24" spans="1:44" ht="13.5" customHeight="1" x14ac:dyDescent="0.3">
      <c r="A24" s="581"/>
      <c r="C24" s="478" t="str">
        <f t="shared" ref="C24:C29" si="0">IF(D24=$T$24,"&gt;","")</f>
        <v/>
      </c>
      <c r="D24" s="479" t="s">
        <v>33</v>
      </c>
      <c r="E24" s="480">
        <f>data!C4</f>
        <v>0</v>
      </c>
      <c r="F24" s="480">
        <f>'info sheet'!J30</f>
        <v>1</v>
      </c>
      <c r="G24" s="480">
        <f t="shared" ref="G24:G29" si="1">E24*F24/100</f>
        <v>0</v>
      </c>
      <c r="K24" s="581"/>
      <c r="L24" s="581"/>
      <c r="M24" s="581"/>
      <c r="N24" s="581"/>
      <c r="O24" s="581"/>
      <c r="P24" s="581"/>
      <c r="S24" s="480" t="s">
        <v>279</v>
      </c>
      <c r="T24" s="480" t="str">
        <f>T23&amp;" "&amp;T20</f>
        <v>Small Winner</v>
      </c>
      <c r="AA24" s="581"/>
      <c r="AB24" s="581"/>
      <c r="AC24" s="581"/>
      <c r="AD24" s="581"/>
      <c r="AE24" s="581"/>
      <c r="AF24" s="581"/>
      <c r="AG24" s="581"/>
      <c r="AH24" s="581"/>
      <c r="AI24" s="581"/>
      <c r="AJ24" s="581"/>
      <c r="AK24" s="581"/>
      <c r="AL24" s="581"/>
      <c r="AM24" s="581"/>
      <c r="AN24" s="581"/>
      <c r="AO24" s="581"/>
      <c r="AP24" s="581"/>
      <c r="AQ24" s="581"/>
      <c r="AR24" s="581"/>
    </row>
    <row r="25" spans="1:44" ht="13.5" customHeight="1" x14ac:dyDescent="0.3">
      <c r="A25" s="581"/>
      <c r="C25" s="478" t="str">
        <f t="shared" si="0"/>
        <v/>
      </c>
      <c r="D25" s="479" t="s">
        <v>34</v>
      </c>
      <c r="E25" s="480">
        <f>data!D4</f>
        <v>0</v>
      </c>
      <c r="F25" s="480">
        <f>F24</f>
        <v>1</v>
      </c>
      <c r="G25" s="480">
        <f t="shared" si="1"/>
        <v>0</v>
      </c>
      <c r="K25" s="581"/>
      <c r="L25" s="581"/>
      <c r="M25" s="581"/>
      <c r="N25" s="581"/>
      <c r="O25" s="581"/>
      <c r="P25" s="581"/>
      <c r="S25" s="480" t="s">
        <v>59</v>
      </c>
      <c r="T25" s="480" t="str">
        <f>IF(T22&lt;T23,"below","above")</f>
        <v>below</v>
      </c>
      <c r="AA25" s="581"/>
      <c r="AB25" s="581"/>
      <c r="AC25" s="581"/>
      <c r="AD25" s="581"/>
      <c r="AE25" s="581"/>
      <c r="AF25" s="581"/>
      <c r="AG25" s="581"/>
      <c r="AH25" s="581"/>
      <c r="AI25" s="581"/>
      <c r="AJ25" s="581"/>
      <c r="AK25" s="581"/>
      <c r="AL25" s="581"/>
      <c r="AM25" s="581"/>
      <c r="AN25" s="581"/>
      <c r="AO25" s="581"/>
      <c r="AP25" s="581"/>
      <c r="AQ25" s="581"/>
      <c r="AR25" s="581"/>
    </row>
    <row r="26" spans="1:44" ht="13.5" customHeight="1" x14ac:dyDescent="0.3">
      <c r="A26" s="581"/>
      <c r="C26" s="478" t="str">
        <f t="shared" si="0"/>
        <v>&gt;</v>
      </c>
      <c r="D26" s="479" t="s">
        <v>35</v>
      </c>
      <c r="E26" s="480">
        <f>data!E4</f>
        <v>0</v>
      </c>
      <c r="F26" s="480">
        <f>F25</f>
        <v>1</v>
      </c>
      <c r="G26" s="480">
        <f t="shared" si="1"/>
        <v>0</v>
      </c>
      <c r="K26" s="581"/>
      <c r="L26" s="581"/>
      <c r="M26" s="581"/>
      <c r="N26" s="581"/>
      <c r="O26" s="581"/>
      <c r="P26" s="581"/>
      <c r="S26" s="480" t="s">
        <v>58</v>
      </c>
      <c r="T26" s="480">
        <f>calc2!E27</f>
        <v>1</v>
      </c>
      <c r="AA26" s="581"/>
      <c r="AB26" s="581"/>
      <c r="AC26" s="581"/>
      <c r="AD26" s="581"/>
      <c r="AE26" s="581"/>
      <c r="AF26" s="581"/>
      <c r="AG26" s="581"/>
      <c r="AH26" s="581"/>
      <c r="AI26" s="581"/>
      <c r="AJ26" s="581"/>
      <c r="AK26" s="581"/>
      <c r="AL26" s="581"/>
      <c r="AM26" s="581"/>
      <c r="AN26" s="581"/>
      <c r="AO26" s="581"/>
      <c r="AP26" s="581"/>
      <c r="AQ26" s="581"/>
      <c r="AR26" s="581"/>
    </row>
    <row r="27" spans="1:44" ht="13.5" customHeight="1" x14ac:dyDescent="0.3">
      <c r="A27" s="581"/>
      <c r="C27" s="478" t="str">
        <f t="shared" si="0"/>
        <v/>
      </c>
      <c r="D27" s="479" t="s">
        <v>36</v>
      </c>
      <c r="E27" s="480">
        <f>data!F4</f>
        <v>140</v>
      </c>
      <c r="F27" s="480">
        <f>F26</f>
        <v>1</v>
      </c>
      <c r="G27" s="480">
        <f t="shared" si="1"/>
        <v>1.4</v>
      </c>
      <c r="K27" s="581"/>
      <c r="L27" s="581"/>
      <c r="M27" s="581"/>
      <c r="N27" s="581"/>
      <c r="O27" s="581"/>
      <c r="P27" s="581"/>
      <c r="S27" s="480" t="s">
        <v>39</v>
      </c>
      <c r="T27" s="485">
        <f>F32-T17</f>
        <v>0</v>
      </c>
      <c r="AA27" s="581"/>
      <c r="AB27" s="581"/>
      <c r="AC27" s="581"/>
      <c r="AD27" s="581"/>
      <c r="AE27" s="581"/>
      <c r="AF27" s="581"/>
      <c r="AG27" s="581"/>
      <c r="AH27" s="581"/>
      <c r="AI27" s="581"/>
      <c r="AJ27" s="581"/>
      <c r="AK27" s="581"/>
      <c r="AL27" s="581"/>
      <c r="AM27" s="581"/>
      <c r="AN27" s="581"/>
      <c r="AO27" s="581"/>
      <c r="AP27" s="581"/>
      <c r="AQ27" s="581"/>
      <c r="AR27" s="581"/>
    </row>
    <row r="28" spans="1:44" ht="13.5" customHeight="1" x14ac:dyDescent="0.3">
      <c r="A28" s="581"/>
      <c r="C28" s="478" t="str">
        <f t="shared" si="0"/>
        <v/>
      </c>
      <c r="D28" s="479" t="s">
        <v>37</v>
      </c>
      <c r="E28" s="480">
        <f>data!G4</f>
        <v>125</v>
      </c>
      <c r="F28" s="480">
        <f>F27</f>
        <v>1</v>
      </c>
      <c r="G28" s="480">
        <f t="shared" si="1"/>
        <v>1.25</v>
      </c>
      <c r="K28" s="581"/>
      <c r="L28" s="581"/>
      <c r="M28" s="581"/>
      <c r="N28" s="581"/>
      <c r="O28" s="581"/>
      <c r="P28" s="581"/>
      <c r="AA28" s="581"/>
      <c r="AB28" s="581"/>
      <c r="AC28" s="581"/>
      <c r="AD28" s="581"/>
      <c r="AE28" s="581"/>
      <c r="AF28" s="581"/>
      <c r="AG28" s="581"/>
      <c r="AH28" s="581"/>
      <c r="AI28" s="581"/>
      <c r="AJ28" s="581"/>
      <c r="AK28" s="581"/>
      <c r="AL28" s="581"/>
      <c r="AM28" s="581"/>
      <c r="AN28" s="581"/>
      <c r="AO28" s="581"/>
      <c r="AP28" s="581"/>
      <c r="AQ28" s="581"/>
      <c r="AR28" s="581"/>
    </row>
    <row r="29" spans="1:44" ht="13.5" customHeight="1" x14ac:dyDescent="0.3">
      <c r="A29" s="581"/>
      <c r="C29" s="478" t="str">
        <f t="shared" si="0"/>
        <v/>
      </c>
      <c r="D29" s="479" t="s">
        <v>38</v>
      </c>
      <c r="E29" s="480">
        <f>data!H4</f>
        <v>110</v>
      </c>
      <c r="F29" s="480">
        <f>F28</f>
        <v>1</v>
      </c>
      <c r="G29" s="480">
        <f t="shared" si="1"/>
        <v>1.1000000000000001</v>
      </c>
      <c r="K29" s="581"/>
      <c r="L29" s="581"/>
      <c r="M29" s="581"/>
      <c r="N29" s="581"/>
      <c r="O29" s="581"/>
      <c r="P29" s="581"/>
      <c r="AA29" s="581"/>
      <c r="AB29" s="581"/>
      <c r="AC29" s="581"/>
      <c r="AD29" s="581"/>
      <c r="AE29" s="581"/>
      <c r="AF29" s="581"/>
      <c r="AG29" s="581"/>
      <c r="AH29" s="581"/>
      <c r="AI29" s="581"/>
      <c r="AJ29" s="581"/>
      <c r="AK29" s="581"/>
      <c r="AL29" s="581"/>
      <c r="AM29" s="581"/>
      <c r="AN29" s="581"/>
      <c r="AO29" s="581"/>
      <c r="AP29" s="581"/>
      <c r="AQ29" s="581"/>
      <c r="AR29" s="581"/>
    </row>
    <row r="30" spans="1:44" ht="13.5" customHeight="1" x14ac:dyDescent="0.3">
      <c r="A30" s="581"/>
      <c r="C30" s="291"/>
      <c r="K30" s="581"/>
      <c r="L30" s="581"/>
      <c r="M30" s="581"/>
      <c r="N30" s="581"/>
      <c r="O30" s="581"/>
      <c r="P30" s="581"/>
      <c r="AA30" s="581"/>
      <c r="AB30" s="581"/>
      <c r="AC30" s="581"/>
      <c r="AD30" s="581"/>
      <c r="AE30" s="581"/>
      <c r="AF30" s="581"/>
      <c r="AG30" s="581"/>
      <c r="AH30" s="581"/>
      <c r="AI30" s="581"/>
      <c r="AJ30" s="581"/>
      <c r="AK30" s="581"/>
      <c r="AL30" s="581"/>
      <c r="AM30" s="581"/>
      <c r="AN30" s="581"/>
      <c r="AO30" s="581"/>
      <c r="AP30" s="581"/>
      <c r="AQ30" s="581"/>
      <c r="AR30" s="581"/>
    </row>
    <row r="31" spans="1:44" ht="13.5" customHeight="1" x14ac:dyDescent="0.3">
      <c r="A31" s="581"/>
      <c r="C31" s="291"/>
      <c r="D31" s="256" t="s">
        <v>60</v>
      </c>
      <c r="K31" s="581"/>
      <c r="L31" s="581"/>
      <c r="M31" s="581"/>
      <c r="N31" s="581"/>
      <c r="O31" s="581"/>
      <c r="P31" s="581"/>
      <c r="AA31" s="581"/>
      <c r="AB31" s="581"/>
      <c r="AC31" s="581"/>
      <c r="AD31" s="581"/>
      <c r="AE31" s="581"/>
      <c r="AF31" s="581"/>
      <c r="AG31" s="581"/>
      <c r="AH31" s="581"/>
      <c r="AI31" s="581"/>
      <c r="AJ31" s="581"/>
      <c r="AK31" s="581"/>
      <c r="AL31" s="581"/>
      <c r="AM31" s="581"/>
      <c r="AN31" s="581"/>
      <c r="AO31" s="581"/>
      <c r="AP31" s="581"/>
      <c r="AQ31" s="581"/>
      <c r="AR31" s="581"/>
    </row>
    <row r="32" spans="1:44" ht="22.5" customHeight="1" x14ac:dyDescent="0.35">
      <c r="A32" s="581"/>
      <c r="C32" s="291"/>
      <c r="D32" s="488" t="str">
        <f>"    "&amp;TEXT(T14,"#,###.00")&amp;"  x  "&amp;T26&amp;" = "</f>
        <v xml:space="preserve">    .00  x  1 = </v>
      </c>
      <c r="E32" s="490"/>
      <c r="F32" s="491">
        <f>calc2!E28</f>
        <v>0</v>
      </c>
      <c r="K32" s="581"/>
      <c r="L32" s="581"/>
      <c r="M32" s="581"/>
      <c r="N32" s="581"/>
      <c r="O32" s="581"/>
      <c r="P32" s="581"/>
      <c r="Q32" s="149"/>
      <c r="R32" s="149"/>
      <c r="S32" s="149"/>
      <c r="T32" s="149"/>
      <c r="U32" s="149"/>
      <c r="V32" s="149"/>
      <c r="W32" s="149"/>
      <c r="AA32" s="581"/>
      <c r="AB32" s="581"/>
      <c r="AC32" s="581"/>
      <c r="AD32" s="581"/>
      <c r="AE32" s="581"/>
      <c r="AF32" s="581"/>
      <c r="AG32" s="581"/>
      <c r="AH32" s="581"/>
      <c r="AI32" s="581"/>
      <c r="AJ32" s="581"/>
      <c r="AK32" s="581"/>
      <c r="AL32" s="581"/>
      <c r="AM32" s="581"/>
      <c r="AN32" s="581"/>
      <c r="AO32" s="581"/>
      <c r="AP32" s="581"/>
      <c r="AQ32" s="581"/>
      <c r="AR32" s="581"/>
    </row>
    <row r="33" spans="1:44" ht="14.5" x14ac:dyDescent="0.35">
      <c r="A33" s="581"/>
      <c r="C33" s="291"/>
      <c r="K33" s="581"/>
      <c r="L33" s="581"/>
      <c r="M33" s="581"/>
      <c r="N33" s="581"/>
      <c r="O33" s="581"/>
      <c r="P33" s="581"/>
      <c r="Q33" s="149"/>
      <c r="R33" s="149"/>
      <c r="S33" s="149"/>
      <c r="T33" s="149"/>
      <c r="U33" s="149"/>
      <c r="V33" s="149"/>
      <c r="W33" s="149"/>
      <c r="AA33" s="581"/>
      <c r="AB33" s="581"/>
      <c r="AC33" s="581"/>
      <c r="AD33" s="581"/>
      <c r="AE33" s="581"/>
      <c r="AF33" s="581"/>
      <c r="AG33" s="581"/>
      <c r="AH33" s="581"/>
      <c r="AI33" s="581"/>
      <c r="AJ33" s="581"/>
      <c r="AK33" s="581"/>
      <c r="AL33" s="581"/>
      <c r="AM33" s="581"/>
      <c r="AN33" s="581"/>
      <c r="AO33" s="581"/>
      <c r="AP33" s="581"/>
      <c r="AQ33" s="581"/>
      <c r="AR33" s="581"/>
    </row>
    <row r="34" spans="1:44" ht="13.5" customHeight="1" x14ac:dyDescent="0.35">
      <c r="A34" s="581"/>
      <c r="C34" s="291"/>
      <c r="D34" s="256" t="str">
        <f>"The ratepayer is a "&amp;T20&amp;". Therefore, if the Notional Liability is "&amp;T19&amp;" than the"</f>
        <v>The ratepayer is a Winner. Therefore, if the Notional Liability is less than the</v>
      </c>
      <c r="K34" s="581"/>
      <c r="L34" s="581"/>
      <c r="M34" s="581"/>
      <c r="N34" s="581"/>
      <c r="O34" s="581"/>
      <c r="P34" s="581"/>
      <c r="Q34" s="149"/>
      <c r="R34" s="149"/>
      <c r="S34" s="149"/>
      <c r="T34" s="149"/>
      <c r="U34" s="149"/>
      <c r="V34" s="149"/>
      <c r="W34" s="149"/>
      <c r="AA34" s="581"/>
      <c r="AB34" s="581"/>
      <c r="AC34" s="581"/>
      <c r="AD34" s="581"/>
      <c r="AE34" s="581"/>
      <c r="AF34" s="581"/>
      <c r="AG34" s="581"/>
      <c r="AH34" s="581"/>
      <c r="AI34" s="581"/>
      <c r="AJ34" s="581"/>
      <c r="AK34" s="581"/>
      <c r="AL34" s="581"/>
      <c r="AM34" s="581"/>
      <c r="AN34" s="581"/>
      <c r="AO34" s="581"/>
      <c r="AP34" s="581"/>
      <c r="AQ34" s="581"/>
      <c r="AR34" s="581"/>
    </row>
    <row r="35" spans="1:44" ht="13.5" customHeight="1" x14ac:dyDescent="0.35">
      <c r="A35" s="581"/>
      <c r="C35" s="291"/>
      <c r="D35" s="256" t="str">
        <f>"Base Liability AND "&amp;T19&amp;" than the Transitional Limit, transitional limits will apply"</f>
        <v>Base Liability AND less than the Transitional Limit, transitional limits will apply</v>
      </c>
      <c r="K35" s="581"/>
      <c r="L35" s="581"/>
      <c r="M35" s="581"/>
      <c r="N35" s="581"/>
      <c r="O35" s="581"/>
      <c r="P35" s="581"/>
      <c r="Q35" s="149"/>
      <c r="R35" s="149"/>
      <c r="S35" s="149"/>
      <c r="T35" s="149"/>
      <c r="U35" s="149"/>
      <c r="V35" s="149"/>
      <c r="W35" s="149"/>
      <c r="AA35" s="581"/>
      <c r="AB35" s="581"/>
      <c r="AC35" s="581"/>
      <c r="AD35" s="581"/>
      <c r="AE35" s="581"/>
      <c r="AF35" s="581"/>
      <c r="AG35" s="581"/>
      <c r="AH35" s="581"/>
      <c r="AI35" s="581"/>
      <c r="AJ35" s="581"/>
      <c r="AK35" s="581"/>
      <c r="AL35" s="581"/>
      <c r="AM35" s="581"/>
      <c r="AN35" s="581"/>
      <c r="AO35" s="581"/>
      <c r="AP35" s="581"/>
      <c r="AQ35" s="581"/>
      <c r="AR35" s="581"/>
    </row>
    <row r="36" spans="1:44" ht="13.5" customHeight="1" x14ac:dyDescent="0.35">
      <c r="A36" s="581"/>
      <c r="C36" s="291"/>
      <c r="K36" s="581"/>
      <c r="L36" s="581"/>
      <c r="M36" s="581"/>
      <c r="N36" s="581"/>
      <c r="O36" s="581"/>
      <c r="P36" s="581"/>
      <c r="Q36" s="149"/>
      <c r="R36" s="149"/>
      <c r="S36" s="149"/>
      <c r="T36" s="149"/>
      <c r="U36" s="149"/>
      <c r="V36" s="149"/>
      <c r="W36" s="149"/>
      <c r="AA36" s="581"/>
      <c r="AB36" s="581"/>
      <c r="AC36" s="581"/>
      <c r="AD36" s="581"/>
      <c r="AE36" s="581"/>
      <c r="AF36" s="581"/>
      <c r="AG36" s="581"/>
      <c r="AH36" s="581"/>
      <c r="AI36" s="581"/>
      <c r="AJ36" s="581"/>
      <c r="AK36" s="581"/>
      <c r="AL36" s="581"/>
      <c r="AM36" s="581"/>
      <c r="AN36" s="581"/>
      <c r="AO36" s="581"/>
      <c r="AP36" s="581"/>
      <c r="AQ36" s="581"/>
      <c r="AR36" s="581"/>
    </row>
    <row r="37" spans="1:44" ht="13.5" customHeight="1" x14ac:dyDescent="0.35">
      <c r="A37" s="581"/>
      <c r="C37" s="291"/>
      <c r="D37" s="482" t="s">
        <v>40</v>
      </c>
      <c r="E37" s="483"/>
      <c r="F37" s="484">
        <f>T17</f>
        <v>0</v>
      </c>
      <c r="K37" s="581"/>
      <c r="L37" s="581"/>
      <c r="M37" s="581"/>
      <c r="N37" s="581"/>
      <c r="O37" s="581"/>
      <c r="P37" s="581"/>
      <c r="Q37" s="149"/>
      <c r="R37" s="149"/>
      <c r="S37" s="149"/>
      <c r="T37" s="149"/>
      <c r="U37" s="149"/>
      <c r="V37" s="149"/>
      <c r="W37" s="149"/>
      <c r="AA37" s="581"/>
      <c r="AB37" s="581"/>
      <c r="AC37" s="581"/>
      <c r="AD37" s="581"/>
      <c r="AE37" s="581"/>
      <c r="AF37" s="581"/>
      <c r="AG37" s="581"/>
      <c r="AH37" s="581"/>
      <c r="AI37" s="581"/>
      <c r="AJ37" s="581"/>
      <c r="AK37" s="581"/>
      <c r="AL37" s="581"/>
      <c r="AM37" s="581"/>
      <c r="AN37" s="581"/>
      <c r="AO37" s="581"/>
      <c r="AP37" s="581"/>
      <c r="AQ37" s="581"/>
      <c r="AR37" s="581"/>
    </row>
    <row r="38" spans="1:44" ht="13.5" customHeight="1" x14ac:dyDescent="0.35">
      <c r="A38" s="581"/>
      <c r="C38" s="291"/>
      <c r="D38" s="482" t="s">
        <v>834</v>
      </c>
      <c r="E38" s="483"/>
      <c r="F38" s="484">
        <f>T14</f>
        <v>0</v>
      </c>
      <c r="K38" s="581"/>
      <c r="L38" s="581"/>
      <c r="M38" s="581"/>
      <c r="N38" s="581"/>
      <c r="O38" s="581"/>
      <c r="P38" s="581"/>
      <c r="Q38" s="149"/>
      <c r="R38" s="149"/>
      <c r="S38" s="149"/>
      <c r="T38" s="149"/>
      <c r="U38" s="149"/>
      <c r="V38" s="149"/>
      <c r="W38" s="149"/>
      <c r="AA38" s="581"/>
      <c r="AB38" s="581"/>
      <c r="AC38" s="581"/>
      <c r="AD38" s="581"/>
      <c r="AE38" s="581"/>
      <c r="AF38" s="581"/>
      <c r="AG38" s="581"/>
      <c r="AH38" s="581"/>
      <c r="AI38" s="581"/>
      <c r="AJ38" s="581"/>
      <c r="AK38" s="581"/>
      <c r="AL38" s="581"/>
      <c r="AM38" s="581"/>
      <c r="AN38" s="581"/>
      <c r="AO38" s="581"/>
      <c r="AP38" s="581"/>
      <c r="AQ38" s="581"/>
      <c r="AR38" s="581"/>
    </row>
    <row r="39" spans="1:44" ht="13.5" customHeight="1" x14ac:dyDescent="0.35">
      <c r="A39" s="581"/>
      <c r="C39" s="291"/>
      <c r="D39" s="482" t="s">
        <v>41</v>
      </c>
      <c r="E39" s="483"/>
      <c r="F39" s="484">
        <f>F32</f>
        <v>0</v>
      </c>
      <c r="K39" s="581"/>
      <c r="L39" s="581"/>
      <c r="M39" s="581"/>
      <c r="N39" s="581"/>
      <c r="O39" s="581"/>
      <c r="P39" s="581"/>
      <c r="Q39" s="149"/>
      <c r="R39" s="149"/>
      <c r="S39" s="149"/>
      <c r="T39" s="149"/>
      <c r="U39" s="149"/>
      <c r="V39" s="149"/>
      <c r="W39" s="149"/>
      <c r="AA39" s="581"/>
      <c r="AB39" s="581"/>
      <c r="AC39" s="581"/>
      <c r="AD39" s="581"/>
      <c r="AE39" s="581"/>
      <c r="AF39" s="581"/>
      <c r="AG39" s="581"/>
      <c r="AH39" s="581"/>
      <c r="AI39" s="581"/>
      <c r="AJ39" s="581"/>
      <c r="AK39" s="581"/>
      <c r="AL39" s="581"/>
      <c r="AM39" s="581"/>
      <c r="AN39" s="581"/>
      <c r="AO39" s="581"/>
      <c r="AP39" s="581"/>
      <c r="AQ39" s="581"/>
      <c r="AR39" s="581"/>
    </row>
    <row r="40" spans="1:44" ht="14.15" customHeight="1" x14ac:dyDescent="0.35">
      <c r="A40" s="581"/>
      <c r="D40" s="482" t="s">
        <v>42</v>
      </c>
      <c r="E40" s="483"/>
      <c r="F40" s="485" t="str">
        <f>IF(calc2!E38 = TRUE,"Yes","No")</f>
        <v>No</v>
      </c>
      <c r="G40" s="257" t="str">
        <f>IF(T14=0,"If there is no BL transition does not apply",IF(F40="Yes",IF(T20="Loser","(Transitional Relief)","(Transitional Premium)"),""))</f>
        <v>If there is no BL transition does not apply</v>
      </c>
      <c r="K40" s="581"/>
      <c r="L40" s="581"/>
      <c r="M40" s="581"/>
      <c r="N40" s="581"/>
      <c r="O40" s="581"/>
      <c r="P40" s="581"/>
      <c r="Q40" s="149"/>
      <c r="R40" s="149"/>
      <c r="S40" s="149"/>
      <c r="T40" s="149"/>
      <c r="U40" s="149"/>
      <c r="V40" s="149"/>
      <c r="W40" s="149"/>
      <c r="AA40" s="581"/>
      <c r="AB40" s="581"/>
      <c r="AC40" s="581"/>
      <c r="AD40" s="581"/>
      <c r="AE40" s="581"/>
      <c r="AF40" s="581"/>
      <c r="AG40" s="581"/>
      <c r="AH40" s="581"/>
      <c r="AI40" s="581"/>
      <c r="AJ40" s="581"/>
      <c r="AK40" s="581"/>
      <c r="AL40" s="581"/>
      <c r="AM40" s="581"/>
      <c r="AN40" s="581"/>
      <c r="AO40" s="581"/>
      <c r="AP40" s="581"/>
      <c r="AQ40" s="581"/>
      <c r="AR40" s="581"/>
    </row>
    <row r="41" spans="1:44" ht="14.15" customHeight="1" x14ac:dyDescent="0.35">
      <c r="A41" s="581"/>
      <c r="F41" s="486"/>
      <c r="K41" s="581"/>
      <c r="L41" s="581"/>
      <c r="M41" s="581"/>
      <c r="N41" s="581"/>
      <c r="O41" s="581"/>
      <c r="P41" s="581"/>
      <c r="Q41" s="149"/>
      <c r="R41" s="149"/>
      <c r="S41" s="149"/>
      <c r="T41" s="149"/>
      <c r="U41" s="149"/>
      <c r="V41" s="149"/>
      <c r="W41" s="149"/>
      <c r="AA41" s="581"/>
      <c r="AB41" s="581"/>
      <c r="AC41" s="581"/>
      <c r="AD41" s="581"/>
      <c r="AE41" s="581"/>
      <c r="AF41" s="581"/>
      <c r="AG41" s="581"/>
      <c r="AH41" s="581"/>
      <c r="AI41" s="581"/>
      <c r="AJ41" s="581"/>
      <c r="AK41" s="581"/>
      <c r="AL41" s="581"/>
      <c r="AM41" s="581"/>
      <c r="AN41" s="581"/>
      <c r="AO41" s="581"/>
      <c r="AP41" s="581"/>
      <c r="AQ41" s="581"/>
      <c r="AR41" s="581"/>
    </row>
    <row r="42" spans="1:44" ht="19.5" customHeight="1" x14ac:dyDescent="0.35">
      <c r="A42" s="581"/>
      <c r="D42" s="488" t="str">
        <f>IF(F40="Yes","The Transitional Adjustment (TL - NL) is therefore   "&amp;TEXT(T27,"#,###.00"),"In this case there will be no transitional adjustment")</f>
        <v>In this case there will be no transitional adjustment</v>
      </c>
      <c r="F42" s="486"/>
      <c r="G42" s="481"/>
      <c r="K42" s="581"/>
      <c r="L42" s="581"/>
      <c r="M42" s="581"/>
      <c r="N42" s="581"/>
      <c r="O42" s="581"/>
      <c r="P42" s="581"/>
      <c r="Q42" s="149"/>
      <c r="R42" s="149"/>
      <c r="S42" s="149"/>
      <c r="T42" s="149"/>
      <c r="U42" s="149"/>
      <c r="V42" s="149"/>
      <c r="W42" s="149"/>
      <c r="AA42" s="581"/>
      <c r="AB42" s="581"/>
      <c r="AC42" s="581"/>
      <c r="AD42" s="581"/>
      <c r="AE42" s="581"/>
      <c r="AF42" s="581"/>
      <c r="AG42" s="581"/>
      <c r="AH42" s="581"/>
      <c r="AI42" s="581"/>
      <c r="AJ42" s="581"/>
      <c r="AK42" s="581"/>
      <c r="AL42" s="581"/>
      <c r="AM42" s="581"/>
      <c r="AN42" s="581"/>
      <c r="AO42" s="581"/>
      <c r="AP42" s="581"/>
      <c r="AQ42" s="581"/>
      <c r="AR42" s="581"/>
    </row>
    <row r="43" spans="1:44" ht="14.15" customHeight="1" x14ac:dyDescent="0.35">
      <c r="A43" s="581"/>
      <c r="F43" s="486"/>
      <c r="K43" s="581"/>
      <c r="L43" s="581"/>
      <c r="M43" s="581"/>
      <c r="N43" s="581"/>
      <c r="O43" s="581"/>
      <c r="P43" s="581"/>
      <c r="Q43" s="149"/>
      <c r="R43" s="149"/>
      <c r="S43" s="149"/>
      <c r="T43" s="149"/>
      <c r="U43" s="149"/>
      <c r="V43" s="149"/>
      <c r="W43" s="149"/>
      <c r="AA43" s="581"/>
      <c r="AB43" s="581"/>
      <c r="AC43" s="581"/>
      <c r="AD43" s="581"/>
      <c r="AE43" s="581"/>
      <c r="AF43" s="581"/>
      <c r="AG43" s="581"/>
      <c r="AH43" s="581"/>
      <c r="AI43" s="581"/>
      <c r="AJ43" s="581"/>
      <c r="AK43" s="581"/>
      <c r="AL43" s="581"/>
      <c r="AM43" s="581"/>
      <c r="AN43" s="581"/>
      <c r="AO43" s="581"/>
      <c r="AP43" s="581"/>
      <c r="AQ43" s="581"/>
      <c r="AR43" s="581"/>
    </row>
    <row r="44" spans="1:44" ht="14.15" customHeight="1" x14ac:dyDescent="0.35">
      <c r="A44" s="581"/>
      <c r="D44" s="256" t="str">
        <f>IF(F40="Yes","This figure will be adjusted for the number of chargeable days (if not a full year) and used","")</f>
        <v/>
      </c>
      <c r="F44" s="486"/>
      <c r="K44" s="581"/>
      <c r="L44" s="581"/>
      <c r="M44" s="581"/>
      <c r="N44" s="581"/>
      <c r="O44" s="581"/>
      <c r="P44" s="581"/>
      <c r="Q44" s="149"/>
      <c r="R44" s="149"/>
      <c r="S44" s="149"/>
      <c r="T44" s="149"/>
      <c r="U44" s="149"/>
      <c r="V44" s="149"/>
      <c r="W44" s="149"/>
      <c r="AA44" s="581"/>
      <c r="AB44" s="581"/>
      <c r="AC44" s="581"/>
      <c r="AD44" s="581"/>
      <c r="AE44" s="581"/>
      <c r="AF44" s="581"/>
      <c r="AG44" s="581"/>
      <c r="AH44" s="581"/>
      <c r="AI44" s="581"/>
      <c r="AJ44" s="581"/>
      <c r="AK44" s="581"/>
      <c r="AL44" s="581"/>
      <c r="AM44" s="581"/>
      <c r="AN44" s="581"/>
      <c r="AO44" s="581"/>
      <c r="AP44" s="581"/>
      <c r="AQ44" s="581"/>
      <c r="AR44" s="581"/>
    </row>
    <row r="45" spans="1:44" ht="14.15" customHeight="1" x14ac:dyDescent="0.35">
      <c r="A45" s="581"/>
      <c r="D45" s="256" t="str">
        <f>IF(F40="Yes","in the liability calculation","")</f>
        <v/>
      </c>
      <c r="E45" s="276"/>
      <c r="H45" s="327"/>
      <c r="K45" s="581"/>
      <c r="L45" s="581"/>
      <c r="M45" s="581"/>
      <c r="N45" s="581"/>
      <c r="O45" s="581"/>
      <c r="P45" s="581"/>
      <c r="Q45" s="149"/>
      <c r="R45" s="149"/>
      <c r="S45" s="149"/>
      <c r="T45" s="149"/>
      <c r="U45" s="149"/>
      <c r="V45" s="149"/>
      <c r="W45" s="149"/>
      <c r="AA45" s="581"/>
      <c r="AB45" s="581"/>
      <c r="AC45" s="581"/>
      <c r="AD45" s="581"/>
      <c r="AE45" s="581"/>
      <c r="AF45" s="581"/>
      <c r="AG45" s="581"/>
      <c r="AH45" s="581"/>
      <c r="AI45" s="581"/>
      <c r="AJ45" s="581"/>
      <c r="AK45" s="581"/>
      <c r="AL45" s="581"/>
      <c r="AM45" s="581"/>
      <c r="AN45" s="581"/>
      <c r="AO45" s="581"/>
      <c r="AP45" s="581"/>
      <c r="AQ45" s="581"/>
      <c r="AR45" s="581"/>
    </row>
    <row r="46" spans="1:44" ht="14.15" customHeight="1" x14ac:dyDescent="0.35">
      <c r="A46" s="581"/>
      <c r="K46" s="581"/>
      <c r="L46" s="581"/>
      <c r="M46" s="581"/>
      <c r="N46" s="581"/>
      <c r="O46" s="581"/>
      <c r="P46" s="581"/>
      <c r="Q46" s="149"/>
      <c r="R46" s="149"/>
      <c r="S46" s="149"/>
      <c r="T46" s="149"/>
      <c r="U46" s="149"/>
      <c r="V46" s="149"/>
      <c r="W46" s="149"/>
      <c r="AA46" s="581"/>
      <c r="AB46" s="581"/>
      <c r="AC46" s="581"/>
      <c r="AD46" s="581"/>
      <c r="AE46" s="581"/>
      <c r="AF46" s="581"/>
      <c r="AG46" s="581"/>
      <c r="AH46" s="581"/>
      <c r="AI46" s="581"/>
      <c r="AJ46" s="581"/>
      <c r="AK46" s="581"/>
      <c r="AL46" s="581"/>
      <c r="AM46" s="581"/>
      <c r="AN46" s="581"/>
      <c r="AO46" s="581"/>
      <c r="AP46" s="581"/>
      <c r="AQ46" s="581"/>
      <c r="AR46" s="581"/>
    </row>
    <row r="47" spans="1:44" ht="14.15" customHeight="1" x14ac:dyDescent="0.35">
      <c r="A47" s="581"/>
      <c r="E47" s="276"/>
      <c r="H47" s="327"/>
      <c r="K47" s="581"/>
      <c r="L47" s="581"/>
      <c r="M47" s="581"/>
      <c r="N47" s="581"/>
      <c r="O47" s="581"/>
      <c r="P47" s="581"/>
      <c r="Q47" s="149"/>
      <c r="R47" s="149"/>
      <c r="S47" s="149"/>
      <c r="T47" s="149"/>
      <c r="U47" s="149"/>
      <c r="V47" s="149"/>
      <c r="W47" s="149"/>
      <c r="AA47" s="581"/>
      <c r="AB47" s="581"/>
      <c r="AC47" s="581"/>
      <c r="AD47" s="581"/>
      <c r="AE47" s="581"/>
      <c r="AF47" s="581"/>
      <c r="AG47" s="581"/>
      <c r="AH47" s="581"/>
      <c r="AI47" s="581"/>
      <c r="AJ47" s="581"/>
      <c r="AK47" s="581"/>
      <c r="AL47" s="581"/>
      <c r="AM47" s="581"/>
      <c r="AN47" s="581"/>
      <c r="AO47" s="581"/>
      <c r="AP47" s="581"/>
      <c r="AQ47" s="581"/>
      <c r="AR47" s="581"/>
    </row>
    <row r="48" spans="1:44" ht="9" customHeight="1" x14ac:dyDescent="0.25">
      <c r="A48" s="581"/>
      <c r="K48" s="581"/>
      <c r="L48" s="581"/>
      <c r="M48" s="581"/>
      <c r="N48" s="581"/>
      <c r="O48" s="581"/>
      <c r="P48" s="581"/>
      <c r="AA48" s="581"/>
      <c r="AB48" s="581"/>
      <c r="AC48" s="581"/>
      <c r="AD48" s="581"/>
      <c r="AE48" s="581"/>
      <c r="AF48" s="581"/>
      <c r="AG48" s="581"/>
      <c r="AH48" s="581"/>
      <c r="AI48" s="581"/>
      <c r="AJ48" s="581"/>
      <c r="AK48" s="581"/>
      <c r="AL48" s="581"/>
      <c r="AM48" s="581"/>
      <c r="AN48" s="581"/>
      <c r="AO48" s="581"/>
      <c r="AP48" s="581"/>
      <c r="AQ48" s="581"/>
      <c r="AR48" s="581"/>
    </row>
    <row r="49" spans="1:44" ht="12.5" x14ac:dyDescent="0.25">
      <c r="A49" s="581"/>
      <c r="C49" s="283"/>
      <c r="D49" s="283"/>
      <c r="E49" s="335"/>
      <c r="F49" s="335"/>
      <c r="G49" s="335"/>
      <c r="H49" s="283"/>
      <c r="I49" s="487"/>
      <c r="J49" s="283"/>
      <c r="K49" s="581"/>
      <c r="L49" s="581"/>
      <c r="M49" s="581"/>
      <c r="N49" s="581"/>
      <c r="O49" s="581"/>
      <c r="P49" s="581"/>
      <c r="AA49" s="581"/>
      <c r="AB49" s="581"/>
      <c r="AC49" s="581"/>
      <c r="AD49" s="581"/>
      <c r="AE49" s="581"/>
      <c r="AF49" s="581"/>
      <c r="AG49" s="581"/>
      <c r="AH49" s="581"/>
      <c r="AI49" s="581"/>
      <c r="AJ49" s="581"/>
      <c r="AK49" s="581"/>
      <c r="AL49" s="581"/>
      <c r="AM49" s="581"/>
      <c r="AN49" s="581"/>
      <c r="AO49" s="581"/>
      <c r="AP49" s="581"/>
      <c r="AQ49" s="581"/>
      <c r="AR49" s="581"/>
    </row>
    <row r="50" spans="1:44" ht="11.25" customHeight="1" x14ac:dyDescent="0.25">
      <c r="A50" s="581"/>
      <c r="K50" s="581"/>
      <c r="L50" s="581"/>
      <c r="M50" s="581"/>
      <c r="N50" s="581"/>
      <c r="O50" s="581"/>
      <c r="P50" s="581"/>
      <c r="AA50" s="581"/>
      <c r="AB50" s="581"/>
      <c r="AC50" s="581"/>
      <c r="AD50" s="581"/>
      <c r="AE50" s="581"/>
      <c r="AF50" s="581"/>
      <c r="AG50" s="581"/>
      <c r="AH50" s="581"/>
      <c r="AI50" s="581"/>
      <c r="AJ50" s="581"/>
      <c r="AK50" s="581"/>
      <c r="AL50" s="581"/>
      <c r="AM50" s="581"/>
      <c r="AN50" s="581"/>
      <c r="AO50" s="581"/>
      <c r="AP50" s="581"/>
      <c r="AQ50" s="581"/>
      <c r="AR50" s="581"/>
    </row>
    <row r="51" spans="1:44" ht="21" customHeight="1" x14ac:dyDescent="0.35">
      <c r="A51" s="581"/>
      <c r="C51" s="256" t="str">
        <f>'basic output'!C57</f>
        <v>prepared by</v>
      </c>
      <c r="D51" s="488" t="str">
        <f>'basic output'!E57</f>
        <v>CBRE</v>
      </c>
      <c r="K51" s="581"/>
      <c r="L51" s="581"/>
      <c r="M51" s="581"/>
      <c r="N51" s="581"/>
      <c r="O51" s="581"/>
      <c r="P51" s="581"/>
      <c r="AA51" s="581"/>
      <c r="AB51" s="581"/>
      <c r="AC51" s="581"/>
      <c r="AD51" s="581"/>
      <c r="AE51" s="581"/>
      <c r="AF51" s="581"/>
      <c r="AG51" s="581"/>
      <c r="AH51" s="581"/>
      <c r="AI51" s="581"/>
      <c r="AJ51" s="581"/>
      <c r="AK51" s="581"/>
      <c r="AL51" s="581"/>
      <c r="AM51" s="581"/>
      <c r="AN51" s="581"/>
      <c r="AO51" s="581"/>
      <c r="AP51" s="581"/>
      <c r="AQ51" s="581"/>
      <c r="AR51" s="581"/>
    </row>
    <row r="52" spans="1:44" ht="24" customHeight="1" x14ac:dyDescent="0.25">
      <c r="A52" s="581"/>
      <c r="K52" s="581"/>
      <c r="L52" s="581"/>
      <c r="M52" s="581"/>
      <c r="N52" s="581"/>
      <c r="O52" s="581"/>
      <c r="P52" s="581"/>
      <c r="AA52" s="581"/>
      <c r="AB52" s="581"/>
      <c r="AC52" s="581"/>
      <c r="AD52" s="581"/>
      <c r="AE52" s="581"/>
      <c r="AF52" s="581"/>
      <c r="AG52" s="581"/>
      <c r="AH52" s="581"/>
      <c r="AI52" s="581"/>
      <c r="AJ52" s="581"/>
      <c r="AK52" s="581"/>
      <c r="AL52" s="581"/>
      <c r="AM52" s="581"/>
      <c r="AN52" s="581"/>
      <c r="AO52" s="581"/>
      <c r="AP52" s="581"/>
      <c r="AQ52" s="581"/>
      <c r="AR52" s="581"/>
    </row>
    <row r="53" spans="1:44" ht="12.75" customHeight="1" x14ac:dyDescent="0.25">
      <c r="A53" s="581"/>
      <c r="B53" s="581"/>
      <c r="C53" s="581"/>
      <c r="D53" s="581"/>
      <c r="E53" s="581"/>
      <c r="F53" s="581"/>
      <c r="G53" s="581"/>
      <c r="H53" s="581"/>
      <c r="I53" s="581"/>
      <c r="J53" s="581"/>
      <c r="K53" s="581"/>
      <c r="L53" s="581"/>
      <c r="M53" s="581"/>
      <c r="N53" s="581"/>
      <c r="O53" s="581"/>
      <c r="P53" s="581"/>
      <c r="AA53" s="581"/>
      <c r="AB53" s="581"/>
      <c r="AC53" s="581"/>
      <c r="AD53" s="581"/>
      <c r="AE53" s="581"/>
      <c r="AF53" s="581"/>
      <c r="AG53" s="581"/>
      <c r="AH53" s="581"/>
      <c r="AI53" s="581"/>
      <c r="AJ53" s="581"/>
      <c r="AK53" s="581"/>
      <c r="AL53" s="581"/>
      <c r="AM53" s="581"/>
      <c r="AN53" s="581"/>
      <c r="AO53" s="581"/>
      <c r="AP53" s="581"/>
      <c r="AQ53" s="581"/>
      <c r="AR53" s="581"/>
    </row>
    <row r="54" spans="1:44" ht="12.75" customHeight="1" x14ac:dyDescent="0.25">
      <c r="A54" s="581"/>
      <c r="B54" s="581"/>
      <c r="C54" s="581"/>
      <c r="D54" s="581"/>
      <c r="E54" s="581"/>
      <c r="F54" s="581"/>
      <c r="G54" s="581"/>
      <c r="H54" s="581"/>
      <c r="I54" s="581"/>
      <c r="J54" s="581"/>
      <c r="K54" s="581"/>
      <c r="L54" s="581"/>
      <c r="M54" s="581"/>
      <c r="N54" s="581"/>
      <c r="O54" s="581"/>
      <c r="P54" s="581"/>
      <c r="AA54" s="581"/>
      <c r="AB54" s="581"/>
      <c r="AC54" s="581"/>
      <c r="AD54" s="581"/>
      <c r="AE54" s="581"/>
      <c r="AF54" s="581"/>
      <c r="AG54" s="581"/>
      <c r="AH54" s="581"/>
      <c r="AI54" s="581"/>
      <c r="AJ54" s="581"/>
      <c r="AK54" s="581"/>
      <c r="AL54" s="581"/>
      <c r="AM54" s="581"/>
      <c r="AN54" s="581"/>
      <c r="AO54" s="581"/>
      <c r="AP54" s="581"/>
      <c r="AQ54" s="581"/>
      <c r="AR54" s="581"/>
    </row>
    <row r="55" spans="1:44" ht="12.75" customHeight="1" x14ac:dyDescent="0.25">
      <c r="A55" s="581"/>
      <c r="B55" s="581"/>
      <c r="C55" s="581"/>
      <c r="D55" s="581"/>
      <c r="E55" s="581"/>
      <c r="F55" s="581"/>
      <c r="G55" s="581"/>
      <c r="H55" s="581"/>
      <c r="I55" s="581"/>
      <c r="J55" s="581"/>
      <c r="K55" s="581"/>
      <c r="L55" s="581"/>
      <c r="M55" s="581"/>
      <c r="N55" s="581"/>
      <c r="O55" s="581"/>
      <c r="P55" s="581"/>
      <c r="AA55" s="581"/>
      <c r="AB55" s="581"/>
      <c r="AC55" s="581"/>
      <c r="AD55" s="581"/>
      <c r="AE55" s="581"/>
      <c r="AF55" s="581"/>
      <c r="AG55" s="581"/>
      <c r="AH55" s="581"/>
      <c r="AI55" s="581"/>
      <c r="AJ55" s="581"/>
      <c r="AK55" s="581"/>
      <c r="AL55" s="581"/>
      <c r="AM55" s="581"/>
      <c r="AN55" s="581"/>
      <c r="AO55" s="581"/>
      <c r="AP55" s="581"/>
      <c r="AQ55" s="581"/>
      <c r="AR55" s="581"/>
    </row>
    <row r="56" spans="1:44" ht="12.75" customHeight="1" x14ac:dyDescent="0.25">
      <c r="A56" s="581"/>
      <c r="B56" s="581"/>
      <c r="C56" s="581"/>
      <c r="D56" s="581"/>
      <c r="E56" s="581"/>
      <c r="F56" s="581"/>
      <c r="G56" s="581"/>
      <c r="H56" s="581"/>
      <c r="I56" s="581"/>
      <c r="J56" s="581"/>
      <c r="K56" s="581"/>
      <c r="L56" s="581"/>
      <c r="M56" s="581"/>
      <c r="N56" s="581"/>
      <c r="O56" s="581"/>
      <c r="P56" s="581"/>
      <c r="AA56" s="581"/>
      <c r="AB56" s="581"/>
      <c r="AC56" s="581"/>
      <c r="AD56" s="581"/>
      <c r="AE56" s="581"/>
      <c r="AF56" s="581"/>
      <c r="AG56" s="581"/>
      <c r="AH56" s="581"/>
      <c r="AI56" s="581"/>
      <c r="AJ56" s="581"/>
      <c r="AK56" s="581"/>
      <c r="AL56" s="581"/>
      <c r="AM56" s="581"/>
      <c r="AN56" s="581"/>
      <c r="AO56" s="581"/>
      <c r="AP56" s="581"/>
      <c r="AQ56" s="581"/>
      <c r="AR56" s="581"/>
    </row>
    <row r="57" spans="1:44" ht="12.75" customHeight="1" x14ac:dyDescent="0.25">
      <c r="A57" s="581"/>
      <c r="B57" s="581"/>
      <c r="C57" s="581"/>
      <c r="D57" s="581"/>
      <c r="E57" s="581"/>
      <c r="F57" s="581"/>
      <c r="G57" s="581"/>
      <c r="H57" s="581"/>
      <c r="I57" s="581"/>
      <c r="J57" s="581"/>
      <c r="K57" s="581"/>
      <c r="L57" s="581"/>
      <c r="M57" s="581"/>
      <c r="N57" s="581"/>
      <c r="O57" s="581"/>
      <c r="P57" s="581"/>
      <c r="AA57" s="581"/>
      <c r="AB57" s="581"/>
      <c r="AC57" s="581"/>
      <c r="AD57" s="581"/>
      <c r="AE57" s="581"/>
      <c r="AF57" s="581"/>
      <c r="AG57" s="581"/>
      <c r="AH57" s="581"/>
      <c r="AI57" s="581"/>
      <c r="AJ57" s="581"/>
      <c r="AK57" s="581"/>
      <c r="AL57" s="581"/>
      <c r="AM57" s="581"/>
      <c r="AN57" s="581"/>
      <c r="AO57" s="581"/>
      <c r="AP57" s="581"/>
      <c r="AQ57" s="581"/>
      <c r="AR57" s="581"/>
    </row>
    <row r="58" spans="1:44" ht="12.75" customHeight="1" x14ac:dyDescent="0.25">
      <c r="A58" s="581"/>
      <c r="B58" s="581"/>
      <c r="C58" s="581"/>
      <c r="D58" s="581"/>
      <c r="E58" s="581"/>
      <c r="F58" s="581"/>
      <c r="G58" s="581"/>
      <c r="H58" s="581"/>
      <c r="I58" s="581"/>
      <c r="J58" s="581"/>
      <c r="K58" s="581"/>
      <c r="L58" s="581"/>
      <c r="M58" s="581"/>
      <c r="N58" s="581"/>
      <c r="O58" s="581"/>
      <c r="P58" s="581"/>
      <c r="AA58" s="581"/>
      <c r="AB58" s="581"/>
      <c r="AC58" s="581"/>
      <c r="AD58" s="581"/>
      <c r="AE58" s="581"/>
      <c r="AF58" s="581"/>
      <c r="AG58" s="581"/>
      <c r="AH58" s="581"/>
      <c r="AI58" s="581"/>
      <c r="AJ58" s="581"/>
      <c r="AK58" s="581"/>
      <c r="AL58" s="581"/>
      <c r="AM58" s="581"/>
      <c r="AN58" s="581"/>
      <c r="AO58" s="581"/>
      <c r="AP58" s="581"/>
      <c r="AQ58" s="581"/>
      <c r="AR58" s="581"/>
    </row>
    <row r="59" spans="1:44" ht="12.75" customHeight="1" x14ac:dyDescent="0.25">
      <c r="A59" s="581"/>
      <c r="B59" s="581"/>
      <c r="C59" s="581"/>
      <c r="D59" s="581"/>
      <c r="E59" s="581"/>
      <c r="F59" s="581"/>
      <c r="G59" s="581"/>
      <c r="H59" s="581"/>
      <c r="I59" s="581"/>
      <c r="J59" s="581"/>
      <c r="K59" s="581"/>
      <c r="L59" s="581"/>
      <c r="M59" s="581"/>
      <c r="N59" s="581"/>
      <c r="O59" s="581"/>
      <c r="P59" s="581"/>
      <c r="AA59" s="581"/>
      <c r="AB59" s="581"/>
      <c r="AC59" s="581"/>
      <c r="AD59" s="581"/>
      <c r="AE59" s="581"/>
      <c r="AF59" s="581"/>
      <c r="AG59" s="581"/>
      <c r="AH59" s="581"/>
      <c r="AI59" s="581"/>
      <c r="AJ59" s="581"/>
      <c r="AK59" s="581"/>
      <c r="AL59" s="581"/>
      <c r="AM59" s="581"/>
      <c r="AN59" s="581"/>
      <c r="AO59" s="581"/>
      <c r="AP59" s="581"/>
      <c r="AQ59" s="581"/>
      <c r="AR59" s="581"/>
    </row>
    <row r="60" spans="1:44" ht="12.75" customHeight="1" x14ac:dyDescent="0.25">
      <c r="A60" s="581"/>
      <c r="B60" s="581"/>
      <c r="C60" s="581"/>
      <c r="D60" s="581"/>
      <c r="E60" s="581"/>
      <c r="F60" s="581"/>
      <c r="G60" s="581"/>
      <c r="H60" s="581"/>
      <c r="I60" s="581"/>
      <c r="J60" s="581"/>
      <c r="K60" s="581"/>
      <c r="L60" s="581"/>
      <c r="M60" s="581"/>
      <c r="N60" s="581"/>
      <c r="O60" s="581"/>
      <c r="P60" s="581"/>
      <c r="AA60" s="581"/>
      <c r="AB60" s="581"/>
      <c r="AC60" s="581"/>
      <c r="AD60" s="581"/>
      <c r="AE60" s="581"/>
      <c r="AF60" s="581"/>
      <c r="AG60" s="581"/>
      <c r="AH60" s="581"/>
      <c r="AI60" s="581"/>
      <c r="AJ60" s="581"/>
      <c r="AK60" s="581"/>
      <c r="AL60" s="581"/>
      <c r="AM60" s="581"/>
      <c r="AN60" s="581"/>
      <c r="AO60" s="581"/>
      <c r="AP60" s="581"/>
      <c r="AQ60" s="581"/>
      <c r="AR60" s="581"/>
    </row>
    <row r="61" spans="1:44" ht="12.75" customHeight="1" x14ac:dyDescent="0.25">
      <c r="A61" s="581"/>
      <c r="B61" s="581"/>
      <c r="C61" s="581"/>
      <c r="D61" s="581"/>
      <c r="E61" s="581"/>
      <c r="F61" s="581"/>
      <c r="G61" s="581"/>
      <c r="H61" s="581"/>
      <c r="I61" s="581"/>
      <c r="J61" s="581"/>
      <c r="K61" s="581"/>
      <c r="L61" s="581"/>
      <c r="M61" s="581"/>
      <c r="N61" s="581"/>
      <c r="O61" s="581"/>
      <c r="P61" s="581"/>
      <c r="AA61" s="581"/>
      <c r="AB61" s="581"/>
      <c r="AC61" s="581"/>
      <c r="AD61" s="581"/>
      <c r="AE61" s="581"/>
      <c r="AF61" s="581"/>
      <c r="AG61" s="581"/>
      <c r="AH61" s="581"/>
      <c r="AI61" s="581"/>
      <c r="AJ61" s="581"/>
      <c r="AK61" s="581"/>
      <c r="AL61" s="581"/>
      <c r="AM61" s="581"/>
      <c r="AN61" s="581"/>
      <c r="AO61" s="581"/>
      <c r="AP61" s="581"/>
      <c r="AQ61" s="581"/>
      <c r="AR61" s="581"/>
    </row>
    <row r="62" spans="1:44" ht="12.75" customHeight="1" x14ac:dyDescent="0.25">
      <c r="A62" s="581"/>
      <c r="B62" s="581"/>
      <c r="C62" s="581"/>
      <c r="D62" s="581"/>
      <c r="E62" s="581"/>
      <c r="F62" s="581"/>
      <c r="G62" s="581"/>
      <c r="H62" s="581"/>
      <c r="I62" s="581"/>
      <c r="J62" s="581"/>
      <c r="K62" s="581"/>
      <c r="L62" s="581"/>
      <c r="M62" s="581"/>
      <c r="N62" s="581"/>
      <c r="O62" s="581"/>
      <c r="P62" s="581"/>
      <c r="AA62" s="581"/>
      <c r="AB62" s="581"/>
      <c r="AC62" s="581"/>
      <c r="AD62" s="581"/>
      <c r="AE62" s="581"/>
      <c r="AF62" s="581"/>
      <c r="AG62" s="581"/>
      <c r="AH62" s="581"/>
      <c r="AI62" s="581"/>
      <c r="AJ62" s="581"/>
      <c r="AK62" s="581"/>
      <c r="AL62" s="581"/>
      <c r="AM62" s="581"/>
      <c r="AN62" s="581"/>
      <c r="AO62" s="581"/>
      <c r="AP62" s="581"/>
      <c r="AQ62" s="581"/>
      <c r="AR62" s="581"/>
    </row>
    <row r="63" spans="1:44" ht="12.75" customHeight="1" x14ac:dyDescent="0.25">
      <c r="A63" s="581"/>
      <c r="B63" s="581"/>
      <c r="C63" s="581"/>
      <c r="D63" s="581"/>
      <c r="E63" s="581"/>
      <c r="F63" s="581"/>
      <c r="G63" s="581"/>
      <c r="H63" s="581"/>
      <c r="I63" s="581"/>
      <c r="J63" s="581"/>
      <c r="K63" s="581"/>
      <c r="L63" s="581"/>
      <c r="M63" s="581"/>
      <c r="N63" s="581"/>
      <c r="O63" s="581"/>
      <c r="P63" s="581"/>
      <c r="AA63" s="581"/>
      <c r="AB63" s="581"/>
      <c r="AC63" s="581"/>
      <c r="AD63" s="581"/>
      <c r="AE63" s="581"/>
      <c r="AF63" s="581"/>
      <c r="AG63" s="581"/>
      <c r="AH63" s="581"/>
      <c r="AI63" s="581"/>
      <c r="AJ63" s="581"/>
      <c r="AK63" s="581"/>
      <c r="AL63" s="581"/>
      <c r="AM63" s="581"/>
      <c r="AN63" s="581"/>
      <c r="AO63" s="581"/>
      <c r="AP63" s="581"/>
      <c r="AQ63" s="581"/>
      <c r="AR63" s="581"/>
    </row>
    <row r="64" spans="1:44" ht="12.75" customHeight="1" x14ac:dyDescent="0.25">
      <c r="A64" s="581"/>
      <c r="B64" s="581"/>
      <c r="C64" s="581"/>
      <c r="D64" s="581"/>
      <c r="E64" s="581"/>
      <c r="F64" s="581"/>
      <c r="G64" s="581"/>
      <c r="H64" s="581"/>
      <c r="I64" s="581"/>
      <c r="J64" s="581"/>
      <c r="K64" s="581"/>
      <c r="L64" s="581"/>
      <c r="M64" s="581"/>
      <c r="N64" s="581"/>
      <c r="O64" s="581"/>
      <c r="P64" s="581"/>
      <c r="AA64" s="581"/>
      <c r="AB64" s="581"/>
      <c r="AC64" s="581"/>
      <c r="AD64" s="581"/>
      <c r="AE64" s="581"/>
      <c r="AF64" s="581"/>
      <c r="AG64" s="581"/>
      <c r="AH64" s="581"/>
      <c r="AI64" s="581"/>
      <c r="AJ64" s="581"/>
      <c r="AK64" s="581"/>
      <c r="AL64" s="581"/>
      <c r="AM64" s="581"/>
      <c r="AN64" s="581"/>
      <c r="AO64" s="581"/>
      <c r="AP64" s="581"/>
      <c r="AQ64" s="581"/>
      <c r="AR64" s="581"/>
    </row>
    <row r="65" spans="1:44" ht="12.75" customHeight="1" x14ac:dyDescent="0.25">
      <c r="A65" s="581"/>
      <c r="B65" s="581"/>
      <c r="C65" s="581"/>
      <c r="D65" s="581"/>
      <c r="E65" s="581"/>
      <c r="F65" s="581"/>
      <c r="G65" s="581"/>
      <c r="H65" s="581"/>
      <c r="I65" s="581"/>
      <c r="J65" s="581"/>
      <c r="K65" s="581"/>
      <c r="L65" s="581"/>
      <c r="M65" s="581"/>
      <c r="N65" s="581"/>
      <c r="O65" s="581"/>
      <c r="P65" s="581"/>
      <c r="AA65" s="581"/>
      <c r="AB65" s="581"/>
      <c r="AC65" s="581"/>
      <c r="AD65" s="581"/>
      <c r="AE65" s="581"/>
      <c r="AF65" s="581"/>
      <c r="AG65" s="581"/>
      <c r="AH65" s="581"/>
      <c r="AI65" s="581"/>
      <c r="AJ65" s="581"/>
      <c r="AK65" s="581"/>
      <c r="AL65" s="581"/>
      <c r="AM65" s="581"/>
      <c r="AN65" s="581"/>
      <c r="AO65" s="581"/>
      <c r="AP65" s="581"/>
      <c r="AQ65" s="581"/>
      <c r="AR65" s="581"/>
    </row>
    <row r="66" spans="1:44" ht="12.75" customHeight="1" x14ac:dyDescent="0.25">
      <c r="A66" s="581"/>
      <c r="B66" s="581"/>
      <c r="C66" s="581"/>
      <c r="D66" s="581"/>
      <c r="E66" s="581"/>
      <c r="F66" s="581"/>
      <c r="G66" s="581"/>
      <c r="H66" s="581"/>
      <c r="I66" s="581"/>
      <c r="J66" s="581"/>
      <c r="K66" s="581"/>
      <c r="L66" s="581"/>
      <c r="M66" s="581"/>
      <c r="N66" s="581"/>
      <c r="O66" s="581"/>
      <c r="P66" s="581"/>
      <c r="AA66" s="581"/>
      <c r="AB66" s="581"/>
      <c r="AC66" s="581"/>
      <c r="AD66" s="581"/>
      <c r="AE66" s="581"/>
      <c r="AF66" s="581"/>
      <c r="AG66" s="581"/>
      <c r="AH66" s="581"/>
      <c r="AI66" s="581"/>
      <c r="AJ66" s="581"/>
      <c r="AK66" s="581"/>
      <c r="AL66" s="581"/>
      <c r="AM66" s="581"/>
      <c r="AN66" s="581"/>
      <c r="AO66" s="581"/>
      <c r="AP66" s="581"/>
      <c r="AQ66" s="581"/>
      <c r="AR66" s="581"/>
    </row>
    <row r="67" spans="1:44" ht="12.75" customHeight="1" x14ac:dyDescent="0.25">
      <c r="A67" s="581"/>
      <c r="B67" s="581"/>
      <c r="C67" s="581"/>
      <c r="D67" s="581"/>
      <c r="E67" s="581"/>
      <c r="F67" s="581"/>
      <c r="G67" s="581"/>
      <c r="H67" s="581"/>
      <c r="I67" s="581"/>
      <c r="J67" s="581"/>
      <c r="K67" s="581"/>
      <c r="L67" s="581"/>
      <c r="M67" s="581"/>
      <c r="N67" s="581"/>
      <c r="O67" s="581"/>
      <c r="P67" s="581"/>
      <c r="AA67" s="581"/>
      <c r="AB67" s="581"/>
      <c r="AC67" s="581"/>
      <c r="AD67" s="581"/>
      <c r="AE67" s="581"/>
      <c r="AF67" s="581"/>
      <c r="AG67" s="581"/>
      <c r="AH67" s="581"/>
      <c r="AI67" s="581"/>
      <c r="AJ67" s="581"/>
      <c r="AK67" s="581"/>
      <c r="AL67" s="581"/>
      <c r="AM67" s="581"/>
      <c r="AN67" s="581"/>
      <c r="AO67" s="581"/>
      <c r="AP67" s="581"/>
      <c r="AQ67" s="581"/>
      <c r="AR67" s="581"/>
    </row>
    <row r="68" spans="1:44" ht="12.75" customHeight="1" x14ac:dyDescent="0.25">
      <c r="A68" s="581"/>
      <c r="B68" s="581"/>
      <c r="C68" s="581"/>
      <c r="D68" s="581"/>
      <c r="E68" s="581"/>
      <c r="F68" s="581"/>
      <c r="G68" s="581"/>
      <c r="H68" s="581"/>
      <c r="I68" s="581"/>
      <c r="J68" s="581"/>
      <c r="K68" s="581"/>
      <c r="L68" s="581"/>
      <c r="M68" s="581"/>
      <c r="N68" s="581"/>
      <c r="O68" s="581"/>
      <c r="P68" s="581"/>
      <c r="AA68" s="581"/>
      <c r="AB68" s="581"/>
      <c r="AC68" s="581"/>
      <c r="AD68" s="581"/>
      <c r="AE68" s="581"/>
      <c r="AF68" s="581"/>
      <c r="AG68" s="581"/>
      <c r="AH68" s="581"/>
      <c r="AI68" s="581"/>
      <c r="AJ68" s="581"/>
      <c r="AK68" s="581"/>
      <c r="AL68" s="581"/>
      <c r="AM68" s="581"/>
      <c r="AN68" s="581"/>
      <c r="AO68" s="581"/>
      <c r="AP68" s="581"/>
      <c r="AQ68" s="581"/>
      <c r="AR68" s="581"/>
    </row>
    <row r="69" spans="1:44" ht="12.75" customHeight="1" x14ac:dyDescent="0.25">
      <c r="A69" s="581"/>
      <c r="B69" s="581"/>
      <c r="C69" s="581"/>
      <c r="D69" s="581"/>
      <c r="E69" s="581"/>
      <c r="F69" s="581"/>
      <c r="G69" s="581"/>
      <c r="H69" s="581"/>
      <c r="I69" s="581"/>
      <c r="J69" s="581"/>
      <c r="K69" s="581"/>
      <c r="L69" s="581"/>
      <c r="M69" s="581"/>
      <c r="N69" s="581"/>
      <c r="O69" s="581"/>
      <c r="P69" s="581"/>
      <c r="AA69" s="581"/>
      <c r="AB69" s="581"/>
      <c r="AC69" s="581"/>
      <c r="AD69" s="581"/>
      <c r="AE69" s="581"/>
      <c r="AF69" s="581"/>
      <c r="AG69" s="581"/>
      <c r="AH69" s="581"/>
      <c r="AI69" s="581"/>
      <c r="AJ69" s="581"/>
      <c r="AK69" s="581"/>
      <c r="AL69" s="581"/>
      <c r="AM69" s="581"/>
      <c r="AN69" s="581"/>
      <c r="AO69" s="581"/>
      <c r="AP69" s="581"/>
      <c r="AQ69" s="581"/>
      <c r="AR69" s="581"/>
    </row>
    <row r="70" spans="1:44" ht="12.75" customHeight="1" x14ac:dyDescent="0.25">
      <c r="A70" s="581"/>
      <c r="B70" s="581"/>
      <c r="C70" s="581"/>
      <c r="D70" s="581"/>
      <c r="E70" s="581"/>
      <c r="F70" s="581"/>
      <c r="G70" s="581"/>
      <c r="H70" s="581"/>
      <c r="I70" s="581"/>
      <c r="J70" s="581"/>
      <c r="K70" s="581"/>
      <c r="L70" s="581"/>
      <c r="M70" s="581"/>
      <c r="N70" s="581"/>
      <c r="O70" s="581"/>
      <c r="P70" s="581"/>
      <c r="AA70" s="581"/>
      <c r="AB70" s="581"/>
      <c r="AC70" s="581"/>
      <c r="AD70" s="581"/>
      <c r="AE70" s="581"/>
      <c r="AF70" s="581"/>
      <c r="AG70" s="581"/>
      <c r="AH70" s="581"/>
      <c r="AI70" s="581"/>
      <c r="AJ70" s="581"/>
      <c r="AK70" s="581"/>
      <c r="AL70" s="581"/>
      <c r="AM70" s="581"/>
      <c r="AN70" s="581"/>
      <c r="AO70" s="581"/>
      <c r="AP70" s="581"/>
      <c r="AQ70" s="581"/>
      <c r="AR70" s="581"/>
    </row>
    <row r="71" spans="1:44" ht="12.75" customHeight="1" x14ac:dyDescent="0.25">
      <c r="A71" s="581"/>
      <c r="B71" s="581"/>
      <c r="C71" s="581"/>
      <c r="D71" s="581"/>
      <c r="E71" s="581"/>
      <c r="F71" s="581"/>
      <c r="G71" s="581"/>
      <c r="H71" s="581"/>
      <c r="I71" s="581"/>
      <c r="J71" s="581"/>
      <c r="K71" s="581"/>
      <c r="L71" s="581"/>
      <c r="M71" s="581"/>
      <c r="N71" s="581"/>
      <c r="O71" s="581"/>
      <c r="P71" s="581"/>
      <c r="AA71" s="581"/>
      <c r="AB71" s="581"/>
      <c r="AC71" s="581"/>
      <c r="AD71" s="581"/>
      <c r="AE71" s="581"/>
      <c r="AF71" s="581"/>
      <c r="AG71" s="581"/>
      <c r="AH71" s="581"/>
      <c r="AI71" s="581"/>
      <c r="AJ71" s="581"/>
      <c r="AK71" s="581"/>
      <c r="AL71" s="581"/>
      <c r="AM71" s="581"/>
      <c r="AN71" s="581"/>
      <c r="AO71" s="581"/>
      <c r="AP71" s="581"/>
      <c r="AQ71" s="581"/>
      <c r="AR71" s="581"/>
    </row>
    <row r="72" spans="1:44" ht="12.75" customHeight="1" x14ac:dyDescent="0.25">
      <c r="A72" s="581"/>
      <c r="B72" s="581"/>
      <c r="C72" s="581"/>
      <c r="D72" s="581"/>
      <c r="E72" s="581"/>
      <c r="F72" s="581"/>
      <c r="G72" s="581"/>
      <c r="H72" s="581"/>
      <c r="I72" s="581"/>
      <c r="J72" s="581"/>
      <c r="K72" s="581"/>
      <c r="L72" s="581"/>
      <c r="M72" s="581"/>
      <c r="N72" s="581"/>
      <c r="O72" s="581"/>
      <c r="P72" s="581"/>
      <c r="AA72" s="581"/>
      <c r="AB72" s="581"/>
      <c r="AC72" s="581"/>
      <c r="AD72" s="581"/>
      <c r="AE72" s="581"/>
      <c r="AF72" s="581"/>
      <c r="AG72" s="581"/>
      <c r="AH72" s="581"/>
      <c r="AI72" s="581"/>
      <c r="AJ72" s="581"/>
      <c r="AK72" s="581"/>
      <c r="AL72" s="581"/>
      <c r="AM72" s="581"/>
      <c r="AN72" s="581"/>
      <c r="AO72" s="581"/>
      <c r="AP72" s="581"/>
      <c r="AQ72" s="581"/>
      <c r="AR72" s="581"/>
    </row>
    <row r="73" spans="1:44" ht="12.75" customHeight="1" x14ac:dyDescent="0.25">
      <c r="A73" s="581"/>
      <c r="B73" s="581"/>
      <c r="C73" s="581"/>
      <c r="D73" s="581"/>
      <c r="E73" s="581"/>
      <c r="F73" s="581"/>
      <c r="G73" s="581"/>
      <c r="H73" s="581"/>
      <c r="I73" s="581"/>
      <c r="J73" s="581"/>
      <c r="K73" s="581"/>
      <c r="L73" s="581"/>
      <c r="M73" s="581"/>
      <c r="N73" s="581"/>
      <c r="O73" s="581"/>
      <c r="P73" s="581"/>
      <c r="AA73" s="581"/>
      <c r="AB73" s="581"/>
      <c r="AC73" s="581"/>
      <c r="AD73" s="581"/>
      <c r="AE73" s="581"/>
      <c r="AF73" s="581"/>
      <c r="AG73" s="581"/>
      <c r="AH73" s="581"/>
      <c r="AI73" s="581"/>
      <c r="AJ73" s="581"/>
      <c r="AK73" s="581"/>
      <c r="AL73" s="581"/>
      <c r="AM73" s="581"/>
      <c r="AN73" s="581"/>
      <c r="AO73" s="581"/>
      <c r="AP73" s="581"/>
      <c r="AQ73" s="581"/>
      <c r="AR73" s="581"/>
    </row>
    <row r="74" spans="1:44" ht="12.75" customHeight="1" x14ac:dyDescent="0.25">
      <c r="A74" s="581"/>
      <c r="B74" s="581"/>
      <c r="C74" s="581"/>
      <c r="D74" s="581"/>
      <c r="E74" s="581"/>
      <c r="F74" s="581"/>
      <c r="G74" s="581"/>
      <c r="H74" s="581"/>
      <c r="I74" s="581"/>
      <c r="J74" s="581"/>
      <c r="K74" s="581"/>
      <c r="L74" s="581"/>
      <c r="M74" s="581"/>
      <c r="N74" s="581"/>
      <c r="O74" s="581"/>
      <c r="P74" s="581"/>
      <c r="AA74" s="581"/>
      <c r="AB74" s="581"/>
      <c r="AC74" s="581"/>
      <c r="AD74" s="581"/>
      <c r="AE74" s="581"/>
      <c r="AF74" s="581"/>
      <c r="AG74" s="581"/>
      <c r="AH74" s="581"/>
      <c r="AI74" s="581"/>
      <c r="AJ74" s="581"/>
      <c r="AK74" s="581"/>
      <c r="AL74" s="581"/>
      <c r="AM74" s="581"/>
      <c r="AN74" s="581"/>
      <c r="AO74" s="581"/>
      <c r="AP74" s="581"/>
      <c r="AQ74" s="581"/>
      <c r="AR74" s="581"/>
    </row>
    <row r="75" spans="1:44" ht="12.75" customHeight="1" x14ac:dyDescent="0.25">
      <c r="A75" s="581"/>
      <c r="B75" s="581"/>
      <c r="C75" s="581"/>
      <c r="D75" s="581"/>
      <c r="E75" s="581"/>
      <c r="F75" s="581"/>
      <c r="G75" s="581"/>
      <c r="H75" s="581"/>
      <c r="I75" s="581"/>
      <c r="J75" s="581"/>
      <c r="K75" s="581"/>
      <c r="L75" s="581"/>
      <c r="M75" s="581"/>
      <c r="N75" s="581"/>
      <c r="O75" s="581"/>
      <c r="P75" s="581"/>
      <c r="AA75" s="581"/>
      <c r="AB75" s="581"/>
      <c r="AC75" s="581"/>
      <c r="AD75" s="581"/>
      <c r="AE75" s="581"/>
      <c r="AF75" s="581"/>
      <c r="AG75" s="581"/>
      <c r="AH75" s="581"/>
      <c r="AI75" s="581"/>
      <c r="AJ75" s="581"/>
      <c r="AK75" s="581"/>
      <c r="AL75" s="581"/>
      <c r="AM75" s="581"/>
      <c r="AN75" s="581"/>
      <c r="AO75" s="581"/>
      <c r="AP75" s="581"/>
      <c r="AQ75" s="581"/>
      <c r="AR75" s="581"/>
    </row>
    <row r="76" spans="1:44" ht="12.75" customHeight="1" x14ac:dyDescent="0.25">
      <c r="A76" s="581"/>
      <c r="B76" s="581"/>
      <c r="C76" s="581"/>
      <c r="D76" s="581"/>
      <c r="E76" s="581"/>
      <c r="F76" s="581"/>
      <c r="G76" s="581"/>
      <c r="H76" s="581"/>
      <c r="I76" s="581"/>
      <c r="J76" s="581"/>
      <c r="K76" s="581"/>
      <c r="L76" s="581"/>
      <c r="M76" s="581"/>
      <c r="N76" s="581"/>
      <c r="O76" s="581"/>
      <c r="P76" s="581"/>
      <c r="AA76" s="581"/>
      <c r="AB76" s="581"/>
      <c r="AC76" s="581"/>
      <c r="AD76" s="581"/>
      <c r="AE76" s="581"/>
      <c r="AF76" s="581"/>
      <c r="AG76" s="581"/>
      <c r="AH76" s="581"/>
      <c r="AI76" s="581"/>
      <c r="AJ76" s="581"/>
      <c r="AK76" s="581"/>
      <c r="AL76" s="581"/>
      <c r="AM76" s="581"/>
      <c r="AN76" s="581"/>
      <c r="AO76" s="581"/>
      <c r="AP76" s="581"/>
      <c r="AQ76" s="581"/>
      <c r="AR76" s="581"/>
    </row>
    <row r="77" spans="1:44" ht="12.75" customHeight="1" x14ac:dyDescent="0.25">
      <c r="A77" s="581"/>
      <c r="B77" s="581"/>
      <c r="C77" s="581"/>
      <c r="D77" s="581"/>
      <c r="E77" s="581"/>
      <c r="F77" s="581"/>
      <c r="G77" s="581"/>
      <c r="H77" s="581"/>
      <c r="I77" s="581"/>
      <c r="J77" s="581"/>
      <c r="K77" s="581"/>
      <c r="L77" s="581"/>
      <c r="M77" s="581"/>
      <c r="N77" s="581"/>
      <c r="O77" s="581"/>
      <c r="P77" s="581"/>
      <c r="AA77" s="581"/>
      <c r="AB77" s="581"/>
      <c r="AC77" s="581"/>
      <c r="AD77" s="581"/>
      <c r="AE77" s="581"/>
      <c r="AF77" s="581"/>
      <c r="AG77" s="581"/>
      <c r="AH77" s="581"/>
      <c r="AI77" s="581"/>
      <c r="AJ77" s="581"/>
      <c r="AK77" s="581"/>
      <c r="AL77" s="581"/>
      <c r="AM77" s="581"/>
      <c r="AN77" s="581"/>
      <c r="AO77" s="581"/>
      <c r="AP77" s="581"/>
      <c r="AQ77" s="581"/>
      <c r="AR77" s="581"/>
    </row>
    <row r="78" spans="1:44" ht="12.75" customHeight="1" x14ac:dyDescent="0.25">
      <c r="A78" s="581"/>
      <c r="B78" s="581"/>
      <c r="C78" s="581"/>
      <c r="D78" s="581"/>
      <c r="E78" s="581"/>
      <c r="F78" s="581"/>
      <c r="G78" s="581"/>
      <c r="H78" s="581"/>
      <c r="I78" s="581"/>
      <c r="J78" s="581"/>
      <c r="K78" s="581"/>
      <c r="L78" s="581"/>
      <c r="M78" s="581"/>
      <c r="N78" s="581"/>
      <c r="O78" s="581"/>
      <c r="P78" s="581"/>
      <c r="AA78" s="581"/>
      <c r="AB78" s="581"/>
      <c r="AC78" s="581"/>
      <c r="AD78" s="581"/>
      <c r="AE78" s="581"/>
      <c r="AF78" s="581"/>
      <c r="AG78" s="581"/>
      <c r="AH78" s="581"/>
      <c r="AI78" s="581"/>
      <c r="AJ78" s="581"/>
      <c r="AK78" s="581"/>
      <c r="AL78" s="581"/>
      <c r="AM78" s="581"/>
      <c r="AN78" s="581"/>
      <c r="AO78" s="581"/>
      <c r="AP78" s="581"/>
      <c r="AQ78" s="581"/>
      <c r="AR78" s="581"/>
    </row>
    <row r="79" spans="1:44" ht="12.75" customHeight="1" x14ac:dyDescent="0.25">
      <c r="A79" s="581"/>
      <c r="B79" s="581"/>
      <c r="C79" s="581"/>
      <c r="D79" s="581"/>
      <c r="E79" s="581"/>
      <c r="F79" s="581"/>
      <c r="G79" s="581"/>
      <c r="H79" s="581"/>
      <c r="I79" s="581"/>
      <c r="J79" s="581"/>
      <c r="K79" s="581"/>
      <c r="L79" s="581"/>
      <c r="M79" s="581"/>
      <c r="N79" s="581"/>
      <c r="O79" s="581"/>
      <c r="P79" s="581"/>
      <c r="AA79" s="581"/>
      <c r="AB79" s="581"/>
      <c r="AC79" s="581"/>
      <c r="AD79" s="581"/>
      <c r="AE79" s="581"/>
      <c r="AF79" s="581"/>
      <c r="AG79" s="581"/>
      <c r="AH79" s="581"/>
      <c r="AI79" s="581"/>
      <c r="AJ79" s="581"/>
      <c r="AK79" s="581"/>
      <c r="AL79" s="581"/>
      <c r="AM79" s="581"/>
      <c r="AN79" s="581"/>
      <c r="AO79" s="581"/>
      <c r="AP79" s="581"/>
      <c r="AQ79" s="581"/>
      <c r="AR79" s="581"/>
    </row>
    <row r="80" spans="1:44" ht="12.75" customHeight="1" x14ac:dyDescent="0.25">
      <c r="A80" s="581"/>
      <c r="B80" s="581"/>
      <c r="C80" s="581"/>
      <c r="D80" s="581"/>
      <c r="E80" s="581"/>
      <c r="F80" s="581"/>
      <c r="G80" s="581"/>
      <c r="H80" s="581"/>
      <c r="I80" s="581"/>
      <c r="J80" s="581"/>
      <c r="K80" s="581"/>
      <c r="L80" s="581"/>
      <c r="M80" s="581"/>
      <c r="N80" s="581"/>
      <c r="O80" s="581"/>
      <c r="P80" s="581"/>
      <c r="AA80" s="581"/>
      <c r="AB80" s="581"/>
      <c r="AC80" s="581"/>
      <c r="AD80" s="581"/>
      <c r="AE80" s="581"/>
      <c r="AF80" s="581"/>
      <c r="AG80" s="581"/>
      <c r="AH80" s="581"/>
      <c r="AI80" s="581"/>
      <c r="AJ80" s="581"/>
      <c r="AK80" s="581"/>
      <c r="AL80" s="581"/>
      <c r="AM80" s="581"/>
      <c r="AN80" s="581"/>
      <c r="AO80" s="581"/>
      <c r="AP80" s="581"/>
      <c r="AQ80" s="581"/>
      <c r="AR80" s="581"/>
    </row>
    <row r="81" spans="1:44" ht="12.75" customHeight="1" x14ac:dyDescent="0.25">
      <c r="A81" s="581"/>
      <c r="B81" s="581"/>
      <c r="C81" s="581"/>
      <c r="D81" s="581"/>
      <c r="E81" s="581"/>
      <c r="F81" s="581"/>
      <c r="G81" s="581"/>
      <c r="H81" s="581"/>
      <c r="I81" s="581"/>
      <c r="J81" s="581"/>
      <c r="K81" s="581"/>
      <c r="L81" s="581"/>
      <c r="M81" s="581"/>
      <c r="N81" s="581"/>
      <c r="O81" s="581"/>
      <c r="P81" s="581"/>
      <c r="AA81" s="581"/>
      <c r="AB81" s="581"/>
      <c r="AC81" s="581"/>
      <c r="AD81" s="581"/>
      <c r="AE81" s="581"/>
      <c r="AF81" s="581"/>
      <c r="AG81" s="581"/>
      <c r="AH81" s="581"/>
      <c r="AI81" s="581"/>
      <c r="AJ81" s="581"/>
      <c r="AK81" s="581"/>
      <c r="AL81" s="581"/>
      <c r="AM81" s="581"/>
      <c r="AN81" s="581"/>
      <c r="AO81" s="581"/>
      <c r="AP81" s="581"/>
      <c r="AQ81" s="581"/>
      <c r="AR81" s="581"/>
    </row>
    <row r="82" spans="1:44" ht="12.75" customHeight="1" x14ac:dyDescent="0.25">
      <c r="A82" s="581"/>
      <c r="B82" s="581"/>
      <c r="C82" s="581"/>
      <c r="D82" s="581"/>
      <c r="E82" s="581"/>
      <c r="F82" s="581"/>
      <c r="G82" s="581"/>
      <c r="H82" s="581"/>
      <c r="I82" s="581"/>
      <c r="J82" s="581"/>
      <c r="K82" s="581"/>
      <c r="L82" s="581"/>
      <c r="M82" s="581"/>
      <c r="N82" s="581"/>
      <c r="O82" s="581"/>
      <c r="P82" s="581"/>
      <c r="AA82" s="581"/>
      <c r="AB82" s="581"/>
      <c r="AC82" s="581"/>
      <c r="AD82" s="581"/>
      <c r="AE82" s="581"/>
      <c r="AF82" s="581"/>
      <c r="AG82" s="581"/>
      <c r="AH82" s="581"/>
      <c r="AI82" s="581"/>
      <c r="AJ82" s="581"/>
      <c r="AK82" s="581"/>
      <c r="AL82" s="581"/>
      <c r="AM82" s="581"/>
      <c r="AN82" s="581"/>
      <c r="AO82" s="581"/>
      <c r="AP82" s="581"/>
      <c r="AQ82" s="581"/>
      <c r="AR82" s="581"/>
    </row>
    <row r="83" spans="1:44" ht="12.75" customHeight="1" x14ac:dyDescent="0.25">
      <c r="A83" s="581"/>
      <c r="B83" s="581"/>
      <c r="C83" s="581"/>
      <c r="D83" s="581"/>
      <c r="E83" s="581"/>
      <c r="F83" s="581"/>
      <c r="G83" s="581"/>
      <c r="H83" s="581"/>
      <c r="I83" s="581"/>
      <c r="J83" s="581"/>
      <c r="K83" s="581"/>
      <c r="L83" s="581"/>
      <c r="M83" s="581"/>
      <c r="N83" s="581"/>
      <c r="O83" s="581"/>
      <c r="P83" s="581"/>
      <c r="AA83" s="581"/>
      <c r="AB83" s="581"/>
      <c r="AC83" s="581"/>
      <c r="AD83" s="581"/>
      <c r="AE83" s="581"/>
      <c r="AF83" s="581"/>
      <c r="AG83" s="581"/>
      <c r="AH83" s="581"/>
      <c r="AI83" s="581"/>
      <c r="AJ83" s="581"/>
      <c r="AK83" s="581"/>
      <c r="AL83" s="581"/>
      <c r="AM83" s="581"/>
      <c r="AN83" s="581"/>
      <c r="AO83" s="581"/>
      <c r="AP83" s="581"/>
      <c r="AQ83" s="581"/>
      <c r="AR83" s="581"/>
    </row>
    <row r="84" spans="1:44" ht="12.75" customHeight="1" x14ac:dyDescent="0.25">
      <c r="A84" s="581"/>
      <c r="B84" s="581"/>
      <c r="C84" s="581"/>
      <c r="D84" s="581"/>
      <c r="E84" s="581"/>
      <c r="F84" s="581"/>
      <c r="G84" s="581"/>
      <c r="H84" s="581"/>
      <c r="I84" s="581"/>
      <c r="J84" s="581"/>
      <c r="K84" s="581"/>
      <c r="L84" s="581"/>
      <c r="M84" s="581"/>
      <c r="N84" s="581"/>
      <c r="O84" s="581"/>
      <c r="P84" s="581"/>
      <c r="AA84" s="581"/>
      <c r="AB84" s="581"/>
      <c r="AC84" s="581"/>
      <c r="AD84" s="581"/>
      <c r="AE84" s="581"/>
      <c r="AF84" s="581"/>
      <c r="AG84" s="581"/>
      <c r="AH84" s="581"/>
      <c r="AI84" s="581"/>
      <c r="AJ84" s="581"/>
      <c r="AK84" s="581"/>
      <c r="AL84" s="581"/>
      <c r="AM84" s="581"/>
      <c r="AN84" s="581"/>
      <c r="AO84" s="581"/>
      <c r="AP84" s="581"/>
      <c r="AQ84" s="581"/>
      <c r="AR84" s="581"/>
    </row>
    <row r="85" spans="1:44" ht="12.75" customHeight="1" x14ac:dyDescent="0.25">
      <c r="A85" s="581"/>
      <c r="B85" s="581"/>
      <c r="C85" s="581"/>
      <c r="D85" s="581"/>
      <c r="E85" s="581"/>
      <c r="F85" s="581"/>
      <c r="G85" s="581"/>
      <c r="H85" s="581"/>
      <c r="I85" s="581"/>
      <c r="J85" s="581"/>
      <c r="K85" s="581"/>
      <c r="L85" s="581"/>
      <c r="M85" s="581"/>
      <c r="N85" s="581"/>
      <c r="O85" s="581"/>
      <c r="P85" s="581"/>
      <c r="AA85" s="581"/>
      <c r="AB85" s="581"/>
      <c r="AC85" s="581"/>
      <c r="AD85" s="581"/>
      <c r="AE85" s="581"/>
      <c r="AF85" s="581"/>
      <c r="AG85" s="581"/>
      <c r="AH85" s="581"/>
      <c r="AI85" s="581"/>
      <c r="AJ85" s="581"/>
      <c r="AK85" s="581"/>
      <c r="AL85" s="581"/>
      <c r="AM85" s="581"/>
      <c r="AN85" s="581"/>
      <c r="AO85" s="581"/>
      <c r="AP85" s="581"/>
      <c r="AQ85" s="581"/>
      <c r="AR85" s="581"/>
    </row>
    <row r="86" spans="1:44" ht="12.75" customHeight="1" x14ac:dyDescent="0.25">
      <c r="A86" s="581"/>
      <c r="B86" s="581"/>
      <c r="C86" s="581"/>
      <c r="D86" s="581"/>
      <c r="E86" s="581"/>
      <c r="F86" s="581"/>
      <c r="G86" s="581"/>
      <c r="H86" s="581"/>
      <c r="I86" s="581"/>
      <c r="J86" s="581"/>
      <c r="K86" s="581"/>
      <c r="L86" s="581"/>
      <c r="M86" s="581"/>
      <c r="N86" s="581"/>
      <c r="O86" s="581"/>
      <c r="P86" s="581"/>
      <c r="AA86" s="581"/>
      <c r="AB86" s="581"/>
      <c r="AC86" s="581"/>
      <c r="AD86" s="581"/>
      <c r="AE86" s="581"/>
      <c r="AF86" s="581"/>
      <c r="AG86" s="581"/>
      <c r="AH86" s="581"/>
      <c r="AI86" s="581"/>
      <c r="AJ86" s="581"/>
      <c r="AK86" s="581"/>
      <c r="AL86" s="581"/>
      <c r="AM86" s="581"/>
      <c r="AN86" s="581"/>
      <c r="AO86" s="581"/>
      <c r="AP86" s="581"/>
      <c r="AQ86" s="581"/>
      <c r="AR86" s="581"/>
    </row>
    <row r="87" spans="1:44" ht="12.75" customHeight="1" x14ac:dyDescent="0.25">
      <c r="A87" s="581"/>
      <c r="B87" s="581"/>
      <c r="C87" s="581"/>
      <c r="D87" s="581"/>
      <c r="E87" s="581"/>
      <c r="F87" s="581"/>
      <c r="G87" s="581"/>
      <c r="H87" s="581"/>
      <c r="I87" s="581"/>
      <c r="J87" s="581"/>
      <c r="K87" s="581"/>
      <c r="L87" s="581"/>
      <c r="M87" s="581"/>
      <c r="N87" s="581"/>
      <c r="O87" s="581"/>
      <c r="P87" s="581"/>
      <c r="AA87" s="581"/>
      <c r="AB87" s="581"/>
      <c r="AC87" s="581"/>
      <c r="AD87" s="581"/>
      <c r="AE87" s="581"/>
      <c r="AF87" s="581"/>
      <c r="AG87" s="581"/>
      <c r="AH87" s="581"/>
      <c r="AI87" s="581"/>
      <c r="AJ87" s="581"/>
      <c r="AK87" s="581"/>
      <c r="AL87" s="581"/>
      <c r="AM87" s="581"/>
      <c r="AN87" s="581"/>
      <c r="AO87" s="581"/>
      <c r="AP87" s="581"/>
      <c r="AQ87" s="581"/>
      <c r="AR87" s="581"/>
    </row>
    <row r="88" spans="1:44" ht="12.75" customHeight="1" x14ac:dyDescent="0.25">
      <c r="A88" s="581"/>
      <c r="B88" s="581"/>
      <c r="C88" s="581"/>
      <c r="D88" s="581"/>
      <c r="E88" s="581"/>
      <c r="F88" s="581"/>
      <c r="G88" s="581"/>
      <c r="H88" s="581"/>
      <c r="I88" s="581"/>
      <c r="J88" s="581"/>
      <c r="K88" s="581"/>
      <c r="L88" s="581"/>
      <c r="M88" s="581"/>
      <c r="N88" s="581"/>
      <c r="O88" s="581"/>
      <c r="P88" s="581"/>
      <c r="AA88" s="581"/>
      <c r="AB88" s="581"/>
      <c r="AC88" s="581"/>
      <c r="AD88" s="581"/>
      <c r="AE88" s="581"/>
      <c r="AF88" s="581"/>
      <c r="AG88" s="581"/>
      <c r="AH88" s="581"/>
      <c r="AI88" s="581"/>
      <c r="AJ88" s="581"/>
      <c r="AK88" s="581"/>
      <c r="AL88" s="581"/>
      <c r="AM88" s="581"/>
      <c r="AN88" s="581"/>
      <c r="AO88" s="581"/>
      <c r="AP88" s="581"/>
      <c r="AQ88" s="581"/>
      <c r="AR88" s="581"/>
    </row>
    <row r="89" spans="1:44" ht="12.75" customHeight="1" x14ac:dyDescent="0.25">
      <c r="A89" s="581"/>
      <c r="B89" s="581"/>
      <c r="C89" s="581"/>
      <c r="D89" s="581"/>
      <c r="E89" s="581"/>
      <c r="F89" s="581"/>
      <c r="G89" s="581"/>
      <c r="H89" s="581"/>
      <c r="I89" s="581"/>
      <c r="J89" s="581"/>
      <c r="K89" s="581"/>
      <c r="L89" s="581"/>
      <c r="M89" s="581"/>
      <c r="N89" s="581"/>
      <c r="O89" s="581"/>
      <c r="P89" s="581"/>
      <c r="AA89" s="581"/>
      <c r="AB89" s="581"/>
      <c r="AC89" s="581"/>
      <c r="AD89" s="581"/>
      <c r="AE89" s="581"/>
      <c r="AF89" s="581"/>
      <c r="AG89" s="581"/>
      <c r="AH89" s="581"/>
      <c r="AI89" s="581"/>
      <c r="AJ89" s="581"/>
      <c r="AK89" s="581"/>
      <c r="AL89" s="581"/>
      <c r="AM89" s="581"/>
      <c r="AN89" s="581"/>
      <c r="AO89" s="581"/>
      <c r="AP89" s="581"/>
      <c r="AQ89" s="581"/>
      <c r="AR89" s="581"/>
    </row>
    <row r="90" spans="1:44" ht="12.75" customHeight="1" x14ac:dyDescent="0.25">
      <c r="A90" s="581"/>
      <c r="B90" s="581"/>
      <c r="C90" s="581"/>
      <c r="D90" s="581"/>
      <c r="E90" s="581"/>
      <c r="F90" s="581"/>
      <c r="G90" s="581"/>
      <c r="H90" s="581"/>
      <c r="I90" s="581"/>
      <c r="J90" s="581"/>
      <c r="K90" s="581"/>
      <c r="L90" s="581"/>
      <c r="M90" s="581"/>
      <c r="N90" s="581"/>
      <c r="O90" s="581"/>
      <c r="P90" s="581"/>
      <c r="AA90" s="581"/>
      <c r="AB90" s="581"/>
      <c r="AC90" s="581"/>
      <c r="AD90" s="581"/>
      <c r="AE90" s="581"/>
      <c r="AF90" s="581"/>
      <c r="AG90" s="581"/>
      <c r="AH90" s="581"/>
      <c r="AI90" s="581"/>
      <c r="AJ90" s="581"/>
      <c r="AK90" s="581"/>
      <c r="AL90" s="581"/>
      <c r="AM90" s="581"/>
      <c r="AN90" s="581"/>
      <c r="AO90" s="581"/>
      <c r="AP90" s="581"/>
      <c r="AQ90" s="581"/>
      <c r="AR90" s="581"/>
    </row>
    <row r="91" spans="1:44" ht="12.75" customHeight="1" x14ac:dyDescent="0.25">
      <c r="A91" s="581"/>
      <c r="B91" s="581"/>
      <c r="C91" s="581"/>
      <c r="D91" s="581"/>
      <c r="E91" s="581"/>
      <c r="F91" s="581"/>
      <c r="G91" s="581"/>
      <c r="H91" s="581"/>
      <c r="I91" s="581"/>
      <c r="J91" s="581"/>
      <c r="K91" s="581"/>
      <c r="L91" s="581"/>
      <c r="M91" s="581"/>
      <c r="N91" s="581"/>
      <c r="O91" s="581"/>
      <c r="P91" s="581"/>
      <c r="AA91" s="581"/>
      <c r="AB91" s="581"/>
      <c r="AC91" s="581"/>
      <c r="AD91" s="581"/>
      <c r="AE91" s="581"/>
      <c r="AF91" s="581"/>
      <c r="AG91" s="581"/>
      <c r="AH91" s="581"/>
      <c r="AI91" s="581"/>
      <c r="AJ91" s="581"/>
      <c r="AK91" s="581"/>
      <c r="AL91" s="581"/>
      <c r="AM91" s="581"/>
      <c r="AN91" s="581"/>
      <c r="AO91" s="581"/>
      <c r="AP91" s="581"/>
      <c r="AQ91" s="581"/>
      <c r="AR91" s="581"/>
    </row>
    <row r="92" spans="1:44" ht="12.75" customHeight="1" x14ac:dyDescent="0.25">
      <c r="A92" s="581"/>
      <c r="B92" s="581"/>
      <c r="C92" s="581"/>
      <c r="D92" s="581"/>
      <c r="E92" s="581"/>
      <c r="F92" s="581"/>
      <c r="G92" s="581"/>
      <c r="H92" s="581"/>
      <c r="I92" s="581"/>
      <c r="J92" s="581"/>
      <c r="K92" s="581"/>
      <c r="L92" s="581"/>
      <c r="M92" s="581"/>
      <c r="N92" s="581"/>
      <c r="O92" s="581"/>
      <c r="P92" s="581"/>
      <c r="AA92" s="581"/>
      <c r="AB92" s="581"/>
      <c r="AC92" s="581"/>
      <c r="AD92" s="581"/>
      <c r="AE92" s="581"/>
      <c r="AF92" s="581"/>
      <c r="AG92" s="581"/>
      <c r="AH92" s="581"/>
      <c r="AI92" s="581"/>
      <c r="AJ92" s="581"/>
      <c r="AK92" s="581"/>
      <c r="AL92" s="581"/>
      <c r="AM92" s="581"/>
      <c r="AN92" s="581"/>
      <c r="AO92" s="581"/>
      <c r="AP92" s="581"/>
      <c r="AQ92" s="581"/>
      <c r="AR92" s="581"/>
    </row>
    <row r="93" spans="1:44" ht="12.75" customHeight="1" x14ac:dyDescent="0.25">
      <c r="A93" s="581"/>
      <c r="B93" s="581"/>
      <c r="C93" s="581"/>
      <c r="D93" s="581"/>
      <c r="E93" s="581"/>
      <c r="F93" s="581"/>
      <c r="G93" s="581"/>
      <c r="H93" s="581"/>
      <c r="I93" s="581"/>
      <c r="J93" s="581"/>
      <c r="K93" s="581"/>
      <c r="L93" s="581"/>
      <c r="M93" s="581"/>
      <c r="N93" s="581"/>
      <c r="O93" s="581"/>
      <c r="P93" s="581"/>
      <c r="AA93" s="581"/>
      <c r="AB93" s="581"/>
      <c r="AC93" s="581"/>
      <c r="AD93" s="581"/>
      <c r="AE93" s="581"/>
      <c r="AF93" s="581"/>
      <c r="AG93" s="581"/>
      <c r="AH93" s="581"/>
      <c r="AI93" s="581"/>
      <c r="AJ93" s="581"/>
      <c r="AK93" s="581"/>
      <c r="AL93" s="581"/>
      <c r="AM93" s="581"/>
      <c r="AN93" s="581"/>
      <c r="AO93" s="581"/>
      <c r="AP93" s="581"/>
      <c r="AQ93" s="581"/>
      <c r="AR93" s="581"/>
    </row>
    <row r="94" spans="1:44" ht="12.75" customHeight="1" x14ac:dyDescent="0.25">
      <c r="A94" s="581"/>
      <c r="B94" s="581"/>
      <c r="C94" s="581"/>
      <c r="D94" s="581"/>
      <c r="E94" s="581"/>
      <c r="F94" s="581"/>
      <c r="G94" s="581"/>
      <c r="H94" s="581"/>
      <c r="I94" s="581"/>
      <c r="J94" s="581"/>
      <c r="K94" s="581"/>
      <c r="L94" s="581"/>
      <c r="M94" s="581"/>
      <c r="N94" s="581"/>
      <c r="O94" s="581"/>
      <c r="P94" s="581"/>
      <c r="AA94" s="581"/>
      <c r="AB94" s="581"/>
      <c r="AC94" s="581"/>
      <c r="AD94" s="581"/>
      <c r="AE94" s="581"/>
      <c r="AF94" s="581"/>
      <c r="AG94" s="581"/>
      <c r="AH94" s="581"/>
      <c r="AI94" s="581"/>
      <c r="AJ94" s="581"/>
      <c r="AK94" s="581"/>
      <c r="AL94" s="581"/>
      <c r="AM94" s="581"/>
      <c r="AN94" s="581"/>
      <c r="AO94" s="581"/>
      <c r="AP94" s="581"/>
      <c r="AQ94" s="581"/>
      <c r="AR94" s="581"/>
    </row>
    <row r="95" spans="1:44" ht="12.75" customHeight="1" x14ac:dyDescent="0.25">
      <c r="A95" s="581"/>
      <c r="B95" s="581"/>
      <c r="C95" s="581"/>
      <c r="D95" s="581"/>
      <c r="E95" s="581"/>
      <c r="F95" s="581"/>
      <c r="G95" s="581"/>
      <c r="H95" s="581"/>
      <c r="I95" s="581"/>
      <c r="J95" s="581"/>
      <c r="K95" s="581"/>
      <c r="L95" s="581"/>
      <c r="M95" s="581"/>
      <c r="N95" s="581"/>
      <c r="O95" s="581"/>
      <c r="P95" s="581"/>
      <c r="AA95" s="581"/>
      <c r="AB95" s="581"/>
      <c r="AC95" s="581"/>
      <c r="AD95" s="581"/>
      <c r="AE95" s="581"/>
      <c r="AF95" s="581"/>
      <c r="AG95" s="581"/>
      <c r="AH95" s="581"/>
      <c r="AI95" s="581"/>
      <c r="AJ95" s="581"/>
      <c r="AK95" s="581"/>
      <c r="AL95" s="581"/>
      <c r="AM95" s="581"/>
      <c r="AN95" s="581"/>
      <c r="AO95" s="581"/>
      <c r="AP95" s="581"/>
      <c r="AQ95" s="581"/>
      <c r="AR95" s="581"/>
    </row>
    <row r="96" spans="1:44" ht="12.75" customHeight="1" x14ac:dyDescent="0.25">
      <c r="A96" s="581"/>
      <c r="B96" s="581"/>
      <c r="C96" s="581"/>
      <c r="D96" s="581"/>
      <c r="E96" s="581"/>
      <c r="F96" s="581"/>
      <c r="G96" s="581"/>
      <c r="H96" s="581"/>
      <c r="I96" s="581"/>
      <c r="J96" s="581"/>
      <c r="K96" s="581"/>
      <c r="L96" s="581"/>
      <c r="M96" s="581"/>
      <c r="N96" s="581"/>
      <c r="O96" s="581"/>
      <c r="P96" s="581"/>
      <c r="AA96" s="581"/>
      <c r="AB96" s="581"/>
      <c r="AC96" s="581"/>
      <c r="AD96" s="581"/>
      <c r="AE96" s="581"/>
      <c r="AF96" s="581"/>
      <c r="AG96" s="581"/>
      <c r="AH96" s="581"/>
      <c r="AI96" s="581"/>
      <c r="AJ96" s="581"/>
      <c r="AK96" s="581"/>
      <c r="AL96" s="581"/>
      <c r="AM96" s="581"/>
      <c r="AN96" s="581"/>
      <c r="AO96" s="581"/>
      <c r="AP96" s="581"/>
      <c r="AQ96" s="581"/>
      <c r="AR96" s="581"/>
    </row>
    <row r="97" spans="1:44" ht="12.75" customHeight="1" x14ac:dyDescent="0.25">
      <c r="A97" s="581"/>
      <c r="B97" s="581"/>
      <c r="C97" s="581"/>
      <c r="D97" s="581"/>
      <c r="E97" s="581"/>
      <c r="F97" s="581"/>
      <c r="G97" s="581"/>
      <c r="H97" s="581"/>
      <c r="I97" s="581"/>
      <c r="J97" s="581"/>
      <c r="K97" s="581"/>
      <c r="L97" s="581"/>
      <c r="M97" s="581"/>
      <c r="N97" s="581"/>
      <c r="O97" s="581"/>
      <c r="P97" s="581"/>
      <c r="AA97" s="581"/>
      <c r="AB97" s="581"/>
      <c r="AC97" s="581"/>
      <c r="AD97" s="581"/>
      <c r="AE97" s="581"/>
      <c r="AF97" s="581"/>
      <c r="AG97" s="581"/>
      <c r="AH97" s="581"/>
      <c r="AI97" s="581"/>
      <c r="AJ97" s="581"/>
      <c r="AK97" s="581"/>
      <c r="AL97" s="581"/>
      <c r="AM97" s="581"/>
      <c r="AN97" s="581"/>
      <c r="AO97" s="581"/>
      <c r="AP97" s="581"/>
      <c r="AQ97" s="581"/>
      <c r="AR97" s="581"/>
    </row>
    <row r="98" spans="1:44" ht="12.75" customHeight="1" x14ac:dyDescent="0.25">
      <c r="A98" s="581"/>
      <c r="B98" s="581"/>
      <c r="C98" s="581"/>
      <c r="D98" s="581"/>
      <c r="E98" s="581"/>
      <c r="F98" s="581"/>
      <c r="G98" s="581"/>
      <c r="H98" s="581"/>
      <c r="I98" s="581"/>
      <c r="J98" s="581"/>
      <c r="K98" s="581"/>
      <c r="L98" s="581"/>
      <c r="M98" s="581"/>
      <c r="N98" s="581"/>
      <c r="O98" s="581"/>
      <c r="P98" s="581"/>
      <c r="AA98" s="581"/>
      <c r="AB98" s="581"/>
      <c r="AC98" s="581"/>
      <c r="AD98" s="581"/>
      <c r="AE98" s="581"/>
      <c r="AF98" s="581"/>
      <c r="AG98" s="581"/>
      <c r="AH98" s="581"/>
      <c r="AI98" s="581"/>
      <c r="AJ98" s="581"/>
      <c r="AK98" s="581"/>
      <c r="AL98" s="581"/>
      <c r="AM98" s="581"/>
      <c r="AN98" s="581"/>
      <c r="AO98" s="581"/>
      <c r="AP98" s="581"/>
      <c r="AQ98" s="581"/>
      <c r="AR98" s="581"/>
    </row>
    <row r="99" spans="1:44" ht="12.75" customHeight="1" x14ac:dyDescent="0.25">
      <c r="A99" s="581"/>
      <c r="B99" s="581"/>
      <c r="C99" s="581"/>
      <c r="D99" s="581"/>
      <c r="E99" s="581"/>
      <c r="F99" s="581"/>
      <c r="G99" s="581"/>
      <c r="H99" s="581"/>
      <c r="I99" s="581"/>
      <c r="J99" s="581"/>
      <c r="K99" s="581"/>
      <c r="L99" s="581"/>
      <c r="M99" s="581"/>
      <c r="N99" s="581"/>
      <c r="O99" s="581"/>
      <c r="P99" s="581"/>
      <c r="AA99" s="581"/>
      <c r="AB99" s="581"/>
      <c r="AC99" s="581"/>
      <c r="AD99" s="581"/>
      <c r="AE99" s="581"/>
      <c r="AF99" s="581"/>
      <c r="AG99" s="581"/>
      <c r="AH99" s="581"/>
      <c r="AI99" s="581"/>
      <c r="AJ99" s="581"/>
      <c r="AK99" s="581"/>
      <c r="AL99" s="581"/>
      <c r="AM99" s="581"/>
      <c r="AN99" s="581"/>
      <c r="AO99" s="581"/>
      <c r="AP99" s="581"/>
      <c r="AQ99" s="581"/>
      <c r="AR99" s="581"/>
    </row>
    <row r="100" spans="1:44" ht="12.75" customHeight="1" x14ac:dyDescent="0.25">
      <c r="A100" s="581"/>
      <c r="B100" s="581"/>
      <c r="C100" s="581"/>
      <c r="D100" s="581"/>
      <c r="E100" s="581"/>
      <c r="F100" s="581"/>
      <c r="G100" s="581"/>
      <c r="H100" s="581"/>
      <c r="I100" s="581"/>
      <c r="J100" s="581"/>
      <c r="K100" s="581"/>
      <c r="L100" s="581"/>
      <c r="M100" s="581"/>
      <c r="N100" s="581"/>
      <c r="O100" s="581"/>
      <c r="P100" s="581"/>
      <c r="AA100" s="581"/>
      <c r="AB100" s="581"/>
      <c r="AC100" s="581"/>
      <c r="AD100" s="581"/>
      <c r="AE100" s="581"/>
      <c r="AF100" s="581"/>
      <c r="AG100" s="581"/>
      <c r="AH100" s="581"/>
      <c r="AI100" s="581"/>
      <c r="AJ100" s="581"/>
      <c r="AK100" s="581"/>
      <c r="AL100" s="581"/>
      <c r="AM100" s="581"/>
      <c r="AN100" s="581"/>
      <c r="AO100" s="581"/>
      <c r="AP100" s="581"/>
      <c r="AQ100" s="581"/>
      <c r="AR100" s="581"/>
    </row>
    <row r="101" spans="1:44" ht="12.75" customHeight="1" x14ac:dyDescent="0.25">
      <c r="A101" s="581"/>
      <c r="B101" s="581"/>
      <c r="C101" s="581"/>
      <c r="D101" s="581"/>
      <c r="E101" s="581"/>
      <c r="F101" s="581"/>
      <c r="G101" s="581"/>
      <c r="H101" s="581"/>
      <c r="I101" s="581"/>
      <c r="J101" s="581"/>
      <c r="K101" s="581"/>
      <c r="L101" s="581"/>
      <c r="M101" s="581"/>
      <c r="N101" s="581"/>
      <c r="O101" s="581"/>
      <c r="P101" s="581"/>
      <c r="AA101" s="581"/>
      <c r="AB101" s="581"/>
      <c r="AC101" s="581"/>
      <c r="AD101" s="581"/>
      <c r="AE101" s="581"/>
      <c r="AF101" s="581"/>
      <c r="AG101" s="581"/>
      <c r="AH101" s="581"/>
      <c r="AI101" s="581"/>
      <c r="AJ101" s="581"/>
      <c r="AK101" s="581"/>
      <c r="AL101" s="581"/>
      <c r="AM101" s="581"/>
      <c r="AN101" s="581"/>
      <c r="AO101" s="581"/>
      <c r="AP101" s="581"/>
      <c r="AQ101" s="581"/>
      <c r="AR101" s="581"/>
    </row>
    <row r="102" spans="1:44" ht="12.75" customHeight="1" x14ac:dyDescent="0.25">
      <c r="A102" s="581"/>
      <c r="B102" s="581"/>
      <c r="C102" s="581"/>
      <c r="D102" s="581"/>
      <c r="E102" s="581"/>
      <c r="F102" s="581"/>
      <c r="G102" s="581"/>
      <c r="H102" s="581"/>
      <c r="I102" s="581"/>
      <c r="J102" s="581"/>
      <c r="K102" s="581"/>
      <c r="L102" s="581"/>
      <c r="M102" s="581"/>
      <c r="N102" s="581"/>
      <c r="O102" s="581"/>
      <c r="P102" s="581"/>
      <c r="AA102" s="581"/>
      <c r="AB102" s="581"/>
      <c r="AC102" s="581"/>
      <c r="AD102" s="581"/>
      <c r="AE102" s="581"/>
      <c r="AF102" s="581"/>
      <c r="AG102" s="581"/>
      <c r="AH102" s="581"/>
      <c r="AI102" s="581"/>
      <c r="AJ102" s="581"/>
      <c r="AK102" s="581"/>
      <c r="AL102" s="581"/>
      <c r="AM102" s="581"/>
      <c r="AN102" s="581"/>
      <c r="AO102" s="581"/>
      <c r="AP102" s="581"/>
      <c r="AQ102" s="581"/>
      <c r="AR102" s="581"/>
    </row>
    <row r="103" spans="1:44" ht="12.75" customHeight="1" x14ac:dyDescent="0.25">
      <c r="A103" s="581"/>
      <c r="B103" s="581"/>
      <c r="C103" s="581"/>
      <c r="D103" s="581"/>
      <c r="E103" s="581"/>
      <c r="F103" s="581"/>
      <c r="G103" s="581"/>
      <c r="H103" s="581"/>
      <c r="I103" s="581"/>
      <c r="J103" s="581"/>
      <c r="K103" s="581"/>
      <c r="L103" s="581"/>
      <c r="M103" s="581"/>
      <c r="N103" s="581"/>
      <c r="O103" s="581"/>
      <c r="P103" s="581"/>
      <c r="AA103" s="581"/>
      <c r="AB103" s="581"/>
      <c r="AC103" s="581"/>
      <c r="AD103" s="581"/>
      <c r="AE103" s="581"/>
      <c r="AF103" s="581"/>
      <c r="AG103" s="581"/>
      <c r="AH103" s="581"/>
      <c r="AI103" s="581"/>
      <c r="AJ103" s="581"/>
      <c r="AK103" s="581"/>
      <c r="AL103" s="581"/>
      <c r="AM103" s="581"/>
      <c r="AN103" s="581"/>
      <c r="AO103" s="581"/>
      <c r="AP103" s="581"/>
      <c r="AQ103" s="581"/>
      <c r="AR103" s="581"/>
    </row>
    <row r="104" spans="1:44" ht="12.75" customHeight="1" x14ac:dyDescent="0.25">
      <c r="A104" s="581"/>
      <c r="B104" s="581"/>
      <c r="C104" s="581"/>
      <c r="D104" s="581"/>
      <c r="E104" s="581"/>
      <c r="F104" s="581"/>
      <c r="G104" s="581"/>
      <c r="H104" s="581"/>
      <c r="I104" s="581"/>
      <c r="J104" s="581"/>
      <c r="K104" s="581"/>
      <c r="L104" s="581"/>
      <c r="M104" s="581"/>
      <c r="N104" s="581"/>
      <c r="O104" s="581"/>
      <c r="P104" s="581"/>
      <c r="AA104" s="581"/>
      <c r="AB104" s="581"/>
      <c r="AC104" s="581"/>
      <c r="AD104" s="581"/>
      <c r="AE104" s="581"/>
      <c r="AF104" s="581"/>
      <c r="AG104" s="581"/>
      <c r="AH104" s="581"/>
      <c r="AI104" s="581"/>
      <c r="AJ104" s="581"/>
      <c r="AK104" s="581"/>
      <c r="AL104" s="581"/>
      <c r="AM104" s="581"/>
      <c r="AN104" s="581"/>
      <c r="AO104" s="581"/>
      <c r="AP104" s="581"/>
      <c r="AQ104" s="581"/>
      <c r="AR104" s="581"/>
    </row>
    <row r="105" spans="1:44" ht="12.75" customHeight="1" x14ac:dyDescent="0.25">
      <c r="A105" s="581"/>
      <c r="B105" s="581"/>
      <c r="C105" s="581"/>
      <c r="D105" s="581"/>
      <c r="E105" s="581"/>
      <c r="F105" s="581"/>
      <c r="G105" s="581"/>
      <c r="H105" s="581"/>
      <c r="I105" s="581"/>
      <c r="J105" s="581"/>
      <c r="K105" s="581"/>
      <c r="L105" s="581"/>
      <c r="M105" s="581"/>
      <c r="N105" s="581"/>
      <c r="O105" s="581"/>
      <c r="P105" s="581"/>
      <c r="AA105" s="581"/>
      <c r="AB105" s="581"/>
      <c r="AC105" s="581"/>
      <c r="AD105" s="581"/>
      <c r="AE105" s="581"/>
      <c r="AF105" s="581"/>
      <c r="AG105" s="581"/>
      <c r="AH105" s="581"/>
      <c r="AI105" s="581"/>
      <c r="AJ105" s="581"/>
      <c r="AK105" s="581"/>
      <c r="AL105" s="581"/>
      <c r="AM105" s="581"/>
      <c r="AN105" s="581"/>
      <c r="AO105" s="581"/>
      <c r="AP105" s="581"/>
      <c r="AQ105" s="581"/>
      <c r="AR105" s="581"/>
    </row>
    <row r="106" spans="1:44" ht="12.75" customHeight="1" x14ac:dyDescent="0.25">
      <c r="A106" s="581"/>
      <c r="B106" s="581"/>
      <c r="C106" s="581"/>
      <c r="D106" s="581"/>
      <c r="E106" s="581"/>
      <c r="F106" s="581"/>
      <c r="G106" s="581"/>
      <c r="H106" s="581"/>
      <c r="I106" s="581"/>
      <c r="J106" s="581"/>
      <c r="K106" s="581"/>
      <c r="L106" s="581"/>
      <c r="M106" s="581"/>
      <c r="N106" s="581"/>
      <c r="O106" s="581"/>
      <c r="P106" s="581"/>
      <c r="AA106" s="581"/>
      <c r="AB106" s="581"/>
      <c r="AC106" s="581"/>
      <c r="AD106" s="581"/>
      <c r="AE106" s="581"/>
      <c r="AF106" s="581"/>
      <c r="AG106" s="581"/>
      <c r="AH106" s="581"/>
      <c r="AI106" s="581"/>
      <c r="AJ106" s="581"/>
      <c r="AK106" s="581"/>
      <c r="AL106" s="581"/>
      <c r="AM106" s="581"/>
      <c r="AN106" s="581"/>
      <c r="AO106" s="581"/>
      <c r="AP106" s="581"/>
      <c r="AQ106" s="581"/>
      <c r="AR106" s="581"/>
    </row>
    <row r="107" spans="1:44" ht="12.75" customHeight="1" x14ac:dyDescent="0.25">
      <c r="A107" s="581"/>
      <c r="B107" s="581"/>
      <c r="C107" s="581"/>
      <c r="D107" s="581"/>
      <c r="E107" s="581"/>
      <c r="F107" s="581"/>
      <c r="G107" s="581"/>
      <c r="H107" s="581"/>
      <c r="I107" s="581"/>
      <c r="J107" s="581"/>
      <c r="K107" s="581"/>
      <c r="L107" s="581"/>
      <c r="M107" s="581"/>
      <c r="N107" s="581"/>
      <c r="O107" s="581"/>
      <c r="P107" s="581"/>
      <c r="AA107" s="581"/>
      <c r="AB107" s="581"/>
      <c r="AC107" s="581"/>
      <c r="AD107" s="581"/>
      <c r="AE107" s="581"/>
      <c r="AF107" s="581"/>
      <c r="AG107" s="581"/>
      <c r="AH107" s="581"/>
      <c r="AI107" s="581"/>
      <c r="AJ107" s="581"/>
      <c r="AK107" s="581"/>
      <c r="AL107" s="581"/>
      <c r="AM107" s="581"/>
      <c r="AN107" s="581"/>
      <c r="AO107" s="581"/>
      <c r="AP107" s="581"/>
      <c r="AQ107" s="581"/>
      <c r="AR107" s="581"/>
    </row>
    <row r="108" spans="1:44" ht="12.75" customHeight="1" x14ac:dyDescent="0.25">
      <c r="A108" s="581"/>
      <c r="B108" s="581"/>
      <c r="C108" s="581"/>
      <c r="D108" s="581"/>
      <c r="E108" s="581"/>
      <c r="F108" s="581"/>
      <c r="G108" s="581"/>
      <c r="H108" s="581"/>
      <c r="I108" s="581"/>
      <c r="J108" s="581"/>
      <c r="K108" s="581"/>
      <c r="L108" s="581"/>
      <c r="M108" s="581"/>
      <c r="N108" s="581"/>
      <c r="O108" s="581"/>
      <c r="P108" s="581"/>
      <c r="AA108" s="581"/>
      <c r="AB108" s="581"/>
      <c r="AC108" s="581"/>
      <c r="AD108" s="581"/>
      <c r="AE108" s="581"/>
      <c r="AF108" s="581"/>
      <c r="AG108" s="581"/>
      <c r="AH108" s="581"/>
      <c r="AI108" s="581"/>
      <c r="AJ108" s="581"/>
      <c r="AK108" s="581"/>
      <c r="AL108" s="581"/>
      <c r="AM108" s="581"/>
      <c r="AN108" s="581"/>
      <c r="AO108" s="581"/>
      <c r="AP108" s="581"/>
      <c r="AQ108" s="581"/>
      <c r="AR108" s="581"/>
    </row>
    <row r="109" spans="1:44" ht="12.75" customHeight="1" x14ac:dyDescent="0.25">
      <c r="A109" s="581"/>
      <c r="B109" s="581"/>
      <c r="C109" s="581"/>
      <c r="D109" s="581"/>
      <c r="E109" s="581"/>
      <c r="F109" s="581"/>
      <c r="G109" s="581"/>
      <c r="H109" s="581"/>
      <c r="I109" s="581"/>
      <c r="J109" s="581"/>
      <c r="K109" s="581"/>
      <c r="L109" s="581"/>
      <c r="M109" s="581"/>
      <c r="N109" s="581"/>
      <c r="O109" s="581"/>
      <c r="P109" s="581"/>
      <c r="AA109" s="581"/>
      <c r="AB109" s="581"/>
      <c r="AC109" s="581"/>
      <c r="AD109" s="581"/>
      <c r="AE109" s="581"/>
      <c r="AF109" s="581"/>
      <c r="AG109" s="581"/>
      <c r="AH109" s="581"/>
      <c r="AI109" s="581"/>
      <c r="AJ109" s="581"/>
      <c r="AK109" s="581"/>
      <c r="AL109" s="581"/>
      <c r="AM109" s="581"/>
      <c r="AN109" s="581"/>
      <c r="AO109" s="581"/>
      <c r="AP109" s="581"/>
      <c r="AQ109" s="581"/>
      <c r="AR109" s="581"/>
    </row>
    <row r="110" spans="1:44" ht="12.75" customHeight="1" x14ac:dyDescent="0.25">
      <c r="A110" s="581"/>
      <c r="B110" s="581"/>
      <c r="C110" s="581"/>
      <c r="D110" s="581"/>
      <c r="E110" s="581"/>
      <c r="F110" s="581"/>
      <c r="G110" s="581"/>
      <c r="H110" s="581"/>
      <c r="I110" s="581"/>
      <c r="J110" s="581"/>
      <c r="K110" s="581"/>
      <c r="L110" s="581"/>
      <c r="M110" s="581"/>
      <c r="N110" s="581"/>
      <c r="O110" s="581"/>
      <c r="P110" s="581"/>
      <c r="AA110" s="581"/>
      <c r="AB110" s="581"/>
      <c r="AC110" s="581"/>
      <c r="AD110" s="581"/>
      <c r="AE110" s="581"/>
      <c r="AF110" s="581"/>
      <c r="AG110" s="581"/>
      <c r="AH110" s="581"/>
      <c r="AI110" s="581"/>
      <c r="AJ110" s="581"/>
      <c r="AK110" s="581"/>
      <c r="AL110" s="581"/>
      <c r="AM110" s="581"/>
      <c r="AN110" s="581"/>
      <c r="AO110" s="581"/>
      <c r="AP110" s="581"/>
      <c r="AQ110" s="581"/>
      <c r="AR110" s="581"/>
    </row>
    <row r="111" spans="1:44" ht="12.75" customHeight="1" x14ac:dyDescent="0.25">
      <c r="A111" s="581"/>
      <c r="B111" s="581"/>
      <c r="C111" s="581"/>
      <c r="D111" s="581"/>
      <c r="E111" s="581"/>
      <c r="F111" s="581"/>
      <c r="G111" s="581"/>
      <c r="H111" s="581"/>
      <c r="I111" s="581"/>
      <c r="J111" s="581"/>
      <c r="K111" s="581"/>
      <c r="L111" s="581"/>
      <c r="M111" s="581"/>
      <c r="N111" s="581"/>
      <c r="O111" s="581"/>
      <c r="P111" s="581"/>
      <c r="AA111" s="581"/>
      <c r="AB111" s="581"/>
      <c r="AC111" s="581"/>
      <c r="AD111" s="581"/>
      <c r="AE111" s="581"/>
      <c r="AF111" s="581"/>
      <c r="AG111" s="581"/>
      <c r="AH111" s="581"/>
      <c r="AI111" s="581"/>
      <c r="AJ111" s="581"/>
      <c r="AK111" s="581"/>
      <c r="AL111" s="581"/>
      <c r="AM111" s="581"/>
      <c r="AN111" s="581"/>
      <c r="AO111" s="581"/>
      <c r="AP111" s="581"/>
      <c r="AQ111" s="581"/>
      <c r="AR111" s="581"/>
    </row>
    <row r="112" spans="1:44" ht="12.75" customHeight="1" x14ac:dyDescent="0.25">
      <c r="A112" s="581"/>
      <c r="B112" s="581"/>
      <c r="C112" s="581"/>
      <c r="D112" s="581"/>
      <c r="E112" s="581"/>
      <c r="F112" s="581"/>
      <c r="G112" s="581"/>
      <c r="H112" s="581"/>
      <c r="I112" s="581"/>
      <c r="J112" s="581"/>
      <c r="K112" s="581"/>
      <c r="L112" s="581"/>
      <c r="M112" s="581"/>
      <c r="N112" s="581"/>
      <c r="O112" s="581"/>
      <c r="P112" s="581"/>
      <c r="AA112" s="581"/>
      <c r="AB112" s="581"/>
      <c r="AC112" s="581"/>
      <c r="AD112" s="581"/>
      <c r="AE112" s="581"/>
      <c r="AF112" s="581"/>
      <c r="AG112" s="581"/>
      <c r="AH112" s="581"/>
      <c r="AI112" s="581"/>
      <c r="AJ112" s="581"/>
      <c r="AK112" s="581"/>
      <c r="AL112" s="581"/>
      <c r="AM112" s="581"/>
      <c r="AN112" s="581"/>
      <c r="AO112" s="581"/>
      <c r="AP112" s="581"/>
      <c r="AQ112" s="581"/>
      <c r="AR112" s="581"/>
    </row>
    <row r="113" spans="1:44" ht="12.75" customHeight="1" x14ac:dyDescent="0.25">
      <c r="A113" s="581"/>
      <c r="B113" s="581"/>
      <c r="C113" s="581"/>
      <c r="D113" s="581"/>
      <c r="E113" s="581"/>
      <c r="F113" s="581"/>
      <c r="G113" s="581"/>
      <c r="H113" s="581"/>
      <c r="I113" s="581"/>
      <c r="J113" s="581"/>
      <c r="K113" s="581"/>
      <c r="L113" s="581"/>
      <c r="M113" s="581"/>
      <c r="N113" s="581"/>
      <c r="O113" s="581"/>
      <c r="P113" s="581"/>
      <c r="AA113" s="581"/>
      <c r="AB113" s="581"/>
      <c r="AC113" s="581"/>
      <c r="AD113" s="581"/>
      <c r="AE113" s="581"/>
      <c r="AF113" s="581"/>
      <c r="AG113" s="581"/>
      <c r="AH113" s="581"/>
      <c r="AI113" s="581"/>
      <c r="AJ113" s="581"/>
      <c r="AK113" s="581"/>
      <c r="AL113" s="581"/>
      <c r="AM113" s="581"/>
      <c r="AN113" s="581"/>
      <c r="AO113" s="581"/>
      <c r="AP113" s="581"/>
      <c r="AQ113" s="581"/>
      <c r="AR113" s="581"/>
    </row>
    <row r="114" spans="1:44" ht="12.75" customHeight="1" x14ac:dyDescent="0.25">
      <c r="A114" s="581"/>
      <c r="B114" s="581"/>
      <c r="C114" s="581"/>
      <c r="D114" s="581"/>
      <c r="E114" s="581"/>
      <c r="F114" s="581"/>
      <c r="G114" s="581"/>
      <c r="H114" s="581"/>
      <c r="I114" s="581"/>
      <c r="J114" s="581"/>
      <c r="K114" s="581"/>
      <c r="L114" s="581"/>
      <c r="M114" s="581"/>
      <c r="N114" s="581"/>
      <c r="O114" s="581"/>
      <c r="P114" s="581"/>
      <c r="AA114" s="581"/>
      <c r="AB114" s="581"/>
      <c r="AC114" s="581"/>
      <c r="AD114" s="581"/>
      <c r="AE114" s="581"/>
      <c r="AF114" s="581"/>
      <c r="AG114" s="581"/>
      <c r="AH114" s="581"/>
      <c r="AI114" s="581"/>
      <c r="AJ114" s="581"/>
      <c r="AK114" s="581"/>
      <c r="AL114" s="581"/>
      <c r="AM114" s="581"/>
      <c r="AN114" s="581"/>
      <c r="AO114" s="581"/>
      <c r="AP114" s="581"/>
      <c r="AQ114" s="581"/>
      <c r="AR114" s="581"/>
    </row>
    <row r="115" spans="1:44" ht="12.75" customHeight="1" x14ac:dyDescent="0.25">
      <c r="A115" s="581"/>
      <c r="B115" s="581"/>
      <c r="C115" s="581"/>
      <c r="D115" s="581"/>
      <c r="E115" s="581"/>
      <c r="F115" s="581"/>
      <c r="G115" s="581"/>
      <c r="H115" s="581"/>
      <c r="I115" s="581"/>
      <c r="J115" s="581"/>
      <c r="K115" s="581"/>
      <c r="L115" s="581"/>
      <c r="M115" s="581"/>
      <c r="N115" s="581"/>
      <c r="O115" s="581"/>
      <c r="P115" s="581"/>
      <c r="AA115" s="581"/>
      <c r="AB115" s="581"/>
      <c r="AC115" s="581"/>
      <c r="AD115" s="581"/>
      <c r="AE115" s="581"/>
      <c r="AF115" s="581"/>
      <c r="AG115" s="581"/>
      <c r="AH115" s="581"/>
      <c r="AI115" s="581"/>
      <c r="AJ115" s="581"/>
      <c r="AK115" s="581"/>
      <c r="AL115" s="581"/>
      <c r="AM115" s="581"/>
      <c r="AN115" s="581"/>
      <c r="AO115" s="581"/>
      <c r="AP115" s="581"/>
      <c r="AQ115" s="581"/>
      <c r="AR115" s="581"/>
    </row>
    <row r="116" spans="1:44" ht="12.75" customHeight="1" x14ac:dyDescent="0.25">
      <c r="A116" s="581"/>
      <c r="B116" s="581"/>
      <c r="C116" s="581"/>
      <c r="D116" s="581"/>
      <c r="E116" s="581"/>
      <c r="F116" s="581"/>
      <c r="G116" s="581"/>
      <c r="H116" s="581"/>
      <c r="I116" s="581"/>
      <c r="J116" s="581"/>
      <c r="K116" s="581"/>
      <c r="L116" s="581"/>
      <c r="M116" s="581"/>
      <c r="N116" s="581"/>
      <c r="O116" s="581"/>
      <c r="P116" s="581"/>
      <c r="AA116" s="581"/>
      <c r="AB116" s="581"/>
      <c r="AC116" s="581"/>
      <c r="AD116" s="581"/>
      <c r="AE116" s="581"/>
      <c r="AF116" s="581"/>
      <c r="AG116" s="581"/>
      <c r="AH116" s="581"/>
      <c r="AI116" s="581"/>
      <c r="AJ116" s="581"/>
      <c r="AK116" s="581"/>
      <c r="AL116" s="581"/>
      <c r="AM116" s="581"/>
      <c r="AN116" s="581"/>
      <c r="AO116" s="581"/>
      <c r="AP116" s="581"/>
      <c r="AQ116" s="581"/>
      <c r="AR116" s="581"/>
    </row>
    <row r="117" spans="1:44" ht="12.75" customHeight="1" x14ac:dyDescent="0.25">
      <c r="A117" s="581"/>
      <c r="B117" s="581"/>
      <c r="C117" s="581"/>
      <c r="D117" s="581"/>
      <c r="E117" s="581"/>
      <c r="F117" s="581"/>
      <c r="G117" s="581"/>
      <c r="H117" s="581"/>
      <c r="I117" s="581"/>
      <c r="J117" s="581"/>
      <c r="K117" s="581"/>
      <c r="L117" s="581"/>
      <c r="M117" s="581"/>
      <c r="N117" s="581"/>
      <c r="O117" s="581"/>
      <c r="P117" s="581"/>
      <c r="AA117" s="581"/>
      <c r="AB117" s="581"/>
      <c r="AC117" s="581"/>
      <c r="AD117" s="581"/>
      <c r="AE117" s="581"/>
      <c r="AF117" s="581"/>
      <c r="AG117" s="581"/>
      <c r="AH117" s="581"/>
      <c r="AI117" s="581"/>
      <c r="AJ117" s="581"/>
      <c r="AK117" s="581"/>
      <c r="AL117" s="581"/>
      <c r="AM117" s="581"/>
      <c r="AN117" s="581"/>
      <c r="AO117" s="581"/>
      <c r="AP117" s="581"/>
      <c r="AQ117" s="581"/>
      <c r="AR117" s="581"/>
    </row>
    <row r="118" spans="1:44" ht="12.75" customHeight="1" x14ac:dyDescent="0.25">
      <c r="A118" s="581"/>
      <c r="B118" s="581"/>
      <c r="C118" s="581"/>
      <c r="D118" s="581"/>
      <c r="E118" s="581"/>
      <c r="F118" s="581"/>
      <c r="G118" s="581"/>
      <c r="H118" s="581"/>
      <c r="I118" s="581"/>
      <c r="J118" s="581"/>
      <c r="K118" s="581"/>
      <c r="L118" s="581"/>
      <c r="M118" s="581"/>
      <c r="N118" s="581"/>
      <c r="O118" s="581"/>
      <c r="P118" s="581"/>
      <c r="AA118" s="581"/>
      <c r="AB118" s="581"/>
      <c r="AC118" s="581"/>
      <c r="AD118" s="581"/>
      <c r="AE118" s="581"/>
      <c r="AF118" s="581"/>
      <c r="AG118" s="581"/>
      <c r="AH118" s="581"/>
      <c r="AI118" s="581"/>
      <c r="AJ118" s="581"/>
      <c r="AK118" s="581"/>
      <c r="AL118" s="581"/>
      <c r="AM118" s="581"/>
      <c r="AN118" s="581"/>
      <c r="AO118" s="581"/>
      <c r="AP118" s="581"/>
      <c r="AQ118" s="581"/>
      <c r="AR118" s="581"/>
    </row>
    <row r="119" spans="1:44" ht="12.75" customHeight="1" x14ac:dyDescent="0.25">
      <c r="A119" s="581"/>
      <c r="B119" s="581"/>
      <c r="C119" s="581"/>
      <c r="D119" s="581"/>
      <c r="E119" s="581"/>
      <c r="F119" s="581"/>
      <c r="G119" s="581"/>
      <c r="H119" s="581"/>
      <c r="I119" s="581"/>
      <c r="J119" s="581"/>
      <c r="K119" s="581"/>
      <c r="L119" s="581"/>
      <c r="M119" s="581"/>
      <c r="N119" s="581"/>
      <c r="O119" s="581"/>
      <c r="P119" s="581"/>
      <c r="AA119" s="581"/>
      <c r="AB119" s="581"/>
      <c r="AC119" s="581"/>
      <c r="AD119" s="581"/>
      <c r="AE119" s="581"/>
      <c r="AF119" s="581"/>
      <c r="AG119" s="581"/>
      <c r="AH119" s="581"/>
      <c r="AI119" s="581"/>
      <c r="AJ119" s="581"/>
      <c r="AK119" s="581"/>
      <c r="AL119" s="581"/>
      <c r="AM119" s="581"/>
      <c r="AN119" s="581"/>
      <c r="AO119" s="581"/>
      <c r="AP119" s="581"/>
      <c r="AQ119" s="581"/>
      <c r="AR119" s="581"/>
    </row>
    <row r="120" spans="1:44" ht="12.75" customHeight="1" x14ac:dyDescent="0.25">
      <c r="A120" s="581"/>
      <c r="B120" s="581"/>
      <c r="C120" s="581"/>
      <c r="D120" s="581"/>
      <c r="E120" s="581"/>
      <c r="F120" s="581"/>
      <c r="G120" s="581"/>
      <c r="H120" s="581"/>
      <c r="I120" s="581"/>
      <c r="J120" s="581"/>
      <c r="K120" s="581"/>
      <c r="L120" s="581"/>
      <c r="M120" s="581"/>
      <c r="N120" s="581"/>
      <c r="O120" s="581"/>
      <c r="P120" s="581"/>
      <c r="AA120" s="581"/>
      <c r="AB120" s="581"/>
      <c r="AC120" s="581"/>
      <c r="AD120" s="581"/>
      <c r="AE120" s="581"/>
      <c r="AF120" s="581"/>
      <c r="AG120" s="581"/>
      <c r="AH120" s="581"/>
      <c r="AI120" s="581"/>
      <c r="AJ120" s="581"/>
      <c r="AK120" s="581"/>
      <c r="AL120" s="581"/>
      <c r="AM120" s="581"/>
      <c r="AN120" s="581"/>
      <c r="AO120" s="581"/>
      <c r="AP120" s="581"/>
      <c r="AQ120" s="581"/>
      <c r="AR120" s="581"/>
    </row>
    <row r="121" spans="1:44" ht="12.75" customHeight="1" x14ac:dyDescent="0.25">
      <c r="A121" s="581"/>
      <c r="B121" s="581"/>
      <c r="C121" s="581"/>
      <c r="D121" s="581"/>
      <c r="E121" s="581"/>
      <c r="F121" s="581"/>
      <c r="G121" s="581"/>
      <c r="H121" s="581"/>
      <c r="I121" s="581"/>
      <c r="J121" s="581"/>
      <c r="K121" s="581"/>
      <c r="L121" s="581"/>
      <c r="M121" s="581"/>
      <c r="N121" s="581"/>
      <c r="O121" s="581"/>
      <c r="P121" s="581"/>
      <c r="AA121" s="581"/>
      <c r="AB121" s="581"/>
      <c r="AC121" s="581"/>
      <c r="AD121" s="581"/>
      <c r="AE121" s="581"/>
      <c r="AF121" s="581"/>
      <c r="AG121" s="581"/>
      <c r="AH121" s="581"/>
      <c r="AI121" s="581"/>
      <c r="AJ121" s="581"/>
      <c r="AK121" s="581"/>
      <c r="AL121" s="581"/>
      <c r="AM121" s="581"/>
      <c r="AN121" s="581"/>
      <c r="AO121" s="581"/>
      <c r="AP121" s="581"/>
      <c r="AQ121" s="581"/>
      <c r="AR121" s="581"/>
    </row>
    <row r="122" spans="1:44" ht="12.75" customHeight="1" x14ac:dyDescent="0.25">
      <c r="A122" s="581"/>
      <c r="B122" s="581"/>
      <c r="C122" s="581"/>
      <c r="D122" s="581"/>
      <c r="E122" s="581"/>
      <c r="F122" s="581"/>
      <c r="G122" s="581"/>
      <c r="H122" s="581"/>
      <c r="I122" s="581"/>
      <c r="J122" s="581"/>
      <c r="K122" s="581"/>
      <c r="L122" s="581"/>
      <c r="M122" s="581"/>
      <c r="N122" s="581"/>
      <c r="O122" s="581"/>
      <c r="P122" s="581"/>
      <c r="AA122" s="581"/>
      <c r="AB122" s="581"/>
      <c r="AC122" s="581"/>
      <c r="AD122" s="581"/>
      <c r="AE122" s="581"/>
      <c r="AF122" s="581"/>
      <c r="AG122" s="581"/>
      <c r="AH122" s="581"/>
      <c r="AI122" s="581"/>
      <c r="AJ122" s="581"/>
      <c r="AK122" s="581"/>
      <c r="AL122" s="581"/>
      <c r="AM122" s="581"/>
      <c r="AN122" s="581"/>
      <c r="AO122" s="581"/>
      <c r="AP122" s="581"/>
      <c r="AQ122" s="581"/>
      <c r="AR122" s="581"/>
    </row>
    <row r="123" spans="1:44" ht="12.75" customHeight="1" x14ac:dyDescent="0.25">
      <c r="A123" s="581"/>
      <c r="B123" s="581"/>
      <c r="C123" s="581"/>
      <c r="D123" s="581"/>
      <c r="E123" s="581"/>
      <c r="F123" s="581"/>
      <c r="G123" s="581"/>
      <c r="H123" s="581"/>
      <c r="I123" s="581"/>
      <c r="J123" s="581"/>
      <c r="K123" s="581"/>
      <c r="L123" s="581"/>
      <c r="M123" s="581"/>
      <c r="N123" s="581"/>
      <c r="O123" s="581"/>
      <c r="P123" s="581"/>
      <c r="AA123" s="581"/>
      <c r="AB123" s="581"/>
      <c r="AC123" s="581"/>
      <c r="AD123" s="581"/>
      <c r="AE123" s="581"/>
      <c r="AF123" s="581"/>
      <c r="AG123" s="581"/>
      <c r="AH123" s="581"/>
      <c r="AI123" s="581"/>
      <c r="AJ123" s="581"/>
      <c r="AK123" s="581"/>
      <c r="AL123" s="581"/>
      <c r="AM123" s="581"/>
      <c r="AN123" s="581"/>
      <c r="AO123" s="581"/>
      <c r="AP123" s="581"/>
      <c r="AQ123" s="581"/>
      <c r="AR123" s="581"/>
    </row>
    <row r="124" spans="1:44" ht="12.75" customHeight="1" x14ac:dyDescent="0.25">
      <c r="A124" s="581"/>
      <c r="B124" s="581"/>
      <c r="C124" s="581"/>
      <c r="D124" s="581"/>
      <c r="E124" s="581"/>
      <c r="F124" s="581"/>
      <c r="G124" s="581"/>
      <c r="H124" s="581"/>
      <c r="I124" s="581"/>
      <c r="J124" s="581"/>
      <c r="K124" s="581"/>
      <c r="L124" s="581"/>
      <c r="M124" s="581"/>
      <c r="N124" s="581"/>
      <c r="O124" s="581"/>
      <c r="P124" s="581"/>
      <c r="AA124" s="581"/>
      <c r="AB124" s="581"/>
      <c r="AC124" s="581"/>
      <c r="AD124" s="581"/>
      <c r="AE124" s="581"/>
      <c r="AF124" s="581"/>
      <c r="AG124" s="581"/>
      <c r="AH124" s="581"/>
      <c r="AI124" s="581"/>
      <c r="AJ124" s="581"/>
      <c r="AK124" s="581"/>
      <c r="AL124" s="581"/>
      <c r="AM124" s="581"/>
      <c r="AN124" s="581"/>
      <c r="AO124" s="581"/>
      <c r="AP124" s="581"/>
      <c r="AQ124" s="581"/>
      <c r="AR124" s="581"/>
    </row>
    <row r="125" spans="1:44" ht="12.75" customHeight="1" x14ac:dyDescent="0.25">
      <c r="A125" s="581"/>
      <c r="B125" s="581"/>
      <c r="C125" s="581"/>
      <c r="D125" s="581"/>
      <c r="E125" s="581"/>
      <c r="F125" s="581"/>
      <c r="G125" s="581"/>
      <c r="H125" s="581"/>
      <c r="I125" s="581"/>
      <c r="J125" s="581"/>
      <c r="K125" s="581"/>
      <c r="L125" s="581"/>
      <c r="M125" s="581"/>
      <c r="N125" s="581"/>
      <c r="O125" s="581"/>
      <c r="P125" s="581"/>
      <c r="AA125" s="581"/>
      <c r="AB125" s="581"/>
      <c r="AC125" s="581"/>
      <c r="AD125" s="581"/>
      <c r="AE125" s="581"/>
      <c r="AF125" s="581"/>
      <c r="AG125" s="581"/>
      <c r="AH125" s="581"/>
      <c r="AI125" s="581"/>
      <c r="AJ125" s="581"/>
      <c r="AK125" s="581"/>
      <c r="AL125" s="581"/>
      <c r="AM125" s="581"/>
      <c r="AN125" s="581"/>
      <c r="AO125" s="581"/>
      <c r="AP125" s="581"/>
      <c r="AQ125" s="581"/>
      <c r="AR125" s="581"/>
    </row>
    <row r="126" spans="1:44" ht="12.75" customHeight="1" x14ac:dyDescent="0.25">
      <c r="A126" s="581"/>
      <c r="B126" s="581"/>
      <c r="C126" s="581"/>
      <c r="D126" s="581"/>
      <c r="E126" s="581"/>
      <c r="F126" s="581"/>
      <c r="G126" s="581"/>
      <c r="H126" s="581"/>
      <c r="I126" s="581"/>
      <c r="J126" s="581"/>
      <c r="K126" s="581"/>
      <c r="L126" s="581"/>
      <c r="M126" s="581"/>
      <c r="N126" s="581"/>
      <c r="O126" s="581"/>
      <c r="P126" s="581"/>
      <c r="AA126" s="581"/>
      <c r="AB126" s="581"/>
      <c r="AC126" s="581"/>
      <c r="AD126" s="581"/>
      <c r="AE126" s="581"/>
      <c r="AF126" s="581"/>
      <c r="AG126" s="581"/>
      <c r="AH126" s="581"/>
      <c r="AI126" s="581"/>
      <c r="AJ126" s="581"/>
      <c r="AK126" s="581"/>
      <c r="AL126" s="581"/>
      <c r="AM126" s="581"/>
      <c r="AN126" s="581"/>
      <c r="AO126" s="581"/>
      <c r="AP126" s="581"/>
      <c r="AQ126" s="581"/>
      <c r="AR126" s="581"/>
    </row>
    <row r="127" spans="1:44" ht="12.75" customHeight="1" x14ac:dyDescent="0.25">
      <c r="A127" s="581"/>
      <c r="B127" s="581"/>
      <c r="C127" s="581"/>
      <c r="D127" s="581"/>
      <c r="E127" s="581"/>
      <c r="F127" s="581"/>
      <c r="G127" s="581"/>
      <c r="H127" s="581"/>
      <c r="I127" s="581"/>
      <c r="J127" s="581"/>
      <c r="K127" s="581"/>
      <c r="L127" s="581"/>
      <c r="M127" s="581"/>
      <c r="N127" s="581"/>
      <c r="O127" s="581"/>
      <c r="P127" s="581"/>
      <c r="AA127" s="581"/>
      <c r="AB127" s="581"/>
      <c r="AC127" s="581"/>
      <c r="AD127" s="581"/>
      <c r="AE127" s="581"/>
      <c r="AF127" s="581"/>
      <c r="AG127" s="581"/>
      <c r="AH127" s="581"/>
      <c r="AI127" s="581"/>
      <c r="AJ127" s="581"/>
      <c r="AK127" s="581"/>
      <c r="AL127" s="581"/>
      <c r="AM127" s="581"/>
      <c r="AN127" s="581"/>
      <c r="AO127" s="581"/>
      <c r="AP127" s="581"/>
      <c r="AQ127" s="581"/>
      <c r="AR127" s="581"/>
    </row>
    <row r="128" spans="1:44" ht="12.75" customHeight="1" x14ac:dyDescent="0.25">
      <c r="A128" s="581"/>
      <c r="B128" s="581"/>
      <c r="C128" s="581"/>
      <c r="D128" s="581"/>
      <c r="E128" s="581"/>
      <c r="F128" s="581"/>
      <c r="G128" s="581"/>
      <c r="H128" s="581"/>
      <c r="I128" s="581"/>
      <c r="J128" s="581"/>
      <c r="K128" s="581"/>
      <c r="L128" s="581"/>
      <c r="M128" s="581"/>
      <c r="N128" s="581"/>
      <c r="O128" s="581"/>
      <c r="P128" s="581"/>
      <c r="AA128" s="581"/>
      <c r="AB128" s="581"/>
      <c r="AC128" s="581"/>
      <c r="AD128" s="581"/>
      <c r="AE128" s="581"/>
      <c r="AF128" s="581"/>
      <c r="AG128" s="581"/>
      <c r="AH128" s="581"/>
      <c r="AI128" s="581"/>
      <c r="AJ128" s="581"/>
      <c r="AK128" s="581"/>
      <c r="AL128" s="581"/>
      <c r="AM128" s="581"/>
      <c r="AN128" s="581"/>
      <c r="AO128" s="581"/>
      <c r="AP128" s="581"/>
      <c r="AQ128" s="581"/>
      <c r="AR128" s="581"/>
    </row>
    <row r="129" spans="1:44" ht="12.75" customHeight="1" x14ac:dyDescent="0.25">
      <c r="A129" s="581"/>
      <c r="B129" s="581"/>
      <c r="C129" s="581"/>
      <c r="D129" s="581"/>
      <c r="E129" s="581"/>
      <c r="F129" s="581"/>
      <c r="G129" s="581"/>
      <c r="H129" s="581"/>
      <c r="I129" s="581"/>
      <c r="J129" s="581"/>
      <c r="K129" s="581"/>
      <c r="L129" s="581"/>
      <c r="M129" s="581"/>
      <c r="N129" s="581"/>
      <c r="O129" s="581"/>
      <c r="P129" s="581"/>
      <c r="AA129" s="581"/>
      <c r="AB129" s="581"/>
      <c r="AC129" s="581"/>
      <c r="AD129" s="581"/>
      <c r="AE129" s="581"/>
      <c r="AF129" s="581"/>
      <c r="AG129" s="581"/>
      <c r="AH129" s="581"/>
      <c r="AI129" s="581"/>
      <c r="AJ129" s="581"/>
      <c r="AK129" s="581"/>
      <c r="AL129" s="581"/>
      <c r="AM129" s="581"/>
      <c r="AN129" s="581"/>
      <c r="AO129" s="581"/>
      <c r="AP129" s="581"/>
      <c r="AQ129" s="581"/>
      <c r="AR129" s="581"/>
    </row>
    <row r="130" spans="1:44" ht="12.75" customHeight="1" x14ac:dyDescent="0.25">
      <c r="A130" s="581"/>
      <c r="B130" s="581"/>
      <c r="C130" s="581"/>
      <c r="D130" s="581"/>
      <c r="E130" s="581"/>
      <c r="F130" s="581"/>
      <c r="G130" s="581"/>
      <c r="H130" s="581"/>
      <c r="I130" s="581"/>
      <c r="J130" s="581"/>
      <c r="K130" s="581"/>
      <c r="L130" s="581"/>
      <c r="M130" s="581"/>
      <c r="N130" s="581"/>
      <c r="O130" s="581"/>
      <c r="P130" s="581"/>
      <c r="AA130" s="581"/>
      <c r="AB130" s="581"/>
      <c r="AC130" s="581"/>
      <c r="AD130" s="581"/>
      <c r="AE130" s="581"/>
      <c r="AF130" s="581"/>
      <c r="AG130" s="581"/>
      <c r="AH130" s="581"/>
      <c r="AI130" s="581"/>
      <c r="AJ130" s="581"/>
      <c r="AK130" s="581"/>
      <c r="AL130" s="581"/>
      <c r="AM130" s="581"/>
      <c r="AN130" s="581"/>
      <c r="AO130" s="581"/>
      <c r="AP130" s="581"/>
      <c r="AQ130" s="581"/>
      <c r="AR130" s="581"/>
    </row>
    <row r="131" spans="1:44" ht="12.75" customHeight="1" x14ac:dyDescent="0.25">
      <c r="A131" s="581"/>
      <c r="B131" s="581"/>
      <c r="C131" s="581"/>
      <c r="D131" s="581"/>
      <c r="E131" s="581"/>
      <c r="F131" s="581"/>
      <c r="G131" s="581"/>
      <c r="H131" s="581"/>
      <c r="I131" s="581"/>
      <c r="J131" s="581"/>
      <c r="K131" s="581"/>
      <c r="L131" s="581"/>
      <c r="M131" s="581"/>
      <c r="N131" s="581"/>
      <c r="O131" s="581"/>
      <c r="P131" s="581"/>
      <c r="AA131" s="581"/>
      <c r="AB131" s="581"/>
      <c r="AC131" s="581"/>
      <c r="AD131" s="581"/>
      <c r="AE131" s="581"/>
      <c r="AF131" s="581"/>
      <c r="AG131" s="581"/>
      <c r="AH131" s="581"/>
      <c r="AI131" s="581"/>
      <c r="AJ131" s="581"/>
      <c r="AK131" s="581"/>
      <c r="AL131" s="581"/>
      <c r="AM131" s="581"/>
      <c r="AN131" s="581"/>
      <c r="AO131" s="581"/>
      <c r="AP131" s="581"/>
      <c r="AQ131" s="581"/>
      <c r="AR131" s="581"/>
    </row>
    <row r="132" spans="1:44" ht="12.75" customHeight="1" x14ac:dyDescent="0.25">
      <c r="A132" s="581"/>
      <c r="B132" s="581"/>
      <c r="C132" s="581"/>
      <c r="D132" s="581"/>
      <c r="E132" s="581"/>
      <c r="F132" s="581"/>
      <c r="G132" s="581"/>
      <c r="H132" s="581"/>
      <c r="I132" s="581"/>
      <c r="J132" s="581"/>
      <c r="K132" s="581"/>
      <c r="L132" s="581"/>
      <c r="M132" s="581"/>
      <c r="N132" s="581"/>
      <c r="O132" s="581"/>
      <c r="P132" s="581"/>
      <c r="AA132" s="581"/>
      <c r="AB132" s="581"/>
      <c r="AC132" s="581"/>
      <c r="AD132" s="581"/>
      <c r="AE132" s="581"/>
      <c r="AF132" s="581"/>
      <c r="AG132" s="581"/>
      <c r="AH132" s="581"/>
      <c r="AI132" s="581"/>
      <c r="AJ132" s="581"/>
      <c r="AK132" s="581"/>
      <c r="AL132" s="581"/>
      <c r="AM132" s="581"/>
      <c r="AN132" s="581"/>
      <c r="AO132" s="581"/>
      <c r="AP132" s="581"/>
      <c r="AQ132" s="581"/>
      <c r="AR132" s="581"/>
    </row>
    <row r="133" spans="1:44" ht="12.75" customHeight="1" x14ac:dyDescent="0.25">
      <c r="A133" s="581"/>
      <c r="B133" s="581"/>
      <c r="C133" s="581"/>
      <c r="D133" s="581"/>
      <c r="E133" s="581"/>
      <c r="F133" s="581"/>
      <c r="G133" s="581"/>
      <c r="H133" s="581"/>
      <c r="I133" s="581"/>
      <c r="J133" s="581"/>
      <c r="K133" s="581"/>
      <c r="L133" s="581"/>
      <c r="M133" s="581"/>
      <c r="N133" s="581"/>
      <c r="O133" s="581"/>
      <c r="P133" s="581"/>
      <c r="AA133" s="581"/>
      <c r="AB133" s="581"/>
      <c r="AC133" s="581"/>
      <c r="AD133" s="581"/>
      <c r="AE133" s="581"/>
      <c r="AF133" s="581"/>
      <c r="AG133" s="581"/>
      <c r="AH133" s="581"/>
      <c r="AI133" s="581"/>
      <c r="AJ133" s="581"/>
      <c r="AK133" s="581"/>
      <c r="AL133" s="581"/>
      <c r="AM133" s="581"/>
      <c r="AN133" s="581"/>
      <c r="AO133" s="581"/>
      <c r="AP133" s="581"/>
      <c r="AQ133" s="581"/>
      <c r="AR133" s="581"/>
    </row>
    <row r="134" spans="1:44" ht="12.75" customHeight="1" x14ac:dyDescent="0.25">
      <c r="A134" s="581"/>
      <c r="B134" s="581"/>
      <c r="C134" s="581"/>
      <c r="D134" s="581"/>
      <c r="E134" s="581"/>
      <c r="F134" s="581"/>
      <c r="G134" s="581"/>
      <c r="H134" s="581"/>
      <c r="I134" s="581"/>
      <c r="J134" s="581"/>
      <c r="K134" s="581"/>
      <c r="L134" s="581"/>
      <c r="M134" s="581"/>
      <c r="N134" s="581"/>
      <c r="O134" s="581"/>
      <c r="P134" s="581"/>
      <c r="AA134" s="581"/>
      <c r="AB134" s="581"/>
      <c r="AC134" s="581"/>
      <c r="AD134" s="581"/>
      <c r="AE134" s="581"/>
      <c r="AF134" s="581"/>
      <c r="AG134" s="581"/>
      <c r="AH134" s="581"/>
      <c r="AI134" s="581"/>
      <c r="AJ134" s="581"/>
      <c r="AK134" s="581"/>
      <c r="AL134" s="581"/>
      <c r="AM134" s="581"/>
      <c r="AN134" s="581"/>
      <c r="AO134" s="581"/>
      <c r="AP134" s="581"/>
      <c r="AQ134" s="581"/>
      <c r="AR134" s="581"/>
    </row>
    <row r="135" spans="1:44" ht="12.75" customHeight="1" x14ac:dyDescent="0.25">
      <c r="E135" s="256"/>
      <c r="F135" s="256"/>
      <c r="G135" s="256"/>
      <c r="I135" s="256"/>
    </row>
    <row r="136" spans="1:44" ht="12.75" customHeight="1" x14ac:dyDescent="0.25">
      <c r="E136" s="256"/>
      <c r="F136" s="256"/>
      <c r="G136" s="256"/>
      <c r="I136" s="256"/>
    </row>
    <row r="137" spans="1:44" ht="12.75" customHeight="1" x14ac:dyDescent="0.25">
      <c r="E137" s="256"/>
      <c r="F137" s="256"/>
      <c r="G137" s="256"/>
      <c r="I137" s="256"/>
    </row>
  </sheetData>
  <sheetProtection password="BCD8" sheet="1" objects="1" scenarios="1"/>
  <phoneticPr fontId="0" type="noConversion"/>
  <conditionalFormatting sqref="C24:C29">
    <cfRule type="cellIs" dxfId="173" priority="2" stopIfTrue="1" operator="equal">
      <formula>"&gt;"</formula>
    </cfRule>
  </conditionalFormatting>
  <conditionalFormatting sqref="D24:G29">
    <cfRule type="expression" dxfId="172"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937" r:id="rId4" name="home">
              <controlPr defaultSize="0" print="0" autoFill="0" autoPict="0" macro="[0]!globalgoto">
                <anchor moveWithCells="1" sizeWithCells="1">
                  <from>
                    <xdr:col>0</xdr:col>
                    <xdr:colOff>88900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39938" r:id="rId5" name="basic">
              <controlPr defaultSize="0" print="0" autoFill="0" autoPict="0" macro="[0]!globalgoto">
                <anchor moveWithCells="1" sizeWithCells="1">
                  <from>
                    <xdr:col>0</xdr:col>
                    <xdr:colOff>88900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39939" r:id="rId6" name="Button 3">
              <controlPr defaultSize="0" print="0" autoFill="0" autoPict="0" macro="[0]!goto_next_year_any_sheet">
                <anchor moveWithCells="1" sizeWithCells="1">
                  <from>
                    <xdr:col>0</xdr:col>
                    <xdr:colOff>107950</xdr:colOff>
                    <xdr:row>19</xdr:row>
                    <xdr:rowOff>12700</xdr:rowOff>
                  </from>
                  <to>
                    <xdr:col>0</xdr:col>
                    <xdr:colOff>1066800</xdr:colOff>
                    <xdr:row>22</xdr:row>
                    <xdr:rowOff>114300</xdr:rowOff>
                  </to>
                </anchor>
              </controlPr>
            </control>
          </mc:Choice>
        </mc:AlternateContent>
        <mc:AlternateContent xmlns:mc="http://schemas.openxmlformats.org/markup-compatibility/2006">
          <mc:Choice Requires="x14">
            <control shapeId="39940" r:id="rId7" name="Button 4">
              <controlPr defaultSize="0" print="0" autoFill="0" autoPict="0" macro="[0]!goto_previous_year_any_sheet">
                <anchor moveWithCells="1" sizeWithCells="1">
                  <from>
                    <xdr:col>0</xdr:col>
                    <xdr:colOff>107950</xdr:colOff>
                    <xdr:row>23</xdr:row>
                    <xdr:rowOff>12700</xdr:rowOff>
                  </from>
                  <to>
                    <xdr:col>0</xdr:col>
                    <xdr:colOff>1066800</xdr:colOff>
                    <xdr:row>26</xdr:row>
                    <xdr:rowOff>114300</xdr:rowOff>
                  </to>
                </anchor>
              </controlPr>
            </control>
          </mc:Choice>
        </mc:AlternateContent>
        <mc:AlternateContent xmlns:mc="http://schemas.openxmlformats.org/markup-compatibility/2006">
          <mc:Choice Requires="x14">
            <control shapeId="39941" r:id="rId8" name="Button 5">
              <controlPr defaultSize="0" print="0" autoFill="0" autoPict="0" macro="[0]!goto_next_year_any_sheet">
                <anchor moveWithCells="1" sizeWithCells="1">
                  <from>
                    <xdr:col>10</xdr:col>
                    <xdr:colOff>101600</xdr:colOff>
                    <xdr:row>2</xdr:row>
                    <xdr:rowOff>127000</xdr:rowOff>
                  </from>
                  <to>
                    <xdr:col>11</xdr:col>
                    <xdr:colOff>419100</xdr:colOff>
                    <xdr:row>4</xdr:row>
                    <xdr:rowOff>63500</xdr:rowOff>
                  </to>
                </anchor>
              </controlPr>
            </control>
          </mc:Choice>
        </mc:AlternateContent>
        <mc:AlternateContent xmlns:mc="http://schemas.openxmlformats.org/markup-compatibility/2006">
          <mc:Choice Requires="x14">
            <control shapeId="39942" r:id="rId9" name="Button 6">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39943" r:id="rId10" name="Button 7">
              <controlPr defaultSize="0" print="0" autoFill="0" autoPict="0" macro="[0]!copy_as_excel">
                <anchor moveWithCells="1" sizeWithCells="1">
                  <from>
                    <xdr:col>10</xdr:col>
                    <xdr:colOff>38100</xdr:colOff>
                    <xdr:row>11</xdr:row>
                    <xdr:rowOff>88900</xdr:rowOff>
                  </from>
                  <to>
                    <xdr:col>11</xdr:col>
                    <xdr:colOff>88900</xdr:colOff>
                    <xdr:row>13</xdr:row>
                    <xdr:rowOff>146050</xdr:rowOff>
                  </to>
                </anchor>
              </controlPr>
            </control>
          </mc:Choice>
        </mc:AlternateContent>
        <mc:AlternateContent xmlns:mc="http://schemas.openxmlformats.org/markup-compatibility/2006">
          <mc:Choice Requires="x14">
            <control shapeId="39944" r:id="rId11" name="Button 8">
              <controlPr defaultSize="0" print="0" autoFill="0" autoPict="0" macro="[0]!pdflauncher">
                <anchor moveWithCells="1" sizeWithCells="1">
                  <from>
                    <xdr:col>11</xdr:col>
                    <xdr:colOff>101600</xdr:colOff>
                    <xdr:row>11</xdr:row>
                    <xdr:rowOff>88900</xdr:rowOff>
                  </from>
                  <to>
                    <xdr:col>11</xdr:col>
                    <xdr:colOff>787400</xdr:colOff>
                    <xdr:row>13</xdr:row>
                    <xdr:rowOff>146050</xdr:rowOff>
                  </to>
                </anchor>
              </controlPr>
            </control>
          </mc:Choice>
        </mc:AlternateContent>
        <mc:AlternateContent xmlns:mc="http://schemas.openxmlformats.org/markup-compatibility/2006">
          <mc:Choice Requires="x14">
            <control shapeId="39945" r:id="rId12" name="Button 9">
              <controlPr defaultSize="0" print="0" autoFill="0" autoPict="0" macro="[0]!openfolder">
                <anchor moveWithCells="1" sizeWithCells="1">
                  <from>
                    <xdr:col>11</xdr:col>
                    <xdr:colOff>793750</xdr:colOff>
                    <xdr:row>11</xdr:row>
                    <xdr:rowOff>88900</xdr:rowOff>
                  </from>
                  <to>
                    <xdr:col>12</xdr:col>
                    <xdr:colOff>508000</xdr:colOff>
                    <xdr:row>13</xdr:row>
                    <xdr:rowOff>146050</xdr:rowOff>
                  </to>
                </anchor>
              </controlPr>
            </control>
          </mc:Choice>
        </mc:AlternateContent>
        <mc:AlternateContent xmlns:mc="http://schemas.openxmlformats.org/markup-compatibility/2006">
          <mc:Choice Requires="x14">
            <control shapeId="39946" r:id="rId13" name="Button 10">
              <controlPr defaultSize="0" print="0" autoFill="0" autoPict="0" macro="[0]!goto_folder_settings">
                <anchor moveWithCells="1" sizeWithCells="1">
                  <from>
                    <xdr:col>12</xdr:col>
                    <xdr:colOff>520700</xdr:colOff>
                    <xdr:row>11</xdr:row>
                    <xdr:rowOff>88900</xdr:rowOff>
                  </from>
                  <to>
                    <xdr:col>12</xdr:col>
                    <xdr:colOff>1041400</xdr:colOff>
                    <xdr:row>13</xdr:row>
                    <xdr:rowOff>146050</xdr:rowOff>
                  </to>
                </anchor>
              </controlPr>
            </control>
          </mc:Choice>
        </mc:AlternateContent>
        <mc:AlternateContent xmlns:mc="http://schemas.openxmlformats.org/markup-compatibility/2006">
          <mc:Choice Requires="x14">
            <control shapeId="39947" r:id="rId14" name="Button 11">
              <controlPr defaultSize="0" print="0" autoFill="0" autoPict="0" macro="[0]!email_pdf_launch">
                <anchor moveWithCells="1" sizeWithCells="1">
                  <from>
                    <xdr:col>11</xdr:col>
                    <xdr:colOff>241300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39948" r:id="rId15" name="Button 12">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39949" r:id="rId16" name="Button 13">
              <controlPr defaultSize="0" print="0" autoFill="0" autoPict="0" macro="[0]!emailsettings">
                <anchor moveWithCells="1" sizeWithCells="1">
                  <from>
                    <xdr:col>12</xdr:col>
                    <xdr:colOff>127000</xdr:colOff>
                    <xdr:row>9</xdr:row>
                    <xdr:rowOff>120650</xdr:rowOff>
                  </from>
                  <to>
                    <xdr:col>12</xdr:col>
                    <xdr:colOff>1041400</xdr:colOff>
                    <xdr:row>11</xdr:row>
                    <xdr:rowOff>82550</xdr:rowOff>
                  </to>
                </anchor>
              </controlPr>
            </control>
          </mc:Choice>
        </mc:AlternateContent>
        <mc:AlternateContent xmlns:mc="http://schemas.openxmlformats.org/markup-compatibility/2006">
          <mc:Choice Requires="x14">
            <control shapeId="39950" r:id="rId17" name="Button 14">
              <controlPr defaultSize="0" print="0" autoFill="0" autoPict="0" macro="[0]!goto_other_analysis">
                <anchor moveWithCells="1" sizeWithCells="1">
                  <from>
                    <xdr:col>10</xdr:col>
                    <xdr:colOff>127000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39951" r:id="rId18" name="Button 15">
              <controlPr defaultSize="0" print="0" autoFill="0" autoPict="0" macro="[0]!goto_basic_analysis_revised">
                <anchor moveWithCells="1" sizeWithCells="1">
                  <from>
                    <xdr:col>10</xdr:col>
                    <xdr:colOff>127000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39952" r:id="rId19"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mc:AlternateContent xmlns:mc="http://schemas.openxmlformats.org/markup-compatibility/2006">
          <mc:Choice Requires="x14">
            <control shapeId="39953" r:id="rId20" name="troyr1">
              <controlPr defaultSize="0" print="0" autoFill="0" autoPict="0" macro="[0]!goto_basic_analysis_revised">
                <anchor moveWithCells="1" sizeWithCells="1">
                  <from>
                    <xdr:col>3</xdr:col>
                    <xdr:colOff>1593850</xdr:colOff>
                    <xdr:row>44</xdr:row>
                    <xdr:rowOff>139700</xdr:rowOff>
                  </from>
                  <to>
                    <xdr:col>5</xdr:col>
                    <xdr:colOff>901700</xdr:colOff>
                    <xdr:row>46</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1FB7C-F2A5-4C00-9885-FD8BF85BC4C8}">
  <sheetPr codeName="Sheet66">
    <pageSetUpPr fitToPage="1"/>
  </sheetPr>
  <dimension ref="A1:AR137"/>
  <sheetViews>
    <sheetView showGridLines="0" zoomScaleNormal="100" workbookViewId="0"/>
  </sheetViews>
  <sheetFormatPr defaultColWidth="9.08984375" defaultRowHeight="12.75" customHeight="1" x14ac:dyDescent="0.25"/>
  <cols>
    <col min="1" max="1" width="16.6328125" style="256" customWidth="1"/>
    <col min="2" max="2" width="2.6328125" style="256" customWidth="1"/>
    <col min="3" max="3" width="11.6328125" style="256" customWidth="1"/>
    <col min="4" max="4" width="23.453125" style="256" customWidth="1"/>
    <col min="5" max="5" width="12.08984375" style="273" customWidth="1"/>
    <col min="6" max="6" width="16.08984375" style="273" customWidth="1"/>
    <col min="7" max="7" width="10.6328125" style="273" customWidth="1"/>
    <col min="8" max="8" width="12.36328125" style="256" customWidth="1"/>
    <col min="9" max="9" width="12.453125" style="475" customWidth="1"/>
    <col min="10" max="10" width="2.54296875" style="256" customWidth="1"/>
    <col min="11" max="11" width="9.36328125" style="256" customWidth="1"/>
    <col min="12" max="12" width="11.90625" style="256" customWidth="1"/>
    <col min="13" max="13" width="15.6328125" style="256" customWidth="1"/>
    <col min="14" max="16" width="9.08984375" style="256"/>
    <col min="17" max="19" width="9.08984375" style="256" hidden="1" customWidth="1"/>
    <col min="20" max="20" width="17.453125" style="256" hidden="1" customWidth="1"/>
    <col min="21" max="26" width="9.08984375" style="256" hidden="1" customWidth="1"/>
    <col min="27" max="16384" width="9.08984375" style="256"/>
  </cols>
  <sheetData>
    <row r="1" spans="1:44" ht="12.5" x14ac:dyDescent="0.25">
      <c r="A1" s="492"/>
      <c r="B1" s="492"/>
      <c r="C1" s="492"/>
      <c r="D1" s="492"/>
      <c r="E1" s="493"/>
      <c r="F1" s="493"/>
      <c r="G1" s="493"/>
      <c r="H1" s="492"/>
      <c r="I1" s="494"/>
      <c r="J1" s="492"/>
      <c r="K1" s="492"/>
      <c r="L1" s="492"/>
      <c r="M1" s="492"/>
      <c r="N1" s="492"/>
      <c r="O1" s="492"/>
      <c r="P1" s="492"/>
      <c r="AA1" s="492"/>
      <c r="AB1" s="492"/>
      <c r="AC1" s="492"/>
      <c r="AD1" s="492"/>
      <c r="AE1" s="492"/>
      <c r="AF1" s="492"/>
      <c r="AG1" s="492"/>
      <c r="AH1" s="492"/>
      <c r="AI1" s="492"/>
      <c r="AJ1" s="492"/>
      <c r="AK1" s="492"/>
      <c r="AL1" s="492"/>
      <c r="AM1" s="492"/>
      <c r="AN1" s="492"/>
      <c r="AO1" s="492"/>
      <c r="AP1" s="492"/>
      <c r="AQ1" s="492"/>
      <c r="AR1" s="492"/>
    </row>
    <row r="2" spans="1:44" ht="12.5" x14ac:dyDescent="0.25">
      <c r="A2" s="492"/>
      <c r="B2" s="492"/>
      <c r="C2" s="492"/>
      <c r="D2" s="492"/>
      <c r="E2" s="493"/>
      <c r="F2" s="493"/>
      <c r="G2" s="493"/>
      <c r="H2" s="492"/>
      <c r="I2" s="494"/>
      <c r="J2" s="492"/>
      <c r="K2" s="492"/>
      <c r="L2" s="492"/>
      <c r="M2" s="492"/>
      <c r="N2" s="492"/>
      <c r="O2" s="492"/>
      <c r="P2" s="492"/>
      <c r="AA2" s="492"/>
      <c r="AB2" s="492"/>
      <c r="AC2" s="492"/>
      <c r="AD2" s="492"/>
      <c r="AE2" s="492"/>
      <c r="AF2" s="492"/>
      <c r="AG2" s="492"/>
      <c r="AH2" s="492"/>
      <c r="AI2" s="492"/>
      <c r="AJ2" s="492"/>
      <c r="AK2" s="492"/>
      <c r="AL2" s="492"/>
      <c r="AM2" s="492"/>
      <c r="AN2" s="492"/>
      <c r="AO2" s="492"/>
      <c r="AP2" s="492"/>
      <c r="AQ2" s="492"/>
      <c r="AR2" s="492"/>
    </row>
    <row r="3" spans="1:44" ht="12.5" x14ac:dyDescent="0.25">
      <c r="A3" s="492"/>
      <c r="K3" s="492"/>
      <c r="L3" s="492"/>
      <c r="M3" s="492"/>
      <c r="N3" s="492"/>
      <c r="O3" s="492"/>
      <c r="P3" s="492"/>
      <c r="AA3" s="492"/>
      <c r="AB3" s="492"/>
      <c r="AC3" s="492"/>
      <c r="AD3" s="492"/>
      <c r="AE3" s="492"/>
      <c r="AF3" s="492"/>
      <c r="AG3" s="492"/>
      <c r="AH3" s="492"/>
      <c r="AI3" s="492"/>
      <c r="AJ3" s="492"/>
      <c r="AK3" s="492"/>
      <c r="AL3" s="492"/>
      <c r="AM3" s="492"/>
      <c r="AN3" s="492"/>
      <c r="AO3" s="492"/>
      <c r="AP3" s="492"/>
      <c r="AQ3" s="492"/>
      <c r="AR3" s="492"/>
    </row>
    <row r="4" spans="1:44" ht="15.5" x14ac:dyDescent="0.35">
      <c r="A4" s="492"/>
      <c r="C4" s="488" t="str">
        <f>"Transitional Arrangements Calculation - "&amp;C10</f>
        <v xml:space="preserve">Transitional Arrangements Calculation - 2025/26 </v>
      </c>
      <c r="H4" s="579" t="str">
        <f>basic!D22</f>
        <v>England</v>
      </c>
      <c r="I4" s="579" t="s">
        <v>248</v>
      </c>
      <c r="K4" s="492"/>
      <c r="L4" s="492"/>
      <c r="M4" s="492"/>
      <c r="N4" s="492"/>
      <c r="O4" s="492"/>
      <c r="P4" s="492"/>
      <c r="AA4" s="492"/>
      <c r="AB4" s="492"/>
      <c r="AC4" s="492"/>
      <c r="AD4" s="492"/>
      <c r="AE4" s="492"/>
      <c r="AF4" s="492"/>
      <c r="AG4" s="492"/>
      <c r="AH4" s="492"/>
      <c r="AI4" s="492"/>
      <c r="AJ4" s="492"/>
      <c r="AK4" s="492"/>
      <c r="AL4" s="492"/>
      <c r="AM4" s="492"/>
      <c r="AN4" s="492"/>
      <c r="AO4" s="492"/>
      <c r="AP4" s="492"/>
      <c r="AQ4" s="492"/>
      <c r="AR4" s="492"/>
    </row>
    <row r="5" spans="1:44" ht="9" customHeight="1" x14ac:dyDescent="0.3">
      <c r="A5" s="492"/>
      <c r="C5" s="291"/>
      <c r="K5" s="492"/>
      <c r="L5" s="492"/>
      <c r="M5" s="492"/>
      <c r="N5" s="492"/>
      <c r="O5" s="492"/>
      <c r="P5" s="492"/>
      <c r="AA5" s="492"/>
      <c r="AB5" s="492"/>
      <c r="AC5" s="492"/>
      <c r="AD5" s="492"/>
      <c r="AE5" s="492"/>
      <c r="AF5" s="492"/>
      <c r="AG5" s="492"/>
      <c r="AH5" s="492"/>
      <c r="AI5" s="492"/>
      <c r="AJ5" s="492"/>
      <c r="AK5" s="492"/>
      <c r="AL5" s="492"/>
      <c r="AM5" s="492"/>
      <c r="AN5" s="492"/>
      <c r="AO5" s="492"/>
      <c r="AP5" s="492"/>
      <c r="AQ5" s="492"/>
      <c r="AR5" s="492"/>
    </row>
    <row r="6" spans="1:44" ht="13" x14ac:dyDescent="0.3">
      <c r="A6" s="492"/>
      <c r="C6" s="291" t="s">
        <v>667</v>
      </c>
      <c r="D6" s="291" t="str">
        <f>basic!D26</f>
        <v>Enter Address Details</v>
      </c>
      <c r="K6" s="492"/>
      <c r="L6" s="492"/>
      <c r="M6" s="492"/>
      <c r="N6" s="492"/>
      <c r="O6" s="492"/>
      <c r="P6" s="492"/>
      <c r="AA6" s="492"/>
      <c r="AB6" s="492"/>
      <c r="AC6" s="492"/>
      <c r="AD6" s="492"/>
      <c r="AE6" s="492"/>
      <c r="AF6" s="492"/>
      <c r="AG6" s="492"/>
      <c r="AH6" s="492"/>
      <c r="AI6" s="492"/>
      <c r="AJ6" s="492"/>
      <c r="AK6" s="492"/>
      <c r="AL6" s="492"/>
      <c r="AM6" s="492"/>
      <c r="AN6" s="492"/>
      <c r="AO6" s="492"/>
      <c r="AP6" s="492"/>
      <c r="AQ6" s="492"/>
      <c r="AR6" s="492"/>
    </row>
    <row r="7" spans="1:44" ht="13" x14ac:dyDescent="0.3">
      <c r="A7" s="492"/>
      <c r="C7" s="291"/>
      <c r="D7" s="291"/>
      <c r="K7" s="492"/>
      <c r="L7" s="492"/>
      <c r="M7" s="492"/>
      <c r="N7" s="492"/>
      <c r="O7" s="492"/>
      <c r="P7" s="492"/>
      <c r="AA7" s="492"/>
      <c r="AB7" s="492"/>
      <c r="AC7" s="492"/>
      <c r="AD7" s="492"/>
      <c r="AE7" s="492"/>
      <c r="AF7" s="492"/>
      <c r="AG7" s="492"/>
      <c r="AH7" s="492"/>
      <c r="AI7" s="492"/>
      <c r="AJ7" s="492"/>
      <c r="AK7" s="492"/>
      <c r="AL7" s="492"/>
      <c r="AM7" s="492"/>
      <c r="AN7" s="492"/>
      <c r="AO7" s="492"/>
      <c r="AP7" s="492"/>
      <c r="AQ7" s="492"/>
      <c r="AR7" s="492"/>
    </row>
    <row r="8" spans="1:44" ht="13.5" customHeight="1" x14ac:dyDescent="0.3">
      <c r="A8" s="492"/>
      <c r="C8" s="489"/>
      <c r="D8" s="498" t="str">
        <f>IF(calc1!E38=FALSE,"As Transition did not apply in the previous year it will not apply this year","")</f>
        <v>As Transition did not apply in the previous year it will not apply this year</v>
      </c>
      <c r="E8" s="335"/>
      <c r="F8" s="335"/>
      <c r="G8" s="335"/>
      <c r="H8" s="283"/>
      <c r="I8" s="487"/>
      <c r="K8" s="492"/>
      <c r="L8" s="492"/>
      <c r="M8" s="492"/>
      <c r="N8" s="492"/>
      <c r="O8" s="492"/>
      <c r="P8" s="492"/>
      <c r="AA8" s="492"/>
      <c r="AB8" s="492"/>
      <c r="AC8" s="492"/>
      <c r="AD8" s="492"/>
      <c r="AE8" s="492"/>
      <c r="AF8" s="492"/>
      <c r="AG8" s="492"/>
      <c r="AH8" s="492"/>
      <c r="AI8" s="492"/>
      <c r="AJ8" s="492"/>
      <c r="AK8" s="492"/>
      <c r="AL8" s="492"/>
      <c r="AM8" s="492"/>
      <c r="AN8" s="492"/>
      <c r="AO8" s="492"/>
      <c r="AP8" s="492"/>
      <c r="AQ8" s="492"/>
      <c r="AR8" s="492"/>
    </row>
    <row r="9" spans="1:44" ht="9.75" customHeight="1" x14ac:dyDescent="0.3">
      <c r="A9" s="492"/>
      <c r="C9" s="291"/>
      <c r="K9" s="492"/>
      <c r="L9" s="492"/>
      <c r="M9" s="492"/>
      <c r="N9" s="492"/>
      <c r="O9" s="492"/>
      <c r="P9" s="492"/>
      <c r="S9" s="480" t="s">
        <v>57</v>
      </c>
      <c r="T9" s="302">
        <f>data!B3-1</f>
        <v>45016</v>
      </c>
      <c r="AA9" s="492"/>
      <c r="AB9" s="492"/>
      <c r="AC9" s="492"/>
      <c r="AD9" s="492"/>
      <c r="AE9" s="492"/>
      <c r="AF9" s="492"/>
      <c r="AG9" s="492"/>
      <c r="AH9" s="492"/>
      <c r="AI9" s="492"/>
      <c r="AJ9" s="492"/>
      <c r="AK9" s="492"/>
      <c r="AL9" s="492"/>
      <c r="AM9" s="492"/>
      <c r="AN9" s="492"/>
      <c r="AO9" s="492"/>
      <c r="AP9" s="492"/>
      <c r="AQ9" s="492"/>
      <c r="AR9" s="492"/>
    </row>
    <row r="10" spans="1:44" ht="13.5" customHeight="1" x14ac:dyDescent="0.3">
      <c r="A10" s="492"/>
      <c r="C10" s="291" t="str">
        <f>basic!D17</f>
        <v xml:space="preserve">2025/26 </v>
      </c>
      <c r="D10" s="257" t="str">
        <f>"The Base Liability is the Transitional Limit from the previous year"</f>
        <v>The Base Liability is the Transitional Limit from the previous year</v>
      </c>
      <c r="H10" s="476"/>
      <c r="K10" s="492"/>
      <c r="L10" s="492"/>
      <c r="M10" s="492"/>
      <c r="N10" s="492"/>
      <c r="O10" s="492"/>
      <c r="P10" s="492"/>
      <c r="S10" s="480" t="s">
        <v>43</v>
      </c>
      <c r="T10" s="495">
        <f>basic!I5</f>
        <v>0</v>
      </c>
      <c r="AA10" s="492"/>
      <c r="AB10" s="492"/>
      <c r="AC10" s="492"/>
      <c r="AD10" s="492"/>
      <c r="AE10" s="492"/>
      <c r="AF10" s="492"/>
      <c r="AG10" s="492"/>
      <c r="AH10" s="492"/>
      <c r="AI10" s="492"/>
      <c r="AJ10" s="492"/>
      <c r="AK10" s="492"/>
      <c r="AL10" s="492"/>
      <c r="AM10" s="492"/>
      <c r="AN10" s="492"/>
      <c r="AO10" s="492"/>
      <c r="AP10" s="492"/>
      <c r="AQ10" s="492"/>
      <c r="AR10" s="492"/>
    </row>
    <row r="11" spans="1:44" ht="13" x14ac:dyDescent="0.3">
      <c r="A11" s="492"/>
      <c r="C11" s="291"/>
      <c r="D11" s="256" t="str">
        <f>"which is a figure of £"&amp;TEXT(T14,"#,###.00")</f>
        <v>which is a figure of £.00</v>
      </c>
      <c r="H11" s="496"/>
      <c r="K11" s="492"/>
      <c r="L11" s="492"/>
      <c r="M11" s="492"/>
      <c r="N11" s="492"/>
      <c r="O11" s="492"/>
      <c r="P11" s="492"/>
      <c r="S11" s="480" t="s">
        <v>44</v>
      </c>
      <c r="T11" s="480"/>
      <c r="AA11" s="492"/>
      <c r="AB11" s="492"/>
      <c r="AC11" s="492"/>
      <c r="AD11" s="492"/>
      <c r="AE11" s="492"/>
      <c r="AF11" s="492"/>
      <c r="AG11" s="492"/>
      <c r="AH11" s="492"/>
      <c r="AI11" s="492"/>
      <c r="AJ11" s="492"/>
      <c r="AK11" s="492"/>
      <c r="AL11" s="492"/>
      <c r="AM11" s="492"/>
      <c r="AN11" s="492"/>
      <c r="AO11" s="492"/>
      <c r="AP11" s="492"/>
      <c r="AQ11" s="492"/>
      <c r="AR11" s="492"/>
    </row>
    <row r="12" spans="1:44" ht="13.5" customHeight="1" x14ac:dyDescent="0.3">
      <c r="A12" s="492"/>
      <c r="C12" s="291"/>
      <c r="D12" s="257" t="str">
        <f>"The Notional Liability is the RV as at "&amp;TEXT(T9+1,"dd/mm/yy")&amp;" ( "&amp;TEXT(T15,"#,###")&amp;" ) x the Small"</f>
        <v>The Notional Liability is the RV as at 01/04/23 (  ) x the Small</v>
      </c>
      <c r="K12" s="492"/>
      <c r="L12" s="492"/>
      <c r="M12" s="492"/>
      <c r="N12" s="492"/>
      <c r="O12" s="492"/>
      <c r="P12" s="492"/>
      <c r="S12" s="480" t="s">
        <v>45</v>
      </c>
      <c r="T12" s="480"/>
      <c r="AA12" s="492"/>
      <c r="AB12" s="492"/>
      <c r="AC12" s="492"/>
      <c r="AD12" s="492"/>
      <c r="AE12" s="492"/>
      <c r="AF12" s="492"/>
      <c r="AG12" s="492"/>
      <c r="AH12" s="492"/>
      <c r="AI12" s="492"/>
      <c r="AJ12" s="492"/>
      <c r="AK12" s="492"/>
      <c r="AL12" s="492"/>
      <c r="AM12" s="492"/>
      <c r="AN12" s="492"/>
      <c r="AO12" s="492"/>
      <c r="AP12" s="492"/>
      <c r="AQ12" s="492"/>
      <c r="AR12" s="492"/>
    </row>
    <row r="13" spans="1:44" ht="13.5" customHeight="1" x14ac:dyDescent="0.3">
      <c r="A13" s="492"/>
      <c r="C13" s="291"/>
      <c r="D13" s="256" t="str">
        <f>"Multiplier for "&amp;TEXT(text!B10,"dd/mm/yy")&amp;" ( "&amp;TEXT(T16,"0.000")&amp;" ) which gives a figure of "&amp;TEXT(T17,"#,###.00")</f>
        <v>Multiplier for 01/04/24 ( 0.499 ) which gives a figure of .00</v>
      </c>
      <c r="K13" s="492"/>
      <c r="L13" s="492"/>
      <c r="M13" s="492"/>
      <c r="N13" s="492"/>
      <c r="O13" s="492"/>
      <c r="P13" s="492"/>
      <c r="S13" s="480" t="s">
        <v>46</v>
      </c>
      <c r="T13" s="497"/>
      <c r="AA13" s="492"/>
      <c r="AB13" s="492"/>
      <c r="AC13" s="492"/>
      <c r="AD13" s="492"/>
      <c r="AE13" s="492"/>
      <c r="AF13" s="492"/>
      <c r="AG13" s="492"/>
      <c r="AH13" s="492"/>
      <c r="AI13" s="492"/>
      <c r="AJ13" s="492"/>
      <c r="AK13" s="492"/>
      <c r="AL13" s="492"/>
      <c r="AM13" s="492"/>
      <c r="AN13" s="492"/>
      <c r="AO13" s="492"/>
      <c r="AP13" s="492"/>
      <c r="AQ13" s="492"/>
      <c r="AR13" s="492"/>
    </row>
    <row r="14" spans="1:44" ht="13.5" customHeight="1" x14ac:dyDescent="0.3">
      <c r="A14" s="492"/>
      <c r="C14" s="291"/>
      <c r="D14" s="257"/>
      <c r="H14" s="476"/>
      <c r="K14" s="492"/>
      <c r="L14" s="492"/>
      <c r="M14" s="492"/>
      <c r="N14" s="492"/>
      <c r="O14" s="492"/>
      <c r="P14" s="492"/>
      <c r="S14" s="480" t="s">
        <v>49</v>
      </c>
      <c r="T14" s="480">
        <f>calc1!F19</f>
        <v>0</v>
      </c>
      <c r="AA14" s="492"/>
      <c r="AB14" s="492"/>
      <c r="AC14" s="492"/>
      <c r="AD14" s="492"/>
      <c r="AE14" s="492"/>
      <c r="AF14" s="492"/>
      <c r="AG14" s="492"/>
      <c r="AH14" s="492"/>
      <c r="AI14" s="492"/>
      <c r="AJ14" s="492"/>
      <c r="AK14" s="492"/>
      <c r="AL14" s="492"/>
      <c r="AM14" s="492"/>
      <c r="AN14" s="492"/>
      <c r="AO14" s="492"/>
      <c r="AP14" s="492"/>
      <c r="AQ14" s="492"/>
      <c r="AR14" s="492"/>
    </row>
    <row r="15" spans="1:44" ht="13.5" customHeight="1" x14ac:dyDescent="0.3">
      <c r="A15" s="492"/>
      <c r="C15" s="291"/>
      <c r="D15" s="256" t="str">
        <f>"The Notional Liability is "&amp;T19&amp;" than the Base Liability so the ratepayer is a revaluation "&amp;T20</f>
        <v>The Notional Liability is less than the Base Liability so the ratepayer is a revaluation Winner</v>
      </c>
      <c r="K15" s="492"/>
      <c r="L15" s="492"/>
      <c r="M15" s="492"/>
      <c r="N15" s="492"/>
      <c r="O15" s="492"/>
      <c r="P15" s="492"/>
      <c r="S15" s="480" t="s">
        <v>1223</v>
      </c>
      <c r="T15" s="495">
        <f>calc1!D5</f>
        <v>0</v>
      </c>
      <c r="AA15" s="492"/>
      <c r="AB15" s="492"/>
      <c r="AC15" s="492"/>
      <c r="AD15" s="492"/>
      <c r="AE15" s="492"/>
      <c r="AF15" s="492"/>
      <c r="AG15" s="492"/>
      <c r="AH15" s="492"/>
      <c r="AI15" s="492"/>
      <c r="AJ15" s="492"/>
      <c r="AK15" s="492"/>
      <c r="AL15" s="492"/>
      <c r="AM15" s="492"/>
      <c r="AN15" s="492"/>
      <c r="AO15" s="492"/>
      <c r="AP15" s="492"/>
      <c r="AQ15" s="492"/>
      <c r="AR15" s="492"/>
    </row>
    <row r="16" spans="1:44" ht="13.5" customHeight="1" x14ac:dyDescent="0.3">
      <c r="A16" s="492"/>
      <c r="C16" s="291"/>
      <c r="D16" s="256" t="str">
        <f>"The property is in "&amp;H4&amp;" so the Medium/Small threshold is "&amp;TEXT(T21,"#,###")&amp;". "</f>
        <v xml:space="preserve">The property is in England so the Medium/Small threshold is 20,000. </v>
      </c>
      <c r="K16" s="492"/>
      <c r="L16" s="492"/>
      <c r="M16" s="492"/>
      <c r="N16" s="492"/>
      <c r="O16" s="492"/>
      <c r="P16" s="492"/>
      <c r="S16" s="480" t="s">
        <v>47</v>
      </c>
      <c r="T16" s="480">
        <f>data!C55</f>
        <v>0.499</v>
      </c>
      <c r="AA16" s="492"/>
      <c r="AB16" s="492"/>
      <c r="AC16" s="492"/>
      <c r="AD16" s="492"/>
      <c r="AE16" s="492"/>
      <c r="AF16" s="492"/>
      <c r="AG16" s="492"/>
      <c r="AH16" s="492"/>
      <c r="AI16" s="492"/>
      <c r="AJ16" s="492"/>
      <c r="AK16" s="492"/>
      <c r="AL16" s="492"/>
      <c r="AM16" s="492"/>
      <c r="AN16" s="492"/>
      <c r="AO16" s="492"/>
      <c r="AP16" s="492"/>
      <c r="AQ16" s="492"/>
      <c r="AR16" s="492"/>
    </row>
    <row r="17" spans="1:44" ht="13.5" customHeight="1" x14ac:dyDescent="0.3">
      <c r="A17" s="492"/>
      <c r="C17" s="291"/>
      <c r="D17" s="256" t="str">
        <f>"The Large threshold is "&amp;TEXT(Y19,"#,###")</f>
        <v>The Large threshold is 100,000</v>
      </c>
      <c r="K17" s="492"/>
      <c r="L17" s="492"/>
      <c r="M17" s="492"/>
      <c r="N17" s="492"/>
      <c r="O17" s="492"/>
      <c r="P17" s="492"/>
      <c r="S17" s="480" t="s">
        <v>48</v>
      </c>
      <c r="T17" s="480">
        <f>T15*T16</f>
        <v>0</v>
      </c>
      <c r="V17" s="479" t="s">
        <v>51</v>
      </c>
      <c r="W17" s="479"/>
      <c r="X17" s="479"/>
      <c r="Y17" s="479"/>
      <c r="AA17" s="492"/>
      <c r="AB17" s="492"/>
      <c r="AC17" s="492"/>
      <c r="AD17" s="492"/>
      <c r="AE17" s="492"/>
      <c r="AF17" s="492"/>
      <c r="AG17" s="492"/>
      <c r="AH17" s="492"/>
      <c r="AI17" s="492"/>
      <c r="AJ17" s="492"/>
      <c r="AK17" s="492"/>
      <c r="AL17" s="492"/>
      <c r="AM17" s="492"/>
      <c r="AN17" s="492"/>
      <c r="AO17" s="492"/>
      <c r="AP17" s="492"/>
      <c r="AQ17" s="492"/>
      <c r="AR17" s="492"/>
    </row>
    <row r="18" spans="1:44" ht="13.5" customHeight="1" x14ac:dyDescent="0.3">
      <c r="A18" s="492"/>
      <c r="C18" s="291"/>
      <c r="D18" s="256" t="str">
        <f>"The RV as at "&amp;TEXT(T9+1,"dd/mm/yy")&amp;" is "&amp;TEXT(T15,"#,###")&amp;" so the property is "&amp;T23</f>
        <v>The RV as at 01/04/23 is  so the property is Small</v>
      </c>
      <c r="K18" s="492"/>
      <c r="L18" s="492"/>
      <c r="M18" s="492"/>
      <c r="N18" s="492"/>
      <c r="O18" s="492"/>
      <c r="P18" s="492"/>
      <c r="S18" s="480" t="s">
        <v>27</v>
      </c>
      <c r="T18" s="480" t="b">
        <f>T17&gt;T14</f>
        <v>0</v>
      </c>
      <c r="V18" s="480" t="str">
        <f>data!C22</f>
        <v>e small &lt;=</v>
      </c>
      <c r="W18" s="480" t="str">
        <f>data!D22</f>
        <v>l small &lt;=</v>
      </c>
      <c r="X18" s="480" t="str">
        <f>data!E22</f>
        <v>c small &lt;=</v>
      </c>
      <c r="Y18" s="480" t="str">
        <f>data!F22</f>
        <v>super &gt;</v>
      </c>
      <c r="AA18" s="492"/>
      <c r="AB18" s="492"/>
      <c r="AC18" s="492"/>
      <c r="AD18" s="492"/>
      <c r="AE18" s="492"/>
      <c r="AF18" s="492"/>
      <c r="AG18" s="492"/>
      <c r="AH18" s="492"/>
      <c r="AI18" s="492"/>
      <c r="AJ18" s="492"/>
      <c r="AK18" s="492"/>
      <c r="AL18" s="492"/>
      <c r="AM18" s="492"/>
      <c r="AN18" s="492"/>
      <c r="AO18" s="492"/>
      <c r="AP18" s="492"/>
      <c r="AQ18" s="492"/>
      <c r="AR18" s="492"/>
    </row>
    <row r="19" spans="1:44" ht="13.5" customHeight="1" x14ac:dyDescent="0.25">
      <c r="A19" s="492"/>
      <c r="K19" s="492"/>
      <c r="L19" s="492"/>
      <c r="M19" s="492"/>
      <c r="N19" s="492"/>
      <c r="O19" s="492"/>
      <c r="P19" s="492"/>
      <c r="S19" s="480" t="s">
        <v>50</v>
      </c>
      <c r="T19" s="480" t="str">
        <f>IF(T18=TRUE,"greater","less")</f>
        <v>less</v>
      </c>
      <c r="V19" s="480">
        <f>data!C23</f>
        <v>20000</v>
      </c>
      <c r="W19" s="480">
        <f>data!D23</f>
        <v>28000</v>
      </c>
      <c r="X19" s="480">
        <f>data!E23</f>
        <v>28000</v>
      </c>
      <c r="Y19" s="480">
        <f>data!F23</f>
        <v>100000</v>
      </c>
      <c r="AA19" s="492"/>
      <c r="AB19" s="492"/>
      <c r="AC19" s="492"/>
      <c r="AD19" s="492"/>
      <c r="AE19" s="492"/>
      <c r="AF19" s="492"/>
      <c r="AG19" s="492"/>
      <c r="AH19" s="492"/>
      <c r="AI19" s="492"/>
      <c r="AJ19" s="492"/>
      <c r="AK19" s="492"/>
      <c r="AL19" s="492"/>
      <c r="AM19" s="492"/>
      <c r="AN19" s="492"/>
      <c r="AO19" s="492"/>
      <c r="AP19" s="492"/>
      <c r="AQ19" s="492"/>
      <c r="AR19" s="492"/>
    </row>
    <row r="20" spans="1:44" ht="13.5" customHeight="1" x14ac:dyDescent="0.25">
      <c r="A20" s="492"/>
      <c r="D20" s="256" t="s">
        <v>28</v>
      </c>
      <c r="K20" s="492"/>
      <c r="L20" s="492"/>
      <c r="M20" s="492"/>
      <c r="N20" s="492"/>
      <c r="O20" s="492"/>
      <c r="P20" s="492"/>
      <c r="S20" s="480" t="s">
        <v>285</v>
      </c>
      <c r="T20" s="480" t="str">
        <f>IF(T18=TRUE,"Loser","Winner")</f>
        <v>Winner</v>
      </c>
      <c r="AA20" s="492"/>
      <c r="AB20" s="492"/>
      <c r="AC20" s="492"/>
      <c r="AD20" s="492"/>
      <c r="AE20" s="492"/>
      <c r="AF20" s="492"/>
      <c r="AG20" s="492"/>
      <c r="AH20" s="492"/>
      <c r="AI20" s="492"/>
      <c r="AJ20" s="492"/>
      <c r="AK20" s="492"/>
      <c r="AL20" s="492"/>
      <c r="AM20" s="492"/>
      <c r="AN20" s="492"/>
      <c r="AO20" s="492"/>
      <c r="AP20" s="492"/>
      <c r="AQ20" s="492"/>
      <c r="AR20" s="492"/>
    </row>
    <row r="21" spans="1:44" ht="13.5" customHeight="1" x14ac:dyDescent="0.25">
      <c r="A21" s="492"/>
      <c r="D21" s="256" t="str">
        <f>"for a '"&amp;T24&amp;"' is found by reference to the following table"</f>
        <v>for a 'Small Winner' is found by reference to the following table</v>
      </c>
      <c r="K21" s="492"/>
      <c r="L21" s="492"/>
      <c r="M21" s="492"/>
      <c r="N21" s="492"/>
      <c r="O21" s="492"/>
      <c r="P21" s="492"/>
      <c r="S21" s="480" t="s">
        <v>56</v>
      </c>
      <c r="T21" s="480">
        <f>calc1!D13</f>
        <v>20000</v>
      </c>
      <c r="V21" s="479" t="s">
        <v>53</v>
      </c>
      <c r="W21" s="479" t="s">
        <v>803</v>
      </c>
      <c r="AA21" s="492"/>
      <c r="AB21" s="492"/>
      <c r="AC21" s="492"/>
      <c r="AD21" s="492"/>
      <c r="AE21" s="492"/>
      <c r="AF21" s="492"/>
      <c r="AG21" s="492"/>
      <c r="AH21" s="492"/>
      <c r="AI21" s="492"/>
      <c r="AJ21" s="492"/>
      <c r="AK21" s="492"/>
      <c r="AL21" s="492"/>
      <c r="AM21" s="492"/>
      <c r="AN21" s="492"/>
      <c r="AO21" s="492"/>
      <c r="AP21" s="492"/>
      <c r="AQ21" s="492"/>
      <c r="AR21" s="492"/>
    </row>
    <row r="22" spans="1:44" ht="13.5" customHeight="1" x14ac:dyDescent="0.25">
      <c r="A22" s="492"/>
      <c r="K22" s="492"/>
      <c r="L22" s="492"/>
      <c r="M22" s="492"/>
      <c r="N22" s="492"/>
      <c r="O22" s="492"/>
      <c r="P22" s="492"/>
      <c r="S22" s="480" t="s">
        <v>52</v>
      </c>
      <c r="T22" s="495" t="str">
        <f>calc1!D23</f>
        <v>s</v>
      </c>
      <c r="V22" s="479" t="s">
        <v>54</v>
      </c>
      <c r="W22" s="479" t="s">
        <v>824</v>
      </c>
      <c r="AA22" s="492"/>
      <c r="AB22" s="492"/>
      <c r="AC22" s="492"/>
      <c r="AD22" s="492"/>
      <c r="AE22" s="492"/>
      <c r="AF22" s="492"/>
      <c r="AG22" s="492"/>
      <c r="AH22" s="492"/>
      <c r="AI22" s="492"/>
      <c r="AJ22" s="492"/>
      <c r="AK22" s="492"/>
      <c r="AL22" s="492"/>
      <c r="AM22" s="492"/>
      <c r="AN22" s="492"/>
      <c r="AO22" s="492"/>
      <c r="AP22" s="492"/>
      <c r="AQ22" s="492"/>
      <c r="AR22" s="492"/>
    </row>
    <row r="23" spans="1:44" ht="13.5" customHeight="1" x14ac:dyDescent="0.3">
      <c r="A23" s="492"/>
      <c r="D23" s="291" t="s">
        <v>29</v>
      </c>
      <c r="E23" s="477" t="s">
        <v>30</v>
      </c>
      <c r="F23" s="477" t="s">
        <v>31</v>
      </c>
      <c r="G23" s="272" t="s">
        <v>32</v>
      </c>
      <c r="K23" s="492"/>
      <c r="L23" s="492"/>
      <c r="M23" s="492"/>
      <c r="N23" s="492"/>
      <c r="O23" s="492"/>
      <c r="P23" s="492"/>
      <c r="S23" s="480" t="s">
        <v>55</v>
      </c>
      <c r="T23" s="480" t="str">
        <f>VLOOKUP(T22,V21:W23,2,FALSE)</f>
        <v>Small</v>
      </c>
      <c r="V23" s="479" t="s">
        <v>293</v>
      </c>
      <c r="W23" s="479" t="s">
        <v>804</v>
      </c>
      <c r="AA23" s="492"/>
      <c r="AB23" s="492"/>
      <c r="AC23" s="492"/>
      <c r="AD23" s="492"/>
      <c r="AE23" s="492"/>
      <c r="AF23" s="492"/>
      <c r="AG23" s="492"/>
      <c r="AH23" s="492"/>
      <c r="AI23" s="492"/>
      <c r="AJ23" s="492"/>
      <c r="AK23" s="492"/>
      <c r="AL23" s="492"/>
      <c r="AM23" s="492"/>
      <c r="AN23" s="492"/>
      <c r="AO23" s="492"/>
      <c r="AP23" s="492"/>
      <c r="AQ23" s="492"/>
      <c r="AR23" s="492"/>
    </row>
    <row r="24" spans="1:44" ht="13.5" customHeight="1" x14ac:dyDescent="0.3">
      <c r="A24" s="492"/>
      <c r="C24" s="478" t="str">
        <f t="shared" ref="C24:C29" si="0">IF(D24=$T$24,"&gt;","")</f>
        <v/>
      </c>
      <c r="D24" s="479" t="s">
        <v>33</v>
      </c>
      <c r="E24" s="480">
        <f>data!C5</f>
        <v>0</v>
      </c>
      <c r="F24" s="480">
        <f>'info sheet'!J31</f>
        <v>1</v>
      </c>
      <c r="G24" s="480">
        <f t="shared" ref="G24:G29" si="1">E24*F24/100</f>
        <v>0</v>
      </c>
      <c r="K24" s="492"/>
      <c r="L24" s="492"/>
      <c r="M24" s="492"/>
      <c r="N24" s="492"/>
      <c r="O24" s="492"/>
      <c r="P24" s="492"/>
      <c r="S24" s="480" t="s">
        <v>279</v>
      </c>
      <c r="T24" s="480" t="str">
        <f>T23&amp;" "&amp;T20</f>
        <v>Small Winner</v>
      </c>
      <c r="AA24" s="492"/>
      <c r="AB24" s="492"/>
      <c r="AC24" s="492"/>
      <c r="AD24" s="492"/>
      <c r="AE24" s="492"/>
      <c r="AF24" s="492"/>
      <c r="AG24" s="492"/>
      <c r="AH24" s="492"/>
      <c r="AI24" s="492"/>
      <c r="AJ24" s="492"/>
      <c r="AK24" s="492"/>
      <c r="AL24" s="492"/>
      <c r="AM24" s="492"/>
      <c r="AN24" s="492"/>
      <c r="AO24" s="492"/>
      <c r="AP24" s="492"/>
      <c r="AQ24" s="492"/>
      <c r="AR24" s="492"/>
    </row>
    <row r="25" spans="1:44" ht="13.5" customHeight="1" x14ac:dyDescent="0.3">
      <c r="A25" s="492"/>
      <c r="C25" s="478" t="str">
        <f t="shared" si="0"/>
        <v/>
      </c>
      <c r="D25" s="479" t="s">
        <v>34</v>
      </c>
      <c r="E25" s="480">
        <f>data!D5</f>
        <v>0</v>
      </c>
      <c r="F25" s="480">
        <f>F24</f>
        <v>1</v>
      </c>
      <c r="G25" s="480">
        <f t="shared" si="1"/>
        <v>0</v>
      </c>
      <c r="K25" s="492"/>
      <c r="L25" s="492"/>
      <c r="M25" s="492"/>
      <c r="N25" s="492"/>
      <c r="O25" s="492"/>
      <c r="P25" s="492"/>
      <c r="S25" s="480" t="s">
        <v>59</v>
      </c>
      <c r="T25" s="480" t="str">
        <f>IF(T22&lt;T23,"below","above")</f>
        <v>below</v>
      </c>
      <c r="AA25" s="492"/>
      <c r="AB25" s="492"/>
      <c r="AC25" s="492"/>
      <c r="AD25" s="492"/>
      <c r="AE25" s="492"/>
      <c r="AF25" s="492"/>
      <c r="AG25" s="492"/>
      <c r="AH25" s="492"/>
      <c r="AI25" s="492"/>
      <c r="AJ25" s="492"/>
      <c r="AK25" s="492"/>
      <c r="AL25" s="492"/>
      <c r="AM25" s="492"/>
      <c r="AN25" s="492"/>
      <c r="AO25" s="492"/>
      <c r="AP25" s="492"/>
      <c r="AQ25" s="492"/>
      <c r="AR25" s="492"/>
    </row>
    <row r="26" spans="1:44" ht="13.5" customHeight="1" x14ac:dyDescent="0.3">
      <c r="A26" s="492"/>
      <c r="C26" s="478" t="str">
        <f t="shared" si="0"/>
        <v>&gt;</v>
      </c>
      <c r="D26" s="479" t="s">
        <v>35</v>
      </c>
      <c r="E26" s="480">
        <f>data!E5</f>
        <v>0</v>
      </c>
      <c r="F26" s="480">
        <f>F25</f>
        <v>1</v>
      </c>
      <c r="G26" s="480">
        <f t="shared" si="1"/>
        <v>0</v>
      </c>
      <c r="K26" s="492"/>
      <c r="L26" s="492"/>
      <c r="M26" s="492"/>
      <c r="N26" s="492"/>
      <c r="O26" s="492"/>
      <c r="P26" s="492"/>
      <c r="S26" s="480" t="s">
        <v>58</v>
      </c>
      <c r="T26" s="480">
        <f>calc1!F27</f>
        <v>1</v>
      </c>
      <c r="AA26" s="492"/>
      <c r="AB26" s="492"/>
      <c r="AC26" s="492"/>
      <c r="AD26" s="492"/>
      <c r="AE26" s="492"/>
      <c r="AF26" s="492"/>
      <c r="AG26" s="492"/>
      <c r="AH26" s="492"/>
      <c r="AI26" s="492"/>
      <c r="AJ26" s="492"/>
      <c r="AK26" s="492"/>
      <c r="AL26" s="492"/>
      <c r="AM26" s="492"/>
      <c r="AN26" s="492"/>
      <c r="AO26" s="492"/>
      <c r="AP26" s="492"/>
      <c r="AQ26" s="492"/>
      <c r="AR26" s="492"/>
    </row>
    <row r="27" spans="1:44" ht="13.5" customHeight="1" x14ac:dyDescent="0.3">
      <c r="A27" s="492"/>
      <c r="C27" s="478" t="str">
        <f t="shared" si="0"/>
        <v/>
      </c>
      <c r="D27" s="479" t="s">
        <v>36</v>
      </c>
      <c r="E27" s="480">
        <f>data!F5</f>
        <v>155</v>
      </c>
      <c r="F27" s="480">
        <f>F26</f>
        <v>1</v>
      </c>
      <c r="G27" s="480">
        <f t="shared" si="1"/>
        <v>1.55</v>
      </c>
      <c r="K27" s="492"/>
      <c r="L27" s="492"/>
      <c r="M27" s="492"/>
      <c r="N27" s="492"/>
      <c r="O27" s="492"/>
      <c r="P27" s="492"/>
      <c r="S27" s="480" t="s">
        <v>39</v>
      </c>
      <c r="T27" s="485">
        <f>F32-T17</f>
        <v>0</v>
      </c>
      <c r="AA27" s="492"/>
      <c r="AB27" s="492"/>
      <c r="AC27" s="492"/>
      <c r="AD27" s="492"/>
      <c r="AE27" s="492"/>
      <c r="AF27" s="492"/>
      <c r="AG27" s="492"/>
      <c r="AH27" s="492"/>
      <c r="AI27" s="492"/>
      <c r="AJ27" s="492"/>
      <c r="AK27" s="492"/>
      <c r="AL27" s="492"/>
      <c r="AM27" s="492"/>
      <c r="AN27" s="492"/>
      <c r="AO27" s="492"/>
      <c r="AP27" s="492"/>
      <c r="AQ27" s="492"/>
      <c r="AR27" s="492"/>
    </row>
    <row r="28" spans="1:44" ht="13.5" customHeight="1" x14ac:dyDescent="0.3">
      <c r="A28" s="492"/>
      <c r="C28" s="478" t="str">
        <f t="shared" si="0"/>
        <v/>
      </c>
      <c r="D28" s="479" t="s">
        <v>37</v>
      </c>
      <c r="E28" s="480">
        <f>data!G5</f>
        <v>140</v>
      </c>
      <c r="F28" s="480">
        <f>F27</f>
        <v>1</v>
      </c>
      <c r="G28" s="480">
        <f t="shared" si="1"/>
        <v>1.4</v>
      </c>
      <c r="K28" s="492"/>
      <c r="L28" s="492"/>
      <c r="M28" s="492"/>
      <c r="N28" s="492"/>
      <c r="O28" s="492"/>
      <c r="P28" s="492"/>
      <c r="AA28" s="492"/>
      <c r="AB28" s="492"/>
      <c r="AC28" s="492"/>
      <c r="AD28" s="492"/>
      <c r="AE28" s="492"/>
      <c r="AF28" s="492"/>
      <c r="AG28" s="492"/>
      <c r="AH28" s="492"/>
      <c r="AI28" s="492"/>
      <c r="AJ28" s="492"/>
      <c r="AK28" s="492"/>
      <c r="AL28" s="492"/>
      <c r="AM28" s="492"/>
      <c r="AN28" s="492"/>
      <c r="AO28" s="492"/>
      <c r="AP28" s="492"/>
      <c r="AQ28" s="492"/>
      <c r="AR28" s="492"/>
    </row>
    <row r="29" spans="1:44" ht="13.5" customHeight="1" x14ac:dyDescent="0.3">
      <c r="A29" s="492"/>
      <c r="C29" s="478" t="str">
        <f t="shared" si="0"/>
        <v/>
      </c>
      <c r="D29" s="479" t="s">
        <v>38</v>
      </c>
      <c r="E29" s="480">
        <f>data!H5</f>
        <v>125</v>
      </c>
      <c r="F29" s="480">
        <f>F28</f>
        <v>1</v>
      </c>
      <c r="G29" s="480">
        <f t="shared" si="1"/>
        <v>1.25</v>
      </c>
      <c r="K29" s="492"/>
      <c r="L29" s="492"/>
      <c r="M29" s="492"/>
      <c r="N29" s="492"/>
      <c r="O29" s="492"/>
      <c r="P29" s="492"/>
      <c r="AA29" s="492"/>
      <c r="AB29" s="492"/>
      <c r="AC29" s="492"/>
      <c r="AD29" s="492"/>
      <c r="AE29" s="492"/>
      <c r="AF29" s="492"/>
      <c r="AG29" s="492"/>
      <c r="AH29" s="492"/>
      <c r="AI29" s="492"/>
      <c r="AJ29" s="492"/>
      <c r="AK29" s="492"/>
      <c r="AL29" s="492"/>
      <c r="AM29" s="492"/>
      <c r="AN29" s="492"/>
      <c r="AO29" s="492"/>
      <c r="AP29" s="492"/>
      <c r="AQ29" s="492"/>
      <c r="AR29" s="492"/>
    </row>
    <row r="30" spans="1:44" ht="13.5" customHeight="1" x14ac:dyDescent="0.3">
      <c r="A30" s="492"/>
      <c r="C30" s="291"/>
      <c r="K30" s="492"/>
      <c r="L30" s="492"/>
      <c r="M30" s="492"/>
      <c r="N30" s="492"/>
      <c r="O30" s="492"/>
      <c r="P30" s="492"/>
      <c r="AA30" s="492"/>
      <c r="AB30" s="492"/>
      <c r="AC30" s="492"/>
      <c r="AD30" s="492"/>
      <c r="AE30" s="492"/>
      <c r="AF30" s="492"/>
      <c r="AG30" s="492"/>
      <c r="AH30" s="492"/>
      <c r="AI30" s="492"/>
      <c r="AJ30" s="492"/>
      <c r="AK30" s="492"/>
      <c r="AL30" s="492"/>
      <c r="AM30" s="492"/>
      <c r="AN30" s="492"/>
      <c r="AO30" s="492"/>
      <c r="AP30" s="492"/>
      <c r="AQ30" s="492"/>
      <c r="AR30" s="492"/>
    </row>
    <row r="31" spans="1:44" ht="13.5" customHeight="1" x14ac:dyDescent="0.3">
      <c r="A31" s="492"/>
      <c r="C31" s="291"/>
      <c r="D31" s="256" t="s">
        <v>60</v>
      </c>
      <c r="K31" s="492"/>
      <c r="L31" s="492"/>
      <c r="M31" s="492"/>
      <c r="N31" s="492"/>
      <c r="O31" s="492"/>
      <c r="P31" s="492"/>
      <c r="AA31" s="492"/>
      <c r="AB31" s="492"/>
      <c r="AC31" s="492"/>
      <c r="AD31" s="492"/>
      <c r="AE31" s="492"/>
      <c r="AF31" s="492"/>
      <c r="AG31" s="492"/>
      <c r="AH31" s="492"/>
      <c r="AI31" s="492"/>
      <c r="AJ31" s="492"/>
      <c r="AK31" s="492"/>
      <c r="AL31" s="492"/>
      <c r="AM31" s="492"/>
      <c r="AN31" s="492"/>
      <c r="AO31" s="492"/>
      <c r="AP31" s="492"/>
      <c r="AQ31" s="492"/>
      <c r="AR31" s="492"/>
    </row>
    <row r="32" spans="1:44" ht="22.5" customHeight="1" x14ac:dyDescent="0.35">
      <c r="A32" s="492"/>
      <c r="C32" s="291"/>
      <c r="D32" s="488" t="str">
        <f>"    "&amp;TEXT(T14,"#,###.00")&amp;"  x  "&amp;T26&amp;" = "</f>
        <v xml:space="preserve">    .00  x  1 = </v>
      </c>
      <c r="E32" s="490"/>
      <c r="F32" s="491">
        <f>calc1!F28</f>
        <v>0</v>
      </c>
      <c r="K32" s="492"/>
      <c r="L32" s="492"/>
      <c r="M32" s="492"/>
      <c r="N32" s="492"/>
      <c r="O32" s="492"/>
      <c r="P32" s="492"/>
      <c r="Q32" s="149"/>
      <c r="R32" s="149"/>
      <c r="S32" s="149"/>
      <c r="T32" s="149"/>
      <c r="U32" s="149"/>
      <c r="V32" s="149"/>
      <c r="W32" s="149"/>
      <c r="AA32" s="492"/>
      <c r="AB32" s="492"/>
      <c r="AC32" s="492"/>
      <c r="AD32" s="492"/>
      <c r="AE32" s="492"/>
      <c r="AF32" s="492"/>
      <c r="AG32" s="492"/>
      <c r="AH32" s="492"/>
      <c r="AI32" s="492"/>
      <c r="AJ32" s="492"/>
      <c r="AK32" s="492"/>
      <c r="AL32" s="492"/>
      <c r="AM32" s="492"/>
      <c r="AN32" s="492"/>
      <c r="AO32" s="492"/>
      <c r="AP32" s="492"/>
      <c r="AQ32" s="492"/>
      <c r="AR32" s="492"/>
    </row>
    <row r="33" spans="1:44" ht="14.5" x14ac:dyDescent="0.35">
      <c r="A33" s="492"/>
      <c r="C33" s="291"/>
      <c r="K33" s="492"/>
      <c r="L33" s="492"/>
      <c r="M33" s="492"/>
      <c r="N33" s="492"/>
      <c r="O33" s="492"/>
      <c r="P33" s="492"/>
      <c r="Q33" s="149"/>
      <c r="R33" s="149"/>
      <c r="S33" s="149"/>
      <c r="T33" s="149"/>
      <c r="U33" s="149"/>
      <c r="V33" s="149"/>
      <c r="W33" s="149"/>
      <c r="AA33" s="492"/>
      <c r="AB33" s="492"/>
      <c r="AC33" s="492"/>
      <c r="AD33" s="492"/>
      <c r="AE33" s="492"/>
      <c r="AF33" s="492"/>
      <c r="AG33" s="492"/>
      <c r="AH33" s="492"/>
      <c r="AI33" s="492"/>
      <c r="AJ33" s="492"/>
      <c r="AK33" s="492"/>
      <c r="AL33" s="492"/>
      <c r="AM33" s="492"/>
      <c r="AN33" s="492"/>
      <c r="AO33" s="492"/>
      <c r="AP33" s="492"/>
      <c r="AQ33" s="492"/>
      <c r="AR33" s="492"/>
    </row>
    <row r="34" spans="1:44" ht="13.5" customHeight="1" x14ac:dyDescent="0.35">
      <c r="A34" s="492"/>
      <c r="C34" s="291"/>
      <c r="D34" s="256" t="str">
        <f>"The ratepayer is a "&amp;T20&amp;". Therefore, if the Notional Liability is "&amp;T19&amp;" than the"</f>
        <v>The ratepayer is a Winner. Therefore, if the Notional Liability is less than the</v>
      </c>
      <c r="K34" s="492"/>
      <c r="L34" s="492"/>
      <c r="M34" s="492"/>
      <c r="N34" s="492"/>
      <c r="O34" s="492"/>
      <c r="P34" s="492"/>
      <c r="Q34" s="149"/>
      <c r="R34" s="149"/>
      <c r="S34" s="149"/>
      <c r="T34" s="149"/>
      <c r="U34" s="149"/>
      <c r="V34" s="149"/>
      <c r="W34" s="149"/>
      <c r="AA34" s="492"/>
      <c r="AB34" s="492"/>
      <c r="AC34" s="492"/>
      <c r="AD34" s="492"/>
      <c r="AE34" s="492"/>
      <c r="AF34" s="492"/>
      <c r="AG34" s="492"/>
      <c r="AH34" s="492"/>
      <c r="AI34" s="492"/>
      <c r="AJ34" s="492"/>
      <c r="AK34" s="492"/>
      <c r="AL34" s="492"/>
      <c r="AM34" s="492"/>
      <c r="AN34" s="492"/>
      <c r="AO34" s="492"/>
      <c r="AP34" s="492"/>
      <c r="AQ34" s="492"/>
      <c r="AR34" s="492"/>
    </row>
    <row r="35" spans="1:44" ht="13.5" customHeight="1" x14ac:dyDescent="0.35">
      <c r="A35" s="492"/>
      <c r="C35" s="291"/>
      <c r="D35" s="256" t="str">
        <f>"Base Liability AND "&amp;T19&amp;" than the Transitional Limit, transitional limits will apply"</f>
        <v>Base Liability AND less than the Transitional Limit, transitional limits will apply</v>
      </c>
      <c r="K35" s="492"/>
      <c r="L35" s="492"/>
      <c r="M35" s="492"/>
      <c r="N35" s="492"/>
      <c r="O35" s="492"/>
      <c r="P35" s="492"/>
      <c r="Q35" s="149"/>
      <c r="R35" s="149"/>
      <c r="S35" s="149"/>
      <c r="T35" s="149"/>
      <c r="U35" s="149"/>
      <c r="V35" s="149"/>
      <c r="W35" s="149"/>
      <c r="AA35" s="492"/>
      <c r="AB35" s="492"/>
      <c r="AC35" s="492"/>
      <c r="AD35" s="492"/>
      <c r="AE35" s="492"/>
      <c r="AF35" s="492"/>
      <c r="AG35" s="492"/>
      <c r="AH35" s="492"/>
      <c r="AI35" s="492"/>
      <c r="AJ35" s="492"/>
      <c r="AK35" s="492"/>
      <c r="AL35" s="492"/>
      <c r="AM35" s="492"/>
      <c r="AN35" s="492"/>
      <c r="AO35" s="492"/>
      <c r="AP35" s="492"/>
      <c r="AQ35" s="492"/>
      <c r="AR35" s="492"/>
    </row>
    <row r="36" spans="1:44" ht="13.5" customHeight="1" x14ac:dyDescent="0.35">
      <c r="A36" s="492"/>
      <c r="C36" s="291"/>
      <c r="K36" s="492"/>
      <c r="L36" s="492"/>
      <c r="M36" s="492"/>
      <c r="N36" s="492"/>
      <c r="O36" s="492"/>
      <c r="P36" s="492"/>
      <c r="Q36" s="149"/>
      <c r="R36" s="149"/>
      <c r="S36" s="149"/>
      <c r="T36" s="149"/>
      <c r="U36" s="149"/>
      <c r="V36" s="149"/>
      <c r="W36" s="149"/>
      <c r="AA36" s="492"/>
      <c r="AB36" s="492"/>
      <c r="AC36" s="492"/>
      <c r="AD36" s="492"/>
      <c r="AE36" s="492"/>
      <c r="AF36" s="492"/>
      <c r="AG36" s="492"/>
      <c r="AH36" s="492"/>
      <c r="AI36" s="492"/>
      <c r="AJ36" s="492"/>
      <c r="AK36" s="492"/>
      <c r="AL36" s="492"/>
      <c r="AM36" s="492"/>
      <c r="AN36" s="492"/>
      <c r="AO36" s="492"/>
      <c r="AP36" s="492"/>
      <c r="AQ36" s="492"/>
      <c r="AR36" s="492"/>
    </row>
    <row r="37" spans="1:44" ht="13.5" customHeight="1" x14ac:dyDescent="0.35">
      <c r="A37" s="492"/>
      <c r="C37" s="291"/>
      <c r="D37" s="482" t="s">
        <v>40</v>
      </c>
      <c r="E37" s="483"/>
      <c r="F37" s="484">
        <f>T17</f>
        <v>0</v>
      </c>
      <c r="K37" s="492"/>
      <c r="L37" s="492"/>
      <c r="M37" s="492"/>
      <c r="N37" s="492"/>
      <c r="O37" s="492"/>
      <c r="P37" s="492"/>
      <c r="Q37" s="149"/>
      <c r="R37" s="149"/>
      <c r="S37" s="149"/>
      <c r="T37" s="149"/>
      <c r="U37" s="149"/>
      <c r="V37" s="149"/>
      <c r="W37" s="149"/>
      <c r="AA37" s="492"/>
      <c r="AB37" s="492"/>
      <c r="AC37" s="492"/>
      <c r="AD37" s="492"/>
      <c r="AE37" s="492"/>
      <c r="AF37" s="492"/>
      <c r="AG37" s="492"/>
      <c r="AH37" s="492"/>
      <c r="AI37" s="492"/>
      <c r="AJ37" s="492"/>
      <c r="AK37" s="492"/>
      <c r="AL37" s="492"/>
      <c r="AM37" s="492"/>
      <c r="AN37" s="492"/>
      <c r="AO37" s="492"/>
      <c r="AP37" s="492"/>
      <c r="AQ37" s="492"/>
      <c r="AR37" s="492"/>
    </row>
    <row r="38" spans="1:44" ht="13.5" customHeight="1" x14ac:dyDescent="0.35">
      <c r="A38" s="492"/>
      <c r="C38" s="291"/>
      <c r="D38" s="482" t="s">
        <v>834</v>
      </c>
      <c r="E38" s="483"/>
      <c r="F38" s="484">
        <f>T14</f>
        <v>0</v>
      </c>
      <c r="K38" s="492"/>
      <c r="L38" s="492"/>
      <c r="M38" s="492"/>
      <c r="N38" s="492"/>
      <c r="O38" s="492"/>
      <c r="P38" s="492"/>
      <c r="Q38" s="149"/>
      <c r="R38" s="149"/>
      <c r="S38" s="149"/>
      <c r="T38" s="149"/>
      <c r="U38" s="149"/>
      <c r="V38" s="149"/>
      <c r="W38" s="149"/>
      <c r="AA38" s="492"/>
      <c r="AB38" s="492"/>
      <c r="AC38" s="492"/>
      <c r="AD38" s="492"/>
      <c r="AE38" s="492"/>
      <c r="AF38" s="492"/>
      <c r="AG38" s="492"/>
      <c r="AH38" s="492"/>
      <c r="AI38" s="492"/>
      <c r="AJ38" s="492"/>
      <c r="AK38" s="492"/>
      <c r="AL38" s="492"/>
      <c r="AM38" s="492"/>
      <c r="AN38" s="492"/>
      <c r="AO38" s="492"/>
      <c r="AP38" s="492"/>
      <c r="AQ38" s="492"/>
      <c r="AR38" s="492"/>
    </row>
    <row r="39" spans="1:44" ht="13.5" customHeight="1" x14ac:dyDescent="0.35">
      <c r="A39" s="492"/>
      <c r="C39" s="291"/>
      <c r="D39" s="482" t="s">
        <v>41</v>
      </c>
      <c r="E39" s="483"/>
      <c r="F39" s="484">
        <f>F32</f>
        <v>0</v>
      </c>
      <c r="K39" s="492"/>
      <c r="L39" s="492"/>
      <c r="M39" s="492"/>
      <c r="N39" s="492"/>
      <c r="O39" s="492"/>
      <c r="P39" s="492"/>
      <c r="Q39" s="149"/>
      <c r="R39" s="149"/>
      <c r="S39" s="149"/>
      <c r="T39" s="149"/>
      <c r="U39" s="149"/>
      <c r="V39" s="149"/>
      <c r="W39" s="149"/>
      <c r="AA39" s="492"/>
      <c r="AB39" s="492"/>
      <c r="AC39" s="492"/>
      <c r="AD39" s="492"/>
      <c r="AE39" s="492"/>
      <c r="AF39" s="492"/>
      <c r="AG39" s="492"/>
      <c r="AH39" s="492"/>
      <c r="AI39" s="492"/>
      <c r="AJ39" s="492"/>
      <c r="AK39" s="492"/>
      <c r="AL39" s="492"/>
      <c r="AM39" s="492"/>
      <c r="AN39" s="492"/>
      <c r="AO39" s="492"/>
      <c r="AP39" s="492"/>
      <c r="AQ39" s="492"/>
      <c r="AR39" s="492"/>
    </row>
    <row r="40" spans="1:44" ht="14.15" customHeight="1" x14ac:dyDescent="0.35">
      <c r="A40" s="492"/>
      <c r="D40" s="482" t="s">
        <v>42</v>
      </c>
      <c r="E40" s="483"/>
      <c r="F40" s="485" t="str">
        <f>IF(calc1!F38 = TRUE,"Yes","No")</f>
        <v>No</v>
      </c>
      <c r="G40" s="257" t="str">
        <f>IF(T14=0,"If there is no BL transition does not apply",IF(F40="Yes",IF(T20="Loser","(Transitional Relief)","(Transitional Premium)"),""))</f>
        <v>If there is no BL transition does not apply</v>
      </c>
      <c r="K40" s="492"/>
      <c r="L40" s="492"/>
      <c r="M40" s="492"/>
      <c r="N40" s="492"/>
      <c r="O40" s="492"/>
      <c r="P40" s="492"/>
      <c r="Q40" s="149"/>
      <c r="R40" s="149"/>
      <c r="S40" s="149"/>
      <c r="T40" s="149"/>
      <c r="U40" s="149"/>
      <c r="V40" s="149"/>
      <c r="W40" s="149"/>
      <c r="AA40" s="492"/>
      <c r="AB40" s="492"/>
      <c r="AC40" s="492"/>
      <c r="AD40" s="492"/>
      <c r="AE40" s="492"/>
      <c r="AF40" s="492"/>
      <c r="AG40" s="492"/>
      <c r="AH40" s="492"/>
      <c r="AI40" s="492"/>
      <c r="AJ40" s="492"/>
      <c r="AK40" s="492"/>
      <c r="AL40" s="492"/>
      <c r="AM40" s="492"/>
      <c r="AN40" s="492"/>
      <c r="AO40" s="492"/>
      <c r="AP40" s="492"/>
      <c r="AQ40" s="492"/>
      <c r="AR40" s="492"/>
    </row>
    <row r="41" spans="1:44" ht="14.15" customHeight="1" x14ac:dyDescent="0.35">
      <c r="A41" s="492"/>
      <c r="F41" s="486"/>
      <c r="K41" s="492"/>
      <c r="L41" s="492"/>
      <c r="M41" s="492"/>
      <c r="N41" s="492"/>
      <c r="O41" s="492"/>
      <c r="P41" s="492"/>
      <c r="Q41" s="149"/>
      <c r="R41" s="149"/>
      <c r="S41" s="149"/>
      <c r="T41" s="149"/>
      <c r="U41" s="149"/>
      <c r="V41" s="149"/>
      <c r="W41" s="149"/>
      <c r="AA41" s="492"/>
      <c r="AB41" s="492"/>
      <c r="AC41" s="492"/>
      <c r="AD41" s="492"/>
      <c r="AE41" s="492"/>
      <c r="AF41" s="492"/>
      <c r="AG41" s="492"/>
      <c r="AH41" s="492"/>
      <c r="AI41" s="492"/>
      <c r="AJ41" s="492"/>
      <c r="AK41" s="492"/>
      <c r="AL41" s="492"/>
      <c r="AM41" s="492"/>
      <c r="AN41" s="492"/>
      <c r="AO41" s="492"/>
      <c r="AP41" s="492"/>
      <c r="AQ41" s="492"/>
      <c r="AR41" s="492"/>
    </row>
    <row r="42" spans="1:44" ht="19.5" customHeight="1" x14ac:dyDescent="0.35">
      <c r="A42" s="492"/>
      <c r="D42" s="488" t="str">
        <f>IF(F40="Yes","The Transitional Adjustment (TL - NL) is therefore   "&amp;TEXT(T27,"#,###.00"),"In this case there will be no transitional adjustment")</f>
        <v>In this case there will be no transitional adjustment</v>
      </c>
      <c r="F42" s="486"/>
      <c r="G42" s="481"/>
      <c r="K42" s="492"/>
      <c r="L42" s="492"/>
      <c r="M42" s="492"/>
      <c r="N42" s="492"/>
      <c r="O42" s="492"/>
      <c r="P42" s="492"/>
      <c r="Q42" s="149"/>
      <c r="R42" s="149"/>
      <c r="S42" s="149"/>
      <c r="T42" s="149"/>
      <c r="U42" s="149"/>
      <c r="V42" s="149"/>
      <c r="W42" s="149"/>
      <c r="AA42" s="492"/>
      <c r="AB42" s="492"/>
      <c r="AC42" s="492"/>
      <c r="AD42" s="492"/>
      <c r="AE42" s="492"/>
      <c r="AF42" s="492"/>
      <c r="AG42" s="492"/>
      <c r="AH42" s="492"/>
      <c r="AI42" s="492"/>
      <c r="AJ42" s="492"/>
      <c r="AK42" s="492"/>
      <c r="AL42" s="492"/>
      <c r="AM42" s="492"/>
      <c r="AN42" s="492"/>
      <c r="AO42" s="492"/>
      <c r="AP42" s="492"/>
      <c r="AQ42" s="492"/>
      <c r="AR42" s="492"/>
    </row>
    <row r="43" spans="1:44" ht="14.15" customHeight="1" x14ac:dyDescent="0.35">
      <c r="A43" s="492"/>
      <c r="F43" s="486"/>
      <c r="K43" s="492"/>
      <c r="L43" s="492"/>
      <c r="M43" s="492"/>
      <c r="N43" s="492"/>
      <c r="O43" s="492"/>
      <c r="P43" s="492"/>
      <c r="Q43" s="149"/>
      <c r="R43" s="149"/>
      <c r="S43" s="149"/>
      <c r="T43" s="149"/>
      <c r="U43" s="149"/>
      <c r="V43" s="149"/>
      <c r="W43" s="149"/>
      <c r="AA43" s="492"/>
      <c r="AB43" s="492"/>
      <c r="AC43" s="492"/>
      <c r="AD43" s="492"/>
      <c r="AE43" s="492"/>
      <c r="AF43" s="492"/>
      <c r="AG43" s="492"/>
      <c r="AH43" s="492"/>
      <c r="AI43" s="492"/>
      <c r="AJ43" s="492"/>
      <c r="AK43" s="492"/>
      <c r="AL43" s="492"/>
      <c r="AM43" s="492"/>
      <c r="AN43" s="492"/>
      <c r="AO43" s="492"/>
      <c r="AP43" s="492"/>
      <c r="AQ43" s="492"/>
      <c r="AR43" s="492"/>
    </row>
    <row r="44" spans="1:44" ht="14.15" customHeight="1" x14ac:dyDescent="0.35">
      <c r="A44" s="492"/>
      <c r="D44" s="256" t="str">
        <f>IF(F40="Yes","This figure will be adjusted for the number of chargeable days (if not a full year) and used","")</f>
        <v/>
      </c>
      <c r="F44" s="486"/>
      <c r="K44" s="492"/>
      <c r="L44" s="492"/>
      <c r="M44" s="492"/>
      <c r="N44" s="492"/>
      <c r="O44" s="492"/>
      <c r="P44" s="492"/>
      <c r="Q44" s="149"/>
      <c r="R44" s="149"/>
      <c r="S44" s="149"/>
      <c r="T44" s="149"/>
      <c r="U44" s="149"/>
      <c r="V44" s="149"/>
      <c r="W44" s="149"/>
      <c r="AA44" s="492"/>
      <c r="AB44" s="492"/>
      <c r="AC44" s="492"/>
      <c r="AD44" s="492"/>
      <c r="AE44" s="492"/>
      <c r="AF44" s="492"/>
      <c r="AG44" s="492"/>
      <c r="AH44" s="492"/>
      <c r="AI44" s="492"/>
      <c r="AJ44" s="492"/>
      <c r="AK44" s="492"/>
      <c r="AL44" s="492"/>
      <c r="AM44" s="492"/>
      <c r="AN44" s="492"/>
      <c r="AO44" s="492"/>
      <c r="AP44" s="492"/>
      <c r="AQ44" s="492"/>
      <c r="AR44" s="492"/>
    </row>
    <row r="45" spans="1:44" ht="14.15" customHeight="1" x14ac:dyDescent="0.35">
      <c r="A45" s="492"/>
      <c r="D45" s="256" t="str">
        <f>IF(F40="Yes","in the liability calculation","")</f>
        <v/>
      </c>
      <c r="E45" s="276"/>
      <c r="H45" s="327"/>
      <c r="K45" s="492"/>
      <c r="L45" s="492"/>
      <c r="M45" s="492"/>
      <c r="N45" s="492"/>
      <c r="O45" s="492"/>
      <c r="P45" s="492"/>
      <c r="Q45" s="149"/>
      <c r="R45" s="149"/>
      <c r="S45" s="149"/>
      <c r="T45" s="149"/>
      <c r="U45" s="149"/>
      <c r="V45" s="149"/>
      <c r="W45" s="149"/>
      <c r="AA45" s="492"/>
      <c r="AB45" s="492"/>
      <c r="AC45" s="492"/>
      <c r="AD45" s="492"/>
      <c r="AE45" s="492"/>
      <c r="AF45" s="492"/>
      <c r="AG45" s="492"/>
      <c r="AH45" s="492"/>
      <c r="AI45" s="492"/>
      <c r="AJ45" s="492"/>
      <c r="AK45" s="492"/>
      <c r="AL45" s="492"/>
      <c r="AM45" s="492"/>
      <c r="AN45" s="492"/>
      <c r="AO45" s="492"/>
      <c r="AP45" s="492"/>
      <c r="AQ45" s="492"/>
      <c r="AR45" s="492"/>
    </row>
    <row r="46" spans="1:44" ht="14.15" customHeight="1" x14ac:dyDescent="0.35">
      <c r="A46" s="492"/>
      <c r="K46" s="492"/>
      <c r="L46" s="492"/>
      <c r="M46" s="492"/>
      <c r="N46" s="492"/>
      <c r="O46" s="492"/>
      <c r="P46" s="492"/>
      <c r="Q46" s="149"/>
      <c r="R46" s="149"/>
      <c r="S46" s="149"/>
      <c r="T46" s="149"/>
      <c r="U46" s="149"/>
      <c r="V46" s="149"/>
      <c r="W46" s="149"/>
      <c r="AA46" s="492"/>
      <c r="AB46" s="492"/>
      <c r="AC46" s="492"/>
      <c r="AD46" s="492"/>
      <c r="AE46" s="492"/>
      <c r="AF46" s="492"/>
      <c r="AG46" s="492"/>
      <c r="AH46" s="492"/>
      <c r="AI46" s="492"/>
      <c r="AJ46" s="492"/>
      <c r="AK46" s="492"/>
      <c r="AL46" s="492"/>
      <c r="AM46" s="492"/>
      <c r="AN46" s="492"/>
      <c r="AO46" s="492"/>
      <c r="AP46" s="492"/>
      <c r="AQ46" s="492"/>
      <c r="AR46" s="492"/>
    </row>
    <row r="47" spans="1:44" ht="14.15" customHeight="1" x14ac:dyDescent="0.35">
      <c r="A47" s="492"/>
      <c r="E47" s="276"/>
      <c r="H47" s="327"/>
      <c r="K47" s="492"/>
      <c r="L47" s="492"/>
      <c r="M47" s="492"/>
      <c r="N47" s="492"/>
      <c r="O47" s="492"/>
      <c r="P47" s="492"/>
      <c r="Q47" s="149"/>
      <c r="R47" s="149"/>
      <c r="S47" s="149"/>
      <c r="T47" s="149"/>
      <c r="U47" s="149"/>
      <c r="V47" s="149"/>
      <c r="W47" s="149"/>
      <c r="AA47" s="492"/>
      <c r="AB47" s="492"/>
      <c r="AC47" s="492"/>
      <c r="AD47" s="492"/>
      <c r="AE47" s="492"/>
      <c r="AF47" s="492"/>
      <c r="AG47" s="492"/>
      <c r="AH47" s="492"/>
      <c r="AI47" s="492"/>
      <c r="AJ47" s="492"/>
      <c r="AK47" s="492"/>
      <c r="AL47" s="492"/>
      <c r="AM47" s="492"/>
      <c r="AN47" s="492"/>
      <c r="AO47" s="492"/>
      <c r="AP47" s="492"/>
      <c r="AQ47" s="492"/>
      <c r="AR47" s="492"/>
    </row>
    <row r="48" spans="1:44" ht="9" customHeight="1" x14ac:dyDescent="0.25">
      <c r="A48" s="492"/>
      <c r="K48" s="492"/>
      <c r="L48" s="492"/>
      <c r="M48" s="492"/>
      <c r="N48" s="492"/>
      <c r="O48" s="492"/>
      <c r="P48" s="492"/>
      <c r="AA48" s="492"/>
      <c r="AB48" s="492"/>
      <c r="AC48" s="492"/>
      <c r="AD48" s="492"/>
      <c r="AE48" s="492"/>
      <c r="AF48" s="492"/>
      <c r="AG48" s="492"/>
      <c r="AH48" s="492"/>
      <c r="AI48" s="492"/>
      <c r="AJ48" s="492"/>
      <c r="AK48" s="492"/>
      <c r="AL48" s="492"/>
      <c r="AM48" s="492"/>
      <c r="AN48" s="492"/>
      <c r="AO48" s="492"/>
      <c r="AP48" s="492"/>
      <c r="AQ48" s="492"/>
      <c r="AR48" s="492"/>
    </row>
    <row r="49" spans="1:44" ht="12.5" x14ac:dyDescent="0.25">
      <c r="A49" s="492"/>
      <c r="C49" s="283"/>
      <c r="D49" s="283"/>
      <c r="E49" s="335"/>
      <c r="F49" s="335"/>
      <c r="G49" s="335"/>
      <c r="H49" s="283"/>
      <c r="I49" s="487"/>
      <c r="J49" s="283"/>
      <c r="K49" s="492"/>
      <c r="L49" s="492"/>
      <c r="M49" s="492"/>
      <c r="N49" s="492"/>
      <c r="O49" s="492"/>
      <c r="P49" s="492"/>
      <c r="AA49" s="492"/>
      <c r="AB49" s="492"/>
      <c r="AC49" s="492"/>
      <c r="AD49" s="492"/>
      <c r="AE49" s="492"/>
      <c r="AF49" s="492"/>
      <c r="AG49" s="492"/>
      <c r="AH49" s="492"/>
      <c r="AI49" s="492"/>
      <c r="AJ49" s="492"/>
      <c r="AK49" s="492"/>
      <c r="AL49" s="492"/>
      <c r="AM49" s="492"/>
      <c r="AN49" s="492"/>
      <c r="AO49" s="492"/>
      <c r="AP49" s="492"/>
      <c r="AQ49" s="492"/>
      <c r="AR49" s="492"/>
    </row>
    <row r="50" spans="1:44" ht="11.25" customHeight="1" x14ac:dyDescent="0.25">
      <c r="A50" s="492"/>
      <c r="K50" s="492"/>
      <c r="L50" s="492"/>
      <c r="M50" s="492"/>
      <c r="N50" s="492"/>
      <c r="O50" s="492"/>
      <c r="P50" s="492"/>
      <c r="AA50" s="492"/>
      <c r="AB50" s="492"/>
      <c r="AC50" s="492"/>
      <c r="AD50" s="492"/>
      <c r="AE50" s="492"/>
      <c r="AF50" s="492"/>
      <c r="AG50" s="492"/>
      <c r="AH50" s="492"/>
      <c r="AI50" s="492"/>
      <c r="AJ50" s="492"/>
      <c r="AK50" s="492"/>
      <c r="AL50" s="492"/>
      <c r="AM50" s="492"/>
      <c r="AN50" s="492"/>
      <c r="AO50" s="492"/>
      <c r="AP50" s="492"/>
      <c r="AQ50" s="492"/>
      <c r="AR50" s="492"/>
    </row>
    <row r="51" spans="1:44" ht="21" customHeight="1" x14ac:dyDescent="0.35">
      <c r="A51" s="492"/>
      <c r="C51" s="256" t="str">
        <f>'basic output'!C57</f>
        <v>prepared by</v>
      </c>
      <c r="D51" s="488" t="str">
        <f>'basic output'!E57</f>
        <v>CBRE</v>
      </c>
      <c r="K51" s="492"/>
      <c r="L51" s="492"/>
      <c r="M51" s="492"/>
      <c r="N51" s="492"/>
      <c r="O51" s="492"/>
      <c r="P51" s="492"/>
      <c r="AA51" s="492"/>
      <c r="AB51" s="492"/>
      <c r="AC51" s="492"/>
      <c r="AD51" s="492"/>
      <c r="AE51" s="492"/>
      <c r="AF51" s="492"/>
      <c r="AG51" s="492"/>
      <c r="AH51" s="492"/>
      <c r="AI51" s="492"/>
      <c r="AJ51" s="492"/>
      <c r="AK51" s="492"/>
      <c r="AL51" s="492"/>
      <c r="AM51" s="492"/>
      <c r="AN51" s="492"/>
      <c r="AO51" s="492"/>
      <c r="AP51" s="492"/>
      <c r="AQ51" s="492"/>
      <c r="AR51" s="492"/>
    </row>
    <row r="52" spans="1:44" ht="24" customHeight="1" x14ac:dyDescent="0.25">
      <c r="A52" s="492"/>
      <c r="K52" s="492"/>
      <c r="L52" s="492"/>
      <c r="M52" s="492"/>
      <c r="N52" s="492"/>
      <c r="O52" s="492"/>
      <c r="P52" s="492"/>
      <c r="AA52" s="492"/>
      <c r="AB52" s="492"/>
      <c r="AC52" s="492"/>
      <c r="AD52" s="492"/>
      <c r="AE52" s="492"/>
      <c r="AF52" s="492"/>
      <c r="AG52" s="492"/>
      <c r="AH52" s="492"/>
      <c r="AI52" s="492"/>
      <c r="AJ52" s="492"/>
      <c r="AK52" s="492"/>
      <c r="AL52" s="492"/>
      <c r="AM52" s="492"/>
      <c r="AN52" s="492"/>
      <c r="AO52" s="492"/>
      <c r="AP52" s="492"/>
      <c r="AQ52" s="492"/>
      <c r="AR52" s="492"/>
    </row>
    <row r="53" spans="1:44" ht="12.75" customHeight="1" x14ac:dyDescent="0.25">
      <c r="A53" s="492"/>
      <c r="B53" s="492"/>
      <c r="C53" s="492"/>
      <c r="D53" s="492"/>
      <c r="E53" s="492"/>
      <c r="F53" s="492"/>
      <c r="G53" s="492"/>
      <c r="H53" s="492"/>
      <c r="I53" s="492"/>
      <c r="J53" s="492"/>
      <c r="K53" s="492"/>
      <c r="L53" s="492"/>
      <c r="M53" s="492"/>
      <c r="N53" s="492"/>
      <c r="O53" s="492"/>
      <c r="P53" s="492"/>
      <c r="AA53" s="492"/>
      <c r="AB53" s="492"/>
      <c r="AC53" s="492"/>
      <c r="AD53" s="492"/>
      <c r="AE53" s="492"/>
      <c r="AF53" s="492"/>
      <c r="AG53" s="492"/>
      <c r="AH53" s="492"/>
      <c r="AI53" s="492"/>
      <c r="AJ53" s="492"/>
      <c r="AK53" s="492"/>
      <c r="AL53" s="492"/>
      <c r="AM53" s="492"/>
      <c r="AN53" s="492"/>
      <c r="AO53" s="492"/>
      <c r="AP53" s="492"/>
      <c r="AQ53" s="492"/>
      <c r="AR53" s="492"/>
    </row>
    <row r="54" spans="1:44" ht="12.75" customHeight="1" x14ac:dyDescent="0.25">
      <c r="A54" s="492"/>
      <c r="B54" s="492"/>
      <c r="C54" s="492"/>
      <c r="D54" s="492"/>
      <c r="E54" s="492"/>
      <c r="F54" s="492"/>
      <c r="G54" s="492"/>
      <c r="H54" s="492"/>
      <c r="I54" s="492"/>
      <c r="J54" s="492"/>
      <c r="K54" s="492"/>
      <c r="L54" s="492"/>
      <c r="M54" s="492"/>
      <c r="N54" s="492"/>
      <c r="O54" s="492"/>
      <c r="P54" s="492"/>
      <c r="AA54" s="492"/>
      <c r="AB54" s="492"/>
      <c r="AC54" s="492"/>
      <c r="AD54" s="492"/>
      <c r="AE54" s="492"/>
      <c r="AF54" s="492"/>
      <c r="AG54" s="492"/>
      <c r="AH54" s="492"/>
      <c r="AI54" s="492"/>
      <c r="AJ54" s="492"/>
      <c r="AK54" s="492"/>
      <c r="AL54" s="492"/>
      <c r="AM54" s="492"/>
      <c r="AN54" s="492"/>
      <c r="AO54" s="492"/>
      <c r="AP54" s="492"/>
      <c r="AQ54" s="492"/>
      <c r="AR54" s="492"/>
    </row>
    <row r="55" spans="1:44" ht="12.75" customHeight="1" x14ac:dyDescent="0.25">
      <c r="A55" s="492"/>
      <c r="B55" s="492"/>
      <c r="C55" s="492"/>
      <c r="D55" s="492"/>
      <c r="E55" s="492"/>
      <c r="F55" s="492"/>
      <c r="G55" s="492"/>
      <c r="H55" s="492"/>
      <c r="I55" s="492"/>
      <c r="J55" s="492"/>
      <c r="K55" s="492"/>
      <c r="L55" s="492"/>
      <c r="M55" s="492"/>
      <c r="N55" s="492"/>
      <c r="O55" s="492"/>
      <c r="P55" s="492"/>
      <c r="AA55" s="492"/>
      <c r="AB55" s="492"/>
      <c r="AC55" s="492"/>
      <c r="AD55" s="492"/>
      <c r="AE55" s="492"/>
      <c r="AF55" s="492"/>
      <c r="AG55" s="492"/>
      <c r="AH55" s="492"/>
      <c r="AI55" s="492"/>
      <c r="AJ55" s="492"/>
      <c r="AK55" s="492"/>
      <c r="AL55" s="492"/>
      <c r="AM55" s="492"/>
      <c r="AN55" s="492"/>
      <c r="AO55" s="492"/>
      <c r="AP55" s="492"/>
      <c r="AQ55" s="492"/>
      <c r="AR55" s="492"/>
    </row>
    <row r="56" spans="1:44" ht="12.75" customHeight="1" x14ac:dyDescent="0.25">
      <c r="A56" s="492"/>
      <c r="B56" s="492"/>
      <c r="C56" s="492"/>
      <c r="D56" s="492"/>
      <c r="E56" s="492"/>
      <c r="F56" s="492"/>
      <c r="G56" s="492"/>
      <c r="H56" s="492"/>
      <c r="I56" s="492"/>
      <c r="J56" s="492"/>
      <c r="K56" s="492"/>
      <c r="L56" s="492"/>
      <c r="M56" s="492"/>
      <c r="N56" s="492"/>
      <c r="O56" s="492"/>
      <c r="P56" s="492"/>
      <c r="AA56" s="492"/>
      <c r="AB56" s="492"/>
      <c r="AC56" s="492"/>
      <c r="AD56" s="492"/>
      <c r="AE56" s="492"/>
      <c r="AF56" s="492"/>
      <c r="AG56" s="492"/>
      <c r="AH56" s="492"/>
      <c r="AI56" s="492"/>
      <c r="AJ56" s="492"/>
      <c r="AK56" s="492"/>
      <c r="AL56" s="492"/>
      <c r="AM56" s="492"/>
      <c r="AN56" s="492"/>
      <c r="AO56" s="492"/>
      <c r="AP56" s="492"/>
      <c r="AQ56" s="492"/>
      <c r="AR56" s="492"/>
    </row>
    <row r="57" spans="1:44" ht="12.75" customHeight="1" x14ac:dyDescent="0.25">
      <c r="A57" s="492"/>
      <c r="B57" s="492"/>
      <c r="C57" s="492"/>
      <c r="D57" s="492"/>
      <c r="E57" s="492"/>
      <c r="F57" s="492"/>
      <c r="G57" s="492"/>
      <c r="H57" s="492"/>
      <c r="I57" s="492"/>
      <c r="J57" s="492"/>
      <c r="K57" s="492"/>
      <c r="L57" s="492"/>
      <c r="M57" s="492"/>
      <c r="N57" s="492"/>
      <c r="O57" s="492"/>
      <c r="P57" s="492"/>
      <c r="AA57" s="492"/>
      <c r="AB57" s="492"/>
      <c r="AC57" s="492"/>
      <c r="AD57" s="492"/>
      <c r="AE57" s="492"/>
      <c r="AF57" s="492"/>
      <c r="AG57" s="492"/>
      <c r="AH57" s="492"/>
      <c r="AI57" s="492"/>
      <c r="AJ57" s="492"/>
      <c r="AK57" s="492"/>
      <c r="AL57" s="492"/>
      <c r="AM57" s="492"/>
      <c r="AN57" s="492"/>
      <c r="AO57" s="492"/>
      <c r="AP57" s="492"/>
      <c r="AQ57" s="492"/>
      <c r="AR57" s="492"/>
    </row>
    <row r="58" spans="1:44" ht="12.75" customHeight="1" x14ac:dyDescent="0.25">
      <c r="A58" s="492"/>
      <c r="B58" s="492"/>
      <c r="C58" s="492"/>
      <c r="D58" s="492"/>
      <c r="E58" s="492"/>
      <c r="F58" s="492"/>
      <c r="G58" s="492"/>
      <c r="H58" s="492"/>
      <c r="I58" s="492"/>
      <c r="J58" s="492"/>
      <c r="K58" s="492"/>
      <c r="L58" s="492"/>
      <c r="M58" s="492"/>
      <c r="N58" s="492"/>
      <c r="O58" s="492"/>
      <c r="P58" s="492"/>
      <c r="AA58" s="492"/>
      <c r="AB58" s="492"/>
      <c r="AC58" s="492"/>
      <c r="AD58" s="492"/>
      <c r="AE58" s="492"/>
      <c r="AF58" s="492"/>
      <c r="AG58" s="492"/>
      <c r="AH58" s="492"/>
      <c r="AI58" s="492"/>
      <c r="AJ58" s="492"/>
      <c r="AK58" s="492"/>
      <c r="AL58" s="492"/>
      <c r="AM58" s="492"/>
      <c r="AN58" s="492"/>
      <c r="AO58" s="492"/>
      <c r="AP58" s="492"/>
      <c r="AQ58" s="492"/>
      <c r="AR58" s="492"/>
    </row>
    <row r="59" spans="1:44" ht="12.75" customHeight="1" x14ac:dyDescent="0.25">
      <c r="A59" s="492"/>
      <c r="B59" s="492"/>
      <c r="C59" s="492"/>
      <c r="D59" s="492"/>
      <c r="E59" s="492"/>
      <c r="F59" s="492"/>
      <c r="G59" s="492"/>
      <c r="H59" s="492"/>
      <c r="I59" s="492"/>
      <c r="J59" s="492"/>
      <c r="K59" s="492"/>
      <c r="L59" s="492"/>
      <c r="M59" s="492"/>
      <c r="N59" s="492"/>
      <c r="O59" s="492"/>
      <c r="P59" s="492"/>
      <c r="AA59" s="492"/>
      <c r="AB59" s="492"/>
      <c r="AC59" s="492"/>
      <c r="AD59" s="492"/>
      <c r="AE59" s="492"/>
      <c r="AF59" s="492"/>
      <c r="AG59" s="492"/>
      <c r="AH59" s="492"/>
      <c r="AI59" s="492"/>
      <c r="AJ59" s="492"/>
      <c r="AK59" s="492"/>
      <c r="AL59" s="492"/>
      <c r="AM59" s="492"/>
      <c r="AN59" s="492"/>
      <c r="AO59" s="492"/>
      <c r="AP59" s="492"/>
      <c r="AQ59" s="492"/>
      <c r="AR59" s="492"/>
    </row>
    <row r="60" spans="1:44" ht="12.75" customHeight="1" x14ac:dyDescent="0.25">
      <c r="A60" s="492"/>
      <c r="B60" s="492"/>
      <c r="C60" s="492"/>
      <c r="D60" s="492"/>
      <c r="E60" s="492"/>
      <c r="F60" s="492"/>
      <c r="G60" s="492"/>
      <c r="H60" s="492"/>
      <c r="I60" s="492"/>
      <c r="J60" s="492"/>
      <c r="K60" s="492"/>
      <c r="L60" s="492"/>
      <c r="M60" s="492"/>
      <c r="N60" s="492"/>
      <c r="O60" s="492"/>
      <c r="P60" s="492"/>
      <c r="AA60" s="492"/>
      <c r="AB60" s="492"/>
      <c r="AC60" s="492"/>
      <c r="AD60" s="492"/>
      <c r="AE60" s="492"/>
      <c r="AF60" s="492"/>
      <c r="AG60" s="492"/>
      <c r="AH60" s="492"/>
      <c r="AI60" s="492"/>
      <c r="AJ60" s="492"/>
      <c r="AK60" s="492"/>
      <c r="AL60" s="492"/>
      <c r="AM60" s="492"/>
      <c r="AN60" s="492"/>
      <c r="AO60" s="492"/>
      <c r="AP60" s="492"/>
      <c r="AQ60" s="492"/>
      <c r="AR60" s="492"/>
    </row>
    <row r="61" spans="1:44" ht="12.75" customHeight="1" x14ac:dyDescent="0.25">
      <c r="A61" s="492"/>
      <c r="B61" s="492"/>
      <c r="C61" s="492"/>
      <c r="D61" s="492"/>
      <c r="E61" s="492"/>
      <c r="F61" s="492"/>
      <c r="G61" s="492"/>
      <c r="H61" s="492"/>
      <c r="I61" s="492"/>
      <c r="J61" s="492"/>
      <c r="K61" s="492"/>
      <c r="L61" s="492"/>
      <c r="M61" s="492"/>
      <c r="N61" s="492"/>
      <c r="O61" s="492"/>
      <c r="P61" s="492"/>
      <c r="AA61" s="492"/>
      <c r="AB61" s="492"/>
      <c r="AC61" s="492"/>
      <c r="AD61" s="492"/>
      <c r="AE61" s="492"/>
      <c r="AF61" s="492"/>
      <c r="AG61" s="492"/>
      <c r="AH61" s="492"/>
      <c r="AI61" s="492"/>
      <c r="AJ61" s="492"/>
      <c r="AK61" s="492"/>
      <c r="AL61" s="492"/>
      <c r="AM61" s="492"/>
      <c r="AN61" s="492"/>
      <c r="AO61" s="492"/>
      <c r="AP61" s="492"/>
      <c r="AQ61" s="492"/>
      <c r="AR61" s="492"/>
    </row>
    <row r="62" spans="1:44" ht="12.75" customHeight="1" x14ac:dyDescent="0.25">
      <c r="A62" s="492"/>
      <c r="B62" s="492"/>
      <c r="C62" s="492"/>
      <c r="D62" s="492"/>
      <c r="E62" s="492"/>
      <c r="F62" s="492"/>
      <c r="G62" s="492"/>
      <c r="H62" s="492"/>
      <c r="I62" s="492"/>
      <c r="J62" s="492"/>
      <c r="K62" s="492"/>
      <c r="L62" s="492"/>
      <c r="M62" s="492"/>
      <c r="N62" s="492"/>
      <c r="O62" s="492"/>
      <c r="P62" s="492"/>
      <c r="AA62" s="492"/>
      <c r="AB62" s="492"/>
      <c r="AC62" s="492"/>
      <c r="AD62" s="492"/>
      <c r="AE62" s="492"/>
      <c r="AF62" s="492"/>
      <c r="AG62" s="492"/>
      <c r="AH62" s="492"/>
      <c r="AI62" s="492"/>
      <c r="AJ62" s="492"/>
      <c r="AK62" s="492"/>
      <c r="AL62" s="492"/>
      <c r="AM62" s="492"/>
      <c r="AN62" s="492"/>
      <c r="AO62" s="492"/>
      <c r="AP62" s="492"/>
      <c r="AQ62" s="492"/>
      <c r="AR62" s="492"/>
    </row>
    <row r="63" spans="1:44" ht="12.75" customHeight="1" x14ac:dyDescent="0.25">
      <c r="A63" s="492"/>
      <c r="B63" s="492"/>
      <c r="C63" s="492"/>
      <c r="D63" s="492"/>
      <c r="E63" s="492"/>
      <c r="F63" s="492"/>
      <c r="G63" s="492"/>
      <c r="H63" s="492"/>
      <c r="I63" s="492"/>
      <c r="J63" s="492"/>
      <c r="K63" s="492"/>
      <c r="L63" s="492"/>
      <c r="M63" s="492"/>
      <c r="N63" s="492"/>
      <c r="O63" s="492"/>
      <c r="P63" s="492"/>
      <c r="AA63" s="492"/>
      <c r="AB63" s="492"/>
      <c r="AC63" s="492"/>
      <c r="AD63" s="492"/>
      <c r="AE63" s="492"/>
      <c r="AF63" s="492"/>
      <c r="AG63" s="492"/>
      <c r="AH63" s="492"/>
      <c r="AI63" s="492"/>
      <c r="AJ63" s="492"/>
      <c r="AK63" s="492"/>
      <c r="AL63" s="492"/>
      <c r="AM63" s="492"/>
      <c r="AN63" s="492"/>
      <c r="AO63" s="492"/>
      <c r="AP63" s="492"/>
      <c r="AQ63" s="492"/>
      <c r="AR63" s="492"/>
    </row>
    <row r="64" spans="1:44" ht="12.75" customHeight="1" x14ac:dyDescent="0.25">
      <c r="A64" s="492"/>
      <c r="B64" s="492"/>
      <c r="C64" s="492"/>
      <c r="D64" s="492"/>
      <c r="E64" s="492"/>
      <c r="F64" s="492"/>
      <c r="G64" s="492"/>
      <c r="H64" s="492"/>
      <c r="I64" s="492"/>
      <c r="J64" s="492"/>
      <c r="K64" s="492"/>
      <c r="L64" s="492"/>
      <c r="M64" s="492"/>
      <c r="N64" s="492"/>
      <c r="O64" s="492"/>
      <c r="P64" s="492"/>
      <c r="AA64" s="492"/>
      <c r="AB64" s="492"/>
      <c r="AC64" s="492"/>
      <c r="AD64" s="492"/>
      <c r="AE64" s="492"/>
      <c r="AF64" s="492"/>
      <c r="AG64" s="492"/>
      <c r="AH64" s="492"/>
      <c r="AI64" s="492"/>
      <c r="AJ64" s="492"/>
      <c r="AK64" s="492"/>
      <c r="AL64" s="492"/>
      <c r="AM64" s="492"/>
      <c r="AN64" s="492"/>
      <c r="AO64" s="492"/>
      <c r="AP64" s="492"/>
      <c r="AQ64" s="492"/>
      <c r="AR64" s="492"/>
    </row>
    <row r="65" spans="1:44" ht="12.75" customHeight="1" x14ac:dyDescent="0.25">
      <c r="A65" s="492"/>
      <c r="B65" s="492"/>
      <c r="C65" s="492"/>
      <c r="D65" s="492"/>
      <c r="E65" s="492"/>
      <c r="F65" s="492"/>
      <c r="G65" s="492"/>
      <c r="H65" s="492"/>
      <c r="I65" s="492"/>
      <c r="J65" s="492"/>
      <c r="K65" s="492"/>
      <c r="L65" s="492"/>
      <c r="M65" s="492"/>
      <c r="N65" s="492"/>
      <c r="O65" s="492"/>
      <c r="P65" s="492"/>
      <c r="AA65" s="492"/>
      <c r="AB65" s="492"/>
      <c r="AC65" s="492"/>
      <c r="AD65" s="492"/>
      <c r="AE65" s="492"/>
      <c r="AF65" s="492"/>
      <c r="AG65" s="492"/>
      <c r="AH65" s="492"/>
      <c r="AI65" s="492"/>
      <c r="AJ65" s="492"/>
      <c r="AK65" s="492"/>
      <c r="AL65" s="492"/>
      <c r="AM65" s="492"/>
      <c r="AN65" s="492"/>
      <c r="AO65" s="492"/>
      <c r="AP65" s="492"/>
      <c r="AQ65" s="492"/>
      <c r="AR65" s="492"/>
    </row>
    <row r="66" spans="1:44" ht="12.75" customHeight="1" x14ac:dyDescent="0.25">
      <c r="A66" s="492"/>
      <c r="B66" s="492"/>
      <c r="C66" s="492"/>
      <c r="D66" s="492"/>
      <c r="E66" s="492"/>
      <c r="F66" s="492"/>
      <c r="G66" s="492"/>
      <c r="H66" s="492"/>
      <c r="I66" s="492"/>
      <c r="J66" s="492"/>
      <c r="K66" s="492"/>
      <c r="L66" s="492"/>
      <c r="M66" s="492"/>
      <c r="N66" s="492"/>
      <c r="O66" s="492"/>
      <c r="P66" s="492"/>
      <c r="AA66" s="492"/>
      <c r="AB66" s="492"/>
      <c r="AC66" s="492"/>
      <c r="AD66" s="492"/>
      <c r="AE66" s="492"/>
      <c r="AF66" s="492"/>
      <c r="AG66" s="492"/>
      <c r="AH66" s="492"/>
      <c r="AI66" s="492"/>
      <c r="AJ66" s="492"/>
      <c r="AK66" s="492"/>
      <c r="AL66" s="492"/>
      <c r="AM66" s="492"/>
      <c r="AN66" s="492"/>
      <c r="AO66" s="492"/>
      <c r="AP66" s="492"/>
      <c r="AQ66" s="492"/>
      <c r="AR66" s="492"/>
    </row>
    <row r="67" spans="1:44" ht="12.75" customHeight="1" x14ac:dyDescent="0.25">
      <c r="A67" s="492"/>
      <c r="B67" s="492"/>
      <c r="C67" s="492"/>
      <c r="D67" s="492"/>
      <c r="E67" s="492"/>
      <c r="F67" s="492"/>
      <c r="G67" s="492"/>
      <c r="H67" s="492"/>
      <c r="I67" s="492"/>
      <c r="J67" s="492"/>
      <c r="K67" s="492"/>
      <c r="L67" s="492"/>
      <c r="M67" s="492"/>
      <c r="N67" s="492"/>
      <c r="O67" s="492"/>
      <c r="P67" s="492"/>
      <c r="AA67" s="492"/>
      <c r="AB67" s="492"/>
      <c r="AC67" s="492"/>
      <c r="AD67" s="492"/>
      <c r="AE67" s="492"/>
      <c r="AF67" s="492"/>
      <c r="AG67" s="492"/>
      <c r="AH67" s="492"/>
      <c r="AI67" s="492"/>
      <c r="AJ67" s="492"/>
      <c r="AK67" s="492"/>
      <c r="AL67" s="492"/>
      <c r="AM67" s="492"/>
      <c r="AN67" s="492"/>
      <c r="AO67" s="492"/>
      <c r="AP67" s="492"/>
      <c r="AQ67" s="492"/>
      <c r="AR67" s="492"/>
    </row>
    <row r="68" spans="1:44" ht="12.75" customHeight="1" x14ac:dyDescent="0.25">
      <c r="A68" s="492"/>
      <c r="B68" s="492"/>
      <c r="C68" s="492"/>
      <c r="D68" s="492"/>
      <c r="E68" s="492"/>
      <c r="F68" s="492"/>
      <c r="G68" s="492"/>
      <c r="H68" s="492"/>
      <c r="I68" s="492"/>
      <c r="J68" s="492"/>
      <c r="K68" s="492"/>
      <c r="L68" s="492"/>
      <c r="M68" s="492"/>
      <c r="N68" s="492"/>
      <c r="O68" s="492"/>
      <c r="P68" s="492"/>
      <c r="AA68" s="492"/>
      <c r="AB68" s="492"/>
      <c r="AC68" s="492"/>
      <c r="AD68" s="492"/>
      <c r="AE68" s="492"/>
      <c r="AF68" s="492"/>
      <c r="AG68" s="492"/>
      <c r="AH68" s="492"/>
      <c r="AI68" s="492"/>
      <c r="AJ68" s="492"/>
      <c r="AK68" s="492"/>
      <c r="AL68" s="492"/>
      <c r="AM68" s="492"/>
      <c r="AN68" s="492"/>
      <c r="AO68" s="492"/>
      <c r="AP68" s="492"/>
      <c r="AQ68" s="492"/>
      <c r="AR68" s="492"/>
    </row>
    <row r="69" spans="1:44" ht="12.75" customHeight="1" x14ac:dyDescent="0.25">
      <c r="A69" s="492"/>
      <c r="B69" s="492"/>
      <c r="C69" s="492"/>
      <c r="D69" s="492"/>
      <c r="E69" s="492"/>
      <c r="F69" s="492"/>
      <c r="G69" s="492"/>
      <c r="H69" s="492"/>
      <c r="I69" s="492"/>
      <c r="J69" s="492"/>
      <c r="K69" s="492"/>
      <c r="L69" s="492"/>
      <c r="M69" s="492"/>
      <c r="N69" s="492"/>
      <c r="O69" s="492"/>
      <c r="P69" s="492"/>
      <c r="AA69" s="492"/>
      <c r="AB69" s="492"/>
      <c r="AC69" s="492"/>
      <c r="AD69" s="492"/>
      <c r="AE69" s="492"/>
      <c r="AF69" s="492"/>
      <c r="AG69" s="492"/>
      <c r="AH69" s="492"/>
      <c r="AI69" s="492"/>
      <c r="AJ69" s="492"/>
      <c r="AK69" s="492"/>
      <c r="AL69" s="492"/>
      <c r="AM69" s="492"/>
      <c r="AN69" s="492"/>
      <c r="AO69" s="492"/>
      <c r="AP69" s="492"/>
      <c r="AQ69" s="492"/>
      <c r="AR69" s="492"/>
    </row>
    <row r="70" spans="1:44" ht="12.75" customHeight="1" x14ac:dyDescent="0.25">
      <c r="A70" s="492"/>
      <c r="B70" s="492"/>
      <c r="C70" s="492"/>
      <c r="D70" s="492"/>
      <c r="E70" s="492"/>
      <c r="F70" s="492"/>
      <c r="G70" s="492"/>
      <c r="H70" s="492"/>
      <c r="I70" s="492"/>
      <c r="J70" s="492"/>
      <c r="K70" s="492"/>
      <c r="L70" s="492"/>
      <c r="M70" s="492"/>
      <c r="N70" s="492"/>
      <c r="O70" s="492"/>
      <c r="P70" s="492"/>
      <c r="AA70" s="492"/>
      <c r="AB70" s="492"/>
      <c r="AC70" s="492"/>
      <c r="AD70" s="492"/>
      <c r="AE70" s="492"/>
      <c r="AF70" s="492"/>
      <c r="AG70" s="492"/>
      <c r="AH70" s="492"/>
      <c r="AI70" s="492"/>
      <c r="AJ70" s="492"/>
      <c r="AK70" s="492"/>
      <c r="AL70" s="492"/>
      <c r="AM70" s="492"/>
      <c r="AN70" s="492"/>
      <c r="AO70" s="492"/>
      <c r="AP70" s="492"/>
      <c r="AQ70" s="492"/>
      <c r="AR70" s="492"/>
    </row>
    <row r="71" spans="1:44" ht="12.75" customHeight="1" x14ac:dyDescent="0.25">
      <c r="A71" s="492"/>
      <c r="B71" s="492"/>
      <c r="C71" s="492"/>
      <c r="D71" s="492"/>
      <c r="E71" s="492"/>
      <c r="F71" s="492"/>
      <c r="G71" s="492"/>
      <c r="H71" s="492"/>
      <c r="I71" s="492"/>
      <c r="J71" s="492"/>
      <c r="K71" s="492"/>
      <c r="L71" s="492"/>
      <c r="M71" s="492"/>
      <c r="N71" s="492"/>
      <c r="O71" s="492"/>
      <c r="P71" s="492"/>
      <c r="AA71" s="492"/>
      <c r="AB71" s="492"/>
      <c r="AC71" s="492"/>
      <c r="AD71" s="492"/>
      <c r="AE71" s="492"/>
      <c r="AF71" s="492"/>
      <c r="AG71" s="492"/>
      <c r="AH71" s="492"/>
      <c r="AI71" s="492"/>
      <c r="AJ71" s="492"/>
      <c r="AK71" s="492"/>
      <c r="AL71" s="492"/>
      <c r="AM71" s="492"/>
      <c r="AN71" s="492"/>
      <c r="AO71" s="492"/>
      <c r="AP71" s="492"/>
      <c r="AQ71" s="492"/>
      <c r="AR71" s="492"/>
    </row>
    <row r="72" spans="1:44" ht="12.75" customHeight="1" x14ac:dyDescent="0.25">
      <c r="A72" s="492"/>
      <c r="B72" s="492"/>
      <c r="C72" s="492"/>
      <c r="D72" s="492"/>
      <c r="E72" s="492"/>
      <c r="F72" s="492"/>
      <c r="G72" s="492"/>
      <c r="H72" s="492"/>
      <c r="I72" s="492"/>
      <c r="J72" s="492"/>
      <c r="K72" s="492"/>
      <c r="L72" s="492"/>
      <c r="M72" s="492"/>
      <c r="N72" s="492"/>
      <c r="O72" s="492"/>
      <c r="P72" s="492"/>
      <c r="AA72" s="492"/>
      <c r="AB72" s="492"/>
      <c r="AC72" s="492"/>
      <c r="AD72" s="492"/>
      <c r="AE72" s="492"/>
      <c r="AF72" s="492"/>
      <c r="AG72" s="492"/>
      <c r="AH72" s="492"/>
      <c r="AI72" s="492"/>
      <c r="AJ72" s="492"/>
      <c r="AK72" s="492"/>
      <c r="AL72" s="492"/>
      <c r="AM72" s="492"/>
      <c r="AN72" s="492"/>
      <c r="AO72" s="492"/>
      <c r="AP72" s="492"/>
      <c r="AQ72" s="492"/>
      <c r="AR72" s="492"/>
    </row>
    <row r="73" spans="1:44" ht="12.75" customHeight="1" x14ac:dyDescent="0.25">
      <c r="A73" s="492"/>
      <c r="B73" s="492"/>
      <c r="C73" s="492"/>
      <c r="D73" s="492"/>
      <c r="E73" s="492"/>
      <c r="F73" s="492"/>
      <c r="G73" s="492"/>
      <c r="H73" s="492"/>
      <c r="I73" s="492"/>
      <c r="J73" s="492"/>
      <c r="K73" s="492"/>
      <c r="L73" s="492"/>
      <c r="M73" s="492"/>
      <c r="N73" s="492"/>
      <c r="O73" s="492"/>
      <c r="P73" s="492"/>
      <c r="AA73" s="492"/>
      <c r="AB73" s="492"/>
      <c r="AC73" s="492"/>
      <c r="AD73" s="492"/>
      <c r="AE73" s="492"/>
      <c r="AF73" s="492"/>
      <c r="AG73" s="492"/>
      <c r="AH73" s="492"/>
      <c r="AI73" s="492"/>
      <c r="AJ73" s="492"/>
      <c r="AK73" s="492"/>
      <c r="AL73" s="492"/>
      <c r="AM73" s="492"/>
      <c r="AN73" s="492"/>
      <c r="AO73" s="492"/>
      <c r="AP73" s="492"/>
      <c r="AQ73" s="492"/>
      <c r="AR73" s="492"/>
    </row>
    <row r="74" spans="1:44" ht="12.75" customHeight="1" x14ac:dyDescent="0.25">
      <c r="A74" s="492"/>
      <c r="B74" s="492"/>
      <c r="C74" s="492"/>
      <c r="D74" s="492"/>
      <c r="E74" s="492"/>
      <c r="F74" s="492"/>
      <c r="G74" s="492"/>
      <c r="H74" s="492"/>
      <c r="I74" s="492"/>
      <c r="J74" s="492"/>
      <c r="K74" s="492"/>
      <c r="L74" s="492"/>
      <c r="M74" s="492"/>
      <c r="N74" s="492"/>
      <c r="O74" s="492"/>
      <c r="P74" s="492"/>
      <c r="AA74" s="492"/>
      <c r="AB74" s="492"/>
      <c r="AC74" s="492"/>
      <c r="AD74" s="492"/>
      <c r="AE74" s="492"/>
      <c r="AF74" s="492"/>
      <c r="AG74" s="492"/>
      <c r="AH74" s="492"/>
      <c r="AI74" s="492"/>
      <c r="AJ74" s="492"/>
      <c r="AK74" s="492"/>
      <c r="AL74" s="492"/>
      <c r="AM74" s="492"/>
      <c r="AN74" s="492"/>
      <c r="AO74" s="492"/>
      <c r="AP74" s="492"/>
      <c r="AQ74" s="492"/>
      <c r="AR74" s="492"/>
    </row>
    <row r="75" spans="1:44" ht="12.75" customHeight="1" x14ac:dyDescent="0.25">
      <c r="A75" s="492"/>
      <c r="B75" s="492"/>
      <c r="C75" s="492"/>
      <c r="D75" s="492"/>
      <c r="E75" s="492"/>
      <c r="F75" s="492"/>
      <c r="G75" s="492"/>
      <c r="H75" s="492"/>
      <c r="I75" s="492"/>
      <c r="J75" s="492"/>
      <c r="K75" s="492"/>
      <c r="L75" s="492"/>
      <c r="M75" s="492"/>
      <c r="N75" s="492"/>
      <c r="O75" s="492"/>
      <c r="P75" s="492"/>
      <c r="AA75" s="492"/>
      <c r="AB75" s="492"/>
      <c r="AC75" s="492"/>
      <c r="AD75" s="492"/>
      <c r="AE75" s="492"/>
      <c r="AF75" s="492"/>
      <c r="AG75" s="492"/>
      <c r="AH75" s="492"/>
      <c r="AI75" s="492"/>
      <c r="AJ75" s="492"/>
      <c r="AK75" s="492"/>
      <c r="AL75" s="492"/>
      <c r="AM75" s="492"/>
      <c r="AN75" s="492"/>
      <c r="AO75" s="492"/>
      <c r="AP75" s="492"/>
      <c r="AQ75" s="492"/>
      <c r="AR75" s="492"/>
    </row>
    <row r="76" spans="1:44" ht="12.75" customHeight="1" x14ac:dyDescent="0.25">
      <c r="A76" s="492"/>
      <c r="B76" s="492"/>
      <c r="C76" s="492"/>
      <c r="D76" s="492"/>
      <c r="E76" s="492"/>
      <c r="F76" s="492"/>
      <c r="G76" s="492"/>
      <c r="H76" s="492"/>
      <c r="I76" s="492"/>
      <c r="J76" s="492"/>
      <c r="K76" s="492"/>
      <c r="L76" s="492"/>
      <c r="M76" s="492"/>
      <c r="N76" s="492"/>
      <c r="O76" s="492"/>
      <c r="P76" s="492"/>
      <c r="AA76" s="492"/>
      <c r="AB76" s="492"/>
      <c r="AC76" s="492"/>
      <c r="AD76" s="492"/>
      <c r="AE76" s="492"/>
      <c r="AF76" s="492"/>
      <c r="AG76" s="492"/>
      <c r="AH76" s="492"/>
      <c r="AI76" s="492"/>
      <c r="AJ76" s="492"/>
      <c r="AK76" s="492"/>
      <c r="AL76" s="492"/>
      <c r="AM76" s="492"/>
      <c r="AN76" s="492"/>
      <c r="AO76" s="492"/>
      <c r="AP76" s="492"/>
      <c r="AQ76" s="492"/>
      <c r="AR76" s="492"/>
    </row>
    <row r="77" spans="1:44" ht="12.75" customHeight="1" x14ac:dyDescent="0.25">
      <c r="A77" s="492"/>
      <c r="B77" s="492"/>
      <c r="C77" s="492"/>
      <c r="D77" s="492"/>
      <c r="E77" s="492"/>
      <c r="F77" s="492"/>
      <c r="G77" s="492"/>
      <c r="H77" s="492"/>
      <c r="I77" s="492"/>
      <c r="J77" s="492"/>
      <c r="K77" s="492"/>
      <c r="L77" s="492"/>
      <c r="M77" s="492"/>
      <c r="N77" s="492"/>
      <c r="O77" s="492"/>
      <c r="P77" s="492"/>
      <c r="AA77" s="492"/>
      <c r="AB77" s="492"/>
      <c r="AC77" s="492"/>
      <c r="AD77" s="492"/>
      <c r="AE77" s="492"/>
      <c r="AF77" s="492"/>
      <c r="AG77" s="492"/>
      <c r="AH77" s="492"/>
      <c r="AI77" s="492"/>
      <c r="AJ77" s="492"/>
      <c r="AK77" s="492"/>
      <c r="AL77" s="492"/>
      <c r="AM77" s="492"/>
      <c r="AN77" s="492"/>
      <c r="AO77" s="492"/>
      <c r="AP77" s="492"/>
      <c r="AQ77" s="492"/>
      <c r="AR77" s="492"/>
    </row>
    <row r="78" spans="1:44" ht="12.75" customHeight="1" x14ac:dyDescent="0.25">
      <c r="A78" s="492"/>
      <c r="B78" s="492"/>
      <c r="C78" s="492"/>
      <c r="D78" s="492"/>
      <c r="E78" s="492"/>
      <c r="F78" s="492"/>
      <c r="G78" s="492"/>
      <c r="H78" s="492"/>
      <c r="I78" s="492"/>
      <c r="J78" s="492"/>
      <c r="K78" s="492"/>
      <c r="L78" s="492"/>
      <c r="M78" s="492"/>
      <c r="N78" s="492"/>
      <c r="O78" s="492"/>
      <c r="P78" s="492"/>
      <c r="AA78" s="492"/>
      <c r="AB78" s="492"/>
      <c r="AC78" s="492"/>
      <c r="AD78" s="492"/>
      <c r="AE78" s="492"/>
      <c r="AF78" s="492"/>
      <c r="AG78" s="492"/>
      <c r="AH78" s="492"/>
      <c r="AI78" s="492"/>
      <c r="AJ78" s="492"/>
      <c r="AK78" s="492"/>
      <c r="AL78" s="492"/>
      <c r="AM78" s="492"/>
      <c r="AN78" s="492"/>
      <c r="AO78" s="492"/>
      <c r="AP78" s="492"/>
      <c r="AQ78" s="492"/>
      <c r="AR78" s="492"/>
    </row>
    <row r="79" spans="1:44" ht="12.75" customHeight="1" x14ac:dyDescent="0.25">
      <c r="A79" s="492"/>
      <c r="B79" s="492"/>
      <c r="C79" s="492"/>
      <c r="D79" s="492"/>
      <c r="E79" s="492"/>
      <c r="F79" s="492"/>
      <c r="G79" s="492"/>
      <c r="H79" s="492"/>
      <c r="I79" s="492"/>
      <c r="J79" s="492"/>
      <c r="K79" s="492"/>
      <c r="L79" s="492"/>
      <c r="M79" s="492"/>
      <c r="N79" s="492"/>
      <c r="O79" s="492"/>
      <c r="P79" s="492"/>
      <c r="AA79" s="492"/>
      <c r="AB79" s="492"/>
      <c r="AC79" s="492"/>
      <c r="AD79" s="492"/>
      <c r="AE79" s="492"/>
      <c r="AF79" s="492"/>
      <c r="AG79" s="492"/>
      <c r="AH79" s="492"/>
      <c r="AI79" s="492"/>
      <c r="AJ79" s="492"/>
      <c r="AK79" s="492"/>
      <c r="AL79" s="492"/>
      <c r="AM79" s="492"/>
      <c r="AN79" s="492"/>
      <c r="AO79" s="492"/>
      <c r="AP79" s="492"/>
      <c r="AQ79" s="492"/>
      <c r="AR79" s="492"/>
    </row>
    <row r="80" spans="1:44" ht="12.75" customHeight="1" x14ac:dyDescent="0.25">
      <c r="A80" s="492"/>
      <c r="B80" s="492"/>
      <c r="C80" s="492"/>
      <c r="D80" s="492"/>
      <c r="E80" s="492"/>
      <c r="F80" s="492"/>
      <c r="G80" s="492"/>
      <c r="H80" s="492"/>
      <c r="I80" s="492"/>
      <c r="J80" s="492"/>
      <c r="K80" s="492"/>
      <c r="L80" s="492"/>
      <c r="M80" s="492"/>
      <c r="N80" s="492"/>
      <c r="O80" s="492"/>
      <c r="P80" s="492"/>
      <c r="AA80" s="492"/>
      <c r="AB80" s="492"/>
      <c r="AC80" s="492"/>
      <c r="AD80" s="492"/>
      <c r="AE80" s="492"/>
      <c r="AF80" s="492"/>
      <c r="AG80" s="492"/>
      <c r="AH80" s="492"/>
      <c r="AI80" s="492"/>
      <c r="AJ80" s="492"/>
      <c r="AK80" s="492"/>
      <c r="AL80" s="492"/>
      <c r="AM80" s="492"/>
      <c r="AN80" s="492"/>
      <c r="AO80" s="492"/>
      <c r="AP80" s="492"/>
      <c r="AQ80" s="492"/>
      <c r="AR80" s="492"/>
    </row>
    <row r="81" spans="1:44" ht="12.75" customHeight="1" x14ac:dyDescent="0.25">
      <c r="A81" s="492"/>
      <c r="B81" s="492"/>
      <c r="C81" s="492"/>
      <c r="D81" s="492"/>
      <c r="E81" s="492"/>
      <c r="F81" s="492"/>
      <c r="G81" s="492"/>
      <c r="H81" s="492"/>
      <c r="I81" s="492"/>
      <c r="J81" s="492"/>
      <c r="K81" s="492"/>
      <c r="L81" s="492"/>
      <c r="M81" s="492"/>
      <c r="N81" s="492"/>
      <c r="O81" s="492"/>
      <c r="P81" s="492"/>
      <c r="AA81" s="492"/>
      <c r="AB81" s="492"/>
      <c r="AC81" s="492"/>
      <c r="AD81" s="492"/>
      <c r="AE81" s="492"/>
      <c r="AF81" s="492"/>
      <c r="AG81" s="492"/>
      <c r="AH81" s="492"/>
      <c r="AI81" s="492"/>
      <c r="AJ81" s="492"/>
      <c r="AK81" s="492"/>
      <c r="AL81" s="492"/>
      <c r="AM81" s="492"/>
      <c r="AN81" s="492"/>
      <c r="AO81" s="492"/>
      <c r="AP81" s="492"/>
      <c r="AQ81" s="492"/>
      <c r="AR81" s="492"/>
    </row>
    <row r="82" spans="1:44" ht="12.75" customHeight="1" x14ac:dyDescent="0.25">
      <c r="A82" s="492"/>
      <c r="B82" s="492"/>
      <c r="C82" s="492"/>
      <c r="D82" s="492"/>
      <c r="E82" s="492"/>
      <c r="F82" s="492"/>
      <c r="G82" s="492"/>
      <c r="H82" s="492"/>
      <c r="I82" s="492"/>
      <c r="J82" s="492"/>
      <c r="K82" s="492"/>
      <c r="L82" s="492"/>
      <c r="M82" s="492"/>
      <c r="N82" s="492"/>
      <c r="O82" s="492"/>
      <c r="P82" s="492"/>
      <c r="AA82" s="492"/>
      <c r="AB82" s="492"/>
      <c r="AC82" s="492"/>
      <c r="AD82" s="492"/>
      <c r="AE82" s="492"/>
      <c r="AF82" s="492"/>
      <c r="AG82" s="492"/>
      <c r="AH82" s="492"/>
      <c r="AI82" s="492"/>
      <c r="AJ82" s="492"/>
      <c r="AK82" s="492"/>
      <c r="AL82" s="492"/>
      <c r="AM82" s="492"/>
      <c r="AN82" s="492"/>
      <c r="AO82" s="492"/>
      <c r="AP82" s="492"/>
      <c r="AQ82" s="492"/>
      <c r="AR82" s="492"/>
    </row>
    <row r="83" spans="1:44" ht="12.75" customHeight="1" x14ac:dyDescent="0.25">
      <c r="A83" s="492"/>
      <c r="B83" s="492"/>
      <c r="C83" s="492"/>
      <c r="D83" s="492"/>
      <c r="E83" s="492"/>
      <c r="F83" s="492"/>
      <c r="G83" s="492"/>
      <c r="H83" s="492"/>
      <c r="I83" s="492"/>
      <c r="J83" s="492"/>
      <c r="K83" s="492"/>
      <c r="L83" s="492"/>
      <c r="M83" s="492"/>
      <c r="N83" s="492"/>
      <c r="O83" s="492"/>
      <c r="P83" s="492"/>
      <c r="AA83" s="492"/>
      <c r="AB83" s="492"/>
      <c r="AC83" s="492"/>
      <c r="AD83" s="492"/>
      <c r="AE83" s="492"/>
      <c r="AF83" s="492"/>
      <c r="AG83" s="492"/>
      <c r="AH83" s="492"/>
      <c r="AI83" s="492"/>
      <c r="AJ83" s="492"/>
      <c r="AK83" s="492"/>
      <c r="AL83" s="492"/>
      <c r="AM83" s="492"/>
      <c r="AN83" s="492"/>
      <c r="AO83" s="492"/>
      <c r="AP83" s="492"/>
      <c r="AQ83" s="492"/>
      <c r="AR83" s="492"/>
    </row>
    <row r="84" spans="1:44" ht="12.75" customHeight="1" x14ac:dyDescent="0.25">
      <c r="A84" s="492"/>
      <c r="B84" s="492"/>
      <c r="C84" s="492"/>
      <c r="D84" s="492"/>
      <c r="E84" s="492"/>
      <c r="F84" s="492"/>
      <c r="G84" s="492"/>
      <c r="H84" s="492"/>
      <c r="I84" s="492"/>
      <c r="J84" s="492"/>
      <c r="K84" s="492"/>
      <c r="L84" s="492"/>
      <c r="M84" s="492"/>
      <c r="N84" s="492"/>
      <c r="O84" s="492"/>
      <c r="P84" s="492"/>
      <c r="AA84" s="492"/>
      <c r="AB84" s="492"/>
      <c r="AC84" s="492"/>
      <c r="AD84" s="492"/>
      <c r="AE84" s="492"/>
      <c r="AF84" s="492"/>
      <c r="AG84" s="492"/>
      <c r="AH84" s="492"/>
      <c r="AI84" s="492"/>
      <c r="AJ84" s="492"/>
      <c r="AK84" s="492"/>
      <c r="AL84" s="492"/>
      <c r="AM84" s="492"/>
      <c r="AN84" s="492"/>
      <c r="AO84" s="492"/>
      <c r="AP84" s="492"/>
      <c r="AQ84" s="492"/>
      <c r="AR84" s="492"/>
    </row>
    <row r="85" spans="1:44" ht="12.75" customHeight="1" x14ac:dyDescent="0.25">
      <c r="A85" s="492"/>
      <c r="B85" s="492"/>
      <c r="C85" s="492"/>
      <c r="D85" s="492"/>
      <c r="E85" s="492"/>
      <c r="F85" s="492"/>
      <c r="G85" s="492"/>
      <c r="H85" s="492"/>
      <c r="I85" s="492"/>
      <c r="J85" s="492"/>
      <c r="K85" s="492"/>
      <c r="L85" s="492"/>
      <c r="M85" s="492"/>
      <c r="N85" s="492"/>
      <c r="O85" s="492"/>
      <c r="P85" s="492"/>
      <c r="AA85" s="492"/>
      <c r="AB85" s="492"/>
      <c r="AC85" s="492"/>
      <c r="AD85" s="492"/>
      <c r="AE85" s="492"/>
      <c r="AF85" s="492"/>
      <c r="AG85" s="492"/>
      <c r="AH85" s="492"/>
      <c r="AI85" s="492"/>
      <c r="AJ85" s="492"/>
      <c r="AK85" s="492"/>
      <c r="AL85" s="492"/>
      <c r="AM85" s="492"/>
      <c r="AN85" s="492"/>
      <c r="AO85" s="492"/>
      <c r="AP85" s="492"/>
      <c r="AQ85" s="492"/>
      <c r="AR85" s="492"/>
    </row>
    <row r="86" spans="1:44" ht="12.75" customHeight="1" x14ac:dyDescent="0.25">
      <c r="A86" s="492"/>
      <c r="B86" s="492"/>
      <c r="C86" s="492"/>
      <c r="D86" s="492"/>
      <c r="E86" s="492"/>
      <c r="F86" s="492"/>
      <c r="G86" s="492"/>
      <c r="H86" s="492"/>
      <c r="I86" s="492"/>
      <c r="J86" s="492"/>
      <c r="K86" s="492"/>
      <c r="L86" s="492"/>
      <c r="M86" s="492"/>
      <c r="N86" s="492"/>
      <c r="O86" s="492"/>
      <c r="P86" s="492"/>
      <c r="AA86" s="492"/>
      <c r="AB86" s="492"/>
      <c r="AC86" s="492"/>
      <c r="AD86" s="492"/>
      <c r="AE86" s="492"/>
      <c r="AF86" s="492"/>
      <c r="AG86" s="492"/>
      <c r="AH86" s="492"/>
      <c r="AI86" s="492"/>
      <c r="AJ86" s="492"/>
      <c r="AK86" s="492"/>
      <c r="AL86" s="492"/>
      <c r="AM86" s="492"/>
      <c r="AN86" s="492"/>
      <c r="AO86" s="492"/>
      <c r="AP86" s="492"/>
      <c r="AQ86" s="492"/>
      <c r="AR86" s="492"/>
    </row>
    <row r="87" spans="1:44" ht="12.75" customHeight="1" x14ac:dyDescent="0.25">
      <c r="A87" s="492"/>
      <c r="B87" s="492"/>
      <c r="C87" s="492"/>
      <c r="D87" s="492"/>
      <c r="E87" s="492"/>
      <c r="F87" s="492"/>
      <c r="G87" s="492"/>
      <c r="H87" s="492"/>
      <c r="I87" s="492"/>
      <c r="J87" s="492"/>
      <c r="K87" s="492"/>
      <c r="L87" s="492"/>
      <c r="M87" s="492"/>
      <c r="N87" s="492"/>
      <c r="O87" s="492"/>
      <c r="P87" s="492"/>
      <c r="AA87" s="492"/>
      <c r="AB87" s="492"/>
      <c r="AC87" s="492"/>
      <c r="AD87" s="492"/>
      <c r="AE87" s="492"/>
      <c r="AF87" s="492"/>
      <c r="AG87" s="492"/>
      <c r="AH87" s="492"/>
      <c r="AI87" s="492"/>
      <c r="AJ87" s="492"/>
      <c r="AK87" s="492"/>
      <c r="AL87" s="492"/>
      <c r="AM87" s="492"/>
      <c r="AN87" s="492"/>
      <c r="AO87" s="492"/>
      <c r="AP87" s="492"/>
      <c r="AQ87" s="492"/>
      <c r="AR87" s="492"/>
    </row>
    <row r="88" spans="1:44" ht="12.75" customHeight="1" x14ac:dyDescent="0.25">
      <c r="A88" s="492"/>
      <c r="B88" s="492"/>
      <c r="C88" s="492"/>
      <c r="D88" s="492"/>
      <c r="E88" s="492"/>
      <c r="F88" s="492"/>
      <c r="G88" s="492"/>
      <c r="H88" s="492"/>
      <c r="I88" s="492"/>
      <c r="J88" s="492"/>
      <c r="K88" s="492"/>
      <c r="L88" s="492"/>
      <c r="M88" s="492"/>
      <c r="N88" s="492"/>
      <c r="O88" s="492"/>
      <c r="P88" s="492"/>
      <c r="AA88" s="492"/>
      <c r="AB88" s="492"/>
      <c r="AC88" s="492"/>
      <c r="AD88" s="492"/>
      <c r="AE88" s="492"/>
      <c r="AF88" s="492"/>
      <c r="AG88" s="492"/>
      <c r="AH88" s="492"/>
      <c r="AI88" s="492"/>
      <c r="AJ88" s="492"/>
      <c r="AK88" s="492"/>
      <c r="AL88" s="492"/>
      <c r="AM88" s="492"/>
      <c r="AN88" s="492"/>
      <c r="AO88" s="492"/>
      <c r="AP88" s="492"/>
      <c r="AQ88" s="492"/>
      <c r="AR88" s="492"/>
    </row>
    <row r="89" spans="1:44" ht="12.75" customHeight="1" x14ac:dyDescent="0.25">
      <c r="A89" s="492"/>
      <c r="B89" s="492"/>
      <c r="C89" s="492"/>
      <c r="D89" s="492"/>
      <c r="E89" s="492"/>
      <c r="F89" s="492"/>
      <c r="G89" s="492"/>
      <c r="H89" s="492"/>
      <c r="I89" s="492"/>
      <c r="J89" s="492"/>
      <c r="K89" s="492"/>
      <c r="L89" s="492"/>
      <c r="M89" s="492"/>
      <c r="N89" s="492"/>
      <c r="O89" s="492"/>
      <c r="P89" s="492"/>
      <c r="AA89" s="492"/>
      <c r="AB89" s="492"/>
      <c r="AC89" s="492"/>
      <c r="AD89" s="492"/>
      <c r="AE89" s="492"/>
      <c r="AF89" s="492"/>
      <c r="AG89" s="492"/>
      <c r="AH89" s="492"/>
      <c r="AI89" s="492"/>
      <c r="AJ89" s="492"/>
      <c r="AK89" s="492"/>
      <c r="AL89" s="492"/>
      <c r="AM89" s="492"/>
      <c r="AN89" s="492"/>
      <c r="AO89" s="492"/>
      <c r="AP89" s="492"/>
      <c r="AQ89" s="492"/>
      <c r="AR89" s="492"/>
    </row>
    <row r="90" spans="1:44" ht="12.75" customHeight="1" x14ac:dyDescent="0.25">
      <c r="A90" s="492"/>
      <c r="B90" s="492"/>
      <c r="C90" s="492"/>
      <c r="D90" s="492"/>
      <c r="E90" s="492"/>
      <c r="F90" s="492"/>
      <c r="G90" s="492"/>
      <c r="H90" s="492"/>
      <c r="I90" s="492"/>
      <c r="J90" s="492"/>
      <c r="K90" s="492"/>
      <c r="L90" s="492"/>
      <c r="M90" s="492"/>
      <c r="N90" s="492"/>
      <c r="O90" s="492"/>
      <c r="P90" s="492"/>
      <c r="AA90" s="492"/>
      <c r="AB90" s="492"/>
      <c r="AC90" s="492"/>
      <c r="AD90" s="492"/>
      <c r="AE90" s="492"/>
      <c r="AF90" s="492"/>
      <c r="AG90" s="492"/>
      <c r="AH90" s="492"/>
      <c r="AI90" s="492"/>
      <c r="AJ90" s="492"/>
      <c r="AK90" s="492"/>
      <c r="AL90" s="492"/>
      <c r="AM90" s="492"/>
      <c r="AN90" s="492"/>
      <c r="AO90" s="492"/>
      <c r="AP90" s="492"/>
      <c r="AQ90" s="492"/>
      <c r="AR90" s="492"/>
    </row>
    <row r="91" spans="1:44" ht="12.75" customHeight="1" x14ac:dyDescent="0.25">
      <c r="A91" s="492"/>
      <c r="B91" s="492"/>
      <c r="C91" s="492"/>
      <c r="D91" s="492"/>
      <c r="E91" s="492"/>
      <c r="F91" s="492"/>
      <c r="G91" s="492"/>
      <c r="H91" s="492"/>
      <c r="I91" s="492"/>
      <c r="J91" s="492"/>
      <c r="K91" s="492"/>
      <c r="L91" s="492"/>
      <c r="M91" s="492"/>
      <c r="N91" s="492"/>
      <c r="O91" s="492"/>
      <c r="P91" s="492"/>
      <c r="AA91" s="492"/>
      <c r="AB91" s="492"/>
      <c r="AC91" s="492"/>
      <c r="AD91" s="492"/>
      <c r="AE91" s="492"/>
      <c r="AF91" s="492"/>
      <c r="AG91" s="492"/>
      <c r="AH91" s="492"/>
      <c r="AI91" s="492"/>
      <c r="AJ91" s="492"/>
      <c r="AK91" s="492"/>
      <c r="AL91" s="492"/>
      <c r="AM91" s="492"/>
      <c r="AN91" s="492"/>
      <c r="AO91" s="492"/>
      <c r="AP91" s="492"/>
      <c r="AQ91" s="492"/>
      <c r="AR91" s="492"/>
    </row>
    <row r="92" spans="1:44" ht="12.75" customHeight="1" x14ac:dyDescent="0.25">
      <c r="A92" s="492"/>
      <c r="B92" s="492"/>
      <c r="C92" s="492"/>
      <c r="D92" s="492"/>
      <c r="E92" s="492"/>
      <c r="F92" s="492"/>
      <c r="G92" s="492"/>
      <c r="H92" s="492"/>
      <c r="I92" s="492"/>
      <c r="J92" s="492"/>
      <c r="K92" s="492"/>
      <c r="L92" s="492"/>
      <c r="M92" s="492"/>
      <c r="N92" s="492"/>
      <c r="O92" s="492"/>
      <c r="P92" s="492"/>
      <c r="AA92" s="492"/>
      <c r="AB92" s="492"/>
      <c r="AC92" s="492"/>
      <c r="AD92" s="492"/>
      <c r="AE92" s="492"/>
      <c r="AF92" s="492"/>
      <c r="AG92" s="492"/>
      <c r="AH92" s="492"/>
      <c r="AI92" s="492"/>
      <c r="AJ92" s="492"/>
      <c r="AK92" s="492"/>
      <c r="AL92" s="492"/>
      <c r="AM92" s="492"/>
      <c r="AN92" s="492"/>
      <c r="AO92" s="492"/>
      <c r="AP92" s="492"/>
      <c r="AQ92" s="492"/>
      <c r="AR92" s="492"/>
    </row>
    <row r="93" spans="1:44" ht="12.75" customHeight="1" x14ac:dyDescent="0.25">
      <c r="A93" s="492"/>
      <c r="B93" s="492"/>
      <c r="C93" s="492"/>
      <c r="D93" s="492"/>
      <c r="E93" s="492"/>
      <c r="F93" s="492"/>
      <c r="G93" s="492"/>
      <c r="H93" s="492"/>
      <c r="I93" s="492"/>
      <c r="J93" s="492"/>
      <c r="K93" s="492"/>
      <c r="L93" s="492"/>
      <c r="M93" s="492"/>
      <c r="N93" s="492"/>
      <c r="O93" s="492"/>
      <c r="P93" s="492"/>
      <c r="AA93" s="492"/>
      <c r="AB93" s="492"/>
      <c r="AC93" s="492"/>
      <c r="AD93" s="492"/>
      <c r="AE93" s="492"/>
      <c r="AF93" s="492"/>
      <c r="AG93" s="492"/>
      <c r="AH93" s="492"/>
      <c r="AI93" s="492"/>
      <c r="AJ93" s="492"/>
      <c r="AK93" s="492"/>
      <c r="AL93" s="492"/>
      <c r="AM93" s="492"/>
      <c r="AN93" s="492"/>
      <c r="AO93" s="492"/>
      <c r="AP93" s="492"/>
      <c r="AQ93" s="492"/>
      <c r="AR93" s="492"/>
    </row>
    <row r="94" spans="1:44" ht="12.75" customHeight="1" x14ac:dyDescent="0.25">
      <c r="A94" s="492"/>
      <c r="B94" s="492"/>
      <c r="C94" s="492"/>
      <c r="D94" s="492"/>
      <c r="E94" s="492"/>
      <c r="F94" s="492"/>
      <c r="G94" s="492"/>
      <c r="H94" s="492"/>
      <c r="I94" s="492"/>
      <c r="J94" s="492"/>
      <c r="K94" s="492"/>
      <c r="L94" s="492"/>
      <c r="M94" s="492"/>
      <c r="N94" s="492"/>
      <c r="O94" s="492"/>
      <c r="P94" s="492"/>
      <c r="AA94" s="492"/>
      <c r="AB94" s="492"/>
      <c r="AC94" s="492"/>
      <c r="AD94" s="492"/>
      <c r="AE94" s="492"/>
      <c r="AF94" s="492"/>
      <c r="AG94" s="492"/>
      <c r="AH94" s="492"/>
      <c r="AI94" s="492"/>
      <c r="AJ94" s="492"/>
      <c r="AK94" s="492"/>
      <c r="AL94" s="492"/>
      <c r="AM94" s="492"/>
      <c r="AN94" s="492"/>
      <c r="AO94" s="492"/>
      <c r="AP94" s="492"/>
      <c r="AQ94" s="492"/>
      <c r="AR94" s="492"/>
    </row>
    <row r="95" spans="1:44" ht="12.75" customHeight="1" x14ac:dyDescent="0.25">
      <c r="A95" s="492"/>
      <c r="B95" s="492"/>
      <c r="C95" s="492"/>
      <c r="D95" s="492"/>
      <c r="E95" s="492"/>
      <c r="F95" s="492"/>
      <c r="G95" s="492"/>
      <c r="H95" s="492"/>
      <c r="I95" s="492"/>
      <c r="J95" s="492"/>
      <c r="K95" s="492"/>
      <c r="L95" s="492"/>
      <c r="M95" s="492"/>
      <c r="N95" s="492"/>
      <c r="O95" s="492"/>
      <c r="P95" s="492"/>
      <c r="AA95" s="492"/>
      <c r="AB95" s="492"/>
      <c r="AC95" s="492"/>
      <c r="AD95" s="492"/>
      <c r="AE95" s="492"/>
      <c r="AF95" s="492"/>
      <c r="AG95" s="492"/>
      <c r="AH95" s="492"/>
      <c r="AI95" s="492"/>
      <c r="AJ95" s="492"/>
      <c r="AK95" s="492"/>
      <c r="AL95" s="492"/>
      <c r="AM95" s="492"/>
      <c r="AN95" s="492"/>
      <c r="AO95" s="492"/>
      <c r="AP95" s="492"/>
      <c r="AQ95" s="492"/>
      <c r="AR95" s="492"/>
    </row>
    <row r="96" spans="1:44" ht="12.75" customHeight="1" x14ac:dyDescent="0.25">
      <c r="A96" s="492"/>
      <c r="B96" s="492"/>
      <c r="C96" s="492"/>
      <c r="D96" s="492"/>
      <c r="E96" s="492"/>
      <c r="F96" s="492"/>
      <c r="G96" s="492"/>
      <c r="H96" s="492"/>
      <c r="I96" s="492"/>
      <c r="J96" s="492"/>
      <c r="K96" s="492"/>
      <c r="L96" s="492"/>
      <c r="M96" s="492"/>
      <c r="N96" s="492"/>
      <c r="O96" s="492"/>
      <c r="P96" s="492"/>
      <c r="AA96" s="492"/>
      <c r="AB96" s="492"/>
      <c r="AC96" s="492"/>
      <c r="AD96" s="492"/>
      <c r="AE96" s="492"/>
      <c r="AF96" s="492"/>
      <c r="AG96" s="492"/>
      <c r="AH96" s="492"/>
      <c r="AI96" s="492"/>
      <c r="AJ96" s="492"/>
      <c r="AK96" s="492"/>
      <c r="AL96" s="492"/>
      <c r="AM96" s="492"/>
      <c r="AN96" s="492"/>
      <c r="AO96" s="492"/>
      <c r="AP96" s="492"/>
      <c r="AQ96" s="492"/>
      <c r="AR96" s="492"/>
    </row>
    <row r="97" spans="1:44" ht="12.75" customHeight="1" x14ac:dyDescent="0.25">
      <c r="A97" s="492"/>
      <c r="B97" s="492"/>
      <c r="C97" s="492"/>
      <c r="D97" s="492"/>
      <c r="E97" s="492"/>
      <c r="F97" s="492"/>
      <c r="G97" s="492"/>
      <c r="H97" s="492"/>
      <c r="I97" s="492"/>
      <c r="J97" s="492"/>
      <c r="K97" s="492"/>
      <c r="L97" s="492"/>
      <c r="M97" s="492"/>
      <c r="N97" s="492"/>
      <c r="O97" s="492"/>
      <c r="P97" s="492"/>
      <c r="AA97" s="492"/>
      <c r="AB97" s="492"/>
      <c r="AC97" s="492"/>
      <c r="AD97" s="492"/>
      <c r="AE97" s="492"/>
      <c r="AF97" s="492"/>
      <c r="AG97" s="492"/>
      <c r="AH97" s="492"/>
      <c r="AI97" s="492"/>
      <c r="AJ97" s="492"/>
      <c r="AK97" s="492"/>
      <c r="AL97" s="492"/>
      <c r="AM97" s="492"/>
      <c r="AN97" s="492"/>
      <c r="AO97" s="492"/>
      <c r="AP97" s="492"/>
      <c r="AQ97" s="492"/>
      <c r="AR97" s="492"/>
    </row>
    <row r="98" spans="1:44" ht="12.75" customHeight="1" x14ac:dyDescent="0.25">
      <c r="A98" s="492"/>
      <c r="B98" s="492"/>
      <c r="C98" s="492"/>
      <c r="D98" s="492"/>
      <c r="E98" s="492"/>
      <c r="F98" s="492"/>
      <c r="G98" s="492"/>
      <c r="H98" s="492"/>
      <c r="I98" s="492"/>
      <c r="J98" s="492"/>
      <c r="K98" s="492"/>
      <c r="L98" s="492"/>
      <c r="M98" s="492"/>
      <c r="N98" s="492"/>
      <c r="O98" s="492"/>
      <c r="P98" s="492"/>
      <c r="AA98" s="492"/>
      <c r="AB98" s="492"/>
      <c r="AC98" s="492"/>
      <c r="AD98" s="492"/>
      <c r="AE98" s="492"/>
      <c r="AF98" s="492"/>
      <c r="AG98" s="492"/>
      <c r="AH98" s="492"/>
      <c r="AI98" s="492"/>
      <c r="AJ98" s="492"/>
      <c r="AK98" s="492"/>
      <c r="AL98" s="492"/>
      <c r="AM98" s="492"/>
      <c r="AN98" s="492"/>
      <c r="AO98" s="492"/>
      <c r="AP98" s="492"/>
      <c r="AQ98" s="492"/>
      <c r="AR98" s="492"/>
    </row>
    <row r="99" spans="1:44" ht="12.75" customHeight="1" x14ac:dyDescent="0.25">
      <c r="A99" s="492"/>
      <c r="B99" s="492"/>
      <c r="C99" s="492"/>
      <c r="D99" s="492"/>
      <c r="E99" s="492"/>
      <c r="F99" s="492"/>
      <c r="G99" s="492"/>
      <c r="H99" s="492"/>
      <c r="I99" s="492"/>
      <c r="J99" s="492"/>
      <c r="K99" s="492"/>
      <c r="L99" s="492"/>
      <c r="M99" s="492"/>
      <c r="N99" s="492"/>
      <c r="O99" s="492"/>
      <c r="P99" s="492"/>
      <c r="AA99" s="492"/>
      <c r="AB99" s="492"/>
      <c r="AC99" s="492"/>
      <c r="AD99" s="492"/>
      <c r="AE99" s="492"/>
      <c r="AF99" s="492"/>
      <c r="AG99" s="492"/>
      <c r="AH99" s="492"/>
      <c r="AI99" s="492"/>
      <c r="AJ99" s="492"/>
      <c r="AK99" s="492"/>
      <c r="AL99" s="492"/>
      <c r="AM99" s="492"/>
      <c r="AN99" s="492"/>
      <c r="AO99" s="492"/>
      <c r="AP99" s="492"/>
      <c r="AQ99" s="492"/>
      <c r="AR99" s="492"/>
    </row>
    <row r="100" spans="1:44" ht="12.75" customHeight="1" x14ac:dyDescent="0.25">
      <c r="A100" s="492"/>
      <c r="B100" s="492"/>
      <c r="C100" s="492"/>
      <c r="D100" s="492"/>
      <c r="E100" s="492"/>
      <c r="F100" s="492"/>
      <c r="G100" s="492"/>
      <c r="H100" s="492"/>
      <c r="I100" s="492"/>
      <c r="J100" s="492"/>
      <c r="K100" s="492"/>
      <c r="L100" s="492"/>
      <c r="M100" s="492"/>
      <c r="N100" s="492"/>
      <c r="O100" s="492"/>
      <c r="P100" s="492"/>
      <c r="AA100" s="492"/>
      <c r="AB100" s="492"/>
      <c r="AC100" s="492"/>
      <c r="AD100" s="492"/>
      <c r="AE100" s="492"/>
      <c r="AF100" s="492"/>
      <c r="AG100" s="492"/>
      <c r="AH100" s="492"/>
      <c r="AI100" s="492"/>
      <c r="AJ100" s="492"/>
      <c r="AK100" s="492"/>
      <c r="AL100" s="492"/>
      <c r="AM100" s="492"/>
      <c r="AN100" s="492"/>
      <c r="AO100" s="492"/>
      <c r="AP100" s="492"/>
      <c r="AQ100" s="492"/>
      <c r="AR100" s="492"/>
    </row>
    <row r="101" spans="1:44" ht="12.75" customHeight="1" x14ac:dyDescent="0.25">
      <c r="A101" s="492"/>
      <c r="B101" s="492"/>
      <c r="C101" s="492"/>
      <c r="D101" s="492"/>
      <c r="E101" s="492"/>
      <c r="F101" s="492"/>
      <c r="G101" s="492"/>
      <c r="H101" s="492"/>
      <c r="I101" s="492"/>
      <c r="J101" s="492"/>
      <c r="K101" s="492"/>
      <c r="L101" s="492"/>
      <c r="M101" s="492"/>
      <c r="N101" s="492"/>
      <c r="O101" s="492"/>
      <c r="P101" s="492"/>
      <c r="AA101" s="492"/>
      <c r="AB101" s="492"/>
      <c r="AC101" s="492"/>
      <c r="AD101" s="492"/>
      <c r="AE101" s="492"/>
      <c r="AF101" s="492"/>
      <c r="AG101" s="492"/>
      <c r="AH101" s="492"/>
      <c r="AI101" s="492"/>
      <c r="AJ101" s="492"/>
      <c r="AK101" s="492"/>
      <c r="AL101" s="492"/>
      <c r="AM101" s="492"/>
      <c r="AN101" s="492"/>
      <c r="AO101" s="492"/>
      <c r="AP101" s="492"/>
      <c r="AQ101" s="492"/>
      <c r="AR101" s="492"/>
    </row>
    <row r="102" spans="1:44" ht="12.75" customHeight="1" x14ac:dyDescent="0.25">
      <c r="A102" s="492"/>
      <c r="B102" s="492"/>
      <c r="C102" s="492"/>
      <c r="D102" s="492"/>
      <c r="E102" s="492"/>
      <c r="F102" s="492"/>
      <c r="G102" s="492"/>
      <c r="H102" s="492"/>
      <c r="I102" s="492"/>
      <c r="J102" s="492"/>
      <c r="K102" s="492"/>
      <c r="L102" s="492"/>
      <c r="M102" s="492"/>
      <c r="N102" s="492"/>
      <c r="O102" s="492"/>
      <c r="P102" s="492"/>
      <c r="AA102" s="492"/>
      <c r="AB102" s="492"/>
      <c r="AC102" s="492"/>
      <c r="AD102" s="492"/>
      <c r="AE102" s="492"/>
      <c r="AF102" s="492"/>
      <c r="AG102" s="492"/>
      <c r="AH102" s="492"/>
      <c r="AI102" s="492"/>
      <c r="AJ102" s="492"/>
      <c r="AK102" s="492"/>
      <c r="AL102" s="492"/>
      <c r="AM102" s="492"/>
      <c r="AN102" s="492"/>
      <c r="AO102" s="492"/>
      <c r="AP102" s="492"/>
      <c r="AQ102" s="492"/>
      <c r="AR102" s="492"/>
    </row>
    <row r="103" spans="1:44" ht="12.75" customHeight="1" x14ac:dyDescent="0.25">
      <c r="A103" s="492"/>
      <c r="B103" s="492"/>
      <c r="C103" s="492"/>
      <c r="D103" s="492"/>
      <c r="E103" s="492"/>
      <c r="F103" s="492"/>
      <c r="G103" s="492"/>
      <c r="H103" s="492"/>
      <c r="I103" s="492"/>
      <c r="J103" s="492"/>
      <c r="K103" s="492"/>
      <c r="L103" s="492"/>
      <c r="M103" s="492"/>
      <c r="N103" s="492"/>
      <c r="O103" s="492"/>
      <c r="P103" s="492"/>
      <c r="AA103" s="492"/>
      <c r="AB103" s="492"/>
      <c r="AC103" s="492"/>
      <c r="AD103" s="492"/>
      <c r="AE103" s="492"/>
      <c r="AF103" s="492"/>
      <c r="AG103" s="492"/>
      <c r="AH103" s="492"/>
      <c r="AI103" s="492"/>
      <c r="AJ103" s="492"/>
      <c r="AK103" s="492"/>
      <c r="AL103" s="492"/>
      <c r="AM103" s="492"/>
      <c r="AN103" s="492"/>
      <c r="AO103" s="492"/>
      <c r="AP103" s="492"/>
      <c r="AQ103" s="492"/>
      <c r="AR103" s="492"/>
    </row>
    <row r="104" spans="1:44" ht="12.75" customHeight="1" x14ac:dyDescent="0.25">
      <c r="A104" s="492"/>
      <c r="B104" s="492"/>
      <c r="C104" s="492"/>
      <c r="D104" s="492"/>
      <c r="E104" s="492"/>
      <c r="F104" s="492"/>
      <c r="G104" s="492"/>
      <c r="H104" s="492"/>
      <c r="I104" s="492"/>
      <c r="J104" s="492"/>
      <c r="K104" s="492"/>
      <c r="L104" s="492"/>
      <c r="M104" s="492"/>
      <c r="N104" s="492"/>
      <c r="O104" s="492"/>
      <c r="P104" s="492"/>
      <c r="AA104" s="492"/>
      <c r="AB104" s="492"/>
      <c r="AC104" s="492"/>
      <c r="AD104" s="492"/>
      <c r="AE104" s="492"/>
      <c r="AF104" s="492"/>
      <c r="AG104" s="492"/>
      <c r="AH104" s="492"/>
      <c r="AI104" s="492"/>
      <c r="AJ104" s="492"/>
      <c r="AK104" s="492"/>
      <c r="AL104" s="492"/>
      <c r="AM104" s="492"/>
      <c r="AN104" s="492"/>
      <c r="AO104" s="492"/>
      <c r="AP104" s="492"/>
      <c r="AQ104" s="492"/>
      <c r="AR104" s="492"/>
    </row>
    <row r="105" spans="1:44" ht="12.75" customHeight="1" x14ac:dyDescent="0.25">
      <c r="A105" s="492"/>
      <c r="B105" s="492"/>
      <c r="C105" s="492"/>
      <c r="D105" s="492"/>
      <c r="E105" s="492"/>
      <c r="F105" s="492"/>
      <c r="G105" s="492"/>
      <c r="H105" s="492"/>
      <c r="I105" s="492"/>
      <c r="J105" s="492"/>
      <c r="K105" s="492"/>
      <c r="L105" s="492"/>
      <c r="M105" s="492"/>
      <c r="N105" s="492"/>
      <c r="O105" s="492"/>
      <c r="P105" s="492"/>
      <c r="AA105" s="492"/>
      <c r="AB105" s="492"/>
      <c r="AC105" s="492"/>
      <c r="AD105" s="492"/>
      <c r="AE105" s="492"/>
      <c r="AF105" s="492"/>
      <c r="AG105" s="492"/>
      <c r="AH105" s="492"/>
      <c r="AI105" s="492"/>
      <c r="AJ105" s="492"/>
      <c r="AK105" s="492"/>
      <c r="AL105" s="492"/>
      <c r="AM105" s="492"/>
      <c r="AN105" s="492"/>
      <c r="AO105" s="492"/>
      <c r="AP105" s="492"/>
      <c r="AQ105" s="492"/>
      <c r="AR105" s="492"/>
    </row>
    <row r="106" spans="1:44" ht="12.75" customHeight="1" x14ac:dyDescent="0.25">
      <c r="A106" s="492"/>
      <c r="B106" s="492"/>
      <c r="C106" s="492"/>
      <c r="D106" s="492"/>
      <c r="E106" s="492"/>
      <c r="F106" s="492"/>
      <c r="G106" s="492"/>
      <c r="H106" s="492"/>
      <c r="I106" s="492"/>
      <c r="J106" s="492"/>
      <c r="K106" s="492"/>
      <c r="L106" s="492"/>
      <c r="M106" s="492"/>
      <c r="N106" s="492"/>
      <c r="O106" s="492"/>
      <c r="P106" s="492"/>
      <c r="AA106" s="492"/>
      <c r="AB106" s="492"/>
      <c r="AC106" s="492"/>
      <c r="AD106" s="492"/>
      <c r="AE106" s="492"/>
      <c r="AF106" s="492"/>
      <c r="AG106" s="492"/>
      <c r="AH106" s="492"/>
      <c r="AI106" s="492"/>
      <c r="AJ106" s="492"/>
      <c r="AK106" s="492"/>
      <c r="AL106" s="492"/>
      <c r="AM106" s="492"/>
      <c r="AN106" s="492"/>
      <c r="AO106" s="492"/>
      <c r="AP106" s="492"/>
      <c r="AQ106" s="492"/>
      <c r="AR106" s="492"/>
    </row>
    <row r="107" spans="1:44" ht="12.75" customHeight="1" x14ac:dyDescent="0.25">
      <c r="A107" s="492"/>
      <c r="B107" s="492"/>
      <c r="C107" s="492"/>
      <c r="D107" s="492"/>
      <c r="E107" s="492"/>
      <c r="F107" s="492"/>
      <c r="G107" s="492"/>
      <c r="H107" s="492"/>
      <c r="I107" s="492"/>
      <c r="J107" s="492"/>
      <c r="K107" s="492"/>
      <c r="L107" s="492"/>
      <c r="M107" s="492"/>
      <c r="N107" s="492"/>
      <c r="O107" s="492"/>
      <c r="P107" s="492"/>
      <c r="AA107" s="492"/>
      <c r="AB107" s="492"/>
      <c r="AC107" s="492"/>
      <c r="AD107" s="492"/>
      <c r="AE107" s="492"/>
      <c r="AF107" s="492"/>
      <c r="AG107" s="492"/>
      <c r="AH107" s="492"/>
      <c r="AI107" s="492"/>
      <c r="AJ107" s="492"/>
      <c r="AK107" s="492"/>
      <c r="AL107" s="492"/>
      <c r="AM107" s="492"/>
      <c r="AN107" s="492"/>
      <c r="AO107" s="492"/>
      <c r="AP107" s="492"/>
      <c r="AQ107" s="492"/>
      <c r="AR107" s="492"/>
    </row>
    <row r="108" spans="1:44" ht="12.75" customHeight="1" x14ac:dyDescent="0.25">
      <c r="A108" s="492"/>
      <c r="B108" s="492"/>
      <c r="C108" s="492"/>
      <c r="D108" s="492"/>
      <c r="E108" s="492"/>
      <c r="F108" s="492"/>
      <c r="G108" s="492"/>
      <c r="H108" s="492"/>
      <c r="I108" s="492"/>
      <c r="J108" s="492"/>
      <c r="K108" s="492"/>
      <c r="L108" s="492"/>
      <c r="M108" s="492"/>
      <c r="N108" s="492"/>
      <c r="O108" s="492"/>
      <c r="P108" s="492"/>
      <c r="AA108" s="492"/>
      <c r="AB108" s="492"/>
      <c r="AC108" s="492"/>
      <c r="AD108" s="492"/>
      <c r="AE108" s="492"/>
      <c r="AF108" s="492"/>
      <c r="AG108" s="492"/>
      <c r="AH108" s="492"/>
      <c r="AI108" s="492"/>
      <c r="AJ108" s="492"/>
      <c r="AK108" s="492"/>
      <c r="AL108" s="492"/>
      <c r="AM108" s="492"/>
      <c r="AN108" s="492"/>
      <c r="AO108" s="492"/>
      <c r="AP108" s="492"/>
      <c r="AQ108" s="492"/>
      <c r="AR108" s="492"/>
    </row>
    <row r="109" spans="1:44" ht="12.75" customHeight="1" x14ac:dyDescent="0.25">
      <c r="A109" s="492"/>
      <c r="B109" s="492"/>
      <c r="C109" s="492"/>
      <c r="D109" s="492"/>
      <c r="E109" s="492"/>
      <c r="F109" s="492"/>
      <c r="G109" s="492"/>
      <c r="H109" s="492"/>
      <c r="I109" s="492"/>
      <c r="J109" s="492"/>
      <c r="K109" s="492"/>
      <c r="L109" s="492"/>
      <c r="M109" s="492"/>
      <c r="N109" s="492"/>
      <c r="O109" s="492"/>
      <c r="P109" s="492"/>
      <c r="AA109" s="492"/>
      <c r="AB109" s="492"/>
      <c r="AC109" s="492"/>
      <c r="AD109" s="492"/>
      <c r="AE109" s="492"/>
      <c r="AF109" s="492"/>
      <c r="AG109" s="492"/>
      <c r="AH109" s="492"/>
      <c r="AI109" s="492"/>
      <c r="AJ109" s="492"/>
      <c r="AK109" s="492"/>
      <c r="AL109" s="492"/>
      <c r="AM109" s="492"/>
      <c r="AN109" s="492"/>
      <c r="AO109" s="492"/>
      <c r="AP109" s="492"/>
      <c r="AQ109" s="492"/>
      <c r="AR109" s="492"/>
    </row>
    <row r="110" spans="1:44" ht="12.75" customHeight="1" x14ac:dyDescent="0.25">
      <c r="A110" s="492"/>
      <c r="B110" s="492"/>
      <c r="C110" s="492"/>
      <c r="D110" s="492"/>
      <c r="E110" s="492"/>
      <c r="F110" s="492"/>
      <c r="G110" s="492"/>
      <c r="H110" s="492"/>
      <c r="I110" s="492"/>
      <c r="J110" s="492"/>
      <c r="K110" s="492"/>
      <c r="L110" s="492"/>
      <c r="M110" s="492"/>
      <c r="N110" s="492"/>
      <c r="O110" s="492"/>
      <c r="P110" s="492"/>
      <c r="AA110" s="492"/>
      <c r="AB110" s="492"/>
      <c r="AC110" s="492"/>
      <c r="AD110" s="492"/>
      <c r="AE110" s="492"/>
      <c r="AF110" s="492"/>
      <c r="AG110" s="492"/>
      <c r="AH110" s="492"/>
      <c r="AI110" s="492"/>
      <c r="AJ110" s="492"/>
      <c r="AK110" s="492"/>
      <c r="AL110" s="492"/>
      <c r="AM110" s="492"/>
      <c r="AN110" s="492"/>
      <c r="AO110" s="492"/>
      <c r="AP110" s="492"/>
      <c r="AQ110" s="492"/>
      <c r="AR110" s="492"/>
    </row>
    <row r="111" spans="1:44" ht="12.75" customHeight="1" x14ac:dyDescent="0.25">
      <c r="A111" s="492"/>
      <c r="B111" s="492"/>
      <c r="C111" s="492"/>
      <c r="D111" s="492"/>
      <c r="E111" s="492"/>
      <c r="F111" s="492"/>
      <c r="G111" s="492"/>
      <c r="H111" s="492"/>
      <c r="I111" s="492"/>
      <c r="J111" s="492"/>
      <c r="K111" s="492"/>
      <c r="L111" s="492"/>
      <c r="M111" s="492"/>
      <c r="N111" s="492"/>
      <c r="O111" s="492"/>
      <c r="P111" s="492"/>
      <c r="AA111" s="492"/>
      <c r="AB111" s="492"/>
      <c r="AC111" s="492"/>
      <c r="AD111" s="492"/>
      <c r="AE111" s="492"/>
      <c r="AF111" s="492"/>
      <c r="AG111" s="492"/>
      <c r="AH111" s="492"/>
      <c r="AI111" s="492"/>
      <c r="AJ111" s="492"/>
      <c r="AK111" s="492"/>
      <c r="AL111" s="492"/>
      <c r="AM111" s="492"/>
      <c r="AN111" s="492"/>
      <c r="AO111" s="492"/>
      <c r="AP111" s="492"/>
      <c r="AQ111" s="492"/>
      <c r="AR111" s="492"/>
    </row>
    <row r="112" spans="1:44" ht="12.75" customHeight="1" x14ac:dyDescent="0.25">
      <c r="A112" s="492"/>
      <c r="B112" s="492"/>
      <c r="C112" s="492"/>
      <c r="D112" s="492"/>
      <c r="E112" s="492"/>
      <c r="F112" s="492"/>
      <c r="G112" s="492"/>
      <c r="H112" s="492"/>
      <c r="I112" s="492"/>
      <c r="J112" s="492"/>
      <c r="K112" s="492"/>
      <c r="L112" s="492"/>
      <c r="M112" s="492"/>
      <c r="N112" s="492"/>
      <c r="O112" s="492"/>
      <c r="P112" s="492"/>
      <c r="AA112" s="492"/>
      <c r="AB112" s="492"/>
      <c r="AC112" s="492"/>
      <c r="AD112" s="492"/>
      <c r="AE112" s="492"/>
      <c r="AF112" s="492"/>
      <c r="AG112" s="492"/>
      <c r="AH112" s="492"/>
      <c r="AI112" s="492"/>
      <c r="AJ112" s="492"/>
      <c r="AK112" s="492"/>
      <c r="AL112" s="492"/>
      <c r="AM112" s="492"/>
      <c r="AN112" s="492"/>
      <c r="AO112" s="492"/>
      <c r="AP112" s="492"/>
      <c r="AQ112" s="492"/>
      <c r="AR112" s="492"/>
    </row>
    <row r="113" spans="1:44" ht="12.75" customHeight="1" x14ac:dyDescent="0.25">
      <c r="A113" s="492"/>
      <c r="B113" s="492"/>
      <c r="C113" s="492"/>
      <c r="D113" s="492"/>
      <c r="E113" s="492"/>
      <c r="F113" s="492"/>
      <c r="G113" s="492"/>
      <c r="H113" s="492"/>
      <c r="I113" s="492"/>
      <c r="J113" s="492"/>
      <c r="K113" s="492"/>
      <c r="L113" s="492"/>
      <c r="M113" s="492"/>
      <c r="N113" s="492"/>
      <c r="O113" s="492"/>
      <c r="P113" s="492"/>
      <c r="AA113" s="492"/>
      <c r="AB113" s="492"/>
      <c r="AC113" s="492"/>
      <c r="AD113" s="492"/>
      <c r="AE113" s="492"/>
      <c r="AF113" s="492"/>
      <c r="AG113" s="492"/>
      <c r="AH113" s="492"/>
      <c r="AI113" s="492"/>
      <c r="AJ113" s="492"/>
      <c r="AK113" s="492"/>
      <c r="AL113" s="492"/>
      <c r="AM113" s="492"/>
      <c r="AN113" s="492"/>
      <c r="AO113" s="492"/>
      <c r="AP113" s="492"/>
      <c r="AQ113" s="492"/>
      <c r="AR113" s="492"/>
    </row>
    <row r="114" spans="1:44" ht="12.75" customHeight="1" x14ac:dyDescent="0.25">
      <c r="A114" s="492"/>
      <c r="B114" s="492"/>
      <c r="C114" s="492"/>
      <c r="D114" s="492"/>
      <c r="E114" s="492"/>
      <c r="F114" s="492"/>
      <c r="G114" s="492"/>
      <c r="H114" s="492"/>
      <c r="I114" s="492"/>
      <c r="J114" s="492"/>
      <c r="K114" s="492"/>
      <c r="L114" s="492"/>
      <c r="M114" s="492"/>
      <c r="N114" s="492"/>
      <c r="O114" s="492"/>
      <c r="P114" s="492"/>
      <c r="AA114" s="492"/>
      <c r="AB114" s="492"/>
      <c r="AC114" s="492"/>
      <c r="AD114" s="492"/>
      <c r="AE114" s="492"/>
      <c r="AF114" s="492"/>
      <c r="AG114" s="492"/>
      <c r="AH114" s="492"/>
      <c r="AI114" s="492"/>
      <c r="AJ114" s="492"/>
      <c r="AK114" s="492"/>
      <c r="AL114" s="492"/>
      <c r="AM114" s="492"/>
      <c r="AN114" s="492"/>
      <c r="AO114" s="492"/>
      <c r="AP114" s="492"/>
      <c r="AQ114" s="492"/>
      <c r="AR114" s="492"/>
    </row>
    <row r="115" spans="1:44" ht="12.75" customHeight="1" x14ac:dyDescent="0.25">
      <c r="A115" s="492"/>
      <c r="B115" s="492"/>
      <c r="C115" s="492"/>
      <c r="D115" s="492"/>
      <c r="E115" s="492"/>
      <c r="F115" s="492"/>
      <c r="G115" s="492"/>
      <c r="H115" s="492"/>
      <c r="I115" s="492"/>
      <c r="J115" s="492"/>
      <c r="K115" s="492"/>
      <c r="L115" s="492"/>
      <c r="M115" s="492"/>
      <c r="N115" s="492"/>
      <c r="O115" s="492"/>
      <c r="P115" s="492"/>
      <c r="AA115" s="492"/>
      <c r="AB115" s="492"/>
      <c r="AC115" s="492"/>
      <c r="AD115" s="492"/>
      <c r="AE115" s="492"/>
      <c r="AF115" s="492"/>
      <c r="AG115" s="492"/>
      <c r="AH115" s="492"/>
      <c r="AI115" s="492"/>
      <c r="AJ115" s="492"/>
      <c r="AK115" s="492"/>
      <c r="AL115" s="492"/>
      <c r="AM115" s="492"/>
      <c r="AN115" s="492"/>
      <c r="AO115" s="492"/>
      <c r="AP115" s="492"/>
      <c r="AQ115" s="492"/>
      <c r="AR115" s="492"/>
    </row>
    <row r="116" spans="1:44" ht="12.75" customHeight="1" x14ac:dyDescent="0.25">
      <c r="A116" s="492"/>
      <c r="B116" s="492"/>
      <c r="C116" s="492"/>
      <c r="D116" s="492"/>
      <c r="E116" s="492"/>
      <c r="F116" s="492"/>
      <c r="G116" s="492"/>
      <c r="H116" s="492"/>
      <c r="I116" s="492"/>
      <c r="J116" s="492"/>
      <c r="K116" s="492"/>
      <c r="L116" s="492"/>
      <c r="M116" s="492"/>
      <c r="N116" s="492"/>
      <c r="O116" s="492"/>
      <c r="P116" s="492"/>
      <c r="AA116" s="492"/>
      <c r="AB116" s="492"/>
      <c r="AC116" s="492"/>
      <c r="AD116" s="492"/>
      <c r="AE116" s="492"/>
      <c r="AF116" s="492"/>
      <c r="AG116" s="492"/>
      <c r="AH116" s="492"/>
      <c r="AI116" s="492"/>
      <c r="AJ116" s="492"/>
      <c r="AK116" s="492"/>
      <c r="AL116" s="492"/>
      <c r="AM116" s="492"/>
      <c r="AN116" s="492"/>
      <c r="AO116" s="492"/>
      <c r="AP116" s="492"/>
      <c r="AQ116" s="492"/>
      <c r="AR116" s="492"/>
    </row>
    <row r="117" spans="1:44" ht="12.75" customHeight="1" x14ac:dyDescent="0.25">
      <c r="A117" s="492"/>
      <c r="B117" s="492"/>
      <c r="C117" s="492"/>
      <c r="D117" s="492"/>
      <c r="E117" s="492"/>
      <c r="F117" s="492"/>
      <c r="G117" s="492"/>
      <c r="H117" s="492"/>
      <c r="I117" s="492"/>
      <c r="J117" s="492"/>
      <c r="K117" s="492"/>
      <c r="L117" s="492"/>
      <c r="M117" s="492"/>
      <c r="N117" s="492"/>
      <c r="O117" s="492"/>
      <c r="P117" s="492"/>
      <c r="AA117" s="492"/>
      <c r="AB117" s="492"/>
      <c r="AC117" s="492"/>
      <c r="AD117" s="492"/>
      <c r="AE117" s="492"/>
      <c r="AF117" s="492"/>
      <c r="AG117" s="492"/>
      <c r="AH117" s="492"/>
      <c r="AI117" s="492"/>
      <c r="AJ117" s="492"/>
      <c r="AK117" s="492"/>
      <c r="AL117" s="492"/>
      <c r="AM117" s="492"/>
      <c r="AN117" s="492"/>
      <c r="AO117" s="492"/>
      <c r="AP117" s="492"/>
      <c r="AQ117" s="492"/>
      <c r="AR117" s="492"/>
    </row>
    <row r="118" spans="1:44" ht="12.75" customHeight="1" x14ac:dyDescent="0.25">
      <c r="A118" s="492"/>
      <c r="B118" s="492"/>
      <c r="C118" s="492"/>
      <c r="D118" s="492"/>
      <c r="E118" s="492"/>
      <c r="F118" s="492"/>
      <c r="G118" s="492"/>
      <c r="H118" s="492"/>
      <c r="I118" s="492"/>
      <c r="J118" s="492"/>
      <c r="K118" s="492"/>
      <c r="L118" s="492"/>
      <c r="M118" s="492"/>
      <c r="N118" s="492"/>
      <c r="O118" s="492"/>
      <c r="P118" s="492"/>
      <c r="AA118" s="492"/>
      <c r="AB118" s="492"/>
      <c r="AC118" s="492"/>
      <c r="AD118" s="492"/>
      <c r="AE118" s="492"/>
      <c r="AF118" s="492"/>
      <c r="AG118" s="492"/>
      <c r="AH118" s="492"/>
      <c r="AI118" s="492"/>
      <c r="AJ118" s="492"/>
      <c r="AK118" s="492"/>
      <c r="AL118" s="492"/>
      <c r="AM118" s="492"/>
      <c r="AN118" s="492"/>
      <c r="AO118" s="492"/>
      <c r="AP118" s="492"/>
      <c r="AQ118" s="492"/>
      <c r="AR118" s="492"/>
    </row>
    <row r="119" spans="1:44" ht="12.75" customHeight="1" x14ac:dyDescent="0.25">
      <c r="A119" s="492"/>
      <c r="B119" s="492"/>
      <c r="C119" s="492"/>
      <c r="D119" s="492"/>
      <c r="E119" s="492"/>
      <c r="F119" s="492"/>
      <c r="G119" s="492"/>
      <c r="H119" s="492"/>
      <c r="I119" s="492"/>
      <c r="J119" s="492"/>
      <c r="K119" s="492"/>
      <c r="L119" s="492"/>
      <c r="M119" s="492"/>
      <c r="N119" s="492"/>
      <c r="O119" s="492"/>
      <c r="P119" s="492"/>
      <c r="AA119" s="492"/>
      <c r="AB119" s="492"/>
      <c r="AC119" s="492"/>
      <c r="AD119" s="492"/>
      <c r="AE119" s="492"/>
      <c r="AF119" s="492"/>
      <c r="AG119" s="492"/>
      <c r="AH119" s="492"/>
      <c r="AI119" s="492"/>
      <c r="AJ119" s="492"/>
      <c r="AK119" s="492"/>
      <c r="AL119" s="492"/>
      <c r="AM119" s="492"/>
      <c r="AN119" s="492"/>
      <c r="AO119" s="492"/>
      <c r="AP119" s="492"/>
      <c r="AQ119" s="492"/>
      <c r="AR119" s="492"/>
    </row>
    <row r="120" spans="1:44" ht="12.75" customHeight="1" x14ac:dyDescent="0.25">
      <c r="A120" s="492"/>
      <c r="B120" s="492"/>
      <c r="C120" s="492"/>
      <c r="D120" s="492"/>
      <c r="E120" s="492"/>
      <c r="F120" s="492"/>
      <c r="G120" s="492"/>
      <c r="H120" s="492"/>
      <c r="I120" s="492"/>
      <c r="J120" s="492"/>
      <c r="K120" s="492"/>
      <c r="L120" s="492"/>
      <c r="M120" s="492"/>
      <c r="N120" s="492"/>
      <c r="O120" s="492"/>
      <c r="P120" s="492"/>
      <c r="AA120" s="492"/>
      <c r="AB120" s="492"/>
      <c r="AC120" s="492"/>
      <c r="AD120" s="492"/>
      <c r="AE120" s="492"/>
      <c r="AF120" s="492"/>
      <c r="AG120" s="492"/>
      <c r="AH120" s="492"/>
      <c r="AI120" s="492"/>
      <c r="AJ120" s="492"/>
      <c r="AK120" s="492"/>
      <c r="AL120" s="492"/>
      <c r="AM120" s="492"/>
      <c r="AN120" s="492"/>
      <c r="AO120" s="492"/>
      <c r="AP120" s="492"/>
      <c r="AQ120" s="492"/>
      <c r="AR120" s="492"/>
    </row>
    <row r="121" spans="1:44" ht="12.75" customHeight="1" x14ac:dyDescent="0.25">
      <c r="A121" s="492"/>
      <c r="B121" s="492"/>
      <c r="C121" s="492"/>
      <c r="D121" s="492"/>
      <c r="E121" s="492"/>
      <c r="F121" s="492"/>
      <c r="G121" s="492"/>
      <c r="H121" s="492"/>
      <c r="I121" s="492"/>
      <c r="J121" s="492"/>
      <c r="K121" s="492"/>
      <c r="L121" s="492"/>
      <c r="M121" s="492"/>
      <c r="N121" s="492"/>
      <c r="O121" s="492"/>
      <c r="P121" s="492"/>
      <c r="AA121" s="492"/>
      <c r="AB121" s="492"/>
      <c r="AC121" s="492"/>
      <c r="AD121" s="492"/>
      <c r="AE121" s="492"/>
      <c r="AF121" s="492"/>
      <c r="AG121" s="492"/>
      <c r="AH121" s="492"/>
      <c r="AI121" s="492"/>
      <c r="AJ121" s="492"/>
      <c r="AK121" s="492"/>
      <c r="AL121" s="492"/>
      <c r="AM121" s="492"/>
      <c r="AN121" s="492"/>
      <c r="AO121" s="492"/>
      <c r="AP121" s="492"/>
      <c r="AQ121" s="492"/>
      <c r="AR121" s="492"/>
    </row>
    <row r="122" spans="1:44" ht="12.75" customHeight="1" x14ac:dyDescent="0.25">
      <c r="A122" s="492"/>
      <c r="B122" s="492"/>
      <c r="C122" s="492"/>
      <c r="D122" s="492"/>
      <c r="E122" s="492"/>
      <c r="F122" s="492"/>
      <c r="G122" s="492"/>
      <c r="H122" s="492"/>
      <c r="I122" s="492"/>
      <c r="J122" s="492"/>
      <c r="K122" s="492"/>
      <c r="L122" s="492"/>
      <c r="M122" s="492"/>
      <c r="N122" s="492"/>
      <c r="O122" s="492"/>
      <c r="P122" s="492"/>
      <c r="AA122" s="492"/>
      <c r="AB122" s="492"/>
      <c r="AC122" s="492"/>
      <c r="AD122" s="492"/>
      <c r="AE122" s="492"/>
      <c r="AF122" s="492"/>
      <c r="AG122" s="492"/>
      <c r="AH122" s="492"/>
      <c r="AI122" s="492"/>
      <c r="AJ122" s="492"/>
      <c r="AK122" s="492"/>
      <c r="AL122" s="492"/>
      <c r="AM122" s="492"/>
      <c r="AN122" s="492"/>
      <c r="AO122" s="492"/>
      <c r="AP122" s="492"/>
      <c r="AQ122" s="492"/>
      <c r="AR122" s="492"/>
    </row>
    <row r="123" spans="1:44" ht="12.75" customHeight="1" x14ac:dyDescent="0.25">
      <c r="A123" s="492"/>
      <c r="B123" s="492"/>
      <c r="C123" s="492"/>
      <c r="D123" s="492"/>
      <c r="E123" s="492"/>
      <c r="F123" s="492"/>
      <c r="G123" s="492"/>
      <c r="H123" s="492"/>
      <c r="I123" s="492"/>
      <c r="J123" s="492"/>
      <c r="K123" s="492"/>
      <c r="L123" s="492"/>
      <c r="M123" s="492"/>
      <c r="N123" s="492"/>
      <c r="O123" s="492"/>
      <c r="P123" s="492"/>
      <c r="AA123" s="492"/>
      <c r="AB123" s="492"/>
      <c r="AC123" s="492"/>
      <c r="AD123" s="492"/>
      <c r="AE123" s="492"/>
      <c r="AF123" s="492"/>
      <c r="AG123" s="492"/>
      <c r="AH123" s="492"/>
      <c r="AI123" s="492"/>
      <c r="AJ123" s="492"/>
      <c r="AK123" s="492"/>
      <c r="AL123" s="492"/>
      <c r="AM123" s="492"/>
      <c r="AN123" s="492"/>
      <c r="AO123" s="492"/>
      <c r="AP123" s="492"/>
      <c r="AQ123" s="492"/>
      <c r="AR123" s="492"/>
    </row>
    <row r="124" spans="1:44" ht="12.75" customHeight="1" x14ac:dyDescent="0.25">
      <c r="A124" s="492"/>
      <c r="B124" s="492"/>
      <c r="C124" s="492"/>
      <c r="D124" s="492"/>
      <c r="E124" s="492"/>
      <c r="F124" s="492"/>
      <c r="G124" s="492"/>
      <c r="H124" s="492"/>
      <c r="I124" s="492"/>
      <c r="J124" s="492"/>
      <c r="K124" s="492"/>
      <c r="L124" s="492"/>
      <c r="M124" s="492"/>
      <c r="N124" s="492"/>
      <c r="O124" s="492"/>
      <c r="P124" s="492"/>
      <c r="AA124" s="492"/>
      <c r="AB124" s="492"/>
      <c r="AC124" s="492"/>
      <c r="AD124" s="492"/>
      <c r="AE124" s="492"/>
      <c r="AF124" s="492"/>
      <c r="AG124" s="492"/>
      <c r="AH124" s="492"/>
      <c r="AI124" s="492"/>
      <c r="AJ124" s="492"/>
      <c r="AK124" s="492"/>
      <c r="AL124" s="492"/>
      <c r="AM124" s="492"/>
      <c r="AN124" s="492"/>
      <c r="AO124" s="492"/>
      <c r="AP124" s="492"/>
      <c r="AQ124" s="492"/>
      <c r="AR124" s="492"/>
    </row>
    <row r="125" spans="1:44" ht="12.75" customHeight="1" x14ac:dyDescent="0.25">
      <c r="A125" s="492"/>
      <c r="B125" s="492"/>
      <c r="C125" s="492"/>
      <c r="D125" s="492"/>
      <c r="E125" s="492"/>
      <c r="F125" s="492"/>
      <c r="G125" s="492"/>
      <c r="H125" s="492"/>
      <c r="I125" s="492"/>
      <c r="J125" s="492"/>
      <c r="K125" s="492"/>
      <c r="L125" s="492"/>
      <c r="M125" s="492"/>
      <c r="N125" s="492"/>
      <c r="O125" s="492"/>
      <c r="P125" s="492"/>
      <c r="AA125" s="492"/>
      <c r="AB125" s="492"/>
      <c r="AC125" s="492"/>
      <c r="AD125" s="492"/>
      <c r="AE125" s="492"/>
      <c r="AF125" s="492"/>
      <c r="AG125" s="492"/>
      <c r="AH125" s="492"/>
      <c r="AI125" s="492"/>
      <c r="AJ125" s="492"/>
      <c r="AK125" s="492"/>
      <c r="AL125" s="492"/>
      <c r="AM125" s="492"/>
      <c r="AN125" s="492"/>
      <c r="AO125" s="492"/>
      <c r="AP125" s="492"/>
      <c r="AQ125" s="492"/>
      <c r="AR125" s="492"/>
    </row>
    <row r="126" spans="1:44" ht="12.75" customHeight="1" x14ac:dyDescent="0.25">
      <c r="A126" s="492"/>
      <c r="B126" s="492"/>
      <c r="C126" s="492"/>
      <c r="D126" s="492"/>
      <c r="E126" s="492"/>
      <c r="F126" s="492"/>
      <c r="G126" s="492"/>
      <c r="H126" s="492"/>
      <c r="I126" s="492"/>
      <c r="J126" s="492"/>
      <c r="K126" s="492"/>
      <c r="L126" s="492"/>
      <c r="M126" s="492"/>
      <c r="N126" s="492"/>
      <c r="O126" s="492"/>
      <c r="P126" s="492"/>
      <c r="AA126" s="492"/>
      <c r="AB126" s="492"/>
      <c r="AC126" s="492"/>
      <c r="AD126" s="492"/>
      <c r="AE126" s="492"/>
      <c r="AF126" s="492"/>
      <c r="AG126" s="492"/>
      <c r="AH126" s="492"/>
      <c r="AI126" s="492"/>
      <c r="AJ126" s="492"/>
      <c r="AK126" s="492"/>
      <c r="AL126" s="492"/>
      <c r="AM126" s="492"/>
      <c r="AN126" s="492"/>
      <c r="AO126" s="492"/>
      <c r="AP126" s="492"/>
      <c r="AQ126" s="492"/>
      <c r="AR126" s="492"/>
    </row>
    <row r="127" spans="1:44" ht="12.75" customHeight="1" x14ac:dyDescent="0.25">
      <c r="A127" s="492"/>
      <c r="B127" s="492"/>
      <c r="C127" s="492"/>
      <c r="D127" s="492"/>
      <c r="E127" s="492"/>
      <c r="F127" s="492"/>
      <c r="G127" s="492"/>
      <c r="H127" s="492"/>
      <c r="I127" s="492"/>
      <c r="J127" s="492"/>
      <c r="K127" s="492"/>
      <c r="L127" s="492"/>
      <c r="M127" s="492"/>
      <c r="N127" s="492"/>
      <c r="O127" s="492"/>
      <c r="P127" s="492"/>
      <c r="AA127" s="492"/>
      <c r="AB127" s="492"/>
      <c r="AC127" s="492"/>
      <c r="AD127" s="492"/>
      <c r="AE127" s="492"/>
      <c r="AF127" s="492"/>
      <c r="AG127" s="492"/>
      <c r="AH127" s="492"/>
      <c r="AI127" s="492"/>
      <c r="AJ127" s="492"/>
      <c r="AK127" s="492"/>
      <c r="AL127" s="492"/>
      <c r="AM127" s="492"/>
      <c r="AN127" s="492"/>
      <c r="AO127" s="492"/>
      <c r="AP127" s="492"/>
      <c r="AQ127" s="492"/>
      <c r="AR127" s="492"/>
    </row>
    <row r="128" spans="1:44" ht="12.75" customHeight="1" x14ac:dyDescent="0.25">
      <c r="A128" s="492"/>
      <c r="B128" s="492"/>
      <c r="C128" s="492"/>
      <c r="D128" s="492"/>
      <c r="E128" s="492"/>
      <c r="F128" s="492"/>
      <c r="G128" s="492"/>
      <c r="H128" s="492"/>
      <c r="I128" s="492"/>
      <c r="J128" s="492"/>
      <c r="K128" s="492"/>
      <c r="L128" s="492"/>
      <c r="M128" s="492"/>
      <c r="N128" s="492"/>
      <c r="O128" s="492"/>
      <c r="P128" s="492"/>
      <c r="AA128" s="492"/>
      <c r="AB128" s="492"/>
      <c r="AC128" s="492"/>
      <c r="AD128" s="492"/>
      <c r="AE128" s="492"/>
      <c r="AF128" s="492"/>
      <c r="AG128" s="492"/>
      <c r="AH128" s="492"/>
      <c r="AI128" s="492"/>
      <c r="AJ128" s="492"/>
      <c r="AK128" s="492"/>
      <c r="AL128" s="492"/>
      <c r="AM128" s="492"/>
      <c r="AN128" s="492"/>
      <c r="AO128" s="492"/>
      <c r="AP128" s="492"/>
      <c r="AQ128" s="492"/>
      <c r="AR128" s="492"/>
    </row>
    <row r="129" spans="1:44" ht="12.75" customHeight="1" x14ac:dyDescent="0.25">
      <c r="A129" s="492"/>
      <c r="B129" s="492"/>
      <c r="C129" s="492"/>
      <c r="D129" s="492"/>
      <c r="E129" s="492"/>
      <c r="F129" s="492"/>
      <c r="G129" s="492"/>
      <c r="H129" s="492"/>
      <c r="I129" s="492"/>
      <c r="J129" s="492"/>
      <c r="K129" s="492"/>
      <c r="L129" s="492"/>
      <c r="M129" s="492"/>
      <c r="N129" s="492"/>
      <c r="O129" s="492"/>
      <c r="P129" s="492"/>
      <c r="AA129" s="492"/>
      <c r="AB129" s="492"/>
      <c r="AC129" s="492"/>
      <c r="AD129" s="492"/>
      <c r="AE129" s="492"/>
      <c r="AF129" s="492"/>
      <c r="AG129" s="492"/>
      <c r="AH129" s="492"/>
      <c r="AI129" s="492"/>
      <c r="AJ129" s="492"/>
      <c r="AK129" s="492"/>
      <c r="AL129" s="492"/>
      <c r="AM129" s="492"/>
      <c r="AN129" s="492"/>
      <c r="AO129" s="492"/>
      <c r="AP129" s="492"/>
      <c r="AQ129" s="492"/>
      <c r="AR129" s="492"/>
    </row>
    <row r="130" spans="1:44" ht="12.75" customHeight="1" x14ac:dyDescent="0.25">
      <c r="A130" s="492"/>
      <c r="B130" s="492"/>
      <c r="C130" s="492"/>
      <c r="D130" s="492"/>
      <c r="E130" s="492"/>
      <c r="F130" s="492"/>
      <c r="G130" s="492"/>
      <c r="H130" s="492"/>
      <c r="I130" s="492"/>
      <c r="J130" s="492"/>
      <c r="K130" s="492"/>
      <c r="L130" s="492"/>
      <c r="M130" s="492"/>
      <c r="N130" s="492"/>
      <c r="O130" s="492"/>
      <c r="P130" s="492"/>
      <c r="AA130" s="492"/>
      <c r="AB130" s="492"/>
      <c r="AC130" s="492"/>
      <c r="AD130" s="492"/>
      <c r="AE130" s="492"/>
      <c r="AF130" s="492"/>
      <c r="AG130" s="492"/>
      <c r="AH130" s="492"/>
      <c r="AI130" s="492"/>
      <c r="AJ130" s="492"/>
      <c r="AK130" s="492"/>
      <c r="AL130" s="492"/>
      <c r="AM130" s="492"/>
      <c r="AN130" s="492"/>
      <c r="AO130" s="492"/>
      <c r="AP130" s="492"/>
      <c r="AQ130" s="492"/>
      <c r="AR130" s="492"/>
    </row>
    <row r="131" spans="1:44" ht="12.75" customHeight="1" x14ac:dyDescent="0.25">
      <c r="A131" s="492"/>
      <c r="B131" s="492"/>
      <c r="C131" s="492"/>
      <c r="D131" s="492"/>
      <c r="E131" s="492"/>
      <c r="F131" s="492"/>
      <c r="G131" s="492"/>
      <c r="H131" s="492"/>
      <c r="I131" s="492"/>
      <c r="J131" s="492"/>
      <c r="K131" s="492"/>
      <c r="L131" s="492"/>
      <c r="M131" s="492"/>
      <c r="N131" s="492"/>
      <c r="O131" s="492"/>
      <c r="P131" s="492"/>
      <c r="AA131" s="492"/>
      <c r="AB131" s="492"/>
      <c r="AC131" s="492"/>
      <c r="AD131" s="492"/>
      <c r="AE131" s="492"/>
      <c r="AF131" s="492"/>
      <c r="AG131" s="492"/>
      <c r="AH131" s="492"/>
      <c r="AI131" s="492"/>
      <c r="AJ131" s="492"/>
      <c r="AK131" s="492"/>
      <c r="AL131" s="492"/>
      <c r="AM131" s="492"/>
      <c r="AN131" s="492"/>
      <c r="AO131" s="492"/>
      <c r="AP131" s="492"/>
      <c r="AQ131" s="492"/>
      <c r="AR131" s="492"/>
    </row>
    <row r="132" spans="1:44" ht="12.75" customHeight="1" x14ac:dyDescent="0.25">
      <c r="A132" s="492"/>
      <c r="B132" s="492"/>
      <c r="C132" s="492"/>
      <c r="D132" s="492"/>
      <c r="E132" s="492"/>
      <c r="F132" s="492"/>
      <c r="G132" s="492"/>
      <c r="H132" s="492"/>
      <c r="I132" s="492"/>
      <c r="J132" s="492"/>
      <c r="K132" s="492"/>
      <c r="L132" s="492"/>
      <c r="M132" s="492"/>
      <c r="N132" s="492"/>
      <c r="O132" s="492"/>
      <c r="P132" s="492"/>
      <c r="AA132" s="492"/>
      <c r="AB132" s="492"/>
      <c r="AC132" s="492"/>
      <c r="AD132" s="492"/>
      <c r="AE132" s="492"/>
      <c r="AF132" s="492"/>
      <c r="AG132" s="492"/>
      <c r="AH132" s="492"/>
      <c r="AI132" s="492"/>
      <c r="AJ132" s="492"/>
      <c r="AK132" s="492"/>
      <c r="AL132" s="492"/>
      <c r="AM132" s="492"/>
      <c r="AN132" s="492"/>
      <c r="AO132" s="492"/>
      <c r="AP132" s="492"/>
      <c r="AQ132" s="492"/>
      <c r="AR132" s="492"/>
    </row>
    <row r="133" spans="1:44" ht="12.75" customHeight="1" x14ac:dyDescent="0.25">
      <c r="A133" s="492"/>
      <c r="B133" s="492"/>
      <c r="C133" s="492"/>
      <c r="D133" s="492"/>
      <c r="E133" s="492"/>
      <c r="F133" s="492"/>
      <c r="G133" s="492"/>
      <c r="H133" s="492"/>
      <c r="I133" s="492"/>
      <c r="J133" s="492"/>
      <c r="K133" s="492"/>
      <c r="L133" s="492"/>
      <c r="M133" s="492"/>
      <c r="N133" s="492"/>
      <c r="O133" s="492"/>
      <c r="P133" s="492"/>
      <c r="AA133" s="492"/>
      <c r="AB133" s="492"/>
      <c r="AC133" s="492"/>
      <c r="AD133" s="492"/>
      <c r="AE133" s="492"/>
      <c r="AF133" s="492"/>
      <c r="AG133" s="492"/>
      <c r="AH133" s="492"/>
      <c r="AI133" s="492"/>
      <c r="AJ133" s="492"/>
      <c r="AK133" s="492"/>
      <c r="AL133" s="492"/>
      <c r="AM133" s="492"/>
      <c r="AN133" s="492"/>
      <c r="AO133" s="492"/>
      <c r="AP133" s="492"/>
      <c r="AQ133" s="492"/>
      <c r="AR133" s="492"/>
    </row>
    <row r="134" spans="1:44" ht="12.75" customHeight="1" x14ac:dyDescent="0.25">
      <c r="A134" s="492"/>
      <c r="B134" s="492"/>
      <c r="C134" s="492"/>
      <c r="D134" s="492"/>
      <c r="E134" s="492"/>
      <c r="F134" s="492"/>
      <c r="G134" s="492"/>
      <c r="H134" s="492"/>
      <c r="I134" s="492"/>
      <c r="J134" s="492"/>
      <c r="K134" s="492"/>
      <c r="L134" s="492"/>
      <c r="M134" s="492"/>
      <c r="N134" s="492"/>
      <c r="O134" s="492"/>
      <c r="P134" s="492"/>
      <c r="AA134" s="492"/>
      <c r="AB134" s="492"/>
      <c r="AC134" s="492"/>
      <c r="AD134" s="492"/>
      <c r="AE134" s="492"/>
      <c r="AF134" s="492"/>
      <c r="AG134" s="492"/>
      <c r="AH134" s="492"/>
      <c r="AI134" s="492"/>
      <c r="AJ134" s="492"/>
      <c r="AK134" s="492"/>
      <c r="AL134" s="492"/>
      <c r="AM134" s="492"/>
      <c r="AN134" s="492"/>
      <c r="AO134" s="492"/>
      <c r="AP134" s="492"/>
      <c r="AQ134" s="492"/>
      <c r="AR134" s="492"/>
    </row>
    <row r="135" spans="1:44" ht="12.75" customHeight="1" x14ac:dyDescent="0.25">
      <c r="E135" s="256"/>
      <c r="F135" s="256"/>
      <c r="G135" s="256"/>
      <c r="I135" s="256"/>
    </row>
    <row r="136" spans="1:44" ht="12.75" customHeight="1" x14ac:dyDescent="0.25">
      <c r="E136" s="256"/>
      <c r="F136" s="256"/>
      <c r="G136" s="256"/>
      <c r="I136" s="256"/>
    </row>
    <row r="137" spans="1:44" ht="12.75" customHeight="1" x14ac:dyDescent="0.25">
      <c r="E137" s="256"/>
      <c r="F137" s="256"/>
      <c r="G137" s="256"/>
      <c r="I137" s="256"/>
    </row>
  </sheetData>
  <sheetProtection password="BCD8" sheet="1" objects="1" scenarios="1"/>
  <phoneticPr fontId="0" type="noConversion"/>
  <conditionalFormatting sqref="C24:C29">
    <cfRule type="cellIs" dxfId="171" priority="2" stopIfTrue="1" operator="equal">
      <formula>"&gt;"</formula>
    </cfRule>
  </conditionalFormatting>
  <conditionalFormatting sqref="D24:G29">
    <cfRule type="expression" dxfId="170"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5" r:id="rId4" name="home">
              <controlPr defaultSize="0" print="0" autoFill="0" autoPict="0" macro="[0]!globalgoto">
                <anchor moveWithCells="1" sizeWithCells="1">
                  <from>
                    <xdr:col>0</xdr:col>
                    <xdr:colOff>88900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31746" r:id="rId5" name="basic">
              <controlPr defaultSize="0" print="0" autoFill="0" autoPict="0" macro="[0]!globalgoto">
                <anchor moveWithCells="1" sizeWithCells="1">
                  <from>
                    <xdr:col>0</xdr:col>
                    <xdr:colOff>88900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31747" r:id="rId6" name="Button 3">
              <controlPr defaultSize="0" print="0" autoFill="0" autoPict="0" macro="[0]!goto_next_year_any_sheet">
                <anchor moveWithCells="1" sizeWithCells="1">
                  <from>
                    <xdr:col>0</xdr:col>
                    <xdr:colOff>107950</xdr:colOff>
                    <xdr:row>19</xdr:row>
                    <xdr:rowOff>12700</xdr:rowOff>
                  </from>
                  <to>
                    <xdr:col>0</xdr:col>
                    <xdr:colOff>1066800</xdr:colOff>
                    <xdr:row>22</xdr:row>
                    <xdr:rowOff>114300</xdr:rowOff>
                  </to>
                </anchor>
              </controlPr>
            </control>
          </mc:Choice>
        </mc:AlternateContent>
        <mc:AlternateContent xmlns:mc="http://schemas.openxmlformats.org/markup-compatibility/2006">
          <mc:Choice Requires="x14">
            <control shapeId="31748" r:id="rId7" name="Button 4">
              <controlPr defaultSize="0" print="0" autoFill="0" autoPict="0" macro="[0]!goto_previous_year_any_sheet">
                <anchor moveWithCells="1" sizeWithCells="1">
                  <from>
                    <xdr:col>0</xdr:col>
                    <xdr:colOff>107950</xdr:colOff>
                    <xdr:row>23</xdr:row>
                    <xdr:rowOff>12700</xdr:rowOff>
                  </from>
                  <to>
                    <xdr:col>0</xdr:col>
                    <xdr:colOff>1066800</xdr:colOff>
                    <xdr:row>26</xdr:row>
                    <xdr:rowOff>114300</xdr:rowOff>
                  </to>
                </anchor>
              </controlPr>
            </control>
          </mc:Choice>
        </mc:AlternateContent>
        <mc:AlternateContent xmlns:mc="http://schemas.openxmlformats.org/markup-compatibility/2006">
          <mc:Choice Requires="x14">
            <control shapeId="31749" r:id="rId8" name="Button 5">
              <controlPr defaultSize="0" print="0" autoFill="0" autoPict="0">
                <anchor moveWithCells="1" sizeWithCells="1">
                  <from>
                    <xdr:col>10</xdr:col>
                    <xdr:colOff>101600</xdr:colOff>
                    <xdr:row>2</xdr:row>
                    <xdr:rowOff>127000</xdr:rowOff>
                  </from>
                  <to>
                    <xdr:col>11</xdr:col>
                    <xdr:colOff>419100</xdr:colOff>
                    <xdr:row>4</xdr:row>
                    <xdr:rowOff>63500</xdr:rowOff>
                  </to>
                </anchor>
              </controlPr>
            </control>
          </mc:Choice>
        </mc:AlternateContent>
        <mc:AlternateContent xmlns:mc="http://schemas.openxmlformats.org/markup-compatibility/2006">
          <mc:Choice Requires="x14">
            <control shapeId="31750" r:id="rId9" name="Button 6">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31751" r:id="rId10" name="Button 7">
              <controlPr defaultSize="0" print="0" autoFill="0" autoPict="0" macro="[0]!copy_as_excel">
                <anchor moveWithCells="1" sizeWithCells="1">
                  <from>
                    <xdr:col>10</xdr:col>
                    <xdr:colOff>38100</xdr:colOff>
                    <xdr:row>11</xdr:row>
                    <xdr:rowOff>88900</xdr:rowOff>
                  </from>
                  <to>
                    <xdr:col>11</xdr:col>
                    <xdr:colOff>88900</xdr:colOff>
                    <xdr:row>13</xdr:row>
                    <xdr:rowOff>146050</xdr:rowOff>
                  </to>
                </anchor>
              </controlPr>
            </control>
          </mc:Choice>
        </mc:AlternateContent>
        <mc:AlternateContent xmlns:mc="http://schemas.openxmlformats.org/markup-compatibility/2006">
          <mc:Choice Requires="x14">
            <control shapeId="31752" r:id="rId11" name="Button 8">
              <controlPr defaultSize="0" print="0" autoFill="0" autoPict="0" macro="[0]!pdflauncher">
                <anchor moveWithCells="1" sizeWithCells="1">
                  <from>
                    <xdr:col>11</xdr:col>
                    <xdr:colOff>101600</xdr:colOff>
                    <xdr:row>11</xdr:row>
                    <xdr:rowOff>88900</xdr:rowOff>
                  </from>
                  <to>
                    <xdr:col>11</xdr:col>
                    <xdr:colOff>787400</xdr:colOff>
                    <xdr:row>13</xdr:row>
                    <xdr:rowOff>146050</xdr:rowOff>
                  </to>
                </anchor>
              </controlPr>
            </control>
          </mc:Choice>
        </mc:AlternateContent>
        <mc:AlternateContent xmlns:mc="http://schemas.openxmlformats.org/markup-compatibility/2006">
          <mc:Choice Requires="x14">
            <control shapeId="31753" r:id="rId12" name="Button 9">
              <controlPr defaultSize="0" print="0" autoFill="0" autoPict="0" macro="[0]!openfolder">
                <anchor moveWithCells="1" sizeWithCells="1">
                  <from>
                    <xdr:col>11</xdr:col>
                    <xdr:colOff>793750</xdr:colOff>
                    <xdr:row>11</xdr:row>
                    <xdr:rowOff>88900</xdr:rowOff>
                  </from>
                  <to>
                    <xdr:col>12</xdr:col>
                    <xdr:colOff>508000</xdr:colOff>
                    <xdr:row>13</xdr:row>
                    <xdr:rowOff>146050</xdr:rowOff>
                  </to>
                </anchor>
              </controlPr>
            </control>
          </mc:Choice>
        </mc:AlternateContent>
        <mc:AlternateContent xmlns:mc="http://schemas.openxmlformats.org/markup-compatibility/2006">
          <mc:Choice Requires="x14">
            <control shapeId="31754" r:id="rId13" name="Button 10">
              <controlPr defaultSize="0" print="0" autoFill="0" autoPict="0" macro="[0]!goto_folder_settings">
                <anchor moveWithCells="1" sizeWithCells="1">
                  <from>
                    <xdr:col>12</xdr:col>
                    <xdr:colOff>520700</xdr:colOff>
                    <xdr:row>11</xdr:row>
                    <xdr:rowOff>88900</xdr:rowOff>
                  </from>
                  <to>
                    <xdr:col>12</xdr:col>
                    <xdr:colOff>1041400</xdr:colOff>
                    <xdr:row>13</xdr:row>
                    <xdr:rowOff>146050</xdr:rowOff>
                  </to>
                </anchor>
              </controlPr>
            </control>
          </mc:Choice>
        </mc:AlternateContent>
        <mc:AlternateContent xmlns:mc="http://schemas.openxmlformats.org/markup-compatibility/2006">
          <mc:Choice Requires="x14">
            <control shapeId="31755" r:id="rId14" name="Button 11">
              <controlPr defaultSize="0" print="0" autoFill="0" autoPict="0" macro="[0]!email_pdf_launch">
                <anchor moveWithCells="1" sizeWithCells="1">
                  <from>
                    <xdr:col>11</xdr:col>
                    <xdr:colOff>241300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31756" r:id="rId15" name="Button 12">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31757" r:id="rId16" name="Button 13">
              <controlPr defaultSize="0" print="0" autoFill="0" autoPict="0" macro="[0]!emailsettings">
                <anchor moveWithCells="1" sizeWithCells="1">
                  <from>
                    <xdr:col>12</xdr:col>
                    <xdr:colOff>127000</xdr:colOff>
                    <xdr:row>9</xdr:row>
                    <xdr:rowOff>120650</xdr:rowOff>
                  </from>
                  <to>
                    <xdr:col>12</xdr:col>
                    <xdr:colOff>1041400</xdr:colOff>
                    <xdr:row>11</xdr:row>
                    <xdr:rowOff>82550</xdr:rowOff>
                  </to>
                </anchor>
              </controlPr>
            </control>
          </mc:Choice>
        </mc:AlternateContent>
        <mc:AlternateContent xmlns:mc="http://schemas.openxmlformats.org/markup-compatibility/2006">
          <mc:Choice Requires="x14">
            <control shapeId="31758" r:id="rId17" name="Button 14">
              <controlPr defaultSize="0" print="0" autoFill="0" autoPict="0" macro="[0]!goto_other_analysis">
                <anchor moveWithCells="1" sizeWithCells="1">
                  <from>
                    <xdr:col>10</xdr:col>
                    <xdr:colOff>127000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31759" r:id="rId18" name="Button 15">
              <controlPr defaultSize="0" print="0" autoFill="0" autoPict="0" macro="[0]!goto_basic_analysis_original">
                <anchor moveWithCells="1" sizeWithCells="1">
                  <from>
                    <xdr:col>10</xdr:col>
                    <xdr:colOff>127000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31760" r:id="rId19"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mc:AlternateContent xmlns:mc="http://schemas.openxmlformats.org/markup-compatibility/2006">
          <mc:Choice Requires="x14">
            <control shapeId="31761" r:id="rId20" name="troyr1">
              <controlPr defaultSize="0" print="0" autoFill="0" autoPict="0" macro="[0]!goto_basic_analysis_original">
                <anchor moveWithCells="1" sizeWithCells="1">
                  <from>
                    <xdr:col>3</xdr:col>
                    <xdr:colOff>1593850</xdr:colOff>
                    <xdr:row>44</xdr:row>
                    <xdr:rowOff>139700</xdr:rowOff>
                  </from>
                  <to>
                    <xdr:col>5</xdr:col>
                    <xdr:colOff>901700</xdr:colOff>
                    <xdr:row>46</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2959A-7F85-4C58-8AE5-C0B8A6847967}">
  <sheetPr codeName="Sheet70">
    <pageSetUpPr fitToPage="1"/>
  </sheetPr>
  <dimension ref="A1:AR137"/>
  <sheetViews>
    <sheetView showGridLines="0" zoomScaleNormal="100" workbookViewId="0">
      <selection activeCell="L12" sqref="L12"/>
    </sheetView>
  </sheetViews>
  <sheetFormatPr defaultColWidth="9.08984375" defaultRowHeight="12.75" customHeight="1" x14ac:dyDescent="0.25"/>
  <cols>
    <col min="1" max="1" width="16.6328125" style="256" customWidth="1"/>
    <col min="2" max="2" width="2.6328125" style="256" customWidth="1"/>
    <col min="3" max="3" width="11.6328125" style="256" customWidth="1"/>
    <col min="4" max="4" width="23.453125" style="256" customWidth="1"/>
    <col min="5" max="5" width="12.08984375" style="273" customWidth="1"/>
    <col min="6" max="6" width="16.08984375" style="273" customWidth="1"/>
    <col min="7" max="7" width="10.6328125" style="273" customWidth="1"/>
    <col min="8" max="8" width="12.36328125" style="256" customWidth="1"/>
    <col min="9" max="9" width="12.453125" style="475" customWidth="1"/>
    <col min="10" max="10" width="2.54296875" style="256" customWidth="1"/>
    <col min="11" max="11" width="9.36328125" style="256" customWidth="1"/>
    <col min="12" max="12" width="11.90625" style="256" customWidth="1"/>
    <col min="13" max="13" width="15.6328125" style="256" customWidth="1"/>
    <col min="14" max="16" width="9.08984375" style="256"/>
    <col min="17" max="19" width="9.08984375" style="256" hidden="1" customWidth="1"/>
    <col min="20" max="20" width="17.453125" style="256" hidden="1" customWidth="1"/>
    <col min="21" max="26" width="9.08984375" style="256" hidden="1" customWidth="1"/>
    <col min="27" max="16384" width="9.08984375" style="256"/>
  </cols>
  <sheetData>
    <row r="1" spans="1:44" ht="12.5" x14ac:dyDescent="0.25">
      <c r="A1" s="581"/>
      <c r="B1" s="581"/>
      <c r="C1" s="581"/>
      <c r="D1" s="581"/>
      <c r="E1" s="582"/>
      <c r="F1" s="582"/>
      <c r="G1" s="582"/>
      <c r="H1" s="581"/>
      <c r="I1" s="583"/>
      <c r="J1" s="581"/>
      <c r="K1" s="581"/>
      <c r="L1" s="581"/>
      <c r="M1" s="581"/>
      <c r="N1" s="581"/>
      <c r="O1" s="581"/>
      <c r="P1" s="581"/>
      <c r="AA1" s="581"/>
      <c r="AB1" s="581"/>
      <c r="AC1" s="581"/>
      <c r="AD1" s="581"/>
      <c r="AE1" s="581"/>
      <c r="AF1" s="581"/>
      <c r="AG1" s="581"/>
      <c r="AH1" s="581"/>
      <c r="AI1" s="581"/>
      <c r="AJ1" s="581"/>
      <c r="AK1" s="581"/>
      <c r="AL1" s="581"/>
      <c r="AM1" s="581"/>
      <c r="AN1" s="581"/>
      <c r="AO1" s="581"/>
      <c r="AP1" s="581"/>
      <c r="AQ1" s="581"/>
      <c r="AR1" s="581"/>
    </row>
    <row r="2" spans="1:44" ht="12.5" x14ac:dyDescent="0.25">
      <c r="A2" s="581"/>
      <c r="B2" s="581"/>
      <c r="C2" s="581"/>
      <c r="D2" s="581"/>
      <c r="E2" s="582"/>
      <c r="F2" s="582"/>
      <c r="G2" s="582"/>
      <c r="H2" s="581"/>
      <c r="I2" s="583"/>
      <c r="J2" s="581"/>
      <c r="K2" s="581"/>
      <c r="L2" s="581"/>
      <c r="M2" s="581"/>
      <c r="N2" s="581"/>
      <c r="O2" s="581"/>
      <c r="P2" s="581"/>
      <c r="AA2" s="581"/>
      <c r="AB2" s="581"/>
      <c r="AC2" s="581"/>
      <c r="AD2" s="581"/>
      <c r="AE2" s="581"/>
      <c r="AF2" s="581"/>
      <c r="AG2" s="581"/>
      <c r="AH2" s="581"/>
      <c r="AI2" s="581"/>
      <c r="AJ2" s="581"/>
      <c r="AK2" s="581"/>
      <c r="AL2" s="581"/>
      <c r="AM2" s="581"/>
      <c r="AN2" s="581"/>
      <c r="AO2" s="581"/>
      <c r="AP2" s="581"/>
      <c r="AQ2" s="581"/>
      <c r="AR2" s="581"/>
    </row>
    <row r="3" spans="1:44" ht="12.5" x14ac:dyDescent="0.25">
      <c r="A3" s="581"/>
      <c r="K3" s="581"/>
      <c r="L3" s="581"/>
      <c r="M3" s="581"/>
      <c r="N3" s="581"/>
      <c r="O3" s="581"/>
      <c r="P3" s="581"/>
      <c r="AA3" s="581"/>
      <c r="AB3" s="581"/>
      <c r="AC3" s="581"/>
      <c r="AD3" s="581"/>
      <c r="AE3" s="581"/>
      <c r="AF3" s="581"/>
      <c r="AG3" s="581"/>
      <c r="AH3" s="581"/>
      <c r="AI3" s="581"/>
      <c r="AJ3" s="581"/>
      <c r="AK3" s="581"/>
      <c r="AL3" s="581"/>
      <c r="AM3" s="581"/>
      <c r="AN3" s="581"/>
      <c r="AO3" s="581"/>
      <c r="AP3" s="581"/>
      <c r="AQ3" s="581"/>
      <c r="AR3" s="581"/>
    </row>
    <row r="4" spans="1:44" ht="15.5" x14ac:dyDescent="0.35">
      <c r="A4" s="581"/>
      <c r="C4" s="488" t="str">
        <f>"Transitional Arrangements Calculation - "&amp;C10</f>
        <v xml:space="preserve">Transitional Arrangements Calculation - 2025/26 </v>
      </c>
      <c r="H4" s="579" t="str">
        <f>basic!D22</f>
        <v>England</v>
      </c>
      <c r="I4" s="579" t="s">
        <v>248</v>
      </c>
      <c r="K4" s="581"/>
      <c r="L4" s="581"/>
      <c r="M4" s="581"/>
      <c r="N4" s="581"/>
      <c r="O4" s="581"/>
      <c r="P4" s="581"/>
      <c r="AA4" s="581"/>
      <c r="AB4" s="581"/>
      <c r="AC4" s="581"/>
      <c r="AD4" s="581"/>
      <c r="AE4" s="581"/>
      <c r="AF4" s="581"/>
      <c r="AG4" s="581"/>
      <c r="AH4" s="581"/>
      <c r="AI4" s="581"/>
      <c r="AJ4" s="581"/>
      <c r="AK4" s="581"/>
      <c r="AL4" s="581"/>
      <c r="AM4" s="581"/>
      <c r="AN4" s="581"/>
      <c r="AO4" s="581"/>
      <c r="AP4" s="581"/>
      <c r="AQ4" s="581"/>
      <c r="AR4" s="581"/>
    </row>
    <row r="5" spans="1:44" ht="9" customHeight="1" x14ac:dyDescent="0.3">
      <c r="A5" s="581"/>
      <c r="C5" s="291"/>
      <c r="K5" s="581"/>
      <c r="L5" s="581"/>
      <c r="M5" s="581"/>
      <c r="N5" s="581"/>
      <c r="O5" s="581"/>
      <c r="P5" s="581"/>
      <c r="AA5" s="581"/>
      <c r="AB5" s="581"/>
      <c r="AC5" s="581"/>
      <c r="AD5" s="581"/>
      <c r="AE5" s="581"/>
      <c r="AF5" s="581"/>
      <c r="AG5" s="581"/>
      <c r="AH5" s="581"/>
      <c r="AI5" s="581"/>
      <c r="AJ5" s="581"/>
      <c r="AK5" s="581"/>
      <c r="AL5" s="581"/>
      <c r="AM5" s="581"/>
      <c r="AN5" s="581"/>
      <c r="AO5" s="581"/>
      <c r="AP5" s="581"/>
      <c r="AQ5" s="581"/>
      <c r="AR5" s="581"/>
    </row>
    <row r="6" spans="1:44" ht="13" x14ac:dyDescent="0.3">
      <c r="A6" s="581"/>
      <c r="C6" s="291" t="s">
        <v>667</v>
      </c>
      <c r="D6" s="291" t="str">
        <f>basic!D26</f>
        <v>Enter Address Details</v>
      </c>
      <c r="K6" s="581"/>
      <c r="L6" s="581"/>
      <c r="M6" s="581"/>
      <c r="N6" s="581"/>
      <c r="O6" s="581"/>
      <c r="P6" s="581"/>
      <c r="AA6" s="581"/>
      <c r="AB6" s="581"/>
      <c r="AC6" s="581"/>
      <c r="AD6" s="581"/>
      <c r="AE6" s="581"/>
      <c r="AF6" s="581"/>
      <c r="AG6" s="581"/>
      <c r="AH6" s="581"/>
      <c r="AI6" s="581"/>
      <c r="AJ6" s="581"/>
      <c r="AK6" s="581"/>
      <c r="AL6" s="581"/>
      <c r="AM6" s="581"/>
      <c r="AN6" s="581"/>
      <c r="AO6" s="581"/>
      <c r="AP6" s="581"/>
      <c r="AQ6" s="581"/>
      <c r="AR6" s="581"/>
    </row>
    <row r="7" spans="1:44" ht="13" x14ac:dyDescent="0.3">
      <c r="A7" s="581"/>
      <c r="C7" s="291"/>
      <c r="D7" s="291"/>
      <c r="K7" s="581"/>
      <c r="L7" s="581"/>
      <c r="M7" s="581"/>
      <c r="N7" s="581"/>
      <c r="O7" s="581"/>
      <c r="P7" s="581"/>
      <c r="AA7" s="581"/>
      <c r="AB7" s="581"/>
      <c r="AC7" s="581"/>
      <c r="AD7" s="581"/>
      <c r="AE7" s="581"/>
      <c r="AF7" s="581"/>
      <c r="AG7" s="581"/>
      <c r="AH7" s="581"/>
      <c r="AI7" s="581"/>
      <c r="AJ7" s="581"/>
      <c r="AK7" s="581"/>
      <c r="AL7" s="581"/>
      <c r="AM7" s="581"/>
      <c r="AN7" s="581"/>
      <c r="AO7" s="581"/>
      <c r="AP7" s="581"/>
      <c r="AQ7" s="581"/>
      <c r="AR7" s="581"/>
    </row>
    <row r="8" spans="1:44" ht="13.5" customHeight="1" x14ac:dyDescent="0.3">
      <c r="A8" s="581"/>
      <c r="C8" s="489"/>
      <c r="D8" s="498" t="str">
        <f>IF(calc2!E38=FALSE,"As Transition did not apply in the previous year it will not apply this year","")</f>
        <v>As Transition did not apply in the previous year it will not apply this year</v>
      </c>
      <c r="E8" s="335"/>
      <c r="F8" s="335"/>
      <c r="G8" s="335"/>
      <c r="H8" s="283"/>
      <c r="I8" s="487"/>
      <c r="K8" s="581"/>
      <c r="L8" s="581"/>
      <c r="M8" s="581"/>
      <c r="N8" s="581"/>
      <c r="O8" s="581"/>
      <c r="P8" s="581"/>
      <c r="AA8" s="581"/>
      <c r="AB8" s="581"/>
      <c r="AC8" s="581"/>
      <c r="AD8" s="581"/>
      <c r="AE8" s="581"/>
      <c r="AF8" s="581"/>
      <c r="AG8" s="581"/>
      <c r="AH8" s="581"/>
      <c r="AI8" s="581"/>
      <c r="AJ8" s="581"/>
      <c r="AK8" s="581"/>
      <c r="AL8" s="581"/>
      <c r="AM8" s="581"/>
      <c r="AN8" s="581"/>
      <c r="AO8" s="581"/>
      <c r="AP8" s="581"/>
      <c r="AQ8" s="581"/>
      <c r="AR8" s="581"/>
    </row>
    <row r="9" spans="1:44" ht="9.75" customHeight="1" x14ac:dyDescent="0.3">
      <c r="A9" s="581"/>
      <c r="C9" s="291"/>
      <c r="K9" s="581"/>
      <c r="L9" s="581"/>
      <c r="M9" s="581"/>
      <c r="N9" s="581"/>
      <c r="O9" s="581"/>
      <c r="P9" s="581"/>
      <c r="S9" s="480" t="s">
        <v>57</v>
      </c>
      <c r="T9" s="302">
        <f>data!B3-1</f>
        <v>45016</v>
      </c>
      <c r="AA9" s="581"/>
      <c r="AB9" s="581"/>
      <c r="AC9" s="581"/>
      <c r="AD9" s="581"/>
      <c r="AE9" s="581"/>
      <c r="AF9" s="581"/>
      <c r="AG9" s="581"/>
      <c r="AH9" s="581"/>
      <c r="AI9" s="581"/>
      <c r="AJ9" s="581"/>
      <c r="AK9" s="581"/>
      <c r="AL9" s="581"/>
      <c r="AM9" s="581"/>
      <c r="AN9" s="581"/>
      <c r="AO9" s="581"/>
      <c r="AP9" s="581"/>
      <c r="AQ9" s="581"/>
      <c r="AR9" s="581"/>
    </row>
    <row r="10" spans="1:44" ht="13.5" customHeight="1" x14ac:dyDescent="0.3">
      <c r="A10" s="581"/>
      <c r="C10" s="291" t="str">
        <f>basic!D17</f>
        <v xml:space="preserve">2025/26 </v>
      </c>
      <c r="D10" s="257" t="str">
        <f>"The Base Liability is the Transitional Limit from the previous year"</f>
        <v>The Base Liability is the Transitional Limit from the previous year</v>
      </c>
      <c r="H10" s="476"/>
      <c r="K10" s="581"/>
      <c r="L10" s="581"/>
      <c r="M10" s="581"/>
      <c r="N10" s="581"/>
      <c r="O10" s="581"/>
      <c r="P10" s="581"/>
      <c r="S10" s="480" t="s">
        <v>43</v>
      </c>
      <c r="T10" s="495">
        <f>basic!I5</f>
        <v>0</v>
      </c>
      <c r="AA10" s="581"/>
      <c r="AB10" s="581"/>
      <c r="AC10" s="581"/>
      <c r="AD10" s="581"/>
      <c r="AE10" s="581"/>
      <c r="AF10" s="581"/>
      <c r="AG10" s="581"/>
      <c r="AH10" s="581"/>
      <c r="AI10" s="581"/>
      <c r="AJ10" s="581"/>
      <c r="AK10" s="581"/>
      <c r="AL10" s="581"/>
      <c r="AM10" s="581"/>
      <c r="AN10" s="581"/>
      <c r="AO10" s="581"/>
      <c r="AP10" s="581"/>
      <c r="AQ10" s="581"/>
      <c r="AR10" s="581"/>
    </row>
    <row r="11" spans="1:44" ht="13" x14ac:dyDescent="0.3">
      <c r="A11" s="581"/>
      <c r="C11" s="291"/>
      <c r="D11" s="256" t="str">
        <f>"which is a figure of £"&amp;TEXT(T14,"#,###.00")</f>
        <v>which is a figure of £.00</v>
      </c>
      <c r="H11" s="496"/>
      <c r="K11" s="581"/>
      <c r="L11" s="581"/>
      <c r="M11" s="581"/>
      <c r="N11" s="581"/>
      <c r="O11" s="581"/>
      <c r="P11" s="581"/>
      <c r="S11" s="480" t="s">
        <v>44</v>
      </c>
      <c r="T11" s="480"/>
      <c r="AA11" s="581"/>
      <c r="AB11" s="581"/>
      <c r="AC11" s="581"/>
      <c r="AD11" s="581"/>
      <c r="AE11" s="581"/>
      <c r="AF11" s="581"/>
      <c r="AG11" s="581"/>
      <c r="AH11" s="581"/>
      <c r="AI11" s="581"/>
      <c r="AJ11" s="581"/>
      <c r="AK11" s="581"/>
      <c r="AL11" s="581"/>
      <c r="AM11" s="581"/>
      <c r="AN11" s="581"/>
      <c r="AO11" s="581"/>
      <c r="AP11" s="581"/>
      <c r="AQ11" s="581"/>
      <c r="AR11" s="581"/>
    </row>
    <row r="12" spans="1:44" ht="13.5" customHeight="1" x14ac:dyDescent="0.3">
      <c r="A12" s="581"/>
      <c r="C12" s="291"/>
      <c r="D12" s="257" t="str">
        <f>"The Notional Liability is the RV as at "&amp;TEXT(T9+1,"dd/mm/yy")&amp;" ( "&amp;TEXT(T15,"#,###")&amp;" ) x the Small"</f>
        <v>The Notional Liability is the RV as at 01/04/23 (  ) x the Small</v>
      </c>
      <c r="K12" s="581"/>
      <c r="L12" s="581"/>
      <c r="M12" s="581"/>
      <c r="N12" s="581"/>
      <c r="O12" s="581"/>
      <c r="P12" s="581"/>
      <c r="S12" s="480" t="s">
        <v>45</v>
      </c>
      <c r="T12" s="480"/>
      <c r="AA12" s="581"/>
      <c r="AB12" s="581"/>
      <c r="AC12" s="581"/>
      <c r="AD12" s="581"/>
      <c r="AE12" s="581"/>
      <c r="AF12" s="581"/>
      <c r="AG12" s="581"/>
      <c r="AH12" s="581"/>
      <c r="AI12" s="581"/>
      <c r="AJ12" s="581"/>
      <c r="AK12" s="581"/>
      <c r="AL12" s="581"/>
      <c r="AM12" s="581"/>
      <c r="AN12" s="581"/>
      <c r="AO12" s="581"/>
      <c r="AP12" s="581"/>
      <c r="AQ12" s="581"/>
      <c r="AR12" s="581"/>
    </row>
    <row r="13" spans="1:44" ht="13.5" customHeight="1" x14ac:dyDescent="0.3">
      <c r="A13" s="581"/>
      <c r="C13" s="291"/>
      <c r="D13" s="256" t="str">
        <f>"Multiplier for "&amp;TEXT(text!B10,"dd/mm/yy")&amp;" ( "&amp;TEXT(T16,"0.000")&amp;" ) which gives a figure of "&amp;TEXT(T17,"#,###.00")</f>
        <v>Multiplier for 01/04/24 ( 0.499 ) which gives a figure of .00</v>
      </c>
      <c r="K13" s="581"/>
      <c r="L13" s="581"/>
      <c r="M13" s="581"/>
      <c r="N13" s="581"/>
      <c r="O13" s="581"/>
      <c r="P13" s="581"/>
      <c r="S13" s="480" t="s">
        <v>46</v>
      </c>
      <c r="T13" s="497"/>
      <c r="AA13" s="581"/>
      <c r="AB13" s="581"/>
      <c r="AC13" s="581"/>
      <c r="AD13" s="581"/>
      <c r="AE13" s="581"/>
      <c r="AF13" s="581"/>
      <c r="AG13" s="581"/>
      <c r="AH13" s="581"/>
      <c r="AI13" s="581"/>
      <c r="AJ13" s="581"/>
      <c r="AK13" s="581"/>
      <c r="AL13" s="581"/>
      <c r="AM13" s="581"/>
      <c r="AN13" s="581"/>
      <c r="AO13" s="581"/>
      <c r="AP13" s="581"/>
      <c r="AQ13" s="581"/>
      <c r="AR13" s="581"/>
    </row>
    <row r="14" spans="1:44" ht="13.5" customHeight="1" x14ac:dyDescent="0.3">
      <c r="A14" s="581"/>
      <c r="C14" s="291"/>
      <c r="D14" s="257"/>
      <c r="H14" s="476"/>
      <c r="K14" s="581"/>
      <c r="L14" s="581"/>
      <c r="M14" s="581"/>
      <c r="N14" s="581"/>
      <c r="O14" s="581"/>
      <c r="P14" s="581"/>
      <c r="S14" s="480" t="s">
        <v>49</v>
      </c>
      <c r="T14" s="480">
        <f>calc2!F19</f>
        <v>0</v>
      </c>
      <c r="AA14" s="581"/>
      <c r="AB14" s="581"/>
      <c r="AC14" s="581"/>
      <c r="AD14" s="581"/>
      <c r="AE14" s="581"/>
      <c r="AF14" s="581"/>
      <c r="AG14" s="581"/>
      <c r="AH14" s="581"/>
      <c r="AI14" s="581"/>
      <c r="AJ14" s="581"/>
      <c r="AK14" s="581"/>
      <c r="AL14" s="581"/>
      <c r="AM14" s="581"/>
      <c r="AN14" s="581"/>
      <c r="AO14" s="581"/>
      <c r="AP14" s="581"/>
      <c r="AQ14" s="581"/>
      <c r="AR14" s="581"/>
    </row>
    <row r="15" spans="1:44" ht="13.5" customHeight="1" x14ac:dyDescent="0.3">
      <c r="A15" s="581"/>
      <c r="C15" s="291"/>
      <c r="D15" s="256" t="str">
        <f>"The Notional Liability is "&amp;T19&amp;" than the Base Liability so the ratepayer is a revaluation "&amp;T20</f>
        <v>The Notional Liability is less than the Base Liability so the ratepayer is a revaluation Winner</v>
      </c>
      <c r="K15" s="581"/>
      <c r="L15" s="581"/>
      <c r="M15" s="581"/>
      <c r="N15" s="581"/>
      <c r="O15" s="581"/>
      <c r="P15" s="581"/>
      <c r="S15" s="480" t="s">
        <v>1223</v>
      </c>
      <c r="T15" s="495">
        <f>calc2!D5</f>
        <v>0</v>
      </c>
      <c r="AA15" s="581"/>
      <c r="AB15" s="581"/>
      <c r="AC15" s="581"/>
      <c r="AD15" s="581"/>
      <c r="AE15" s="581"/>
      <c r="AF15" s="581"/>
      <c r="AG15" s="581"/>
      <c r="AH15" s="581"/>
      <c r="AI15" s="581"/>
      <c r="AJ15" s="581"/>
      <c r="AK15" s="581"/>
      <c r="AL15" s="581"/>
      <c r="AM15" s="581"/>
      <c r="AN15" s="581"/>
      <c r="AO15" s="581"/>
      <c r="AP15" s="581"/>
      <c r="AQ15" s="581"/>
      <c r="AR15" s="581"/>
    </row>
    <row r="16" spans="1:44" ht="13.5" customHeight="1" x14ac:dyDescent="0.3">
      <c r="A16" s="581"/>
      <c r="C16" s="291"/>
      <c r="D16" s="256" t="str">
        <f>"The property is in "&amp;H4&amp;" so the Medium/Small threshold is "&amp;TEXT(T21,"#,###")&amp;". "</f>
        <v xml:space="preserve">The property is in England so the Medium/Small threshold is 20,000. </v>
      </c>
      <c r="K16" s="581"/>
      <c r="L16" s="581"/>
      <c r="M16" s="581"/>
      <c r="N16" s="581"/>
      <c r="O16" s="581"/>
      <c r="P16" s="581"/>
      <c r="S16" s="480" t="s">
        <v>47</v>
      </c>
      <c r="T16" s="480">
        <f>data!C55</f>
        <v>0.499</v>
      </c>
      <c r="AA16" s="581"/>
      <c r="AB16" s="581"/>
      <c r="AC16" s="581"/>
      <c r="AD16" s="581"/>
      <c r="AE16" s="581"/>
      <c r="AF16" s="581"/>
      <c r="AG16" s="581"/>
      <c r="AH16" s="581"/>
      <c r="AI16" s="581"/>
      <c r="AJ16" s="581"/>
      <c r="AK16" s="581"/>
      <c r="AL16" s="581"/>
      <c r="AM16" s="581"/>
      <c r="AN16" s="581"/>
      <c r="AO16" s="581"/>
      <c r="AP16" s="581"/>
      <c r="AQ16" s="581"/>
      <c r="AR16" s="581"/>
    </row>
    <row r="17" spans="1:44" ht="13.5" customHeight="1" x14ac:dyDescent="0.3">
      <c r="A17" s="581"/>
      <c r="C17" s="291"/>
      <c r="D17" s="256" t="str">
        <f>"The Large threshold is "&amp;TEXT(Y19,"#,###")</f>
        <v>The Large threshold is 100,000</v>
      </c>
      <c r="K17" s="581"/>
      <c r="L17" s="581"/>
      <c r="M17" s="581"/>
      <c r="N17" s="581"/>
      <c r="O17" s="581"/>
      <c r="P17" s="581"/>
      <c r="S17" s="480" t="s">
        <v>48</v>
      </c>
      <c r="T17" s="480">
        <f>T15*T16</f>
        <v>0</v>
      </c>
      <c r="V17" s="479" t="s">
        <v>51</v>
      </c>
      <c r="W17" s="479"/>
      <c r="X17" s="479"/>
      <c r="Y17" s="479"/>
      <c r="AA17" s="581"/>
      <c r="AB17" s="581"/>
      <c r="AC17" s="581"/>
      <c r="AD17" s="581"/>
      <c r="AE17" s="581"/>
      <c r="AF17" s="581"/>
      <c r="AG17" s="581"/>
      <c r="AH17" s="581"/>
      <c r="AI17" s="581"/>
      <c r="AJ17" s="581"/>
      <c r="AK17" s="581"/>
      <c r="AL17" s="581"/>
      <c r="AM17" s="581"/>
      <c r="AN17" s="581"/>
      <c r="AO17" s="581"/>
      <c r="AP17" s="581"/>
      <c r="AQ17" s="581"/>
      <c r="AR17" s="581"/>
    </row>
    <row r="18" spans="1:44" ht="13.5" customHeight="1" x14ac:dyDescent="0.3">
      <c r="A18" s="581"/>
      <c r="C18" s="291"/>
      <c r="D18" s="256" t="str">
        <f>"The RV as at "&amp;TEXT(T9+1,"dd/mm/yy")&amp;" is "&amp;TEXT(T15,"#,###")&amp;" so the property is "&amp;T23</f>
        <v>The RV as at 01/04/23 is  so the property is Small</v>
      </c>
      <c r="K18" s="581"/>
      <c r="L18" s="581"/>
      <c r="M18" s="581"/>
      <c r="N18" s="581"/>
      <c r="O18" s="581"/>
      <c r="P18" s="581"/>
      <c r="S18" s="480" t="s">
        <v>27</v>
      </c>
      <c r="T18" s="480" t="b">
        <f>T17&gt;T14</f>
        <v>0</v>
      </c>
      <c r="V18" s="480" t="str">
        <f>data!C22</f>
        <v>e small &lt;=</v>
      </c>
      <c r="W18" s="480" t="str">
        <f>data!D22</f>
        <v>l small &lt;=</v>
      </c>
      <c r="X18" s="480" t="str">
        <f>data!E22</f>
        <v>c small &lt;=</v>
      </c>
      <c r="Y18" s="480" t="str">
        <f>data!F22</f>
        <v>super &gt;</v>
      </c>
      <c r="AA18" s="581"/>
      <c r="AB18" s="581"/>
      <c r="AC18" s="581"/>
      <c r="AD18" s="581"/>
      <c r="AE18" s="581"/>
      <c r="AF18" s="581"/>
      <c r="AG18" s="581"/>
      <c r="AH18" s="581"/>
      <c r="AI18" s="581"/>
      <c r="AJ18" s="581"/>
      <c r="AK18" s="581"/>
      <c r="AL18" s="581"/>
      <c r="AM18" s="581"/>
      <c r="AN18" s="581"/>
      <c r="AO18" s="581"/>
      <c r="AP18" s="581"/>
      <c r="AQ18" s="581"/>
      <c r="AR18" s="581"/>
    </row>
    <row r="19" spans="1:44" ht="13.5" customHeight="1" x14ac:dyDescent="0.25">
      <c r="A19" s="581"/>
      <c r="K19" s="581"/>
      <c r="L19" s="581"/>
      <c r="M19" s="581"/>
      <c r="N19" s="581"/>
      <c r="O19" s="581"/>
      <c r="P19" s="581"/>
      <c r="S19" s="480" t="s">
        <v>50</v>
      </c>
      <c r="T19" s="480" t="str">
        <f>IF(T18=TRUE,"greater","less")</f>
        <v>less</v>
      </c>
      <c r="V19" s="480">
        <f>data!C23</f>
        <v>20000</v>
      </c>
      <c r="W19" s="480">
        <f>data!D23</f>
        <v>28000</v>
      </c>
      <c r="X19" s="480">
        <f>data!E23</f>
        <v>28000</v>
      </c>
      <c r="Y19" s="480">
        <f>data!F23</f>
        <v>100000</v>
      </c>
      <c r="AA19" s="581"/>
      <c r="AB19" s="581"/>
      <c r="AC19" s="581"/>
      <c r="AD19" s="581"/>
      <c r="AE19" s="581"/>
      <c r="AF19" s="581"/>
      <c r="AG19" s="581"/>
      <c r="AH19" s="581"/>
      <c r="AI19" s="581"/>
      <c r="AJ19" s="581"/>
      <c r="AK19" s="581"/>
      <c r="AL19" s="581"/>
      <c r="AM19" s="581"/>
      <c r="AN19" s="581"/>
      <c r="AO19" s="581"/>
      <c r="AP19" s="581"/>
      <c r="AQ19" s="581"/>
      <c r="AR19" s="581"/>
    </row>
    <row r="20" spans="1:44" ht="13.5" customHeight="1" x14ac:dyDescent="0.25">
      <c r="A20" s="581"/>
      <c r="D20" s="256" t="s">
        <v>28</v>
      </c>
      <c r="K20" s="581"/>
      <c r="L20" s="581"/>
      <c r="M20" s="581"/>
      <c r="N20" s="581"/>
      <c r="O20" s="581"/>
      <c r="P20" s="581"/>
      <c r="S20" s="480" t="s">
        <v>285</v>
      </c>
      <c r="T20" s="480" t="str">
        <f>IF(T18=TRUE,"Loser","Winner")</f>
        <v>Winner</v>
      </c>
      <c r="AA20" s="581"/>
      <c r="AB20" s="581"/>
      <c r="AC20" s="581"/>
      <c r="AD20" s="581"/>
      <c r="AE20" s="581"/>
      <c r="AF20" s="581"/>
      <c r="AG20" s="581"/>
      <c r="AH20" s="581"/>
      <c r="AI20" s="581"/>
      <c r="AJ20" s="581"/>
      <c r="AK20" s="581"/>
      <c r="AL20" s="581"/>
      <c r="AM20" s="581"/>
      <c r="AN20" s="581"/>
      <c r="AO20" s="581"/>
      <c r="AP20" s="581"/>
      <c r="AQ20" s="581"/>
      <c r="AR20" s="581"/>
    </row>
    <row r="21" spans="1:44" ht="13.5" customHeight="1" x14ac:dyDescent="0.25">
      <c r="A21" s="581"/>
      <c r="D21" s="256" t="str">
        <f>"for a '"&amp;T24&amp;"' is found by reference to the following table"</f>
        <v>for a 'Small Winner' is found by reference to the following table</v>
      </c>
      <c r="K21" s="581"/>
      <c r="L21" s="581"/>
      <c r="M21" s="581"/>
      <c r="N21" s="581"/>
      <c r="O21" s="581"/>
      <c r="P21" s="581"/>
      <c r="S21" s="480" t="s">
        <v>56</v>
      </c>
      <c r="T21" s="480">
        <f>calc2!D13</f>
        <v>20000</v>
      </c>
      <c r="V21" s="479" t="s">
        <v>53</v>
      </c>
      <c r="W21" s="479" t="s">
        <v>803</v>
      </c>
      <c r="AA21" s="581"/>
      <c r="AB21" s="581"/>
      <c r="AC21" s="581"/>
      <c r="AD21" s="581"/>
      <c r="AE21" s="581"/>
      <c r="AF21" s="581"/>
      <c r="AG21" s="581"/>
      <c r="AH21" s="581"/>
      <c r="AI21" s="581"/>
      <c r="AJ21" s="581"/>
      <c r="AK21" s="581"/>
      <c r="AL21" s="581"/>
      <c r="AM21" s="581"/>
      <c r="AN21" s="581"/>
      <c r="AO21" s="581"/>
      <c r="AP21" s="581"/>
      <c r="AQ21" s="581"/>
      <c r="AR21" s="581"/>
    </row>
    <row r="22" spans="1:44" ht="13.5" customHeight="1" x14ac:dyDescent="0.25">
      <c r="A22" s="581"/>
      <c r="K22" s="581"/>
      <c r="L22" s="581"/>
      <c r="M22" s="581"/>
      <c r="N22" s="581"/>
      <c r="O22" s="581"/>
      <c r="P22" s="581"/>
      <c r="S22" s="480" t="s">
        <v>52</v>
      </c>
      <c r="T22" s="495" t="str">
        <f>calc2!D23</f>
        <v>s</v>
      </c>
      <c r="V22" s="479" t="s">
        <v>54</v>
      </c>
      <c r="W22" s="479" t="s">
        <v>824</v>
      </c>
      <c r="AA22" s="581"/>
      <c r="AB22" s="581"/>
      <c r="AC22" s="581"/>
      <c r="AD22" s="581"/>
      <c r="AE22" s="581"/>
      <c r="AF22" s="581"/>
      <c r="AG22" s="581"/>
      <c r="AH22" s="581"/>
      <c r="AI22" s="581"/>
      <c r="AJ22" s="581"/>
      <c r="AK22" s="581"/>
      <c r="AL22" s="581"/>
      <c r="AM22" s="581"/>
      <c r="AN22" s="581"/>
      <c r="AO22" s="581"/>
      <c r="AP22" s="581"/>
      <c r="AQ22" s="581"/>
      <c r="AR22" s="581"/>
    </row>
    <row r="23" spans="1:44" ht="13.5" customHeight="1" x14ac:dyDescent="0.3">
      <c r="A23" s="581"/>
      <c r="D23" s="291" t="s">
        <v>29</v>
      </c>
      <c r="E23" s="477" t="s">
        <v>30</v>
      </c>
      <c r="F23" s="477" t="s">
        <v>31</v>
      </c>
      <c r="G23" s="272" t="s">
        <v>32</v>
      </c>
      <c r="K23" s="581"/>
      <c r="L23" s="581"/>
      <c r="M23" s="581"/>
      <c r="N23" s="581"/>
      <c r="O23" s="581"/>
      <c r="P23" s="581"/>
      <c r="S23" s="480" t="s">
        <v>55</v>
      </c>
      <c r="T23" s="480" t="str">
        <f>VLOOKUP(T22,V21:W23,2,FALSE)</f>
        <v>Small</v>
      </c>
      <c r="V23" s="479" t="s">
        <v>293</v>
      </c>
      <c r="W23" s="479" t="s">
        <v>804</v>
      </c>
      <c r="AA23" s="581"/>
      <c r="AB23" s="581"/>
      <c r="AC23" s="581"/>
      <c r="AD23" s="581"/>
      <c r="AE23" s="581"/>
      <c r="AF23" s="581"/>
      <c r="AG23" s="581"/>
      <c r="AH23" s="581"/>
      <c r="AI23" s="581"/>
      <c r="AJ23" s="581"/>
      <c r="AK23" s="581"/>
      <c r="AL23" s="581"/>
      <c r="AM23" s="581"/>
      <c r="AN23" s="581"/>
      <c r="AO23" s="581"/>
      <c r="AP23" s="581"/>
      <c r="AQ23" s="581"/>
      <c r="AR23" s="581"/>
    </row>
    <row r="24" spans="1:44" ht="13.5" customHeight="1" x14ac:dyDescent="0.3">
      <c r="A24" s="581"/>
      <c r="C24" s="478" t="str">
        <f t="shared" ref="C24:C29" si="0">IF(D24=$T$24,"&gt;","")</f>
        <v/>
      </c>
      <c r="D24" s="479" t="s">
        <v>33</v>
      </c>
      <c r="E24" s="480">
        <f>data!C5</f>
        <v>0</v>
      </c>
      <c r="F24" s="480">
        <f>'info sheet'!J31</f>
        <v>1</v>
      </c>
      <c r="G24" s="480">
        <f t="shared" ref="G24:G29" si="1">E24*F24/100</f>
        <v>0</v>
      </c>
      <c r="K24" s="581"/>
      <c r="L24" s="581"/>
      <c r="M24" s="581"/>
      <c r="N24" s="581"/>
      <c r="O24" s="581"/>
      <c r="P24" s="581"/>
      <c r="S24" s="480" t="s">
        <v>279</v>
      </c>
      <c r="T24" s="480" t="str">
        <f>T23&amp;" "&amp;T20</f>
        <v>Small Winner</v>
      </c>
      <c r="AA24" s="581"/>
      <c r="AB24" s="581"/>
      <c r="AC24" s="581"/>
      <c r="AD24" s="581"/>
      <c r="AE24" s="581"/>
      <c r="AF24" s="581"/>
      <c r="AG24" s="581"/>
      <c r="AH24" s="581"/>
      <c r="AI24" s="581"/>
      <c r="AJ24" s="581"/>
      <c r="AK24" s="581"/>
      <c r="AL24" s="581"/>
      <c r="AM24" s="581"/>
      <c r="AN24" s="581"/>
      <c r="AO24" s="581"/>
      <c r="AP24" s="581"/>
      <c r="AQ24" s="581"/>
      <c r="AR24" s="581"/>
    </row>
    <row r="25" spans="1:44" ht="13.5" customHeight="1" x14ac:dyDescent="0.3">
      <c r="A25" s="581"/>
      <c r="C25" s="478" t="str">
        <f t="shared" si="0"/>
        <v/>
      </c>
      <c r="D25" s="479" t="s">
        <v>34</v>
      </c>
      <c r="E25" s="480">
        <f>data!D5</f>
        <v>0</v>
      </c>
      <c r="F25" s="480">
        <f>F24</f>
        <v>1</v>
      </c>
      <c r="G25" s="480">
        <f t="shared" si="1"/>
        <v>0</v>
      </c>
      <c r="K25" s="581"/>
      <c r="L25" s="581"/>
      <c r="M25" s="581"/>
      <c r="N25" s="581"/>
      <c r="O25" s="581"/>
      <c r="P25" s="581"/>
      <c r="S25" s="480" t="s">
        <v>59</v>
      </c>
      <c r="T25" s="480" t="str">
        <f>IF(T22&lt;T23,"below","above")</f>
        <v>below</v>
      </c>
      <c r="AA25" s="581"/>
      <c r="AB25" s="581"/>
      <c r="AC25" s="581"/>
      <c r="AD25" s="581"/>
      <c r="AE25" s="581"/>
      <c r="AF25" s="581"/>
      <c r="AG25" s="581"/>
      <c r="AH25" s="581"/>
      <c r="AI25" s="581"/>
      <c r="AJ25" s="581"/>
      <c r="AK25" s="581"/>
      <c r="AL25" s="581"/>
      <c r="AM25" s="581"/>
      <c r="AN25" s="581"/>
      <c r="AO25" s="581"/>
      <c r="AP25" s="581"/>
      <c r="AQ25" s="581"/>
      <c r="AR25" s="581"/>
    </row>
    <row r="26" spans="1:44" ht="13.5" customHeight="1" x14ac:dyDescent="0.3">
      <c r="A26" s="581"/>
      <c r="C26" s="478" t="str">
        <f t="shared" si="0"/>
        <v>&gt;</v>
      </c>
      <c r="D26" s="479" t="s">
        <v>35</v>
      </c>
      <c r="E26" s="480">
        <f>data!E5</f>
        <v>0</v>
      </c>
      <c r="F26" s="480">
        <f>F25</f>
        <v>1</v>
      </c>
      <c r="G26" s="480">
        <f t="shared" si="1"/>
        <v>0</v>
      </c>
      <c r="K26" s="581"/>
      <c r="L26" s="581"/>
      <c r="M26" s="581"/>
      <c r="N26" s="581"/>
      <c r="O26" s="581"/>
      <c r="P26" s="581"/>
      <c r="S26" s="480" t="s">
        <v>58</v>
      </c>
      <c r="T26" s="480">
        <f>calc2!F27</f>
        <v>1</v>
      </c>
      <c r="AA26" s="581"/>
      <c r="AB26" s="581"/>
      <c r="AC26" s="581"/>
      <c r="AD26" s="581"/>
      <c r="AE26" s="581"/>
      <c r="AF26" s="581"/>
      <c r="AG26" s="581"/>
      <c r="AH26" s="581"/>
      <c r="AI26" s="581"/>
      <c r="AJ26" s="581"/>
      <c r="AK26" s="581"/>
      <c r="AL26" s="581"/>
      <c r="AM26" s="581"/>
      <c r="AN26" s="581"/>
      <c r="AO26" s="581"/>
      <c r="AP26" s="581"/>
      <c r="AQ26" s="581"/>
      <c r="AR26" s="581"/>
    </row>
    <row r="27" spans="1:44" ht="13.5" customHeight="1" x14ac:dyDescent="0.3">
      <c r="A27" s="581"/>
      <c r="C27" s="478" t="str">
        <f t="shared" si="0"/>
        <v/>
      </c>
      <c r="D27" s="479" t="s">
        <v>36</v>
      </c>
      <c r="E27" s="480">
        <f>data!F5</f>
        <v>155</v>
      </c>
      <c r="F27" s="480">
        <f>F26</f>
        <v>1</v>
      </c>
      <c r="G27" s="480">
        <f t="shared" si="1"/>
        <v>1.55</v>
      </c>
      <c r="K27" s="581"/>
      <c r="L27" s="581"/>
      <c r="M27" s="581"/>
      <c r="N27" s="581"/>
      <c r="O27" s="581"/>
      <c r="P27" s="581"/>
      <c r="S27" s="480" t="s">
        <v>39</v>
      </c>
      <c r="T27" s="485">
        <f>F32-T17</f>
        <v>0</v>
      </c>
      <c r="AA27" s="581"/>
      <c r="AB27" s="581"/>
      <c r="AC27" s="581"/>
      <c r="AD27" s="581"/>
      <c r="AE27" s="581"/>
      <c r="AF27" s="581"/>
      <c r="AG27" s="581"/>
      <c r="AH27" s="581"/>
      <c r="AI27" s="581"/>
      <c r="AJ27" s="581"/>
      <c r="AK27" s="581"/>
      <c r="AL27" s="581"/>
      <c r="AM27" s="581"/>
      <c r="AN27" s="581"/>
      <c r="AO27" s="581"/>
      <c r="AP27" s="581"/>
      <c r="AQ27" s="581"/>
      <c r="AR27" s="581"/>
    </row>
    <row r="28" spans="1:44" ht="13.5" customHeight="1" x14ac:dyDescent="0.3">
      <c r="A28" s="581"/>
      <c r="C28" s="478" t="str">
        <f t="shared" si="0"/>
        <v/>
      </c>
      <c r="D28" s="479" t="s">
        <v>37</v>
      </c>
      <c r="E28" s="480">
        <f>data!G5</f>
        <v>140</v>
      </c>
      <c r="F28" s="480">
        <f>F27</f>
        <v>1</v>
      </c>
      <c r="G28" s="480">
        <f t="shared" si="1"/>
        <v>1.4</v>
      </c>
      <c r="K28" s="581"/>
      <c r="L28" s="581"/>
      <c r="M28" s="581"/>
      <c r="N28" s="581"/>
      <c r="O28" s="581"/>
      <c r="P28" s="581"/>
      <c r="AA28" s="581"/>
      <c r="AB28" s="581"/>
      <c r="AC28" s="581"/>
      <c r="AD28" s="581"/>
      <c r="AE28" s="581"/>
      <c r="AF28" s="581"/>
      <c r="AG28" s="581"/>
      <c r="AH28" s="581"/>
      <c r="AI28" s="581"/>
      <c r="AJ28" s="581"/>
      <c r="AK28" s="581"/>
      <c r="AL28" s="581"/>
      <c r="AM28" s="581"/>
      <c r="AN28" s="581"/>
      <c r="AO28" s="581"/>
      <c r="AP28" s="581"/>
      <c r="AQ28" s="581"/>
      <c r="AR28" s="581"/>
    </row>
    <row r="29" spans="1:44" ht="13.5" customHeight="1" x14ac:dyDescent="0.3">
      <c r="A29" s="581"/>
      <c r="C29" s="478" t="str">
        <f t="shared" si="0"/>
        <v/>
      </c>
      <c r="D29" s="479" t="s">
        <v>38</v>
      </c>
      <c r="E29" s="480">
        <f>data!H5</f>
        <v>125</v>
      </c>
      <c r="F29" s="480">
        <f>F28</f>
        <v>1</v>
      </c>
      <c r="G29" s="480">
        <f t="shared" si="1"/>
        <v>1.25</v>
      </c>
      <c r="K29" s="581"/>
      <c r="L29" s="581"/>
      <c r="M29" s="581"/>
      <c r="N29" s="581"/>
      <c r="O29" s="581"/>
      <c r="P29" s="581"/>
      <c r="AA29" s="581"/>
      <c r="AB29" s="581"/>
      <c r="AC29" s="581"/>
      <c r="AD29" s="581"/>
      <c r="AE29" s="581"/>
      <c r="AF29" s="581"/>
      <c r="AG29" s="581"/>
      <c r="AH29" s="581"/>
      <c r="AI29" s="581"/>
      <c r="AJ29" s="581"/>
      <c r="AK29" s="581"/>
      <c r="AL29" s="581"/>
      <c r="AM29" s="581"/>
      <c r="AN29" s="581"/>
      <c r="AO29" s="581"/>
      <c r="AP29" s="581"/>
      <c r="AQ29" s="581"/>
      <c r="AR29" s="581"/>
    </row>
    <row r="30" spans="1:44" ht="13.5" customHeight="1" x14ac:dyDescent="0.3">
      <c r="A30" s="581"/>
      <c r="C30" s="291"/>
      <c r="K30" s="581"/>
      <c r="L30" s="581"/>
      <c r="M30" s="581"/>
      <c r="N30" s="581"/>
      <c r="O30" s="581"/>
      <c r="P30" s="581"/>
      <c r="AA30" s="581"/>
      <c r="AB30" s="581"/>
      <c r="AC30" s="581"/>
      <c r="AD30" s="581"/>
      <c r="AE30" s="581"/>
      <c r="AF30" s="581"/>
      <c r="AG30" s="581"/>
      <c r="AH30" s="581"/>
      <c r="AI30" s="581"/>
      <c r="AJ30" s="581"/>
      <c r="AK30" s="581"/>
      <c r="AL30" s="581"/>
      <c r="AM30" s="581"/>
      <c r="AN30" s="581"/>
      <c r="AO30" s="581"/>
      <c r="AP30" s="581"/>
      <c r="AQ30" s="581"/>
      <c r="AR30" s="581"/>
    </row>
    <row r="31" spans="1:44" ht="13.5" customHeight="1" x14ac:dyDescent="0.3">
      <c r="A31" s="581"/>
      <c r="C31" s="291"/>
      <c r="D31" s="256" t="s">
        <v>60</v>
      </c>
      <c r="K31" s="581"/>
      <c r="L31" s="581"/>
      <c r="M31" s="581"/>
      <c r="N31" s="581"/>
      <c r="O31" s="581"/>
      <c r="P31" s="581"/>
      <c r="AA31" s="581"/>
      <c r="AB31" s="581"/>
      <c r="AC31" s="581"/>
      <c r="AD31" s="581"/>
      <c r="AE31" s="581"/>
      <c r="AF31" s="581"/>
      <c r="AG31" s="581"/>
      <c r="AH31" s="581"/>
      <c r="AI31" s="581"/>
      <c r="AJ31" s="581"/>
      <c r="AK31" s="581"/>
      <c r="AL31" s="581"/>
      <c r="AM31" s="581"/>
      <c r="AN31" s="581"/>
      <c r="AO31" s="581"/>
      <c r="AP31" s="581"/>
      <c r="AQ31" s="581"/>
      <c r="AR31" s="581"/>
    </row>
    <row r="32" spans="1:44" ht="22.5" customHeight="1" x14ac:dyDescent="0.35">
      <c r="A32" s="581"/>
      <c r="C32" s="291"/>
      <c r="D32" s="488" t="str">
        <f>"    "&amp;TEXT(T14,"#,###.00")&amp;"  x  "&amp;T26&amp;" = "</f>
        <v xml:space="preserve">    .00  x  1 = </v>
      </c>
      <c r="E32" s="490"/>
      <c r="F32" s="491">
        <f>calc2!F28</f>
        <v>0</v>
      </c>
      <c r="K32" s="581"/>
      <c r="L32" s="581"/>
      <c r="M32" s="581"/>
      <c r="N32" s="581"/>
      <c r="O32" s="581"/>
      <c r="P32" s="581"/>
      <c r="Q32" s="149"/>
      <c r="R32" s="149"/>
      <c r="S32" s="149"/>
      <c r="T32" s="149"/>
      <c r="U32" s="149"/>
      <c r="V32" s="149"/>
      <c r="W32" s="149"/>
      <c r="AA32" s="581"/>
      <c r="AB32" s="581"/>
      <c r="AC32" s="581"/>
      <c r="AD32" s="581"/>
      <c r="AE32" s="581"/>
      <c r="AF32" s="581"/>
      <c r="AG32" s="581"/>
      <c r="AH32" s="581"/>
      <c r="AI32" s="581"/>
      <c r="AJ32" s="581"/>
      <c r="AK32" s="581"/>
      <c r="AL32" s="581"/>
      <c r="AM32" s="581"/>
      <c r="AN32" s="581"/>
      <c r="AO32" s="581"/>
      <c r="AP32" s="581"/>
      <c r="AQ32" s="581"/>
      <c r="AR32" s="581"/>
    </row>
    <row r="33" spans="1:44" ht="14.5" x14ac:dyDescent="0.35">
      <c r="A33" s="581"/>
      <c r="C33" s="291"/>
      <c r="K33" s="581"/>
      <c r="L33" s="581"/>
      <c r="M33" s="581"/>
      <c r="N33" s="581"/>
      <c r="O33" s="581"/>
      <c r="P33" s="581"/>
      <c r="Q33" s="149"/>
      <c r="R33" s="149"/>
      <c r="S33" s="149"/>
      <c r="T33" s="149"/>
      <c r="U33" s="149"/>
      <c r="V33" s="149"/>
      <c r="W33" s="149"/>
      <c r="AA33" s="581"/>
      <c r="AB33" s="581"/>
      <c r="AC33" s="581"/>
      <c r="AD33" s="581"/>
      <c r="AE33" s="581"/>
      <c r="AF33" s="581"/>
      <c r="AG33" s="581"/>
      <c r="AH33" s="581"/>
      <c r="AI33" s="581"/>
      <c r="AJ33" s="581"/>
      <c r="AK33" s="581"/>
      <c r="AL33" s="581"/>
      <c r="AM33" s="581"/>
      <c r="AN33" s="581"/>
      <c r="AO33" s="581"/>
      <c r="AP33" s="581"/>
      <c r="AQ33" s="581"/>
      <c r="AR33" s="581"/>
    </row>
    <row r="34" spans="1:44" ht="13.5" customHeight="1" x14ac:dyDescent="0.35">
      <c r="A34" s="581"/>
      <c r="C34" s="291"/>
      <c r="D34" s="256" t="str">
        <f>"The ratepayer is a "&amp;T20&amp;". Therefore, if the Notional Liability is "&amp;T19&amp;" than the"</f>
        <v>The ratepayer is a Winner. Therefore, if the Notional Liability is less than the</v>
      </c>
      <c r="K34" s="581"/>
      <c r="L34" s="581"/>
      <c r="M34" s="581"/>
      <c r="N34" s="581"/>
      <c r="O34" s="581"/>
      <c r="P34" s="581"/>
      <c r="Q34" s="149"/>
      <c r="R34" s="149"/>
      <c r="S34" s="149"/>
      <c r="T34" s="149"/>
      <c r="U34" s="149"/>
      <c r="V34" s="149"/>
      <c r="W34" s="149"/>
      <c r="AA34" s="581"/>
      <c r="AB34" s="581"/>
      <c r="AC34" s="581"/>
      <c r="AD34" s="581"/>
      <c r="AE34" s="581"/>
      <c r="AF34" s="581"/>
      <c r="AG34" s="581"/>
      <c r="AH34" s="581"/>
      <c r="AI34" s="581"/>
      <c r="AJ34" s="581"/>
      <c r="AK34" s="581"/>
      <c r="AL34" s="581"/>
      <c r="AM34" s="581"/>
      <c r="AN34" s="581"/>
      <c r="AO34" s="581"/>
      <c r="AP34" s="581"/>
      <c r="AQ34" s="581"/>
      <c r="AR34" s="581"/>
    </row>
    <row r="35" spans="1:44" ht="13.5" customHeight="1" x14ac:dyDescent="0.35">
      <c r="A35" s="581"/>
      <c r="C35" s="291"/>
      <c r="D35" s="256" t="str">
        <f>"Base Liability AND "&amp;T19&amp;" than the Transitional Limit, transitional limits will apply"</f>
        <v>Base Liability AND less than the Transitional Limit, transitional limits will apply</v>
      </c>
      <c r="K35" s="581"/>
      <c r="L35" s="581"/>
      <c r="M35" s="581"/>
      <c r="N35" s="581"/>
      <c r="O35" s="581"/>
      <c r="P35" s="581"/>
      <c r="Q35" s="149"/>
      <c r="R35" s="149"/>
      <c r="S35" s="149"/>
      <c r="T35" s="149"/>
      <c r="U35" s="149"/>
      <c r="V35" s="149"/>
      <c r="W35" s="149"/>
      <c r="AA35" s="581"/>
      <c r="AB35" s="581"/>
      <c r="AC35" s="581"/>
      <c r="AD35" s="581"/>
      <c r="AE35" s="581"/>
      <c r="AF35" s="581"/>
      <c r="AG35" s="581"/>
      <c r="AH35" s="581"/>
      <c r="AI35" s="581"/>
      <c r="AJ35" s="581"/>
      <c r="AK35" s="581"/>
      <c r="AL35" s="581"/>
      <c r="AM35" s="581"/>
      <c r="AN35" s="581"/>
      <c r="AO35" s="581"/>
      <c r="AP35" s="581"/>
      <c r="AQ35" s="581"/>
      <c r="AR35" s="581"/>
    </row>
    <row r="36" spans="1:44" ht="13.5" customHeight="1" x14ac:dyDescent="0.35">
      <c r="A36" s="581"/>
      <c r="C36" s="291"/>
      <c r="K36" s="581"/>
      <c r="L36" s="581"/>
      <c r="M36" s="581"/>
      <c r="N36" s="581"/>
      <c r="O36" s="581"/>
      <c r="P36" s="581"/>
      <c r="Q36" s="149"/>
      <c r="R36" s="149"/>
      <c r="S36" s="149"/>
      <c r="T36" s="149"/>
      <c r="U36" s="149"/>
      <c r="V36" s="149"/>
      <c r="W36" s="149"/>
      <c r="AA36" s="581"/>
      <c r="AB36" s="581"/>
      <c r="AC36" s="581"/>
      <c r="AD36" s="581"/>
      <c r="AE36" s="581"/>
      <c r="AF36" s="581"/>
      <c r="AG36" s="581"/>
      <c r="AH36" s="581"/>
      <c r="AI36" s="581"/>
      <c r="AJ36" s="581"/>
      <c r="AK36" s="581"/>
      <c r="AL36" s="581"/>
      <c r="AM36" s="581"/>
      <c r="AN36" s="581"/>
      <c r="AO36" s="581"/>
      <c r="AP36" s="581"/>
      <c r="AQ36" s="581"/>
      <c r="AR36" s="581"/>
    </row>
    <row r="37" spans="1:44" ht="13.5" customHeight="1" x14ac:dyDescent="0.35">
      <c r="A37" s="581"/>
      <c r="C37" s="291"/>
      <c r="D37" s="482" t="s">
        <v>40</v>
      </c>
      <c r="E37" s="483"/>
      <c r="F37" s="484">
        <f>T17</f>
        <v>0</v>
      </c>
      <c r="K37" s="581"/>
      <c r="L37" s="581"/>
      <c r="M37" s="581"/>
      <c r="N37" s="581"/>
      <c r="O37" s="581"/>
      <c r="P37" s="581"/>
      <c r="Q37" s="149"/>
      <c r="R37" s="149"/>
      <c r="S37" s="149"/>
      <c r="T37" s="149"/>
      <c r="U37" s="149"/>
      <c r="V37" s="149"/>
      <c r="W37" s="149"/>
      <c r="AA37" s="581"/>
      <c r="AB37" s="581"/>
      <c r="AC37" s="581"/>
      <c r="AD37" s="581"/>
      <c r="AE37" s="581"/>
      <c r="AF37" s="581"/>
      <c r="AG37" s="581"/>
      <c r="AH37" s="581"/>
      <c r="AI37" s="581"/>
      <c r="AJ37" s="581"/>
      <c r="AK37" s="581"/>
      <c r="AL37" s="581"/>
      <c r="AM37" s="581"/>
      <c r="AN37" s="581"/>
      <c r="AO37" s="581"/>
      <c r="AP37" s="581"/>
      <c r="AQ37" s="581"/>
      <c r="AR37" s="581"/>
    </row>
    <row r="38" spans="1:44" ht="13.5" customHeight="1" x14ac:dyDescent="0.35">
      <c r="A38" s="581"/>
      <c r="C38" s="291"/>
      <c r="D38" s="482" t="s">
        <v>834</v>
      </c>
      <c r="E38" s="483"/>
      <c r="F38" s="484">
        <f>T14</f>
        <v>0</v>
      </c>
      <c r="K38" s="581"/>
      <c r="L38" s="581"/>
      <c r="M38" s="581"/>
      <c r="N38" s="581"/>
      <c r="O38" s="581"/>
      <c r="P38" s="581"/>
      <c r="Q38" s="149"/>
      <c r="R38" s="149"/>
      <c r="S38" s="149"/>
      <c r="T38" s="149"/>
      <c r="U38" s="149"/>
      <c r="V38" s="149"/>
      <c r="W38" s="149"/>
      <c r="AA38" s="581"/>
      <c r="AB38" s="581"/>
      <c r="AC38" s="581"/>
      <c r="AD38" s="581"/>
      <c r="AE38" s="581"/>
      <c r="AF38" s="581"/>
      <c r="AG38" s="581"/>
      <c r="AH38" s="581"/>
      <c r="AI38" s="581"/>
      <c r="AJ38" s="581"/>
      <c r="AK38" s="581"/>
      <c r="AL38" s="581"/>
      <c r="AM38" s="581"/>
      <c r="AN38" s="581"/>
      <c r="AO38" s="581"/>
      <c r="AP38" s="581"/>
      <c r="AQ38" s="581"/>
      <c r="AR38" s="581"/>
    </row>
    <row r="39" spans="1:44" ht="13.5" customHeight="1" x14ac:dyDescent="0.35">
      <c r="A39" s="581"/>
      <c r="C39" s="291"/>
      <c r="D39" s="482" t="s">
        <v>41</v>
      </c>
      <c r="E39" s="483"/>
      <c r="F39" s="484">
        <f>F32</f>
        <v>0</v>
      </c>
      <c r="K39" s="581"/>
      <c r="L39" s="581"/>
      <c r="M39" s="581"/>
      <c r="N39" s="581"/>
      <c r="O39" s="581"/>
      <c r="P39" s="581"/>
      <c r="Q39" s="149"/>
      <c r="R39" s="149"/>
      <c r="S39" s="149"/>
      <c r="T39" s="149"/>
      <c r="U39" s="149"/>
      <c r="V39" s="149"/>
      <c r="W39" s="149"/>
      <c r="AA39" s="581"/>
      <c r="AB39" s="581"/>
      <c r="AC39" s="581"/>
      <c r="AD39" s="581"/>
      <c r="AE39" s="581"/>
      <c r="AF39" s="581"/>
      <c r="AG39" s="581"/>
      <c r="AH39" s="581"/>
      <c r="AI39" s="581"/>
      <c r="AJ39" s="581"/>
      <c r="AK39" s="581"/>
      <c r="AL39" s="581"/>
      <c r="AM39" s="581"/>
      <c r="AN39" s="581"/>
      <c r="AO39" s="581"/>
      <c r="AP39" s="581"/>
      <c r="AQ39" s="581"/>
      <c r="AR39" s="581"/>
    </row>
    <row r="40" spans="1:44" ht="14.15" customHeight="1" x14ac:dyDescent="0.35">
      <c r="A40" s="581"/>
      <c r="D40" s="482" t="s">
        <v>42</v>
      </c>
      <c r="E40" s="483"/>
      <c r="F40" s="485" t="str">
        <f>IF(calc2!F38 = TRUE,"Yes","No")</f>
        <v>No</v>
      </c>
      <c r="G40" s="257" t="str">
        <f>IF(T14=0,"If there is no BL transition does not apply",IF(F40="Yes",IF(T20="Loser","(Transitional Relief)","(Transitional Premium)"),""))</f>
        <v>If there is no BL transition does not apply</v>
      </c>
      <c r="K40" s="581"/>
      <c r="L40" s="581"/>
      <c r="M40" s="581"/>
      <c r="N40" s="581"/>
      <c r="O40" s="581"/>
      <c r="P40" s="581"/>
      <c r="Q40" s="149"/>
      <c r="R40" s="149"/>
      <c r="S40" s="149"/>
      <c r="T40" s="149"/>
      <c r="U40" s="149"/>
      <c r="V40" s="149"/>
      <c r="W40" s="149"/>
      <c r="AA40" s="581"/>
      <c r="AB40" s="581"/>
      <c r="AC40" s="581"/>
      <c r="AD40" s="581"/>
      <c r="AE40" s="581"/>
      <c r="AF40" s="581"/>
      <c r="AG40" s="581"/>
      <c r="AH40" s="581"/>
      <c r="AI40" s="581"/>
      <c r="AJ40" s="581"/>
      <c r="AK40" s="581"/>
      <c r="AL40" s="581"/>
      <c r="AM40" s="581"/>
      <c r="AN40" s="581"/>
      <c r="AO40" s="581"/>
      <c r="AP40" s="581"/>
      <c r="AQ40" s="581"/>
      <c r="AR40" s="581"/>
    </row>
    <row r="41" spans="1:44" ht="14.15" customHeight="1" x14ac:dyDescent="0.35">
      <c r="A41" s="581"/>
      <c r="F41" s="486"/>
      <c r="K41" s="581"/>
      <c r="L41" s="581"/>
      <c r="M41" s="581"/>
      <c r="N41" s="581"/>
      <c r="O41" s="581"/>
      <c r="P41" s="581"/>
      <c r="Q41" s="149"/>
      <c r="R41" s="149"/>
      <c r="S41" s="149"/>
      <c r="T41" s="149"/>
      <c r="U41" s="149"/>
      <c r="V41" s="149"/>
      <c r="W41" s="149"/>
      <c r="AA41" s="581"/>
      <c r="AB41" s="581"/>
      <c r="AC41" s="581"/>
      <c r="AD41" s="581"/>
      <c r="AE41" s="581"/>
      <c r="AF41" s="581"/>
      <c r="AG41" s="581"/>
      <c r="AH41" s="581"/>
      <c r="AI41" s="581"/>
      <c r="AJ41" s="581"/>
      <c r="AK41" s="581"/>
      <c r="AL41" s="581"/>
      <c r="AM41" s="581"/>
      <c r="AN41" s="581"/>
      <c r="AO41" s="581"/>
      <c r="AP41" s="581"/>
      <c r="AQ41" s="581"/>
      <c r="AR41" s="581"/>
    </row>
    <row r="42" spans="1:44" ht="19.5" customHeight="1" x14ac:dyDescent="0.35">
      <c r="A42" s="581"/>
      <c r="D42" s="488" t="str">
        <f>IF(F40="Yes","The Transitional Adjustment (TL - NL) is therefore   "&amp;TEXT(T27,"#,###.00"),"In this case there will be no transitional adjustment")</f>
        <v>In this case there will be no transitional adjustment</v>
      </c>
      <c r="F42" s="486"/>
      <c r="G42" s="481"/>
      <c r="K42" s="581"/>
      <c r="L42" s="581"/>
      <c r="M42" s="581"/>
      <c r="N42" s="581"/>
      <c r="O42" s="581"/>
      <c r="P42" s="581"/>
      <c r="Q42" s="149"/>
      <c r="R42" s="149"/>
      <c r="S42" s="149"/>
      <c r="T42" s="149"/>
      <c r="U42" s="149"/>
      <c r="V42" s="149"/>
      <c r="W42" s="149"/>
      <c r="AA42" s="581"/>
      <c r="AB42" s="581"/>
      <c r="AC42" s="581"/>
      <c r="AD42" s="581"/>
      <c r="AE42" s="581"/>
      <c r="AF42" s="581"/>
      <c r="AG42" s="581"/>
      <c r="AH42" s="581"/>
      <c r="AI42" s="581"/>
      <c r="AJ42" s="581"/>
      <c r="AK42" s="581"/>
      <c r="AL42" s="581"/>
      <c r="AM42" s="581"/>
      <c r="AN42" s="581"/>
      <c r="AO42" s="581"/>
      <c r="AP42" s="581"/>
      <c r="AQ42" s="581"/>
      <c r="AR42" s="581"/>
    </row>
    <row r="43" spans="1:44" ht="14.15" customHeight="1" x14ac:dyDescent="0.35">
      <c r="A43" s="581"/>
      <c r="F43" s="486"/>
      <c r="K43" s="581"/>
      <c r="L43" s="581"/>
      <c r="M43" s="581"/>
      <c r="N43" s="581"/>
      <c r="O43" s="581"/>
      <c r="P43" s="581"/>
      <c r="Q43" s="149"/>
      <c r="R43" s="149"/>
      <c r="S43" s="149"/>
      <c r="T43" s="149"/>
      <c r="U43" s="149"/>
      <c r="V43" s="149"/>
      <c r="W43" s="149"/>
      <c r="AA43" s="581"/>
      <c r="AB43" s="581"/>
      <c r="AC43" s="581"/>
      <c r="AD43" s="581"/>
      <c r="AE43" s="581"/>
      <c r="AF43" s="581"/>
      <c r="AG43" s="581"/>
      <c r="AH43" s="581"/>
      <c r="AI43" s="581"/>
      <c r="AJ43" s="581"/>
      <c r="AK43" s="581"/>
      <c r="AL43" s="581"/>
      <c r="AM43" s="581"/>
      <c r="AN43" s="581"/>
      <c r="AO43" s="581"/>
      <c r="AP43" s="581"/>
      <c r="AQ43" s="581"/>
      <c r="AR43" s="581"/>
    </row>
    <row r="44" spans="1:44" ht="14.15" customHeight="1" x14ac:dyDescent="0.35">
      <c r="A44" s="581"/>
      <c r="D44" s="256" t="str">
        <f>IF(F40="Yes","This figure will be adjusted for the number of chargeable days (if not a full year) and used","")</f>
        <v/>
      </c>
      <c r="F44" s="486"/>
      <c r="K44" s="581"/>
      <c r="L44" s="581"/>
      <c r="M44" s="581"/>
      <c r="N44" s="581"/>
      <c r="O44" s="581"/>
      <c r="P44" s="581"/>
      <c r="Q44" s="149"/>
      <c r="R44" s="149"/>
      <c r="S44" s="149"/>
      <c r="T44" s="149"/>
      <c r="U44" s="149"/>
      <c r="V44" s="149"/>
      <c r="W44" s="149"/>
      <c r="AA44" s="581"/>
      <c r="AB44" s="581"/>
      <c r="AC44" s="581"/>
      <c r="AD44" s="581"/>
      <c r="AE44" s="581"/>
      <c r="AF44" s="581"/>
      <c r="AG44" s="581"/>
      <c r="AH44" s="581"/>
      <c r="AI44" s="581"/>
      <c r="AJ44" s="581"/>
      <c r="AK44" s="581"/>
      <c r="AL44" s="581"/>
      <c r="AM44" s="581"/>
      <c r="AN44" s="581"/>
      <c r="AO44" s="581"/>
      <c r="AP44" s="581"/>
      <c r="AQ44" s="581"/>
      <c r="AR44" s="581"/>
    </row>
    <row r="45" spans="1:44" ht="14.15" customHeight="1" x14ac:dyDescent="0.35">
      <c r="A45" s="581"/>
      <c r="D45" s="256" t="str">
        <f>IF(F40="Yes","in the liability calculation","")</f>
        <v/>
      </c>
      <c r="E45" s="276"/>
      <c r="H45" s="327"/>
      <c r="K45" s="581"/>
      <c r="L45" s="581"/>
      <c r="M45" s="581"/>
      <c r="N45" s="581"/>
      <c r="O45" s="581"/>
      <c r="P45" s="581"/>
      <c r="Q45" s="149"/>
      <c r="R45" s="149"/>
      <c r="S45" s="149"/>
      <c r="T45" s="149"/>
      <c r="U45" s="149"/>
      <c r="V45" s="149"/>
      <c r="W45" s="149"/>
      <c r="AA45" s="581"/>
      <c r="AB45" s="581"/>
      <c r="AC45" s="581"/>
      <c r="AD45" s="581"/>
      <c r="AE45" s="581"/>
      <c r="AF45" s="581"/>
      <c r="AG45" s="581"/>
      <c r="AH45" s="581"/>
      <c r="AI45" s="581"/>
      <c r="AJ45" s="581"/>
      <c r="AK45" s="581"/>
      <c r="AL45" s="581"/>
      <c r="AM45" s="581"/>
      <c r="AN45" s="581"/>
      <c r="AO45" s="581"/>
      <c r="AP45" s="581"/>
      <c r="AQ45" s="581"/>
      <c r="AR45" s="581"/>
    </row>
    <row r="46" spans="1:44" ht="14.15" customHeight="1" x14ac:dyDescent="0.35">
      <c r="A46" s="581"/>
      <c r="K46" s="581"/>
      <c r="L46" s="581"/>
      <c r="M46" s="581"/>
      <c r="N46" s="581"/>
      <c r="O46" s="581"/>
      <c r="P46" s="581"/>
      <c r="Q46" s="149"/>
      <c r="R46" s="149"/>
      <c r="S46" s="149"/>
      <c r="T46" s="149"/>
      <c r="U46" s="149"/>
      <c r="V46" s="149"/>
      <c r="W46" s="149"/>
      <c r="AA46" s="581"/>
      <c r="AB46" s="581"/>
      <c r="AC46" s="581"/>
      <c r="AD46" s="581"/>
      <c r="AE46" s="581"/>
      <c r="AF46" s="581"/>
      <c r="AG46" s="581"/>
      <c r="AH46" s="581"/>
      <c r="AI46" s="581"/>
      <c r="AJ46" s="581"/>
      <c r="AK46" s="581"/>
      <c r="AL46" s="581"/>
      <c r="AM46" s="581"/>
      <c r="AN46" s="581"/>
      <c r="AO46" s="581"/>
      <c r="AP46" s="581"/>
      <c r="AQ46" s="581"/>
      <c r="AR46" s="581"/>
    </row>
    <row r="47" spans="1:44" ht="14.15" customHeight="1" x14ac:dyDescent="0.35">
      <c r="A47" s="581"/>
      <c r="E47" s="276"/>
      <c r="H47" s="327"/>
      <c r="K47" s="581"/>
      <c r="L47" s="581"/>
      <c r="M47" s="581"/>
      <c r="N47" s="581"/>
      <c r="O47" s="581"/>
      <c r="P47" s="581"/>
      <c r="Q47" s="149"/>
      <c r="R47" s="149"/>
      <c r="S47" s="149"/>
      <c r="T47" s="149"/>
      <c r="U47" s="149"/>
      <c r="V47" s="149"/>
      <c r="W47" s="149"/>
      <c r="AA47" s="581"/>
      <c r="AB47" s="581"/>
      <c r="AC47" s="581"/>
      <c r="AD47" s="581"/>
      <c r="AE47" s="581"/>
      <c r="AF47" s="581"/>
      <c r="AG47" s="581"/>
      <c r="AH47" s="581"/>
      <c r="AI47" s="581"/>
      <c r="AJ47" s="581"/>
      <c r="AK47" s="581"/>
      <c r="AL47" s="581"/>
      <c r="AM47" s="581"/>
      <c r="AN47" s="581"/>
      <c r="AO47" s="581"/>
      <c r="AP47" s="581"/>
      <c r="AQ47" s="581"/>
      <c r="AR47" s="581"/>
    </row>
    <row r="48" spans="1:44" ht="9" customHeight="1" x14ac:dyDescent="0.25">
      <c r="A48" s="581"/>
      <c r="K48" s="581"/>
      <c r="L48" s="581"/>
      <c r="M48" s="581"/>
      <c r="N48" s="581"/>
      <c r="O48" s="581"/>
      <c r="P48" s="581"/>
      <c r="AA48" s="581"/>
      <c r="AB48" s="581"/>
      <c r="AC48" s="581"/>
      <c r="AD48" s="581"/>
      <c r="AE48" s="581"/>
      <c r="AF48" s="581"/>
      <c r="AG48" s="581"/>
      <c r="AH48" s="581"/>
      <c r="AI48" s="581"/>
      <c r="AJ48" s="581"/>
      <c r="AK48" s="581"/>
      <c r="AL48" s="581"/>
      <c r="AM48" s="581"/>
      <c r="AN48" s="581"/>
      <c r="AO48" s="581"/>
      <c r="AP48" s="581"/>
      <c r="AQ48" s="581"/>
      <c r="AR48" s="581"/>
    </row>
    <row r="49" spans="1:44" ht="12.5" x14ac:dyDescent="0.25">
      <c r="A49" s="581"/>
      <c r="C49" s="283"/>
      <c r="D49" s="283"/>
      <c r="E49" s="335"/>
      <c r="F49" s="335"/>
      <c r="G49" s="335"/>
      <c r="H49" s="283"/>
      <c r="I49" s="487"/>
      <c r="J49" s="283"/>
      <c r="K49" s="581"/>
      <c r="L49" s="581"/>
      <c r="M49" s="581"/>
      <c r="N49" s="581"/>
      <c r="O49" s="581"/>
      <c r="P49" s="581"/>
      <c r="AA49" s="581"/>
      <c r="AB49" s="581"/>
      <c r="AC49" s="581"/>
      <c r="AD49" s="581"/>
      <c r="AE49" s="581"/>
      <c r="AF49" s="581"/>
      <c r="AG49" s="581"/>
      <c r="AH49" s="581"/>
      <c r="AI49" s="581"/>
      <c r="AJ49" s="581"/>
      <c r="AK49" s="581"/>
      <c r="AL49" s="581"/>
      <c r="AM49" s="581"/>
      <c r="AN49" s="581"/>
      <c r="AO49" s="581"/>
      <c r="AP49" s="581"/>
      <c r="AQ49" s="581"/>
      <c r="AR49" s="581"/>
    </row>
    <row r="50" spans="1:44" ht="11.25" customHeight="1" x14ac:dyDescent="0.25">
      <c r="A50" s="581"/>
      <c r="K50" s="581"/>
      <c r="L50" s="581"/>
      <c r="M50" s="581"/>
      <c r="N50" s="581"/>
      <c r="O50" s="581"/>
      <c r="P50" s="581"/>
      <c r="AA50" s="581"/>
      <c r="AB50" s="581"/>
      <c r="AC50" s="581"/>
      <c r="AD50" s="581"/>
      <c r="AE50" s="581"/>
      <c r="AF50" s="581"/>
      <c r="AG50" s="581"/>
      <c r="AH50" s="581"/>
      <c r="AI50" s="581"/>
      <c r="AJ50" s="581"/>
      <c r="AK50" s="581"/>
      <c r="AL50" s="581"/>
      <c r="AM50" s="581"/>
      <c r="AN50" s="581"/>
      <c r="AO50" s="581"/>
      <c r="AP50" s="581"/>
      <c r="AQ50" s="581"/>
      <c r="AR50" s="581"/>
    </row>
    <row r="51" spans="1:44" ht="21" customHeight="1" x14ac:dyDescent="0.35">
      <c r="A51" s="581"/>
      <c r="C51" s="256" t="str">
        <f>'basic output'!C57</f>
        <v>prepared by</v>
      </c>
      <c r="D51" s="488" t="str">
        <f>'basic output'!E57</f>
        <v>CBRE</v>
      </c>
      <c r="K51" s="581"/>
      <c r="L51" s="581"/>
      <c r="M51" s="581"/>
      <c r="N51" s="581"/>
      <c r="O51" s="581"/>
      <c r="P51" s="581"/>
      <c r="AA51" s="581"/>
      <c r="AB51" s="581"/>
      <c r="AC51" s="581"/>
      <c r="AD51" s="581"/>
      <c r="AE51" s="581"/>
      <c r="AF51" s="581"/>
      <c r="AG51" s="581"/>
      <c r="AH51" s="581"/>
      <c r="AI51" s="581"/>
      <c r="AJ51" s="581"/>
      <c r="AK51" s="581"/>
      <c r="AL51" s="581"/>
      <c r="AM51" s="581"/>
      <c r="AN51" s="581"/>
      <c r="AO51" s="581"/>
      <c r="AP51" s="581"/>
      <c r="AQ51" s="581"/>
      <c r="AR51" s="581"/>
    </row>
    <row r="52" spans="1:44" ht="24" customHeight="1" x14ac:dyDescent="0.25">
      <c r="A52" s="581"/>
      <c r="K52" s="581"/>
      <c r="L52" s="581"/>
      <c r="M52" s="581"/>
      <c r="N52" s="581"/>
      <c r="O52" s="581"/>
      <c r="P52" s="581"/>
      <c r="AA52" s="581"/>
      <c r="AB52" s="581"/>
      <c r="AC52" s="581"/>
      <c r="AD52" s="581"/>
      <c r="AE52" s="581"/>
      <c r="AF52" s="581"/>
      <c r="AG52" s="581"/>
      <c r="AH52" s="581"/>
      <c r="AI52" s="581"/>
      <c r="AJ52" s="581"/>
      <c r="AK52" s="581"/>
      <c r="AL52" s="581"/>
      <c r="AM52" s="581"/>
      <c r="AN52" s="581"/>
      <c r="AO52" s="581"/>
      <c r="AP52" s="581"/>
      <c r="AQ52" s="581"/>
      <c r="AR52" s="581"/>
    </row>
    <row r="53" spans="1:44" ht="12.75" customHeight="1" x14ac:dyDescent="0.25">
      <c r="A53" s="581"/>
      <c r="B53" s="581"/>
      <c r="C53" s="581"/>
      <c r="D53" s="581"/>
      <c r="E53" s="581"/>
      <c r="F53" s="581"/>
      <c r="G53" s="581"/>
      <c r="H53" s="581"/>
      <c r="I53" s="581"/>
      <c r="J53" s="581"/>
      <c r="K53" s="581"/>
      <c r="L53" s="581"/>
      <c r="M53" s="581"/>
      <c r="N53" s="581"/>
      <c r="O53" s="581"/>
      <c r="P53" s="581"/>
      <c r="AA53" s="581"/>
      <c r="AB53" s="581"/>
      <c r="AC53" s="581"/>
      <c r="AD53" s="581"/>
      <c r="AE53" s="581"/>
      <c r="AF53" s="581"/>
      <c r="AG53" s="581"/>
      <c r="AH53" s="581"/>
      <c r="AI53" s="581"/>
      <c r="AJ53" s="581"/>
      <c r="AK53" s="581"/>
      <c r="AL53" s="581"/>
      <c r="AM53" s="581"/>
      <c r="AN53" s="581"/>
      <c r="AO53" s="581"/>
      <c r="AP53" s="581"/>
      <c r="AQ53" s="581"/>
      <c r="AR53" s="581"/>
    </row>
    <row r="54" spans="1:44" ht="12.75" customHeight="1" x14ac:dyDescent="0.25">
      <c r="A54" s="581"/>
      <c r="B54" s="581"/>
      <c r="C54" s="581"/>
      <c r="D54" s="581"/>
      <c r="E54" s="581"/>
      <c r="F54" s="581"/>
      <c r="G54" s="581"/>
      <c r="H54" s="581"/>
      <c r="I54" s="581"/>
      <c r="J54" s="581"/>
      <c r="K54" s="581"/>
      <c r="L54" s="581"/>
      <c r="M54" s="581"/>
      <c r="N54" s="581"/>
      <c r="O54" s="581"/>
      <c r="P54" s="581"/>
      <c r="AA54" s="581"/>
      <c r="AB54" s="581"/>
      <c r="AC54" s="581"/>
      <c r="AD54" s="581"/>
      <c r="AE54" s="581"/>
      <c r="AF54" s="581"/>
      <c r="AG54" s="581"/>
      <c r="AH54" s="581"/>
      <c r="AI54" s="581"/>
      <c r="AJ54" s="581"/>
      <c r="AK54" s="581"/>
      <c r="AL54" s="581"/>
      <c r="AM54" s="581"/>
      <c r="AN54" s="581"/>
      <c r="AO54" s="581"/>
      <c r="AP54" s="581"/>
      <c r="AQ54" s="581"/>
      <c r="AR54" s="581"/>
    </row>
    <row r="55" spans="1:44" ht="12.75" customHeight="1" x14ac:dyDescent="0.25">
      <c r="A55" s="581"/>
      <c r="B55" s="581"/>
      <c r="C55" s="581"/>
      <c r="D55" s="581"/>
      <c r="E55" s="581"/>
      <c r="F55" s="581"/>
      <c r="G55" s="581"/>
      <c r="H55" s="581"/>
      <c r="I55" s="581"/>
      <c r="J55" s="581"/>
      <c r="K55" s="581"/>
      <c r="L55" s="581"/>
      <c r="M55" s="581"/>
      <c r="N55" s="581"/>
      <c r="O55" s="581"/>
      <c r="P55" s="581"/>
      <c r="AA55" s="581"/>
      <c r="AB55" s="581"/>
      <c r="AC55" s="581"/>
      <c r="AD55" s="581"/>
      <c r="AE55" s="581"/>
      <c r="AF55" s="581"/>
      <c r="AG55" s="581"/>
      <c r="AH55" s="581"/>
      <c r="AI55" s="581"/>
      <c r="AJ55" s="581"/>
      <c r="AK55" s="581"/>
      <c r="AL55" s="581"/>
      <c r="AM55" s="581"/>
      <c r="AN55" s="581"/>
      <c r="AO55" s="581"/>
      <c r="AP55" s="581"/>
      <c r="AQ55" s="581"/>
      <c r="AR55" s="581"/>
    </row>
    <row r="56" spans="1:44" ht="12.75" customHeight="1" x14ac:dyDescent="0.25">
      <c r="A56" s="581"/>
      <c r="B56" s="581"/>
      <c r="C56" s="581"/>
      <c r="D56" s="581"/>
      <c r="E56" s="581"/>
      <c r="F56" s="581"/>
      <c r="G56" s="581"/>
      <c r="H56" s="581"/>
      <c r="I56" s="581"/>
      <c r="J56" s="581"/>
      <c r="K56" s="581"/>
      <c r="L56" s="581"/>
      <c r="M56" s="581"/>
      <c r="N56" s="581"/>
      <c r="O56" s="581"/>
      <c r="P56" s="581"/>
      <c r="AA56" s="581"/>
      <c r="AB56" s="581"/>
      <c r="AC56" s="581"/>
      <c r="AD56" s="581"/>
      <c r="AE56" s="581"/>
      <c r="AF56" s="581"/>
      <c r="AG56" s="581"/>
      <c r="AH56" s="581"/>
      <c r="AI56" s="581"/>
      <c r="AJ56" s="581"/>
      <c r="AK56" s="581"/>
      <c r="AL56" s="581"/>
      <c r="AM56" s="581"/>
      <c r="AN56" s="581"/>
      <c r="AO56" s="581"/>
      <c r="AP56" s="581"/>
      <c r="AQ56" s="581"/>
      <c r="AR56" s="581"/>
    </row>
    <row r="57" spans="1:44" ht="12.75" customHeight="1" x14ac:dyDescent="0.25">
      <c r="A57" s="581"/>
      <c r="B57" s="581"/>
      <c r="C57" s="581"/>
      <c r="D57" s="581"/>
      <c r="E57" s="581"/>
      <c r="F57" s="581"/>
      <c r="G57" s="581"/>
      <c r="H57" s="581"/>
      <c r="I57" s="581"/>
      <c r="J57" s="581"/>
      <c r="K57" s="581"/>
      <c r="L57" s="581"/>
      <c r="M57" s="581"/>
      <c r="N57" s="581"/>
      <c r="O57" s="581"/>
      <c r="P57" s="581"/>
      <c r="AA57" s="581"/>
      <c r="AB57" s="581"/>
      <c r="AC57" s="581"/>
      <c r="AD57" s="581"/>
      <c r="AE57" s="581"/>
      <c r="AF57" s="581"/>
      <c r="AG57" s="581"/>
      <c r="AH57" s="581"/>
      <c r="AI57" s="581"/>
      <c r="AJ57" s="581"/>
      <c r="AK57" s="581"/>
      <c r="AL57" s="581"/>
      <c r="AM57" s="581"/>
      <c r="AN57" s="581"/>
      <c r="AO57" s="581"/>
      <c r="AP57" s="581"/>
      <c r="AQ57" s="581"/>
      <c r="AR57" s="581"/>
    </row>
    <row r="58" spans="1:44" ht="12.75" customHeight="1" x14ac:dyDescent="0.25">
      <c r="A58" s="581"/>
      <c r="B58" s="581"/>
      <c r="C58" s="581"/>
      <c r="D58" s="581"/>
      <c r="E58" s="581"/>
      <c r="F58" s="581"/>
      <c r="G58" s="581"/>
      <c r="H58" s="581"/>
      <c r="I58" s="581"/>
      <c r="J58" s="581"/>
      <c r="K58" s="581"/>
      <c r="L58" s="581"/>
      <c r="M58" s="581"/>
      <c r="N58" s="581"/>
      <c r="O58" s="581"/>
      <c r="P58" s="581"/>
      <c r="AA58" s="581"/>
      <c r="AB58" s="581"/>
      <c r="AC58" s="581"/>
      <c r="AD58" s="581"/>
      <c r="AE58" s="581"/>
      <c r="AF58" s="581"/>
      <c r="AG58" s="581"/>
      <c r="AH58" s="581"/>
      <c r="AI58" s="581"/>
      <c r="AJ58" s="581"/>
      <c r="AK58" s="581"/>
      <c r="AL58" s="581"/>
      <c r="AM58" s="581"/>
      <c r="AN58" s="581"/>
      <c r="AO58" s="581"/>
      <c r="AP58" s="581"/>
      <c r="AQ58" s="581"/>
      <c r="AR58" s="581"/>
    </row>
    <row r="59" spans="1:44" ht="12.75" customHeight="1" x14ac:dyDescent="0.25">
      <c r="A59" s="581"/>
      <c r="B59" s="581"/>
      <c r="C59" s="581"/>
      <c r="D59" s="581"/>
      <c r="E59" s="581"/>
      <c r="F59" s="581"/>
      <c r="G59" s="581"/>
      <c r="H59" s="581"/>
      <c r="I59" s="581"/>
      <c r="J59" s="581"/>
      <c r="K59" s="581"/>
      <c r="L59" s="581"/>
      <c r="M59" s="581"/>
      <c r="N59" s="581"/>
      <c r="O59" s="581"/>
      <c r="P59" s="581"/>
      <c r="AA59" s="581"/>
      <c r="AB59" s="581"/>
      <c r="AC59" s="581"/>
      <c r="AD59" s="581"/>
      <c r="AE59" s="581"/>
      <c r="AF59" s="581"/>
      <c r="AG59" s="581"/>
      <c r="AH59" s="581"/>
      <c r="AI59" s="581"/>
      <c r="AJ59" s="581"/>
      <c r="AK59" s="581"/>
      <c r="AL59" s="581"/>
      <c r="AM59" s="581"/>
      <c r="AN59" s="581"/>
      <c r="AO59" s="581"/>
      <c r="AP59" s="581"/>
      <c r="AQ59" s="581"/>
      <c r="AR59" s="581"/>
    </row>
    <row r="60" spans="1:44" ht="12.75" customHeight="1" x14ac:dyDescent="0.25">
      <c r="A60" s="581"/>
      <c r="B60" s="581"/>
      <c r="C60" s="581"/>
      <c r="D60" s="581"/>
      <c r="E60" s="581"/>
      <c r="F60" s="581"/>
      <c r="G60" s="581"/>
      <c r="H60" s="581"/>
      <c r="I60" s="581"/>
      <c r="J60" s="581"/>
      <c r="K60" s="581"/>
      <c r="L60" s="581"/>
      <c r="M60" s="581"/>
      <c r="N60" s="581"/>
      <c r="O60" s="581"/>
      <c r="P60" s="581"/>
      <c r="AA60" s="581"/>
      <c r="AB60" s="581"/>
      <c r="AC60" s="581"/>
      <c r="AD60" s="581"/>
      <c r="AE60" s="581"/>
      <c r="AF60" s="581"/>
      <c r="AG60" s="581"/>
      <c r="AH60" s="581"/>
      <c r="AI60" s="581"/>
      <c r="AJ60" s="581"/>
      <c r="AK60" s="581"/>
      <c r="AL60" s="581"/>
      <c r="AM60" s="581"/>
      <c r="AN60" s="581"/>
      <c r="AO60" s="581"/>
      <c r="AP60" s="581"/>
      <c r="AQ60" s="581"/>
      <c r="AR60" s="581"/>
    </row>
    <row r="61" spans="1:44" ht="12.75" customHeight="1" x14ac:dyDescent="0.25">
      <c r="A61" s="581"/>
      <c r="B61" s="581"/>
      <c r="C61" s="581"/>
      <c r="D61" s="581"/>
      <c r="E61" s="581"/>
      <c r="F61" s="581"/>
      <c r="G61" s="581"/>
      <c r="H61" s="581"/>
      <c r="I61" s="581"/>
      <c r="J61" s="581"/>
      <c r="K61" s="581"/>
      <c r="L61" s="581"/>
      <c r="M61" s="581"/>
      <c r="N61" s="581"/>
      <c r="O61" s="581"/>
      <c r="P61" s="581"/>
      <c r="AA61" s="581"/>
      <c r="AB61" s="581"/>
      <c r="AC61" s="581"/>
      <c r="AD61" s="581"/>
      <c r="AE61" s="581"/>
      <c r="AF61" s="581"/>
      <c r="AG61" s="581"/>
      <c r="AH61" s="581"/>
      <c r="AI61" s="581"/>
      <c r="AJ61" s="581"/>
      <c r="AK61" s="581"/>
      <c r="AL61" s="581"/>
      <c r="AM61" s="581"/>
      <c r="AN61" s="581"/>
      <c r="AO61" s="581"/>
      <c r="AP61" s="581"/>
      <c r="AQ61" s="581"/>
      <c r="AR61" s="581"/>
    </row>
    <row r="62" spans="1:44" ht="12.75" customHeight="1" x14ac:dyDescent="0.25">
      <c r="A62" s="581"/>
      <c r="B62" s="581"/>
      <c r="C62" s="581"/>
      <c r="D62" s="581"/>
      <c r="E62" s="581"/>
      <c r="F62" s="581"/>
      <c r="G62" s="581"/>
      <c r="H62" s="581"/>
      <c r="I62" s="581"/>
      <c r="J62" s="581"/>
      <c r="K62" s="581"/>
      <c r="L62" s="581"/>
      <c r="M62" s="581"/>
      <c r="N62" s="581"/>
      <c r="O62" s="581"/>
      <c r="P62" s="581"/>
      <c r="AA62" s="581"/>
      <c r="AB62" s="581"/>
      <c r="AC62" s="581"/>
      <c r="AD62" s="581"/>
      <c r="AE62" s="581"/>
      <c r="AF62" s="581"/>
      <c r="AG62" s="581"/>
      <c r="AH62" s="581"/>
      <c r="AI62" s="581"/>
      <c r="AJ62" s="581"/>
      <c r="AK62" s="581"/>
      <c r="AL62" s="581"/>
      <c r="AM62" s="581"/>
      <c r="AN62" s="581"/>
      <c r="AO62" s="581"/>
      <c r="AP62" s="581"/>
      <c r="AQ62" s="581"/>
      <c r="AR62" s="581"/>
    </row>
    <row r="63" spans="1:44" ht="12.75" customHeight="1" x14ac:dyDescent="0.25">
      <c r="A63" s="581"/>
      <c r="B63" s="581"/>
      <c r="C63" s="581"/>
      <c r="D63" s="581"/>
      <c r="E63" s="581"/>
      <c r="F63" s="581"/>
      <c r="G63" s="581"/>
      <c r="H63" s="581"/>
      <c r="I63" s="581"/>
      <c r="J63" s="581"/>
      <c r="K63" s="581"/>
      <c r="L63" s="581"/>
      <c r="M63" s="581"/>
      <c r="N63" s="581"/>
      <c r="O63" s="581"/>
      <c r="P63" s="581"/>
      <c r="AA63" s="581"/>
      <c r="AB63" s="581"/>
      <c r="AC63" s="581"/>
      <c r="AD63" s="581"/>
      <c r="AE63" s="581"/>
      <c r="AF63" s="581"/>
      <c r="AG63" s="581"/>
      <c r="AH63" s="581"/>
      <c r="AI63" s="581"/>
      <c r="AJ63" s="581"/>
      <c r="AK63" s="581"/>
      <c r="AL63" s="581"/>
      <c r="AM63" s="581"/>
      <c r="AN63" s="581"/>
      <c r="AO63" s="581"/>
      <c r="AP63" s="581"/>
      <c r="AQ63" s="581"/>
      <c r="AR63" s="581"/>
    </row>
    <row r="64" spans="1:44" ht="12.75" customHeight="1" x14ac:dyDescent="0.25">
      <c r="A64" s="581"/>
      <c r="B64" s="581"/>
      <c r="C64" s="581"/>
      <c r="D64" s="581"/>
      <c r="E64" s="581"/>
      <c r="F64" s="581"/>
      <c r="G64" s="581"/>
      <c r="H64" s="581"/>
      <c r="I64" s="581"/>
      <c r="J64" s="581"/>
      <c r="K64" s="581"/>
      <c r="L64" s="581"/>
      <c r="M64" s="581"/>
      <c r="N64" s="581"/>
      <c r="O64" s="581"/>
      <c r="P64" s="581"/>
      <c r="AA64" s="581"/>
      <c r="AB64" s="581"/>
      <c r="AC64" s="581"/>
      <c r="AD64" s="581"/>
      <c r="AE64" s="581"/>
      <c r="AF64" s="581"/>
      <c r="AG64" s="581"/>
      <c r="AH64" s="581"/>
      <c r="AI64" s="581"/>
      <c r="AJ64" s="581"/>
      <c r="AK64" s="581"/>
      <c r="AL64" s="581"/>
      <c r="AM64" s="581"/>
      <c r="AN64" s="581"/>
      <c r="AO64" s="581"/>
      <c r="AP64" s="581"/>
      <c r="AQ64" s="581"/>
      <c r="AR64" s="581"/>
    </row>
    <row r="65" spans="1:44" ht="12.75" customHeight="1" x14ac:dyDescent="0.25">
      <c r="A65" s="581"/>
      <c r="B65" s="581"/>
      <c r="C65" s="581"/>
      <c r="D65" s="581"/>
      <c r="E65" s="581"/>
      <c r="F65" s="581"/>
      <c r="G65" s="581"/>
      <c r="H65" s="581"/>
      <c r="I65" s="581"/>
      <c r="J65" s="581"/>
      <c r="K65" s="581"/>
      <c r="L65" s="581"/>
      <c r="M65" s="581"/>
      <c r="N65" s="581"/>
      <c r="O65" s="581"/>
      <c r="P65" s="581"/>
      <c r="AA65" s="581"/>
      <c r="AB65" s="581"/>
      <c r="AC65" s="581"/>
      <c r="AD65" s="581"/>
      <c r="AE65" s="581"/>
      <c r="AF65" s="581"/>
      <c r="AG65" s="581"/>
      <c r="AH65" s="581"/>
      <c r="AI65" s="581"/>
      <c r="AJ65" s="581"/>
      <c r="AK65" s="581"/>
      <c r="AL65" s="581"/>
      <c r="AM65" s="581"/>
      <c r="AN65" s="581"/>
      <c r="AO65" s="581"/>
      <c r="AP65" s="581"/>
      <c r="AQ65" s="581"/>
      <c r="AR65" s="581"/>
    </row>
    <row r="66" spans="1:44" ht="12.75" customHeight="1" x14ac:dyDescent="0.25">
      <c r="A66" s="581"/>
      <c r="B66" s="581"/>
      <c r="C66" s="581"/>
      <c r="D66" s="581"/>
      <c r="E66" s="581"/>
      <c r="F66" s="581"/>
      <c r="G66" s="581"/>
      <c r="H66" s="581"/>
      <c r="I66" s="581"/>
      <c r="J66" s="581"/>
      <c r="K66" s="581"/>
      <c r="L66" s="581"/>
      <c r="M66" s="581"/>
      <c r="N66" s="581"/>
      <c r="O66" s="581"/>
      <c r="P66" s="581"/>
      <c r="AA66" s="581"/>
      <c r="AB66" s="581"/>
      <c r="AC66" s="581"/>
      <c r="AD66" s="581"/>
      <c r="AE66" s="581"/>
      <c r="AF66" s="581"/>
      <c r="AG66" s="581"/>
      <c r="AH66" s="581"/>
      <c r="AI66" s="581"/>
      <c r="AJ66" s="581"/>
      <c r="AK66" s="581"/>
      <c r="AL66" s="581"/>
      <c r="AM66" s="581"/>
      <c r="AN66" s="581"/>
      <c r="AO66" s="581"/>
      <c r="AP66" s="581"/>
      <c r="AQ66" s="581"/>
      <c r="AR66" s="581"/>
    </row>
    <row r="67" spans="1:44" ht="12.75" customHeight="1" x14ac:dyDescent="0.25">
      <c r="A67" s="581"/>
      <c r="B67" s="581"/>
      <c r="C67" s="581"/>
      <c r="D67" s="581"/>
      <c r="E67" s="581"/>
      <c r="F67" s="581"/>
      <c r="G67" s="581"/>
      <c r="H67" s="581"/>
      <c r="I67" s="581"/>
      <c r="J67" s="581"/>
      <c r="K67" s="581"/>
      <c r="L67" s="581"/>
      <c r="M67" s="581"/>
      <c r="N67" s="581"/>
      <c r="O67" s="581"/>
      <c r="P67" s="581"/>
      <c r="AA67" s="581"/>
      <c r="AB67" s="581"/>
      <c r="AC67" s="581"/>
      <c r="AD67" s="581"/>
      <c r="AE67" s="581"/>
      <c r="AF67" s="581"/>
      <c r="AG67" s="581"/>
      <c r="AH67" s="581"/>
      <c r="AI67" s="581"/>
      <c r="AJ67" s="581"/>
      <c r="AK67" s="581"/>
      <c r="AL67" s="581"/>
      <c r="AM67" s="581"/>
      <c r="AN67" s="581"/>
      <c r="AO67" s="581"/>
      <c r="AP67" s="581"/>
      <c r="AQ67" s="581"/>
      <c r="AR67" s="581"/>
    </row>
    <row r="68" spans="1:44" ht="12.75" customHeight="1" x14ac:dyDescent="0.25">
      <c r="A68" s="581"/>
      <c r="B68" s="581"/>
      <c r="C68" s="581"/>
      <c r="D68" s="581"/>
      <c r="E68" s="581"/>
      <c r="F68" s="581"/>
      <c r="G68" s="581"/>
      <c r="H68" s="581"/>
      <c r="I68" s="581"/>
      <c r="J68" s="581"/>
      <c r="K68" s="581"/>
      <c r="L68" s="581"/>
      <c r="M68" s="581"/>
      <c r="N68" s="581"/>
      <c r="O68" s="581"/>
      <c r="P68" s="581"/>
      <c r="AA68" s="581"/>
      <c r="AB68" s="581"/>
      <c r="AC68" s="581"/>
      <c r="AD68" s="581"/>
      <c r="AE68" s="581"/>
      <c r="AF68" s="581"/>
      <c r="AG68" s="581"/>
      <c r="AH68" s="581"/>
      <c r="AI68" s="581"/>
      <c r="AJ68" s="581"/>
      <c r="AK68" s="581"/>
      <c r="AL68" s="581"/>
      <c r="AM68" s="581"/>
      <c r="AN68" s="581"/>
      <c r="AO68" s="581"/>
      <c r="AP68" s="581"/>
      <c r="AQ68" s="581"/>
      <c r="AR68" s="581"/>
    </row>
    <row r="69" spans="1:44" ht="12.75" customHeight="1" x14ac:dyDescent="0.25">
      <c r="A69" s="581"/>
      <c r="B69" s="581"/>
      <c r="C69" s="581"/>
      <c r="D69" s="581"/>
      <c r="E69" s="581"/>
      <c r="F69" s="581"/>
      <c r="G69" s="581"/>
      <c r="H69" s="581"/>
      <c r="I69" s="581"/>
      <c r="J69" s="581"/>
      <c r="K69" s="581"/>
      <c r="L69" s="581"/>
      <c r="M69" s="581"/>
      <c r="N69" s="581"/>
      <c r="O69" s="581"/>
      <c r="P69" s="581"/>
      <c r="AA69" s="581"/>
      <c r="AB69" s="581"/>
      <c r="AC69" s="581"/>
      <c r="AD69" s="581"/>
      <c r="AE69" s="581"/>
      <c r="AF69" s="581"/>
      <c r="AG69" s="581"/>
      <c r="AH69" s="581"/>
      <c r="AI69" s="581"/>
      <c r="AJ69" s="581"/>
      <c r="AK69" s="581"/>
      <c r="AL69" s="581"/>
      <c r="AM69" s="581"/>
      <c r="AN69" s="581"/>
      <c r="AO69" s="581"/>
      <c r="AP69" s="581"/>
      <c r="AQ69" s="581"/>
      <c r="AR69" s="581"/>
    </row>
    <row r="70" spans="1:44" ht="12.75" customHeight="1" x14ac:dyDescent="0.25">
      <c r="A70" s="581"/>
      <c r="B70" s="581"/>
      <c r="C70" s="581"/>
      <c r="D70" s="581"/>
      <c r="E70" s="581"/>
      <c r="F70" s="581"/>
      <c r="G70" s="581"/>
      <c r="H70" s="581"/>
      <c r="I70" s="581"/>
      <c r="J70" s="581"/>
      <c r="K70" s="581"/>
      <c r="L70" s="581"/>
      <c r="M70" s="581"/>
      <c r="N70" s="581"/>
      <c r="O70" s="581"/>
      <c r="P70" s="581"/>
      <c r="AA70" s="581"/>
      <c r="AB70" s="581"/>
      <c r="AC70" s="581"/>
      <c r="AD70" s="581"/>
      <c r="AE70" s="581"/>
      <c r="AF70" s="581"/>
      <c r="AG70" s="581"/>
      <c r="AH70" s="581"/>
      <c r="AI70" s="581"/>
      <c r="AJ70" s="581"/>
      <c r="AK70" s="581"/>
      <c r="AL70" s="581"/>
      <c r="AM70" s="581"/>
      <c r="AN70" s="581"/>
      <c r="AO70" s="581"/>
      <c r="AP70" s="581"/>
      <c r="AQ70" s="581"/>
      <c r="AR70" s="581"/>
    </row>
    <row r="71" spans="1:44" ht="12.75" customHeight="1" x14ac:dyDescent="0.25">
      <c r="A71" s="581"/>
      <c r="B71" s="581"/>
      <c r="C71" s="581"/>
      <c r="D71" s="581"/>
      <c r="E71" s="581"/>
      <c r="F71" s="581"/>
      <c r="G71" s="581"/>
      <c r="H71" s="581"/>
      <c r="I71" s="581"/>
      <c r="J71" s="581"/>
      <c r="K71" s="581"/>
      <c r="L71" s="581"/>
      <c r="M71" s="581"/>
      <c r="N71" s="581"/>
      <c r="O71" s="581"/>
      <c r="P71" s="581"/>
      <c r="AA71" s="581"/>
      <c r="AB71" s="581"/>
      <c r="AC71" s="581"/>
      <c r="AD71" s="581"/>
      <c r="AE71" s="581"/>
      <c r="AF71" s="581"/>
      <c r="AG71" s="581"/>
      <c r="AH71" s="581"/>
      <c r="AI71" s="581"/>
      <c r="AJ71" s="581"/>
      <c r="AK71" s="581"/>
      <c r="AL71" s="581"/>
      <c r="AM71" s="581"/>
      <c r="AN71" s="581"/>
      <c r="AO71" s="581"/>
      <c r="AP71" s="581"/>
      <c r="AQ71" s="581"/>
      <c r="AR71" s="581"/>
    </row>
    <row r="72" spans="1:44" ht="12.75" customHeight="1" x14ac:dyDescent="0.25">
      <c r="A72" s="581"/>
      <c r="B72" s="581"/>
      <c r="C72" s="581"/>
      <c r="D72" s="581"/>
      <c r="E72" s="581"/>
      <c r="F72" s="581"/>
      <c r="G72" s="581"/>
      <c r="H72" s="581"/>
      <c r="I72" s="581"/>
      <c r="J72" s="581"/>
      <c r="K72" s="581"/>
      <c r="L72" s="581"/>
      <c r="M72" s="581"/>
      <c r="N72" s="581"/>
      <c r="O72" s="581"/>
      <c r="P72" s="581"/>
      <c r="AA72" s="581"/>
      <c r="AB72" s="581"/>
      <c r="AC72" s="581"/>
      <c r="AD72" s="581"/>
      <c r="AE72" s="581"/>
      <c r="AF72" s="581"/>
      <c r="AG72" s="581"/>
      <c r="AH72" s="581"/>
      <c r="AI72" s="581"/>
      <c r="AJ72" s="581"/>
      <c r="AK72" s="581"/>
      <c r="AL72" s="581"/>
      <c r="AM72" s="581"/>
      <c r="AN72" s="581"/>
      <c r="AO72" s="581"/>
      <c r="AP72" s="581"/>
      <c r="AQ72" s="581"/>
      <c r="AR72" s="581"/>
    </row>
    <row r="73" spans="1:44" ht="12.75" customHeight="1" x14ac:dyDescent="0.25">
      <c r="A73" s="581"/>
      <c r="B73" s="581"/>
      <c r="C73" s="581"/>
      <c r="D73" s="581"/>
      <c r="E73" s="581"/>
      <c r="F73" s="581"/>
      <c r="G73" s="581"/>
      <c r="H73" s="581"/>
      <c r="I73" s="581"/>
      <c r="J73" s="581"/>
      <c r="K73" s="581"/>
      <c r="L73" s="581"/>
      <c r="M73" s="581"/>
      <c r="N73" s="581"/>
      <c r="O73" s="581"/>
      <c r="P73" s="581"/>
      <c r="AA73" s="581"/>
      <c r="AB73" s="581"/>
      <c r="AC73" s="581"/>
      <c r="AD73" s="581"/>
      <c r="AE73" s="581"/>
      <c r="AF73" s="581"/>
      <c r="AG73" s="581"/>
      <c r="AH73" s="581"/>
      <c r="AI73" s="581"/>
      <c r="AJ73" s="581"/>
      <c r="AK73" s="581"/>
      <c r="AL73" s="581"/>
      <c r="AM73" s="581"/>
      <c r="AN73" s="581"/>
      <c r="AO73" s="581"/>
      <c r="AP73" s="581"/>
      <c r="AQ73" s="581"/>
      <c r="AR73" s="581"/>
    </row>
    <row r="74" spans="1:44" ht="12.75" customHeight="1" x14ac:dyDescent="0.25">
      <c r="A74" s="581"/>
      <c r="B74" s="581"/>
      <c r="C74" s="581"/>
      <c r="D74" s="581"/>
      <c r="E74" s="581"/>
      <c r="F74" s="581"/>
      <c r="G74" s="581"/>
      <c r="H74" s="581"/>
      <c r="I74" s="581"/>
      <c r="J74" s="581"/>
      <c r="K74" s="581"/>
      <c r="L74" s="581"/>
      <c r="M74" s="581"/>
      <c r="N74" s="581"/>
      <c r="O74" s="581"/>
      <c r="P74" s="581"/>
      <c r="AA74" s="581"/>
      <c r="AB74" s="581"/>
      <c r="AC74" s="581"/>
      <c r="AD74" s="581"/>
      <c r="AE74" s="581"/>
      <c r="AF74" s="581"/>
      <c r="AG74" s="581"/>
      <c r="AH74" s="581"/>
      <c r="AI74" s="581"/>
      <c r="AJ74" s="581"/>
      <c r="AK74" s="581"/>
      <c r="AL74" s="581"/>
      <c r="AM74" s="581"/>
      <c r="AN74" s="581"/>
      <c r="AO74" s="581"/>
      <c r="AP74" s="581"/>
      <c r="AQ74" s="581"/>
      <c r="AR74" s="581"/>
    </row>
    <row r="75" spans="1:44" ht="12.75" customHeight="1" x14ac:dyDescent="0.25">
      <c r="A75" s="581"/>
      <c r="B75" s="581"/>
      <c r="C75" s="581"/>
      <c r="D75" s="581"/>
      <c r="E75" s="581"/>
      <c r="F75" s="581"/>
      <c r="G75" s="581"/>
      <c r="H75" s="581"/>
      <c r="I75" s="581"/>
      <c r="J75" s="581"/>
      <c r="K75" s="581"/>
      <c r="L75" s="581"/>
      <c r="M75" s="581"/>
      <c r="N75" s="581"/>
      <c r="O75" s="581"/>
      <c r="P75" s="581"/>
      <c r="AA75" s="581"/>
      <c r="AB75" s="581"/>
      <c r="AC75" s="581"/>
      <c r="AD75" s="581"/>
      <c r="AE75" s="581"/>
      <c r="AF75" s="581"/>
      <c r="AG75" s="581"/>
      <c r="AH75" s="581"/>
      <c r="AI75" s="581"/>
      <c r="AJ75" s="581"/>
      <c r="AK75" s="581"/>
      <c r="AL75" s="581"/>
      <c r="AM75" s="581"/>
      <c r="AN75" s="581"/>
      <c r="AO75" s="581"/>
      <c r="AP75" s="581"/>
      <c r="AQ75" s="581"/>
      <c r="AR75" s="581"/>
    </row>
    <row r="76" spans="1:44" ht="12.75" customHeight="1" x14ac:dyDescent="0.25">
      <c r="A76" s="581"/>
      <c r="B76" s="581"/>
      <c r="C76" s="581"/>
      <c r="D76" s="581"/>
      <c r="E76" s="581"/>
      <c r="F76" s="581"/>
      <c r="G76" s="581"/>
      <c r="H76" s="581"/>
      <c r="I76" s="581"/>
      <c r="J76" s="581"/>
      <c r="K76" s="581"/>
      <c r="L76" s="581"/>
      <c r="M76" s="581"/>
      <c r="N76" s="581"/>
      <c r="O76" s="581"/>
      <c r="P76" s="581"/>
      <c r="AA76" s="581"/>
      <c r="AB76" s="581"/>
      <c r="AC76" s="581"/>
      <c r="AD76" s="581"/>
      <c r="AE76" s="581"/>
      <c r="AF76" s="581"/>
      <c r="AG76" s="581"/>
      <c r="AH76" s="581"/>
      <c r="AI76" s="581"/>
      <c r="AJ76" s="581"/>
      <c r="AK76" s="581"/>
      <c r="AL76" s="581"/>
      <c r="AM76" s="581"/>
      <c r="AN76" s="581"/>
      <c r="AO76" s="581"/>
      <c r="AP76" s="581"/>
      <c r="AQ76" s="581"/>
      <c r="AR76" s="581"/>
    </row>
    <row r="77" spans="1:44" ht="12.75" customHeight="1" x14ac:dyDescent="0.25">
      <c r="A77" s="581"/>
      <c r="B77" s="581"/>
      <c r="C77" s="581"/>
      <c r="D77" s="581"/>
      <c r="E77" s="581"/>
      <c r="F77" s="581"/>
      <c r="G77" s="581"/>
      <c r="H77" s="581"/>
      <c r="I77" s="581"/>
      <c r="J77" s="581"/>
      <c r="K77" s="581"/>
      <c r="L77" s="581"/>
      <c r="M77" s="581"/>
      <c r="N77" s="581"/>
      <c r="O77" s="581"/>
      <c r="P77" s="581"/>
      <c r="AA77" s="581"/>
      <c r="AB77" s="581"/>
      <c r="AC77" s="581"/>
      <c r="AD77" s="581"/>
      <c r="AE77" s="581"/>
      <c r="AF77" s="581"/>
      <c r="AG77" s="581"/>
      <c r="AH77" s="581"/>
      <c r="AI77" s="581"/>
      <c r="AJ77" s="581"/>
      <c r="AK77" s="581"/>
      <c r="AL77" s="581"/>
      <c r="AM77" s="581"/>
      <c r="AN77" s="581"/>
      <c r="AO77" s="581"/>
      <c r="AP77" s="581"/>
      <c r="AQ77" s="581"/>
      <c r="AR77" s="581"/>
    </row>
    <row r="78" spans="1:44" ht="12.75" customHeight="1" x14ac:dyDescent="0.25">
      <c r="A78" s="581"/>
      <c r="B78" s="581"/>
      <c r="C78" s="581"/>
      <c r="D78" s="581"/>
      <c r="E78" s="581"/>
      <c r="F78" s="581"/>
      <c r="G78" s="581"/>
      <c r="H78" s="581"/>
      <c r="I78" s="581"/>
      <c r="J78" s="581"/>
      <c r="K78" s="581"/>
      <c r="L78" s="581"/>
      <c r="M78" s="581"/>
      <c r="N78" s="581"/>
      <c r="O78" s="581"/>
      <c r="P78" s="581"/>
      <c r="AA78" s="581"/>
      <c r="AB78" s="581"/>
      <c r="AC78" s="581"/>
      <c r="AD78" s="581"/>
      <c r="AE78" s="581"/>
      <c r="AF78" s="581"/>
      <c r="AG78" s="581"/>
      <c r="AH78" s="581"/>
      <c r="AI78" s="581"/>
      <c r="AJ78" s="581"/>
      <c r="AK78" s="581"/>
      <c r="AL78" s="581"/>
      <c r="AM78" s="581"/>
      <c r="AN78" s="581"/>
      <c r="AO78" s="581"/>
      <c r="AP78" s="581"/>
      <c r="AQ78" s="581"/>
      <c r="AR78" s="581"/>
    </row>
    <row r="79" spans="1:44" ht="12.75" customHeight="1" x14ac:dyDescent="0.25">
      <c r="A79" s="581"/>
      <c r="B79" s="581"/>
      <c r="C79" s="581"/>
      <c r="D79" s="581"/>
      <c r="E79" s="581"/>
      <c r="F79" s="581"/>
      <c r="G79" s="581"/>
      <c r="H79" s="581"/>
      <c r="I79" s="581"/>
      <c r="J79" s="581"/>
      <c r="K79" s="581"/>
      <c r="L79" s="581"/>
      <c r="M79" s="581"/>
      <c r="N79" s="581"/>
      <c r="O79" s="581"/>
      <c r="P79" s="581"/>
      <c r="AA79" s="581"/>
      <c r="AB79" s="581"/>
      <c r="AC79" s="581"/>
      <c r="AD79" s="581"/>
      <c r="AE79" s="581"/>
      <c r="AF79" s="581"/>
      <c r="AG79" s="581"/>
      <c r="AH79" s="581"/>
      <c r="AI79" s="581"/>
      <c r="AJ79" s="581"/>
      <c r="AK79" s="581"/>
      <c r="AL79" s="581"/>
      <c r="AM79" s="581"/>
      <c r="AN79" s="581"/>
      <c r="AO79" s="581"/>
      <c r="AP79" s="581"/>
      <c r="AQ79" s="581"/>
      <c r="AR79" s="581"/>
    </row>
    <row r="80" spans="1:44" ht="12.75" customHeight="1" x14ac:dyDescent="0.25">
      <c r="A80" s="581"/>
      <c r="B80" s="581"/>
      <c r="C80" s="581"/>
      <c r="D80" s="581"/>
      <c r="E80" s="581"/>
      <c r="F80" s="581"/>
      <c r="G80" s="581"/>
      <c r="H80" s="581"/>
      <c r="I80" s="581"/>
      <c r="J80" s="581"/>
      <c r="K80" s="581"/>
      <c r="L80" s="581"/>
      <c r="M80" s="581"/>
      <c r="N80" s="581"/>
      <c r="O80" s="581"/>
      <c r="P80" s="581"/>
      <c r="AA80" s="581"/>
      <c r="AB80" s="581"/>
      <c r="AC80" s="581"/>
      <c r="AD80" s="581"/>
      <c r="AE80" s="581"/>
      <c r="AF80" s="581"/>
      <c r="AG80" s="581"/>
      <c r="AH80" s="581"/>
      <c r="AI80" s="581"/>
      <c r="AJ80" s="581"/>
      <c r="AK80" s="581"/>
      <c r="AL80" s="581"/>
      <c r="AM80" s="581"/>
      <c r="AN80" s="581"/>
      <c r="AO80" s="581"/>
      <c r="AP80" s="581"/>
      <c r="AQ80" s="581"/>
      <c r="AR80" s="581"/>
    </row>
    <row r="81" spans="1:44" ht="12.75" customHeight="1" x14ac:dyDescent="0.25">
      <c r="A81" s="581"/>
      <c r="B81" s="581"/>
      <c r="C81" s="581"/>
      <c r="D81" s="581"/>
      <c r="E81" s="581"/>
      <c r="F81" s="581"/>
      <c r="G81" s="581"/>
      <c r="H81" s="581"/>
      <c r="I81" s="581"/>
      <c r="J81" s="581"/>
      <c r="K81" s="581"/>
      <c r="L81" s="581"/>
      <c r="M81" s="581"/>
      <c r="N81" s="581"/>
      <c r="O81" s="581"/>
      <c r="P81" s="581"/>
      <c r="AA81" s="581"/>
      <c r="AB81" s="581"/>
      <c r="AC81" s="581"/>
      <c r="AD81" s="581"/>
      <c r="AE81" s="581"/>
      <c r="AF81" s="581"/>
      <c r="AG81" s="581"/>
      <c r="AH81" s="581"/>
      <c r="AI81" s="581"/>
      <c r="AJ81" s="581"/>
      <c r="AK81" s="581"/>
      <c r="AL81" s="581"/>
      <c r="AM81" s="581"/>
      <c r="AN81" s="581"/>
      <c r="AO81" s="581"/>
      <c r="AP81" s="581"/>
      <c r="AQ81" s="581"/>
      <c r="AR81" s="581"/>
    </row>
    <row r="82" spans="1:44" ht="12.75" customHeight="1" x14ac:dyDescent="0.25">
      <c r="A82" s="581"/>
      <c r="B82" s="581"/>
      <c r="C82" s="581"/>
      <c r="D82" s="581"/>
      <c r="E82" s="581"/>
      <c r="F82" s="581"/>
      <c r="G82" s="581"/>
      <c r="H82" s="581"/>
      <c r="I82" s="581"/>
      <c r="J82" s="581"/>
      <c r="K82" s="581"/>
      <c r="L82" s="581"/>
      <c r="M82" s="581"/>
      <c r="N82" s="581"/>
      <c r="O82" s="581"/>
      <c r="P82" s="581"/>
      <c r="AA82" s="581"/>
      <c r="AB82" s="581"/>
      <c r="AC82" s="581"/>
      <c r="AD82" s="581"/>
      <c r="AE82" s="581"/>
      <c r="AF82" s="581"/>
      <c r="AG82" s="581"/>
      <c r="AH82" s="581"/>
      <c r="AI82" s="581"/>
      <c r="AJ82" s="581"/>
      <c r="AK82" s="581"/>
      <c r="AL82" s="581"/>
      <c r="AM82" s="581"/>
      <c r="AN82" s="581"/>
      <c r="AO82" s="581"/>
      <c r="AP82" s="581"/>
      <c r="AQ82" s="581"/>
      <c r="AR82" s="581"/>
    </row>
    <row r="83" spans="1:44" ht="12.75" customHeight="1" x14ac:dyDescent="0.25">
      <c r="A83" s="581"/>
      <c r="B83" s="581"/>
      <c r="C83" s="581"/>
      <c r="D83" s="581"/>
      <c r="E83" s="581"/>
      <c r="F83" s="581"/>
      <c r="G83" s="581"/>
      <c r="H83" s="581"/>
      <c r="I83" s="581"/>
      <c r="J83" s="581"/>
      <c r="K83" s="581"/>
      <c r="L83" s="581"/>
      <c r="M83" s="581"/>
      <c r="N83" s="581"/>
      <c r="O83" s="581"/>
      <c r="P83" s="581"/>
      <c r="AA83" s="581"/>
      <c r="AB83" s="581"/>
      <c r="AC83" s="581"/>
      <c r="AD83" s="581"/>
      <c r="AE83" s="581"/>
      <c r="AF83" s="581"/>
      <c r="AG83" s="581"/>
      <c r="AH83" s="581"/>
      <c r="AI83" s="581"/>
      <c r="AJ83" s="581"/>
      <c r="AK83" s="581"/>
      <c r="AL83" s="581"/>
      <c r="AM83" s="581"/>
      <c r="AN83" s="581"/>
      <c r="AO83" s="581"/>
      <c r="AP83" s="581"/>
      <c r="AQ83" s="581"/>
      <c r="AR83" s="581"/>
    </row>
    <row r="84" spans="1:44" ht="12.75" customHeight="1" x14ac:dyDescent="0.25">
      <c r="A84" s="581"/>
      <c r="B84" s="581"/>
      <c r="C84" s="581"/>
      <c r="D84" s="581"/>
      <c r="E84" s="581"/>
      <c r="F84" s="581"/>
      <c r="G84" s="581"/>
      <c r="H84" s="581"/>
      <c r="I84" s="581"/>
      <c r="J84" s="581"/>
      <c r="K84" s="581"/>
      <c r="L84" s="581"/>
      <c r="M84" s="581"/>
      <c r="N84" s="581"/>
      <c r="O84" s="581"/>
      <c r="P84" s="581"/>
      <c r="AA84" s="581"/>
      <c r="AB84" s="581"/>
      <c r="AC84" s="581"/>
      <c r="AD84" s="581"/>
      <c r="AE84" s="581"/>
      <c r="AF84" s="581"/>
      <c r="AG84" s="581"/>
      <c r="AH84" s="581"/>
      <c r="AI84" s="581"/>
      <c r="AJ84" s="581"/>
      <c r="AK84" s="581"/>
      <c r="AL84" s="581"/>
      <c r="AM84" s="581"/>
      <c r="AN84" s="581"/>
      <c r="AO84" s="581"/>
      <c r="AP84" s="581"/>
      <c r="AQ84" s="581"/>
      <c r="AR84" s="581"/>
    </row>
    <row r="85" spans="1:44" ht="12.75" customHeight="1" x14ac:dyDescent="0.25">
      <c r="A85" s="581"/>
      <c r="B85" s="581"/>
      <c r="C85" s="581"/>
      <c r="D85" s="581"/>
      <c r="E85" s="581"/>
      <c r="F85" s="581"/>
      <c r="G85" s="581"/>
      <c r="H85" s="581"/>
      <c r="I85" s="581"/>
      <c r="J85" s="581"/>
      <c r="K85" s="581"/>
      <c r="L85" s="581"/>
      <c r="M85" s="581"/>
      <c r="N85" s="581"/>
      <c r="O85" s="581"/>
      <c r="P85" s="581"/>
      <c r="AA85" s="581"/>
      <c r="AB85" s="581"/>
      <c r="AC85" s="581"/>
      <c r="AD85" s="581"/>
      <c r="AE85" s="581"/>
      <c r="AF85" s="581"/>
      <c r="AG85" s="581"/>
      <c r="AH85" s="581"/>
      <c r="AI85" s="581"/>
      <c r="AJ85" s="581"/>
      <c r="AK85" s="581"/>
      <c r="AL85" s="581"/>
      <c r="AM85" s="581"/>
      <c r="AN85" s="581"/>
      <c r="AO85" s="581"/>
      <c r="AP85" s="581"/>
      <c r="AQ85" s="581"/>
      <c r="AR85" s="581"/>
    </row>
    <row r="86" spans="1:44" ht="12.75" customHeight="1" x14ac:dyDescent="0.25">
      <c r="A86" s="581"/>
      <c r="B86" s="581"/>
      <c r="C86" s="581"/>
      <c r="D86" s="581"/>
      <c r="E86" s="581"/>
      <c r="F86" s="581"/>
      <c r="G86" s="581"/>
      <c r="H86" s="581"/>
      <c r="I86" s="581"/>
      <c r="J86" s="581"/>
      <c r="K86" s="581"/>
      <c r="L86" s="581"/>
      <c r="M86" s="581"/>
      <c r="N86" s="581"/>
      <c r="O86" s="581"/>
      <c r="P86" s="581"/>
      <c r="AA86" s="581"/>
      <c r="AB86" s="581"/>
      <c r="AC86" s="581"/>
      <c r="AD86" s="581"/>
      <c r="AE86" s="581"/>
      <c r="AF86" s="581"/>
      <c r="AG86" s="581"/>
      <c r="AH86" s="581"/>
      <c r="AI86" s="581"/>
      <c r="AJ86" s="581"/>
      <c r="AK86" s="581"/>
      <c r="AL86" s="581"/>
      <c r="AM86" s="581"/>
      <c r="AN86" s="581"/>
      <c r="AO86" s="581"/>
      <c r="AP86" s="581"/>
      <c r="AQ86" s="581"/>
      <c r="AR86" s="581"/>
    </row>
    <row r="87" spans="1:44" ht="12.75" customHeight="1" x14ac:dyDescent="0.25">
      <c r="A87" s="581"/>
      <c r="B87" s="581"/>
      <c r="C87" s="581"/>
      <c r="D87" s="581"/>
      <c r="E87" s="581"/>
      <c r="F87" s="581"/>
      <c r="G87" s="581"/>
      <c r="H87" s="581"/>
      <c r="I87" s="581"/>
      <c r="J87" s="581"/>
      <c r="K87" s="581"/>
      <c r="L87" s="581"/>
      <c r="M87" s="581"/>
      <c r="N87" s="581"/>
      <c r="O87" s="581"/>
      <c r="P87" s="581"/>
      <c r="AA87" s="581"/>
      <c r="AB87" s="581"/>
      <c r="AC87" s="581"/>
      <c r="AD87" s="581"/>
      <c r="AE87" s="581"/>
      <c r="AF87" s="581"/>
      <c r="AG87" s="581"/>
      <c r="AH87" s="581"/>
      <c r="AI87" s="581"/>
      <c r="AJ87" s="581"/>
      <c r="AK87" s="581"/>
      <c r="AL87" s="581"/>
      <c r="AM87" s="581"/>
      <c r="AN87" s="581"/>
      <c r="AO87" s="581"/>
      <c r="AP87" s="581"/>
      <c r="AQ87" s="581"/>
      <c r="AR87" s="581"/>
    </row>
    <row r="88" spans="1:44" ht="12.75" customHeight="1" x14ac:dyDescent="0.25">
      <c r="A88" s="581"/>
      <c r="B88" s="581"/>
      <c r="C88" s="581"/>
      <c r="D88" s="581"/>
      <c r="E88" s="581"/>
      <c r="F88" s="581"/>
      <c r="G88" s="581"/>
      <c r="H88" s="581"/>
      <c r="I88" s="581"/>
      <c r="J88" s="581"/>
      <c r="K88" s="581"/>
      <c r="L88" s="581"/>
      <c r="M88" s="581"/>
      <c r="N88" s="581"/>
      <c r="O88" s="581"/>
      <c r="P88" s="581"/>
      <c r="AA88" s="581"/>
      <c r="AB88" s="581"/>
      <c r="AC88" s="581"/>
      <c r="AD88" s="581"/>
      <c r="AE88" s="581"/>
      <c r="AF88" s="581"/>
      <c r="AG88" s="581"/>
      <c r="AH88" s="581"/>
      <c r="AI88" s="581"/>
      <c r="AJ88" s="581"/>
      <c r="AK88" s="581"/>
      <c r="AL88" s="581"/>
      <c r="AM88" s="581"/>
      <c r="AN88" s="581"/>
      <c r="AO88" s="581"/>
      <c r="AP88" s="581"/>
      <c r="AQ88" s="581"/>
      <c r="AR88" s="581"/>
    </row>
    <row r="89" spans="1:44" ht="12.75" customHeight="1" x14ac:dyDescent="0.25">
      <c r="A89" s="581"/>
      <c r="B89" s="581"/>
      <c r="C89" s="581"/>
      <c r="D89" s="581"/>
      <c r="E89" s="581"/>
      <c r="F89" s="581"/>
      <c r="G89" s="581"/>
      <c r="H89" s="581"/>
      <c r="I89" s="581"/>
      <c r="J89" s="581"/>
      <c r="K89" s="581"/>
      <c r="L89" s="581"/>
      <c r="M89" s="581"/>
      <c r="N89" s="581"/>
      <c r="O89" s="581"/>
      <c r="P89" s="581"/>
      <c r="AA89" s="581"/>
      <c r="AB89" s="581"/>
      <c r="AC89" s="581"/>
      <c r="AD89" s="581"/>
      <c r="AE89" s="581"/>
      <c r="AF89" s="581"/>
      <c r="AG89" s="581"/>
      <c r="AH89" s="581"/>
      <c r="AI89" s="581"/>
      <c r="AJ89" s="581"/>
      <c r="AK89" s="581"/>
      <c r="AL89" s="581"/>
      <c r="AM89" s="581"/>
      <c r="AN89" s="581"/>
      <c r="AO89" s="581"/>
      <c r="AP89" s="581"/>
      <c r="AQ89" s="581"/>
      <c r="AR89" s="581"/>
    </row>
    <row r="90" spans="1:44" ht="12.75" customHeight="1" x14ac:dyDescent="0.25">
      <c r="A90" s="581"/>
      <c r="B90" s="581"/>
      <c r="C90" s="581"/>
      <c r="D90" s="581"/>
      <c r="E90" s="581"/>
      <c r="F90" s="581"/>
      <c r="G90" s="581"/>
      <c r="H90" s="581"/>
      <c r="I90" s="581"/>
      <c r="J90" s="581"/>
      <c r="K90" s="581"/>
      <c r="L90" s="581"/>
      <c r="M90" s="581"/>
      <c r="N90" s="581"/>
      <c r="O90" s="581"/>
      <c r="P90" s="581"/>
      <c r="AA90" s="581"/>
      <c r="AB90" s="581"/>
      <c r="AC90" s="581"/>
      <c r="AD90" s="581"/>
      <c r="AE90" s="581"/>
      <c r="AF90" s="581"/>
      <c r="AG90" s="581"/>
      <c r="AH90" s="581"/>
      <c r="AI90" s="581"/>
      <c r="AJ90" s="581"/>
      <c r="AK90" s="581"/>
      <c r="AL90" s="581"/>
      <c r="AM90" s="581"/>
      <c r="AN90" s="581"/>
      <c r="AO90" s="581"/>
      <c r="AP90" s="581"/>
      <c r="AQ90" s="581"/>
      <c r="AR90" s="581"/>
    </row>
    <row r="91" spans="1:44" ht="12.75" customHeight="1" x14ac:dyDescent="0.25">
      <c r="A91" s="581"/>
      <c r="B91" s="581"/>
      <c r="C91" s="581"/>
      <c r="D91" s="581"/>
      <c r="E91" s="581"/>
      <c r="F91" s="581"/>
      <c r="G91" s="581"/>
      <c r="H91" s="581"/>
      <c r="I91" s="581"/>
      <c r="J91" s="581"/>
      <c r="K91" s="581"/>
      <c r="L91" s="581"/>
      <c r="M91" s="581"/>
      <c r="N91" s="581"/>
      <c r="O91" s="581"/>
      <c r="P91" s="581"/>
      <c r="AA91" s="581"/>
      <c r="AB91" s="581"/>
      <c r="AC91" s="581"/>
      <c r="AD91" s="581"/>
      <c r="AE91" s="581"/>
      <c r="AF91" s="581"/>
      <c r="AG91" s="581"/>
      <c r="AH91" s="581"/>
      <c r="AI91" s="581"/>
      <c r="AJ91" s="581"/>
      <c r="AK91" s="581"/>
      <c r="AL91" s="581"/>
      <c r="AM91" s="581"/>
      <c r="AN91" s="581"/>
      <c r="AO91" s="581"/>
      <c r="AP91" s="581"/>
      <c r="AQ91" s="581"/>
      <c r="AR91" s="581"/>
    </row>
    <row r="92" spans="1:44" ht="12.75" customHeight="1" x14ac:dyDescent="0.25">
      <c r="A92" s="581"/>
      <c r="B92" s="581"/>
      <c r="C92" s="581"/>
      <c r="D92" s="581"/>
      <c r="E92" s="581"/>
      <c r="F92" s="581"/>
      <c r="G92" s="581"/>
      <c r="H92" s="581"/>
      <c r="I92" s="581"/>
      <c r="J92" s="581"/>
      <c r="K92" s="581"/>
      <c r="L92" s="581"/>
      <c r="M92" s="581"/>
      <c r="N92" s="581"/>
      <c r="O92" s="581"/>
      <c r="P92" s="581"/>
      <c r="AA92" s="581"/>
      <c r="AB92" s="581"/>
      <c r="AC92" s="581"/>
      <c r="AD92" s="581"/>
      <c r="AE92" s="581"/>
      <c r="AF92" s="581"/>
      <c r="AG92" s="581"/>
      <c r="AH92" s="581"/>
      <c r="AI92" s="581"/>
      <c r="AJ92" s="581"/>
      <c r="AK92" s="581"/>
      <c r="AL92" s="581"/>
      <c r="AM92" s="581"/>
      <c r="AN92" s="581"/>
      <c r="AO92" s="581"/>
      <c r="AP92" s="581"/>
      <c r="AQ92" s="581"/>
      <c r="AR92" s="581"/>
    </row>
    <row r="93" spans="1:44" ht="12.75" customHeight="1" x14ac:dyDescent="0.25">
      <c r="A93" s="581"/>
      <c r="B93" s="581"/>
      <c r="C93" s="581"/>
      <c r="D93" s="581"/>
      <c r="E93" s="581"/>
      <c r="F93" s="581"/>
      <c r="G93" s="581"/>
      <c r="H93" s="581"/>
      <c r="I93" s="581"/>
      <c r="J93" s="581"/>
      <c r="K93" s="581"/>
      <c r="L93" s="581"/>
      <c r="M93" s="581"/>
      <c r="N93" s="581"/>
      <c r="O93" s="581"/>
      <c r="P93" s="581"/>
      <c r="AA93" s="581"/>
      <c r="AB93" s="581"/>
      <c r="AC93" s="581"/>
      <c r="AD93" s="581"/>
      <c r="AE93" s="581"/>
      <c r="AF93" s="581"/>
      <c r="AG93" s="581"/>
      <c r="AH93" s="581"/>
      <c r="AI93" s="581"/>
      <c r="AJ93" s="581"/>
      <c r="AK93" s="581"/>
      <c r="AL93" s="581"/>
      <c r="AM93" s="581"/>
      <c r="AN93" s="581"/>
      <c r="AO93" s="581"/>
      <c r="AP93" s="581"/>
      <c r="AQ93" s="581"/>
      <c r="AR93" s="581"/>
    </row>
    <row r="94" spans="1:44" ht="12.75" customHeight="1" x14ac:dyDescent="0.25">
      <c r="A94" s="581"/>
      <c r="B94" s="581"/>
      <c r="C94" s="581"/>
      <c r="D94" s="581"/>
      <c r="E94" s="581"/>
      <c r="F94" s="581"/>
      <c r="G94" s="581"/>
      <c r="H94" s="581"/>
      <c r="I94" s="581"/>
      <c r="J94" s="581"/>
      <c r="K94" s="581"/>
      <c r="L94" s="581"/>
      <c r="M94" s="581"/>
      <c r="N94" s="581"/>
      <c r="O94" s="581"/>
      <c r="P94" s="581"/>
      <c r="AA94" s="581"/>
      <c r="AB94" s="581"/>
      <c r="AC94" s="581"/>
      <c r="AD94" s="581"/>
      <c r="AE94" s="581"/>
      <c r="AF94" s="581"/>
      <c r="AG94" s="581"/>
      <c r="AH94" s="581"/>
      <c r="AI94" s="581"/>
      <c r="AJ94" s="581"/>
      <c r="AK94" s="581"/>
      <c r="AL94" s="581"/>
      <c r="AM94" s="581"/>
      <c r="AN94" s="581"/>
      <c r="AO94" s="581"/>
      <c r="AP94" s="581"/>
      <c r="AQ94" s="581"/>
      <c r="AR94" s="581"/>
    </row>
    <row r="95" spans="1:44" ht="12.75" customHeight="1" x14ac:dyDescent="0.25">
      <c r="A95" s="581"/>
      <c r="B95" s="581"/>
      <c r="C95" s="581"/>
      <c r="D95" s="581"/>
      <c r="E95" s="581"/>
      <c r="F95" s="581"/>
      <c r="G95" s="581"/>
      <c r="H95" s="581"/>
      <c r="I95" s="581"/>
      <c r="J95" s="581"/>
      <c r="K95" s="581"/>
      <c r="L95" s="581"/>
      <c r="M95" s="581"/>
      <c r="N95" s="581"/>
      <c r="O95" s="581"/>
      <c r="P95" s="581"/>
      <c r="AA95" s="581"/>
      <c r="AB95" s="581"/>
      <c r="AC95" s="581"/>
      <c r="AD95" s="581"/>
      <c r="AE95" s="581"/>
      <c r="AF95" s="581"/>
      <c r="AG95" s="581"/>
      <c r="AH95" s="581"/>
      <c r="AI95" s="581"/>
      <c r="AJ95" s="581"/>
      <c r="AK95" s="581"/>
      <c r="AL95" s="581"/>
      <c r="AM95" s="581"/>
      <c r="AN95" s="581"/>
      <c r="AO95" s="581"/>
      <c r="AP95" s="581"/>
      <c r="AQ95" s="581"/>
      <c r="AR95" s="581"/>
    </row>
    <row r="96" spans="1:44" ht="12.75" customHeight="1" x14ac:dyDescent="0.25">
      <c r="A96" s="581"/>
      <c r="B96" s="581"/>
      <c r="C96" s="581"/>
      <c r="D96" s="581"/>
      <c r="E96" s="581"/>
      <c r="F96" s="581"/>
      <c r="G96" s="581"/>
      <c r="H96" s="581"/>
      <c r="I96" s="581"/>
      <c r="J96" s="581"/>
      <c r="K96" s="581"/>
      <c r="L96" s="581"/>
      <c r="M96" s="581"/>
      <c r="N96" s="581"/>
      <c r="O96" s="581"/>
      <c r="P96" s="581"/>
      <c r="AA96" s="581"/>
      <c r="AB96" s="581"/>
      <c r="AC96" s="581"/>
      <c r="AD96" s="581"/>
      <c r="AE96" s="581"/>
      <c r="AF96" s="581"/>
      <c r="AG96" s="581"/>
      <c r="AH96" s="581"/>
      <c r="AI96" s="581"/>
      <c r="AJ96" s="581"/>
      <c r="AK96" s="581"/>
      <c r="AL96" s="581"/>
      <c r="AM96" s="581"/>
      <c r="AN96" s="581"/>
      <c r="AO96" s="581"/>
      <c r="AP96" s="581"/>
      <c r="AQ96" s="581"/>
      <c r="AR96" s="581"/>
    </row>
    <row r="97" spans="1:44" ht="12.75" customHeight="1" x14ac:dyDescent="0.25">
      <c r="A97" s="581"/>
      <c r="B97" s="581"/>
      <c r="C97" s="581"/>
      <c r="D97" s="581"/>
      <c r="E97" s="581"/>
      <c r="F97" s="581"/>
      <c r="G97" s="581"/>
      <c r="H97" s="581"/>
      <c r="I97" s="581"/>
      <c r="J97" s="581"/>
      <c r="K97" s="581"/>
      <c r="L97" s="581"/>
      <c r="M97" s="581"/>
      <c r="N97" s="581"/>
      <c r="O97" s="581"/>
      <c r="P97" s="581"/>
      <c r="AA97" s="581"/>
      <c r="AB97" s="581"/>
      <c r="AC97" s="581"/>
      <c r="AD97" s="581"/>
      <c r="AE97" s="581"/>
      <c r="AF97" s="581"/>
      <c r="AG97" s="581"/>
      <c r="AH97" s="581"/>
      <c r="AI97" s="581"/>
      <c r="AJ97" s="581"/>
      <c r="AK97" s="581"/>
      <c r="AL97" s="581"/>
      <c r="AM97" s="581"/>
      <c r="AN97" s="581"/>
      <c r="AO97" s="581"/>
      <c r="AP97" s="581"/>
      <c r="AQ97" s="581"/>
      <c r="AR97" s="581"/>
    </row>
    <row r="98" spans="1:44" ht="12.75" customHeight="1" x14ac:dyDescent="0.25">
      <c r="A98" s="581"/>
      <c r="B98" s="581"/>
      <c r="C98" s="581"/>
      <c r="D98" s="581"/>
      <c r="E98" s="581"/>
      <c r="F98" s="581"/>
      <c r="G98" s="581"/>
      <c r="H98" s="581"/>
      <c r="I98" s="581"/>
      <c r="J98" s="581"/>
      <c r="K98" s="581"/>
      <c r="L98" s="581"/>
      <c r="M98" s="581"/>
      <c r="N98" s="581"/>
      <c r="O98" s="581"/>
      <c r="P98" s="581"/>
      <c r="AA98" s="581"/>
      <c r="AB98" s="581"/>
      <c r="AC98" s="581"/>
      <c r="AD98" s="581"/>
      <c r="AE98" s="581"/>
      <c r="AF98" s="581"/>
      <c r="AG98" s="581"/>
      <c r="AH98" s="581"/>
      <c r="AI98" s="581"/>
      <c r="AJ98" s="581"/>
      <c r="AK98" s="581"/>
      <c r="AL98" s="581"/>
      <c r="AM98" s="581"/>
      <c r="AN98" s="581"/>
      <c r="AO98" s="581"/>
      <c r="AP98" s="581"/>
      <c r="AQ98" s="581"/>
      <c r="AR98" s="581"/>
    </row>
    <row r="99" spans="1:44" ht="12.75" customHeight="1" x14ac:dyDescent="0.25">
      <c r="A99" s="581"/>
      <c r="B99" s="581"/>
      <c r="C99" s="581"/>
      <c r="D99" s="581"/>
      <c r="E99" s="581"/>
      <c r="F99" s="581"/>
      <c r="G99" s="581"/>
      <c r="H99" s="581"/>
      <c r="I99" s="581"/>
      <c r="J99" s="581"/>
      <c r="K99" s="581"/>
      <c r="L99" s="581"/>
      <c r="M99" s="581"/>
      <c r="N99" s="581"/>
      <c r="O99" s="581"/>
      <c r="P99" s="581"/>
      <c r="AA99" s="581"/>
      <c r="AB99" s="581"/>
      <c r="AC99" s="581"/>
      <c r="AD99" s="581"/>
      <c r="AE99" s="581"/>
      <c r="AF99" s="581"/>
      <c r="AG99" s="581"/>
      <c r="AH99" s="581"/>
      <c r="AI99" s="581"/>
      <c r="AJ99" s="581"/>
      <c r="AK99" s="581"/>
      <c r="AL99" s="581"/>
      <c r="AM99" s="581"/>
      <c r="AN99" s="581"/>
      <c r="AO99" s="581"/>
      <c r="AP99" s="581"/>
      <c r="AQ99" s="581"/>
      <c r="AR99" s="581"/>
    </row>
    <row r="100" spans="1:44" ht="12.75" customHeight="1" x14ac:dyDescent="0.25">
      <c r="A100" s="581"/>
      <c r="B100" s="581"/>
      <c r="C100" s="581"/>
      <c r="D100" s="581"/>
      <c r="E100" s="581"/>
      <c r="F100" s="581"/>
      <c r="G100" s="581"/>
      <c r="H100" s="581"/>
      <c r="I100" s="581"/>
      <c r="J100" s="581"/>
      <c r="K100" s="581"/>
      <c r="L100" s="581"/>
      <c r="M100" s="581"/>
      <c r="N100" s="581"/>
      <c r="O100" s="581"/>
      <c r="P100" s="581"/>
      <c r="AA100" s="581"/>
      <c r="AB100" s="581"/>
      <c r="AC100" s="581"/>
      <c r="AD100" s="581"/>
      <c r="AE100" s="581"/>
      <c r="AF100" s="581"/>
      <c r="AG100" s="581"/>
      <c r="AH100" s="581"/>
      <c r="AI100" s="581"/>
      <c r="AJ100" s="581"/>
      <c r="AK100" s="581"/>
      <c r="AL100" s="581"/>
      <c r="AM100" s="581"/>
      <c r="AN100" s="581"/>
      <c r="AO100" s="581"/>
      <c r="AP100" s="581"/>
      <c r="AQ100" s="581"/>
      <c r="AR100" s="581"/>
    </row>
    <row r="101" spans="1:44" ht="12.75" customHeight="1" x14ac:dyDescent="0.25">
      <c r="A101" s="581"/>
      <c r="B101" s="581"/>
      <c r="C101" s="581"/>
      <c r="D101" s="581"/>
      <c r="E101" s="581"/>
      <c r="F101" s="581"/>
      <c r="G101" s="581"/>
      <c r="H101" s="581"/>
      <c r="I101" s="581"/>
      <c r="J101" s="581"/>
      <c r="K101" s="581"/>
      <c r="L101" s="581"/>
      <c r="M101" s="581"/>
      <c r="N101" s="581"/>
      <c r="O101" s="581"/>
      <c r="P101" s="581"/>
      <c r="AA101" s="581"/>
      <c r="AB101" s="581"/>
      <c r="AC101" s="581"/>
      <c r="AD101" s="581"/>
      <c r="AE101" s="581"/>
      <c r="AF101" s="581"/>
      <c r="AG101" s="581"/>
      <c r="AH101" s="581"/>
      <c r="AI101" s="581"/>
      <c r="AJ101" s="581"/>
      <c r="AK101" s="581"/>
      <c r="AL101" s="581"/>
      <c r="AM101" s="581"/>
      <c r="AN101" s="581"/>
      <c r="AO101" s="581"/>
      <c r="AP101" s="581"/>
      <c r="AQ101" s="581"/>
      <c r="AR101" s="581"/>
    </row>
    <row r="102" spans="1:44" ht="12.75" customHeight="1" x14ac:dyDescent="0.25">
      <c r="A102" s="581"/>
      <c r="B102" s="581"/>
      <c r="C102" s="581"/>
      <c r="D102" s="581"/>
      <c r="E102" s="581"/>
      <c r="F102" s="581"/>
      <c r="G102" s="581"/>
      <c r="H102" s="581"/>
      <c r="I102" s="581"/>
      <c r="J102" s="581"/>
      <c r="K102" s="581"/>
      <c r="L102" s="581"/>
      <c r="M102" s="581"/>
      <c r="N102" s="581"/>
      <c r="O102" s="581"/>
      <c r="P102" s="581"/>
      <c r="AA102" s="581"/>
      <c r="AB102" s="581"/>
      <c r="AC102" s="581"/>
      <c r="AD102" s="581"/>
      <c r="AE102" s="581"/>
      <c r="AF102" s="581"/>
      <c r="AG102" s="581"/>
      <c r="AH102" s="581"/>
      <c r="AI102" s="581"/>
      <c r="AJ102" s="581"/>
      <c r="AK102" s="581"/>
      <c r="AL102" s="581"/>
      <c r="AM102" s="581"/>
      <c r="AN102" s="581"/>
      <c r="AO102" s="581"/>
      <c r="AP102" s="581"/>
      <c r="AQ102" s="581"/>
      <c r="AR102" s="581"/>
    </row>
    <row r="103" spans="1:44" ht="12.75" customHeight="1" x14ac:dyDescent="0.25">
      <c r="A103" s="581"/>
      <c r="B103" s="581"/>
      <c r="C103" s="581"/>
      <c r="D103" s="581"/>
      <c r="E103" s="581"/>
      <c r="F103" s="581"/>
      <c r="G103" s="581"/>
      <c r="H103" s="581"/>
      <c r="I103" s="581"/>
      <c r="J103" s="581"/>
      <c r="K103" s="581"/>
      <c r="L103" s="581"/>
      <c r="M103" s="581"/>
      <c r="N103" s="581"/>
      <c r="O103" s="581"/>
      <c r="P103" s="581"/>
      <c r="AA103" s="581"/>
      <c r="AB103" s="581"/>
      <c r="AC103" s="581"/>
      <c r="AD103" s="581"/>
      <c r="AE103" s="581"/>
      <c r="AF103" s="581"/>
      <c r="AG103" s="581"/>
      <c r="AH103" s="581"/>
      <c r="AI103" s="581"/>
      <c r="AJ103" s="581"/>
      <c r="AK103" s="581"/>
      <c r="AL103" s="581"/>
      <c r="AM103" s="581"/>
      <c r="AN103" s="581"/>
      <c r="AO103" s="581"/>
      <c r="AP103" s="581"/>
      <c r="AQ103" s="581"/>
      <c r="AR103" s="581"/>
    </row>
    <row r="104" spans="1:44" ht="12.75" customHeight="1" x14ac:dyDescent="0.25">
      <c r="A104" s="581"/>
      <c r="B104" s="581"/>
      <c r="C104" s="581"/>
      <c r="D104" s="581"/>
      <c r="E104" s="581"/>
      <c r="F104" s="581"/>
      <c r="G104" s="581"/>
      <c r="H104" s="581"/>
      <c r="I104" s="581"/>
      <c r="J104" s="581"/>
      <c r="K104" s="581"/>
      <c r="L104" s="581"/>
      <c r="M104" s="581"/>
      <c r="N104" s="581"/>
      <c r="O104" s="581"/>
      <c r="P104" s="581"/>
      <c r="AA104" s="581"/>
      <c r="AB104" s="581"/>
      <c r="AC104" s="581"/>
      <c r="AD104" s="581"/>
      <c r="AE104" s="581"/>
      <c r="AF104" s="581"/>
      <c r="AG104" s="581"/>
      <c r="AH104" s="581"/>
      <c r="AI104" s="581"/>
      <c r="AJ104" s="581"/>
      <c r="AK104" s="581"/>
      <c r="AL104" s="581"/>
      <c r="AM104" s="581"/>
      <c r="AN104" s="581"/>
      <c r="AO104" s="581"/>
      <c r="AP104" s="581"/>
      <c r="AQ104" s="581"/>
      <c r="AR104" s="581"/>
    </row>
    <row r="105" spans="1:44" ht="12.75" customHeight="1" x14ac:dyDescent="0.25">
      <c r="A105" s="581"/>
      <c r="B105" s="581"/>
      <c r="C105" s="581"/>
      <c r="D105" s="581"/>
      <c r="E105" s="581"/>
      <c r="F105" s="581"/>
      <c r="G105" s="581"/>
      <c r="H105" s="581"/>
      <c r="I105" s="581"/>
      <c r="J105" s="581"/>
      <c r="K105" s="581"/>
      <c r="L105" s="581"/>
      <c r="M105" s="581"/>
      <c r="N105" s="581"/>
      <c r="O105" s="581"/>
      <c r="P105" s="581"/>
      <c r="AA105" s="581"/>
      <c r="AB105" s="581"/>
      <c r="AC105" s="581"/>
      <c r="AD105" s="581"/>
      <c r="AE105" s="581"/>
      <c r="AF105" s="581"/>
      <c r="AG105" s="581"/>
      <c r="AH105" s="581"/>
      <c r="AI105" s="581"/>
      <c r="AJ105" s="581"/>
      <c r="AK105" s="581"/>
      <c r="AL105" s="581"/>
      <c r="AM105" s="581"/>
      <c r="AN105" s="581"/>
      <c r="AO105" s="581"/>
      <c r="AP105" s="581"/>
      <c r="AQ105" s="581"/>
      <c r="AR105" s="581"/>
    </row>
    <row r="106" spans="1:44" ht="12.75" customHeight="1" x14ac:dyDescent="0.25">
      <c r="A106" s="581"/>
      <c r="B106" s="581"/>
      <c r="C106" s="581"/>
      <c r="D106" s="581"/>
      <c r="E106" s="581"/>
      <c r="F106" s="581"/>
      <c r="G106" s="581"/>
      <c r="H106" s="581"/>
      <c r="I106" s="581"/>
      <c r="J106" s="581"/>
      <c r="K106" s="581"/>
      <c r="L106" s="581"/>
      <c r="M106" s="581"/>
      <c r="N106" s="581"/>
      <c r="O106" s="581"/>
      <c r="P106" s="581"/>
      <c r="AA106" s="581"/>
      <c r="AB106" s="581"/>
      <c r="AC106" s="581"/>
      <c r="AD106" s="581"/>
      <c r="AE106" s="581"/>
      <c r="AF106" s="581"/>
      <c r="AG106" s="581"/>
      <c r="AH106" s="581"/>
      <c r="AI106" s="581"/>
      <c r="AJ106" s="581"/>
      <c r="AK106" s="581"/>
      <c r="AL106" s="581"/>
      <c r="AM106" s="581"/>
      <c r="AN106" s="581"/>
      <c r="AO106" s="581"/>
      <c r="AP106" s="581"/>
      <c r="AQ106" s="581"/>
      <c r="AR106" s="581"/>
    </row>
    <row r="107" spans="1:44" ht="12.75" customHeight="1" x14ac:dyDescent="0.25">
      <c r="A107" s="581"/>
      <c r="B107" s="581"/>
      <c r="C107" s="581"/>
      <c r="D107" s="581"/>
      <c r="E107" s="581"/>
      <c r="F107" s="581"/>
      <c r="G107" s="581"/>
      <c r="H107" s="581"/>
      <c r="I107" s="581"/>
      <c r="J107" s="581"/>
      <c r="K107" s="581"/>
      <c r="L107" s="581"/>
      <c r="M107" s="581"/>
      <c r="N107" s="581"/>
      <c r="O107" s="581"/>
      <c r="P107" s="581"/>
      <c r="AA107" s="581"/>
      <c r="AB107" s="581"/>
      <c r="AC107" s="581"/>
      <c r="AD107" s="581"/>
      <c r="AE107" s="581"/>
      <c r="AF107" s="581"/>
      <c r="AG107" s="581"/>
      <c r="AH107" s="581"/>
      <c r="AI107" s="581"/>
      <c r="AJ107" s="581"/>
      <c r="AK107" s="581"/>
      <c r="AL107" s="581"/>
      <c r="AM107" s="581"/>
      <c r="AN107" s="581"/>
      <c r="AO107" s="581"/>
      <c r="AP107" s="581"/>
      <c r="AQ107" s="581"/>
      <c r="AR107" s="581"/>
    </row>
    <row r="108" spans="1:44" ht="12.75" customHeight="1" x14ac:dyDescent="0.25">
      <c r="A108" s="581"/>
      <c r="B108" s="581"/>
      <c r="C108" s="581"/>
      <c r="D108" s="581"/>
      <c r="E108" s="581"/>
      <c r="F108" s="581"/>
      <c r="G108" s="581"/>
      <c r="H108" s="581"/>
      <c r="I108" s="581"/>
      <c r="J108" s="581"/>
      <c r="K108" s="581"/>
      <c r="L108" s="581"/>
      <c r="M108" s="581"/>
      <c r="N108" s="581"/>
      <c r="O108" s="581"/>
      <c r="P108" s="581"/>
      <c r="AA108" s="581"/>
      <c r="AB108" s="581"/>
      <c r="AC108" s="581"/>
      <c r="AD108" s="581"/>
      <c r="AE108" s="581"/>
      <c r="AF108" s="581"/>
      <c r="AG108" s="581"/>
      <c r="AH108" s="581"/>
      <c r="AI108" s="581"/>
      <c r="AJ108" s="581"/>
      <c r="AK108" s="581"/>
      <c r="AL108" s="581"/>
      <c r="AM108" s="581"/>
      <c r="AN108" s="581"/>
      <c r="AO108" s="581"/>
      <c r="AP108" s="581"/>
      <c r="AQ108" s="581"/>
      <c r="AR108" s="581"/>
    </row>
    <row r="109" spans="1:44" ht="12.75" customHeight="1" x14ac:dyDescent="0.25">
      <c r="A109" s="581"/>
      <c r="B109" s="581"/>
      <c r="C109" s="581"/>
      <c r="D109" s="581"/>
      <c r="E109" s="581"/>
      <c r="F109" s="581"/>
      <c r="G109" s="581"/>
      <c r="H109" s="581"/>
      <c r="I109" s="581"/>
      <c r="J109" s="581"/>
      <c r="K109" s="581"/>
      <c r="L109" s="581"/>
      <c r="M109" s="581"/>
      <c r="N109" s="581"/>
      <c r="O109" s="581"/>
      <c r="P109" s="581"/>
      <c r="AA109" s="581"/>
      <c r="AB109" s="581"/>
      <c r="AC109" s="581"/>
      <c r="AD109" s="581"/>
      <c r="AE109" s="581"/>
      <c r="AF109" s="581"/>
      <c r="AG109" s="581"/>
      <c r="AH109" s="581"/>
      <c r="AI109" s="581"/>
      <c r="AJ109" s="581"/>
      <c r="AK109" s="581"/>
      <c r="AL109" s="581"/>
      <c r="AM109" s="581"/>
      <c r="AN109" s="581"/>
      <c r="AO109" s="581"/>
      <c r="AP109" s="581"/>
      <c r="AQ109" s="581"/>
      <c r="AR109" s="581"/>
    </row>
    <row r="110" spans="1:44" ht="12.75" customHeight="1" x14ac:dyDescent="0.25">
      <c r="A110" s="581"/>
      <c r="B110" s="581"/>
      <c r="C110" s="581"/>
      <c r="D110" s="581"/>
      <c r="E110" s="581"/>
      <c r="F110" s="581"/>
      <c r="G110" s="581"/>
      <c r="H110" s="581"/>
      <c r="I110" s="581"/>
      <c r="J110" s="581"/>
      <c r="K110" s="581"/>
      <c r="L110" s="581"/>
      <c r="M110" s="581"/>
      <c r="N110" s="581"/>
      <c r="O110" s="581"/>
      <c r="P110" s="581"/>
      <c r="AA110" s="581"/>
      <c r="AB110" s="581"/>
      <c r="AC110" s="581"/>
      <c r="AD110" s="581"/>
      <c r="AE110" s="581"/>
      <c r="AF110" s="581"/>
      <c r="AG110" s="581"/>
      <c r="AH110" s="581"/>
      <c r="AI110" s="581"/>
      <c r="AJ110" s="581"/>
      <c r="AK110" s="581"/>
      <c r="AL110" s="581"/>
      <c r="AM110" s="581"/>
      <c r="AN110" s="581"/>
      <c r="AO110" s="581"/>
      <c r="AP110" s="581"/>
      <c r="AQ110" s="581"/>
      <c r="AR110" s="581"/>
    </row>
    <row r="111" spans="1:44" ht="12.75" customHeight="1" x14ac:dyDescent="0.25">
      <c r="A111" s="581"/>
      <c r="B111" s="581"/>
      <c r="C111" s="581"/>
      <c r="D111" s="581"/>
      <c r="E111" s="581"/>
      <c r="F111" s="581"/>
      <c r="G111" s="581"/>
      <c r="H111" s="581"/>
      <c r="I111" s="581"/>
      <c r="J111" s="581"/>
      <c r="K111" s="581"/>
      <c r="L111" s="581"/>
      <c r="M111" s="581"/>
      <c r="N111" s="581"/>
      <c r="O111" s="581"/>
      <c r="P111" s="581"/>
      <c r="AA111" s="581"/>
      <c r="AB111" s="581"/>
      <c r="AC111" s="581"/>
      <c r="AD111" s="581"/>
      <c r="AE111" s="581"/>
      <c r="AF111" s="581"/>
      <c r="AG111" s="581"/>
      <c r="AH111" s="581"/>
      <c r="AI111" s="581"/>
      <c r="AJ111" s="581"/>
      <c r="AK111" s="581"/>
      <c r="AL111" s="581"/>
      <c r="AM111" s="581"/>
      <c r="AN111" s="581"/>
      <c r="AO111" s="581"/>
      <c r="AP111" s="581"/>
      <c r="AQ111" s="581"/>
      <c r="AR111" s="581"/>
    </row>
    <row r="112" spans="1:44" ht="12.75" customHeight="1" x14ac:dyDescent="0.25">
      <c r="A112" s="581"/>
      <c r="B112" s="581"/>
      <c r="C112" s="581"/>
      <c r="D112" s="581"/>
      <c r="E112" s="581"/>
      <c r="F112" s="581"/>
      <c r="G112" s="581"/>
      <c r="H112" s="581"/>
      <c r="I112" s="581"/>
      <c r="J112" s="581"/>
      <c r="K112" s="581"/>
      <c r="L112" s="581"/>
      <c r="M112" s="581"/>
      <c r="N112" s="581"/>
      <c r="O112" s="581"/>
      <c r="P112" s="581"/>
      <c r="AA112" s="581"/>
      <c r="AB112" s="581"/>
      <c r="AC112" s="581"/>
      <c r="AD112" s="581"/>
      <c r="AE112" s="581"/>
      <c r="AF112" s="581"/>
      <c r="AG112" s="581"/>
      <c r="AH112" s="581"/>
      <c r="AI112" s="581"/>
      <c r="AJ112" s="581"/>
      <c r="AK112" s="581"/>
      <c r="AL112" s="581"/>
      <c r="AM112" s="581"/>
      <c r="AN112" s="581"/>
      <c r="AO112" s="581"/>
      <c r="AP112" s="581"/>
      <c r="AQ112" s="581"/>
      <c r="AR112" s="581"/>
    </row>
    <row r="113" spans="1:44" ht="12.75" customHeight="1" x14ac:dyDescent="0.25">
      <c r="A113" s="581"/>
      <c r="B113" s="581"/>
      <c r="C113" s="581"/>
      <c r="D113" s="581"/>
      <c r="E113" s="581"/>
      <c r="F113" s="581"/>
      <c r="G113" s="581"/>
      <c r="H113" s="581"/>
      <c r="I113" s="581"/>
      <c r="J113" s="581"/>
      <c r="K113" s="581"/>
      <c r="L113" s="581"/>
      <c r="M113" s="581"/>
      <c r="N113" s="581"/>
      <c r="O113" s="581"/>
      <c r="P113" s="581"/>
      <c r="AA113" s="581"/>
      <c r="AB113" s="581"/>
      <c r="AC113" s="581"/>
      <c r="AD113" s="581"/>
      <c r="AE113" s="581"/>
      <c r="AF113" s="581"/>
      <c r="AG113" s="581"/>
      <c r="AH113" s="581"/>
      <c r="AI113" s="581"/>
      <c r="AJ113" s="581"/>
      <c r="AK113" s="581"/>
      <c r="AL113" s="581"/>
      <c r="AM113" s="581"/>
      <c r="AN113" s="581"/>
      <c r="AO113" s="581"/>
      <c r="AP113" s="581"/>
      <c r="AQ113" s="581"/>
      <c r="AR113" s="581"/>
    </row>
    <row r="114" spans="1:44" ht="12.75" customHeight="1" x14ac:dyDescent="0.25">
      <c r="A114" s="581"/>
      <c r="B114" s="581"/>
      <c r="C114" s="581"/>
      <c r="D114" s="581"/>
      <c r="E114" s="581"/>
      <c r="F114" s="581"/>
      <c r="G114" s="581"/>
      <c r="H114" s="581"/>
      <c r="I114" s="581"/>
      <c r="J114" s="581"/>
      <c r="K114" s="581"/>
      <c r="L114" s="581"/>
      <c r="M114" s="581"/>
      <c r="N114" s="581"/>
      <c r="O114" s="581"/>
      <c r="P114" s="581"/>
      <c r="AA114" s="581"/>
      <c r="AB114" s="581"/>
      <c r="AC114" s="581"/>
      <c r="AD114" s="581"/>
      <c r="AE114" s="581"/>
      <c r="AF114" s="581"/>
      <c r="AG114" s="581"/>
      <c r="AH114" s="581"/>
      <c r="AI114" s="581"/>
      <c r="AJ114" s="581"/>
      <c r="AK114" s="581"/>
      <c r="AL114" s="581"/>
      <c r="AM114" s="581"/>
      <c r="AN114" s="581"/>
      <c r="AO114" s="581"/>
      <c r="AP114" s="581"/>
      <c r="AQ114" s="581"/>
      <c r="AR114" s="581"/>
    </row>
    <row r="115" spans="1:44" ht="12.75" customHeight="1" x14ac:dyDescent="0.25">
      <c r="A115" s="581"/>
      <c r="B115" s="581"/>
      <c r="C115" s="581"/>
      <c r="D115" s="581"/>
      <c r="E115" s="581"/>
      <c r="F115" s="581"/>
      <c r="G115" s="581"/>
      <c r="H115" s="581"/>
      <c r="I115" s="581"/>
      <c r="J115" s="581"/>
      <c r="K115" s="581"/>
      <c r="L115" s="581"/>
      <c r="M115" s="581"/>
      <c r="N115" s="581"/>
      <c r="O115" s="581"/>
      <c r="P115" s="581"/>
      <c r="AA115" s="581"/>
      <c r="AB115" s="581"/>
      <c r="AC115" s="581"/>
      <c r="AD115" s="581"/>
      <c r="AE115" s="581"/>
      <c r="AF115" s="581"/>
      <c r="AG115" s="581"/>
      <c r="AH115" s="581"/>
      <c r="AI115" s="581"/>
      <c r="AJ115" s="581"/>
      <c r="AK115" s="581"/>
      <c r="AL115" s="581"/>
      <c r="AM115" s="581"/>
      <c r="AN115" s="581"/>
      <c r="AO115" s="581"/>
      <c r="AP115" s="581"/>
      <c r="AQ115" s="581"/>
      <c r="AR115" s="581"/>
    </row>
    <row r="116" spans="1:44" ht="12.75" customHeight="1" x14ac:dyDescent="0.25">
      <c r="A116" s="581"/>
      <c r="B116" s="581"/>
      <c r="C116" s="581"/>
      <c r="D116" s="581"/>
      <c r="E116" s="581"/>
      <c r="F116" s="581"/>
      <c r="G116" s="581"/>
      <c r="H116" s="581"/>
      <c r="I116" s="581"/>
      <c r="J116" s="581"/>
      <c r="K116" s="581"/>
      <c r="L116" s="581"/>
      <c r="M116" s="581"/>
      <c r="N116" s="581"/>
      <c r="O116" s="581"/>
      <c r="P116" s="581"/>
      <c r="AA116" s="581"/>
      <c r="AB116" s="581"/>
      <c r="AC116" s="581"/>
      <c r="AD116" s="581"/>
      <c r="AE116" s="581"/>
      <c r="AF116" s="581"/>
      <c r="AG116" s="581"/>
      <c r="AH116" s="581"/>
      <c r="AI116" s="581"/>
      <c r="AJ116" s="581"/>
      <c r="AK116" s="581"/>
      <c r="AL116" s="581"/>
      <c r="AM116" s="581"/>
      <c r="AN116" s="581"/>
      <c r="AO116" s="581"/>
      <c r="AP116" s="581"/>
      <c r="AQ116" s="581"/>
      <c r="AR116" s="581"/>
    </row>
    <row r="117" spans="1:44" ht="12.75" customHeight="1" x14ac:dyDescent="0.25">
      <c r="A117" s="581"/>
      <c r="B117" s="581"/>
      <c r="C117" s="581"/>
      <c r="D117" s="581"/>
      <c r="E117" s="581"/>
      <c r="F117" s="581"/>
      <c r="G117" s="581"/>
      <c r="H117" s="581"/>
      <c r="I117" s="581"/>
      <c r="J117" s="581"/>
      <c r="K117" s="581"/>
      <c r="L117" s="581"/>
      <c r="M117" s="581"/>
      <c r="N117" s="581"/>
      <c r="O117" s="581"/>
      <c r="P117" s="581"/>
      <c r="AA117" s="581"/>
      <c r="AB117" s="581"/>
      <c r="AC117" s="581"/>
      <c r="AD117" s="581"/>
      <c r="AE117" s="581"/>
      <c r="AF117" s="581"/>
      <c r="AG117" s="581"/>
      <c r="AH117" s="581"/>
      <c r="AI117" s="581"/>
      <c r="AJ117" s="581"/>
      <c r="AK117" s="581"/>
      <c r="AL117" s="581"/>
      <c r="AM117" s="581"/>
      <c r="AN117" s="581"/>
      <c r="AO117" s="581"/>
      <c r="AP117" s="581"/>
      <c r="AQ117" s="581"/>
      <c r="AR117" s="581"/>
    </row>
    <row r="118" spans="1:44" ht="12.75" customHeight="1" x14ac:dyDescent="0.25">
      <c r="A118" s="581"/>
      <c r="B118" s="581"/>
      <c r="C118" s="581"/>
      <c r="D118" s="581"/>
      <c r="E118" s="581"/>
      <c r="F118" s="581"/>
      <c r="G118" s="581"/>
      <c r="H118" s="581"/>
      <c r="I118" s="581"/>
      <c r="J118" s="581"/>
      <c r="K118" s="581"/>
      <c r="L118" s="581"/>
      <c r="M118" s="581"/>
      <c r="N118" s="581"/>
      <c r="O118" s="581"/>
      <c r="P118" s="581"/>
      <c r="AA118" s="581"/>
      <c r="AB118" s="581"/>
      <c r="AC118" s="581"/>
      <c r="AD118" s="581"/>
      <c r="AE118" s="581"/>
      <c r="AF118" s="581"/>
      <c r="AG118" s="581"/>
      <c r="AH118" s="581"/>
      <c r="AI118" s="581"/>
      <c r="AJ118" s="581"/>
      <c r="AK118" s="581"/>
      <c r="AL118" s="581"/>
      <c r="AM118" s="581"/>
      <c r="AN118" s="581"/>
      <c r="AO118" s="581"/>
      <c r="AP118" s="581"/>
      <c r="AQ118" s="581"/>
      <c r="AR118" s="581"/>
    </row>
    <row r="119" spans="1:44" ht="12.75" customHeight="1" x14ac:dyDescent="0.25">
      <c r="A119" s="581"/>
      <c r="B119" s="581"/>
      <c r="C119" s="581"/>
      <c r="D119" s="581"/>
      <c r="E119" s="581"/>
      <c r="F119" s="581"/>
      <c r="G119" s="581"/>
      <c r="H119" s="581"/>
      <c r="I119" s="581"/>
      <c r="J119" s="581"/>
      <c r="K119" s="581"/>
      <c r="L119" s="581"/>
      <c r="M119" s="581"/>
      <c r="N119" s="581"/>
      <c r="O119" s="581"/>
      <c r="P119" s="581"/>
      <c r="AA119" s="581"/>
      <c r="AB119" s="581"/>
      <c r="AC119" s="581"/>
      <c r="AD119" s="581"/>
      <c r="AE119" s="581"/>
      <c r="AF119" s="581"/>
      <c r="AG119" s="581"/>
      <c r="AH119" s="581"/>
      <c r="AI119" s="581"/>
      <c r="AJ119" s="581"/>
      <c r="AK119" s="581"/>
      <c r="AL119" s="581"/>
      <c r="AM119" s="581"/>
      <c r="AN119" s="581"/>
      <c r="AO119" s="581"/>
      <c r="AP119" s="581"/>
      <c r="AQ119" s="581"/>
      <c r="AR119" s="581"/>
    </row>
    <row r="120" spans="1:44" ht="12.75" customHeight="1" x14ac:dyDescent="0.25">
      <c r="A120" s="581"/>
      <c r="B120" s="581"/>
      <c r="C120" s="581"/>
      <c r="D120" s="581"/>
      <c r="E120" s="581"/>
      <c r="F120" s="581"/>
      <c r="G120" s="581"/>
      <c r="H120" s="581"/>
      <c r="I120" s="581"/>
      <c r="J120" s="581"/>
      <c r="K120" s="581"/>
      <c r="L120" s="581"/>
      <c r="M120" s="581"/>
      <c r="N120" s="581"/>
      <c r="O120" s="581"/>
      <c r="P120" s="581"/>
      <c r="AA120" s="581"/>
      <c r="AB120" s="581"/>
      <c r="AC120" s="581"/>
      <c r="AD120" s="581"/>
      <c r="AE120" s="581"/>
      <c r="AF120" s="581"/>
      <c r="AG120" s="581"/>
      <c r="AH120" s="581"/>
      <c r="AI120" s="581"/>
      <c r="AJ120" s="581"/>
      <c r="AK120" s="581"/>
      <c r="AL120" s="581"/>
      <c r="AM120" s="581"/>
      <c r="AN120" s="581"/>
      <c r="AO120" s="581"/>
      <c r="AP120" s="581"/>
      <c r="AQ120" s="581"/>
      <c r="AR120" s="581"/>
    </row>
    <row r="121" spans="1:44" ht="12.75" customHeight="1" x14ac:dyDescent="0.25">
      <c r="A121" s="581"/>
      <c r="B121" s="581"/>
      <c r="C121" s="581"/>
      <c r="D121" s="581"/>
      <c r="E121" s="581"/>
      <c r="F121" s="581"/>
      <c r="G121" s="581"/>
      <c r="H121" s="581"/>
      <c r="I121" s="581"/>
      <c r="J121" s="581"/>
      <c r="K121" s="581"/>
      <c r="L121" s="581"/>
      <c r="M121" s="581"/>
      <c r="N121" s="581"/>
      <c r="O121" s="581"/>
      <c r="P121" s="581"/>
      <c r="AA121" s="581"/>
      <c r="AB121" s="581"/>
      <c r="AC121" s="581"/>
      <c r="AD121" s="581"/>
      <c r="AE121" s="581"/>
      <c r="AF121" s="581"/>
      <c r="AG121" s="581"/>
      <c r="AH121" s="581"/>
      <c r="AI121" s="581"/>
      <c r="AJ121" s="581"/>
      <c r="AK121" s="581"/>
      <c r="AL121" s="581"/>
      <c r="AM121" s="581"/>
      <c r="AN121" s="581"/>
      <c r="AO121" s="581"/>
      <c r="AP121" s="581"/>
      <c r="AQ121" s="581"/>
      <c r="AR121" s="581"/>
    </row>
    <row r="122" spans="1:44" ht="12.75" customHeight="1" x14ac:dyDescent="0.25">
      <c r="A122" s="581"/>
      <c r="B122" s="581"/>
      <c r="C122" s="581"/>
      <c r="D122" s="581"/>
      <c r="E122" s="581"/>
      <c r="F122" s="581"/>
      <c r="G122" s="581"/>
      <c r="H122" s="581"/>
      <c r="I122" s="581"/>
      <c r="J122" s="581"/>
      <c r="K122" s="581"/>
      <c r="L122" s="581"/>
      <c r="M122" s="581"/>
      <c r="N122" s="581"/>
      <c r="O122" s="581"/>
      <c r="P122" s="581"/>
      <c r="AA122" s="581"/>
      <c r="AB122" s="581"/>
      <c r="AC122" s="581"/>
      <c r="AD122" s="581"/>
      <c r="AE122" s="581"/>
      <c r="AF122" s="581"/>
      <c r="AG122" s="581"/>
      <c r="AH122" s="581"/>
      <c r="AI122" s="581"/>
      <c r="AJ122" s="581"/>
      <c r="AK122" s="581"/>
      <c r="AL122" s="581"/>
      <c r="AM122" s="581"/>
      <c r="AN122" s="581"/>
      <c r="AO122" s="581"/>
      <c r="AP122" s="581"/>
      <c r="AQ122" s="581"/>
      <c r="AR122" s="581"/>
    </row>
    <row r="123" spans="1:44" ht="12.75" customHeight="1" x14ac:dyDescent="0.25">
      <c r="A123" s="581"/>
      <c r="B123" s="581"/>
      <c r="C123" s="581"/>
      <c r="D123" s="581"/>
      <c r="E123" s="581"/>
      <c r="F123" s="581"/>
      <c r="G123" s="581"/>
      <c r="H123" s="581"/>
      <c r="I123" s="581"/>
      <c r="J123" s="581"/>
      <c r="K123" s="581"/>
      <c r="L123" s="581"/>
      <c r="M123" s="581"/>
      <c r="N123" s="581"/>
      <c r="O123" s="581"/>
      <c r="P123" s="581"/>
      <c r="AA123" s="581"/>
      <c r="AB123" s="581"/>
      <c r="AC123" s="581"/>
      <c r="AD123" s="581"/>
      <c r="AE123" s="581"/>
      <c r="AF123" s="581"/>
      <c r="AG123" s="581"/>
      <c r="AH123" s="581"/>
      <c r="AI123" s="581"/>
      <c r="AJ123" s="581"/>
      <c r="AK123" s="581"/>
      <c r="AL123" s="581"/>
      <c r="AM123" s="581"/>
      <c r="AN123" s="581"/>
      <c r="AO123" s="581"/>
      <c r="AP123" s="581"/>
      <c r="AQ123" s="581"/>
      <c r="AR123" s="581"/>
    </row>
    <row r="124" spans="1:44" ht="12.75" customHeight="1" x14ac:dyDescent="0.25">
      <c r="A124" s="581"/>
      <c r="B124" s="581"/>
      <c r="C124" s="581"/>
      <c r="D124" s="581"/>
      <c r="E124" s="581"/>
      <c r="F124" s="581"/>
      <c r="G124" s="581"/>
      <c r="H124" s="581"/>
      <c r="I124" s="581"/>
      <c r="J124" s="581"/>
      <c r="K124" s="581"/>
      <c r="L124" s="581"/>
      <c r="M124" s="581"/>
      <c r="N124" s="581"/>
      <c r="O124" s="581"/>
      <c r="P124" s="581"/>
      <c r="AA124" s="581"/>
      <c r="AB124" s="581"/>
      <c r="AC124" s="581"/>
      <c r="AD124" s="581"/>
      <c r="AE124" s="581"/>
      <c r="AF124" s="581"/>
      <c r="AG124" s="581"/>
      <c r="AH124" s="581"/>
      <c r="AI124" s="581"/>
      <c r="AJ124" s="581"/>
      <c r="AK124" s="581"/>
      <c r="AL124" s="581"/>
      <c r="AM124" s="581"/>
      <c r="AN124" s="581"/>
      <c r="AO124" s="581"/>
      <c r="AP124" s="581"/>
      <c r="AQ124" s="581"/>
      <c r="AR124" s="581"/>
    </row>
    <row r="125" spans="1:44" ht="12.75" customHeight="1" x14ac:dyDescent="0.25">
      <c r="A125" s="581"/>
      <c r="B125" s="581"/>
      <c r="C125" s="581"/>
      <c r="D125" s="581"/>
      <c r="E125" s="581"/>
      <c r="F125" s="581"/>
      <c r="G125" s="581"/>
      <c r="H125" s="581"/>
      <c r="I125" s="581"/>
      <c r="J125" s="581"/>
      <c r="K125" s="581"/>
      <c r="L125" s="581"/>
      <c r="M125" s="581"/>
      <c r="N125" s="581"/>
      <c r="O125" s="581"/>
      <c r="P125" s="581"/>
      <c r="AA125" s="581"/>
      <c r="AB125" s="581"/>
      <c r="AC125" s="581"/>
      <c r="AD125" s="581"/>
      <c r="AE125" s="581"/>
      <c r="AF125" s="581"/>
      <c r="AG125" s="581"/>
      <c r="AH125" s="581"/>
      <c r="AI125" s="581"/>
      <c r="AJ125" s="581"/>
      <c r="AK125" s="581"/>
      <c r="AL125" s="581"/>
      <c r="AM125" s="581"/>
      <c r="AN125" s="581"/>
      <c r="AO125" s="581"/>
      <c r="AP125" s="581"/>
      <c r="AQ125" s="581"/>
      <c r="AR125" s="581"/>
    </row>
    <row r="126" spans="1:44" ht="12.75" customHeight="1" x14ac:dyDescent="0.25">
      <c r="A126" s="581"/>
      <c r="B126" s="581"/>
      <c r="C126" s="581"/>
      <c r="D126" s="581"/>
      <c r="E126" s="581"/>
      <c r="F126" s="581"/>
      <c r="G126" s="581"/>
      <c r="H126" s="581"/>
      <c r="I126" s="581"/>
      <c r="J126" s="581"/>
      <c r="K126" s="581"/>
      <c r="L126" s="581"/>
      <c r="M126" s="581"/>
      <c r="N126" s="581"/>
      <c r="O126" s="581"/>
      <c r="P126" s="581"/>
      <c r="AA126" s="581"/>
      <c r="AB126" s="581"/>
      <c r="AC126" s="581"/>
      <c r="AD126" s="581"/>
      <c r="AE126" s="581"/>
      <c r="AF126" s="581"/>
      <c r="AG126" s="581"/>
      <c r="AH126" s="581"/>
      <c r="AI126" s="581"/>
      <c r="AJ126" s="581"/>
      <c r="AK126" s="581"/>
      <c r="AL126" s="581"/>
      <c r="AM126" s="581"/>
      <c r="AN126" s="581"/>
      <c r="AO126" s="581"/>
      <c r="AP126" s="581"/>
      <c r="AQ126" s="581"/>
      <c r="AR126" s="581"/>
    </row>
    <row r="127" spans="1:44" ht="12.75" customHeight="1" x14ac:dyDescent="0.25">
      <c r="A127" s="581"/>
      <c r="B127" s="581"/>
      <c r="C127" s="581"/>
      <c r="D127" s="581"/>
      <c r="E127" s="581"/>
      <c r="F127" s="581"/>
      <c r="G127" s="581"/>
      <c r="H127" s="581"/>
      <c r="I127" s="581"/>
      <c r="J127" s="581"/>
      <c r="K127" s="581"/>
      <c r="L127" s="581"/>
      <c r="M127" s="581"/>
      <c r="N127" s="581"/>
      <c r="O127" s="581"/>
      <c r="P127" s="581"/>
      <c r="AA127" s="581"/>
      <c r="AB127" s="581"/>
      <c r="AC127" s="581"/>
      <c r="AD127" s="581"/>
      <c r="AE127" s="581"/>
      <c r="AF127" s="581"/>
      <c r="AG127" s="581"/>
      <c r="AH127" s="581"/>
      <c r="AI127" s="581"/>
      <c r="AJ127" s="581"/>
      <c r="AK127" s="581"/>
      <c r="AL127" s="581"/>
      <c r="AM127" s="581"/>
      <c r="AN127" s="581"/>
      <c r="AO127" s="581"/>
      <c r="AP127" s="581"/>
      <c r="AQ127" s="581"/>
      <c r="AR127" s="581"/>
    </row>
    <row r="128" spans="1:44" ht="12.75" customHeight="1" x14ac:dyDescent="0.25">
      <c r="A128" s="581"/>
      <c r="B128" s="581"/>
      <c r="C128" s="581"/>
      <c r="D128" s="581"/>
      <c r="E128" s="581"/>
      <c r="F128" s="581"/>
      <c r="G128" s="581"/>
      <c r="H128" s="581"/>
      <c r="I128" s="581"/>
      <c r="J128" s="581"/>
      <c r="K128" s="581"/>
      <c r="L128" s="581"/>
      <c r="M128" s="581"/>
      <c r="N128" s="581"/>
      <c r="O128" s="581"/>
      <c r="P128" s="581"/>
      <c r="AA128" s="581"/>
      <c r="AB128" s="581"/>
      <c r="AC128" s="581"/>
      <c r="AD128" s="581"/>
      <c r="AE128" s="581"/>
      <c r="AF128" s="581"/>
      <c r="AG128" s="581"/>
      <c r="AH128" s="581"/>
      <c r="AI128" s="581"/>
      <c r="AJ128" s="581"/>
      <c r="AK128" s="581"/>
      <c r="AL128" s="581"/>
      <c r="AM128" s="581"/>
      <c r="AN128" s="581"/>
      <c r="AO128" s="581"/>
      <c r="AP128" s="581"/>
      <c r="AQ128" s="581"/>
      <c r="AR128" s="581"/>
    </row>
    <row r="129" spans="1:44" ht="12.75" customHeight="1" x14ac:dyDescent="0.25">
      <c r="A129" s="581"/>
      <c r="B129" s="581"/>
      <c r="C129" s="581"/>
      <c r="D129" s="581"/>
      <c r="E129" s="581"/>
      <c r="F129" s="581"/>
      <c r="G129" s="581"/>
      <c r="H129" s="581"/>
      <c r="I129" s="581"/>
      <c r="J129" s="581"/>
      <c r="K129" s="581"/>
      <c r="L129" s="581"/>
      <c r="M129" s="581"/>
      <c r="N129" s="581"/>
      <c r="O129" s="581"/>
      <c r="P129" s="581"/>
      <c r="AA129" s="581"/>
      <c r="AB129" s="581"/>
      <c r="AC129" s="581"/>
      <c r="AD129" s="581"/>
      <c r="AE129" s="581"/>
      <c r="AF129" s="581"/>
      <c r="AG129" s="581"/>
      <c r="AH129" s="581"/>
      <c r="AI129" s="581"/>
      <c r="AJ129" s="581"/>
      <c r="AK129" s="581"/>
      <c r="AL129" s="581"/>
      <c r="AM129" s="581"/>
      <c r="AN129" s="581"/>
      <c r="AO129" s="581"/>
      <c r="AP129" s="581"/>
      <c r="AQ129" s="581"/>
      <c r="AR129" s="581"/>
    </row>
    <row r="130" spans="1:44" ht="12.75" customHeight="1" x14ac:dyDescent="0.25">
      <c r="A130" s="581"/>
      <c r="B130" s="581"/>
      <c r="C130" s="581"/>
      <c r="D130" s="581"/>
      <c r="E130" s="581"/>
      <c r="F130" s="581"/>
      <c r="G130" s="581"/>
      <c r="H130" s="581"/>
      <c r="I130" s="581"/>
      <c r="J130" s="581"/>
      <c r="K130" s="581"/>
      <c r="L130" s="581"/>
      <c r="M130" s="581"/>
      <c r="N130" s="581"/>
      <c r="O130" s="581"/>
      <c r="P130" s="581"/>
      <c r="AA130" s="581"/>
      <c r="AB130" s="581"/>
      <c r="AC130" s="581"/>
      <c r="AD130" s="581"/>
      <c r="AE130" s="581"/>
      <c r="AF130" s="581"/>
      <c r="AG130" s="581"/>
      <c r="AH130" s="581"/>
      <c r="AI130" s="581"/>
      <c r="AJ130" s="581"/>
      <c r="AK130" s="581"/>
      <c r="AL130" s="581"/>
      <c r="AM130" s="581"/>
      <c r="AN130" s="581"/>
      <c r="AO130" s="581"/>
      <c r="AP130" s="581"/>
      <c r="AQ130" s="581"/>
      <c r="AR130" s="581"/>
    </row>
    <row r="131" spans="1:44" ht="12.75" customHeight="1" x14ac:dyDescent="0.25">
      <c r="A131" s="581"/>
      <c r="B131" s="581"/>
      <c r="C131" s="581"/>
      <c r="D131" s="581"/>
      <c r="E131" s="581"/>
      <c r="F131" s="581"/>
      <c r="G131" s="581"/>
      <c r="H131" s="581"/>
      <c r="I131" s="581"/>
      <c r="J131" s="581"/>
      <c r="K131" s="581"/>
      <c r="L131" s="581"/>
      <c r="M131" s="581"/>
      <c r="N131" s="581"/>
      <c r="O131" s="581"/>
      <c r="P131" s="581"/>
      <c r="AA131" s="581"/>
      <c r="AB131" s="581"/>
      <c r="AC131" s="581"/>
      <c r="AD131" s="581"/>
      <c r="AE131" s="581"/>
      <c r="AF131" s="581"/>
      <c r="AG131" s="581"/>
      <c r="AH131" s="581"/>
      <c r="AI131" s="581"/>
      <c r="AJ131" s="581"/>
      <c r="AK131" s="581"/>
      <c r="AL131" s="581"/>
      <c r="AM131" s="581"/>
      <c r="AN131" s="581"/>
      <c r="AO131" s="581"/>
      <c r="AP131" s="581"/>
      <c r="AQ131" s="581"/>
      <c r="AR131" s="581"/>
    </row>
    <row r="132" spans="1:44" ht="12.75" customHeight="1" x14ac:dyDescent="0.25">
      <c r="A132" s="581"/>
      <c r="B132" s="581"/>
      <c r="C132" s="581"/>
      <c r="D132" s="581"/>
      <c r="E132" s="581"/>
      <c r="F132" s="581"/>
      <c r="G132" s="581"/>
      <c r="H132" s="581"/>
      <c r="I132" s="581"/>
      <c r="J132" s="581"/>
      <c r="K132" s="581"/>
      <c r="L132" s="581"/>
      <c r="M132" s="581"/>
      <c r="N132" s="581"/>
      <c r="O132" s="581"/>
      <c r="P132" s="581"/>
      <c r="AA132" s="581"/>
      <c r="AB132" s="581"/>
      <c r="AC132" s="581"/>
      <c r="AD132" s="581"/>
      <c r="AE132" s="581"/>
      <c r="AF132" s="581"/>
      <c r="AG132" s="581"/>
      <c r="AH132" s="581"/>
      <c r="AI132" s="581"/>
      <c r="AJ132" s="581"/>
      <c r="AK132" s="581"/>
      <c r="AL132" s="581"/>
      <c r="AM132" s="581"/>
      <c r="AN132" s="581"/>
      <c r="AO132" s="581"/>
      <c r="AP132" s="581"/>
      <c r="AQ132" s="581"/>
      <c r="AR132" s="581"/>
    </row>
    <row r="133" spans="1:44" ht="12.75" customHeight="1" x14ac:dyDescent="0.25">
      <c r="A133" s="581"/>
      <c r="B133" s="581"/>
      <c r="C133" s="581"/>
      <c r="D133" s="581"/>
      <c r="E133" s="581"/>
      <c r="F133" s="581"/>
      <c r="G133" s="581"/>
      <c r="H133" s="581"/>
      <c r="I133" s="581"/>
      <c r="J133" s="581"/>
      <c r="K133" s="581"/>
      <c r="L133" s="581"/>
      <c r="M133" s="581"/>
      <c r="N133" s="581"/>
      <c r="O133" s="581"/>
      <c r="P133" s="581"/>
      <c r="AA133" s="581"/>
      <c r="AB133" s="581"/>
      <c r="AC133" s="581"/>
      <c r="AD133" s="581"/>
      <c r="AE133" s="581"/>
      <c r="AF133" s="581"/>
      <c r="AG133" s="581"/>
      <c r="AH133" s="581"/>
      <c r="AI133" s="581"/>
      <c r="AJ133" s="581"/>
      <c r="AK133" s="581"/>
      <c r="AL133" s="581"/>
      <c r="AM133" s="581"/>
      <c r="AN133" s="581"/>
      <c r="AO133" s="581"/>
      <c r="AP133" s="581"/>
      <c r="AQ133" s="581"/>
      <c r="AR133" s="581"/>
    </row>
    <row r="134" spans="1:44" ht="12.75" customHeight="1" x14ac:dyDescent="0.25">
      <c r="A134" s="581"/>
      <c r="B134" s="581"/>
      <c r="C134" s="581"/>
      <c r="D134" s="581"/>
      <c r="E134" s="581"/>
      <c r="F134" s="581"/>
      <c r="G134" s="581"/>
      <c r="H134" s="581"/>
      <c r="I134" s="581"/>
      <c r="J134" s="581"/>
      <c r="K134" s="581"/>
      <c r="L134" s="581"/>
      <c r="M134" s="581"/>
      <c r="N134" s="581"/>
      <c r="O134" s="581"/>
      <c r="P134" s="581"/>
      <c r="AA134" s="581"/>
      <c r="AB134" s="581"/>
      <c r="AC134" s="581"/>
      <c r="AD134" s="581"/>
      <c r="AE134" s="581"/>
      <c r="AF134" s="581"/>
      <c r="AG134" s="581"/>
      <c r="AH134" s="581"/>
      <c r="AI134" s="581"/>
      <c r="AJ134" s="581"/>
      <c r="AK134" s="581"/>
      <c r="AL134" s="581"/>
      <c r="AM134" s="581"/>
      <c r="AN134" s="581"/>
      <c r="AO134" s="581"/>
      <c r="AP134" s="581"/>
      <c r="AQ134" s="581"/>
      <c r="AR134" s="581"/>
    </row>
    <row r="135" spans="1:44" ht="12.75" customHeight="1" x14ac:dyDescent="0.25">
      <c r="E135" s="256"/>
      <c r="F135" s="256"/>
      <c r="G135" s="256"/>
      <c r="I135" s="256"/>
    </row>
    <row r="136" spans="1:44" ht="12.75" customHeight="1" x14ac:dyDescent="0.25">
      <c r="E136" s="256"/>
      <c r="F136" s="256"/>
      <c r="G136" s="256"/>
      <c r="I136" s="256"/>
    </row>
    <row r="137" spans="1:44" ht="12.75" customHeight="1" x14ac:dyDescent="0.25">
      <c r="E137" s="256"/>
      <c r="F137" s="256"/>
      <c r="G137" s="256"/>
      <c r="I137" s="256"/>
    </row>
  </sheetData>
  <sheetProtection password="BCD8" sheet="1" objects="1" scenarios="1"/>
  <phoneticPr fontId="0" type="noConversion"/>
  <conditionalFormatting sqref="C24:C29">
    <cfRule type="cellIs" dxfId="169" priority="2" stopIfTrue="1" operator="equal">
      <formula>"&gt;"</formula>
    </cfRule>
  </conditionalFormatting>
  <conditionalFormatting sqref="D24:G29">
    <cfRule type="expression" dxfId="168"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1" r:id="rId4" name="home">
              <controlPr defaultSize="0" print="0" autoFill="0" autoPict="0" macro="[0]!globalgoto">
                <anchor moveWithCells="1" sizeWithCells="1">
                  <from>
                    <xdr:col>0</xdr:col>
                    <xdr:colOff>88900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40962" r:id="rId5" name="basic">
              <controlPr defaultSize="0" print="0" autoFill="0" autoPict="0" macro="[0]!globalgoto">
                <anchor moveWithCells="1" sizeWithCells="1">
                  <from>
                    <xdr:col>0</xdr:col>
                    <xdr:colOff>88900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40963" r:id="rId6" name="Button 3">
              <controlPr defaultSize="0" print="0" autoFill="0" autoPict="0" macro="[0]!goto_next_year_any_sheet">
                <anchor moveWithCells="1" sizeWithCells="1">
                  <from>
                    <xdr:col>0</xdr:col>
                    <xdr:colOff>107950</xdr:colOff>
                    <xdr:row>19</xdr:row>
                    <xdr:rowOff>12700</xdr:rowOff>
                  </from>
                  <to>
                    <xdr:col>0</xdr:col>
                    <xdr:colOff>1066800</xdr:colOff>
                    <xdr:row>22</xdr:row>
                    <xdr:rowOff>114300</xdr:rowOff>
                  </to>
                </anchor>
              </controlPr>
            </control>
          </mc:Choice>
        </mc:AlternateContent>
        <mc:AlternateContent xmlns:mc="http://schemas.openxmlformats.org/markup-compatibility/2006">
          <mc:Choice Requires="x14">
            <control shapeId="40964" r:id="rId7" name="Button 4">
              <controlPr defaultSize="0" print="0" autoFill="0" autoPict="0" macro="[0]!goto_previous_year_any_sheet">
                <anchor moveWithCells="1" sizeWithCells="1">
                  <from>
                    <xdr:col>0</xdr:col>
                    <xdr:colOff>107950</xdr:colOff>
                    <xdr:row>23</xdr:row>
                    <xdr:rowOff>12700</xdr:rowOff>
                  </from>
                  <to>
                    <xdr:col>0</xdr:col>
                    <xdr:colOff>1066800</xdr:colOff>
                    <xdr:row>26</xdr:row>
                    <xdr:rowOff>114300</xdr:rowOff>
                  </to>
                </anchor>
              </controlPr>
            </control>
          </mc:Choice>
        </mc:AlternateContent>
        <mc:AlternateContent xmlns:mc="http://schemas.openxmlformats.org/markup-compatibility/2006">
          <mc:Choice Requires="x14">
            <control shapeId="40965" r:id="rId8" name="Button 5">
              <controlPr defaultSize="0" print="0" autoFill="0" autoPict="0">
                <anchor moveWithCells="1" sizeWithCells="1">
                  <from>
                    <xdr:col>10</xdr:col>
                    <xdr:colOff>101600</xdr:colOff>
                    <xdr:row>2</xdr:row>
                    <xdr:rowOff>127000</xdr:rowOff>
                  </from>
                  <to>
                    <xdr:col>11</xdr:col>
                    <xdr:colOff>419100</xdr:colOff>
                    <xdr:row>4</xdr:row>
                    <xdr:rowOff>63500</xdr:rowOff>
                  </to>
                </anchor>
              </controlPr>
            </control>
          </mc:Choice>
        </mc:AlternateContent>
        <mc:AlternateContent xmlns:mc="http://schemas.openxmlformats.org/markup-compatibility/2006">
          <mc:Choice Requires="x14">
            <control shapeId="40966" r:id="rId9" name="Button 6">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40967" r:id="rId10" name="Button 7">
              <controlPr defaultSize="0" print="0" autoFill="0" autoPict="0" macro="[0]!copy_as_excel">
                <anchor moveWithCells="1" sizeWithCells="1">
                  <from>
                    <xdr:col>10</xdr:col>
                    <xdr:colOff>38100</xdr:colOff>
                    <xdr:row>11</xdr:row>
                    <xdr:rowOff>88900</xdr:rowOff>
                  </from>
                  <to>
                    <xdr:col>11</xdr:col>
                    <xdr:colOff>88900</xdr:colOff>
                    <xdr:row>13</xdr:row>
                    <xdr:rowOff>146050</xdr:rowOff>
                  </to>
                </anchor>
              </controlPr>
            </control>
          </mc:Choice>
        </mc:AlternateContent>
        <mc:AlternateContent xmlns:mc="http://schemas.openxmlformats.org/markup-compatibility/2006">
          <mc:Choice Requires="x14">
            <control shapeId="40968" r:id="rId11" name="Button 8">
              <controlPr defaultSize="0" print="0" autoFill="0" autoPict="0" macro="[0]!pdflauncher">
                <anchor moveWithCells="1" sizeWithCells="1">
                  <from>
                    <xdr:col>11</xdr:col>
                    <xdr:colOff>101600</xdr:colOff>
                    <xdr:row>11</xdr:row>
                    <xdr:rowOff>88900</xdr:rowOff>
                  </from>
                  <to>
                    <xdr:col>11</xdr:col>
                    <xdr:colOff>787400</xdr:colOff>
                    <xdr:row>13</xdr:row>
                    <xdr:rowOff>146050</xdr:rowOff>
                  </to>
                </anchor>
              </controlPr>
            </control>
          </mc:Choice>
        </mc:AlternateContent>
        <mc:AlternateContent xmlns:mc="http://schemas.openxmlformats.org/markup-compatibility/2006">
          <mc:Choice Requires="x14">
            <control shapeId="40969" r:id="rId12" name="Button 9">
              <controlPr defaultSize="0" print="0" autoFill="0" autoPict="0" macro="[0]!openfolder">
                <anchor moveWithCells="1" sizeWithCells="1">
                  <from>
                    <xdr:col>11</xdr:col>
                    <xdr:colOff>793750</xdr:colOff>
                    <xdr:row>11</xdr:row>
                    <xdr:rowOff>88900</xdr:rowOff>
                  </from>
                  <to>
                    <xdr:col>12</xdr:col>
                    <xdr:colOff>508000</xdr:colOff>
                    <xdr:row>13</xdr:row>
                    <xdr:rowOff>146050</xdr:rowOff>
                  </to>
                </anchor>
              </controlPr>
            </control>
          </mc:Choice>
        </mc:AlternateContent>
        <mc:AlternateContent xmlns:mc="http://schemas.openxmlformats.org/markup-compatibility/2006">
          <mc:Choice Requires="x14">
            <control shapeId="40970" r:id="rId13" name="Button 10">
              <controlPr defaultSize="0" print="0" autoFill="0" autoPict="0" macro="[0]!goto_folder_settings">
                <anchor moveWithCells="1" sizeWithCells="1">
                  <from>
                    <xdr:col>12</xdr:col>
                    <xdr:colOff>520700</xdr:colOff>
                    <xdr:row>11</xdr:row>
                    <xdr:rowOff>88900</xdr:rowOff>
                  </from>
                  <to>
                    <xdr:col>12</xdr:col>
                    <xdr:colOff>1041400</xdr:colOff>
                    <xdr:row>13</xdr:row>
                    <xdr:rowOff>146050</xdr:rowOff>
                  </to>
                </anchor>
              </controlPr>
            </control>
          </mc:Choice>
        </mc:AlternateContent>
        <mc:AlternateContent xmlns:mc="http://schemas.openxmlformats.org/markup-compatibility/2006">
          <mc:Choice Requires="x14">
            <control shapeId="40971" r:id="rId14" name="Button 11">
              <controlPr defaultSize="0" print="0" autoFill="0" autoPict="0" macro="[0]!email_pdf_launch">
                <anchor moveWithCells="1" sizeWithCells="1">
                  <from>
                    <xdr:col>11</xdr:col>
                    <xdr:colOff>241300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40972" r:id="rId15" name="Button 12">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40973" r:id="rId16" name="Button 13">
              <controlPr defaultSize="0" print="0" autoFill="0" autoPict="0" macro="[0]!emailsettings">
                <anchor moveWithCells="1" sizeWithCells="1">
                  <from>
                    <xdr:col>12</xdr:col>
                    <xdr:colOff>127000</xdr:colOff>
                    <xdr:row>9</xdr:row>
                    <xdr:rowOff>120650</xdr:rowOff>
                  </from>
                  <to>
                    <xdr:col>12</xdr:col>
                    <xdr:colOff>1041400</xdr:colOff>
                    <xdr:row>11</xdr:row>
                    <xdr:rowOff>82550</xdr:rowOff>
                  </to>
                </anchor>
              </controlPr>
            </control>
          </mc:Choice>
        </mc:AlternateContent>
        <mc:AlternateContent xmlns:mc="http://schemas.openxmlformats.org/markup-compatibility/2006">
          <mc:Choice Requires="x14">
            <control shapeId="40974" r:id="rId17" name="Button 14">
              <controlPr defaultSize="0" print="0" autoFill="0" autoPict="0" macro="[0]!goto_other_analysis">
                <anchor moveWithCells="1" sizeWithCells="1">
                  <from>
                    <xdr:col>10</xdr:col>
                    <xdr:colOff>127000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40975" r:id="rId18" name="Button 15">
              <controlPr defaultSize="0" print="0" autoFill="0" autoPict="0" macro="[0]!goto_basic_analysis_revised">
                <anchor moveWithCells="1" sizeWithCells="1">
                  <from>
                    <xdr:col>10</xdr:col>
                    <xdr:colOff>127000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40976" r:id="rId19"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mc:AlternateContent xmlns:mc="http://schemas.openxmlformats.org/markup-compatibility/2006">
          <mc:Choice Requires="x14">
            <control shapeId="40977" r:id="rId20" name="troyr1">
              <controlPr defaultSize="0" print="0" autoFill="0" autoPict="0" macro="[0]!goto_basic_analysis_revised">
                <anchor moveWithCells="1" sizeWithCells="1">
                  <from>
                    <xdr:col>3</xdr:col>
                    <xdr:colOff>1593850</xdr:colOff>
                    <xdr:row>44</xdr:row>
                    <xdr:rowOff>139700</xdr:rowOff>
                  </from>
                  <to>
                    <xdr:col>5</xdr:col>
                    <xdr:colOff>901700</xdr:colOff>
                    <xdr:row>46</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3318B-1FD7-436C-B7D1-36C8CCDB126B}">
  <sheetPr codeName="Sheet67">
    <pageSetUpPr fitToPage="1"/>
  </sheetPr>
  <dimension ref="A1:AR137"/>
  <sheetViews>
    <sheetView showGridLines="0" workbookViewId="0">
      <selection activeCell="I18" sqref="I18"/>
    </sheetView>
  </sheetViews>
  <sheetFormatPr defaultColWidth="9.08984375" defaultRowHeight="12.75" customHeight="1" x14ac:dyDescent="0.25"/>
  <cols>
    <col min="1" max="1" width="16.6328125" style="256" customWidth="1"/>
    <col min="2" max="2" width="2.6328125" style="256" customWidth="1"/>
    <col min="3" max="3" width="11.6328125" style="256" customWidth="1"/>
    <col min="4" max="4" width="23.453125" style="256" customWidth="1"/>
    <col min="5" max="5" width="12.08984375" style="273" customWidth="1"/>
    <col min="6" max="6" width="12.6328125" style="273" customWidth="1"/>
    <col min="7" max="7" width="10.6328125" style="273" customWidth="1"/>
    <col min="8" max="8" width="12.36328125" style="256" customWidth="1"/>
    <col min="9" max="9" width="12.453125" style="475" customWidth="1"/>
    <col min="10" max="10" width="2.54296875" style="256" customWidth="1"/>
    <col min="11" max="11" width="9.36328125" style="256" customWidth="1"/>
    <col min="12" max="12" width="11.90625" style="256" customWidth="1"/>
    <col min="13" max="13" width="15.6328125" style="256" customWidth="1"/>
    <col min="14" max="16" width="9.08984375" style="256"/>
    <col min="17" max="19" width="0" style="256" hidden="1" customWidth="1"/>
    <col min="20" max="20" width="17.453125" style="256" hidden="1" customWidth="1"/>
    <col min="21" max="26" width="0" style="256" hidden="1" customWidth="1"/>
    <col min="27" max="16384" width="9.08984375" style="256"/>
  </cols>
  <sheetData>
    <row r="1" spans="1:44" ht="12.5" x14ac:dyDescent="0.25">
      <c r="A1" s="492"/>
      <c r="B1" s="492"/>
      <c r="C1" s="492"/>
      <c r="D1" s="492"/>
      <c r="E1" s="493"/>
      <c r="F1" s="493"/>
      <c r="G1" s="493"/>
      <c r="H1" s="492"/>
      <c r="I1" s="494"/>
      <c r="J1" s="492"/>
      <c r="K1" s="492"/>
      <c r="L1" s="492"/>
      <c r="M1" s="492"/>
      <c r="N1" s="492"/>
      <c r="O1" s="492"/>
      <c r="P1" s="492"/>
      <c r="AA1" s="492"/>
      <c r="AB1" s="492"/>
      <c r="AC1" s="492"/>
      <c r="AD1" s="492"/>
      <c r="AE1" s="492"/>
      <c r="AF1" s="492"/>
      <c r="AG1" s="492"/>
      <c r="AH1" s="492"/>
      <c r="AI1" s="492"/>
      <c r="AJ1" s="492"/>
      <c r="AK1" s="492"/>
      <c r="AL1" s="492"/>
      <c r="AM1" s="492"/>
      <c r="AN1" s="492"/>
      <c r="AO1" s="492"/>
      <c r="AP1" s="492"/>
      <c r="AQ1" s="492"/>
      <c r="AR1" s="492"/>
    </row>
    <row r="2" spans="1:44" ht="12.5" x14ac:dyDescent="0.25">
      <c r="A2" s="492"/>
      <c r="B2" s="492"/>
      <c r="C2" s="492"/>
      <c r="D2" s="492"/>
      <c r="E2" s="493"/>
      <c r="F2" s="493"/>
      <c r="G2" s="493"/>
      <c r="H2" s="492"/>
      <c r="I2" s="494"/>
      <c r="J2" s="492"/>
      <c r="K2" s="492"/>
      <c r="L2" s="492"/>
      <c r="M2" s="492"/>
      <c r="N2" s="492"/>
      <c r="O2" s="492"/>
      <c r="P2" s="492"/>
      <c r="AA2" s="492"/>
      <c r="AB2" s="492"/>
      <c r="AC2" s="492"/>
      <c r="AD2" s="492"/>
      <c r="AE2" s="492"/>
      <c r="AF2" s="492"/>
      <c r="AG2" s="492"/>
      <c r="AH2" s="492"/>
      <c r="AI2" s="492"/>
      <c r="AJ2" s="492"/>
      <c r="AK2" s="492"/>
      <c r="AL2" s="492"/>
      <c r="AM2" s="492"/>
      <c r="AN2" s="492"/>
      <c r="AO2" s="492"/>
      <c r="AP2" s="492"/>
      <c r="AQ2" s="492"/>
      <c r="AR2" s="492"/>
    </row>
    <row r="3" spans="1:44" ht="12.5" x14ac:dyDescent="0.25">
      <c r="A3" s="492"/>
      <c r="K3" s="492"/>
      <c r="L3" s="492"/>
      <c r="M3" s="492"/>
      <c r="N3" s="492"/>
      <c r="O3" s="492"/>
      <c r="P3" s="492"/>
      <c r="AA3" s="492"/>
      <c r="AB3" s="492"/>
      <c r="AC3" s="492"/>
      <c r="AD3" s="492"/>
      <c r="AE3" s="492"/>
      <c r="AF3" s="492"/>
      <c r="AG3" s="492"/>
      <c r="AH3" s="492"/>
      <c r="AI3" s="492"/>
      <c r="AJ3" s="492"/>
      <c r="AK3" s="492"/>
      <c r="AL3" s="492"/>
      <c r="AM3" s="492"/>
      <c r="AN3" s="492"/>
      <c r="AO3" s="492"/>
      <c r="AP3" s="492"/>
      <c r="AQ3" s="492"/>
      <c r="AR3" s="492"/>
    </row>
    <row r="4" spans="1:44" ht="15.5" x14ac:dyDescent="0.35">
      <c r="A4" s="492"/>
      <c r="C4" s="488" t="str">
        <f>"Transitional Arrangements Calculation - "&amp;C10</f>
        <v xml:space="preserve">Transitional Arrangements Calculation - 2026/27 </v>
      </c>
      <c r="H4" s="488" t="str">
        <f>basic!D22</f>
        <v>England</v>
      </c>
      <c r="I4" s="579" t="s">
        <v>247</v>
      </c>
      <c r="K4" s="492"/>
      <c r="L4" s="492"/>
      <c r="M4" s="492"/>
      <c r="N4" s="492"/>
      <c r="O4" s="492"/>
      <c r="P4" s="492"/>
      <c r="AA4" s="492"/>
      <c r="AB4" s="492"/>
      <c r="AC4" s="492"/>
      <c r="AD4" s="492"/>
      <c r="AE4" s="492"/>
      <c r="AF4" s="492"/>
      <c r="AG4" s="492"/>
      <c r="AH4" s="492"/>
      <c r="AI4" s="492"/>
      <c r="AJ4" s="492"/>
      <c r="AK4" s="492"/>
      <c r="AL4" s="492"/>
      <c r="AM4" s="492"/>
      <c r="AN4" s="492"/>
      <c r="AO4" s="492"/>
      <c r="AP4" s="492"/>
      <c r="AQ4" s="492"/>
      <c r="AR4" s="492"/>
    </row>
    <row r="5" spans="1:44" ht="9" customHeight="1" x14ac:dyDescent="0.3">
      <c r="A5" s="492"/>
      <c r="C5" s="291"/>
      <c r="K5" s="492"/>
      <c r="L5" s="492"/>
      <c r="M5" s="492"/>
      <c r="N5" s="492"/>
      <c r="O5" s="492"/>
      <c r="P5" s="492"/>
      <c r="AA5" s="492"/>
      <c r="AB5" s="492"/>
      <c r="AC5" s="492"/>
      <c r="AD5" s="492"/>
      <c r="AE5" s="492"/>
      <c r="AF5" s="492"/>
      <c r="AG5" s="492"/>
      <c r="AH5" s="492"/>
      <c r="AI5" s="492"/>
      <c r="AJ5" s="492"/>
      <c r="AK5" s="492"/>
      <c r="AL5" s="492"/>
      <c r="AM5" s="492"/>
      <c r="AN5" s="492"/>
      <c r="AO5" s="492"/>
      <c r="AP5" s="492"/>
      <c r="AQ5" s="492"/>
      <c r="AR5" s="492"/>
    </row>
    <row r="6" spans="1:44" ht="13" x14ac:dyDescent="0.3">
      <c r="A6" s="492"/>
      <c r="C6" s="291" t="s">
        <v>667</v>
      </c>
      <c r="D6" s="291" t="str">
        <f>basic!D26</f>
        <v>Enter Address Details</v>
      </c>
      <c r="K6" s="492"/>
      <c r="L6" s="492"/>
      <c r="M6" s="492"/>
      <c r="N6" s="492"/>
      <c r="O6" s="492"/>
      <c r="P6" s="492"/>
      <c r="AA6" s="492"/>
      <c r="AB6" s="492"/>
      <c r="AC6" s="492"/>
      <c r="AD6" s="492"/>
      <c r="AE6" s="492"/>
      <c r="AF6" s="492"/>
      <c r="AG6" s="492"/>
      <c r="AH6" s="492"/>
      <c r="AI6" s="492"/>
      <c r="AJ6" s="492"/>
      <c r="AK6" s="492"/>
      <c r="AL6" s="492"/>
      <c r="AM6" s="492"/>
      <c r="AN6" s="492"/>
      <c r="AO6" s="492"/>
      <c r="AP6" s="492"/>
      <c r="AQ6" s="492"/>
      <c r="AR6" s="492"/>
    </row>
    <row r="7" spans="1:44" ht="13" x14ac:dyDescent="0.3">
      <c r="A7" s="492"/>
      <c r="C7" s="291"/>
      <c r="D7" s="291"/>
      <c r="K7" s="492"/>
      <c r="L7" s="492"/>
      <c r="M7" s="492"/>
      <c r="N7" s="492"/>
      <c r="O7" s="492"/>
      <c r="P7" s="492"/>
      <c r="AA7" s="492"/>
      <c r="AB7" s="492"/>
      <c r="AC7" s="492"/>
      <c r="AD7" s="492"/>
      <c r="AE7" s="492"/>
      <c r="AF7" s="492"/>
      <c r="AG7" s="492"/>
      <c r="AH7" s="492"/>
      <c r="AI7" s="492"/>
      <c r="AJ7" s="492"/>
      <c r="AK7" s="492"/>
      <c r="AL7" s="492"/>
      <c r="AM7" s="492"/>
      <c r="AN7" s="492"/>
      <c r="AO7" s="492"/>
      <c r="AP7" s="492"/>
      <c r="AQ7" s="492"/>
      <c r="AR7" s="492"/>
    </row>
    <row r="8" spans="1:44" ht="13.5" customHeight="1" x14ac:dyDescent="0.3">
      <c r="A8" s="492"/>
      <c r="C8" s="489"/>
      <c r="D8" s="498" t="str">
        <f>IF(calc1!F38=FALSE,"As Transition did not apply in the previous year it will not apply this year","")</f>
        <v>As Transition did not apply in the previous year it will not apply this year</v>
      </c>
      <c r="E8" s="335"/>
      <c r="F8" s="335"/>
      <c r="G8" s="335"/>
      <c r="H8" s="283"/>
      <c r="I8" s="487"/>
      <c r="K8" s="492"/>
      <c r="L8" s="492"/>
      <c r="M8" s="492"/>
      <c r="N8" s="492"/>
      <c r="O8" s="492"/>
      <c r="P8" s="492"/>
      <c r="AA8" s="492"/>
      <c r="AB8" s="492"/>
      <c r="AC8" s="492"/>
      <c r="AD8" s="492"/>
      <c r="AE8" s="492"/>
      <c r="AF8" s="492"/>
      <c r="AG8" s="492"/>
      <c r="AH8" s="492"/>
      <c r="AI8" s="492"/>
      <c r="AJ8" s="492"/>
      <c r="AK8" s="492"/>
      <c r="AL8" s="492"/>
      <c r="AM8" s="492"/>
      <c r="AN8" s="492"/>
      <c r="AO8" s="492"/>
      <c r="AP8" s="492"/>
      <c r="AQ8" s="492"/>
      <c r="AR8" s="492"/>
    </row>
    <row r="9" spans="1:44" ht="9.75" customHeight="1" x14ac:dyDescent="0.3">
      <c r="A9" s="492"/>
      <c r="C9" s="291"/>
      <c r="K9" s="492"/>
      <c r="L9" s="492"/>
      <c r="M9" s="492"/>
      <c r="N9" s="492"/>
      <c r="O9" s="492"/>
      <c r="P9" s="492"/>
      <c r="S9" s="480" t="s">
        <v>57</v>
      </c>
      <c r="T9" s="302">
        <f>data!B3-1</f>
        <v>45016</v>
      </c>
      <c r="AA9" s="492"/>
      <c r="AB9" s="492"/>
      <c r="AC9" s="492"/>
      <c r="AD9" s="492"/>
      <c r="AE9" s="492"/>
      <c r="AF9" s="492"/>
      <c r="AG9" s="492"/>
      <c r="AH9" s="492"/>
      <c r="AI9" s="492"/>
      <c r="AJ9" s="492"/>
      <c r="AK9" s="492"/>
      <c r="AL9" s="492"/>
      <c r="AM9" s="492"/>
      <c r="AN9" s="492"/>
      <c r="AO9" s="492"/>
      <c r="AP9" s="492"/>
      <c r="AQ9" s="492"/>
      <c r="AR9" s="492"/>
    </row>
    <row r="10" spans="1:44" ht="13.5" customHeight="1" x14ac:dyDescent="0.3">
      <c r="A10" s="492"/>
      <c r="C10" s="291" t="str">
        <f>basic!D18</f>
        <v xml:space="preserve">2026/27 </v>
      </c>
      <c r="D10" s="257" t="str">
        <f>"The Base Liability is the Transitional Limit from the previous year"</f>
        <v>The Base Liability is the Transitional Limit from the previous year</v>
      </c>
      <c r="H10" s="476"/>
      <c r="K10" s="492"/>
      <c r="L10" s="492"/>
      <c r="M10" s="492"/>
      <c r="N10" s="492"/>
      <c r="O10" s="492"/>
      <c r="P10" s="492"/>
      <c r="S10" s="480" t="s">
        <v>43</v>
      </c>
      <c r="T10" s="495">
        <f>basic!I5</f>
        <v>0</v>
      </c>
      <c r="AA10" s="492"/>
      <c r="AB10" s="492"/>
      <c r="AC10" s="492"/>
      <c r="AD10" s="492"/>
      <c r="AE10" s="492"/>
      <c r="AF10" s="492"/>
      <c r="AG10" s="492"/>
      <c r="AH10" s="492"/>
      <c r="AI10" s="492"/>
      <c r="AJ10" s="492"/>
      <c r="AK10" s="492"/>
      <c r="AL10" s="492"/>
      <c r="AM10" s="492"/>
      <c r="AN10" s="492"/>
      <c r="AO10" s="492"/>
      <c r="AP10" s="492"/>
      <c r="AQ10" s="492"/>
      <c r="AR10" s="492"/>
    </row>
    <row r="11" spans="1:44" ht="13" x14ac:dyDescent="0.3">
      <c r="A11" s="492"/>
      <c r="C11" s="291"/>
      <c r="D11" s="256" t="str">
        <f>"which is a figure of £"&amp;TEXT(T14,"#,###.00")</f>
        <v>which is a figure of £.00</v>
      </c>
      <c r="H11" s="496"/>
      <c r="K11" s="492"/>
      <c r="L11" s="492"/>
      <c r="M11" s="492"/>
      <c r="N11" s="492"/>
      <c r="O11" s="492"/>
      <c r="P11" s="492"/>
      <c r="S11" s="480" t="s">
        <v>44</v>
      </c>
      <c r="T11" s="480"/>
      <c r="AA11" s="492"/>
      <c r="AB11" s="492"/>
      <c r="AC11" s="492"/>
      <c r="AD11" s="492"/>
      <c r="AE11" s="492"/>
      <c r="AF11" s="492"/>
      <c r="AG11" s="492"/>
      <c r="AH11" s="492"/>
      <c r="AI11" s="492"/>
      <c r="AJ11" s="492"/>
      <c r="AK11" s="492"/>
      <c r="AL11" s="492"/>
      <c r="AM11" s="492"/>
      <c r="AN11" s="492"/>
      <c r="AO11" s="492"/>
      <c r="AP11" s="492"/>
      <c r="AQ11" s="492"/>
      <c r="AR11" s="492"/>
    </row>
    <row r="12" spans="1:44" ht="13.5" customHeight="1" x14ac:dyDescent="0.3">
      <c r="A12" s="492"/>
      <c r="C12" s="291"/>
      <c r="D12" s="257" t="str">
        <f>"The Notional Liability is the RV as at "&amp;TEXT(T9+1,"dd/mm/yy")&amp;" ( "&amp;TEXT(T15,"#,###")&amp;" ) x the Small"</f>
        <v>The Notional Liability is the RV as at 01/04/23 (  ) x the Small</v>
      </c>
      <c r="K12" s="492"/>
      <c r="L12" s="492"/>
      <c r="M12" s="492"/>
      <c r="N12" s="492"/>
      <c r="O12" s="492"/>
      <c r="P12" s="492"/>
      <c r="S12" s="480" t="s">
        <v>45</v>
      </c>
      <c r="T12" s="480"/>
      <c r="AA12" s="492"/>
      <c r="AB12" s="492"/>
      <c r="AC12" s="492"/>
      <c r="AD12" s="492"/>
      <c r="AE12" s="492"/>
      <c r="AF12" s="492"/>
      <c r="AG12" s="492"/>
      <c r="AH12" s="492"/>
      <c r="AI12" s="492"/>
      <c r="AJ12" s="492"/>
      <c r="AK12" s="492"/>
      <c r="AL12" s="492"/>
      <c r="AM12" s="492"/>
      <c r="AN12" s="492"/>
      <c r="AO12" s="492"/>
      <c r="AP12" s="492"/>
      <c r="AQ12" s="492"/>
      <c r="AR12" s="492"/>
    </row>
    <row r="13" spans="1:44" ht="13.5" customHeight="1" x14ac:dyDescent="0.3">
      <c r="A13" s="492"/>
      <c r="C13" s="291"/>
      <c r="D13" s="256" t="str">
        <f>"Multiplier for "&amp;TEXT(text!B10,"dd/mm/yy")&amp;" ( "&amp;TEXT(T16,"0.000")&amp;" ) which gives a figure of "&amp;TEXT(T17,"#,###.00")</f>
        <v>Multiplier for 01/04/24 ( 0.519 ) which gives a figure of .00</v>
      </c>
      <c r="K13" s="492"/>
      <c r="L13" s="492"/>
      <c r="M13" s="492"/>
      <c r="N13" s="492"/>
      <c r="O13" s="492"/>
      <c r="P13" s="492"/>
      <c r="S13" s="480" t="s">
        <v>46</v>
      </c>
      <c r="T13" s="497"/>
      <c r="AA13" s="492"/>
      <c r="AB13" s="492"/>
      <c r="AC13" s="492"/>
      <c r="AD13" s="492"/>
      <c r="AE13" s="492"/>
      <c r="AF13" s="492"/>
      <c r="AG13" s="492"/>
      <c r="AH13" s="492"/>
      <c r="AI13" s="492"/>
      <c r="AJ13" s="492"/>
      <c r="AK13" s="492"/>
      <c r="AL13" s="492"/>
      <c r="AM13" s="492"/>
      <c r="AN13" s="492"/>
      <c r="AO13" s="492"/>
      <c r="AP13" s="492"/>
      <c r="AQ13" s="492"/>
      <c r="AR13" s="492"/>
    </row>
    <row r="14" spans="1:44" ht="13.5" customHeight="1" x14ac:dyDescent="0.3">
      <c r="A14" s="492"/>
      <c r="C14" s="291"/>
      <c r="D14" s="257"/>
      <c r="H14" s="476"/>
      <c r="K14" s="492"/>
      <c r="L14" s="492"/>
      <c r="M14" s="492"/>
      <c r="N14" s="492"/>
      <c r="O14" s="492"/>
      <c r="P14" s="492"/>
      <c r="S14" s="480" t="s">
        <v>49</v>
      </c>
      <c r="T14" s="480">
        <f>calc1!G19</f>
        <v>0</v>
      </c>
      <c r="AA14" s="492"/>
      <c r="AB14" s="492"/>
      <c r="AC14" s="492"/>
      <c r="AD14" s="492"/>
      <c r="AE14" s="492"/>
      <c r="AF14" s="492"/>
      <c r="AG14" s="492"/>
      <c r="AH14" s="492"/>
      <c r="AI14" s="492"/>
      <c r="AJ14" s="492"/>
      <c r="AK14" s="492"/>
      <c r="AL14" s="492"/>
      <c r="AM14" s="492"/>
      <c r="AN14" s="492"/>
      <c r="AO14" s="492"/>
      <c r="AP14" s="492"/>
      <c r="AQ14" s="492"/>
      <c r="AR14" s="492"/>
    </row>
    <row r="15" spans="1:44" ht="13.5" customHeight="1" x14ac:dyDescent="0.3">
      <c r="A15" s="492"/>
      <c r="C15" s="291"/>
      <c r="D15" s="256" t="str">
        <f>"The Notional Liability is "&amp;T19&amp;" than the Base Liability so the ratepayer is a revaluation "&amp;T20</f>
        <v>The Notional Liability is less than the Base Liability so the ratepayer is a revaluation Winner</v>
      </c>
      <c r="K15" s="492"/>
      <c r="L15" s="492"/>
      <c r="M15" s="492"/>
      <c r="N15" s="492"/>
      <c r="O15" s="492"/>
      <c r="P15" s="492"/>
      <c r="S15" s="480" t="s">
        <v>1223</v>
      </c>
      <c r="T15" s="495">
        <f>calc1!D5</f>
        <v>0</v>
      </c>
      <c r="AA15" s="492"/>
      <c r="AB15" s="492"/>
      <c r="AC15" s="492"/>
      <c r="AD15" s="492"/>
      <c r="AE15" s="492"/>
      <c r="AF15" s="492"/>
      <c r="AG15" s="492"/>
      <c r="AH15" s="492"/>
      <c r="AI15" s="492"/>
      <c r="AJ15" s="492"/>
      <c r="AK15" s="492"/>
      <c r="AL15" s="492"/>
      <c r="AM15" s="492"/>
      <c r="AN15" s="492"/>
      <c r="AO15" s="492"/>
      <c r="AP15" s="492"/>
      <c r="AQ15" s="492"/>
      <c r="AR15" s="492"/>
    </row>
    <row r="16" spans="1:44" ht="13.5" customHeight="1" x14ac:dyDescent="0.3">
      <c r="A16" s="492"/>
      <c r="C16" s="291"/>
      <c r="D16" s="256" t="str">
        <f>"The property is in "&amp;H4&amp;" so the Medium/Small threshold is "&amp;TEXT(T21,"#,###")&amp;". "</f>
        <v xml:space="preserve">The property is in England so the Medium/Small threshold is 20,000. </v>
      </c>
      <c r="K16" s="492"/>
      <c r="L16" s="492"/>
      <c r="M16" s="492"/>
      <c r="N16" s="492"/>
      <c r="O16" s="492"/>
      <c r="P16" s="492"/>
      <c r="S16" s="480" t="s">
        <v>47</v>
      </c>
      <c r="T16" s="480">
        <f>data!C56</f>
        <v>0.51900000000000002</v>
      </c>
      <c r="AA16" s="492"/>
      <c r="AB16" s="492"/>
      <c r="AC16" s="492"/>
      <c r="AD16" s="492"/>
      <c r="AE16" s="492"/>
      <c r="AF16" s="492"/>
      <c r="AG16" s="492"/>
      <c r="AH16" s="492"/>
      <c r="AI16" s="492"/>
      <c r="AJ16" s="492"/>
      <c r="AK16" s="492"/>
      <c r="AL16" s="492"/>
      <c r="AM16" s="492"/>
      <c r="AN16" s="492"/>
      <c r="AO16" s="492"/>
      <c r="AP16" s="492"/>
      <c r="AQ16" s="492"/>
      <c r="AR16" s="492"/>
    </row>
    <row r="17" spans="1:44" ht="13.5" customHeight="1" x14ac:dyDescent="0.3">
      <c r="A17" s="492"/>
      <c r="C17" s="291"/>
      <c r="D17" s="256" t="str">
        <f>"The Large threshold is "&amp;TEXT(Y19,"#,###")</f>
        <v>The Large threshold is 100,000</v>
      </c>
      <c r="K17" s="492"/>
      <c r="L17" s="492"/>
      <c r="M17" s="492"/>
      <c r="N17" s="492"/>
      <c r="O17" s="492"/>
      <c r="P17" s="492"/>
      <c r="S17" s="480" t="s">
        <v>48</v>
      </c>
      <c r="T17" s="480">
        <f>T15*T16</f>
        <v>0</v>
      </c>
      <c r="V17" s="479" t="s">
        <v>51</v>
      </c>
      <c r="W17" s="479"/>
      <c r="X17" s="479"/>
      <c r="Y17" s="479"/>
      <c r="AA17" s="492"/>
      <c r="AB17" s="492"/>
      <c r="AC17" s="492"/>
      <c r="AD17" s="492"/>
      <c r="AE17" s="492"/>
      <c r="AF17" s="492"/>
      <c r="AG17" s="492"/>
      <c r="AH17" s="492"/>
      <c r="AI17" s="492"/>
      <c r="AJ17" s="492"/>
      <c r="AK17" s="492"/>
      <c r="AL17" s="492"/>
      <c r="AM17" s="492"/>
      <c r="AN17" s="492"/>
      <c r="AO17" s="492"/>
      <c r="AP17" s="492"/>
      <c r="AQ17" s="492"/>
      <c r="AR17" s="492"/>
    </row>
    <row r="18" spans="1:44" ht="13.5" customHeight="1" x14ac:dyDescent="0.3">
      <c r="A18" s="492"/>
      <c r="C18" s="291"/>
      <c r="D18" s="256" t="str">
        <f>"The RV as at "&amp;TEXT(T9+1,"dd/mm/yy")&amp;" is "&amp;TEXT(T15,"#,###")&amp;" so the property is "&amp;T23</f>
        <v>The RV as at 01/04/23 is  so the property is Small</v>
      </c>
      <c r="K18" s="492"/>
      <c r="L18" s="492"/>
      <c r="M18" s="492"/>
      <c r="N18" s="492"/>
      <c r="O18" s="492"/>
      <c r="P18" s="492"/>
      <c r="S18" s="480" t="s">
        <v>27</v>
      </c>
      <c r="T18" s="480" t="b">
        <f>T17&gt;T14</f>
        <v>0</v>
      </c>
      <c r="V18" s="480" t="str">
        <f>data!C22</f>
        <v>e small &lt;=</v>
      </c>
      <c r="W18" s="480" t="str">
        <f>data!D22</f>
        <v>l small &lt;=</v>
      </c>
      <c r="X18" s="480" t="str">
        <f>data!E22</f>
        <v>c small &lt;=</v>
      </c>
      <c r="Y18" s="480" t="str">
        <f>data!F22</f>
        <v>super &gt;</v>
      </c>
      <c r="AA18" s="492"/>
      <c r="AB18" s="492"/>
      <c r="AC18" s="492"/>
      <c r="AD18" s="492"/>
      <c r="AE18" s="492"/>
      <c r="AF18" s="492"/>
      <c r="AG18" s="492"/>
      <c r="AH18" s="492"/>
      <c r="AI18" s="492"/>
      <c r="AJ18" s="492"/>
      <c r="AK18" s="492"/>
      <c r="AL18" s="492"/>
      <c r="AM18" s="492"/>
      <c r="AN18" s="492"/>
      <c r="AO18" s="492"/>
      <c r="AP18" s="492"/>
      <c r="AQ18" s="492"/>
      <c r="AR18" s="492"/>
    </row>
    <row r="19" spans="1:44" ht="13.5" customHeight="1" x14ac:dyDescent="0.25">
      <c r="A19" s="492"/>
      <c r="K19" s="492"/>
      <c r="L19" s="492"/>
      <c r="M19" s="492"/>
      <c r="N19" s="492"/>
      <c r="O19" s="492"/>
      <c r="P19" s="492"/>
      <c r="S19" s="480" t="s">
        <v>50</v>
      </c>
      <c r="T19" s="480" t="str">
        <f>IF(T18=TRUE,"greater","less")</f>
        <v>less</v>
      </c>
      <c r="V19" s="480">
        <f>data!C23</f>
        <v>20000</v>
      </c>
      <c r="W19" s="480">
        <f>data!D23</f>
        <v>28000</v>
      </c>
      <c r="X19" s="480">
        <f>data!E23</f>
        <v>28000</v>
      </c>
      <c r="Y19" s="480">
        <f>data!F23</f>
        <v>100000</v>
      </c>
      <c r="AA19" s="492"/>
      <c r="AB19" s="492"/>
      <c r="AC19" s="492"/>
      <c r="AD19" s="492"/>
      <c r="AE19" s="492"/>
      <c r="AF19" s="492"/>
      <c r="AG19" s="492"/>
      <c r="AH19" s="492"/>
      <c r="AI19" s="492"/>
      <c r="AJ19" s="492"/>
      <c r="AK19" s="492"/>
      <c r="AL19" s="492"/>
      <c r="AM19" s="492"/>
      <c r="AN19" s="492"/>
      <c r="AO19" s="492"/>
      <c r="AP19" s="492"/>
      <c r="AQ19" s="492"/>
      <c r="AR19" s="492"/>
    </row>
    <row r="20" spans="1:44" ht="13.5" customHeight="1" x14ac:dyDescent="0.25">
      <c r="A20" s="492"/>
      <c r="D20" s="256" t="s">
        <v>28</v>
      </c>
      <c r="K20" s="492"/>
      <c r="L20" s="492"/>
      <c r="M20" s="492"/>
      <c r="N20" s="492"/>
      <c r="O20" s="492"/>
      <c r="P20" s="492"/>
      <c r="S20" s="480" t="s">
        <v>285</v>
      </c>
      <c r="T20" s="480" t="str">
        <f>IF(T18=TRUE,"Loser","Winner")</f>
        <v>Winner</v>
      </c>
      <c r="AA20" s="492"/>
      <c r="AB20" s="492"/>
      <c r="AC20" s="492"/>
      <c r="AD20" s="492"/>
      <c r="AE20" s="492"/>
      <c r="AF20" s="492"/>
      <c r="AG20" s="492"/>
      <c r="AH20" s="492"/>
      <c r="AI20" s="492"/>
      <c r="AJ20" s="492"/>
      <c r="AK20" s="492"/>
      <c r="AL20" s="492"/>
      <c r="AM20" s="492"/>
      <c r="AN20" s="492"/>
      <c r="AO20" s="492"/>
      <c r="AP20" s="492"/>
      <c r="AQ20" s="492"/>
      <c r="AR20" s="492"/>
    </row>
    <row r="21" spans="1:44" ht="13.5" customHeight="1" x14ac:dyDescent="0.25">
      <c r="A21" s="492"/>
      <c r="D21" s="256" t="str">
        <f>"for a '"&amp;T24&amp;"' is found by reference to the following table"</f>
        <v>for a 'Small Winner' is found by reference to the following table</v>
      </c>
      <c r="K21" s="492"/>
      <c r="L21" s="492"/>
      <c r="M21" s="492"/>
      <c r="N21" s="492"/>
      <c r="O21" s="492"/>
      <c r="P21" s="492"/>
      <c r="S21" s="480" t="s">
        <v>56</v>
      </c>
      <c r="T21" s="480">
        <f>calc1!D13</f>
        <v>20000</v>
      </c>
      <c r="V21" s="479" t="s">
        <v>53</v>
      </c>
      <c r="W21" s="479" t="s">
        <v>803</v>
      </c>
      <c r="AA21" s="492"/>
      <c r="AB21" s="492"/>
      <c r="AC21" s="492"/>
      <c r="AD21" s="492"/>
      <c r="AE21" s="492"/>
      <c r="AF21" s="492"/>
      <c r="AG21" s="492"/>
      <c r="AH21" s="492"/>
      <c r="AI21" s="492"/>
      <c r="AJ21" s="492"/>
      <c r="AK21" s="492"/>
      <c r="AL21" s="492"/>
      <c r="AM21" s="492"/>
      <c r="AN21" s="492"/>
      <c r="AO21" s="492"/>
      <c r="AP21" s="492"/>
      <c r="AQ21" s="492"/>
      <c r="AR21" s="492"/>
    </row>
    <row r="22" spans="1:44" ht="13.5" customHeight="1" x14ac:dyDescent="0.25">
      <c r="A22" s="492"/>
      <c r="K22" s="492"/>
      <c r="L22" s="492"/>
      <c r="M22" s="492"/>
      <c r="N22" s="492"/>
      <c r="O22" s="492"/>
      <c r="P22" s="492"/>
      <c r="S22" s="480" t="s">
        <v>52</v>
      </c>
      <c r="T22" s="495" t="str">
        <f>calc1!D23</f>
        <v>s</v>
      </c>
      <c r="V22" s="479" t="s">
        <v>54</v>
      </c>
      <c r="W22" s="479" t="s">
        <v>824</v>
      </c>
      <c r="AA22" s="492"/>
      <c r="AB22" s="492"/>
      <c r="AC22" s="492"/>
      <c r="AD22" s="492"/>
      <c r="AE22" s="492"/>
      <c r="AF22" s="492"/>
      <c r="AG22" s="492"/>
      <c r="AH22" s="492"/>
      <c r="AI22" s="492"/>
      <c r="AJ22" s="492"/>
      <c r="AK22" s="492"/>
      <c r="AL22" s="492"/>
      <c r="AM22" s="492"/>
      <c r="AN22" s="492"/>
      <c r="AO22" s="492"/>
      <c r="AP22" s="492"/>
      <c r="AQ22" s="492"/>
      <c r="AR22" s="492"/>
    </row>
    <row r="23" spans="1:44" ht="13.5" customHeight="1" x14ac:dyDescent="0.3">
      <c r="A23" s="492"/>
      <c r="D23" s="291" t="s">
        <v>29</v>
      </c>
      <c r="E23" s="477" t="s">
        <v>30</v>
      </c>
      <c r="F23" s="477" t="s">
        <v>31</v>
      </c>
      <c r="G23" s="272" t="s">
        <v>32</v>
      </c>
      <c r="K23" s="492"/>
      <c r="L23" s="492"/>
      <c r="M23" s="492"/>
      <c r="N23" s="492"/>
      <c r="O23" s="492"/>
      <c r="P23" s="492"/>
      <c r="S23" s="480" t="s">
        <v>55</v>
      </c>
      <c r="T23" s="480" t="str">
        <f>VLOOKUP(T22,V21:W23,2,FALSE)</f>
        <v>Small</v>
      </c>
      <c r="V23" s="479" t="s">
        <v>293</v>
      </c>
      <c r="W23" s="479" t="s">
        <v>804</v>
      </c>
      <c r="AA23" s="492"/>
      <c r="AB23" s="492"/>
      <c r="AC23" s="492"/>
      <c r="AD23" s="492"/>
      <c r="AE23" s="492"/>
      <c r="AF23" s="492"/>
      <c r="AG23" s="492"/>
      <c r="AH23" s="492"/>
      <c r="AI23" s="492"/>
      <c r="AJ23" s="492"/>
      <c r="AK23" s="492"/>
      <c r="AL23" s="492"/>
      <c r="AM23" s="492"/>
      <c r="AN23" s="492"/>
      <c r="AO23" s="492"/>
      <c r="AP23" s="492"/>
      <c r="AQ23" s="492"/>
      <c r="AR23" s="492"/>
    </row>
    <row r="24" spans="1:44" ht="13.5" customHeight="1" x14ac:dyDescent="0.3">
      <c r="A24" s="492"/>
      <c r="C24" s="478" t="str">
        <f t="shared" ref="C24:C29" si="0">IF(D24=$T$24,"&gt;","")</f>
        <v/>
      </c>
      <c r="D24" s="479" t="s">
        <v>33</v>
      </c>
      <c r="E24" s="480">
        <f>data!C6</f>
        <v>94.2</v>
      </c>
      <c r="F24" s="480">
        <f>'info sheet'!J32</f>
        <v>0</v>
      </c>
      <c r="G24" s="480">
        <f t="shared" ref="G24:G29" si="1">E24*F24/100</f>
        <v>0</v>
      </c>
      <c r="K24" s="492"/>
      <c r="L24" s="492"/>
      <c r="M24" s="492"/>
      <c r="N24" s="492"/>
      <c r="O24" s="492"/>
      <c r="P24" s="492"/>
      <c r="S24" s="480" t="s">
        <v>279</v>
      </c>
      <c r="T24" s="480" t="str">
        <f>T23&amp;" "&amp;T20</f>
        <v>Small Winner</v>
      </c>
      <c r="AA24" s="492"/>
      <c r="AB24" s="492"/>
      <c r="AC24" s="492"/>
      <c r="AD24" s="492"/>
      <c r="AE24" s="492"/>
      <c r="AF24" s="492"/>
      <c r="AG24" s="492"/>
      <c r="AH24" s="492"/>
      <c r="AI24" s="492"/>
      <c r="AJ24" s="492"/>
      <c r="AK24" s="492"/>
      <c r="AL24" s="492"/>
      <c r="AM24" s="492"/>
      <c r="AN24" s="492"/>
      <c r="AO24" s="492"/>
      <c r="AP24" s="492"/>
      <c r="AQ24" s="492"/>
      <c r="AR24" s="492"/>
    </row>
    <row r="25" spans="1:44" ht="13.5" customHeight="1" x14ac:dyDescent="0.3">
      <c r="A25" s="492"/>
      <c r="C25" s="478" t="str">
        <f t="shared" si="0"/>
        <v/>
      </c>
      <c r="D25" s="479" t="s">
        <v>34</v>
      </c>
      <c r="E25" s="480">
        <f>data!D6</f>
        <v>75</v>
      </c>
      <c r="F25" s="480">
        <f>F24</f>
        <v>0</v>
      </c>
      <c r="G25" s="480">
        <f t="shared" si="1"/>
        <v>0</v>
      </c>
      <c r="K25" s="492"/>
      <c r="L25" s="492"/>
      <c r="M25" s="492"/>
      <c r="N25" s="492"/>
      <c r="O25" s="492"/>
      <c r="P25" s="492"/>
      <c r="S25" s="480" t="s">
        <v>59</v>
      </c>
      <c r="T25" s="480" t="str">
        <f>IF(T22&lt;T23,"below","above")</f>
        <v>below</v>
      </c>
      <c r="AA25" s="492"/>
      <c r="AB25" s="492"/>
      <c r="AC25" s="492"/>
      <c r="AD25" s="492"/>
      <c r="AE25" s="492"/>
      <c r="AF25" s="492"/>
      <c r="AG25" s="492"/>
      <c r="AH25" s="492"/>
      <c r="AI25" s="492"/>
      <c r="AJ25" s="492"/>
      <c r="AK25" s="492"/>
      <c r="AL25" s="492"/>
      <c r="AM25" s="492"/>
      <c r="AN25" s="492"/>
      <c r="AO25" s="492"/>
      <c r="AP25" s="492"/>
      <c r="AQ25" s="492"/>
      <c r="AR25" s="492"/>
    </row>
    <row r="26" spans="1:44" ht="13.5" customHeight="1" x14ac:dyDescent="0.3">
      <c r="A26" s="492"/>
      <c r="C26" s="478" t="str">
        <f t="shared" si="0"/>
        <v>&gt;</v>
      </c>
      <c r="D26" s="479" t="s">
        <v>35</v>
      </c>
      <c r="E26" s="480">
        <f>data!E6</f>
        <v>45</v>
      </c>
      <c r="F26" s="480">
        <f>F25</f>
        <v>0</v>
      </c>
      <c r="G26" s="480">
        <f t="shared" si="1"/>
        <v>0</v>
      </c>
      <c r="K26" s="492"/>
      <c r="L26" s="492"/>
      <c r="M26" s="492"/>
      <c r="N26" s="492"/>
      <c r="O26" s="492"/>
      <c r="P26" s="492"/>
      <c r="S26" s="480" t="s">
        <v>58</v>
      </c>
      <c r="T26" s="480">
        <f>calc1!G27</f>
        <v>0.46800000000000003</v>
      </c>
      <c r="AA26" s="492"/>
      <c r="AB26" s="492"/>
      <c r="AC26" s="492"/>
      <c r="AD26" s="492"/>
      <c r="AE26" s="492"/>
      <c r="AF26" s="492"/>
      <c r="AG26" s="492"/>
      <c r="AH26" s="492"/>
      <c r="AI26" s="492"/>
      <c r="AJ26" s="492"/>
      <c r="AK26" s="492"/>
      <c r="AL26" s="492"/>
      <c r="AM26" s="492"/>
      <c r="AN26" s="492"/>
      <c r="AO26" s="492"/>
      <c r="AP26" s="492"/>
      <c r="AQ26" s="492"/>
      <c r="AR26" s="492"/>
    </row>
    <row r="27" spans="1:44" ht="13.5" customHeight="1" x14ac:dyDescent="0.3">
      <c r="A27" s="492"/>
      <c r="C27" s="478" t="str">
        <f t="shared" si="0"/>
        <v/>
      </c>
      <c r="D27" s="479" t="s">
        <v>36</v>
      </c>
      <c r="E27" s="480">
        <f>data!F6</f>
        <v>116</v>
      </c>
      <c r="F27" s="480">
        <f>F26</f>
        <v>0</v>
      </c>
      <c r="G27" s="480">
        <f t="shared" si="1"/>
        <v>0</v>
      </c>
      <c r="K27" s="492"/>
      <c r="L27" s="492"/>
      <c r="M27" s="492"/>
      <c r="N27" s="492"/>
      <c r="O27" s="492"/>
      <c r="P27" s="492"/>
      <c r="S27" s="480" t="s">
        <v>39</v>
      </c>
      <c r="T27" s="485">
        <f>F32-T17</f>
        <v>0</v>
      </c>
      <c r="AA27" s="492"/>
      <c r="AB27" s="492"/>
      <c r="AC27" s="492"/>
      <c r="AD27" s="492"/>
      <c r="AE27" s="492"/>
      <c r="AF27" s="492"/>
      <c r="AG27" s="492"/>
      <c r="AH27" s="492"/>
      <c r="AI27" s="492"/>
      <c r="AJ27" s="492"/>
      <c r="AK27" s="492"/>
      <c r="AL27" s="492"/>
      <c r="AM27" s="492"/>
      <c r="AN27" s="492"/>
      <c r="AO27" s="492"/>
      <c r="AP27" s="492"/>
      <c r="AQ27" s="492"/>
      <c r="AR27" s="492"/>
    </row>
    <row r="28" spans="1:44" ht="13.5" customHeight="1" x14ac:dyDescent="0.3">
      <c r="A28" s="492"/>
      <c r="C28" s="478" t="str">
        <f t="shared" si="0"/>
        <v/>
      </c>
      <c r="D28" s="479" t="s">
        <v>37</v>
      </c>
      <c r="E28" s="480">
        <f>data!G6</f>
        <v>125</v>
      </c>
      <c r="F28" s="480">
        <f>F27</f>
        <v>0</v>
      </c>
      <c r="G28" s="480">
        <f t="shared" si="1"/>
        <v>0</v>
      </c>
      <c r="K28" s="492"/>
      <c r="L28" s="492"/>
      <c r="M28" s="492"/>
      <c r="N28" s="492"/>
      <c r="O28" s="492"/>
      <c r="P28" s="492"/>
      <c r="AA28" s="492"/>
      <c r="AB28" s="492"/>
      <c r="AC28" s="492"/>
      <c r="AD28" s="492"/>
      <c r="AE28" s="492"/>
      <c r="AF28" s="492"/>
      <c r="AG28" s="492"/>
      <c r="AH28" s="492"/>
      <c r="AI28" s="492"/>
      <c r="AJ28" s="492"/>
      <c r="AK28" s="492"/>
      <c r="AL28" s="492"/>
      <c r="AM28" s="492"/>
      <c r="AN28" s="492"/>
      <c r="AO28" s="492"/>
      <c r="AP28" s="492"/>
      <c r="AQ28" s="492"/>
      <c r="AR28" s="492"/>
    </row>
    <row r="29" spans="1:44" ht="13.5" customHeight="1" x14ac:dyDescent="0.3">
      <c r="A29" s="492"/>
      <c r="C29" s="478" t="str">
        <f t="shared" si="0"/>
        <v/>
      </c>
      <c r="D29" s="479" t="s">
        <v>38</v>
      </c>
      <c r="E29" s="480">
        <f>data!H6</f>
        <v>115</v>
      </c>
      <c r="F29" s="480">
        <f>F28</f>
        <v>0</v>
      </c>
      <c r="G29" s="480">
        <f t="shared" si="1"/>
        <v>0</v>
      </c>
      <c r="K29" s="492"/>
      <c r="L29" s="492"/>
      <c r="M29" s="492"/>
      <c r="N29" s="492"/>
      <c r="O29" s="492"/>
      <c r="P29" s="492"/>
      <c r="AA29" s="492"/>
      <c r="AB29" s="492"/>
      <c r="AC29" s="492"/>
      <c r="AD29" s="492"/>
      <c r="AE29" s="492"/>
      <c r="AF29" s="492"/>
      <c r="AG29" s="492"/>
      <c r="AH29" s="492"/>
      <c r="AI29" s="492"/>
      <c r="AJ29" s="492"/>
      <c r="AK29" s="492"/>
      <c r="AL29" s="492"/>
      <c r="AM29" s="492"/>
      <c r="AN29" s="492"/>
      <c r="AO29" s="492"/>
      <c r="AP29" s="492"/>
      <c r="AQ29" s="492"/>
      <c r="AR29" s="492"/>
    </row>
    <row r="30" spans="1:44" ht="13.5" customHeight="1" x14ac:dyDescent="0.3">
      <c r="A30" s="492"/>
      <c r="C30" s="291"/>
      <c r="K30" s="492"/>
      <c r="L30" s="492"/>
      <c r="M30" s="492"/>
      <c r="N30" s="492"/>
      <c r="O30" s="492"/>
      <c r="P30" s="492"/>
      <c r="AA30" s="492"/>
      <c r="AB30" s="492"/>
      <c r="AC30" s="492"/>
      <c r="AD30" s="492"/>
      <c r="AE30" s="492"/>
      <c r="AF30" s="492"/>
      <c r="AG30" s="492"/>
      <c r="AH30" s="492"/>
      <c r="AI30" s="492"/>
      <c r="AJ30" s="492"/>
      <c r="AK30" s="492"/>
      <c r="AL30" s="492"/>
      <c r="AM30" s="492"/>
      <c r="AN30" s="492"/>
      <c r="AO30" s="492"/>
      <c r="AP30" s="492"/>
      <c r="AQ30" s="492"/>
      <c r="AR30" s="492"/>
    </row>
    <row r="31" spans="1:44" ht="13.5" customHeight="1" x14ac:dyDescent="0.3">
      <c r="A31" s="492"/>
      <c r="C31" s="291"/>
      <c r="D31" s="256" t="s">
        <v>60</v>
      </c>
      <c r="K31" s="492"/>
      <c r="L31" s="492"/>
      <c r="M31" s="492"/>
      <c r="N31" s="492"/>
      <c r="O31" s="492"/>
      <c r="P31" s="492"/>
      <c r="AA31" s="492"/>
      <c r="AB31" s="492"/>
      <c r="AC31" s="492"/>
      <c r="AD31" s="492"/>
      <c r="AE31" s="492"/>
      <c r="AF31" s="492"/>
      <c r="AG31" s="492"/>
      <c r="AH31" s="492"/>
      <c r="AI31" s="492"/>
      <c r="AJ31" s="492"/>
      <c r="AK31" s="492"/>
      <c r="AL31" s="492"/>
      <c r="AM31" s="492"/>
      <c r="AN31" s="492"/>
      <c r="AO31" s="492"/>
      <c r="AP31" s="492"/>
      <c r="AQ31" s="492"/>
      <c r="AR31" s="492"/>
    </row>
    <row r="32" spans="1:44" ht="22.5" customHeight="1" x14ac:dyDescent="0.35">
      <c r="A32" s="492"/>
      <c r="C32" s="291"/>
      <c r="D32" s="488" t="str">
        <f>"    "&amp;TEXT(T14,"#,###.00")&amp;"  x  "&amp;T26&amp;" = "</f>
        <v xml:space="preserve">    .00  x  0.468 = </v>
      </c>
      <c r="E32" s="490"/>
      <c r="F32" s="491">
        <f>calc1!G28</f>
        <v>0</v>
      </c>
      <c r="K32" s="492"/>
      <c r="L32" s="492"/>
      <c r="M32" s="492"/>
      <c r="N32" s="492"/>
      <c r="O32" s="492"/>
      <c r="P32" s="492"/>
      <c r="Q32" s="149"/>
      <c r="R32" s="149"/>
      <c r="S32" s="149"/>
      <c r="T32" s="149"/>
      <c r="U32" s="149"/>
      <c r="V32" s="149"/>
      <c r="W32" s="149"/>
      <c r="AA32" s="492"/>
      <c r="AB32" s="492"/>
      <c r="AC32" s="492"/>
      <c r="AD32" s="492"/>
      <c r="AE32" s="492"/>
      <c r="AF32" s="492"/>
      <c r="AG32" s="492"/>
      <c r="AH32" s="492"/>
      <c r="AI32" s="492"/>
      <c r="AJ32" s="492"/>
      <c r="AK32" s="492"/>
      <c r="AL32" s="492"/>
      <c r="AM32" s="492"/>
      <c r="AN32" s="492"/>
      <c r="AO32" s="492"/>
      <c r="AP32" s="492"/>
      <c r="AQ32" s="492"/>
      <c r="AR32" s="492"/>
    </row>
    <row r="33" spans="1:44" ht="14.5" x14ac:dyDescent="0.35">
      <c r="A33" s="492"/>
      <c r="C33" s="291"/>
      <c r="K33" s="492"/>
      <c r="L33" s="492"/>
      <c r="M33" s="492"/>
      <c r="N33" s="492"/>
      <c r="O33" s="492"/>
      <c r="P33" s="492"/>
      <c r="Q33" s="149"/>
      <c r="R33" s="149"/>
      <c r="S33" s="149"/>
      <c r="T33" s="149"/>
      <c r="U33" s="149"/>
      <c r="V33" s="149"/>
      <c r="W33" s="149"/>
      <c r="AA33" s="492"/>
      <c r="AB33" s="492"/>
      <c r="AC33" s="492"/>
      <c r="AD33" s="492"/>
      <c r="AE33" s="492"/>
      <c r="AF33" s="492"/>
      <c r="AG33" s="492"/>
      <c r="AH33" s="492"/>
      <c r="AI33" s="492"/>
      <c r="AJ33" s="492"/>
      <c r="AK33" s="492"/>
      <c r="AL33" s="492"/>
      <c r="AM33" s="492"/>
      <c r="AN33" s="492"/>
      <c r="AO33" s="492"/>
      <c r="AP33" s="492"/>
      <c r="AQ33" s="492"/>
      <c r="AR33" s="492"/>
    </row>
    <row r="34" spans="1:44" ht="13.5" customHeight="1" x14ac:dyDescent="0.35">
      <c r="A34" s="492"/>
      <c r="C34" s="291"/>
      <c r="D34" s="256" t="str">
        <f>"The ratepayer is a "&amp;T20&amp;". Therefore, if the Notional Liability is "&amp;T19&amp;" than the"</f>
        <v>The ratepayer is a Winner. Therefore, if the Notional Liability is less than the</v>
      </c>
      <c r="K34" s="492"/>
      <c r="L34" s="492"/>
      <c r="M34" s="492"/>
      <c r="N34" s="492"/>
      <c r="O34" s="492"/>
      <c r="P34" s="492"/>
      <c r="Q34" s="149"/>
      <c r="R34" s="149"/>
      <c r="S34" s="149"/>
      <c r="T34" s="149"/>
      <c r="U34" s="149"/>
      <c r="V34" s="149"/>
      <c r="W34" s="149"/>
      <c r="AA34" s="492"/>
      <c r="AB34" s="492"/>
      <c r="AC34" s="492"/>
      <c r="AD34" s="492"/>
      <c r="AE34" s="492"/>
      <c r="AF34" s="492"/>
      <c r="AG34" s="492"/>
      <c r="AH34" s="492"/>
      <c r="AI34" s="492"/>
      <c r="AJ34" s="492"/>
      <c r="AK34" s="492"/>
      <c r="AL34" s="492"/>
      <c r="AM34" s="492"/>
      <c r="AN34" s="492"/>
      <c r="AO34" s="492"/>
      <c r="AP34" s="492"/>
      <c r="AQ34" s="492"/>
      <c r="AR34" s="492"/>
    </row>
    <row r="35" spans="1:44" ht="13.5" customHeight="1" x14ac:dyDescent="0.35">
      <c r="A35" s="492"/>
      <c r="C35" s="291"/>
      <c r="D35" s="256" t="str">
        <f>"Base Liability AND "&amp;T19&amp;" than the Transitional Limit, transitional limits will apply"</f>
        <v>Base Liability AND less than the Transitional Limit, transitional limits will apply</v>
      </c>
      <c r="K35" s="492"/>
      <c r="L35" s="492"/>
      <c r="M35" s="492"/>
      <c r="N35" s="492"/>
      <c r="O35" s="492"/>
      <c r="P35" s="492"/>
      <c r="Q35" s="149"/>
      <c r="R35" s="149"/>
      <c r="S35" s="149"/>
      <c r="T35" s="149"/>
      <c r="U35" s="149"/>
      <c r="V35" s="149"/>
      <c r="W35" s="149"/>
      <c r="AA35" s="492"/>
      <c r="AB35" s="492"/>
      <c r="AC35" s="492"/>
      <c r="AD35" s="492"/>
      <c r="AE35" s="492"/>
      <c r="AF35" s="492"/>
      <c r="AG35" s="492"/>
      <c r="AH35" s="492"/>
      <c r="AI35" s="492"/>
      <c r="AJ35" s="492"/>
      <c r="AK35" s="492"/>
      <c r="AL35" s="492"/>
      <c r="AM35" s="492"/>
      <c r="AN35" s="492"/>
      <c r="AO35" s="492"/>
      <c r="AP35" s="492"/>
      <c r="AQ35" s="492"/>
      <c r="AR35" s="492"/>
    </row>
    <row r="36" spans="1:44" ht="13.5" customHeight="1" x14ac:dyDescent="0.35">
      <c r="A36" s="492"/>
      <c r="C36" s="291"/>
      <c r="K36" s="492"/>
      <c r="L36" s="492"/>
      <c r="M36" s="492"/>
      <c r="N36" s="492"/>
      <c r="O36" s="492"/>
      <c r="P36" s="492"/>
      <c r="Q36" s="149"/>
      <c r="R36" s="149"/>
      <c r="S36" s="149"/>
      <c r="T36" s="149"/>
      <c r="U36" s="149"/>
      <c r="V36" s="149"/>
      <c r="W36" s="149"/>
      <c r="AA36" s="492"/>
      <c r="AB36" s="492"/>
      <c r="AC36" s="492"/>
      <c r="AD36" s="492"/>
      <c r="AE36" s="492"/>
      <c r="AF36" s="492"/>
      <c r="AG36" s="492"/>
      <c r="AH36" s="492"/>
      <c r="AI36" s="492"/>
      <c r="AJ36" s="492"/>
      <c r="AK36" s="492"/>
      <c r="AL36" s="492"/>
      <c r="AM36" s="492"/>
      <c r="AN36" s="492"/>
      <c r="AO36" s="492"/>
      <c r="AP36" s="492"/>
      <c r="AQ36" s="492"/>
      <c r="AR36" s="492"/>
    </row>
    <row r="37" spans="1:44" ht="13.5" customHeight="1" x14ac:dyDescent="0.35">
      <c r="A37" s="492"/>
      <c r="C37" s="291"/>
      <c r="D37" s="482" t="s">
        <v>40</v>
      </c>
      <c r="E37" s="483"/>
      <c r="F37" s="484">
        <f>T17</f>
        <v>0</v>
      </c>
      <c r="K37" s="492"/>
      <c r="L37" s="492"/>
      <c r="M37" s="492"/>
      <c r="N37" s="492"/>
      <c r="O37" s="492"/>
      <c r="P37" s="492"/>
      <c r="Q37" s="149"/>
      <c r="R37" s="149"/>
      <c r="S37" s="149"/>
      <c r="T37" s="149"/>
      <c r="U37" s="149"/>
      <c r="V37" s="149"/>
      <c r="W37" s="149"/>
      <c r="AA37" s="492"/>
      <c r="AB37" s="492"/>
      <c r="AC37" s="492"/>
      <c r="AD37" s="492"/>
      <c r="AE37" s="492"/>
      <c r="AF37" s="492"/>
      <c r="AG37" s="492"/>
      <c r="AH37" s="492"/>
      <c r="AI37" s="492"/>
      <c r="AJ37" s="492"/>
      <c r="AK37" s="492"/>
      <c r="AL37" s="492"/>
      <c r="AM37" s="492"/>
      <c r="AN37" s="492"/>
      <c r="AO37" s="492"/>
      <c r="AP37" s="492"/>
      <c r="AQ37" s="492"/>
      <c r="AR37" s="492"/>
    </row>
    <row r="38" spans="1:44" ht="13.5" customHeight="1" x14ac:dyDescent="0.35">
      <c r="A38" s="492"/>
      <c r="C38" s="291"/>
      <c r="D38" s="482" t="s">
        <v>834</v>
      </c>
      <c r="E38" s="483"/>
      <c r="F38" s="484">
        <f>T14</f>
        <v>0</v>
      </c>
      <c r="K38" s="492"/>
      <c r="L38" s="492"/>
      <c r="M38" s="492"/>
      <c r="N38" s="492"/>
      <c r="O38" s="492"/>
      <c r="P38" s="492"/>
      <c r="Q38" s="149"/>
      <c r="R38" s="149"/>
      <c r="S38" s="149"/>
      <c r="T38" s="149"/>
      <c r="U38" s="149"/>
      <c r="V38" s="149"/>
      <c r="W38" s="149"/>
      <c r="AA38" s="492"/>
      <c r="AB38" s="492"/>
      <c r="AC38" s="492"/>
      <c r="AD38" s="492"/>
      <c r="AE38" s="492"/>
      <c r="AF38" s="492"/>
      <c r="AG38" s="492"/>
      <c r="AH38" s="492"/>
      <c r="AI38" s="492"/>
      <c r="AJ38" s="492"/>
      <c r="AK38" s="492"/>
      <c r="AL38" s="492"/>
      <c r="AM38" s="492"/>
      <c r="AN38" s="492"/>
      <c r="AO38" s="492"/>
      <c r="AP38" s="492"/>
      <c r="AQ38" s="492"/>
      <c r="AR38" s="492"/>
    </row>
    <row r="39" spans="1:44" ht="13.5" customHeight="1" x14ac:dyDescent="0.35">
      <c r="A39" s="492"/>
      <c r="C39" s="291"/>
      <c r="D39" s="482" t="s">
        <v>41</v>
      </c>
      <c r="E39" s="483"/>
      <c r="F39" s="484">
        <f>F32</f>
        <v>0</v>
      </c>
      <c r="K39" s="492"/>
      <c r="L39" s="492"/>
      <c r="M39" s="492"/>
      <c r="N39" s="492"/>
      <c r="O39" s="492"/>
      <c r="P39" s="492"/>
      <c r="Q39" s="149"/>
      <c r="R39" s="149"/>
      <c r="S39" s="149"/>
      <c r="T39" s="149"/>
      <c r="U39" s="149"/>
      <c r="V39" s="149"/>
      <c r="W39" s="149"/>
      <c r="AA39" s="492"/>
      <c r="AB39" s="492"/>
      <c r="AC39" s="492"/>
      <c r="AD39" s="492"/>
      <c r="AE39" s="492"/>
      <c r="AF39" s="492"/>
      <c r="AG39" s="492"/>
      <c r="AH39" s="492"/>
      <c r="AI39" s="492"/>
      <c r="AJ39" s="492"/>
      <c r="AK39" s="492"/>
      <c r="AL39" s="492"/>
      <c r="AM39" s="492"/>
      <c r="AN39" s="492"/>
      <c r="AO39" s="492"/>
      <c r="AP39" s="492"/>
      <c r="AQ39" s="492"/>
      <c r="AR39" s="492"/>
    </row>
    <row r="40" spans="1:44" ht="14.15" customHeight="1" x14ac:dyDescent="0.35">
      <c r="A40" s="492"/>
      <c r="D40" s="482" t="s">
        <v>42</v>
      </c>
      <c r="E40" s="483"/>
      <c r="F40" s="485" t="str">
        <f>IF(calc1!G38 = TRUE,"Yes","No")</f>
        <v>No</v>
      </c>
      <c r="G40" s="257" t="str">
        <f>IF(T14=0,"If there is no BL transition does not apply",IF(F40="Yes",IF(T20="Loser","(Transitional Relief)","(Transitional Premium)"),""))</f>
        <v>If there is no BL transition does not apply</v>
      </c>
      <c r="K40" s="492"/>
      <c r="L40" s="492"/>
      <c r="M40" s="492"/>
      <c r="N40" s="492"/>
      <c r="O40" s="492"/>
      <c r="P40" s="492"/>
      <c r="Q40" s="149"/>
      <c r="R40" s="149"/>
      <c r="S40" s="149"/>
      <c r="T40" s="149"/>
      <c r="U40" s="149"/>
      <c r="V40" s="149"/>
      <c r="W40" s="149"/>
      <c r="AA40" s="492"/>
      <c r="AB40" s="492"/>
      <c r="AC40" s="492"/>
      <c r="AD40" s="492"/>
      <c r="AE40" s="492"/>
      <c r="AF40" s="492"/>
      <c r="AG40" s="492"/>
      <c r="AH40" s="492"/>
      <c r="AI40" s="492"/>
      <c r="AJ40" s="492"/>
      <c r="AK40" s="492"/>
      <c r="AL40" s="492"/>
      <c r="AM40" s="492"/>
      <c r="AN40" s="492"/>
      <c r="AO40" s="492"/>
      <c r="AP40" s="492"/>
      <c r="AQ40" s="492"/>
      <c r="AR40" s="492"/>
    </row>
    <row r="41" spans="1:44" ht="14.15" customHeight="1" x14ac:dyDescent="0.35">
      <c r="A41" s="492"/>
      <c r="F41" s="486"/>
      <c r="K41" s="492"/>
      <c r="L41" s="492"/>
      <c r="M41" s="492"/>
      <c r="N41" s="492"/>
      <c r="O41" s="492"/>
      <c r="P41" s="492"/>
      <c r="Q41" s="149"/>
      <c r="R41" s="149"/>
      <c r="S41" s="149"/>
      <c r="T41" s="149"/>
      <c r="U41" s="149"/>
      <c r="V41" s="149"/>
      <c r="W41" s="149"/>
      <c r="AA41" s="492"/>
      <c r="AB41" s="492"/>
      <c r="AC41" s="492"/>
      <c r="AD41" s="492"/>
      <c r="AE41" s="492"/>
      <c r="AF41" s="492"/>
      <c r="AG41" s="492"/>
      <c r="AH41" s="492"/>
      <c r="AI41" s="492"/>
      <c r="AJ41" s="492"/>
      <c r="AK41" s="492"/>
      <c r="AL41" s="492"/>
      <c r="AM41" s="492"/>
      <c r="AN41" s="492"/>
      <c r="AO41" s="492"/>
      <c r="AP41" s="492"/>
      <c r="AQ41" s="492"/>
      <c r="AR41" s="492"/>
    </row>
    <row r="42" spans="1:44" ht="19.5" customHeight="1" x14ac:dyDescent="0.35">
      <c r="A42" s="492"/>
      <c r="D42" s="488" t="str">
        <f>IF(F40="Yes","The Transitional Adjustment (TL - NL) is therefore   "&amp;TEXT(T27,"#,###.00"),"In this case there will be no transitional adjustment")</f>
        <v>In this case there will be no transitional adjustment</v>
      </c>
      <c r="F42" s="486"/>
      <c r="G42" s="481"/>
      <c r="K42" s="492"/>
      <c r="L42" s="492"/>
      <c r="M42" s="492"/>
      <c r="N42" s="492"/>
      <c r="O42" s="492"/>
      <c r="P42" s="492"/>
      <c r="Q42" s="149"/>
      <c r="R42" s="149"/>
      <c r="S42" s="149"/>
      <c r="T42" s="149"/>
      <c r="U42" s="149"/>
      <c r="V42" s="149"/>
      <c r="W42" s="149"/>
      <c r="AA42" s="492"/>
      <c r="AB42" s="492"/>
      <c r="AC42" s="492"/>
      <c r="AD42" s="492"/>
      <c r="AE42" s="492"/>
      <c r="AF42" s="492"/>
      <c r="AG42" s="492"/>
      <c r="AH42" s="492"/>
      <c r="AI42" s="492"/>
      <c r="AJ42" s="492"/>
      <c r="AK42" s="492"/>
      <c r="AL42" s="492"/>
      <c r="AM42" s="492"/>
      <c r="AN42" s="492"/>
      <c r="AO42" s="492"/>
      <c r="AP42" s="492"/>
      <c r="AQ42" s="492"/>
      <c r="AR42" s="492"/>
    </row>
    <row r="43" spans="1:44" ht="14.15" customHeight="1" x14ac:dyDescent="0.35">
      <c r="A43" s="492"/>
      <c r="F43" s="486"/>
      <c r="K43" s="492"/>
      <c r="L43" s="492"/>
      <c r="M43" s="492"/>
      <c r="N43" s="492"/>
      <c r="O43" s="492"/>
      <c r="P43" s="492"/>
      <c r="Q43" s="149"/>
      <c r="R43" s="149"/>
      <c r="S43" s="149"/>
      <c r="T43" s="149"/>
      <c r="U43" s="149"/>
      <c r="V43" s="149"/>
      <c r="W43" s="149"/>
      <c r="AA43" s="492"/>
      <c r="AB43" s="492"/>
      <c r="AC43" s="492"/>
      <c r="AD43" s="492"/>
      <c r="AE43" s="492"/>
      <c r="AF43" s="492"/>
      <c r="AG43" s="492"/>
      <c r="AH43" s="492"/>
      <c r="AI43" s="492"/>
      <c r="AJ43" s="492"/>
      <c r="AK43" s="492"/>
      <c r="AL43" s="492"/>
      <c r="AM43" s="492"/>
      <c r="AN43" s="492"/>
      <c r="AO43" s="492"/>
      <c r="AP43" s="492"/>
      <c r="AQ43" s="492"/>
      <c r="AR43" s="492"/>
    </row>
    <row r="44" spans="1:44" ht="14.15" customHeight="1" x14ac:dyDescent="0.35">
      <c r="A44" s="492"/>
      <c r="D44" s="256" t="str">
        <f>IF(F40="Yes","This figure will be adjusted for the number of chargeable days (if not a full year) and used","")</f>
        <v/>
      </c>
      <c r="F44" s="486"/>
      <c r="K44" s="492"/>
      <c r="L44" s="492"/>
      <c r="M44" s="492"/>
      <c r="N44" s="492"/>
      <c r="O44" s="492"/>
      <c r="P44" s="492"/>
      <c r="Q44" s="149"/>
      <c r="R44" s="149"/>
      <c r="S44" s="149"/>
      <c r="T44" s="149"/>
      <c r="U44" s="149"/>
      <c r="V44" s="149"/>
      <c r="W44" s="149"/>
      <c r="AA44" s="492"/>
      <c r="AB44" s="492"/>
      <c r="AC44" s="492"/>
      <c r="AD44" s="492"/>
      <c r="AE44" s="492"/>
      <c r="AF44" s="492"/>
      <c r="AG44" s="492"/>
      <c r="AH44" s="492"/>
      <c r="AI44" s="492"/>
      <c r="AJ44" s="492"/>
      <c r="AK44" s="492"/>
      <c r="AL44" s="492"/>
      <c r="AM44" s="492"/>
      <c r="AN44" s="492"/>
      <c r="AO44" s="492"/>
      <c r="AP44" s="492"/>
      <c r="AQ44" s="492"/>
      <c r="AR44" s="492"/>
    </row>
    <row r="45" spans="1:44" ht="14.15" customHeight="1" x14ac:dyDescent="0.35">
      <c r="A45" s="492"/>
      <c r="D45" s="256" t="str">
        <f>IF(F40="Yes","in the liability calculation","")</f>
        <v/>
      </c>
      <c r="E45" s="276"/>
      <c r="H45" s="327"/>
      <c r="K45" s="492"/>
      <c r="L45" s="492"/>
      <c r="M45" s="492"/>
      <c r="N45" s="492"/>
      <c r="O45" s="492"/>
      <c r="P45" s="492"/>
      <c r="Q45" s="149"/>
      <c r="R45" s="149"/>
      <c r="S45" s="149"/>
      <c r="T45" s="149"/>
      <c r="U45" s="149"/>
      <c r="V45" s="149"/>
      <c r="W45" s="149"/>
      <c r="AA45" s="492"/>
      <c r="AB45" s="492"/>
      <c r="AC45" s="492"/>
      <c r="AD45" s="492"/>
      <c r="AE45" s="492"/>
      <c r="AF45" s="492"/>
      <c r="AG45" s="492"/>
      <c r="AH45" s="492"/>
      <c r="AI45" s="492"/>
      <c r="AJ45" s="492"/>
      <c r="AK45" s="492"/>
      <c r="AL45" s="492"/>
      <c r="AM45" s="492"/>
      <c r="AN45" s="492"/>
      <c r="AO45" s="492"/>
      <c r="AP45" s="492"/>
      <c r="AQ45" s="492"/>
      <c r="AR45" s="492"/>
    </row>
    <row r="46" spans="1:44" ht="14.15" customHeight="1" x14ac:dyDescent="0.35">
      <c r="A46" s="492"/>
      <c r="K46" s="492"/>
      <c r="L46" s="492"/>
      <c r="M46" s="492"/>
      <c r="N46" s="492"/>
      <c r="O46" s="492"/>
      <c r="P46" s="492"/>
      <c r="Q46" s="149"/>
      <c r="R46" s="149"/>
      <c r="S46" s="149"/>
      <c r="T46" s="149"/>
      <c r="U46" s="149"/>
      <c r="V46" s="149"/>
      <c r="W46" s="149"/>
      <c r="AA46" s="492"/>
      <c r="AB46" s="492"/>
      <c r="AC46" s="492"/>
      <c r="AD46" s="492"/>
      <c r="AE46" s="492"/>
      <c r="AF46" s="492"/>
      <c r="AG46" s="492"/>
      <c r="AH46" s="492"/>
      <c r="AI46" s="492"/>
      <c r="AJ46" s="492"/>
      <c r="AK46" s="492"/>
      <c r="AL46" s="492"/>
      <c r="AM46" s="492"/>
      <c r="AN46" s="492"/>
      <c r="AO46" s="492"/>
      <c r="AP46" s="492"/>
      <c r="AQ46" s="492"/>
      <c r="AR46" s="492"/>
    </row>
    <row r="47" spans="1:44" ht="14.15" customHeight="1" x14ac:dyDescent="0.35">
      <c r="A47" s="492"/>
      <c r="E47" s="276"/>
      <c r="H47" s="327"/>
      <c r="K47" s="492"/>
      <c r="L47" s="492"/>
      <c r="M47" s="492"/>
      <c r="N47" s="492"/>
      <c r="O47" s="492"/>
      <c r="P47" s="492"/>
      <c r="Q47" s="149"/>
      <c r="R47" s="149"/>
      <c r="S47" s="149"/>
      <c r="T47" s="149"/>
      <c r="U47" s="149"/>
      <c r="V47" s="149"/>
      <c r="W47" s="149"/>
      <c r="AA47" s="492"/>
      <c r="AB47" s="492"/>
      <c r="AC47" s="492"/>
      <c r="AD47" s="492"/>
      <c r="AE47" s="492"/>
      <c r="AF47" s="492"/>
      <c r="AG47" s="492"/>
      <c r="AH47" s="492"/>
      <c r="AI47" s="492"/>
      <c r="AJ47" s="492"/>
      <c r="AK47" s="492"/>
      <c r="AL47" s="492"/>
      <c r="AM47" s="492"/>
      <c r="AN47" s="492"/>
      <c r="AO47" s="492"/>
      <c r="AP47" s="492"/>
      <c r="AQ47" s="492"/>
      <c r="AR47" s="492"/>
    </row>
    <row r="48" spans="1:44" ht="9" customHeight="1" x14ac:dyDescent="0.25">
      <c r="A48" s="492"/>
      <c r="K48" s="492"/>
      <c r="L48" s="492"/>
      <c r="M48" s="492"/>
      <c r="N48" s="492"/>
      <c r="O48" s="492"/>
      <c r="P48" s="492"/>
      <c r="AA48" s="492"/>
      <c r="AB48" s="492"/>
      <c r="AC48" s="492"/>
      <c r="AD48" s="492"/>
      <c r="AE48" s="492"/>
      <c r="AF48" s="492"/>
      <c r="AG48" s="492"/>
      <c r="AH48" s="492"/>
      <c r="AI48" s="492"/>
      <c r="AJ48" s="492"/>
      <c r="AK48" s="492"/>
      <c r="AL48" s="492"/>
      <c r="AM48" s="492"/>
      <c r="AN48" s="492"/>
      <c r="AO48" s="492"/>
      <c r="AP48" s="492"/>
      <c r="AQ48" s="492"/>
      <c r="AR48" s="492"/>
    </row>
    <row r="49" spans="1:44" ht="12.5" x14ac:dyDescent="0.25">
      <c r="A49" s="492"/>
      <c r="C49" s="283"/>
      <c r="D49" s="283"/>
      <c r="E49" s="335"/>
      <c r="F49" s="335"/>
      <c r="G49" s="335"/>
      <c r="H49" s="283"/>
      <c r="I49" s="487"/>
      <c r="J49" s="283"/>
      <c r="K49" s="492"/>
      <c r="L49" s="492"/>
      <c r="M49" s="492"/>
      <c r="N49" s="492"/>
      <c r="O49" s="492"/>
      <c r="P49" s="492"/>
      <c r="AA49" s="492"/>
      <c r="AB49" s="492"/>
      <c r="AC49" s="492"/>
      <c r="AD49" s="492"/>
      <c r="AE49" s="492"/>
      <c r="AF49" s="492"/>
      <c r="AG49" s="492"/>
      <c r="AH49" s="492"/>
      <c r="AI49" s="492"/>
      <c r="AJ49" s="492"/>
      <c r="AK49" s="492"/>
      <c r="AL49" s="492"/>
      <c r="AM49" s="492"/>
      <c r="AN49" s="492"/>
      <c r="AO49" s="492"/>
      <c r="AP49" s="492"/>
      <c r="AQ49" s="492"/>
      <c r="AR49" s="492"/>
    </row>
    <row r="50" spans="1:44" ht="11.25" customHeight="1" x14ac:dyDescent="0.25">
      <c r="A50" s="492"/>
      <c r="K50" s="492"/>
      <c r="L50" s="492"/>
      <c r="M50" s="492"/>
      <c r="N50" s="492"/>
      <c r="O50" s="492"/>
      <c r="P50" s="492"/>
      <c r="AA50" s="492"/>
      <c r="AB50" s="492"/>
      <c r="AC50" s="492"/>
      <c r="AD50" s="492"/>
      <c r="AE50" s="492"/>
      <c r="AF50" s="492"/>
      <c r="AG50" s="492"/>
      <c r="AH50" s="492"/>
      <c r="AI50" s="492"/>
      <c r="AJ50" s="492"/>
      <c r="AK50" s="492"/>
      <c r="AL50" s="492"/>
      <c r="AM50" s="492"/>
      <c r="AN50" s="492"/>
      <c r="AO50" s="492"/>
      <c r="AP50" s="492"/>
      <c r="AQ50" s="492"/>
      <c r="AR50" s="492"/>
    </row>
    <row r="51" spans="1:44" ht="21" customHeight="1" x14ac:dyDescent="0.35">
      <c r="A51" s="492"/>
      <c r="C51" s="256" t="str">
        <f>'basic output'!C57</f>
        <v>prepared by</v>
      </c>
      <c r="D51" s="488" t="str">
        <f>'basic output'!E57</f>
        <v>CBRE</v>
      </c>
      <c r="K51" s="492"/>
      <c r="L51" s="492"/>
      <c r="M51" s="492"/>
      <c r="N51" s="492"/>
      <c r="O51" s="492"/>
      <c r="P51" s="492"/>
      <c r="AA51" s="492"/>
      <c r="AB51" s="492"/>
      <c r="AC51" s="492"/>
      <c r="AD51" s="492"/>
      <c r="AE51" s="492"/>
      <c r="AF51" s="492"/>
      <c r="AG51" s="492"/>
      <c r="AH51" s="492"/>
      <c r="AI51" s="492"/>
      <c r="AJ51" s="492"/>
      <c r="AK51" s="492"/>
      <c r="AL51" s="492"/>
      <c r="AM51" s="492"/>
      <c r="AN51" s="492"/>
      <c r="AO51" s="492"/>
      <c r="AP51" s="492"/>
      <c r="AQ51" s="492"/>
      <c r="AR51" s="492"/>
    </row>
    <row r="52" spans="1:44" ht="24" customHeight="1" x14ac:dyDescent="0.25">
      <c r="A52" s="492"/>
      <c r="K52" s="492"/>
      <c r="L52" s="492"/>
      <c r="M52" s="492"/>
      <c r="N52" s="492"/>
      <c r="O52" s="492"/>
      <c r="P52" s="492"/>
      <c r="AA52" s="492"/>
      <c r="AB52" s="492"/>
      <c r="AC52" s="492"/>
      <c r="AD52" s="492"/>
      <c r="AE52" s="492"/>
      <c r="AF52" s="492"/>
      <c r="AG52" s="492"/>
      <c r="AH52" s="492"/>
      <c r="AI52" s="492"/>
      <c r="AJ52" s="492"/>
      <c r="AK52" s="492"/>
      <c r="AL52" s="492"/>
      <c r="AM52" s="492"/>
      <c r="AN52" s="492"/>
      <c r="AO52" s="492"/>
      <c r="AP52" s="492"/>
      <c r="AQ52" s="492"/>
      <c r="AR52" s="492"/>
    </row>
    <row r="53" spans="1:44" ht="12.75" customHeight="1" x14ac:dyDescent="0.25">
      <c r="A53" s="492"/>
      <c r="B53" s="492"/>
      <c r="C53" s="492"/>
      <c r="D53" s="492"/>
      <c r="E53" s="492"/>
      <c r="F53" s="492"/>
      <c r="G53" s="492"/>
      <c r="H53" s="492"/>
      <c r="I53" s="492"/>
      <c r="J53" s="492"/>
      <c r="K53" s="492"/>
      <c r="L53" s="492"/>
      <c r="M53" s="492"/>
      <c r="N53" s="492"/>
      <c r="O53" s="492"/>
      <c r="P53" s="492"/>
      <c r="AA53" s="492"/>
      <c r="AB53" s="492"/>
      <c r="AC53" s="492"/>
      <c r="AD53" s="492"/>
      <c r="AE53" s="492"/>
      <c r="AF53" s="492"/>
      <c r="AG53" s="492"/>
      <c r="AH53" s="492"/>
      <c r="AI53" s="492"/>
      <c r="AJ53" s="492"/>
      <c r="AK53" s="492"/>
      <c r="AL53" s="492"/>
      <c r="AM53" s="492"/>
      <c r="AN53" s="492"/>
      <c r="AO53" s="492"/>
      <c r="AP53" s="492"/>
      <c r="AQ53" s="492"/>
      <c r="AR53" s="492"/>
    </row>
    <row r="54" spans="1:44" ht="12.75" customHeight="1" x14ac:dyDescent="0.25">
      <c r="A54" s="492"/>
      <c r="B54" s="492"/>
      <c r="C54" s="492"/>
      <c r="D54" s="492"/>
      <c r="E54" s="492"/>
      <c r="F54" s="492"/>
      <c r="G54" s="492"/>
      <c r="H54" s="492"/>
      <c r="I54" s="492"/>
      <c r="J54" s="492"/>
      <c r="K54" s="492"/>
      <c r="L54" s="492"/>
      <c r="M54" s="492"/>
      <c r="N54" s="492"/>
      <c r="O54" s="492"/>
      <c r="P54" s="492"/>
      <c r="AA54" s="492"/>
      <c r="AB54" s="492"/>
      <c r="AC54" s="492"/>
      <c r="AD54" s="492"/>
      <c r="AE54" s="492"/>
      <c r="AF54" s="492"/>
      <c r="AG54" s="492"/>
      <c r="AH54" s="492"/>
      <c r="AI54" s="492"/>
      <c r="AJ54" s="492"/>
      <c r="AK54" s="492"/>
      <c r="AL54" s="492"/>
      <c r="AM54" s="492"/>
      <c r="AN54" s="492"/>
      <c r="AO54" s="492"/>
      <c r="AP54" s="492"/>
      <c r="AQ54" s="492"/>
      <c r="AR54" s="492"/>
    </row>
    <row r="55" spans="1:44" ht="12.75" customHeight="1" x14ac:dyDescent="0.25">
      <c r="A55" s="492"/>
      <c r="B55" s="492"/>
      <c r="C55" s="492"/>
      <c r="D55" s="492"/>
      <c r="E55" s="492"/>
      <c r="F55" s="492"/>
      <c r="G55" s="492"/>
      <c r="H55" s="492"/>
      <c r="I55" s="492"/>
      <c r="J55" s="492"/>
      <c r="K55" s="492"/>
      <c r="L55" s="492"/>
      <c r="M55" s="492"/>
      <c r="N55" s="492"/>
      <c r="O55" s="492"/>
      <c r="P55" s="492"/>
      <c r="AA55" s="492"/>
      <c r="AB55" s="492"/>
      <c r="AC55" s="492"/>
      <c r="AD55" s="492"/>
      <c r="AE55" s="492"/>
      <c r="AF55" s="492"/>
      <c r="AG55" s="492"/>
      <c r="AH55" s="492"/>
      <c r="AI55" s="492"/>
      <c r="AJ55" s="492"/>
      <c r="AK55" s="492"/>
      <c r="AL55" s="492"/>
      <c r="AM55" s="492"/>
      <c r="AN55" s="492"/>
      <c r="AO55" s="492"/>
      <c r="AP55" s="492"/>
      <c r="AQ55" s="492"/>
      <c r="AR55" s="492"/>
    </row>
    <row r="56" spans="1:44" ht="12.75" customHeight="1" x14ac:dyDescent="0.25">
      <c r="A56" s="492"/>
      <c r="B56" s="492"/>
      <c r="C56" s="492"/>
      <c r="D56" s="492"/>
      <c r="E56" s="492"/>
      <c r="F56" s="492"/>
      <c r="G56" s="492"/>
      <c r="H56" s="492"/>
      <c r="I56" s="492"/>
      <c r="J56" s="492"/>
      <c r="K56" s="492"/>
      <c r="L56" s="492"/>
      <c r="M56" s="492"/>
      <c r="N56" s="492"/>
      <c r="O56" s="492"/>
      <c r="P56" s="492"/>
      <c r="AA56" s="492"/>
      <c r="AB56" s="492"/>
      <c r="AC56" s="492"/>
      <c r="AD56" s="492"/>
      <c r="AE56" s="492"/>
      <c r="AF56" s="492"/>
      <c r="AG56" s="492"/>
      <c r="AH56" s="492"/>
      <c r="AI56" s="492"/>
      <c r="AJ56" s="492"/>
      <c r="AK56" s="492"/>
      <c r="AL56" s="492"/>
      <c r="AM56" s="492"/>
      <c r="AN56" s="492"/>
      <c r="AO56" s="492"/>
      <c r="AP56" s="492"/>
      <c r="AQ56" s="492"/>
      <c r="AR56" s="492"/>
    </row>
    <row r="57" spans="1:44" ht="12.75" customHeight="1" x14ac:dyDescent="0.25">
      <c r="A57" s="492"/>
      <c r="B57" s="492"/>
      <c r="C57" s="492"/>
      <c r="D57" s="492"/>
      <c r="E57" s="492"/>
      <c r="F57" s="492"/>
      <c r="G57" s="492"/>
      <c r="H57" s="492"/>
      <c r="I57" s="492"/>
      <c r="J57" s="492"/>
      <c r="K57" s="492"/>
      <c r="L57" s="492"/>
      <c r="M57" s="492"/>
      <c r="N57" s="492"/>
      <c r="O57" s="492"/>
      <c r="P57" s="492"/>
      <c r="AA57" s="492"/>
      <c r="AB57" s="492"/>
      <c r="AC57" s="492"/>
      <c r="AD57" s="492"/>
      <c r="AE57" s="492"/>
      <c r="AF57" s="492"/>
      <c r="AG57" s="492"/>
      <c r="AH57" s="492"/>
      <c r="AI57" s="492"/>
      <c r="AJ57" s="492"/>
      <c r="AK57" s="492"/>
      <c r="AL57" s="492"/>
      <c r="AM57" s="492"/>
      <c r="AN57" s="492"/>
      <c r="AO57" s="492"/>
      <c r="AP57" s="492"/>
      <c r="AQ57" s="492"/>
      <c r="AR57" s="492"/>
    </row>
    <row r="58" spans="1:44" ht="12.75" customHeight="1" x14ac:dyDescent="0.25">
      <c r="A58" s="492"/>
      <c r="B58" s="492"/>
      <c r="C58" s="492"/>
      <c r="D58" s="492"/>
      <c r="E58" s="492"/>
      <c r="F58" s="492"/>
      <c r="G58" s="492"/>
      <c r="H58" s="492"/>
      <c r="I58" s="492"/>
      <c r="J58" s="492"/>
      <c r="K58" s="492"/>
      <c r="L58" s="492"/>
      <c r="M58" s="492"/>
      <c r="N58" s="492"/>
      <c r="O58" s="492"/>
      <c r="P58" s="492"/>
      <c r="AA58" s="492"/>
      <c r="AB58" s="492"/>
      <c r="AC58" s="492"/>
      <c r="AD58" s="492"/>
      <c r="AE58" s="492"/>
      <c r="AF58" s="492"/>
      <c r="AG58" s="492"/>
      <c r="AH58" s="492"/>
      <c r="AI58" s="492"/>
      <c r="AJ58" s="492"/>
      <c r="AK58" s="492"/>
      <c r="AL58" s="492"/>
      <c r="AM58" s="492"/>
      <c r="AN58" s="492"/>
      <c r="AO58" s="492"/>
      <c r="AP58" s="492"/>
      <c r="AQ58" s="492"/>
      <c r="AR58" s="492"/>
    </row>
    <row r="59" spans="1:44" ht="12.75" customHeight="1" x14ac:dyDescent="0.25">
      <c r="A59" s="492"/>
      <c r="B59" s="492"/>
      <c r="C59" s="492"/>
      <c r="D59" s="492"/>
      <c r="E59" s="492"/>
      <c r="F59" s="492"/>
      <c r="G59" s="492"/>
      <c r="H59" s="492"/>
      <c r="I59" s="492"/>
      <c r="J59" s="492"/>
      <c r="K59" s="492"/>
      <c r="L59" s="492"/>
      <c r="M59" s="492"/>
      <c r="N59" s="492"/>
      <c r="O59" s="492"/>
      <c r="P59" s="492"/>
      <c r="AA59" s="492"/>
      <c r="AB59" s="492"/>
      <c r="AC59" s="492"/>
      <c r="AD59" s="492"/>
      <c r="AE59" s="492"/>
      <c r="AF59" s="492"/>
      <c r="AG59" s="492"/>
      <c r="AH59" s="492"/>
      <c r="AI59" s="492"/>
      <c r="AJ59" s="492"/>
      <c r="AK59" s="492"/>
      <c r="AL59" s="492"/>
      <c r="AM59" s="492"/>
      <c r="AN59" s="492"/>
      <c r="AO59" s="492"/>
      <c r="AP59" s="492"/>
      <c r="AQ59" s="492"/>
      <c r="AR59" s="492"/>
    </row>
    <row r="60" spans="1:44" ht="12.75" customHeight="1" x14ac:dyDescent="0.25">
      <c r="A60" s="492"/>
      <c r="B60" s="492"/>
      <c r="C60" s="492"/>
      <c r="D60" s="492"/>
      <c r="E60" s="492"/>
      <c r="F60" s="492"/>
      <c r="G60" s="492"/>
      <c r="H60" s="492"/>
      <c r="I60" s="492"/>
      <c r="J60" s="492"/>
      <c r="K60" s="492"/>
      <c r="L60" s="492"/>
      <c r="M60" s="492"/>
      <c r="N60" s="492"/>
      <c r="O60" s="492"/>
      <c r="P60" s="492"/>
      <c r="AA60" s="492"/>
      <c r="AB60" s="492"/>
      <c r="AC60" s="492"/>
      <c r="AD60" s="492"/>
      <c r="AE60" s="492"/>
      <c r="AF60" s="492"/>
      <c r="AG60" s="492"/>
      <c r="AH60" s="492"/>
      <c r="AI60" s="492"/>
      <c r="AJ60" s="492"/>
      <c r="AK60" s="492"/>
      <c r="AL60" s="492"/>
      <c r="AM60" s="492"/>
      <c r="AN60" s="492"/>
      <c r="AO60" s="492"/>
      <c r="AP60" s="492"/>
      <c r="AQ60" s="492"/>
      <c r="AR60" s="492"/>
    </row>
    <row r="61" spans="1:44" ht="12.75" customHeight="1" x14ac:dyDescent="0.25">
      <c r="A61" s="492"/>
      <c r="B61" s="492"/>
      <c r="C61" s="492"/>
      <c r="D61" s="492"/>
      <c r="E61" s="492"/>
      <c r="F61" s="492"/>
      <c r="G61" s="492"/>
      <c r="H61" s="492"/>
      <c r="I61" s="492"/>
      <c r="J61" s="492"/>
      <c r="K61" s="492"/>
      <c r="L61" s="492"/>
      <c r="M61" s="492"/>
      <c r="N61" s="492"/>
      <c r="O61" s="492"/>
      <c r="P61" s="492"/>
      <c r="AA61" s="492"/>
      <c r="AB61" s="492"/>
      <c r="AC61" s="492"/>
      <c r="AD61" s="492"/>
      <c r="AE61" s="492"/>
      <c r="AF61" s="492"/>
      <c r="AG61" s="492"/>
      <c r="AH61" s="492"/>
      <c r="AI61" s="492"/>
      <c r="AJ61" s="492"/>
      <c r="AK61" s="492"/>
      <c r="AL61" s="492"/>
      <c r="AM61" s="492"/>
      <c r="AN61" s="492"/>
      <c r="AO61" s="492"/>
      <c r="AP61" s="492"/>
      <c r="AQ61" s="492"/>
      <c r="AR61" s="492"/>
    </row>
    <row r="62" spans="1:44" ht="12.75" customHeight="1" x14ac:dyDescent="0.25">
      <c r="A62" s="492"/>
      <c r="B62" s="492"/>
      <c r="C62" s="492"/>
      <c r="D62" s="492"/>
      <c r="E62" s="492"/>
      <c r="F62" s="492"/>
      <c r="G62" s="492"/>
      <c r="H62" s="492"/>
      <c r="I62" s="492"/>
      <c r="J62" s="492"/>
      <c r="K62" s="492"/>
      <c r="L62" s="492"/>
      <c r="M62" s="492"/>
      <c r="N62" s="492"/>
      <c r="O62" s="492"/>
      <c r="P62" s="492"/>
      <c r="AA62" s="492"/>
      <c r="AB62" s="492"/>
      <c r="AC62" s="492"/>
      <c r="AD62" s="492"/>
      <c r="AE62" s="492"/>
      <c r="AF62" s="492"/>
      <c r="AG62" s="492"/>
      <c r="AH62" s="492"/>
      <c r="AI62" s="492"/>
      <c r="AJ62" s="492"/>
      <c r="AK62" s="492"/>
      <c r="AL62" s="492"/>
      <c r="AM62" s="492"/>
      <c r="AN62" s="492"/>
      <c r="AO62" s="492"/>
      <c r="AP62" s="492"/>
      <c r="AQ62" s="492"/>
      <c r="AR62" s="492"/>
    </row>
    <row r="63" spans="1:44" ht="12.75" customHeight="1" x14ac:dyDescent="0.25">
      <c r="A63" s="492"/>
      <c r="B63" s="492"/>
      <c r="C63" s="492"/>
      <c r="D63" s="492"/>
      <c r="E63" s="492"/>
      <c r="F63" s="492"/>
      <c r="G63" s="492"/>
      <c r="H63" s="492"/>
      <c r="I63" s="492"/>
      <c r="J63" s="492"/>
      <c r="K63" s="492"/>
      <c r="L63" s="492"/>
      <c r="M63" s="492"/>
      <c r="N63" s="492"/>
      <c r="O63" s="492"/>
      <c r="P63" s="492"/>
      <c r="AA63" s="492"/>
      <c r="AB63" s="492"/>
      <c r="AC63" s="492"/>
      <c r="AD63" s="492"/>
      <c r="AE63" s="492"/>
      <c r="AF63" s="492"/>
      <c r="AG63" s="492"/>
      <c r="AH63" s="492"/>
      <c r="AI63" s="492"/>
      <c r="AJ63" s="492"/>
      <c r="AK63" s="492"/>
      <c r="AL63" s="492"/>
      <c r="AM63" s="492"/>
      <c r="AN63" s="492"/>
      <c r="AO63" s="492"/>
      <c r="AP63" s="492"/>
      <c r="AQ63" s="492"/>
      <c r="AR63" s="492"/>
    </row>
    <row r="64" spans="1:44" ht="12.75" customHeight="1" x14ac:dyDescent="0.25">
      <c r="A64" s="492"/>
      <c r="B64" s="492"/>
      <c r="C64" s="492"/>
      <c r="D64" s="492"/>
      <c r="E64" s="492"/>
      <c r="F64" s="492"/>
      <c r="G64" s="492"/>
      <c r="H64" s="492"/>
      <c r="I64" s="492"/>
      <c r="J64" s="492"/>
      <c r="K64" s="492"/>
      <c r="L64" s="492"/>
      <c r="M64" s="492"/>
      <c r="N64" s="492"/>
      <c r="O64" s="492"/>
      <c r="P64" s="492"/>
      <c r="AA64" s="492"/>
      <c r="AB64" s="492"/>
      <c r="AC64" s="492"/>
      <c r="AD64" s="492"/>
      <c r="AE64" s="492"/>
      <c r="AF64" s="492"/>
      <c r="AG64" s="492"/>
      <c r="AH64" s="492"/>
      <c r="AI64" s="492"/>
      <c r="AJ64" s="492"/>
      <c r="AK64" s="492"/>
      <c r="AL64" s="492"/>
      <c r="AM64" s="492"/>
      <c r="AN64" s="492"/>
      <c r="AO64" s="492"/>
      <c r="AP64" s="492"/>
      <c r="AQ64" s="492"/>
      <c r="AR64" s="492"/>
    </row>
    <row r="65" spans="1:44" ht="12.75" customHeight="1" x14ac:dyDescent="0.25">
      <c r="A65" s="492"/>
      <c r="B65" s="492"/>
      <c r="C65" s="492"/>
      <c r="D65" s="492"/>
      <c r="E65" s="492"/>
      <c r="F65" s="492"/>
      <c r="G65" s="492"/>
      <c r="H65" s="492"/>
      <c r="I65" s="492"/>
      <c r="J65" s="492"/>
      <c r="K65" s="492"/>
      <c r="L65" s="492"/>
      <c r="M65" s="492"/>
      <c r="N65" s="492"/>
      <c r="O65" s="492"/>
      <c r="P65" s="492"/>
      <c r="AA65" s="492"/>
      <c r="AB65" s="492"/>
      <c r="AC65" s="492"/>
      <c r="AD65" s="492"/>
      <c r="AE65" s="492"/>
      <c r="AF65" s="492"/>
      <c r="AG65" s="492"/>
      <c r="AH65" s="492"/>
      <c r="AI65" s="492"/>
      <c r="AJ65" s="492"/>
      <c r="AK65" s="492"/>
      <c r="AL65" s="492"/>
      <c r="AM65" s="492"/>
      <c r="AN65" s="492"/>
      <c r="AO65" s="492"/>
      <c r="AP65" s="492"/>
      <c r="AQ65" s="492"/>
      <c r="AR65" s="492"/>
    </row>
    <row r="66" spans="1:44" ht="12.75" customHeight="1" x14ac:dyDescent="0.25">
      <c r="A66" s="492"/>
      <c r="B66" s="492"/>
      <c r="C66" s="492"/>
      <c r="D66" s="492"/>
      <c r="E66" s="492"/>
      <c r="F66" s="492"/>
      <c r="G66" s="492"/>
      <c r="H66" s="492"/>
      <c r="I66" s="492"/>
      <c r="J66" s="492"/>
      <c r="K66" s="492"/>
      <c r="L66" s="492"/>
      <c r="M66" s="492"/>
      <c r="N66" s="492"/>
      <c r="O66" s="492"/>
      <c r="P66" s="492"/>
      <c r="AA66" s="492"/>
      <c r="AB66" s="492"/>
      <c r="AC66" s="492"/>
      <c r="AD66" s="492"/>
      <c r="AE66" s="492"/>
      <c r="AF66" s="492"/>
      <c r="AG66" s="492"/>
      <c r="AH66" s="492"/>
      <c r="AI66" s="492"/>
      <c r="AJ66" s="492"/>
      <c r="AK66" s="492"/>
      <c r="AL66" s="492"/>
      <c r="AM66" s="492"/>
      <c r="AN66" s="492"/>
      <c r="AO66" s="492"/>
      <c r="AP66" s="492"/>
      <c r="AQ66" s="492"/>
      <c r="AR66" s="492"/>
    </row>
    <row r="67" spans="1:44" ht="12.75" customHeight="1" x14ac:dyDescent="0.25">
      <c r="A67" s="492"/>
      <c r="B67" s="492"/>
      <c r="C67" s="492"/>
      <c r="D67" s="492"/>
      <c r="E67" s="492"/>
      <c r="F67" s="492"/>
      <c r="G67" s="492"/>
      <c r="H67" s="492"/>
      <c r="I67" s="492"/>
      <c r="J67" s="492"/>
      <c r="K67" s="492"/>
      <c r="L67" s="492"/>
      <c r="M67" s="492"/>
      <c r="N67" s="492"/>
      <c r="O67" s="492"/>
      <c r="P67" s="492"/>
      <c r="AA67" s="492"/>
      <c r="AB67" s="492"/>
      <c r="AC67" s="492"/>
      <c r="AD67" s="492"/>
      <c r="AE67" s="492"/>
      <c r="AF67" s="492"/>
      <c r="AG67" s="492"/>
      <c r="AH67" s="492"/>
      <c r="AI67" s="492"/>
      <c r="AJ67" s="492"/>
      <c r="AK67" s="492"/>
      <c r="AL67" s="492"/>
      <c r="AM67" s="492"/>
      <c r="AN67" s="492"/>
      <c r="AO67" s="492"/>
      <c r="AP67" s="492"/>
      <c r="AQ67" s="492"/>
      <c r="AR67" s="492"/>
    </row>
    <row r="68" spans="1:44" ht="12.75" customHeight="1" x14ac:dyDescent="0.25">
      <c r="A68" s="492"/>
      <c r="B68" s="492"/>
      <c r="C68" s="492"/>
      <c r="D68" s="492"/>
      <c r="E68" s="492"/>
      <c r="F68" s="492"/>
      <c r="G68" s="492"/>
      <c r="H68" s="492"/>
      <c r="I68" s="492"/>
      <c r="J68" s="492"/>
      <c r="K68" s="492"/>
      <c r="L68" s="492"/>
      <c r="M68" s="492"/>
      <c r="N68" s="492"/>
      <c r="O68" s="492"/>
      <c r="P68" s="492"/>
      <c r="AA68" s="492"/>
      <c r="AB68" s="492"/>
      <c r="AC68" s="492"/>
      <c r="AD68" s="492"/>
      <c r="AE68" s="492"/>
      <c r="AF68" s="492"/>
      <c r="AG68" s="492"/>
      <c r="AH68" s="492"/>
      <c r="AI68" s="492"/>
      <c r="AJ68" s="492"/>
      <c r="AK68" s="492"/>
      <c r="AL68" s="492"/>
      <c r="AM68" s="492"/>
      <c r="AN68" s="492"/>
      <c r="AO68" s="492"/>
      <c r="AP68" s="492"/>
      <c r="AQ68" s="492"/>
      <c r="AR68" s="492"/>
    </row>
    <row r="69" spans="1:44" ht="12.75" customHeight="1" x14ac:dyDescent="0.25">
      <c r="A69" s="492"/>
      <c r="B69" s="492"/>
      <c r="C69" s="492"/>
      <c r="D69" s="492"/>
      <c r="E69" s="492"/>
      <c r="F69" s="492"/>
      <c r="G69" s="492"/>
      <c r="H69" s="492"/>
      <c r="I69" s="492"/>
      <c r="J69" s="492"/>
      <c r="K69" s="492"/>
      <c r="L69" s="492"/>
      <c r="M69" s="492"/>
      <c r="N69" s="492"/>
      <c r="O69" s="492"/>
      <c r="P69" s="492"/>
      <c r="AA69" s="492"/>
      <c r="AB69" s="492"/>
      <c r="AC69" s="492"/>
      <c r="AD69" s="492"/>
      <c r="AE69" s="492"/>
      <c r="AF69" s="492"/>
      <c r="AG69" s="492"/>
      <c r="AH69" s="492"/>
      <c r="AI69" s="492"/>
      <c r="AJ69" s="492"/>
      <c r="AK69" s="492"/>
      <c r="AL69" s="492"/>
      <c r="AM69" s="492"/>
      <c r="AN69" s="492"/>
      <c r="AO69" s="492"/>
      <c r="AP69" s="492"/>
      <c r="AQ69" s="492"/>
      <c r="AR69" s="492"/>
    </row>
    <row r="70" spans="1:44" ht="12.75" customHeight="1" x14ac:dyDescent="0.25">
      <c r="A70" s="492"/>
      <c r="B70" s="492"/>
      <c r="C70" s="492"/>
      <c r="D70" s="492"/>
      <c r="E70" s="492"/>
      <c r="F70" s="492"/>
      <c r="G70" s="492"/>
      <c r="H70" s="492"/>
      <c r="I70" s="492"/>
      <c r="J70" s="492"/>
      <c r="K70" s="492"/>
      <c r="L70" s="492"/>
      <c r="M70" s="492"/>
      <c r="N70" s="492"/>
      <c r="O70" s="492"/>
      <c r="P70" s="492"/>
      <c r="AA70" s="492"/>
      <c r="AB70" s="492"/>
      <c r="AC70" s="492"/>
      <c r="AD70" s="492"/>
      <c r="AE70" s="492"/>
      <c r="AF70" s="492"/>
      <c r="AG70" s="492"/>
      <c r="AH70" s="492"/>
      <c r="AI70" s="492"/>
      <c r="AJ70" s="492"/>
      <c r="AK70" s="492"/>
      <c r="AL70" s="492"/>
      <c r="AM70" s="492"/>
      <c r="AN70" s="492"/>
      <c r="AO70" s="492"/>
      <c r="AP70" s="492"/>
      <c r="AQ70" s="492"/>
      <c r="AR70" s="492"/>
    </row>
    <row r="71" spans="1:44" ht="12.75" customHeight="1" x14ac:dyDescent="0.25">
      <c r="A71" s="492"/>
      <c r="B71" s="492"/>
      <c r="C71" s="492"/>
      <c r="D71" s="492"/>
      <c r="E71" s="492"/>
      <c r="F71" s="492"/>
      <c r="G71" s="492"/>
      <c r="H71" s="492"/>
      <c r="I71" s="492"/>
      <c r="J71" s="492"/>
      <c r="K71" s="492"/>
      <c r="L71" s="492"/>
      <c r="M71" s="492"/>
      <c r="N71" s="492"/>
      <c r="O71" s="492"/>
      <c r="P71" s="492"/>
      <c r="AA71" s="492"/>
      <c r="AB71" s="492"/>
      <c r="AC71" s="492"/>
      <c r="AD71" s="492"/>
      <c r="AE71" s="492"/>
      <c r="AF71" s="492"/>
      <c r="AG71" s="492"/>
      <c r="AH71" s="492"/>
      <c r="AI71" s="492"/>
      <c r="AJ71" s="492"/>
      <c r="AK71" s="492"/>
      <c r="AL71" s="492"/>
      <c r="AM71" s="492"/>
      <c r="AN71" s="492"/>
      <c r="AO71" s="492"/>
      <c r="AP71" s="492"/>
      <c r="AQ71" s="492"/>
      <c r="AR71" s="492"/>
    </row>
    <row r="72" spans="1:44" ht="12.75" customHeight="1" x14ac:dyDescent="0.25">
      <c r="A72" s="492"/>
      <c r="B72" s="492"/>
      <c r="C72" s="492"/>
      <c r="D72" s="492"/>
      <c r="E72" s="492"/>
      <c r="F72" s="492"/>
      <c r="G72" s="492"/>
      <c r="H72" s="492"/>
      <c r="I72" s="492"/>
      <c r="J72" s="492"/>
      <c r="K72" s="492"/>
      <c r="L72" s="492"/>
      <c r="M72" s="492"/>
      <c r="N72" s="492"/>
      <c r="O72" s="492"/>
      <c r="P72" s="492"/>
      <c r="AA72" s="492"/>
      <c r="AB72" s="492"/>
      <c r="AC72" s="492"/>
      <c r="AD72" s="492"/>
      <c r="AE72" s="492"/>
      <c r="AF72" s="492"/>
      <c r="AG72" s="492"/>
      <c r="AH72" s="492"/>
      <c r="AI72" s="492"/>
      <c r="AJ72" s="492"/>
      <c r="AK72" s="492"/>
      <c r="AL72" s="492"/>
      <c r="AM72" s="492"/>
      <c r="AN72" s="492"/>
      <c r="AO72" s="492"/>
      <c r="AP72" s="492"/>
      <c r="AQ72" s="492"/>
      <c r="AR72" s="492"/>
    </row>
    <row r="73" spans="1:44" ht="12.75" customHeight="1" x14ac:dyDescent="0.25">
      <c r="A73" s="492"/>
      <c r="B73" s="492"/>
      <c r="C73" s="492"/>
      <c r="D73" s="492"/>
      <c r="E73" s="492"/>
      <c r="F73" s="492"/>
      <c r="G73" s="492"/>
      <c r="H73" s="492"/>
      <c r="I73" s="492"/>
      <c r="J73" s="492"/>
      <c r="K73" s="492"/>
      <c r="L73" s="492"/>
      <c r="M73" s="492"/>
      <c r="N73" s="492"/>
      <c r="O73" s="492"/>
      <c r="P73" s="492"/>
      <c r="AA73" s="492"/>
      <c r="AB73" s="492"/>
      <c r="AC73" s="492"/>
      <c r="AD73" s="492"/>
      <c r="AE73" s="492"/>
      <c r="AF73" s="492"/>
      <c r="AG73" s="492"/>
      <c r="AH73" s="492"/>
      <c r="AI73" s="492"/>
      <c r="AJ73" s="492"/>
      <c r="AK73" s="492"/>
      <c r="AL73" s="492"/>
      <c r="AM73" s="492"/>
      <c r="AN73" s="492"/>
      <c r="AO73" s="492"/>
      <c r="AP73" s="492"/>
      <c r="AQ73" s="492"/>
      <c r="AR73" s="492"/>
    </row>
    <row r="74" spans="1:44" ht="12.75" customHeight="1" x14ac:dyDescent="0.25">
      <c r="A74" s="492"/>
      <c r="B74" s="492"/>
      <c r="C74" s="492"/>
      <c r="D74" s="492"/>
      <c r="E74" s="492"/>
      <c r="F74" s="492"/>
      <c r="G74" s="492"/>
      <c r="H74" s="492"/>
      <c r="I74" s="492"/>
      <c r="J74" s="492"/>
      <c r="K74" s="492"/>
      <c r="L74" s="492"/>
      <c r="M74" s="492"/>
      <c r="N74" s="492"/>
      <c r="O74" s="492"/>
      <c r="P74" s="492"/>
      <c r="AA74" s="492"/>
      <c r="AB74" s="492"/>
      <c r="AC74" s="492"/>
      <c r="AD74" s="492"/>
      <c r="AE74" s="492"/>
      <c r="AF74" s="492"/>
      <c r="AG74" s="492"/>
      <c r="AH74" s="492"/>
      <c r="AI74" s="492"/>
      <c r="AJ74" s="492"/>
      <c r="AK74" s="492"/>
      <c r="AL74" s="492"/>
      <c r="AM74" s="492"/>
      <c r="AN74" s="492"/>
      <c r="AO74" s="492"/>
      <c r="AP74" s="492"/>
      <c r="AQ74" s="492"/>
      <c r="AR74" s="492"/>
    </row>
    <row r="75" spans="1:44" ht="12.75" customHeight="1" x14ac:dyDescent="0.25">
      <c r="A75" s="492"/>
      <c r="B75" s="492"/>
      <c r="C75" s="492"/>
      <c r="D75" s="492"/>
      <c r="E75" s="492"/>
      <c r="F75" s="492"/>
      <c r="G75" s="492"/>
      <c r="H75" s="492"/>
      <c r="I75" s="492"/>
      <c r="J75" s="492"/>
      <c r="K75" s="492"/>
      <c r="L75" s="492"/>
      <c r="M75" s="492"/>
      <c r="N75" s="492"/>
      <c r="O75" s="492"/>
      <c r="P75" s="492"/>
      <c r="AA75" s="492"/>
      <c r="AB75" s="492"/>
      <c r="AC75" s="492"/>
      <c r="AD75" s="492"/>
      <c r="AE75" s="492"/>
      <c r="AF75" s="492"/>
      <c r="AG75" s="492"/>
      <c r="AH75" s="492"/>
      <c r="AI75" s="492"/>
      <c r="AJ75" s="492"/>
      <c r="AK75" s="492"/>
      <c r="AL75" s="492"/>
      <c r="AM75" s="492"/>
      <c r="AN75" s="492"/>
      <c r="AO75" s="492"/>
      <c r="AP75" s="492"/>
      <c r="AQ75" s="492"/>
      <c r="AR75" s="492"/>
    </row>
    <row r="76" spans="1:44" ht="12.75" customHeight="1" x14ac:dyDescent="0.25">
      <c r="A76" s="492"/>
      <c r="B76" s="492"/>
      <c r="C76" s="492"/>
      <c r="D76" s="492"/>
      <c r="E76" s="492"/>
      <c r="F76" s="492"/>
      <c r="G76" s="492"/>
      <c r="H76" s="492"/>
      <c r="I76" s="492"/>
      <c r="J76" s="492"/>
      <c r="K76" s="492"/>
      <c r="L76" s="492"/>
      <c r="M76" s="492"/>
      <c r="N76" s="492"/>
      <c r="O76" s="492"/>
      <c r="P76" s="492"/>
      <c r="AA76" s="492"/>
      <c r="AB76" s="492"/>
      <c r="AC76" s="492"/>
      <c r="AD76" s="492"/>
      <c r="AE76" s="492"/>
      <c r="AF76" s="492"/>
      <c r="AG76" s="492"/>
      <c r="AH76" s="492"/>
      <c r="AI76" s="492"/>
      <c r="AJ76" s="492"/>
      <c r="AK76" s="492"/>
      <c r="AL76" s="492"/>
      <c r="AM76" s="492"/>
      <c r="AN76" s="492"/>
      <c r="AO76" s="492"/>
      <c r="AP76" s="492"/>
      <c r="AQ76" s="492"/>
      <c r="AR76" s="492"/>
    </row>
    <row r="77" spans="1:44" ht="12.75" customHeight="1" x14ac:dyDescent="0.25">
      <c r="A77" s="492"/>
      <c r="B77" s="492"/>
      <c r="C77" s="492"/>
      <c r="D77" s="492"/>
      <c r="E77" s="492"/>
      <c r="F77" s="492"/>
      <c r="G77" s="492"/>
      <c r="H77" s="492"/>
      <c r="I77" s="492"/>
      <c r="J77" s="492"/>
      <c r="K77" s="492"/>
      <c r="L77" s="492"/>
      <c r="M77" s="492"/>
      <c r="N77" s="492"/>
      <c r="O77" s="492"/>
      <c r="P77" s="492"/>
      <c r="AA77" s="492"/>
      <c r="AB77" s="492"/>
      <c r="AC77" s="492"/>
      <c r="AD77" s="492"/>
      <c r="AE77" s="492"/>
      <c r="AF77" s="492"/>
      <c r="AG77" s="492"/>
      <c r="AH77" s="492"/>
      <c r="AI77" s="492"/>
      <c r="AJ77" s="492"/>
      <c r="AK77" s="492"/>
      <c r="AL77" s="492"/>
      <c r="AM77" s="492"/>
      <c r="AN77" s="492"/>
      <c r="AO77" s="492"/>
      <c r="AP77" s="492"/>
      <c r="AQ77" s="492"/>
      <c r="AR77" s="492"/>
    </row>
    <row r="78" spans="1:44" ht="12.75" customHeight="1" x14ac:dyDescent="0.25">
      <c r="A78" s="492"/>
      <c r="B78" s="492"/>
      <c r="C78" s="492"/>
      <c r="D78" s="492"/>
      <c r="E78" s="492"/>
      <c r="F78" s="492"/>
      <c r="G78" s="492"/>
      <c r="H78" s="492"/>
      <c r="I78" s="492"/>
      <c r="J78" s="492"/>
      <c r="K78" s="492"/>
      <c r="L78" s="492"/>
      <c r="M78" s="492"/>
      <c r="N78" s="492"/>
      <c r="O78" s="492"/>
      <c r="P78" s="492"/>
      <c r="AA78" s="492"/>
      <c r="AB78" s="492"/>
      <c r="AC78" s="492"/>
      <c r="AD78" s="492"/>
      <c r="AE78" s="492"/>
      <c r="AF78" s="492"/>
      <c r="AG78" s="492"/>
      <c r="AH78" s="492"/>
      <c r="AI78" s="492"/>
      <c r="AJ78" s="492"/>
      <c r="AK78" s="492"/>
      <c r="AL78" s="492"/>
      <c r="AM78" s="492"/>
      <c r="AN78" s="492"/>
      <c r="AO78" s="492"/>
      <c r="AP78" s="492"/>
      <c r="AQ78" s="492"/>
      <c r="AR78" s="492"/>
    </row>
    <row r="79" spans="1:44" ht="12.75" customHeight="1" x14ac:dyDescent="0.25">
      <c r="A79" s="492"/>
      <c r="B79" s="492"/>
      <c r="C79" s="492"/>
      <c r="D79" s="492"/>
      <c r="E79" s="492"/>
      <c r="F79" s="492"/>
      <c r="G79" s="492"/>
      <c r="H79" s="492"/>
      <c r="I79" s="492"/>
      <c r="J79" s="492"/>
      <c r="K79" s="492"/>
      <c r="L79" s="492"/>
      <c r="M79" s="492"/>
      <c r="N79" s="492"/>
      <c r="O79" s="492"/>
      <c r="P79" s="492"/>
      <c r="AA79" s="492"/>
      <c r="AB79" s="492"/>
      <c r="AC79" s="492"/>
      <c r="AD79" s="492"/>
      <c r="AE79" s="492"/>
      <c r="AF79" s="492"/>
      <c r="AG79" s="492"/>
      <c r="AH79" s="492"/>
      <c r="AI79" s="492"/>
      <c r="AJ79" s="492"/>
      <c r="AK79" s="492"/>
      <c r="AL79" s="492"/>
      <c r="AM79" s="492"/>
      <c r="AN79" s="492"/>
      <c r="AO79" s="492"/>
      <c r="AP79" s="492"/>
      <c r="AQ79" s="492"/>
      <c r="AR79" s="492"/>
    </row>
    <row r="80" spans="1:44" ht="12.75" customHeight="1" x14ac:dyDescent="0.25">
      <c r="A80" s="492"/>
      <c r="B80" s="492"/>
      <c r="C80" s="492"/>
      <c r="D80" s="492"/>
      <c r="E80" s="492"/>
      <c r="F80" s="492"/>
      <c r="G80" s="492"/>
      <c r="H80" s="492"/>
      <c r="I80" s="492"/>
      <c r="J80" s="492"/>
      <c r="K80" s="492"/>
      <c r="L80" s="492"/>
      <c r="M80" s="492"/>
      <c r="N80" s="492"/>
      <c r="O80" s="492"/>
      <c r="P80" s="492"/>
      <c r="AA80" s="492"/>
      <c r="AB80" s="492"/>
      <c r="AC80" s="492"/>
      <c r="AD80" s="492"/>
      <c r="AE80" s="492"/>
      <c r="AF80" s="492"/>
      <c r="AG80" s="492"/>
      <c r="AH80" s="492"/>
      <c r="AI80" s="492"/>
      <c r="AJ80" s="492"/>
      <c r="AK80" s="492"/>
      <c r="AL80" s="492"/>
      <c r="AM80" s="492"/>
      <c r="AN80" s="492"/>
      <c r="AO80" s="492"/>
      <c r="AP80" s="492"/>
      <c r="AQ80" s="492"/>
      <c r="AR80" s="492"/>
    </row>
    <row r="81" spans="1:44" ht="12.75" customHeight="1" x14ac:dyDescent="0.25">
      <c r="A81" s="492"/>
      <c r="B81" s="492"/>
      <c r="C81" s="492"/>
      <c r="D81" s="492"/>
      <c r="E81" s="492"/>
      <c r="F81" s="492"/>
      <c r="G81" s="492"/>
      <c r="H81" s="492"/>
      <c r="I81" s="492"/>
      <c r="J81" s="492"/>
      <c r="K81" s="492"/>
      <c r="L81" s="492"/>
      <c r="M81" s="492"/>
      <c r="N81" s="492"/>
      <c r="O81" s="492"/>
      <c r="P81" s="492"/>
      <c r="AA81" s="492"/>
      <c r="AB81" s="492"/>
      <c r="AC81" s="492"/>
      <c r="AD81" s="492"/>
      <c r="AE81" s="492"/>
      <c r="AF81" s="492"/>
      <c r="AG81" s="492"/>
      <c r="AH81" s="492"/>
      <c r="AI81" s="492"/>
      <c r="AJ81" s="492"/>
      <c r="AK81" s="492"/>
      <c r="AL81" s="492"/>
      <c r="AM81" s="492"/>
      <c r="AN81" s="492"/>
      <c r="AO81" s="492"/>
      <c r="AP81" s="492"/>
      <c r="AQ81" s="492"/>
      <c r="AR81" s="492"/>
    </row>
    <row r="82" spans="1:44" ht="12.75" customHeight="1" x14ac:dyDescent="0.25">
      <c r="A82" s="492"/>
      <c r="B82" s="492"/>
      <c r="C82" s="492"/>
      <c r="D82" s="492"/>
      <c r="E82" s="492"/>
      <c r="F82" s="492"/>
      <c r="G82" s="492"/>
      <c r="H82" s="492"/>
      <c r="I82" s="492"/>
      <c r="J82" s="492"/>
      <c r="K82" s="492"/>
      <c r="L82" s="492"/>
      <c r="M82" s="492"/>
      <c r="N82" s="492"/>
      <c r="O82" s="492"/>
      <c r="P82" s="492"/>
      <c r="AA82" s="492"/>
      <c r="AB82" s="492"/>
      <c r="AC82" s="492"/>
      <c r="AD82" s="492"/>
      <c r="AE82" s="492"/>
      <c r="AF82" s="492"/>
      <c r="AG82" s="492"/>
      <c r="AH82" s="492"/>
      <c r="AI82" s="492"/>
      <c r="AJ82" s="492"/>
      <c r="AK82" s="492"/>
      <c r="AL82" s="492"/>
      <c r="AM82" s="492"/>
      <c r="AN82" s="492"/>
      <c r="AO82" s="492"/>
      <c r="AP82" s="492"/>
      <c r="AQ82" s="492"/>
      <c r="AR82" s="492"/>
    </row>
    <row r="83" spans="1:44" ht="12.75" customHeight="1" x14ac:dyDescent="0.25">
      <c r="A83" s="492"/>
      <c r="B83" s="492"/>
      <c r="C83" s="492"/>
      <c r="D83" s="492"/>
      <c r="E83" s="492"/>
      <c r="F83" s="492"/>
      <c r="G83" s="492"/>
      <c r="H83" s="492"/>
      <c r="I83" s="492"/>
      <c r="J83" s="492"/>
      <c r="K83" s="492"/>
      <c r="L83" s="492"/>
      <c r="M83" s="492"/>
      <c r="N83" s="492"/>
      <c r="O83" s="492"/>
      <c r="P83" s="492"/>
      <c r="AA83" s="492"/>
      <c r="AB83" s="492"/>
      <c r="AC83" s="492"/>
      <c r="AD83" s="492"/>
      <c r="AE83" s="492"/>
      <c r="AF83" s="492"/>
      <c r="AG83" s="492"/>
      <c r="AH83" s="492"/>
      <c r="AI83" s="492"/>
      <c r="AJ83" s="492"/>
      <c r="AK83" s="492"/>
      <c r="AL83" s="492"/>
      <c r="AM83" s="492"/>
      <c r="AN83" s="492"/>
      <c r="AO83" s="492"/>
      <c r="AP83" s="492"/>
      <c r="AQ83" s="492"/>
      <c r="AR83" s="492"/>
    </row>
    <row r="84" spans="1:44" ht="12.75" customHeight="1" x14ac:dyDescent="0.25">
      <c r="A84" s="492"/>
      <c r="B84" s="492"/>
      <c r="C84" s="492"/>
      <c r="D84" s="492"/>
      <c r="E84" s="492"/>
      <c r="F84" s="492"/>
      <c r="G84" s="492"/>
      <c r="H84" s="492"/>
      <c r="I84" s="492"/>
      <c r="J84" s="492"/>
      <c r="K84" s="492"/>
      <c r="L84" s="492"/>
      <c r="M84" s="492"/>
      <c r="N84" s="492"/>
      <c r="O84" s="492"/>
      <c r="P84" s="492"/>
      <c r="AA84" s="492"/>
      <c r="AB84" s="492"/>
      <c r="AC84" s="492"/>
      <c r="AD84" s="492"/>
      <c r="AE84" s="492"/>
      <c r="AF84" s="492"/>
      <c r="AG84" s="492"/>
      <c r="AH84" s="492"/>
      <c r="AI84" s="492"/>
      <c r="AJ84" s="492"/>
      <c r="AK84" s="492"/>
      <c r="AL84" s="492"/>
      <c r="AM84" s="492"/>
      <c r="AN84" s="492"/>
      <c r="AO84" s="492"/>
      <c r="AP84" s="492"/>
      <c r="AQ84" s="492"/>
      <c r="AR84" s="492"/>
    </row>
    <row r="85" spans="1:44" ht="12.75" customHeight="1" x14ac:dyDescent="0.25">
      <c r="A85" s="492"/>
      <c r="B85" s="492"/>
      <c r="C85" s="492"/>
      <c r="D85" s="492"/>
      <c r="E85" s="492"/>
      <c r="F85" s="492"/>
      <c r="G85" s="492"/>
      <c r="H85" s="492"/>
      <c r="I85" s="492"/>
      <c r="J85" s="492"/>
      <c r="K85" s="492"/>
      <c r="L85" s="492"/>
      <c r="M85" s="492"/>
      <c r="N85" s="492"/>
      <c r="O85" s="492"/>
      <c r="P85" s="492"/>
      <c r="AA85" s="492"/>
      <c r="AB85" s="492"/>
      <c r="AC85" s="492"/>
      <c r="AD85" s="492"/>
      <c r="AE85" s="492"/>
      <c r="AF85" s="492"/>
      <c r="AG85" s="492"/>
      <c r="AH85" s="492"/>
      <c r="AI85" s="492"/>
      <c r="AJ85" s="492"/>
      <c r="AK85" s="492"/>
      <c r="AL85" s="492"/>
      <c r="AM85" s="492"/>
      <c r="AN85" s="492"/>
      <c r="AO85" s="492"/>
      <c r="AP85" s="492"/>
      <c r="AQ85" s="492"/>
      <c r="AR85" s="492"/>
    </row>
    <row r="86" spans="1:44" ht="12.75" customHeight="1" x14ac:dyDescent="0.25">
      <c r="A86" s="492"/>
      <c r="B86" s="492"/>
      <c r="C86" s="492"/>
      <c r="D86" s="492"/>
      <c r="E86" s="492"/>
      <c r="F86" s="492"/>
      <c r="G86" s="492"/>
      <c r="H86" s="492"/>
      <c r="I86" s="492"/>
      <c r="J86" s="492"/>
      <c r="K86" s="492"/>
      <c r="L86" s="492"/>
      <c r="M86" s="492"/>
      <c r="N86" s="492"/>
      <c r="O86" s="492"/>
      <c r="P86" s="492"/>
      <c r="AA86" s="492"/>
      <c r="AB86" s="492"/>
      <c r="AC86" s="492"/>
      <c r="AD86" s="492"/>
      <c r="AE86" s="492"/>
      <c r="AF86" s="492"/>
      <c r="AG86" s="492"/>
      <c r="AH86" s="492"/>
      <c r="AI86" s="492"/>
      <c r="AJ86" s="492"/>
      <c r="AK86" s="492"/>
      <c r="AL86" s="492"/>
      <c r="AM86" s="492"/>
      <c r="AN86" s="492"/>
      <c r="AO86" s="492"/>
      <c r="AP86" s="492"/>
      <c r="AQ86" s="492"/>
      <c r="AR86" s="492"/>
    </row>
    <row r="87" spans="1:44" ht="12.75" customHeight="1" x14ac:dyDescent="0.25">
      <c r="A87" s="492"/>
      <c r="B87" s="492"/>
      <c r="C87" s="492"/>
      <c r="D87" s="492"/>
      <c r="E87" s="492"/>
      <c r="F87" s="492"/>
      <c r="G87" s="492"/>
      <c r="H87" s="492"/>
      <c r="I87" s="492"/>
      <c r="J87" s="492"/>
      <c r="K87" s="492"/>
      <c r="L87" s="492"/>
      <c r="M87" s="492"/>
      <c r="N87" s="492"/>
      <c r="O87" s="492"/>
      <c r="P87" s="492"/>
      <c r="AA87" s="492"/>
      <c r="AB87" s="492"/>
      <c r="AC87" s="492"/>
      <c r="AD87" s="492"/>
      <c r="AE87" s="492"/>
      <c r="AF87" s="492"/>
      <c r="AG87" s="492"/>
      <c r="AH87" s="492"/>
      <c r="AI87" s="492"/>
      <c r="AJ87" s="492"/>
      <c r="AK87" s="492"/>
      <c r="AL87" s="492"/>
      <c r="AM87" s="492"/>
      <c r="AN87" s="492"/>
      <c r="AO87" s="492"/>
      <c r="AP87" s="492"/>
      <c r="AQ87" s="492"/>
      <c r="AR87" s="492"/>
    </row>
    <row r="88" spans="1:44" ht="12.75" customHeight="1" x14ac:dyDescent="0.25">
      <c r="A88" s="492"/>
      <c r="B88" s="492"/>
      <c r="C88" s="492"/>
      <c r="D88" s="492"/>
      <c r="E88" s="492"/>
      <c r="F88" s="492"/>
      <c r="G88" s="492"/>
      <c r="H88" s="492"/>
      <c r="I88" s="492"/>
      <c r="J88" s="492"/>
      <c r="K88" s="492"/>
      <c r="L88" s="492"/>
      <c r="M88" s="492"/>
      <c r="N88" s="492"/>
      <c r="O88" s="492"/>
      <c r="P88" s="492"/>
      <c r="AA88" s="492"/>
      <c r="AB88" s="492"/>
      <c r="AC88" s="492"/>
      <c r="AD88" s="492"/>
      <c r="AE88" s="492"/>
      <c r="AF88" s="492"/>
      <c r="AG88" s="492"/>
      <c r="AH88" s="492"/>
      <c r="AI88" s="492"/>
      <c r="AJ88" s="492"/>
      <c r="AK88" s="492"/>
      <c r="AL88" s="492"/>
      <c r="AM88" s="492"/>
      <c r="AN88" s="492"/>
      <c r="AO88" s="492"/>
      <c r="AP88" s="492"/>
      <c r="AQ88" s="492"/>
      <c r="AR88" s="492"/>
    </row>
    <row r="89" spans="1:44" ht="12.75" customHeight="1" x14ac:dyDescent="0.25">
      <c r="A89" s="492"/>
      <c r="B89" s="492"/>
      <c r="C89" s="492"/>
      <c r="D89" s="492"/>
      <c r="E89" s="492"/>
      <c r="F89" s="492"/>
      <c r="G89" s="492"/>
      <c r="H89" s="492"/>
      <c r="I89" s="492"/>
      <c r="J89" s="492"/>
      <c r="K89" s="492"/>
      <c r="L89" s="492"/>
      <c r="M89" s="492"/>
      <c r="N89" s="492"/>
      <c r="O89" s="492"/>
      <c r="P89" s="492"/>
      <c r="AA89" s="492"/>
      <c r="AB89" s="492"/>
      <c r="AC89" s="492"/>
      <c r="AD89" s="492"/>
      <c r="AE89" s="492"/>
      <c r="AF89" s="492"/>
      <c r="AG89" s="492"/>
      <c r="AH89" s="492"/>
      <c r="AI89" s="492"/>
      <c r="AJ89" s="492"/>
      <c r="AK89" s="492"/>
      <c r="AL89" s="492"/>
      <c r="AM89" s="492"/>
      <c r="AN89" s="492"/>
      <c r="AO89" s="492"/>
      <c r="AP89" s="492"/>
      <c r="AQ89" s="492"/>
      <c r="AR89" s="492"/>
    </row>
    <row r="90" spans="1:44" ht="12.75" customHeight="1" x14ac:dyDescent="0.25">
      <c r="A90" s="492"/>
      <c r="B90" s="492"/>
      <c r="C90" s="492"/>
      <c r="D90" s="492"/>
      <c r="E90" s="492"/>
      <c r="F90" s="492"/>
      <c r="G90" s="492"/>
      <c r="H90" s="492"/>
      <c r="I90" s="492"/>
      <c r="J90" s="492"/>
      <c r="K90" s="492"/>
      <c r="L90" s="492"/>
      <c r="M90" s="492"/>
      <c r="N90" s="492"/>
      <c r="O90" s="492"/>
      <c r="P90" s="492"/>
      <c r="AA90" s="492"/>
      <c r="AB90" s="492"/>
      <c r="AC90" s="492"/>
      <c r="AD90" s="492"/>
      <c r="AE90" s="492"/>
      <c r="AF90" s="492"/>
      <c r="AG90" s="492"/>
      <c r="AH90" s="492"/>
      <c r="AI90" s="492"/>
      <c r="AJ90" s="492"/>
      <c r="AK90" s="492"/>
      <c r="AL90" s="492"/>
      <c r="AM90" s="492"/>
      <c r="AN90" s="492"/>
      <c r="AO90" s="492"/>
      <c r="AP90" s="492"/>
      <c r="AQ90" s="492"/>
      <c r="AR90" s="492"/>
    </row>
    <row r="91" spans="1:44" ht="12.75" customHeight="1" x14ac:dyDescent="0.25">
      <c r="A91" s="492"/>
      <c r="B91" s="492"/>
      <c r="C91" s="492"/>
      <c r="D91" s="492"/>
      <c r="E91" s="492"/>
      <c r="F91" s="492"/>
      <c r="G91" s="492"/>
      <c r="H91" s="492"/>
      <c r="I91" s="492"/>
      <c r="J91" s="492"/>
      <c r="K91" s="492"/>
      <c r="L91" s="492"/>
      <c r="M91" s="492"/>
      <c r="N91" s="492"/>
      <c r="O91" s="492"/>
      <c r="P91" s="492"/>
      <c r="AA91" s="492"/>
      <c r="AB91" s="492"/>
      <c r="AC91" s="492"/>
      <c r="AD91" s="492"/>
      <c r="AE91" s="492"/>
      <c r="AF91" s="492"/>
      <c r="AG91" s="492"/>
      <c r="AH91" s="492"/>
      <c r="AI91" s="492"/>
      <c r="AJ91" s="492"/>
      <c r="AK91" s="492"/>
      <c r="AL91" s="492"/>
      <c r="AM91" s="492"/>
      <c r="AN91" s="492"/>
      <c r="AO91" s="492"/>
      <c r="AP91" s="492"/>
      <c r="AQ91" s="492"/>
      <c r="AR91" s="492"/>
    </row>
    <row r="92" spans="1:44" ht="12.75" customHeight="1" x14ac:dyDescent="0.25">
      <c r="A92" s="492"/>
      <c r="B92" s="492"/>
      <c r="C92" s="492"/>
      <c r="D92" s="492"/>
      <c r="E92" s="492"/>
      <c r="F92" s="492"/>
      <c r="G92" s="492"/>
      <c r="H92" s="492"/>
      <c r="I92" s="492"/>
      <c r="J92" s="492"/>
      <c r="K92" s="492"/>
      <c r="L92" s="492"/>
      <c r="M92" s="492"/>
      <c r="N92" s="492"/>
      <c r="O92" s="492"/>
      <c r="P92" s="492"/>
      <c r="AA92" s="492"/>
      <c r="AB92" s="492"/>
      <c r="AC92" s="492"/>
      <c r="AD92" s="492"/>
      <c r="AE92" s="492"/>
      <c r="AF92" s="492"/>
      <c r="AG92" s="492"/>
      <c r="AH92" s="492"/>
      <c r="AI92" s="492"/>
      <c r="AJ92" s="492"/>
      <c r="AK92" s="492"/>
      <c r="AL92" s="492"/>
      <c r="AM92" s="492"/>
      <c r="AN92" s="492"/>
      <c r="AO92" s="492"/>
      <c r="AP92" s="492"/>
      <c r="AQ92" s="492"/>
      <c r="AR92" s="492"/>
    </row>
    <row r="93" spans="1:44" ht="12.75" customHeight="1" x14ac:dyDescent="0.25">
      <c r="A93" s="492"/>
      <c r="B93" s="492"/>
      <c r="C93" s="492"/>
      <c r="D93" s="492"/>
      <c r="E93" s="492"/>
      <c r="F93" s="492"/>
      <c r="G93" s="492"/>
      <c r="H93" s="492"/>
      <c r="I93" s="492"/>
      <c r="J93" s="492"/>
      <c r="K93" s="492"/>
      <c r="L93" s="492"/>
      <c r="M93" s="492"/>
      <c r="N93" s="492"/>
      <c r="O93" s="492"/>
      <c r="P93" s="492"/>
      <c r="AA93" s="492"/>
      <c r="AB93" s="492"/>
      <c r="AC93" s="492"/>
      <c r="AD93" s="492"/>
      <c r="AE93" s="492"/>
      <c r="AF93" s="492"/>
      <c r="AG93" s="492"/>
      <c r="AH93" s="492"/>
      <c r="AI93" s="492"/>
      <c r="AJ93" s="492"/>
      <c r="AK93" s="492"/>
      <c r="AL93" s="492"/>
      <c r="AM93" s="492"/>
      <c r="AN93" s="492"/>
      <c r="AO93" s="492"/>
      <c r="AP93" s="492"/>
      <c r="AQ93" s="492"/>
      <c r="AR93" s="492"/>
    </row>
    <row r="94" spans="1:44" ht="12.75" customHeight="1" x14ac:dyDescent="0.25">
      <c r="A94" s="492"/>
      <c r="B94" s="492"/>
      <c r="C94" s="492"/>
      <c r="D94" s="492"/>
      <c r="E94" s="492"/>
      <c r="F94" s="492"/>
      <c r="G94" s="492"/>
      <c r="H94" s="492"/>
      <c r="I94" s="492"/>
      <c r="J94" s="492"/>
      <c r="K94" s="492"/>
      <c r="L94" s="492"/>
      <c r="M94" s="492"/>
      <c r="N94" s="492"/>
      <c r="O94" s="492"/>
      <c r="P94" s="492"/>
      <c r="AA94" s="492"/>
      <c r="AB94" s="492"/>
      <c r="AC94" s="492"/>
      <c r="AD94" s="492"/>
      <c r="AE94" s="492"/>
      <c r="AF94" s="492"/>
      <c r="AG94" s="492"/>
      <c r="AH94" s="492"/>
      <c r="AI94" s="492"/>
      <c r="AJ94" s="492"/>
      <c r="AK94" s="492"/>
      <c r="AL94" s="492"/>
      <c r="AM94" s="492"/>
      <c r="AN94" s="492"/>
      <c r="AO94" s="492"/>
      <c r="AP94" s="492"/>
      <c r="AQ94" s="492"/>
      <c r="AR94" s="492"/>
    </row>
    <row r="95" spans="1:44" ht="12.75" customHeight="1" x14ac:dyDescent="0.25">
      <c r="A95" s="492"/>
      <c r="B95" s="492"/>
      <c r="C95" s="492"/>
      <c r="D95" s="492"/>
      <c r="E95" s="492"/>
      <c r="F95" s="492"/>
      <c r="G95" s="492"/>
      <c r="H95" s="492"/>
      <c r="I95" s="492"/>
      <c r="J95" s="492"/>
      <c r="K95" s="492"/>
      <c r="L95" s="492"/>
      <c r="M95" s="492"/>
      <c r="N95" s="492"/>
      <c r="O95" s="492"/>
      <c r="P95" s="492"/>
      <c r="AA95" s="492"/>
      <c r="AB95" s="492"/>
      <c r="AC95" s="492"/>
      <c r="AD95" s="492"/>
      <c r="AE95" s="492"/>
      <c r="AF95" s="492"/>
      <c r="AG95" s="492"/>
      <c r="AH95" s="492"/>
      <c r="AI95" s="492"/>
      <c r="AJ95" s="492"/>
      <c r="AK95" s="492"/>
      <c r="AL95" s="492"/>
      <c r="AM95" s="492"/>
      <c r="AN95" s="492"/>
      <c r="AO95" s="492"/>
      <c r="AP95" s="492"/>
      <c r="AQ95" s="492"/>
      <c r="AR95" s="492"/>
    </row>
    <row r="96" spans="1:44" ht="12.75" customHeight="1" x14ac:dyDescent="0.25">
      <c r="A96" s="492"/>
      <c r="B96" s="492"/>
      <c r="C96" s="492"/>
      <c r="D96" s="492"/>
      <c r="E96" s="492"/>
      <c r="F96" s="492"/>
      <c r="G96" s="492"/>
      <c r="H96" s="492"/>
      <c r="I96" s="492"/>
      <c r="J96" s="492"/>
      <c r="K96" s="492"/>
      <c r="L96" s="492"/>
      <c r="M96" s="492"/>
      <c r="N96" s="492"/>
      <c r="O96" s="492"/>
      <c r="P96" s="492"/>
      <c r="AA96" s="492"/>
      <c r="AB96" s="492"/>
      <c r="AC96" s="492"/>
      <c r="AD96" s="492"/>
      <c r="AE96" s="492"/>
      <c r="AF96" s="492"/>
      <c r="AG96" s="492"/>
      <c r="AH96" s="492"/>
      <c r="AI96" s="492"/>
      <c r="AJ96" s="492"/>
      <c r="AK96" s="492"/>
      <c r="AL96" s="492"/>
      <c r="AM96" s="492"/>
      <c r="AN96" s="492"/>
      <c r="AO96" s="492"/>
      <c r="AP96" s="492"/>
      <c r="AQ96" s="492"/>
      <c r="AR96" s="492"/>
    </row>
    <row r="97" spans="1:44" ht="12.75" customHeight="1" x14ac:dyDescent="0.25">
      <c r="A97" s="492"/>
      <c r="B97" s="492"/>
      <c r="C97" s="492"/>
      <c r="D97" s="492"/>
      <c r="E97" s="492"/>
      <c r="F97" s="492"/>
      <c r="G97" s="492"/>
      <c r="H97" s="492"/>
      <c r="I97" s="492"/>
      <c r="J97" s="492"/>
      <c r="K97" s="492"/>
      <c r="L97" s="492"/>
      <c r="M97" s="492"/>
      <c r="N97" s="492"/>
      <c r="O97" s="492"/>
      <c r="P97" s="492"/>
      <c r="AA97" s="492"/>
      <c r="AB97" s="492"/>
      <c r="AC97" s="492"/>
      <c r="AD97" s="492"/>
      <c r="AE97" s="492"/>
      <c r="AF97" s="492"/>
      <c r="AG97" s="492"/>
      <c r="AH97" s="492"/>
      <c r="AI97" s="492"/>
      <c r="AJ97" s="492"/>
      <c r="AK97" s="492"/>
      <c r="AL97" s="492"/>
      <c r="AM97" s="492"/>
      <c r="AN97" s="492"/>
      <c r="AO97" s="492"/>
      <c r="AP97" s="492"/>
      <c r="AQ97" s="492"/>
      <c r="AR97" s="492"/>
    </row>
    <row r="98" spans="1:44" ht="12.75" customHeight="1" x14ac:dyDescent="0.25">
      <c r="A98" s="492"/>
      <c r="B98" s="492"/>
      <c r="C98" s="492"/>
      <c r="D98" s="492"/>
      <c r="E98" s="492"/>
      <c r="F98" s="492"/>
      <c r="G98" s="492"/>
      <c r="H98" s="492"/>
      <c r="I98" s="492"/>
      <c r="J98" s="492"/>
      <c r="K98" s="492"/>
      <c r="L98" s="492"/>
      <c r="M98" s="492"/>
      <c r="N98" s="492"/>
      <c r="O98" s="492"/>
      <c r="P98" s="492"/>
      <c r="AA98" s="492"/>
      <c r="AB98" s="492"/>
      <c r="AC98" s="492"/>
      <c r="AD98" s="492"/>
      <c r="AE98" s="492"/>
      <c r="AF98" s="492"/>
      <c r="AG98" s="492"/>
      <c r="AH98" s="492"/>
      <c r="AI98" s="492"/>
      <c r="AJ98" s="492"/>
      <c r="AK98" s="492"/>
      <c r="AL98" s="492"/>
      <c r="AM98" s="492"/>
      <c r="AN98" s="492"/>
      <c r="AO98" s="492"/>
      <c r="AP98" s="492"/>
      <c r="AQ98" s="492"/>
      <c r="AR98" s="492"/>
    </row>
    <row r="99" spans="1:44" ht="12.75" customHeight="1" x14ac:dyDescent="0.25">
      <c r="A99" s="492"/>
      <c r="B99" s="492"/>
      <c r="C99" s="492"/>
      <c r="D99" s="492"/>
      <c r="E99" s="492"/>
      <c r="F99" s="492"/>
      <c r="G99" s="492"/>
      <c r="H99" s="492"/>
      <c r="I99" s="492"/>
      <c r="J99" s="492"/>
      <c r="K99" s="492"/>
      <c r="L99" s="492"/>
      <c r="M99" s="492"/>
      <c r="N99" s="492"/>
      <c r="O99" s="492"/>
      <c r="P99" s="492"/>
      <c r="AA99" s="492"/>
      <c r="AB99" s="492"/>
      <c r="AC99" s="492"/>
      <c r="AD99" s="492"/>
      <c r="AE99" s="492"/>
      <c r="AF99" s="492"/>
      <c r="AG99" s="492"/>
      <c r="AH99" s="492"/>
      <c r="AI99" s="492"/>
      <c r="AJ99" s="492"/>
      <c r="AK99" s="492"/>
      <c r="AL99" s="492"/>
      <c r="AM99" s="492"/>
      <c r="AN99" s="492"/>
      <c r="AO99" s="492"/>
      <c r="AP99" s="492"/>
      <c r="AQ99" s="492"/>
      <c r="AR99" s="492"/>
    </row>
    <row r="100" spans="1:44" ht="12.75" customHeight="1" x14ac:dyDescent="0.25">
      <c r="A100" s="492"/>
      <c r="B100" s="492"/>
      <c r="C100" s="492"/>
      <c r="D100" s="492"/>
      <c r="E100" s="492"/>
      <c r="F100" s="492"/>
      <c r="G100" s="492"/>
      <c r="H100" s="492"/>
      <c r="I100" s="492"/>
      <c r="J100" s="492"/>
      <c r="K100" s="492"/>
      <c r="L100" s="492"/>
      <c r="M100" s="492"/>
      <c r="N100" s="492"/>
      <c r="O100" s="492"/>
      <c r="P100" s="492"/>
      <c r="AA100" s="492"/>
      <c r="AB100" s="492"/>
      <c r="AC100" s="492"/>
      <c r="AD100" s="492"/>
      <c r="AE100" s="492"/>
      <c r="AF100" s="492"/>
      <c r="AG100" s="492"/>
      <c r="AH100" s="492"/>
      <c r="AI100" s="492"/>
      <c r="AJ100" s="492"/>
      <c r="AK100" s="492"/>
      <c r="AL100" s="492"/>
      <c r="AM100" s="492"/>
      <c r="AN100" s="492"/>
      <c r="AO100" s="492"/>
      <c r="AP100" s="492"/>
      <c r="AQ100" s="492"/>
      <c r="AR100" s="492"/>
    </row>
    <row r="101" spans="1:44" ht="12.75" customHeight="1" x14ac:dyDescent="0.25">
      <c r="A101" s="492"/>
      <c r="B101" s="492"/>
      <c r="C101" s="492"/>
      <c r="D101" s="492"/>
      <c r="E101" s="492"/>
      <c r="F101" s="492"/>
      <c r="G101" s="492"/>
      <c r="H101" s="492"/>
      <c r="I101" s="492"/>
      <c r="J101" s="492"/>
      <c r="K101" s="492"/>
      <c r="L101" s="492"/>
      <c r="M101" s="492"/>
      <c r="N101" s="492"/>
      <c r="O101" s="492"/>
      <c r="P101" s="492"/>
      <c r="AA101" s="492"/>
      <c r="AB101" s="492"/>
      <c r="AC101" s="492"/>
      <c r="AD101" s="492"/>
      <c r="AE101" s="492"/>
      <c r="AF101" s="492"/>
      <c r="AG101" s="492"/>
      <c r="AH101" s="492"/>
      <c r="AI101" s="492"/>
      <c r="AJ101" s="492"/>
      <c r="AK101" s="492"/>
      <c r="AL101" s="492"/>
      <c r="AM101" s="492"/>
      <c r="AN101" s="492"/>
      <c r="AO101" s="492"/>
      <c r="AP101" s="492"/>
      <c r="AQ101" s="492"/>
      <c r="AR101" s="492"/>
    </row>
    <row r="102" spans="1:44" ht="12.75" customHeight="1" x14ac:dyDescent="0.25">
      <c r="A102" s="492"/>
      <c r="B102" s="492"/>
      <c r="C102" s="492"/>
      <c r="D102" s="492"/>
      <c r="E102" s="492"/>
      <c r="F102" s="492"/>
      <c r="G102" s="492"/>
      <c r="H102" s="492"/>
      <c r="I102" s="492"/>
      <c r="J102" s="492"/>
      <c r="K102" s="492"/>
      <c r="L102" s="492"/>
      <c r="M102" s="492"/>
      <c r="N102" s="492"/>
      <c r="O102" s="492"/>
      <c r="P102" s="492"/>
      <c r="AA102" s="492"/>
      <c r="AB102" s="492"/>
      <c r="AC102" s="492"/>
      <c r="AD102" s="492"/>
      <c r="AE102" s="492"/>
      <c r="AF102" s="492"/>
      <c r="AG102" s="492"/>
      <c r="AH102" s="492"/>
      <c r="AI102" s="492"/>
      <c r="AJ102" s="492"/>
      <c r="AK102" s="492"/>
      <c r="AL102" s="492"/>
      <c r="AM102" s="492"/>
      <c r="AN102" s="492"/>
      <c r="AO102" s="492"/>
      <c r="AP102" s="492"/>
      <c r="AQ102" s="492"/>
      <c r="AR102" s="492"/>
    </row>
    <row r="103" spans="1:44" ht="12.75" customHeight="1" x14ac:dyDescent="0.25">
      <c r="A103" s="492"/>
      <c r="B103" s="492"/>
      <c r="C103" s="492"/>
      <c r="D103" s="492"/>
      <c r="E103" s="492"/>
      <c r="F103" s="492"/>
      <c r="G103" s="492"/>
      <c r="H103" s="492"/>
      <c r="I103" s="492"/>
      <c r="J103" s="492"/>
      <c r="K103" s="492"/>
      <c r="L103" s="492"/>
      <c r="M103" s="492"/>
      <c r="N103" s="492"/>
      <c r="O103" s="492"/>
      <c r="P103" s="492"/>
      <c r="AA103" s="492"/>
      <c r="AB103" s="492"/>
      <c r="AC103" s="492"/>
      <c r="AD103" s="492"/>
      <c r="AE103" s="492"/>
      <c r="AF103" s="492"/>
      <c r="AG103" s="492"/>
      <c r="AH103" s="492"/>
      <c r="AI103" s="492"/>
      <c r="AJ103" s="492"/>
      <c r="AK103" s="492"/>
      <c r="AL103" s="492"/>
      <c r="AM103" s="492"/>
      <c r="AN103" s="492"/>
      <c r="AO103" s="492"/>
      <c r="AP103" s="492"/>
      <c r="AQ103" s="492"/>
      <c r="AR103" s="492"/>
    </row>
    <row r="104" spans="1:44" ht="12.75" customHeight="1" x14ac:dyDescent="0.25">
      <c r="A104" s="492"/>
      <c r="B104" s="492"/>
      <c r="C104" s="492"/>
      <c r="D104" s="492"/>
      <c r="E104" s="492"/>
      <c r="F104" s="492"/>
      <c r="G104" s="492"/>
      <c r="H104" s="492"/>
      <c r="I104" s="492"/>
      <c r="J104" s="492"/>
      <c r="K104" s="492"/>
      <c r="L104" s="492"/>
      <c r="M104" s="492"/>
      <c r="N104" s="492"/>
      <c r="O104" s="492"/>
      <c r="P104" s="492"/>
      <c r="AA104" s="492"/>
      <c r="AB104" s="492"/>
      <c r="AC104" s="492"/>
      <c r="AD104" s="492"/>
      <c r="AE104" s="492"/>
      <c r="AF104" s="492"/>
      <c r="AG104" s="492"/>
      <c r="AH104" s="492"/>
      <c r="AI104" s="492"/>
      <c r="AJ104" s="492"/>
      <c r="AK104" s="492"/>
      <c r="AL104" s="492"/>
      <c r="AM104" s="492"/>
      <c r="AN104" s="492"/>
      <c r="AO104" s="492"/>
      <c r="AP104" s="492"/>
      <c r="AQ104" s="492"/>
      <c r="AR104" s="492"/>
    </row>
    <row r="105" spans="1:44" ht="12.75" customHeight="1" x14ac:dyDescent="0.25">
      <c r="A105" s="492"/>
      <c r="B105" s="492"/>
      <c r="C105" s="492"/>
      <c r="D105" s="492"/>
      <c r="E105" s="492"/>
      <c r="F105" s="492"/>
      <c r="G105" s="492"/>
      <c r="H105" s="492"/>
      <c r="I105" s="492"/>
      <c r="J105" s="492"/>
      <c r="K105" s="492"/>
      <c r="L105" s="492"/>
      <c r="M105" s="492"/>
      <c r="N105" s="492"/>
      <c r="O105" s="492"/>
      <c r="P105" s="492"/>
      <c r="AA105" s="492"/>
      <c r="AB105" s="492"/>
      <c r="AC105" s="492"/>
      <c r="AD105" s="492"/>
      <c r="AE105" s="492"/>
      <c r="AF105" s="492"/>
      <c r="AG105" s="492"/>
      <c r="AH105" s="492"/>
      <c r="AI105" s="492"/>
      <c r="AJ105" s="492"/>
      <c r="AK105" s="492"/>
      <c r="AL105" s="492"/>
      <c r="AM105" s="492"/>
      <c r="AN105" s="492"/>
      <c r="AO105" s="492"/>
      <c r="AP105" s="492"/>
      <c r="AQ105" s="492"/>
      <c r="AR105" s="492"/>
    </row>
    <row r="106" spans="1:44" ht="12.75" customHeight="1" x14ac:dyDescent="0.25">
      <c r="A106" s="492"/>
      <c r="B106" s="492"/>
      <c r="C106" s="492"/>
      <c r="D106" s="492"/>
      <c r="E106" s="492"/>
      <c r="F106" s="492"/>
      <c r="G106" s="492"/>
      <c r="H106" s="492"/>
      <c r="I106" s="492"/>
      <c r="J106" s="492"/>
      <c r="K106" s="492"/>
      <c r="L106" s="492"/>
      <c r="M106" s="492"/>
      <c r="N106" s="492"/>
      <c r="O106" s="492"/>
      <c r="P106" s="492"/>
      <c r="AA106" s="492"/>
      <c r="AB106" s="492"/>
      <c r="AC106" s="492"/>
      <c r="AD106" s="492"/>
      <c r="AE106" s="492"/>
      <c r="AF106" s="492"/>
      <c r="AG106" s="492"/>
      <c r="AH106" s="492"/>
      <c r="AI106" s="492"/>
      <c r="AJ106" s="492"/>
      <c r="AK106" s="492"/>
      <c r="AL106" s="492"/>
      <c r="AM106" s="492"/>
      <c r="AN106" s="492"/>
      <c r="AO106" s="492"/>
      <c r="AP106" s="492"/>
      <c r="AQ106" s="492"/>
      <c r="AR106" s="492"/>
    </row>
    <row r="107" spans="1:44" ht="12.75" customHeight="1" x14ac:dyDescent="0.25">
      <c r="A107" s="492"/>
      <c r="B107" s="492"/>
      <c r="C107" s="492"/>
      <c r="D107" s="492"/>
      <c r="E107" s="492"/>
      <c r="F107" s="492"/>
      <c r="G107" s="492"/>
      <c r="H107" s="492"/>
      <c r="I107" s="492"/>
      <c r="J107" s="492"/>
      <c r="K107" s="492"/>
      <c r="L107" s="492"/>
      <c r="M107" s="492"/>
      <c r="N107" s="492"/>
      <c r="O107" s="492"/>
      <c r="P107" s="492"/>
      <c r="AA107" s="492"/>
      <c r="AB107" s="492"/>
      <c r="AC107" s="492"/>
      <c r="AD107" s="492"/>
      <c r="AE107" s="492"/>
      <c r="AF107" s="492"/>
      <c r="AG107" s="492"/>
      <c r="AH107" s="492"/>
      <c r="AI107" s="492"/>
      <c r="AJ107" s="492"/>
      <c r="AK107" s="492"/>
      <c r="AL107" s="492"/>
      <c r="AM107" s="492"/>
      <c r="AN107" s="492"/>
      <c r="AO107" s="492"/>
      <c r="AP107" s="492"/>
      <c r="AQ107" s="492"/>
      <c r="AR107" s="492"/>
    </row>
    <row r="108" spans="1:44" ht="12.75" customHeight="1" x14ac:dyDescent="0.25">
      <c r="A108" s="492"/>
      <c r="B108" s="492"/>
      <c r="C108" s="492"/>
      <c r="D108" s="492"/>
      <c r="E108" s="492"/>
      <c r="F108" s="492"/>
      <c r="G108" s="492"/>
      <c r="H108" s="492"/>
      <c r="I108" s="492"/>
      <c r="J108" s="492"/>
      <c r="K108" s="492"/>
      <c r="L108" s="492"/>
      <c r="M108" s="492"/>
      <c r="N108" s="492"/>
      <c r="O108" s="492"/>
      <c r="P108" s="492"/>
      <c r="AA108" s="492"/>
      <c r="AB108" s="492"/>
      <c r="AC108" s="492"/>
      <c r="AD108" s="492"/>
      <c r="AE108" s="492"/>
      <c r="AF108" s="492"/>
      <c r="AG108" s="492"/>
      <c r="AH108" s="492"/>
      <c r="AI108" s="492"/>
      <c r="AJ108" s="492"/>
      <c r="AK108" s="492"/>
      <c r="AL108" s="492"/>
      <c r="AM108" s="492"/>
      <c r="AN108" s="492"/>
      <c r="AO108" s="492"/>
      <c r="AP108" s="492"/>
      <c r="AQ108" s="492"/>
      <c r="AR108" s="492"/>
    </row>
    <row r="109" spans="1:44" ht="12.75" customHeight="1" x14ac:dyDescent="0.25">
      <c r="A109" s="492"/>
      <c r="B109" s="492"/>
      <c r="C109" s="492"/>
      <c r="D109" s="492"/>
      <c r="E109" s="492"/>
      <c r="F109" s="492"/>
      <c r="G109" s="492"/>
      <c r="H109" s="492"/>
      <c r="I109" s="492"/>
      <c r="J109" s="492"/>
      <c r="K109" s="492"/>
      <c r="L109" s="492"/>
      <c r="M109" s="492"/>
      <c r="N109" s="492"/>
      <c r="O109" s="492"/>
      <c r="P109" s="492"/>
      <c r="AA109" s="492"/>
      <c r="AB109" s="492"/>
      <c r="AC109" s="492"/>
      <c r="AD109" s="492"/>
      <c r="AE109" s="492"/>
      <c r="AF109" s="492"/>
      <c r="AG109" s="492"/>
      <c r="AH109" s="492"/>
      <c r="AI109" s="492"/>
      <c r="AJ109" s="492"/>
      <c r="AK109" s="492"/>
      <c r="AL109" s="492"/>
      <c r="AM109" s="492"/>
      <c r="AN109" s="492"/>
      <c r="AO109" s="492"/>
      <c r="AP109" s="492"/>
      <c r="AQ109" s="492"/>
      <c r="AR109" s="492"/>
    </row>
    <row r="110" spans="1:44" ht="12.75" customHeight="1" x14ac:dyDescent="0.25">
      <c r="A110" s="492"/>
      <c r="B110" s="492"/>
      <c r="C110" s="492"/>
      <c r="D110" s="492"/>
      <c r="E110" s="492"/>
      <c r="F110" s="492"/>
      <c r="G110" s="492"/>
      <c r="H110" s="492"/>
      <c r="I110" s="492"/>
      <c r="J110" s="492"/>
      <c r="K110" s="492"/>
      <c r="L110" s="492"/>
      <c r="M110" s="492"/>
      <c r="N110" s="492"/>
      <c r="O110" s="492"/>
      <c r="P110" s="492"/>
      <c r="AA110" s="492"/>
      <c r="AB110" s="492"/>
      <c r="AC110" s="492"/>
      <c r="AD110" s="492"/>
      <c r="AE110" s="492"/>
      <c r="AF110" s="492"/>
      <c r="AG110" s="492"/>
      <c r="AH110" s="492"/>
      <c r="AI110" s="492"/>
      <c r="AJ110" s="492"/>
      <c r="AK110" s="492"/>
      <c r="AL110" s="492"/>
      <c r="AM110" s="492"/>
      <c r="AN110" s="492"/>
      <c r="AO110" s="492"/>
      <c r="AP110" s="492"/>
      <c r="AQ110" s="492"/>
      <c r="AR110" s="492"/>
    </row>
    <row r="111" spans="1:44" ht="12.75" customHeight="1" x14ac:dyDescent="0.25">
      <c r="A111" s="492"/>
      <c r="B111" s="492"/>
      <c r="C111" s="492"/>
      <c r="D111" s="492"/>
      <c r="E111" s="492"/>
      <c r="F111" s="492"/>
      <c r="G111" s="492"/>
      <c r="H111" s="492"/>
      <c r="I111" s="492"/>
      <c r="J111" s="492"/>
      <c r="K111" s="492"/>
      <c r="L111" s="492"/>
      <c r="M111" s="492"/>
      <c r="N111" s="492"/>
      <c r="O111" s="492"/>
      <c r="P111" s="492"/>
      <c r="AA111" s="492"/>
      <c r="AB111" s="492"/>
      <c r="AC111" s="492"/>
      <c r="AD111" s="492"/>
      <c r="AE111" s="492"/>
      <c r="AF111" s="492"/>
      <c r="AG111" s="492"/>
      <c r="AH111" s="492"/>
      <c r="AI111" s="492"/>
      <c r="AJ111" s="492"/>
      <c r="AK111" s="492"/>
      <c r="AL111" s="492"/>
      <c r="AM111" s="492"/>
      <c r="AN111" s="492"/>
      <c r="AO111" s="492"/>
      <c r="AP111" s="492"/>
      <c r="AQ111" s="492"/>
      <c r="AR111" s="492"/>
    </row>
    <row r="112" spans="1:44" ht="12.75" customHeight="1" x14ac:dyDescent="0.25">
      <c r="A112" s="492"/>
      <c r="B112" s="492"/>
      <c r="C112" s="492"/>
      <c r="D112" s="492"/>
      <c r="E112" s="492"/>
      <c r="F112" s="492"/>
      <c r="G112" s="492"/>
      <c r="H112" s="492"/>
      <c r="I112" s="492"/>
      <c r="J112" s="492"/>
      <c r="K112" s="492"/>
      <c r="L112" s="492"/>
      <c r="M112" s="492"/>
      <c r="N112" s="492"/>
      <c r="O112" s="492"/>
      <c r="P112" s="492"/>
      <c r="AA112" s="492"/>
      <c r="AB112" s="492"/>
      <c r="AC112" s="492"/>
      <c r="AD112" s="492"/>
      <c r="AE112" s="492"/>
      <c r="AF112" s="492"/>
      <c r="AG112" s="492"/>
      <c r="AH112" s="492"/>
      <c r="AI112" s="492"/>
      <c r="AJ112" s="492"/>
      <c r="AK112" s="492"/>
      <c r="AL112" s="492"/>
      <c r="AM112" s="492"/>
      <c r="AN112" s="492"/>
      <c r="AO112" s="492"/>
      <c r="AP112" s="492"/>
      <c r="AQ112" s="492"/>
      <c r="AR112" s="492"/>
    </row>
    <row r="113" spans="1:44" ht="12.75" customHeight="1" x14ac:dyDescent="0.25">
      <c r="A113" s="492"/>
      <c r="B113" s="492"/>
      <c r="C113" s="492"/>
      <c r="D113" s="492"/>
      <c r="E113" s="492"/>
      <c r="F113" s="492"/>
      <c r="G113" s="492"/>
      <c r="H113" s="492"/>
      <c r="I113" s="492"/>
      <c r="J113" s="492"/>
      <c r="K113" s="492"/>
      <c r="L113" s="492"/>
      <c r="M113" s="492"/>
      <c r="N113" s="492"/>
      <c r="O113" s="492"/>
      <c r="P113" s="492"/>
      <c r="AA113" s="492"/>
      <c r="AB113" s="492"/>
      <c r="AC113" s="492"/>
      <c r="AD113" s="492"/>
      <c r="AE113" s="492"/>
      <c r="AF113" s="492"/>
      <c r="AG113" s="492"/>
      <c r="AH113" s="492"/>
      <c r="AI113" s="492"/>
      <c r="AJ113" s="492"/>
      <c r="AK113" s="492"/>
      <c r="AL113" s="492"/>
      <c r="AM113" s="492"/>
      <c r="AN113" s="492"/>
      <c r="AO113" s="492"/>
      <c r="AP113" s="492"/>
      <c r="AQ113" s="492"/>
      <c r="AR113" s="492"/>
    </row>
    <row r="114" spans="1:44" ht="12.75" customHeight="1" x14ac:dyDescent="0.25">
      <c r="A114" s="492"/>
      <c r="B114" s="492"/>
      <c r="C114" s="492"/>
      <c r="D114" s="492"/>
      <c r="E114" s="492"/>
      <c r="F114" s="492"/>
      <c r="G114" s="492"/>
      <c r="H114" s="492"/>
      <c r="I114" s="492"/>
      <c r="J114" s="492"/>
      <c r="K114" s="492"/>
      <c r="L114" s="492"/>
      <c r="M114" s="492"/>
      <c r="N114" s="492"/>
      <c r="O114" s="492"/>
      <c r="P114" s="492"/>
      <c r="AA114" s="492"/>
      <c r="AB114" s="492"/>
      <c r="AC114" s="492"/>
      <c r="AD114" s="492"/>
      <c r="AE114" s="492"/>
      <c r="AF114" s="492"/>
      <c r="AG114" s="492"/>
      <c r="AH114" s="492"/>
      <c r="AI114" s="492"/>
      <c r="AJ114" s="492"/>
      <c r="AK114" s="492"/>
      <c r="AL114" s="492"/>
      <c r="AM114" s="492"/>
      <c r="AN114" s="492"/>
      <c r="AO114" s="492"/>
      <c r="AP114" s="492"/>
      <c r="AQ114" s="492"/>
      <c r="AR114" s="492"/>
    </row>
    <row r="115" spans="1:44" ht="12.75" customHeight="1" x14ac:dyDescent="0.25">
      <c r="A115" s="492"/>
      <c r="B115" s="492"/>
      <c r="C115" s="492"/>
      <c r="D115" s="492"/>
      <c r="E115" s="492"/>
      <c r="F115" s="492"/>
      <c r="G115" s="492"/>
      <c r="H115" s="492"/>
      <c r="I115" s="492"/>
      <c r="J115" s="492"/>
      <c r="K115" s="492"/>
      <c r="L115" s="492"/>
      <c r="M115" s="492"/>
      <c r="N115" s="492"/>
      <c r="O115" s="492"/>
      <c r="P115" s="492"/>
      <c r="AA115" s="492"/>
      <c r="AB115" s="492"/>
      <c r="AC115" s="492"/>
      <c r="AD115" s="492"/>
      <c r="AE115" s="492"/>
      <c r="AF115" s="492"/>
      <c r="AG115" s="492"/>
      <c r="AH115" s="492"/>
      <c r="AI115" s="492"/>
      <c r="AJ115" s="492"/>
      <c r="AK115" s="492"/>
      <c r="AL115" s="492"/>
      <c r="AM115" s="492"/>
      <c r="AN115" s="492"/>
      <c r="AO115" s="492"/>
      <c r="AP115" s="492"/>
      <c r="AQ115" s="492"/>
      <c r="AR115" s="492"/>
    </row>
    <row r="116" spans="1:44" ht="12.75" customHeight="1" x14ac:dyDescent="0.25">
      <c r="A116" s="492"/>
      <c r="B116" s="492"/>
      <c r="C116" s="492"/>
      <c r="D116" s="492"/>
      <c r="E116" s="492"/>
      <c r="F116" s="492"/>
      <c r="G116" s="492"/>
      <c r="H116" s="492"/>
      <c r="I116" s="492"/>
      <c r="J116" s="492"/>
      <c r="K116" s="492"/>
      <c r="L116" s="492"/>
      <c r="M116" s="492"/>
      <c r="N116" s="492"/>
      <c r="O116" s="492"/>
      <c r="P116" s="492"/>
      <c r="AA116" s="492"/>
      <c r="AB116" s="492"/>
      <c r="AC116" s="492"/>
      <c r="AD116" s="492"/>
      <c r="AE116" s="492"/>
      <c r="AF116" s="492"/>
      <c r="AG116" s="492"/>
      <c r="AH116" s="492"/>
      <c r="AI116" s="492"/>
      <c r="AJ116" s="492"/>
      <c r="AK116" s="492"/>
      <c r="AL116" s="492"/>
      <c r="AM116" s="492"/>
      <c r="AN116" s="492"/>
      <c r="AO116" s="492"/>
      <c r="AP116" s="492"/>
      <c r="AQ116" s="492"/>
      <c r="AR116" s="492"/>
    </row>
    <row r="117" spans="1:44" ht="12.75" customHeight="1" x14ac:dyDescent="0.25">
      <c r="A117" s="492"/>
      <c r="B117" s="492"/>
      <c r="C117" s="492"/>
      <c r="D117" s="492"/>
      <c r="E117" s="492"/>
      <c r="F117" s="492"/>
      <c r="G117" s="492"/>
      <c r="H117" s="492"/>
      <c r="I117" s="492"/>
      <c r="J117" s="492"/>
      <c r="K117" s="492"/>
      <c r="L117" s="492"/>
      <c r="M117" s="492"/>
      <c r="N117" s="492"/>
      <c r="O117" s="492"/>
      <c r="P117" s="492"/>
      <c r="AA117" s="492"/>
      <c r="AB117" s="492"/>
      <c r="AC117" s="492"/>
      <c r="AD117" s="492"/>
      <c r="AE117" s="492"/>
      <c r="AF117" s="492"/>
      <c r="AG117" s="492"/>
      <c r="AH117" s="492"/>
      <c r="AI117" s="492"/>
      <c r="AJ117" s="492"/>
      <c r="AK117" s="492"/>
      <c r="AL117" s="492"/>
      <c r="AM117" s="492"/>
      <c r="AN117" s="492"/>
      <c r="AO117" s="492"/>
      <c r="AP117" s="492"/>
      <c r="AQ117" s="492"/>
      <c r="AR117" s="492"/>
    </row>
    <row r="118" spans="1:44" ht="12.75" customHeight="1" x14ac:dyDescent="0.25">
      <c r="A118" s="492"/>
      <c r="B118" s="492"/>
      <c r="C118" s="492"/>
      <c r="D118" s="492"/>
      <c r="E118" s="492"/>
      <c r="F118" s="492"/>
      <c r="G118" s="492"/>
      <c r="H118" s="492"/>
      <c r="I118" s="492"/>
      <c r="J118" s="492"/>
      <c r="K118" s="492"/>
      <c r="L118" s="492"/>
      <c r="M118" s="492"/>
      <c r="N118" s="492"/>
      <c r="O118" s="492"/>
      <c r="P118" s="492"/>
      <c r="AA118" s="492"/>
      <c r="AB118" s="492"/>
      <c r="AC118" s="492"/>
      <c r="AD118" s="492"/>
      <c r="AE118" s="492"/>
      <c r="AF118" s="492"/>
      <c r="AG118" s="492"/>
      <c r="AH118" s="492"/>
      <c r="AI118" s="492"/>
      <c r="AJ118" s="492"/>
      <c r="AK118" s="492"/>
      <c r="AL118" s="492"/>
      <c r="AM118" s="492"/>
      <c r="AN118" s="492"/>
      <c r="AO118" s="492"/>
      <c r="AP118" s="492"/>
      <c r="AQ118" s="492"/>
      <c r="AR118" s="492"/>
    </row>
    <row r="119" spans="1:44" ht="12.75" customHeight="1" x14ac:dyDescent="0.25">
      <c r="A119" s="492"/>
      <c r="B119" s="492"/>
      <c r="C119" s="492"/>
      <c r="D119" s="492"/>
      <c r="E119" s="492"/>
      <c r="F119" s="492"/>
      <c r="G119" s="492"/>
      <c r="H119" s="492"/>
      <c r="I119" s="492"/>
      <c r="J119" s="492"/>
      <c r="K119" s="492"/>
      <c r="L119" s="492"/>
      <c r="M119" s="492"/>
      <c r="N119" s="492"/>
      <c r="O119" s="492"/>
      <c r="P119" s="492"/>
      <c r="AA119" s="492"/>
      <c r="AB119" s="492"/>
      <c r="AC119" s="492"/>
      <c r="AD119" s="492"/>
      <c r="AE119" s="492"/>
      <c r="AF119" s="492"/>
      <c r="AG119" s="492"/>
      <c r="AH119" s="492"/>
      <c r="AI119" s="492"/>
      <c r="AJ119" s="492"/>
      <c r="AK119" s="492"/>
      <c r="AL119" s="492"/>
      <c r="AM119" s="492"/>
      <c r="AN119" s="492"/>
      <c r="AO119" s="492"/>
      <c r="AP119" s="492"/>
      <c r="AQ119" s="492"/>
      <c r="AR119" s="492"/>
    </row>
    <row r="120" spans="1:44" ht="12.75" customHeight="1" x14ac:dyDescent="0.25">
      <c r="A120" s="492"/>
      <c r="B120" s="492"/>
      <c r="C120" s="492"/>
      <c r="D120" s="492"/>
      <c r="E120" s="492"/>
      <c r="F120" s="492"/>
      <c r="G120" s="492"/>
      <c r="H120" s="492"/>
      <c r="I120" s="492"/>
      <c r="J120" s="492"/>
      <c r="K120" s="492"/>
      <c r="L120" s="492"/>
      <c r="M120" s="492"/>
      <c r="N120" s="492"/>
      <c r="O120" s="492"/>
      <c r="P120" s="492"/>
      <c r="AA120" s="492"/>
      <c r="AB120" s="492"/>
      <c r="AC120" s="492"/>
      <c r="AD120" s="492"/>
      <c r="AE120" s="492"/>
      <c r="AF120" s="492"/>
      <c r="AG120" s="492"/>
      <c r="AH120" s="492"/>
      <c r="AI120" s="492"/>
      <c r="AJ120" s="492"/>
      <c r="AK120" s="492"/>
      <c r="AL120" s="492"/>
      <c r="AM120" s="492"/>
      <c r="AN120" s="492"/>
      <c r="AO120" s="492"/>
      <c r="AP120" s="492"/>
      <c r="AQ120" s="492"/>
      <c r="AR120" s="492"/>
    </row>
    <row r="121" spans="1:44" ht="12.75" customHeight="1" x14ac:dyDescent="0.25">
      <c r="A121" s="492"/>
      <c r="B121" s="492"/>
      <c r="C121" s="492"/>
      <c r="D121" s="492"/>
      <c r="E121" s="492"/>
      <c r="F121" s="492"/>
      <c r="G121" s="492"/>
      <c r="H121" s="492"/>
      <c r="I121" s="492"/>
      <c r="J121" s="492"/>
      <c r="K121" s="492"/>
      <c r="L121" s="492"/>
      <c r="M121" s="492"/>
      <c r="N121" s="492"/>
      <c r="O121" s="492"/>
      <c r="P121" s="492"/>
      <c r="AA121" s="492"/>
      <c r="AB121" s="492"/>
      <c r="AC121" s="492"/>
      <c r="AD121" s="492"/>
      <c r="AE121" s="492"/>
      <c r="AF121" s="492"/>
      <c r="AG121" s="492"/>
      <c r="AH121" s="492"/>
      <c r="AI121" s="492"/>
      <c r="AJ121" s="492"/>
      <c r="AK121" s="492"/>
      <c r="AL121" s="492"/>
      <c r="AM121" s="492"/>
      <c r="AN121" s="492"/>
      <c r="AO121" s="492"/>
      <c r="AP121" s="492"/>
      <c r="AQ121" s="492"/>
      <c r="AR121" s="492"/>
    </row>
    <row r="122" spans="1:44" ht="12.75" customHeight="1" x14ac:dyDescent="0.25">
      <c r="A122" s="492"/>
      <c r="B122" s="492"/>
      <c r="C122" s="492"/>
      <c r="D122" s="492"/>
      <c r="E122" s="492"/>
      <c r="F122" s="492"/>
      <c r="G122" s="492"/>
      <c r="H122" s="492"/>
      <c r="I122" s="492"/>
      <c r="J122" s="492"/>
      <c r="K122" s="492"/>
      <c r="L122" s="492"/>
      <c r="M122" s="492"/>
      <c r="N122" s="492"/>
      <c r="O122" s="492"/>
      <c r="P122" s="492"/>
      <c r="AA122" s="492"/>
      <c r="AB122" s="492"/>
      <c r="AC122" s="492"/>
      <c r="AD122" s="492"/>
      <c r="AE122" s="492"/>
      <c r="AF122" s="492"/>
      <c r="AG122" s="492"/>
      <c r="AH122" s="492"/>
      <c r="AI122" s="492"/>
      <c r="AJ122" s="492"/>
      <c r="AK122" s="492"/>
      <c r="AL122" s="492"/>
      <c r="AM122" s="492"/>
      <c r="AN122" s="492"/>
      <c r="AO122" s="492"/>
      <c r="AP122" s="492"/>
      <c r="AQ122" s="492"/>
      <c r="AR122" s="492"/>
    </row>
    <row r="123" spans="1:44" ht="12.75" customHeight="1" x14ac:dyDescent="0.25">
      <c r="A123" s="492"/>
      <c r="B123" s="492"/>
      <c r="C123" s="492"/>
      <c r="D123" s="492"/>
      <c r="E123" s="492"/>
      <c r="F123" s="492"/>
      <c r="G123" s="492"/>
      <c r="H123" s="492"/>
      <c r="I123" s="492"/>
      <c r="J123" s="492"/>
      <c r="K123" s="492"/>
      <c r="L123" s="492"/>
      <c r="M123" s="492"/>
      <c r="N123" s="492"/>
      <c r="O123" s="492"/>
      <c r="P123" s="492"/>
      <c r="AA123" s="492"/>
      <c r="AB123" s="492"/>
      <c r="AC123" s="492"/>
      <c r="AD123" s="492"/>
      <c r="AE123" s="492"/>
      <c r="AF123" s="492"/>
      <c r="AG123" s="492"/>
      <c r="AH123" s="492"/>
      <c r="AI123" s="492"/>
      <c r="AJ123" s="492"/>
      <c r="AK123" s="492"/>
      <c r="AL123" s="492"/>
      <c r="AM123" s="492"/>
      <c r="AN123" s="492"/>
      <c r="AO123" s="492"/>
      <c r="AP123" s="492"/>
      <c r="AQ123" s="492"/>
      <c r="AR123" s="492"/>
    </row>
    <row r="124" spans="1:44" ht="12.75" customHeight="1" x14ac:dyDescent="0.25">
      <c r="A124" s="492"/>
      <c r="B124" s="492"/>
      <c r="C124" s="492"/>
      <c r="D124" s="492"/>
      <c r="E124" s="492"/>
      <c r="F124" s="492"/>
      <c r="G124" s="492"/>
      <c r="H124" s="492"/>
      <c r="I124" s="492"/>
      <c r="J124" s="492"/>
      <c r="K124" s="492"/>
      <c r="L124" s="492"/>
      <c r="M124" s="492"/>
      <c r="N124" s="492"/>
      <c r="O124" s="492"/>
      <c r="P124" s="492"/>
      <c r="AA124" s="492"/>
      <c r="AB124" s="492"/>
      <c r="AC124" s="492"/>
      <c r="AD124" s="492"/>
      <c r="AE124" s="492"/>
      <c r="AF124" s="492"/>
      <c r="AG124" s="492"/>
      <c r="AH124" s="492"/>
      <c r="AI124" s="492"/>
      <c r="AJ124" s="492"/>
      <c r="AK124" s="492"/>
      <c r="AL124" s="492"/>
      <c r="AM124" s="492"/>
      <c r="AN124" s="492"/>
      <c r="AO124" s="492"/>
      <c r="AP124" s="492"/>
      <c r="AQ124" s="492"/>
      <c r="AR124" s="492"/>
    </row>
    <row r="125" spans="1:44" ht="12.75" customHeight="1" x14ac:dyDescent="0.25">
      <c r="A125" s="492"/>
      <c r="B125" s="492"/>
      <c r="C125" s="492"/>
      <c r="D125" s="492"/>
      <c r="E125" s="492"/>
      <c r="F125" s="492"/>
      <c r="G125" s="492"/>
      <c r="H125" s="492"/>
      <c r="I125" s="492"/>
      <c r="J125" s="492"/>
      <c r="K125" s="492"/>
      <c r="L125" s="492"/>
      <c r="M125" s="492"/>
      <c r="N125" s="492"/>
      <c r="O125" s="492"/>
      <c r="P125" s="492"/>
      <c r="AA125" s="492"/>
      <c r="AB125" s="492"/>
      <c r="AC125" s="492"/>
      <c r="AD125" s="492"/>
      <c r="AE125" s="492"/>
      <c r="AF125" s="492"/>
      <c r="AG125" s="492"/>
      <c r="AH125" s="492"/>
      <c r="AI125" s="492"/>
      <c r="AJ125" s="492"/>
      <c r="AK125" s="492"/>
      <c r="AL125" s="492"/>
      <c r="AM125" s="492"/>
      <c r="AN125" s="492"/>
      <c r="AO125" s="492"/>
      <c r="AP125" s="492"/>
      <c r="AQ125" s="492"/>
      <c r="AR125" s="492"/>
    </row>
    <row r="126" spans="1:44" ht="12.75" customHeight="1" x14ac:dyDescent="0.25">
      <c r="A126" s="492"/>
      <c r="B126" s="492"/>
      <c r="C126" s="492"/>
      <c r="D126" s="492"/>
      <c r="E126" s="492"/>
      <c r="F126" s="492"/>
      <c r="G126" s="492"/>
      <c r="H126" s="492"/>
      <c r="I126" s="492"/>
      <c r="J126" s="492"/>
      <c r="K126" s="492"/>
      <c r="L126" s="492"/>
      <c r="M126" s="492"/>
      <c r="N126" s="492"/>
      <c r="O126" s="492"/>
      <c r="P126" s="492"/>
      <c r="AA126" s="492"/>
      <c r="AB126" s="492"/>
      <c r="AC126" s="492"/>
      <c r="AD126" s="492"/>
      <c r="AE126" s="492"/>
      <c r="AF126" s="492"/>
      <c r="AG126" s="492"/>
      <c r="AH126" s="492"/>
      <c r="AI126" s="492"/>
      <c r="AJ126" s="492"/>
      <c r="AK126" s="492"/>
      <c r="AL126" s="492"/>
      <c r="AM126" s="492"/>
      <c r="AN126" s="492"/>
      <c r="AO126" s="492"/>
      <c r="AP126" s="492"/>
      <c r="AQ126" s="492"/>
      <c r="AR126" s="492"/>
    </row>
    <row r="127" spans="1:44" ht="12.75" customHeight="1" x14ac:dyDescent="0.25">
      <c r="A127" s="492"/>
      <c r="B127" s="492"/>
      <c r="C127" s="492"/>
      <c r="D127" s="492"/>
      <c r="E127" s="492"/>
      <c r="F127" s="492"/>
      <c r="G127" s="492"/>
      <c r="H127" s="492"/>
      <c r="I127" s="492"/>
      <c r="J127" s="492"/>
      <c r="K127" s="492"/>
      <c r="L127" s="492"/>
      <c r="M127" s="492"/>
      <c r="N127" s="492"/>
      <c r="O127" s="492"/>
      <c r="P127" s="492"/>
      <c r="AA127" s="492"/>
      <c r="AB127" s="492"/>
      <c r="AC127" s="492"/>
      <c r="AD127" s="492"/>
      <c r="AE127" s="492"/>
      <c r="AF127" s="492"/>
      <c r="AG127" s="492"/>
      <c r="AH127" s="492"/>
      <c r="AI127" s="492"/>
      <c r="AJ127" s="492"/>
      <c r="AK127" s="492"/>
      <c r="AL127" s="492"/>
      <c r="AM127" s="492"/>
      <c r="AN127" s="492"/>
      <c r="AO127" s="492"/>
      <c r="AP127" s="492"/>
      <c r="AQ127" s="492"/>
      <c r="AR127" s="492"/>
    </row>
    <row r="128" spans="1:44" ht="12.75" customHeight="1" x14ac:dyDescent="0.25">
      <c r="A128" s="492"/>
      <c r="B128" s="492"/>
      <c r="C128" s="492"/>
      <c r="D128" s="492"/>
      <c r="E128" s="492"/>
      <c r="F128" s="492"/>
      <c r="G128" s="492"/>
      <c r="H128" s="492"/>
      <c r="I128" s="492"/>
      <c r="J128" s="492"/>
      <c r="K128" s="492"/>
      <c r="L128" s="492"/>
      <c r="M128" s="492"/>
      <c r="N128" s="492"/>
      <c r="O128" s="492"/>
      <c r="P128" s="492"/>
      <c r="AA128" s="492"/>
      <c r="AB128" s="492"/>
      <c r="AC128" s="492"/>
      <c r="AD128" s="492"/>
      <c r="AE128" s="492"/>
      <c r="AF128" s="492"/>
      <c r="AG128" s="492"/>
      <c r="AH128" s="492"/>
      <c r="AI128" s="492"/>
      <c r="AJ128" s="492"/>
      <c r="AK128" s="492"/>
      <c r="AL128" s="492"/>
      <c r="AM128" s="492"/>
      <c r="AN128" s="492"/>
      <c r="AO128" s="492"/>
      <c r="AP128" s="492"/>
      <c r="AQ128" s="492"/>
      <c r="AR128" s="492"/>
    </row>
    <row r="129" spans="1:44" ht="12.75" customHeight="1" x14ac:dyDescent="0.25">
      <c r="A129" s="492"/>
      <c r="B129" s="492"/>
      <c r="C129" s="492"/>
      <c r="D129" s="492"/>
      <c r="E129" s="492"/>
      <c r="F129" s="492"/>
      <c r="G129" s="492"/>
      <c r="H129" s="492"/>
      <c r="I129" s="492"/>
      <c r="J129" s="492"/>
      <c r="K129" s="492"/>
      <c r="L129" s="492"/>
      <c r="M129" s="492"/>
      <c r="N129" s="492"/>
      <c r="O129" s="492"/>
      <c r="P129" s="492"/>
      <c r="AA129" s="492"/>
      <c r="AB129" s="492"/>
      <c r="AC129" s="492"/>
      <c r="AD129" s="492"/>
      <c r="AE129" s="492"/>
      <c r="AF129" s="492"/>
      <c r="AG129" s="492"/>
      <c r="AH129" s="492"/>
      <c r="AI129" s="492"/>
      <c r="AJ129" s="492"/>
      <c r="AK129" s="492"/>
      <c r="AL129" s="492"/>
      <c r="AM129" s="492"/>
      <c r="AN129" s="492"/>
      <c r="AO129" s="492"/>
      <c r="AP129" s="492"/>
      <c r="AQ129" s="492"/>
      <c r="AR129" s="492"/>
    </row>
    <row r="130" spans="1:44" ht="12.75" customHeight="1" x14ac:dyDescent="0.25">
      <c r="A130" s="492"/>
      <c r="B130" s="492"/>
      <c r="C130" s="492"/>
      <c r="D130" s="492"/>
      <c r="E130" s="492"/>
      <c r="F130" s="492"/>
      <c r="G130" s="492"/>
      <c r="H130" s="492"/>
      <c r="I130" s="492"/>
      <c r="J130" s="492"/>
      <c r="K130" s="492"/>
      <c r="L130" s="492"/>
      <c r="M130" s="492"/>
      <c r="N130" s="492"/>
      <c r="O130" s="492"/>
      <c r="P130" s="492"/>
      <c r="AA130" s="492"/>
      <c r="AB130" s="492"/>
      <c r="AC130" s="492"/>
      <c r="AD130" s="492"/>
      <c r="AE130" s="492"/>
      <c r="AF130" s="492"/>
      <c r="AG130" s="492"/>
      <c r="AH130" s="492"/>
      <c r="AI130" s="492"/>
      <c r="AJ130" s="492"/>
      <c r="AK130" s="492"/>
      <c r="AL130" s="492"/>
      <c r="AM130" s="492"/>
      <c r="AN130" s="492"/>
      <c r="AO130" s="492"/>
      <c r="AP130" s="492"/>
      <c r="AQ130" s="492"/>
      <c r="AR130" s="492"/>
    </row>
    <row r="131" spans="1:44" ht="12.75" customHeight="1" x14ac:dyDescent="0.25">
      <c r="A131" s="492"/>
      <c r="B131" s="492"/>
      <c r="C131" s="492"/>
      <c r="D131" s="492"/>
      <c r="E131" s="492"/>
      <c r="F131" s="492"/>
      <c r="G131" s="492"/>
      <c r="H131" s="492"/>
      <c r="I131" s="492"/>
      <c r="J131" s="492"/>
      <c r="K131" s="492"/>
      <c r="L131" s="492"/>
      <c r="M131" s="492"/>
      <c r="N131" s="492"/>
      <c r="O131" s="492"/>
      <c r="P131" s="492"/>
      <c r="AA131" s="492"/>
      <c r="AB131" s="492"/>
      <c r="AC131" s="492"/>
      <c r="AD131" s="492"/>
      <c r="AE131" s="492"/>
      <c r="AF131" s="492"/>
      <c r="AG131" s="492"/>
      <c r="AH131" s="492"/>
      <c r="AI131" s="492"/>
      <c r="AJ131" s="492"/>
      <c r="AK131" s="492"/>
      <c r="AL131" s="492"/>
      <c r="AM131" s="492"/>
      <c r="AN131" s="492"/>
      <c r="AO131" s="492"/>
      <c r="AP131" s="492"/>
      <c r="AQ131" s="492"/>
      <c r="AR131" s="492"/>
    </row>
    <row r="132" spans="1:44" ht="12.75" customHeight="1" x14ac:dyDescent="0.25">
      <c r="A132" s="492"/>
      <c r="B132" s="492"/>
      <c r="C132" s="492"/>
      <c r="D132" s="492"/>
      <c r="E132" s="492"/>
      <c r="F132" s="492"/>
      <c r="G132" s="492"/>
      <c r="H132" s="492"/>
      <c r="I132" s="492"/>
      <c r="J132" s="492"/>
      <c r="K132" s="492"/>
      <c r="L132" s="492"/>
      <c r="M132" s="492"/>
      <c r="N132" s="492"/>
      <c r="O132" s="492"/>
      <c r="P132" s="492"/>
      <c r="AA132" s="492"/>
      <c r="AB132" s="492"/>
      <c r="AC132" s="492"/>
      <c r="AD132" s="492"/>
      <c r="AE132" s="492"/>
      <c r="AF132" s="492"/>
      <c r="AG132" s="492"/>
      <c r="AH132" s="492"/>
      <c r="AI132" s="492"/>
      <c r="AJ132" s="492"/>
      <c r="AK132" s="492"/>
      <c r="AL132" s="492"/>
      <c r="AM132" s="492"/>
      <c r="AN132" s="492"/>
      <c r="AO132" s="492"/>
      <c r="AP132" s="492"/>
      <c r="AQ132" s="492"/>
      <c r="AR132" s="492"/>
    </row>
    <row r="133" spans="1:44" ht="12.75" customHeight="1" x14ac:dyDescent="0.25">
      <c r="A133" s="492"/>
      <c r="B133" s="492"/>
      <c r="C133" s="492"/>
      <c r="D133" s="492"/>
      <c r="E133" s="492"/>
      <c r="F133" s="492"/>
      <c r="G133" s="492"/>
      <c r="H133" s="492"/>
      <c r="I133" s="492"/>
      <c r="J133" s="492"/>
      <c r="K133" s="492"/>
      <c r="L133" s="492"/>
      <c r="M133" s="492"/>
      <c r="N133" s="492"/>
      <c r="O133" s="492"/>
      <c r="P133" s="492"/>
      <c r="AA133" s="492"/>
      <c r="AB133" s="492"/>
      <c r="AC133" s="492"/>
      <c r="AD133" s="492"/>
      <c r="AE133" s="492"/>
      <c r="AF133" s="492"/>
      <c r="AG133" s="492"/>
      <c r="AH133" s="492"/>
      <c r="AI133" s="492"/>
      <c r="AJ133" s="492"/>
      <c r="AK133" s="492"/>
      <c r="AL133" s="492"/>
      <c r="AM133" s="492"/>
      <c r="AN133" s="492"/>
      <c r="AO133" s="492"/>
      <c r="AP133" s="492"/>
      <c r="AQ133" s="492"/>
      <c r="AR133" s="492"/>
    </row>
    <row r="134" spans="1:44" ht="12.75" customHeight="1" x14ac:dyDescent="0.25">
      <c r="A134" s="492"/>
      <c r="B134" s="492"/>
      <c r="C134" s="492"/>
      <c r="D134" s="492"/>
      <c r="E134" s="492"/>
      <c r="F134" s="492"/>
      <c r="G134" s="492"/>
      <c r="H134" s="492"/>
      <c r="I134" s="492"/>
      <c r="J134" s="492"/>
      <c r="K134" s="492"/>
      <c r="L134" s="492"/>
      <c r="M134" s="492"/>
      <c r="N134" s="492"/>
      <c r="O134" s="492"/>
      <c r="P134" s="492"/>
      <c r="AA134" s="492"/>
      <c r="AB134" s="492"/>
      <c r="AC134" s="492"/>
      <c r="AD134" s="492"/>
      <c r="AE134" s="492"/>
      <c r="AF134" s="492"/>
      <c r="AG134" s="492"/>
      <c r="AH134" s="492"/>
      <c r="AI134" s="492"/>
      <c r="AJ134" s="492"/>
      <c r="AK134" s="492"/>
      <c r="AL134" s="492"/>
      <c r="AM134" s="492"/>
      <c r="AN134" s="492"/>
      <c r="AO134" s="492"/>
      <c r="AP134" s="492"/>
      <c r="AQ134" s="492"/>
      <c r="AR134" s="492"/>
    </row>
    <row r="135" spans="1:44" ht="12.75" customHeight="1" x14ac:dyDescent="0.25">
      <c r="E135" s="256"/>
      <c r="F135" s="256"/>
      <c r="G135" s="256"/>
      <c r="I135" s="256"/>
    </row>
    <row r="136" spans="1:44" ht="12.75" customHeight="1" x14ac:dyDescent="0.25">
      <c r="E136" s="256"/>
      <c r="F136" s="256"/>
      <c r="G136" s="256"/>
      <c r="I136" s="256"/>
    </row>
    <row r="137" spans="1:44" ht="12.75" customHeight="1" x14ac:dyDescent="0.25">
      <c r="E137" s="256"/>
      <c r="F137" s="256"/>
      <c r="G137" s="256"/>
      <c r="I137" s="256"/>
    </row>
  </sheetData>
  <sheetProtection password="BCD8" sheet="1" objects="1" scenarios="1"/>
  <phoneticPr fontId="0" type="noConversion"/>
  <conditionalFormatting sqref="C24:C29">
    <cfRule type="cellIs" dxfId="167" priority="2" stopIfTrue="1" operator="equal">
      <formula>"&gt;"</formula>
    </cfRule>
  </conditionalFormatting>
  <conditionalFormatting sqref="D24:G29">
    <cfRule type="expression" dxfId="166"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home">
              <controlPr defaultSize="0" print="0" autoFill="0" autoPict="0" macro="[0]!globalgoto">
                <anchor moveWithCells="1" sizeWithCells="1">
                  <from>
                    <xdr:col>0</xdr:col>
                    <xdr:colOff>88900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32770" r:id="rId5" name="basic">
              <controlPr defaultSize="0" print="0" autoFill="0" autoPict="0" macro="[0]!globalgoto">
                <anchor moveWithCells="1" sizeWithCells="1">
                  <from>
                    <xdr:col>0</xdr:col>
                    <xdr:colOff>88900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32771" r:id="rId6" name="Button 3">
              <controlPr defaultSize="0" print="0" autoFill="0" autoPict="0" macro="[0]!goto_previous_year_any_sheet">
                <anchor moveWithCells="1" sizeWithCells="1">
                  <from>
                    <xdr:col>0</xdr:col>
                    <xdr:colOff>107950</xdr:colOff>
                    <xdr:row>19</xdr:row>
                    <xdr:rowOff>12700</xdr:rowOff>
                  </from>
                  <to>
                    <xdr:col>0</xdr:col>
                    <xdr:colOff>1066800</xdr:colOff>
                    <xdr:row>22</xdr:row>
                    <xdr:rowOff>114300</xdr:rowOff>
                  </to>
                </anchor>
              </controlPr>
            </control>
          </mc:Choice>
        </mc:AlternateContent>
        <mc:AlternateContent xmlns:mc="http://schemas.openxmlformats.org/markup-compatibility/2006">
          <mc:Choice Requires="x14">
            <control shapeId="32773" r:id="rId7" name="Button 5">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32774" r:id="rId8" name="Button 6">
              <controlPr defaultSize="0" print="0" autoFill="0" autoPict="0" macro="[0]!copy_as_excel">
                <anchor moveWithCells="1" sizeWithCells="1">
                  <from>
                    <xdr:col>10</xdr:col>
                    <xdr:colOff>38100</xdr:colOff>
                    <xdr:row>11</xdr:row>
                    <xdr:rowOff>88900</xdr:rowOff>
                  </from>
                  <to>
                    <xdr:col>11</xdr:col>
                    <xdr:colOff>88900</xdr:colOff>
                    <xdr:row>13</xdr:row>
                    <xdr:rowOff>146050</xdr:rowOff>
                  </to>
                </anchor>
              </controlPr>
            </control>
          </mc:Choice>
        </mc:AlternateContent>
        <mc:AlternateContent xmlns:mc="http://schemas.openxmlformats.org/markup-compatibility/2006">
          <mc:Choice Requires="x14">
            <control shapeId="32775" r:id="rId9" name="Button 7">
              <controlPr defaultSize="0" print="0" autoFill="0" autoPict="0" macro="[0]!pdflauncher">
                <anchor moveWithCells="1" sizeWithCells="1">
                  <from>
                    <xdr:col>11</xdr:col>
                    <xdr:colOff>101600</xdr:colOff>
                    <xdr:row>11</xdr:row>
                    <xdr:rowOff>88900</xdr:rowOff>
                  </from>
                  <to>
                    <xdr:col>11</xdr:col>
                    <xdr:colOff>787400</xdr:colOff>
                    <xdr:row>13</xdr:row>
                    <xdr:rowOff>146050</xdr:rowOff>
                  </to>
                </anchor>
              </controlPr>
            </control>
          </mc:Choice>
        </mc:AlternateContent>
        <mc:AlternateContent xmlns:mc="http://schemas.openxmlformats.org/markup-compatibility/2006">
          <mc:Choice Requires="x14">
            <control shapeId="32776" r:id="rId10" name="Button 8">
              <controlPr defaultSize="0" print="0" autoFill="0" autoPict="0" macro="[0]!openfolder">
                <anchor moveWithCells="1" sizeWithCells="1">
                  <from>
                    <xdr:col>11</xdr:col>
                    <xdr:colOff>793750</xdr:colOff>
                    <xdr:row>11</xdr:row>
                    <xdr:rowOff>88900</xdr:rowOff>
                  </from>
                  <to>
                    <xdr:col>12</xdr:col>
                    <xdr:colOff>508000</xdr:colOff>
                    <xdr:row>13</xdr:row>
                    <xdr:rowOff>146050</xdr:rowOff>
                  </to>
                </anchor>
              </controlPr>
            </control>
          </mc:Choice>
        </mc:AlternateContent>
        <mc:AlternateContent xmlns:mc="http://schemas.openxmlformats.org/markup-compatibility/2006">
          <mc:Choice Requires="x14">
            <control shapeId="32777" r:id="rId11" name="Button 9">
              <controlPr defaultSize="0" print="0" autoFill="0" autoPict="0" macro="[0]!goto_folder_settings">
                <anchor moveWithCells="1" sizeWithCells="1">
                  <from>
                    <xdr:col>12</xdr:col>
                    <xdr:colOff>520700</xdr:colOff>
                    <xdr:row>11</xdr:row>
                    <xdr:rowOff>88900</xdr:rowOff>
                  </from>
                  <to>
                    <xdr:col>12</xdr:col>
                    <xdr:colOff>1041400</xdr:colOff>
                    <xdr:row>13</xdr:row>
                    <xdr:rowOff>146050</xdr:rowOff>
                  </to>
                </anchor>
              </controlPr>
            </control>
          </mc:Choice>
        </mc:AlternateContent>
        <mc:AlternateContent xmlns:mc="http://schemas.openxmlformats.org/markup-compatibility/2006">
          <mc:Choice Requires="x14">
            <control shapeId="32778" r:id="rId12" name="Button 10">
              <controlPr defaultSize="0" print="0" autoFill="0" autoPict="0" macro="[0]!email_pdf_launch">
                <anchor moveWithCells="1" sizeWithCells="1">
                  <from>
                    <xdr:col>11</xdr:col>
                    <xdr:colOff>241300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32779" r:id="rId13" name="Button 11">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32780" r:id="rId14" name="Button 12">
              <controlPr defaultSize="0" print="0" autoFill="0" autoPict="0" macro="[0]!emailsettings">
                <anchor moveWithCells="1" sizeWithCells="1">
                  <from>
                    <xdr:col>12</xdr:col>
                    <xdr:colOff>127000</xdr:colOff>
                    <xdr:row>9</xdr:row>
                    <xdr:rowOff>120650</xdr:rowOff>
                  </from>
                  <to>
                    <xdr:col>12</xdr:col>
                    <xdr:colOff>1041400</xdr:colOff>
                    <xdr:row>11</xdr:row>
                    <xdr:rowOff>82550</xdr:rowOff>
                  </to>
                </anchor>
              </controlPr>
            </control>
          </mc:Choice>
        </mc:AlternateContent>
        <mc:AlternateContent xmlns:mc="http://schemas.openxmlformats.org/markup-compatibility/2006">
          <mc:Choice Requires="x14">
            <control shapeId="32781" r:id="rId15" name="Button 13">
              <controlPr defaultSize="0" print="0" autoFill="0" autoPict="0" macro="[0]!goto_other_analysis">
                <anchor moveWithCells="1" sizeWithCells="1">
                  <from>
                    <xdr:col>10</xdr:col>
                    <xdr:colOff>127000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32782" r:id="rId16" name="Button 14">
              <controlPr defaultSize="0" print="0" autoFill="0" autoPict="0" macro="[0]!goto_next_year_any_sheet">
                <anchor moveWithCells="1" sizeWithCells="1">
                  <from>
                    <xdr:col>10</xdr:col>
                    <xdr:colOff>101600</xdr:colOff>
                    <xdr:row>2</xdr:row>
                    <xdr:rowOff>127000</xdr:rowOff>
                  </from>
                  <to>
                    <xdr:col>11</xdr:col>
                    <xdr:colOff>419100</xdr:colOff>
                    <xdr:row>4</xdr:row>
                    <xdr:rowOff>63500</xdr:rowOff>
                  </to>
                </anchor>
              </controlPr>
            </control>
          </mc:Choice>
        </mc:AlternateContent>
        <mc:AlternateContent xmlns:mc="http://schemas.openxmlformats.org/markup-compatibility/2006">
          <mc:Choice Requires="x14">
            <control shapeId="32783" r:id="rId17" name="Button 15">
              <controlPr defaultSize="0" print="0" autoFill="0" autoPict="0" macro="[0]!goto_basic_analysis_original">
                <anchor moveWithCells="1" sizeWithCells="1">
                  <from>
                    <xdr:col>10</xdr:col>
                    <xdr:colOff>127000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32784" r:id="rId18"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073D0-B036-48AA-9592-23FB5B182F78}">
  <sheetPr codeName="Sheet71">
    <pageSetUpPr fitToPage="1"/>
  </sheetPr>
  <dimension ref="A1:AR137"/>
  <sheetViews>
    <sheetView showGridLines="0" workbookViewId="0">
      <selection activeCell="A5" sqref="A5"/>
    </sheetView>
  </sheetViews>
  <sheetFormatPr defaultColWidth="9.08984375" defaultRowHeight="12.75" customHeight="1" x14ac:dyDescent="0.25"/>
  <cols>
    <col min="1" max="1" width="16.6328125" style="256" customWidth="1"/>
    <col min="2" max="2" width="2.6328125" style="256" customWidth="1"/>
    <col min="3" max="3" width="11.6328125" style="256" customWidth="1"/>
    <col min="4" max="4" width="23.453125" style="256" customWidth="1"/>
    <col min="5" max="5" width="12.08984375" style="273" customWidth="1"/>
    <col min="6" max="6" width="12.6328125" style="273" customWidth="1"/>
    <col min="7" max="7" width="10.6328125" style="273" customWidth="1"/>
    <col min="8" max="8" width="12.36328125" style="256" customWidth="1"/>
    <col min="9" max="9" width="12.453125" style="475" customWidth="1"/>
    <col min="10" max="10" width="2.54296875" style="256" customWidth="1"/>
    <col min="11" max="11" width="9.36328125" style="256" customWidth="1"/>
    <col min="12" max="12" width="11.90625" style="256" customWidth="1"/>
    <col min="13" max="13" width="15.6328125" style="256" customWidth="1"/>
    <col min="14" max="16" width="9.08984375" style="256"/>
    <col min="17" max="19" width="9.08984375" style="256" hidden="1" customWidth="1"/>
    <col min="20" max="20" width="17.453125" style="256" hidden="1" customWidth="1"/>
    <col min="21" max="26" width="9.08984375" style="256" hidden="1" customWidth="1"/>
    <col min="27" max="16384" width="9.08984375" style="256"/>
  </cols>
  <sheetData>
    <row r="1" spans="1:44" ht="12.5" x14ac:dyDescent="0.25">
      <c r="A1" s="581"/>
      <c r="B1" s="581"/>
      <c r="C1" s="581"/>
      <c r="D1" s="581"/>
      <c r="E1" s="582"/>
      <c r="F1" s="582"/>
      <c r="G1" s="582"/>
      <c r="H1" s="581"/>
      <c r="I1" s="583"/>
      <c r="J1" s="581"/>
      <c r="K1" s="581"/>
      <c r="L1" s="581"/>
      <c r="M1" s="581"/>
      <c r="N1" s="581"/>
      <c r="O1" s="581"/>
      <c r="P1" s="581"/>
      <c r="AA1" s="581"/>
      <c r="AB1" s="581"/>
      <c r="AC1" s="581"/>
      <c r="AD1" s="581"/>
      <c r="AE1" s="581"/>
      <c r="AF1" s="581"/>
      <c r="AG1" s="581"/>
      <c r="AH1" s="581"/>
      <c r="AI1" s="581"/>
      <c r="AJ1" s="581"/>
      <c r="AK1" s="581"/>
      <c r="AL1" s="581"/>
      <c r="AM1" s="581"/>
      <c r="AN1" s="581"/>
      <c r="AO1" s="581"/>
      <c r="AP1" s="581"/>
      <c r="AQ1" s="581"/>
      <c r="AR1" s="581"/>
    </row>
    <row r="2" spans="1:44" ht="12.5" x14ac:dyDescent="0.25">
      <c r="A2" s="581"/>
      <c r="B2" s="581"/>
      <c r="C2" s="581"/>
      <c r="D2" s="581"/>
      <c r="E2" s="582"/>
      <c r="F2" s="582"/>
      <c r="G2" s="582"/>
      <c r="H2" s="581"/>
      <c r="I2" s="583"/>
      <c r="J2" s="581"/>
      <c r="K2" s="581"/>
      <c r="L2" s="581"/>
      <c r="M2" s="581"/>
      <c r="N2" s="581"/>
      <c r="O2" s="581"/>
      <c r="P2" s="581"/>
      <c r="AA2" s="581"/>
      <c r="AB2" s="581"/>
      <c r="AC2" s="581"/>
      <c r="AD2" s="581"/>
      <c r="AE2" s="581"/>
      <c r="AF2" s="581"/>
      <c r="AG2" s="581"/>
      <c r="AH2" s="581"/>
      <c r="AI2" s="581"/>
      <c r="AJ2" s="581"/>
      <c r="AK2" s="581"/>
      <c r="AL2" s="581"/>
      <c r="AM2" s="581"/>
      <c r="AN2" s="581"/>
      <c r="AO2" s="581"/>
      <c r="AP2" s="581"/>
      <c r="AQ2" s="581"/>
      <c r="AR2" s="581"/>
    </row>
    <row r="3" spans="1:44" ht="12.5" x14ac:dyDescent="0.25">
      <c r="A3" s="581"/>
      <c r="K3" s="581"/>
      <c r="L3" s="581"/>
      <c r="M3" s="581"/>
      <c r="N3" s="581"/>
      <c r="O3" s="581"/>
      <c r="P3" s="581"/>
      <c r="AA3" s="581"/>
      <c r="AB3" s="581"/>
      <c r="AC3" s="581"/>
      <c r="AD3" s="581"/>
      <c r="AE3" s="581"/>
      <c r="AF3" s="581"/>
      <c r="AG3" s="581"/>
      <c r="AH3" s="581"/>
      <c r="AI3" s="581"/>
      <c r="AJ3" s="581"/>
      <c r="AK3" s="581"/>
      <c r="AL3" s="581"/>
      <c r="AM3" s="581"/>
      <c r="AN3" s="581"/>
      <c r="AO3" s="581"/>
      <c r="AP3" s="581"/>
      <c r="AQ3" s="581"/>
      <c r="AR3" s="581"/>
    </row>
    <row r="4" spans="1:44" ht="15.5" x14ac:dyDescent="0.35">
      <c r="A4" s="581"/>
      <c r="C4" s="488" t="str">
        <f>"Transitional Arrangements Calculation - "&amp;C10</f>
        <v xml:space="preserve">Transitional Arrangements Calculation - 2026/27 </v>
      </c>
      <c r="H4" s="488" t="str">
        <f>basic!D22</f>
        <v>England</v>
      </c>
      <c r="I4" s="579" t="s">
        <v>247</v>
      </c>
      <c r="K4" s="581"/>
      <c r="L4" s="581"/>
      <c r="M4" s="581"/>
      <c r="N4" s="581"/>
      <c r="O4" s="581"/>
      <c r="P4" s="581"/>
      <c r="AA4" s="581"/>
      <c r="AB4" s="581"/>
      <c r="AC4" s="581"/>
      <c r="AD4" s="581"/>
      <c r="AE4" s="581"/>
      <c r="AF4" s="581"/>
      <c r="AG4" s="581"/>
      <c r="AH4" s="581"/>
      <c r="AI4" s="581"/>
      <c r="AJ4" s="581"/>
      <c r="AK4" s="581"/>
      <c r="AL4" s="581"/>
      <c r="AM4" s="581"/>
      <c r="AN4" s="581"/>
      <c r="AO4" s="581"/>
      <c r="AP4" s="581"/>
      <c r="AQ4" s="581"/>
      <c r="AR4" s="581"/>
    </row>
    <row r="5" spans="1:44" ht="9" customHeight="1" x14ac:dyDescent="0.3">
      <c r="A5" s="581"/>
      <c r="C5" s="291"/>
      <c r="K5" s="581"/>
      <c r="L5" s="581"/>
      <c r="M5" s="581"/>
      <c r="N5" s="581"/>
      <c r="O5" s="581"/>
      <c r="P5" s="581"/>
      <c r="AA5" s="581"/>
      <c r="AB5" s="581"/>
      <c r="AC5" s="581"/>
      <c r="AD5" s="581"/>
      <c r="AE5" s="581"/>
      <c r="AF5" s="581"/>
      <c r="AG5" s="581"/>
      <c r="AH5" s="581"/>
      <c r="AI5" s="581"/>
      <c r="AJ5" s="581"/>
      <c r="AK5" s="581"/>
      <c r="AL5" s="581"/>
      <c r="AM5" s="581"/>
      <c r="AN5" s="581"/>
      <c r="AO5" s="581"/>
      <c r="AP5" s="581"/>
      <c r="AQ5" s="581"/>
      <c r="AR5" s="581"/>
    </row>
    <row r="6" spans="1:44" ht="13" x14ac:dyDescent="0.3">
      <c r="A6" s="581"/>
      <c r="C6" s="291" t="s">
        <v>667</v>
      </c>
      <c r="D6" s="291" t="str">
        <f>basic!D26</f>
        <v>Enter Address Details</v>
      </c>
      <c r="K6" s="581"/>
      <c r="L6" s="581"/>
      <c r="M6" s="581"/>
      <c r="N6" s="581"/>
      <c r="O6" s="581"/>
      <c r="P6" s="581"/>
      <c r="AA6" s="581"/>
      <c r="AB6" s="581"/>
      <c r="AC6" s="581"/>
      <c r="AD6" s="581"/>
      <c r="AE6" s="581"/>
      <c r="AF6" s="581"/>
      <c r="AG6" s="581"/>
      <c r="AH6" s="581"/>
      <c r="AI6" s="581"/>
      <c r="AJ6" s="581"/>
      <c r="AK6" s="581"/>
      <c r="AL6" s="581"/>
      <c r="AM6" s="581"/>
      <c r="AN6" s="581"/>
      <c r="AO6" s="581"/>
      <c r="AP6" s="581"/>
      <c r="AQ6" s="581"/>
      <c r="AR6" s="581"/>
    </row>
    <row r="7" spans="1:44" ht="13" x14ac:dyDescent="0.3">
      <c r="A7" s="581"/>
      <c r="C7" s="291"/>
      <c r="D7" s="291"/>
      <c r="K7" s="581"/>
      <c r="L7" s="581"/>
      <c r="M7" s="581"/>
      <c r="N7" s="581"/>
      <c r="O7" s="581"/>
      <c r="P7" s="581"/>
      <c r="AA7" s="581"/>
      <c r="AB7" s="581"/>
      <c r="AC7" s="581"/>
      <c r="AD7" s="581"/>
      <c r="AE7" s="581"/>
      <c r="AF7" s="581"/>
      <c r="AG7" s="581"/>
      <c r="AH7" s="581"/>
      <c r="AI7" s="581"/>
      <c r="AJ7" s="581"/>
      <c r="AK7" s="581"/>
      <c r="AL7" s="581"/>
      <c r="AM7" s="581"/>
      <c r="AN7" s="581"/>
      <c r="AO7" s="581"/>
      <c r="AP7" s="581"/>
      <c r="AQ7" s="581"/>
      <c r="AR7" s="581"/>
    </row>
    <row r="8" spans="1:44" ht="13.5" customHeight="1" x14ac:dyDescent="0.3">
      <c r="A8" s="581"/>
      <c r="C8" s="489"/>
      <c r="D8" s="498" t="str">
        <f>IF(calc2!F38=FALSE,"As Transition did not apply in the previous year it will not apply this year","")</f>
        <v>As Transition did not apply in the previous year it will not apply this year</v>
      </c>
      <c r="E8" s="335"/>
      <c r="F8" s="335"/>
      <c r="G8" s="335"/>
      <c r="H8" s="283"/>
      <c r="I8" s="487"/>
      <c r="K8" s="581"/>
      <c r="L8" s="581"/>
      <c r="M8" s="581"/>
      <c r="N8" s="581"/>
      <c r="O8" s="581"/>
      <c r="P8" s="581"/>
      <c r="AA8" s="581"/>
      <c r="AB8" s="581"/>
      <c r="AC8" s="581"/>
      <c r="AD8" s="581"/>
      <c r="AE8" s="581"/>
      <c r="AF8" s="581"/>
      <c r="AG8" s="581"/>
      <c r="AH8" s="581"/>
      <c r="AI8" s="581"/>
      <c r="AJ8" s="581"/>
      <c r="AK8" s="581"/>
      <c r="AL8" s="581"/>
      <c r="AM8" s="581"/>
      <c r="AN8" s="581"/>
      <c r="AO8" s="581"/>
      <c r="AP8" s="581"/>
      <c r="AQ8" s="581"/>
      <c r="AR8" s="581"/>
    </row>
    <row r="9" spans="1:44" ht="9.75" customHeight="1" x14ac:dyDescent="0.3">
      <c r="A9" s="581"/>
      <c r="C9" s="291"/>
      <c r="K9" s="581"/>
      <c r="L9" s="581"/>
      <c r="M9" s="581"/>
      <c r="N9" s="581"/>
      <c r="O9" s="581"/>
      <c r="P9" s="581"/>
      <c r="S9" s="480" t="s">
        <v>57</v>
      </c>
      <c r="T9" s="302">
        <f>data!B3-1</f>
        <v>45016</v>
      </c>
      <c r="AA9" s="581"/>
      <c r="AB9" s="581"/>
      <c r="AC9" s="581"/>
      <c r="AD9" s="581"/>
      <c r="AE9" s="581"/>
      <c r="AF9" s="581"/>
      <c r="AG9" s="581"/>
      <c r="AH9" s="581"/>
      <c r="AI9" s="581"/>
      <c r="AJ9" s="581"/>
      <c r="AK9" s="581"/>
      <c r="AL9" s="581"/>
      <c r="AM9" s="581"/>
      <c r="AN9" s="581"/>
      <c r="AO9" s="581"/>
      <c r="AP9" s="581"/>
      <c r="AQ9" s="581"/>
      <c r="AR9" s="581"/>
    </row>
    <row r="10" spans="1:44" ht="13.5" customHeight="1" x14ac:dyDescent="0.3">
      <c r="A10" s="581"/>
      <c r="C10" s="291" t="str">
        <f>basic!D18</f>
        <v xml:space="preserve">2026/27 </v>
      </c>
      <c r="D10" s="257" t="str">
        <f>"The Base Liability is the Transitional Limit from the previous year"</f>
        <v>The Base Liability is the Transitional Limit from the previous year</v>
      </c>
      <c r="H10" s="476"/>
      <c r="K10" s="581"/>
      <c r="L10" s="581"/>
      <c r="M10" s="581"/>
      <c r="N10" s="581"/>
      <c r="O10" s="581"/>
      <c r="P10" s="581"/>
      <c r="S10" s="480" t="s">
        <v>43</v>
      </c>
      <c r="T10" s="495">
        <f>basic!I5</f>
        <v>0</v>
      </c>
      <c r="AA10" s="581"/>
      <c r="AB10" s="581"/>
      <c r="AC10" s="581"/>
      <c r="AD10" s="581"/>
      <c r="AE10" s="581"/>
      <c r="AF10" s="581"/>
      <c r="AG10" s="581"/>
      <c r="AH10" s="581"/>
      <c r="AI10" s="581"/>
      <c r="AJ10" s="581"/>
      <c r="AK10" s="581"/>
      <c r="AL10" s="581"/>
      <c r="AM10" s="581"/>
      <c r="AN10" s="581"/>
      <c r="AO10" s="581"/>
      <c r="AP10" s="581"/>
      <c r="AQ10" s="581"/>
      <c r="AR10" s="581"/>
    </row>
    <row r="11" spans="1:44" ht="13" x14ac:dyDescent="0.3">
      <c r="A11" s="581"/>
      <c r="C11" s="291"/>
      <c r="D11" s="256" t="str">
        <f>"which is a figure of £"&amp;TEXT(T14,"#,###.00")</f>
        <v>which is a figure of £.00</v>
      </c>
      <c r="H11" s="496"/>
      <c r="K11" s="581"/>
      <c r="L11" s="581"/>
      <c r="M11" s="581"/>
      <c r="N11" s="581"/>
      <c r="O11" s="581"/>
      <c r="P11" s="581"/>
      <c r="S11" s="480" t="s">
        <v>44</v>
      </c>
      <c r="T11" s="480"/>
      <c r="AA11" s="581"/>
      <c r="AB11" s="581"/>
      <c r="AC11" s="581"/>
      <c r="AD11" s="581"/>
      <c r="AE11" s="581"/>
      <c r="AF11" s="581"/>
      <c r="AG11" s="581"/>
      <c r="AH11" s="581"/>
      <c r="AI11" s="581"/>
      <c r="AJ11" s="581"/>
      <c r="AK11" s="581"/>
      <c r="AL11" s="581"/>
      <c r="AM11" s="581"/>
      <c r="AN11" s="581"/>
      <c r="AO11" s="581"/>
      <c r="AP11" s="581"/>
      <c r="AQ11" s="581"/>
      <c r="AR11" s="581"/>
    </row>
    <row r="12" spans="1:44" ht="13.5" customHeight="1" x14ac:dyDescent="0.3">
      <c r="A12" s="581"/>
      <c r="C12" s="291"/>
      <c r="D12" s="257" t="str">
        <f>"The Notional Liability is the RV as at "&amp;TEXT(T9+1,"dd/mm/yy")&amp;" ( "&amp;TEXT(T15,"#,###")&amp;" ) x the Small"</f>
        <v>The Notional Liability is the RV as at 01/04/23 (  ) x the Small</v>
      </c>
      <c r="K12" s="581"/>
      <c r="L12" s="581"/>
      <c r="M12" s="581"/>
      <c r="N12" s="581"/>
      <c r="O12" s="581"/>
      <c r="P12" s="581"/>
      <c r="S12" s="480" t="s">
        <v>45</v>
      </c>
      <c r="T12" s="480"/>
      <c r="AA12" s="581"/>
      <c r="AB12" s="581"/>
      <c r="AC12" s="581"/>
      <c r="AD12" s="581"/>
      <c r="AE12" s="581"/>
      <c r="AF12" s="581"/>
      <c r="AG12" s="581"/>
      <c r="AH12" s="581"/>
      <c r="AI12" s="581"/>
      <c r="AJ12" s="581"/>
      <c r="AK12" s="581"/>
      <c r="AL12" s="581"/>
      <c r="AM12" s="581"/>
      <c r="AN12" s="581"/>
      <c r="AO12" s="581"/>
      <c r="AP12" s="581"/>
      <c r="AQ12" s="581"/>
      <c r="AR12" s="581"/>
    </row>
    <row r="13" spans="1:44" ht="13.5" customHeight="1" x14ac:dyDescent="0.3">
      <c r="A13" s="581"/>
      <c r="C13" s="291"/>
      <c r="D13" s="256" t="str">
        <f>"Multiplier for "&amp;TEXT(text!B10,"dd/mm/yy")&amp;" ( "&amp;TEXT(T16,"0.000")&amp;" ) which gives a figure of "&amp;TEXT(T17,"#,###.00")</f>
        <v>Multiplier for 01/04/24 ( 0.519 ) which gives a figure of .00</v>
      </c>
      <c r="K13" s="581"/>
      <c r="L13" s="581"/>
      <c r="M13" s="581"/>
      <c r="N13" s="581"/>
      <c r="O13" s="581"/>
      <c r="P13" s="581"/>
      <c r="S13" s="480" t="s">
        <v>46</v>
      </c>
      <c r="T13" s="497"/>
      <c r="AA13" s="581"/>
      <c r="AB13" s="581"/>
      <c r="AC13" s="581"/>
      <c r="AD13" s="581"/>
      <c r="AE13" s="581"/>
      <c r="AF13" s="581"/>
      <c r="AG13" s="581"/>
      <c r="AH13" s="581"/>
      <c r="AI13" s="581"/>
      <c r="AJ13" s="581"/>
      <c r="AK13" s="581"/>
      <c r="AL13" s="581"/>
      <c r="AM13" s="581"/>
      <c r="AN13" s="581"/>
      <c r="AO13" s="581"/>
      <c r="AP13" s="581"/>
      <c r="AQ13" s="581"/>
      <c r="AR13" s="581"/>
    </row>
    <row r="14" spans="1:44" ht="13.5" customHeight="1" x14ac:dyDescent="0.3">
      <c r="A14" s="581"/>
      <c r="C14" s="291"/>
      <c r="D14" s="257"/>
      <c r="H14" s="476"/>
      <c r="K14" s="581"/>
      <c r="L14" s="581"/>
      <c r="M14" s="581"/>
      <c r="N14" s="581"/>
      <c r="O14" s="581"/>
      <c r="P14" s="581"/>
      <c r="S14" s="480" t="s">
        <v>49</v>
      </c>
      <c r="T14" s="480">
        <f>calc2!G19</f>
        <v>0</v>
      </c>
      <c r="AA14" s="581"/>
      <c r="AB14" s="581"/>
      <c r="AC14" s="581"/>
      <c r="AD14" s="581"/>
      <c r="AE14" s="581"/>
      <c r="AF14" s="581"/>
      <c r="AG14" s="581"/>
      <c r="AH14" s="581"/>
      <c r="AI14" s="581"/>
      <c r="AJ14" s="581"/>
      <c r="AK14" s="581"/>
      <c r="AL14" s="581"/>
      <c r="AM14" s="581"/>
      <c r="AN14" s="581"/>
      <c r="AO14" s="581"/>
      <c r="AP14" s="581"/>
      <c r="AQ14" s="581"/>
      <c r="AR14" s="581"/>
    </row>
    <row r="15" spans="1:44" ht="13.5" customHeight="1" x14ac:dyDescent="0.3">
      <c r="A15" s="581"/>
      <c r="C15" s="291"/>
      <c r="D15" s="256" t="str">
        <f>"The Notional Liability is "&amp;T19&amp;" than the Base Liability so the ratepayer is a revaluation "&amp;T20</f>
        <v>The Notional Liability is less than the Base Liability so the ratepayer is a revaluation Winner</v>
      </c>
      <c r="K15" s="581"/>
      <c r="L15" s="581"/>
      <c r="M15" s="581"/>
      <c r="N15" s="581"/>
      <c r="O15" s="581"/>
      <c r="P15" s="581"/>
      <c r="S15" s="480" t="s">
        <v>1223</v>
      </c>
      <c r="T15" s="495">
        <f>calc2!D5</f>
        <v>0</v>
      </c>
      <c r="AA15" s="581"/>
      <c r="AB15" s="581"/>
      <c r="AC15" s="581"/>
      <c r="AD15" s="581"/>
      <c r="AE15" s="581"/>
      <c r="AF15" s="581"/>
      <c r="AG15" s="581"/>
      <c r="AH15" s="581"/>
      <c r="AI15" s="581"/>
      <c r="AJ15" s="581"/>
      <c r="AK15" s="581"/>
      <c r="AL15" s="581"/>
      <c r="AM15" s="581"/>
      <c r="AN15" s="581"/>
      <c r="AO15" s="581"/>
      <c r="AP15" s="581"/>
      <c r="AQ15" s="581"/>
      <c r="AR15" s="581"/>
    </row>
    <row r="16" spans="1:44" ht="13.5" customHeight="1" x14ac:dyDescent="0.3">
      <c r="A16" s="581"/>
      <c r="C16" s="291"/>
      <c r="D16" s="256" t="str">
        <f>"The property is in "&amp;H4&amp;" so the Medium/Small threshold is "&amp;TEXT(T21,"#,###")&amp;". "</f>
        <v xml:space="preserve">The property is in England so the Medium/Small threshold is 20,000. </v>
      </c>
      <c r="K16" s="581"/>
      <c r="L16" s="581"/>
      <c r="M16" s="581"/>
      <c r="N16" s="581"/>
      <c r="O16" s="581"/>
      <c r="P16" s="581"/>
      <c r="S16" s="480" t="s">
        <v>47</v>
      </c>
      <c r="T16" s="480">
        <f>data!C56</f>
        <v>0.51900000000000002</v>
      </c>
      <c r="AA16" s="581"/>
      <c r="AB16" s="581"/>
      <c r="AC16" s="581"/>
      <c r="AD16" s="581"/>
      <c r="AE16" s="581"/>
      <c r="AF16" s="581"/>
      <c r="AG16" s="581"/>
      <c r="AH16" s="581"/>
      <c r="AI16" s="581"/>
      <c r="AJ16" s="581"/>
      <c r="AK16" s="581"/>
      <c r="AL16" s="581"/>
      <c r="AM16" s="581"/>
      <c r="AN16" s="581"/>
      <c r="AO16" s="581"/>
      <c r="AP16" s="581"/>
      <c r="AQ16" s="581"/>
      <c r="AR16" s="581"/>
    </row>
    <row r="17" spans="1:44" ht="13.5" customHeight="1" x14ac:dyDescent="0.3">
      <c r="A17" s="581"/>
      <c r="C17" s="291"/>
      <c r="D17" s="256" t="str">
        <f>"The Large threshold is "&amp;TEXT(Y19,"#,###")</f>
        <v>The Large threshold is 100,000</v>
      </c>
      <c r="K17" s="581"/>
      <c r="L17" s="581"/>
      <c r="M17" s="581"/>
      <c r="N17" s="581"/>
      <c r="O17" s="581"/>
      <c r="P17" s="581"/>
      <c r="S17" s="480" t="s">
        <v>48</v>
      </c>
      <c r="T17" s="480">
        <f>T15*T16</f>
        <v>0</v>
      </c>
      <c r="V17" s="479" t="s">
        <v>51</v>
      </c>
      <c r="W17" s="479"/>
      <c r="X17" s="479"/>
      <c r="Y17" s="479"/>
      <c r="AA17" s="581"/>
      <c r="AB17" s="581"/>
      <c r="AC17" s="581"/>
      <c r="AD17" s="581"/>
      <c r="AE17" s="581"/>
      <c r="AF17" s="581"/>
      <c r="AG17" s="581"/>
      <c r="AH17" s="581"/>
      <c r="AI17" s="581"/>
      <c r="AJ17" s="581"/>
      <c r="AK17" s="581"/>
      <c r="AL17" s="581"/>
      <c r="AM17" s="581"/>
      <c r="AN17" s="581"/>
      <c r="AO17" s="581"/>
      <c r="AP17" s="581"/>
      <c r="AQ17" s="581"/>
      <c r="AR17" s="581"/>
    </row>
    <row r="18" spans="1:44" ht="13.5" customHeight="1" x14ac:dyDescent="0.3">
      <c r="A18" s="581"/>
      <c r="C18" s="291"/>
      <c r="D18" s="256" t="str">
        <f>"The RV as at "&amp;TEXT(T9+1,"dd/mm/yy")&amp;" is "&amp;TEXT(T15,"#,###")&amp;" so the property is "&amp;T23</f>
        <v>The RV as at 01/04/23 is  so the property is Small</v>
      </c>
      <c r="K18" s="581"/>
      <c r="L18" s="581"/>
      <c r="M18" s="581"/>
      <c r="N18" s="581"/>
      <c r="O18" s="581"/>
      <c r="P18" s="581"/>
      <c r="S18" s="480" t="s">
        <v>27</v>
      </c>
      <c r="T18" s="480" t="b">
        <f>T17&gt;T14</f>
        <v>0</v>
      </c>
      <c r="V18" s="480" t="str">
        <f>data!C22</f>
        <v>e small &lt;=</v>
      </c>
      <c r="W18" s="480" t="str">
        <f>data!D22</f>
        <v>l small &lt;=</v>
      </c>
      <c r="X18" s="480" t="str">
        <f>data!E22</f>
        <v>c small &lt;=</v>
      </c>
      <c r="Y18" s="480" t="str">
        <f>data!F22</f>
        <v>super &gt;</v>
      </c>
      <c r="AA18" s="581"/>
      <c r="AB18" s="581"/>
      <c r="AC18" s="581"/>
      <c r="AD18" s="581"/>
      <c r="AE18" s="581"/>
      <c r="AF18" s="581"/>
      <c r="AG18" s="581"/>
      <c r="AH18" s="581"/>
      <c r="AI18" s="581"/>
      <c r="AJ18" s="581"/>
      <c r="AK18" s="581"/>
      <c r="AL18" s="581"/>
      <c r="AM18" s="581"/>
      <c r="AN18" s="581"/>
      <c r="AO18" s="581"/>
      <c r="AP18" s="581"/>
      <c r="AQ18" s="581"/>
      <c r="AR18" s="581"/>
    </row>
    <row r="19" spans="1:44" ht="13.5" customHeight="1" x14ac:dyDescent="0.25">
      <c r="A19" s="581"/>
      <c r="K19" s="581"/>
      <c r="L19" s="581"/>
      <c r="M19" s="581"/>
      <c r="N19" s="581"/>
      <c r="O19" s="581"/>
      <c r="P19" s="581"/>
      <c r="S19" s="480" t="s">
        <v>50</v>
      </c>
      <c r="T19" s="480" t="str">
        <f>IF(T18=TRUE,"greater","less")</f>
        <v>less</v>
      </c>
      <c r="V19" s="480">
        <f>data!C23</f>
        <v>20000</v>
      </c>
      <c r="W19" s="480">
        <f>data!D23</f>
        <v>28000</v>
      </c>
      <c r="X19" s="480">
        <f>data!E23</f>
        <v>28000</v>
      </c>
      <c r="Y19" s="480">
        <f>data!F23</f>
        <v>100000</v>
      </c>
      <c r="AA19" s="581"/>
      <c r="AB19" s="581"/>
      <c r="AC19" s="581"/>
      <c r="AD19" s="581"/>
      <c r="AE19" s="581"/>
      <c r="AF19" s="581"/>
      <c r="AG19" s="581"/>
      <c r="AH19" s="581"/>
      <c r="AI19" s="581"/>
      <c r="AJ19" s="581"/>
      <c r="AK19" s="581"/>
      <c r="AL19" s="581"/>
      <c r="AM19" s="581"/>
      <c r="AN19" s="581"/>
      <c r="AO19" s="581"/>
      <c r="AP19" s="581"/>
      <c r="AQ19" s="581"/>
      <c r="AR19" s="581"/>
    </row>
    <row r="20" spans="1:44" ht="13.5" customHeight="1" x14ac:dyDescent="0.25">
      <c r="A20" s="581"/>
      <c r="D20" s="256" t="s">
        <v>28</v>
      </c>
      <c r="K20" s="581"/>
      <c r="L20" s="581"/>
      <c r="M20" s="581"/>
      <c r="N20" s="581"/>
      <c r="O20" s="581"/>
      <c r="P20" s="581"/>
      <c r="S20" s="480" t="s">
        <v>285</v>
      </c>
      <c r="T20" s="480" t="str">
        <f>IF(T18=TRUE,"Loser","Winner")</f>
        <v>Winner</v>
      </c>
      <c r="AA20" s="581"/>
      <c r="AB20" s="581"/>
      <c r="AC20" s="581"/>
      <c r="AD20" s="581"/>
      <c r="AE20" s="581"/>
      <c r="AF20" s="581"/>
      <c r="AG20" s="581"/>
      <c r="AH20" s="581"/>
      <c r="AI20" s="581"/>
      <c r="AJ20" s="581"/>
      <c r="AK20" s="581"/>
      <c r="AL20" s="581"/>
      <c r="AM20" s="581"/>
      <c r="AN20" s="581"/>
      <c r="AO20" s="581"/>
      <c r="AP20" s="581"/>
      <c r="AQ20" s="581"/>
      <c r="AR20" s="581"/>
    </row>
    <row r="21" spans="1:44" ht="13.5" customHeight="1" x14ac:dyDescent="0.25">
      <c r="A21" s="581"/>
      <c r="D21" s="256" t="str">
        <f>"for a '"&amp;T24&amp;"' is found by reference to the following table"</f>
        <v>for a 'Small Winner' is found by reference to the following table</v>
      </c>
      <c r="K21" s="581"/>
      <c r="L21" s="581"/>
      <c r="M21" s="581"/>
      <c r="N21" s="581"/>
      <c r="O21" s="581"/>
      <c r="P21" s="581"/>
      <c r="S21" s="480" t="s">
        <v>56</v>
      </c>
      <c r="T21" s="480">
        <f>calc2!D13</f>
        <v>20000</v>
      </c>
      <c r="V21" s="479" t="s">
        <v>53</v>
      </c>
      <c r="W21" s="479" t="s">
        <v>803</v>
      </c>
      <c r="AA21" s="581"/>
      <c r="AB21" s="581"/>
      <c r="AC21" s="581"/>
      <c r="AD21" s="581"/>
      <c r="AE21" s="581"/>
      <c r="AF21" s="581"/>
      <c r="AG21" s="581"/>
      <c r="AH21" s="581"/>
      <c r="AI21" s="581"/>
      <c r="AJ21" s="581"/>
      <c r="AK21" s="581"/>
      <c r="AL21" s="581"/>
      <c r="AM21" s="581"/>
      <c r="AN21" s="581"/>
      <c r="AO21" s="581"/>
      <c r="AP21" s="581"/>
      <c r="AQ21" s="581"/>
      <c r="AR21" s="581"/>
    </row>
    <row r="22" spans="1:44" ht="13.5" customHeight="1" x14ac:dyDescent="0.25">
      <c r="A22" s="581"/>
      <c r="K22" s="581"/>
      <c r="L22" s="581"/>
      <c r="M22" s="581"/>
      <c r="N22" s="581"/>
      <c r="O22" s="581"/>
      <c r="P22" s="581"/>
      <c r="S22" s="480" t="s">
        <v>52</v>
      </c>
      <c r="T22" s="495" t="str">
        <f>calc2!D23</f>
        <v>s</v>
      </c>
      <c r="V22" s="479" t="s">
        <v>54</v>
      </c>
      <c r="W22" s="479" t="s">
        <v>824</v>
      </c>
      <c r="AA22" s="581"/>
      <c r="AB22" s="581"/>
      <c r="AC22" s="581"/>
      <c r="AD22" s="581"/>
      <c r="AE22" s="581"/>
      <c r="AF22" s="581"/>
      <c r="AG22" s="581"/>
      <c r="AH22" s="581"/>
      <c r="AI22" s="581"/>
      <c r="AJ22" s="581"/>
      <c r="AK22" s="581"/>
      <c r="AL22" s="581"/>
      <c r="AM22" s="581"/>
      <c r="AN22" s="581"/>
      <c r="AO22" s="581"/>
      <c r="AP22" s="581"/>
      <c r="AQ22" s="581"/>
      <c r="AR22" s="581"/>
    </row>
    <row r="23" spans="1:44" ht="13.5" customHeight="1" x14ac:dyDescent="0.3">
      <c r="A23" s="581"/>
      <c r="D23" s="291" t="s">
        <v>29</v>
      </c>
      <c r="E23" s="477" t="s">
        <v>30</v>
      </c>
      <c r="F23" s="477" t="s">
        <v>31</v>
      </c>
      <c r="G23" s="272" t="s">
        <v>32</v>
      </c>
      <c r="K23" s="581"/>
      <c r="L23" s="581"/>
      <c r="M23" s="581"/>
      <c r="N23" s="581"/>
      <c r="O23" s="581"/>
      <c r="P23" s="581"/>
      <c r="S23" s="480" t="s">
        <v>55</v>
      </c>
      <c r="T23" s="480" t="str">
        <f>VLOOKUP(T22,V21:W23,2,FALSE)</f>
        <v>Small</v>
      </c>
      <c r="V23" s="479" t="s">
        <v>293</v>
      </c>
      <c r="W23" s="479" t="s">
        <v>804</v>
      </c>
      <c r="AA23" s="581"/>
      <c r="AB23" s="581"/>
      <c r="AC23" s="581"/>
      <c r="AD23" s="581"/>
      <c r="AE23" s="581"/>
      <c r="AF23" s="581"/>
      <c r="AG23" s="581"/>
      <c r="AH23" s="581"/>
      <c r="AI23" s="581"/>
      <c r="AJ23" s="581"/>
      <c r="AK23" s="581"/>
      <c r="AL23" s="581"/>
      <c r="AM23" s="581"/>
      <c r="AN23" s="581"/>
      <c r="AO23" s="581"/>
      <c r="AP23" s="581"/>
      <c r="AQ23" s="581"/>
      <c r="AR23" s="581"/>
    </row>
    <row r="24" spans="1:44" ht="13.5" customHeight="1" x14ac:dyDescent="0.3">
      <c r="A24" s="581"/>
      <c r="C24" s="478" t="str">
        <f t="shared" ref="C24:C29" si="0">IF(D24=$T$24,"&gt;","")</f>
        <v/>
      </c>
      <c r="D24" s="479" t="s">
        <v>33</v>
      </c>
      <c r="E24" s="480">
        <f>data!C6</f>
        <v>94.2</v>
      </c>
      <c r="F24" s="480">
        <f>'info sheet'!J32</f>
        <v>0</v>
      </c>
      <c r="G24" s="480">
        <f t="shared" ref="G24:G29" si="1">E24*F24/100</f>
        <v>0</v>
      </c>
      <c r="K24" s="581"/>
      <c r="L24" s="581"/>
      <c r="M24" s="581"/>
      <c r="N24" s="581"/>
      <c r="O24" s="581"/>
      <c r="P24" s="581"/>
      <c r="S24" s="480" t="s">
        <v>279</v>
      </c>
      <c r="T24" s="480" t="str">
        <f>T23&amp;" "&amp;T20</f>
        <v>Small Winner</v>
      </c>
      <c r="AA24" s="581"/>
      <c r="AB24" s="581"/>
      <c r="AC24" s="581"/>
      <c r="AD24" s="581"/>
      <c r="AE24" s="581"/>
      <c r="AF24" s="581"/>
      <c r="AG24" s="581"/>
      <c r="AH24" s="581"/>
      <c r="AI24" s="581"/>
      <c r="AJ24" s="581"/>
      <c r="AK24" s="581"/>
      <c r="AL24" s="581"/>
      <c r="AM24" s="581"/>
      <c r="AN24" s="581"/>
      <c r="AO24" s="581"/>
      <c r="AP24" s="581"/>
      <c r="AQ24" s="581"/>
      <c r="AR24" s="581"/>
    </row>
    <row r="25" spans="1:44" ht="13.5" customHeight="1" x14ac:dyDescent="0.3">
      <c r="A25" s="581"/>
      <c r="C25" s="478" t="str">
        <f t="shared" si="0"/>
        <v/>
      </c>
      <c r="D25" s="479" t="s">
        <v>34</v>
      </c>
      <c r="E25" s="480">
        <f>data!D6</f>
        <v>75</v>
      </c>
      <c r="F25" s="480">
        <f>F24</f>
        <v>0</v>
      </c>
      <c r="G25" s="480">
        <f t="shared" si="1"/>
        <v>0</v>
      </c>
      <c r="K25" s="581"/>
      <c r="L25" s="581"/>
      <c r="M25" s="581"/>
      <c r="N25" s="581"/>
      <c r="O25" s="581"/>
      <c r="P25" s="581"/>
      <c r="S25" s="480" t="s">
        <v>59</v>
      </c>
      <c r="T25" s="480" t="str">
        <f>IF(T22&lt;T23,"below","above")</f>
        <v>below</v>
      </c>
      <c r="AA25" s="581"/>
      <c r="AB25" s="581"/>
      <c r="AC25" s="581"/>
      <c r="AD25" s="581"/>
      <c r="AE25" s="581"/>
      <c r="AF25" s="581"/>
      <c r="AG25" s="581"/>
      <c r="AH25" s="581"/>
      <c r="AI25" s="581"/>
      <c r="AJ25" s="581"/>
      <c r="AK25" s="581"/>
      <c r="AL25" s="581"/>
      <c r="AM25" s="581"/>
      <c r="AN25" s="581"/>
      <c r="AO25" s="581"/>
      <c r="AP25" s="581"/>
      <c r="AQ25" s="581"/>
      <c r="AR25" s="581"/>
    </row>
    <row r="26" spans="1:44" ht="13.5" customHeight="1" x14ac:dyDescent="0.3">
      <c r="A26" s="581"/>
      <c r="C26" s="478" t="str">
        <f t="shared" si="0"/>
        <v>&gt;</v>
      </c>
      <c r="D26" s="479" t="s">
        <v>35</v>
      </c>
      <c r="E26" s="480">
        <f>data!E6</f>
        <v>45</v>
      </c>
      <c r="F26" s="480">
        <f>F25</f>
        <v>0</v>
      </c>
      <c r="G26" s="480">
        <f t="shared" si="1"/>
        <v>0</v>
      </c>
      <c r="K26" s="581"/>
      <c r="L26" s="581"/>
      <c r="M26" s="581"/>
      <c r="N26" s="581"/>
      <c r="O26" s="581"/>
      <c r="P26" s="581"/>
      <c r="S26" s="480" t="s">
        <v>58</v>
      </c>
      <c r="T26" s="480">
        <f>calc2!G27</f>
        <v>0.46800000000000003</v>
      </c>
      <c r="AA26" s="581"/>
      <c r="AB26" s="581"/>
      <c r="AC26" s="581"/>
      <c r="AD26" s="581"/>
      <c r="AE26" s="581"/>
      <c r="AF26" s="581"/>
      <c r="AG26" s="581"/>
      <c r="AH26" s="581"/>
      <c r="AI26" s="581"/>
      <c r="AJ26" s="581"/>
      <c r="AK26" s="581"/>
      <c r="AL26" s="581"/>
      <c r="AM26" s="581"/>
      <c r="AN26" s="581"/>
      <c r="AO26" s="581"/>
      <c r="AP26" s="581"/>
      <c r="AQ26" s="581"/>
      <c r="AR26" s="581"/>
    </row>
    <row r="27" spans="1:44" ht="13.5" customHeight="1" x14ac:dyDescent="0.3">
      <c r="A27" s="581"/>
      <c r="C27" s="478" t="str">
        <f t="shared" si="0"/>
        <v/>
      </c>
      <c r="D27" s="479" t="s">
        <v>36</v>
      </c>
      <c r="E27" s="480">
        <f>data!F6</f>
        <v>116</v>
      </c>
      <c r="F27" s="480">
        <f>F26</f>
        <v>0</v>
      </c>
      <c r="G27" s="480">
        <f t="shared" si="1"/>
        <v>0</v>
      </c>
      <c r="K27" s="581"/>
      <c r="L27" s="581"/>
      <c r="M27" s="581"/>
      <c r="N27" s="581"/>
      <c r="O27" s="581"/>
      <c r="P27" s="581"/>
      <c r="S27" s="480" t="s">
        <v>39</v>
      </c>
      <c r="T27" s="485">
        <f>F32-T17</f>
        <v>0</v>
      </c>
      <c r="AA27" s="581"/>
      <c r="AB27" s="581"/>
      <c r="AC27" s="581"/>
      <c r="AD27" s="581"/>
      <c r="AE27" s="581"/>
      <c r="AF27" s="581"/>
      <c r="AG27" s="581"/>
      <c r="AH27" s="581"/>
      <c r="AI27" s="581"/>
      <c r="AJ27" s="581"/>
      <c r="AK27" s="581"/>
      <c r="AL27" s="581"/>
      <c r="AM27" s="581"/>
      <c r="AN27" s="581"/>
      <c r="AO27" s="581"/>
      <c r="AP27" s="581"/>
      <c r="AQ27" s="581"/>
      <c r="AR27" s="581"/>
    </row>
    <row r="28" spans="1:44" ht="13.5" customHeight="1" x14ac:dyDescent="0.3">
      <c r="A28" s="581"/>
      <c r="C28" s="478" t="str">
        <f t="shared" si="0"/>
        <v/>
      </c>
      <c r="D28" s="479" t="s">
        <v>37</v>
      </c>
      <c r="E28" s="480">
        <f>data!G6</f>
        <v>125</v>
      </c>
      <c r="F28" s="480">
        <f>F27</f>
        <v>0</v>
      </c>
      <c r="G28" s="480">
        <f t="shared" si="1"/>
        <v>0</v>
      </c>
      <c r="K28" s="581"/>
      <c r="L28" s="581"/>
      <c r="M28" s="581"/>
      <c r="N28" s="581"/>
      <c r="O28" s="581"/>
      <c r="P28" s="581"/>
      <c r="AA28" s="581"/>
      <c r="AB28" s="581"/>
      <c r="AC28" s="581"/>
      <c r="AD28" s="581"/>
      <c r="AE28" s="581"/>
      <c r="AF28" s="581"/>
      <c r="AG28" s="581"/>
      <c r="AH28" s="581"/>
      <c r="AI28" s="581"/>
      <c r="AJ28" s="581"/>
      <c r="AK28" s="581"/>
      <c r="AL28" s="581"/>
      <c r="AM28" s="581"/>
      <c r="AN28" s="581"/>
      <c r="AO28" s="581"/>
      <c r="AP28" s="581"/>
      <c r="AQ28" s="581"/>
      <c r="AR28" s="581"/>
    </row>
    <row r="29" spans="1:44" ht="13.5" customHeight="1" x14ac:dyDescent="0.3">
      <c r="A29" s="581"/>
      <c r="C29" s="478" t="str">
        <f t="shared" si="0"/>
        <v/>
      </c>
      <c r="D29" s="479" t="s">
        <v>38</v>
      </c>
      <c r="E29" s="480">
        <f>data!H6</f>
        <v>115</v>
      </c>
      <c r="F29" s="480">
        <f>F28</f>
        <v>0</v>
      </c>
      <c r="G29" s="480">
        <f t="shared" si="1"/>
        <v>0</v>
      </c>
      <c r="K29" s="581"/>
      <c r="L29" s="581"/>
      <c r="M29" s="581"/>
      <c r="N29" s="581"/>
      <c r="O29" s="581"/>
      <c r="P29" s="581"/>
      <c r="AA29" s="581"/>
      <c r="AB29" s="581"/>
      <c r="AC29" s="581"/>
      <c r="AD29" s="581"/>
      <c r="AE29" s="581"/>
      <c r="AF29" s="581"/>
      <c r="AG29" s="581"/>
      <c r="AH29" s="581"/>
      <c r="AI29" s="581"/>
      <c r="AJ29" s="581"/>
      <c r="AK29" s="581"/>
      <c r="AL29" s="581"/>
      <c r="AM29" s="581"/>
      <c r="AN29" s="581"/>
      <c r="AO29" s="581"/>
      <c r="AP29" s="581"/>
      <c r="AQ29" s="581"/>
      <c r="AR29" s="581"/>
    </row>
    <row r="30" spans="1:44" ht="13.5" customHeight="1" x14ac:dyDescent="0.3">
      <c r="A30" s="581"/>
      <c r="C30" s="291"/>
      <c r="K30" s="581"/>
      <c r="L30" s="581"/>
      <c r="M30" s="581"/>
      <c r="N30" s="581"/>
      <c r="O30" s="581"/>
      <c r="P30" s="581"/>
      <c r="AA30" s="581"/>
      <c r="AB30" s="581"/>
      <c r="AC30" s="581"/>
      <c r="AD30" s="581"/>
      <c r="AE30" s="581"/>
      <c r="AF30" s="581"/>
      <c r="AG30" s="581"/>
      <c r="AH30" s="581"/>
      <c r="AI30" s="581"/>
      <c r="AJ30" s="581"/>
      <c r="AK30" s="581"/>
      <c r="AL30" s="581"/>
      <c r="AM30" s="581"/>
      <c r="AN30" s="581"/>
      <c r="AO30" s="581"/>
      <c r="AP30" s="581"/>
      <c r="AQ30" s="581"/>
      <c r="AR30" s="581"/>
    </row>
    <row r="31" spans="1:44" ht="13.5" customHeight="1" x14ac:dyDescent="0.3">
      <c r="A31" s="581"/>
      <c r="C31" s="291"/>
      <c r="D31" s="256" t="s">
        <v>60</v>
      </c>
      <c r="K31" s="581"/>
      <c r="L31" s="581"/>
      <c r="M31" s="581"/>
      <c r="N31" s="581"/>
      <c r="O31" s="581"/>
      <c r="P31" s="581"/>
      <c r="AA31" s="581"/>
      <c r="AB31" s="581"/>
      <c r="AC31" s="581"/>
      <c r="AD31" s="581"/>
      <c r="AE31" s="581"/>
      <c r="AF31" s="581"/>
      <c r="AG31" s="581"/>
      <c r="AH31" s="581"/>
      <c r="AI31" s="581"/>
      <c r="AJ31" s="581"/>
      <c r="AK31" s="581"/>
      <c r="AL31" s="581"/>
      <c r="AM31" s="581"/>
      <c r="AN31" s="581"/>
      <c r="AO31" s="581"/>
      <c r="AP31" s="581"/>
      <c r="AQ31" s="581"/>
      <c r="AR31" s="581"/>
    </row>
    <row r="32" spans="1:44" ht="22.5" customHeight="1" x14ac:dyDescent="0.35">
      <c r="A32" s="581"/>
      <c r="C32" s="291"/>
      <c r="D32" s="488" t="str">
        <f>"    "&amp;TEXT(T14,"#,###.00")&amp;"  x  "&amp;T26&amp;" = "</f>
        <v xml:space="preserve">    .00  x  0.468 = </v>
      </c>
      <c r="E32" s="490"/>
      <c r="F32" s="491">
        <f>calc2!G28</f>
        <v>0</v>
      </c>
      <c r="K32" s="581"/>
      <c r="L32" s="581"/>
      <c r="M32" s="581"/>
      <c r="N32" s="581"/>
      <c r="O32" s="581"/>
      <c r="P32" s="581"/>
      <c r="Q32" s="149"/>
      <c r="R32" s="149"/>
      <c r="S32" s="149"/>
      <c r="T32" s="149"/>
      <c r="U32" s="149"/>
      <c r="V32" s="149"/>
      <c r="W32" s="149"/>
      <c r="AA32" s="581"/>
      <c r="AB32" s="581"/>
      <c r="AC32" s="581"/>
      <c r="AD32" s="581"/>
      <c r="AE32" s="581"/>
      <c r="AF32" s="581"/>
      <c r="AG32" s="581"/>
      <c r="AH32" s="581"/>
      <c r="AI32" s="581"/>
      <c r="AJ32" s="581"/>
      <c r="AK32" s="581"/>
      <c r="AL32" s="581"/>
      <c r="AM32" s="581"/>
      <c r="AN32" s="581"/>
      <c r="AO32" s="581"/>
      <c r="AP32" s="581"/>
      <c r="AQ32" s="581"/>
      <c r="AR32" s="581"/>
    </row>
    <row r="33" spans="1:44" ht="14.5" x14ac:dyDescent="0.35">
      <c r="A33" s="581"/>
      <c r="C33" s="291"/>
      <c r="K33" s="581"/>
      <c r="L33" s="581"/>
      <c r="M33" s="581"/>
      <c r="N33" s="581"/>
      <c r="O33" s="581"/>
      <c r="P33" s="581"/>
      <c r="Q33" s="149"/>
      <c r="R33" s="149"/>
      <c r="S33" s="149"/>
      <c r="T33" s="149"/>
      <c r="U33" s="149"/>
      <c r="V33" s="149"/>
      <c r="W33" s="149"/>
      <c r="AA33" s="581"/>
      <c r="AB33" s="581"/>
      <c r="AC33" s="581"/>
      <c r="AD33" s="581"/>
      <c r="AE33" s="581"/>
      <c r="AF33" s="581"/>
      <c r="AG33" s="581"/>
      <c r="AH33" s="581"/>
      <c r="AI33" s="581"/>
      <c r="AJ33" s="581"/>
      <c r="AK33" s="581"/>
      <c r="AL33" s="581"/>
      <c r="AM33" s="581"/>
      <c r="AN33" s="581"/>
      <c r="AO33" s="581"/>
      <c r="AP33" s="581"/>
      <c r="AQ33" s="581"/>
      <c r="AR33" s="581"/>
    </row>
    <row r="34" spans="1:44" ht="13.5" customHeight="1" x14ac:dyDescent="0.35">
      <c r="A34" s="581"/>
      <c r="C34" s="291"/>
      <c r="D34" s="256" t="str">
        <f>"The ratepayer is a "&amp;T20&amp;". Therefore, if the Notional Liability is "&amp;T19&amp;" than the"</f>
        <v>The ratepayer is a Winner. Therefore, if the Notional Liability is less than the</v>
      </c>
      <c r="K34" s="581"/>
      <c r="L34" s="581"/>
      <c r="M34" s="581"/>
      <c r="N34" s="581"/>
      <c r="O34" s="581"/>
      <c r="P34" s="581"/>
      <c r="Q34" s="149"/>
      <c r="R34" s="149"/>
      <c r="S34" s="149"/>
      <c r="T34" s="149"/>
      <c r="U34" s="149"/>
      <c r="V34" s="149"/>
      <c r="W34" s="149"/>
      <c r="AA34" s="581"/>
      <c r="AB34" s="581"/>
      <c r="AC34" s="581"/>
      <c r="AD34" s="581"/>
      <c r="AE34" s="581"/>
      <c r="AF34" s="581"/>
      <c r="AG34" s="581"/>
      <c r="AH34" s="581"/>
      <c r="AI34" s="581"/>
      <c r="AJ34" s="581"/>
      <c r="AK34" s="581"/>
      <c r="AL34" s="581"/>
      <c r="AM34" s="581"/>
      <c r="AN34" s="581"/>
      <c r="AO34" s="581"/>
      <c r="AP34" s="581"/>
      <c r="AQ34" s="581"/>
      <c r="AR34" s="581"/>
    </row>
    <row r="35" spans="1:44" ht="13.5" customHeight="1" x14ac:dyDescent="0.35">
      <c r="A35" s="581"/>
      <c r="C35" s="291"/>
      <c r="D35" s="256" t="str">
        <f>"Base Liability AND "&amp;T19&amp;" than the Transitional Limit, transitional limits will apply"</f>
        <v>Base Liability AND less than the Transitional Limit, transitional limits will apply</v>
      </c>
      <c r="K35" s="581"/>
      <c r="L35" s="581"/>
      <c r="M35" s="581"/>
      <c r="N35" s="581"/>
      <c r="O35" s="581"/>
      <c r="P35" s="581"/>
      <c r="Q35" s="149"/>
      <c r="R35" s="149"/>
      <c r="S35" s="149"/>
      <c r="T35" s="149"/>
      <c r="U35" s="149"/>
      <c r="V35" s="149"/>
      <c r="W35" s="149"/>
      <c r="AA35" s="581"/>
      <c r="AB35" s="581"/>
      <c r="AC35" s="581"/>
      <c r="AD35" s="581"/>
      <c r="AE35" s="581"/>
      <c r="AF35" s="581"/>
      <c r="AG35" s="581"/>
      <c r="AH35" s="581"/>
      <c r="AI35" s="581"/>
      <c r="AJ35" s="581"/>
      <c r="AK35" s="581"/>
      <c r="AL35" s="581"/>
      <c r="AM35" s="581"/>
      <c r="AN35" s="581"/>
      <c r="AO35" s="581"/>
      <c r="AP35" s="581"/>
      <c r="AQ35" s="581"/>
      <c r="AR35" s="581"/>
    </row>
    <row r="36" spans="1:44" ht="13.5" customHeight="1" x14ac:dyDescent="0.35">
      <c r="A36" s="581"/>
      <c r="C36" s="291"/>
      <c r="K36" s="581"/>
      <c r="L36" s="581"/>
      <c r="M36" s="581"/>
      <c r="N36" s="581"/>
      <c r="O36" s="581"/>
      <c r="P36" s="581"/>
      <c r="Q36" s="149"/>
      <c r="R36" s="149"/>
      <c r="S36" s="149"/>
      <c r="T36" s="149"/>
      <c r="U36" s="149"/>
      <c r="V36" s="149"/>
      <c r="W36" s="149"/>
      <c r="AA36" s="581"/>
      <c r="AB36" s="581"/>
      <c r="AC36" s="581"/>
      <c r="AD36" s="581"/>
      <c r="AE36" s="581"/>
      <c r="AF36" s="581"/>
      <c r="AG36" s="581"/>
      <c r="AH36" s="581"/>
      <c r="AI36" s="581"/>
      <c r="AJ36" s="581"/>
      <c r="AK36" s="581"/>
      <c r="AL36" s="581"/>
      <c r="AM36" s="581"/>
      <c r="AN36" s="581"/>
      <c r="AO36" s="581"/>
      <c r="AP36" s="581"/>
      <c r="AQ36" s="581"/>
      <c r="AR36" s="581"/>
    </row>
    <row r="37" spans="1:44" ht="13.5" customHeight="1" x14ac:dyDescent="0.35">
      <c r="A37" s="581"/>
      <c r="C37" s="291"/>
      <c r="D37" s="482" t="s">
        <v>40</v>
      </c>
      <c r="E37" s="483"/>
      <c r="F37" s="484">
        <f>T17</f>
        <v>0</v>
      </c>
      <c r="K37" s="581"/>
      <c r="L37" s="581"/>
      <c r="M37" s="581"/>
      <c r="N37" s="581"/>
      <c r="O37" s="581"/>
      <c r="P37" s="581"/>
      <c r="Q37" s="149"/>
      <c r="R37" s="149"/>
      <c r="S37" s="149"/>
      <c r="T37" s="149"/>
      <c r="U37" s="149"/>
      <c r="V37" s="149"/>
      <c r="W37" s="149"/>
      <c r="AA37" s="581"/>
      <c r="AB37" s="581"/>
      <c r="AC37" s="581"/>
      <c r="AD37" s="581"/>
      <c r="AE37" s="581"/>
      <c r="AF37" s="581"/>
      <c r="AG37" s="581"/>
      <c r="AH37" s="581"/>
      <c r="AI37" s="581"/>
      <c r="AJ37" s="581"/>
      <c r="AK37" s="581"/>
      <c r="AL37" s="581"/>
      <c r="AM37" s="581"/>
      <c r="AN37" s="581"/>
      <c r="AO37" s="581"/>
      <c r="AP37" s="581"/>
      <c r="AQ37" s="581"/>
      <c r="AR37" s="581"/>
    </row>
    <row r="38" spans="1:44" ht="13.5" customHeight="1" x14ac:dyDescent="0.35">
      <c r="A38" s="581"/>
      <c r="C38" s="291"/>
      <c r="D38" s="482" t="s">
        <v>834</v>
      </c>
      <c r="E38" s="483"/>
      <c r="F38" s="484">
        <f>T14</f>
        <v>0</v>
      </c>
      <c r="K38" s="581"/>
      <c r="L38" s="581"/>
      <c r="M38" s="581"/>
      <c r="N38" s="581"/>
      <c r="O38" s="581"/>
      <c r="P38" s="581"/>
      <c r="Q38" s="149"/>
      <c r="R38" s="149"/>
      <c r="S38" s="149"/>
      <c r="T38" s="149"/>
      <c r="U38" s="149"/>
      <c r="V38" s="149"/>
      <c r="W38" s="149"/>
      <c r="AA38" s="581"/>
      <c r="AB38" s="581"/>
      <c r="AC38" s="581"/>
      <c r="AD38" s="581"/>
      <c r="AE38" s="581"/>
      <c r="AF38" s="581"/>
      <c r="AG38" s="581"/>
      <c r="AH38" s="581"/>
      <c r="AI38" s="581"/>
      <c r="AJ38" s="581"/>
      <c r="AK38" s="581"/>
      <c r="AL38" s="581"/>
      <c r="AM38" s="581"/>
      <c r="AN38" s="581"/>
      <c r="AO38" s="581"/>
      <c r="AP38" s="581"/>
      <c r="AQ38" s="581"/>
      <c r="AR38" s="581"/>
    </row>
    <row r="39" spans="1:44" ht="13.5" customHeight="1" x14ac:dyDescent="0.35">
      <c r="A39" s="581"/>
      <c r="C39" s="291"/>
      <c r="D39" s="482" t="s">
        <v>41</v>
      </c>
      <c r="E39" s="483"/>
      <c r="F39" s="484">
        <f>F32</f>
        <v>0</v>
      </c>
      <c r="K39" s="581"/>
      <c r="L39" s="581"/>
      <c r="M39" s="581"/>
      <c r="N39" s="581"/>
      <c r="O39" s="581"/>
      <c r="P39" s="581"/>
      <c r="Q39" s="149"/>
      <c r="R39" s="149"/>
      <c r="S39" s="149"/>
      <c r="T39" s="149"/>
      <c r="U39" s="149"/>
      <c r="V39" s="149"/>
      <c r="W39" s="149"/>
      <c r="AA39" s="581"/>
      <c r="AB39" s="581"/>
      <c r="AC39" s="581"/>
      <c r="AD39" s="581"/>
      <c r="AE39" s="581"/>
      <c r="AF39" s="581"/>
      <c r="AG39" s="581"/>
      <c r="AH39" s="581"/>
      <c r="AI39" s="581"/>
      <c r="AJ39" s="581"/>
      <c r="AK39" s="581"/>
      <c r="AL39" s="581"/>
      <c r="AM39" s="581"/>
      <c r="AN39" s="581"/>
      <c r="AO39" s="581"/>
      <c r="AP39" s="581"/>
      <c r="AQ39" s="581"/>
      <c r="AR39" s="581"/>
    </row>
    <row r="40" spans="1:44" ht="14.15" customHeight="1" x14ac:dyDescent="0.35">
      <c r="A40" s="581"/>
      <c r="D40" s="482" t="s">
        <v>42</v>
      </c>
      <c r="E40" s="483"/>
      <c r="F40" s="485" t="str">
        <f>IF(calc2!G38 = TRUE,"Yes","No")</f>
        <v>No</v>
      </c>
      <c r="G40" s="257" t="str">
        <f>IF(T14=0,"If there is no BL transition does not apply",IF(F40="Yes",IF(T20="Loser","(Transitional Relief)","(Transitional Premium)"),""))</f>
        <v>If there is no BL transition does not apply</v>
      </c>
      <c r="K40" s="581"/>
      <c r="L40" s="581"/>
      <c r="M40" s="581"/>
      <c r="N40" s="581"/>
      <c r="O40" s="581"/>
      <c r="P40" s="581"/>
      <c r="Q40" s="149"/>
      <c r="R40" s="149"/>
      <c r="S40" s="149"/>
      <c r="T40" s="149"/>
      <c r="U40" s="149"/>
      <c r="V40" s="149"/>
      <c r="W40" s="149"/>
      <c r="AA40" s="581"/>
      <c r="AB40" s="581"/>
      <c r="AC40" s="581"/>
      <c r="AD40" s="581"/>
      <c r="AE40" s="581"/>
      <c r="AF40" s="581"/>
      <c r="AG40" s="581"/>
      <c r="AH40" s="581"/>
      <c r="AI40" s="581"/>
      <c r="AJ40" s="581"/>
      <c r="AK40" s="581"/>
      <c r="AL40" s="581"/>
      <c r="AM40" s="581"/>
      <c r="AN40" s="581"/>
      <c r="AO40" s="581"/>
      <c r="AP40" s="581"/>
      <c r="AQ40" s="581"/>
      <c r="AR40" s="581"/>
    </row>
    <row r="41" spans="1:44" ht="14.15" customHeight="1" x14ac:dyDescent="0.35">
      <c r="A41" s="581"/>
      <c r="F41" s="486"/>
      <c r="K41" s="581"/>
      <c r="L41" s="581"/>
      <c r="M41" s="581"/>
      <c r="N41" s="581"/>
      <c r="O41" s="581"/>
      <c r="P41" s="581"/>
      <c r="Q41" s="149"/>
      <c r="R41" s="149"/>
      <c r="S41" s="149"/>
      <c r="T41" s="149"/>
      <c r="U41" s="149"/>
      <c r="V41" s="149"/>
      <c r="W41" s="149"/>
      <c r="AA41" s="581"/>
      <c r="AB41" s="581"/>
      <c r="AC41" s="581"/>
      <c r="AD41" s="581"/>
      <c r="AE41" s="581"/>
      <c r="AF41" s="581"/>
      <c r="AG41" s="581"/>
      <c r="AH41" s="581"/>
      <c r="AI41" s="581"/>
      <c r="AJ41" s="581"/>
      <c r="AK41" s="581"/>
      <c r="AL41" s="581"/>
      <c r="AM41" s="581"/>
      <c r="AN41" s="581"/>
      <c r="AO41" s="581"/>
      <c r="AP41" s="581"/>
      <c r="AQ41" s="581"/>
      <c r="AR41" s="581"/>
    </row>
    <row r="42" spans="1:44" ht="19.5" customHeight="1" x14ac:dyDescent="0.35">
      <c r="A42" s="581"/>
      <c r="D42" s="488" t="str">
        <f>IF(F40="Yes","The Transitional Adjustment (TL - NL) is therefore   "&amp;TEXT(T27,"#,###.00"),"In this case there will be no transitional adjustment")</f>
        <v>In this case there will be no transitional adjustment</v>
      </c>
      <c r="F42" s="486"/>
      <c r="G42" s="481"/>
      <c r="K42" s="581"/>
      <c r="L42" s="581"/>
      <c r="M42" s="581"/>
      <c r="N42" s="581"/>
      <c r="O42" s="581"/>
      <c r="P42" s="581"/>
      <c r="Q42" s="149"/>
      <c r="R42" s="149"/>
      <c r="S42" s="149"/>
      <c r="T42" s="149"/>
      <c r="U42" s="149"/>
      <c r="V42" s="149"/>
      <c r="W42" s="149"/>
      <c r="AA42" s="581"/>
      <c r="AB42" s="581"/>
      <c r="AC42" s="581"/>
      <c r="AD42" s="581"/>
      <c r="AE42" s="581"/>
      <c r="AF42" s="581"/>
      <c r="AG42" s="581"/>
      <c r="AH42" s="581"/>
      <c r="AI42" s="581"/>
      <c r="AJ42" s="581"/>
      <c r="AK42" s="581"/>
      <c r="AL42" s="581"/>
      <c r="AM42" s="581"/>
      <c r="AN42" s="581"/>
      <c r="AO42" s="581"/>
      <c r="AP42" s="581"/>
      <c r="AQ42" s="581"/>
      <c r="AR42" s="581"/>
    </row>
    <row r="43" spans="1:44" ht="14.15" customHeight="1" x14ac:dyDescent="0.35">
      <c r="A43" s="581"/>
      <c r="F43" s="486"/>
      <c r="K43" s="581"/>
      <c r="L43" s="581"/>
      <c r="M43" s="581"/>
      <c r="N43" s="581"/>
      <c r="O43" s="581"/>
      <c r="P43" s="581"/>
      <c r="Q43" s="149"/>
      <c r="R43" s="149"/>
      <c r="S43" s="149"/>
      <c r="T43" s="149"/>
      <c r="U43" s="149"/>
      <c r="V43" s="149"/>
      <c r="W43" s="149"/>
      <c r="AA43" s="581"/>
      <c r="AB43" s="581"/>
      <c r="AC43" s="581"/>
      <c r="AD43" s="581"/>
      <c r="AE43" s="581"/>
      <c r="AF43" s="581"/>
      <c r="AG43" s="581"/>
      <c r="AH43" s="581"/>
      <c r="AI43" s="581"/>
      <c r="AJ43" s="581"/>
      <c r="AK43" s="581"/>
      <c r="AL43" s="581"/>
      <c r="AM43" s="581"/>
      <c r="AN43" s="581"/>
      <c r="AO43" s="581"/>
      <c r="AP43" s="581"/>
      <c r="AQ43" s="581"/>
      <c r="AR43" s="581"/>
    </row>
    <row r="44" spans="1:44" ht="14.15" customHeight="1" x14ac:dyDescent="0.35">
      <c r="A44" s="581"/>
      <c r="D44" s="256" t="str">
        <f>IF(F40="Yes","This figure will be adjusted for the number of chargeable days (if not a full year) and used","")</f>
        <v/>
      </c>
      <c r="F44" s="486"/>
      <c r="K44" s="581"/>
      <c r="L44" s="581"/>
      <c r="M44" s="581"/>
      <c r="N44" s="581"/>
      <c r="O44" s="581"/>
      <c r="P44" s="581"/>
      <c r="Q44" s="149"/>
      <c r="R44" s="149"/>
      <c r="S44" s="149"/>
      <c r="T44" s="149"/>
      <c r="U44" s="149"/>
      <c r="V44" s="149"/>
      <c r="W44" s="149"/>
      <c r="AA44" s="581"/>
      <c r="AB44" s="581"/>
      <c r="AC44" s="581"/>
      <c r="AD44" s="581"/>
      <c r="AE44" s="581"/>
      <c r="AF44" s="581"/>
      <c r="AG44" s="581"/>
      <c r="AH44" s="581"/>
      <c r="AI44" s="581"/>
      <c r="AJ44" s="581"/>
      <c r="AK44" s="581"/>
      <c r="AL44" s="581"/>
      <c r="AM44" s="581"/>
      <c r="AN44" s="581"/>
      <c r="AO44" s="581"/>
      <c r="AP44" s="581"/>
      <c r="AQ44" s="581"/>
      <c r="AR44" s="581"/>
    </row>
    <row r="45" spans="1:44" ht="14.15" customHeight="1" x14ac:dyDescent="0.35">
      <c r="A45" s="581"/>
      <c r="D45" s="256" t="str">
        <f>IF(F40="Yes","in the liability calculation","")</f>
        <v/>
      </c>
      <c r="E45" s="276"/>
      <c r="H45" s="327"/>
      <c r="K45" s="581"/>
      <c r="L45" s="581"/>
      <c r="M45" s="581"/>
      <c r="N45" s="581"/>
      <c r="O45" s="581"/>
      <c r="P45" s="581"/>
      <c r="Q45" s="149"/>
      <c r="R45" s="149"/>
      <c r="S45" s="149"/>
      <c r="T45" s="149"/>
      <c r="U45" s="149"/>
      <c r="V45" s="149"/>
      <c r="W45" s="149"/>
      <c r="AA45" s="581"/>
      <c r="AB45" s="581"/>
      <c r="AC45" s="581"/>
      <c r="AD45" s="581"/>
      <c r="AE45" s="581"/>
      <c r="AF45" s="581"/>
      <c r="AG45" s="581"/>
      <c r="AH45" s="581"/>
      <c r="AI45" s="581"/>
      <c r="AJ45" s="581"/>
      <c r="AK45" s="581"/>
      <c r="AL45" s="581"/>
      <c r="AM45" s="581"/>
      <c r="AN45" s="581"/>
      <c r="AO45" s="581"/>
      <c r="AP45" s="581"/>
      <c r="AQ45" s="581"/>
      <c r="AR45" s="581"/>
    </row>
    <row r="46" spans="1:44" ht="14.15" customHeight="1" x14ac:dyDescent="0.35">
      <c r="A46" s="581"/>
      <c r="K46" s="581"/>
      <c r="L46" s="581"/>
      <c r="M46" s="581"/>
      <c r="N46" s="581"/>
      <c r="O46" s="581"/>
      <c r="P46" s="581"/>
      <c r="Q46" s="149"/>
      <c r="R46" s="149"/>
      <c r="S46" s="149"/>
      <c r="T46" s="149"/>
      <c r="U46" s="149"/>
      <c r="V46" s="149"/>
      <c r="W46" s="149"/>
      <c r="AA46" s="581"/>
      <c r="AB46" s="581"/>
      <c r="AC46" s="581"/>
      <c r="AD46" s="581"/>
      <c r="AE46" s="581"/>
      <c r="AF46" s="581"/>
      <c r="AG46" s="581"/>
      <c r="AH46" s="581"/>
      <c r="AI46" s="581"/>
      <c r="AJ46" s="581"/>
      <c r="AK46" s="581"/>
      <c r="AL46" s="581"/>
      <c r="AM46" s="581"/>
      <c r="AN46" s="581"/>
      <c r="AO46" s="581"/>
      <c r="AP46" s="581"/>
      <c r="AQ46" s="581"/>
      <c r="AR46" s="581"/>
    </row>
    <row r="47" spans="1:44" ht="14.15" customHeight="1" x14ac:dyDescent="0.35">
      <c r="A47" s="581"/>
      <c r="E47" s="276"/>
      <c r="H47" s="327"/>
      <c r="K47" s="581"/>
      <c r="L47" s="581"/>
      <c r="M47" s="581"/>
      <c r="N47" s="581"/>
      <c r="O47" s="581"/>
      <c r="P47" s="581"/>
      <c r="Q47" s="149"/>
      <c r="R47" s="149"/>
      <c r="S47" s="149"/>
      <c r="T47" s="149"/>
      <c r="U47" s="149"/>
      <c r="V47" s="149"/>
      <c r="W47" s="149"/>
      <c r="AA47" s="581"/>
      <c r="AB47" s="581"/>
      <c r="AC47" s="581"/>
      <c r="AD47" s="581"/>
      <c r="AE47" s="581"/>
      <c r="AF47" s="581"/>
      <c r="AG47" s="581"/>
      <c r="AH47" s="581"/>
      <c r="AI47" s="581"/>
      <c r="AJ47" s="581"/>
      <c r="AK47" s="581"/>
      <c r="AL47" s="581"/>
      <c r="AM47" s="581"/>
      <c r="AN47" s="581"/>
      <c r="AO47" s="581"/>
      <c r="AP47" s="581"/>
      <c r="AQ47" s="581"/>
      <c r="AR47" s="581"/>
    </row>
    <row r="48" spans="1:44" ht="9" customHeight="1" x14ac:dyDescent="0.25">
      <c r="A48" s="581"/>
      <c r="K48" s="581"/>
      <c r="L48" s="581"/>
      <c r="M48" s="581"/>
      <c r="N48" s="581"/>
      <c r="O48" s="581"/>
      <c r="P48" s="581"/>
      <c r="AA48" s="581"/>
      <c r="AB48" s="581"/>
      <c r="AC48" s="581"/>
      <c r="AD48" s="581"/>
      <c r="AE48" s="581"/>
      <c r="AF48" s="581"/>
      <c r="AG48" s="581"/>
      <c r="AH48" s="581"/>
      <c r="AI48" s="581"/>
      <c r="AJ48" s="581"/>
      <c r="AK48" s="581"/>
      <c r="AL48" s="581"/>
      <c r="AM48" s="581"/>
      <c r="AN48" s="581"/>
      <c r="AO48" s="581"/>
      <c r="AP48" s="581"/>
      <c r="AQ48" s="581"/>
      <c r="AR48" s="581"/>
    </row>
    <row r="49" spans="1:44" ht="12.5" x14ac:dyDescent="0.25">
      <c r="A49" s="581"/>
      <c r="C49" s="283"/>
      <c r="D49" s="283"/>
      <c r="E49" s="335"/>
      <c r="F49" s="335"/>
      <c r="G49" s="335"/>
      <c r="H49" s="283"/>
      <c r="I49" s="487"/>
      <c r="J49" s="283"/>
      <c r="K49" s="581"/>
      <c r="L49" s="581"/>
      <c r="M49" s="581"/>
      <c r="N49" s="581"/>
      <c r="O49" s="581"/>
      <c r="P49" s="581"/>
      <c r="AA49" s="581"/>
      <c r="AB49" s="581"/>
      <c r="AC49" s="581"/>
      <c r="AD49" s="581"/>
      <c r="AE49" s="581"/>
      <c r="AF49" s="581"/>
      <c r="AG49" s="581"/>
      <c r="AH49" s="581"/>
      <c r="AI49" s="581"/>
      <c r="AJ49" s="581"/>
      <c r="AK49" s="581"/>
      <c r="AL49" s="581"/>
      <c r="AM49" s="581"/>
      <c r="AN49" s="581"/>
      <c r="AO49" s="581"/>
      <c r="AP49" s="581"/>
      <c r="AQ49" s="581"/>
      <c r="AR49" s="581"/>
    </row>
    <row r="50" spans="1:44" ht="11.25" customHeight="1" x14ac:dyDescent="0.25">
      <c r="A50" s="581"/>
      <c r="K50" s="581"/>
      <c r="L50" s="581"/>
      <c r="M50" s="581"/>
      <c r="N50" s="581"/>
      <c r="O50" s="581"/>
      <c r="P50" s="581"/>
      <c r="AA50" s="581"/>
      <c r="AB50" s="581"/>
      <c r="AC50" s="581"/>
      <c r="AD50" s="581"/>
      <c r="AE50" s="581"/>
      <c r="AF50" s="581"/>
      <c r="AG50" s="581"/>
      <c r="AH50" s="581"/>
      <c r="AI50" s="581"/>
      <c r="AJ50" s="581"/>
      <c r="AK50" s="581"/>
      <c r="AL50" s="581"/>
      <c r="AM50" s="581"/>
      <c r="AN50" s="581"/>
      <c r="AO50" s="581"/>
      <c r="AP50" s="581"/>
      <c r="AQ50" s="581"/>
      <c r="AR50" s="581"/>
    </row>
    <row r="51" spans="1:44" ht="21" customHeight="1" x14ac:dyDescent="0.35">
      <c r="A51" s="581"/>
      <c r="C51" s="256" t="str">
        <f>'basic output'!C57</f>
        <v>prepared by</v>
      </c>
      <c r="D51" s="488" t="str">
        <f>'basic output'!E57</f>
        <v>CBRE</v>
      </c>
      <c r="K51" s="581"/>
      <c r="L51" s="581"/>
      <c r="M51" s="581"/>
      <c r="N51" s="581"/>
      <c r="O51" s="581"/>
      <c r="P51" s="581"/>
      <c r="AA51" s="581"/>
      <c r="AB51" s="581"/>
      <c r="AC51" s="581"/>
      <c r="AD51" s="581"/>
      <c r="AE51" s="581"/>
      <c r="AF51" s="581"/>
      <c r="AG51" s="581"/>
      <c r="AH51" s="581"/>
      <c r="AI51" s="581"/>
      <c r="AJ51" s="581"/>
      <c r="AK51" s="581"/>
      <c r="AL51" s="581"/>
      <c r="AM51" s="581"/>
      <c r="AN51" s="581"/>
      <c r="AO51" s="581"/>
      <c r="AP51" s="581"/>
      <c r="AQ51" s="581"/>
      <c r="AR51" s="581"/>
    </row>
    <row r="52" spans="1:44" ht="24" customHeight="1" x14ac:dyDescent="0.25">
      <c r="A52" s="581"/>
      <c r="K52" s="581"/>
      <c r="L52" s="581"/>
      <c r="M52" s="581"/>
      <c r="N52" s="581"/>
      <c r="O52" s="581"/>
      <c r="P52" s="581"/>
      <c r="AA52" s="581"/>
      <c r="AB52" s="581"/>
      <c r="AC52" s="581"/>
      <c r="AD52" s="581"/>
      <c r="AE52" s="581"/>
      <c r="AF52" s="581"/>
      <c r="AG52" s="581"/>
      <c r="AH52" s="581"/>
      <c r="AI52" s="581"/>
      <c r="AJ52" s="581"/>
      <c r="AK52" s="581"/>
      <c r="AL52" s="581"/>
      <c r="AM52" s="581"/>
      <c r="AN52" s="581"/>
      <c r="AO52" s="581"/>
      <c r="AP52" s="581"/>
      <c r="AQ52" s="581"/>
      <c r="AR52" s="581"/>
    </row>
    <row r="53" spans="1:44" ht="12.75" customHeight="1" x14ac:dyDescent="0.25">
      <c r="A53" s="581"/>
      <c r="B53" s="581"/>
      <c r="C53" s="581"/>
      <c r="D53" s="581"/>
      <c r="E53" s="581"/>
      <c r="F53" s="581"/>
      <c r="G53" s="581"/>
      <c r="H53" s="581"/>
      <c r="I53" s="581"/>
      <c r="J53" s="581"/>
      <c r="K53" s="581"/>
      <c r="L53" s="581"/>
      <c r="M53" s="581"/>
      <c r="N53" s="581"/>
      <c r="O53" s="581"/>
      <c r="P53" s="581"/>
      <c r="AA53" s="581"/>
      <c r="AB53" s="581"/>
      <c r="AC53" s="581"/>
      <c r="AD53" s="581"/>
      <c r="AE53" s="581"/>
      <c r="AF53" s="581"/>
      <c r="AG53" s="581"/>
      <c r="AH53" s="581"/>
      <c r="AI53" s="581"/>
      <c r="AJ53" s="581"/>
      <c r="AK53" s="581"/>
      <c r="AL53" s="581"/>
      <c r="AM53" s="581"/>
      <c r="AN53" s="581"/>
      <c r="AO53" s="581"/>
      <c r="AP53" s="581"/>
      <c r="AQ53" s="581"/>
      <c r="AR53" s="581"/>
    </row>
    <row r="54" spans="1:44" ht="12.75" customHeight="1" x14ac:dyDescent="0.25">
      <c r="A54" s="581"/>
      <c r="B54" s="581"/>
      <c r="C54" s="581"/>
      <c r="D54" s="581"/>
      <c r="E54" s="581"/>
      <c r="F54" s="581"/>
      <c r="G54" s="581"/>
      <c r="H54" s="581"/>
      <c r="I54" s="581"/>
      <c r="J54" s="581"/>
      <c r="K54" s="581"/>
      <c r="L54" s="581"/>
      <c r="M54" s="581"/>
      <c r="N54" s="581"/>
      <c r="O54" s="581"/>
      <c r="P54" s="581"/>
      <c r="AA54" s="581"/>
      <c r="AB54" s="581"/>
      <c r="AC54" s="581"/>
      <c r="AD54" s="581"/>
      <c r="AE54" s="581"/>
      <c r="AF54" s="581"/>
      <c r="AG54" s="581"/>
      <c r="AH54" s="581"/>
      <c r="AI54" s="581"/>
      <c r="AJ54" s="581"/>
      <c r="AK54" s="581"/>
      <c r="AL54" s="581"/>
      <c r="AM54" s="581"/>
      <c r="AN54" s="581"/>
      <c r="AO54" s="581"/>
      <c r="AP54" s="581"/>
      <c r="AQ54" s="581"/>
      <c r="AR54" s="581"/>
    </row>
    <row r="55" spans="1:44" ht="12.75" customHeight="1" x14ac:dyDescent="0.25">
      <c r="A55" s="581"/>
      <c r="B55" s="581"/>
      <c r="C55" s="581"/>
      <c r="D55" s="581"/>
      <c r="E55" s="581"/>
      <c r="F55" s="581"/>
      <c r="G55" s="581"/>
      <c r="H55" s="581"/>
      <c r="I55" s="581"/>
      <c r="J55" s="581"/>
      <c r="K55" s="581"/>
      <c r="L55" s="581"/>
      <c r="M55" s="581"/>
      <c r="N55" s="581"/>
      <c r="O55" s="581"/>
      <c r="P55" s="581"/>
      <c r="AA55" s="581"/>
      <c r="AB55" s="581"/>
      <c r="AC55" s="581"/>
      <c r="AD55" s="581"/>
      <c r="AE55" s="581"/>
      <c r="AF55" s="581"/>
      <c r="AG55" s="581"/>
      <c r="AH55" s="581"/>
      <c r="AI55" s="581"/>
      <c r="AJ55" s="581"/>
      <c r="AK55" s="581"/>
      <c r="AL55" s="581"/>
      <c r="AM55" s="581"/>
      <c r="AN55" s="581"/>
      <c r="AO55" s="581"/>
      <c r="AP55" s="581"/>
      <c r="AQ55" s="581"/>
      <c r="AR55" s="581"/>
    </row>
    <row r="56" spans="1:44" ht="12.75" customHeight="1" x14ac:dyDescent="0.25">
      <c r="A56" s="581"/>
      <c r="B56" s="581"/>
      <c r="C56" s="581"/>
      <c r="D56" s="581"/>
      <c r="E56" s="581"/>
      <c r="F56" s="581"/>
      <c r="G56" s="581"/>
      <c r="H56" s="581"/>
      <c r="I56" s="581"/>
      <c r="J56" s="581"/>
      <c r="K56" s="581"/>
      <c r="L56" s="581"/>
      <c r="M56" s="581"/>
      <c r="N56" s="581"/>
      <c r="O56" s="581"/>
      <c r="P56" s="581"/>
      <c r="AA56" s="581"/>
      <c r="AB56" s="581"/>
      <c r="AC56" s="581"/>
      <c r="AD56" s="581"/>
      <c r="AE56" s="581"/>
      <c r="AF56" s="581"/>
      <c r="AG56" s="581"/>
      <c r="AH56" s="581"/>
      <c r="AI56" s="581"/>
      <c r="AJ56" s="581"/>
      <c r="AK56" s="581"/>
      <c r="AL56" s="581"/>
      <c r="AM56" s="581"/>
      <c r="AN56" s="581"/>
      <c r="AO56" s="581"/>
      <c r="AP56" s="581"/>
      <c r="AQ56" s="581"/>
      <c r="AR56" s="581"/>
    </row>
    <row r="57" spans="1:44" ht="12.75" customHeight="1" x14ac:dyDescent="0.25">
      <c r="A57" s="581"/>
      <c r="B57" s="581"/>
      <c r="C57" s="581"/>
      <c r="D57" s="581"/>
      <c r="E57" s="581"/>
      <c r="F57" s="581"/>
      <c r="G57" s="581"/>
      <c r="H57" s="581"/>
      <c r="I57" s="581"/>
      <c r="J57" s="581"/>
      <c r="K57" s="581"/>
      <c r="L57" s="581"/>
      <c r="M57" s="581"/>
      <c r="N57" s="581"/>
      <c r="O57" s="581"/>
      <c r="P57" s="581"/>
      <c r="AA57" s="581"/>
      <c r="AB57" s="581"/>
      <c r="AC57" s="581"/>
      <c r="AD57" s="581"/>
      <c r="AE57" s="581"/>
      <c r="AF57" s="581"/>
      <c r="AG57" s="581"/>
      <c r="AH57" s="581"/>
      <c r="AI57" s="581"/>
      <c r="AJ57" s="581"/>
      <c r="AK57" s="581"/>
      <c r="AL57" s="581"/>
      <c r="AM57" s="581"/>
      <c r="AN57" s="581"/>
      <c r="AO57" s="581"/>
      <c r="AP57" s="581"/>
      <c r="AQ57" s="581"/>
      <c r="AR57" s="581"/>
    </row>
    <row r="58" spans="1:44" ht="12.75" customHeight="1" x14ac:dyDescent="0.25">
      <c r="A58" s="581"/>
      <c r="B58" s="581"/>
      <c r="C58" s="581"/>
      <c r="D58" s="581"/>
      <c r="E58" s="581"/>
      <c r="F58" s="581"/>
      <c r="G58" s="581"/>
      <c r="H58" s="581"/>
      <c r="I58" s="581"/>
      <c r="J58" s="581"/>
      <c r="K58" s="581"/>
      <c r="L58" s="581"/>
      <c r="M58" s="581"/>
      <c r="N58" s="581"/>
      <c r="O58" s="581"/>
      <c r="P58" s="581"/>
      <c r="AA58" s="581"/>
      <c r="AB58" s="581"/>
      <c r="AC58" s="581"/>
      <c r="AD58" s="581"/>
      <c r="AE58" s="581"/>
      <c r="AF58" s="581"/>
      <c r="AG58" s="581"/>
      <c r="AH58" s="581"/>
      <c r="AI58" s="581"/>
      <c r="AJ58" s="581"/>
      <c r="AK58" s="581"/>
      <c r="AL58" s="581"/>
      <c r="AM58" s="581"/>
      <c r="AN58" s="581"/>
      <c r="AO58" s="581"/>
      <c r="AP58" s="581"/>
      <c r="AQ58" s="581"/>
      <c r="AR58" s="581"/>
    </row>
    <row r="59" spans="1:44" ht="12.75" customHeight="1" x14ac:dyDescent="0.25">
      <c r="A59" s="581"/>
      <c r="B59" s="581"/>
      <c r="C59" s="581"/>
      <c r="D59" s="581"/>
      <c r="E59" s="581"/>
      <c r="F59" s="581"/>
      <c r="G59" s="581"/>
      <c r="H59" s="581"/>
      <c r="I59" s="581"/>
      <c r="J59" s="581"/>
      <c r="K59" s="581"/>
      <c r="L59" s="581"/>
      <c r="M59" s="581"/>
      <c r="N59" s="581"/>
      <c r="O59" s="581"/>
      <c r="P59" s="581"/>
      <c r="AA59" s="581"/>
      <c r="AB59" s="581"/>
      <c r="AC59" s="581"/>
      <c r="AD59" s="581"/>
      <c r="AE59" s="581"/>
      <c r="AF59" s="581"/>
      <c r="AG59" s="581"/>
      <c r="AH59" s="581"/>
      <c r="AI59" s="581"/>
      <c r="AJ59" s="581"/>
      <c r="AK59" s="581"/>
      <c r="AL59" s="581"/>
      <c r="AM59" s="581"/>
      <c r="AN59" s="581"/>
      <c r="AO59" s="581"/>
      <c r="AP59" s="581"/>
      <c r="AQ59" s="581"/>
      <c r="AR59" s="581"/>
    </row>
    <row r="60" spans="1:44" ht="12.75" customHeight="1" x14ac:dyDescent="0.25">
      <c r="A60" s="581"/>
      <c r="B60" s="581"/>
      <c r="C60" s="581"/>
      <c r="D60" s="581"/>
      <c r="E60" s="581"/>
      <c r="F60" s="581"/>
      <c r="G60" s="581"/>
      <c r="H60" s="581"/>
      <c r="I60" s="581"/>
      <c r="J60" s="581"/>
      <c r="K60" s="581"/>
      <c r="L60" s="581"/>
      <c r="M60" s="581"/>
      <c r="N60" s="581"/>
      <c r="O60" s="581"/>
      <c r="P60" s="581"/>
      <c r="AA60" s="581"/>
      <c r="AB60" s="581"/>
      <c r="AC60" s="581"/>
      <c r="AD60" s="581"/>
      <c r="AE60" s="581"/>
      <c r="AF60" s="581"/>
      <c r="AG60" s="581"/>
      <c r="AH60" s="581"/>
      <c r="AI60" s="581"/>
      <c r="AJ60" s="581"/>
      <c r="AK60" s="581"/>
      <c r="AL60" s="581"/>
      <c r="AM60" s="581"/>
      <c r="AN60" s="581"/>
      <c r="AO60" s="581"/>
      <c r="AP60" s="581"/>
      <c r="AQ60" s="581"/>
      <c r="AR60" s="581"/>
    </row>
    <row r="61" spans="1:44" ht="12.75" customHeight="1" x14ac:dyDescent="0.25">
      <c r="A61" s="581"/>
      <c r="B61" s="581"/>
      <c r="C61" s="581"/>
      <c r="D61" s="581"/>
      <c r="E61" s="581"/>
      <c r="F61" s="581"/>
      <c r="G61" s="581"/>
      <c r="H61" s="581"/>
      <c r="I61" s="581"/>
      <c r="J61" s="581"/>
      <c r="K61" s="581"/>
      <c r="L61" s="581"/>
      <c r="M61" s="581"/>
      <c r="N61" s="581"/>
      <c r="O61" s="581"/>
      <c r="P61" s="581"/>
      <c r="AA61" s="581"/>
      <c r="AB61" s="581"/>
      <c r="AC61" s="581"/>
      <c r="AD61" s="581"/>
      <c r="AE61" s="581"/>
      <c r="AF61" s="581"/>
      <c r="AG61" s="581"/>
      <c r="AH61" s="581"/>
      <c r="AI61" s="581"/>
      <c r="AJ61" s="581"/>
      <c r="AK61" s="581"/>
      <c r="AL61" s="581"/>
      <c r="AM61" s="581"/>
      <c r="AN61" s="581"/>
      <c r="AO61" s="581"/>
      <c r="AP61" s="581"/>
      <c r="AQ61" s="581"/>
      <c r="AR61" s="581"/>
    </row>
    <row r="62" spans="1:44" ht="12.75" customHeight="1" x14ac:dyDescent="0.25">
      <c r="A62" s="581"/>
      <c r="B62" s="581"/>
      <c r="C62" s="581"/>
      <c r="D62" s="581"/>
      <c r="E62" s="581"/>
      <c r="F62" s="581"/>
      <c r="G62" s="581"/>
      <c r="H62" s="581"/>
      <c r="I62" s="581"/>
      <c r="J62" s="581"/>
      <c r="K62" s="581"/>
      <c r="L62" s="581"/>
      <c r="M62" s="581"/>
      <c r="N62" s="581"/>
      <c r="O62" s="581"/>
      <c r="P62" s="581"/>
      <c r="AA62" s="581"/>
      <c r="AB62" s="581"/>
      <c r="AC62" s="581"/>
      <c r="AD62" s="581"/>
      <c r="AE62" s="581"/>
      <c r="AF62" s="581"/>
      <c r="AG62" s="581"/>
      <c r="AH62" s="581"/>
      <c r="AI62" s="581"/>
      <c r="AJ62" s="581"/>
      <c r="AK62" s="581"/>
      <c r="AL62" s="581"/>
      <c r="AM62" s="581"/>
      <c r="AN62" s="581"/>
      <c r="AO62" s="581"/>
      <c r="AP62" s="581"/>
      <c r="AQ62" s="581"/>
      <c r="AR62" s="581"/>
    </row>
    <row r="63" spans="1:44" ht="12.75" customHeight="1" x14ac:dyDescent="0.25">
      <c r="A63" s="581"/>
      <c r="B63" s="581"/>
      <c r="C63" s="581"/>
      <c r="D63" s="581"/>
      <c r="E63" s="581"/>
      <c r="F63" s="581"/>
      <c r="G63" s="581"/>
      <c r="H63" s="581"/>
      <c r="I63" s="581"/>
      <c r="J63" s="581"/>
      <c r="K63" s="581"/>
      <c r="L63" s="581"/>
      <c r="M63" s="581"/>
      <c r="N63" s="581"/>
      <c r="O63" s="581"/>
      <c r="P63" s="581"/>
      <c r="AA63" s="581"/>
      <c r="AB63" s="581"/>
      <c r="AC63" s="581"/>
      <c r="AD63" s="581"/>
      <c r="AE63" s="581"/>
      <c r="AF63" s="581"/>
      <c r="AG63" s="581"/>
      <c r="AH63" s="581"/>
      <c r="AI63" s="581"/>
      <c r="AJ63" s="581"/>
      <c r="AK63" s="581"/>
      <c r="AL63" s="581"/>
      <c r="AM63" s="581"/>
      <c r="AN63" s="581"/>
      <c r="AO63" s="581"/>
      <c r="AP63" s="581"/>
      <c r="AQ63" s="581"/>
      <c r="AR63" s="581"/>
    </row>
    <row r="64" spans="1:44" ht="12.75" customHeight="1" x14ac:dyDescent="0.25">
      <c r="A64" s="581"/>
      <c r="B64" s="581"/>
      <c r="C64" s="581"/>
      <c r="D64" s="581"/>
      <c r="E64" s="581"/>
      <c r="F64" s="581"/>
      <c r="G64" s="581"/>
      <c r="H64" s="581"/>
      <c r="I64" s="581"/>
      <c r="J64" s="581"/>
      <c r="K64" s="581"/>
      <c r="L64" s="581"/>
      <c r="M64" s="581"/>
      <c r="N64" s="581"/>
      <c r="O64" s="581"/>
      <c r="P64" s="581"/>
      <c r="AA64" s="581"/>
      <c r="AB64" s="581"/>
      <c r="AC64" s="581"/>
      <c r="AD64" s="581"/>
      <c r="AE64" s="581"/>
      <c r="AF64" s="581"/>
      <c r="AG64" s="581"/>
      <c r="AH64" s="581"/>
      <c r="AI64" s="581"/>
      <c r="AJ64" s="581"/>
      <c r="AK64" s="581"/>
      <c r="AL64" s="581"/>
      <c r="AM64" s="581"/>
      <c r="AN64" s="581"/>
      <c r="AO64" s="581"/>
      <c r="AP64" s="581"/>
      <c r="AQ64" s="581"/>
      <c r="AR64" s="581"/>
    </row>
    <row r="65" spans="1:44" ht="12.75" customHeight="1" x14ac:dyDescent="0.25">
      <c r="A65" s="581"/>
      <c r="B65" s="581"/>
      <c r="C65" s="581"/>
      <c r="D65" s="581"/>
      <c r="E65" s="581"/>
      <c r="F65" s="581"/>
      <c r="G65" s="581"/>
      <c r="H65" s="581"/>
      <c r="I65" s="581"/>
      <c r="J65" s="581"/>
      <c r="K65" s="581"/>
      <c r="L65" s="581"/>
      <c r="M65" s="581"/>
      <c r="N65" s="581"/>
      <c r="O65" s="581"/>
      <c r="P65" s="581"/>
      <c r="AA65" s="581"/>
      <c r="AB65" s="581"/>
      <c r="AC65" s="581"/>
      <c r="AD65" s="581"/>
      <c r="AE65" s="581"/>
      <c r="AF65" s="581"/>
      <c r="AG65" s="581"/>
      <c r="AH65" s="581"/>
      <c r="AI65" s="581"/>
      <c r="AJ65" s="581"/>
      <c r="AK65" s="581"/>
      <c r="AL65" s="581"/>
      <c r="AM65" s="581"/>
      <c r="AN65" s="581"/>
      <c r="AO65" s="581"/>
      <c r="AP65" s="581"/>
      <c r="AQ65" s="581"/>
      <c r="AR65" s="581"/>
    </row>
    <row r="66" spans="1:44" ht="12.75" customHeight="1" x14ac:dyDescent="0.25">
      <c r="A66" s="581"/>
      <c r="B66" s="581"/>
      <c r="C66" s="581"/>
      <c r="D66" s="581"/>
      <c r="E66" s="581"/>
      <c r="F66" s="581"/>
      <c r="G66" s="581"/>
      <c r="H66" s="581"/>
      <c r="I66" s="581"/>
      <c r="J66" s="581"/>
      <c r="K66" s="581"/>
      <c r="L66" s="581"/>
      <c r="M66" s="581"/>
      <c r="N66" s="581"/>
      <c r="O66" s="581"/>
      <c r="P66" s="581"/>
      <c r="AA66" s="581"/>
      <c r="AB66" s="581"/>
      <c r="AC66" s="581"/>
      <c r="AD66" s="581"/>
      <c r="AE66" s="581"/>
      <c r="AF66" s="581"/>
      <c r="AG66" s="581"/>
      <c r="AH66" s="581"/>
      <c r="AI66" s="581"/>
      <c r="AJ66" s="581"/>
      <c r="AK66" s="581"/>
      <c r="AL66" s="581"/>
      <c r="AM66" s="581"/>
      <c r="AN66" s="581"/>
      <c r="AO66" s="581"/>
      <c r="AP66" s="581"/>
      <c r="AQ66" s="581"/>
      <c r="AR66" s="581"/>
    </row>
    <row r="67" spans="1:44" ht="12.75" customHeight="1" x14ac:dyDescent="0.25">
      <c r="A67" s="581"/>
      <c r="B67" s="581"/>
      <c r="C67" s="581"/>
      <c r="D67" s="581"/>
      <c r="E67" s="581"/>
      <c r="F67" s="581"/>
      <c r="G67" s="581"/>
      <c r="H67" s="581"/>
      <c r="I67" s="581"/>
      <c r="J67" s="581"/>
      <c r="K67" s="581"/>
      <c r="L67" s="581"/>
      <c r="M67" s="581"/>
      <c r="N67" s="581"/>
      <c r="O67" s="581"/>
      <c r="P67" s="581"/>
      <c r="AA67" s="581"/>
      <c r="AB67" s="581"/>
      <c r="AC67" s="581"/>
      <c r="AD67" s="581"/>
      <c r="AE67" s="581"/>
      <c r="AF67" s="581"/>
      <c r="AG67" s="581"/>
      <c r="AH67" s="581"/>
      <c r="AI67" s="581"/>
      <c r="AJ67" s="581"/>
      <c r="AK67" s="581"/>
      <c r="AL67" s="581"/>
      <c r="AM67" s="581"/>
      <c r="AN67" s="581"/>
      <c r="AO67" s="581"/>
      <c r="AP67" s="581"/>
      <c r="AQ67" s="581"/>
      <c r="AR67" s="581"/>
    </row>
    <row r="68" spans="1:44" ht="12.75" customHeight="1" x14ac:dyDescent="0.25">
      <c r="A68" s="581"/>
      <c r="B68" s="581"/>
      <c r="C68" s="581"/>
      <c r="D68" s="581"/>
      <c r="E68" s="581"/>
      <c r="F68" s="581"/>
      <c r="G68" s="581"/>
      <c r="H68" s="581"/>
      <c r="I68" s="581"/>
      <c r="J68" s="581"/>
      <c r="K68" s="581"/>
      <c r="L68" s="581"/>
      <c r="M68" s="581"/>
      <c r="N68" s="581"/>
      <c r="O68" s="581"/>
      <c r="P68" s="581"/>
      <c r="AA68" s="581"/>
      <c r="AB68" s="581"/>
      <c r="AC68" s="581"/>
      <c r="AD68" s="581"/>
      <c r="AE68" s="581"/>
      <c r="AF68" s="581"/>
      <c r="AG68" s="581"/>
      <c r="AH68" s="581"/>
      <c r="AI68" s="581"/>
      <c r="AJ68" s="581"/>
      <c r="AK68" s="581"/>
      <c r="AL68" s="581"/>
      <c r="AM68" s="581"/>
      <c r="AN68" s="581"/>
      <c r="AO68" s="581"/>
      <c r="AP68" s="581"/>
      <c r="AQ68" s="581"/>
      <c r="AR68" s="581"/>
    </row>
    <row r="69" spans="1:44" ht="12.75" customHeight="1" x14ac:dyDescent="0.25">
      <c r="A69" s="581"/>
      <c r="B69" s="581"/>
      <c r="C69" s="581"/>
      <c r="D69" s="581"/>
      <c r="E69" s="581"/>
      <c r="F69" s="581"/>
      <c r="G69" s="581"/>
      <c r="H69" s="581"/>
      <c r="I69" s="581"/>
      <c r="J69" s="581"/>
      <c r="K69" s="581"/>
      <c r="L69" s="581"/>
      <c r="M69" s="581"/>
      <c r="N69" s="581"/>
      <c r="O69" s="581"/>
      <c r="P69" s="581"/>
      <c r="AA69" s="581"/>
      <c r="AB69" s="581"/>
      <c r="AC69" s="581"/>
      <c r="AD69" s="581"/>
      <c r="AE69" s="581"/>
      <c r="AF69" s="581"/>
      <c r="AG69" s="581"/>
      <c r="AH69" s="581"/>
      <c r="AI69" s="581"/>
      <c r="AJ69" s="581"/>
      <c r="AK69" s="581"/>
      <c r="AL69" s="581"/>
      <c r="AM69" s="581"/>
      <c r="AN69" s="581"/>
      <c r="AO69" s="581"/>
      <c r="AP69" s="581"/>
      <c r="AQ69" s="581"/>
      <c r="AR69" s="581"/>
    </row>
    <row r="70" spans="1:44" ht="12.75" customHeight="1" x14ac:dyDescent="0.25">
      <c r="A70" s="581"/>
      <c r="B70" s="581"/>
      <c r="C70" s="581"/>
      <c r="D70" s="581"/>
      <c r="E70" s="581"/>
      <c r="F70" s="581"/>
      <c r="G70" s="581"/>
      <c r="H70" s="581"/>
      <c r="I70" s="581"/>
      <c r="J70" s="581"/>
      <c r="K70" s="581"/>
      <c r="L70" s="581"/>
      <c r="M70" s="581"/>
      <c r="N70" s="581"/>
      <c r="O70" s="581"/>
      <c r="P70" s="581"/>
      <c r="AA70" s="581"/>
      <c r="AB70" s="581"/>
      <c r="AC70" s="581"/>
      <c r="AD70" s="581"/>
      <c r="AE70" s="581"/>
      <c r="AF70" s="581"/>
      <c r="AG70" s="581"/>
      <c r="AH70" s="581"/>
      <c r="AI70" s="581"/>
      <c r="AJ70" s="581"/>
      <c r="AK70" s="581"/>
      <c r="AL70" s="581"/>
      <c r="AM70" s="581"/>
      <c r="AN70" s="581"/>
      <c r="AO70" s="581"/>
      <c r="AP70" s="581"/>
      <c r="AQ70" s="581"/>
      <c r="AR70" s="581"/>
    </row>
    <row r="71" spans="1:44" ht="12.75" customHeight="1" x14ac:dyDescent="0.25">
      <c r="A71" s="581"/>
      <c r="B71" s="581"/>
      <c r="C71" s="581"/>
      <c r="D71" s="581"/>
      <c r="E71" s="581"/>
      <c r="F71" s="581"/>
      <c r="G71" s="581"/>
      <c r="H71" s="581"/>
      <c r="I71" s="581"/>
      <c r="J71" s="581"/>
      <c r="K71" s="581"/>
      <c r="L71" s="581"/>
      <c r="M71" s="581"/>
      <c r="N71" s="581"/>
      <c r="O71" s="581"/>
      <c r="P71" s="581"/>
      <c r="AA71" s="581"/>
      <c r="AB71" s="581"/>
      <c r="AC71" s="581"/>
      <c r="AD71" s="581"/>
      <c r="AE71" s="581"/>
      <c r="AF71" s="581"/>
      <c r="AG71" s="581"/>
      <c r="AH71" s="581"/>
      <c r="AI71" s="581"/>
      <c r="AJ71" s="581"/>
      <c r="AK71" s="581"/>
      <c r="AL71" s="581"/>
      <c r="AM71" s="581"/>
      <c r="AN71" s="581"/>
      <c r="AO71" s="581"/>
      <c r="AP71" s="581"/>
      <c r="AQ71" s="581"/>
      <c r="AR71" s="581"/>
    </row>
    <row r="72" spans="1:44" ht="12.75" customHeight="1" x14ac:dyDescent="0.25">
      <c r="A72" s="581"/>
      <c r="B72" s="581"/>
      <c r="C72" s="581"/>
      <c r="D72" s="581"/>
      <c r="E72" s="581"/>
      <c r="F72" s="581"/>
      <c r="G72" s="581"/>
      <c r="H72" s="581"/>
      <c r="I72" s="581"/>
      <c r="J72" s="581"/>
      <c r="K72" s="581"/>
      <c r="L72" s="581"/>
      <c r="M72" s="581"/>
      <c r="N72" s="581"/>
      <c r="O72" s="581"/>
      <c r="P72" s="581"/>
      <c r="AA72" s="581"/>
      <c r="AB72" s="581"/>
      <c r="AC72" s="581"/>
      <c r="AD72" s="581"/>
      <c r="AE72" s="581"/>
      <c r="AF72" s="581"/>
      <c r="AG72" s="581"/>
      <c r="AH72" s="581"/>
      <c r="AI72" s="581"/>
      <c r="AJ72" s="581"/>
      <c r="AK72" s="581"/>
      <c r="AL72" s="581"/>
      <c r="AM72" s="581"/>
      <c r="AN72" s="581"/>
      <c r="AO72" s="581"/>
      <c r="AP72" s="581"/>
      <c r="AQ72" s="581"/>
      <c r="AR72" s="581"/>
    </row>
    <row r="73" spans="1:44" ht="12.75" customHeight="1" x14ac:dyDescent="0.25">
      <c r="A73" s="581"/>
      <c r="B73" s="581"/>
      <c r="C73" s="581"/>
      <c r="D73" s="581"/>
      <c r="E73" s="581"/>
      <c r="F73" s="581"/>
      <c r="G73" s="581"/>
      <c r="H73" s="581"/>
      <c r="I73" s="581"/>
      <c r="J73" s="581"/>
      <c r="K73" s="581"/>
      <c r="L73" s="581"/>
      <c r="M73" s="581"/>
      <c r="N73" s="581"/>
      <c r="O73" s="581"/>
      <c r="P73" s="581"/>
      <c r="AA73" s="581"/>
      <c r="AB73" s="581"/>
      <c r="AC73" s="581"/>
      <c r="AD73" s="581"/>
      <c r="AE73" s="581"/>
      <c r="AF73" s="581"/>
      <c r="AG73" s="581"/>
      <c r="AH73" s="581"/>
      <c r="AI73" s="581"/>
      <c r="AJ73" s="581"/>
      <c r="AK73" s="581"/>
      <c r="AL73" s="581"/>
      <c r="AM73" s="581"/>
      <c r="AN73" s="581"/>
      <c r="AO73" s="581"/>
      <c r="AP73" s="581"/>
      <c r="AQ73" s="581"/>
      <c r="AR73" s="581"/>
    </row>
    <row r="74" spans="1:44" ht="12.75" customHeight="1" x14ac:dyDescent="0.25">
      <c r="A74" s="581"/>
      <c r="B74" s="581"/>
      <c r="C74" s="581"/>
      <c r="D74" s="581"/>
      <c r="E74" s="581"/>
      <c r="F74" s="581"/>
      <c r="G74" s="581"/>
      <c r="H74" s="581"/>
      <c r="I74" s="581"/>
      <c r="J74" s="581"/>
      <c r="K74" s="581"/>
      <c r="L74" s="581"/>
      <c r="M74" s="581"/>
      <c r="N74" s="581"/>
      <c r="O74" s="581"/>
      <c r="P74" s="581"/>
      <c r="AA74" s="581"/>
      <c r="AB74" s="581"/>
      <c r="AC74" s="581"/>
      <c r="AD74" s="581"/>
      <c r="AE74" s="581"/>
      <c r="AF74" s="581"/>
      <c r="AG74" s="581"/>
      <c r="AH74" s="581"/>
      <c r="AI74" s="581"/>
      <c r="AJ74" s="581"/>
      <c r="AK74" s="581"/>
      <c r="AL74" s="581"/>
      <c r="AM74" s="581"/>
      <c r="AN74" s="581"/>
      <c r="AO74" s="581"/>
      <c r="AP74" s="581"/>
      <c r="AQ74" s="581"/>
      <c r="AR74" s="581"/>
    </row>
    <row r="75" spans="1:44" ht="12.75" customHeight="1" x14ac:dyDescent="0.25">
      <c r="A75" s="581"/>
      <c r="B75" s="581"/>
      <c r="C75" s="581"/>
      <c r="D75" s="581"/>
      <c r="E75" s="581"/>
      <c r="F75" s="581"/>
      <c r="G75" s="581"/>
      <c r="H75" s="581"/>
      <c r="I75" s="581"/>
      <c r="J75" s="581"/>
      <c r="K75" s="581"/>
      <c r="L75" s="581"/>
      <c r="M75" s="581"/>
      <c r="N75" s="581"/>
      <c r="O75" s="581"/>
      <c r="P75" s="581"/>
      <c r="AA75" s="581"/>
      <c r="AB75" s="581"/>
      <c r="AC75" s="581"/>
      <c r="AD75" s="581"/>
      <c r="AE75" s="581"/>
      <c r="AF75" s="581"/>
      <c r="AG75" s="581"/>
      <c r="AH75" s="581"/>
      <c r="AI75" s="581"/>
      <c r="AJ75" s="581"/>
      <c r="AK75" s="581"/>
      <c r="AL75" s="581"/>
      <c r="AM75" s="581"/>
      <c r="AN75" s="581"/>
      <c r="AO75" s="581"/>
      <c r="AP75" s="581"/>
      <c r="AQ75" s="581"/>
      <c r="AR75" s="581"/>
    </row>
    <row r="76" spans="1:44" ht="12.75" customHeight="1" x14ac:dyDescent="0.25">
      <c r="A76" s="581"/>
      <c r="B76" s="581"/>
      <c r="C76" s="581"/>
      <c r="D76" s="581"/>
      <c r="E76" s="581"/>
      <c r="F76" s="581"/>
      <c r="G76" s="581"/>
      <c r="H76" s="581"/>
      <c r="I76" s="581"/>
      <c r="J76" s="581"/>
      <c r="K76" s="581"/>
      <c r="L76" s="581"/>
      <c r="M76" s="581"/>
      <c r="N76" s="581"/>
      <c r="O76" s="581"/>
      <c r="P76" s="581"/>
      <c r="AA76" s="581"/>
      <c r="AB76" s="581"/>
      <c r="AC76" s="581"/>
      <c r="AD76" s="581"/>
      <c r="AE76" s="581"/>
      <c r="AF76" s="581"/>
      <c r="AG76" s="581"/>
      <c r="AH76" s="581"/>
      <c r="AI76" s="581"/>
      <c r="AJ76" s="581"/>
      <c r="AK76" s="581"/>
      <c r="AL76" s="581"/>
      <c r="AM76" s="581"/>
      <c r="AN76" s="581"/>
      <c r="AO76" s="581"/>
      <c r="AP76" s="581"/>
      <c r="AQ76" s="581"/>
      <c r="AR76" s="581"/>
    </row>
    <row r="77" spans="1:44" ht="12.75" customHeight="1" x14ac:dyDescent="0.25">
      <c r="A77" s="581"/>
      <c r="B77" s="581"/>
      <c r="C77" s="581"/>
      <c r="D77" s="581"/>
      <c r="E77" s="581"/>
      <c r="F77" s="581"/>
      <c r="G77" s="581"/>
      <c r="H77" s="581"/>
      <c r="I77" s="581"/>
      <c r="J77" s="581"/>
      <c r="K77" s="581"/>
      <c r="L77" s="581"/>
      <c r="M77" s="581"/>
      <c r="N77" s="581"/>
      <c r="O77" s="581"/>
      <c r="P77" s="581"/>
      <c r="AA77" s="581"/>
      <c r="AB77" s="581"/>
      <c r="AC77" s="581"/>
      <c r="AD77" s="581"/>
      <c r="AE77" s="581"/>
      <c r="AF77" s="581"/>
      <c r="AG77" s="581"/>
      <c r="AH77" s="581"/>
      <c r="AI77" s="581"/>
      <c r="AJ77" s="581"/>
      <c r="AK77" s="581"/>
      <c r="AL77" s="581"/>
      <c r="AM77" s="581"/>
      <c r="AN77" s="581"/>
      <c r="AO77" s="581"/>
      <c r="AP77" s="581"/>
      <c r="AQ77" s="581"/>
      <c r="AR77" s="581"/>
    </row>
    <row r="78" spans="1:44" ht="12.75" customHeight="1" x14ac:dyDescent="0.25">
      <c r="A78" s="581"/>
      <c r="B78" s="581"/>
      <c r="C78" s="581"/>
      <c r="D78" s="581"/>
      <c r="E78" s="581"/>
      <c r="F78" s="581"/>
      <c r="G78" s="581"/>
      <c r="H78" s="581"/>
      <c r="I78" s="581"/>
      <c r="J78" s="581"/>
      <c r="K78" s="581"/>
      <c r="L78" s="581"/>
      <c r="M78" s="581"/>
      <c r="N78" s="581"/>
      <c r="O78" s="581"/>
      <c r="P78" s="581"/>
      <c r="AA78" s="581"/>
      <c r="AB78" s="581"/>
      <c r="AC78" s="581"/>
      <c r="AD78" s="581"/>
      <c r="AE78" s="581"/>
      <c r="AF78" s="581"/>
      <c r="AG78" s="581"/>
      <c r="AH78" s="581"/>
      <c r="AI78" s="581"/>
      <c r="AJ78" s="581"/>
      <c r="AK78" s="581"/>
      <c r="AL78" s="581"/>
      <c r="AM78" s="581"/>
      <c r="AN78" s="581"/>
      <c r="AO78" s="581"/>
      <c r="AP78" s="581"/>
      <c r="AQ78" s="581"/>
      <c r="AR78" s="581"/>
    </row>
    <row r="79" spans="1:44" ht="12.75" customHeight="1" x14ac:dyDescent="0.25">
      <c r="A79" s="581"/>
      <c r="B79" s="581"/>
      <c r="C79" s="581"/>
      <c r="D79" s="581"/>
      <c r="E79" s="581"/>
      <c r="F79" s="581"/>
      <c r="G79" s="581"/>
      <c r="H79" s="581"/>
      <c r="I79" s="581"/>
      <c r="J79" s="581"/>
      <c r="K79" s="581"/>
      <c r="L79" s="581"/>
      <c r="M79" s="581"/>
      <c r="N79" s="581"/>
      <c r="O79" s="581"/>
      <c r="P79" s="581"/>
      <c r="AA79" s="581"/>
      <c r="AB79" s="581"/>
      <c r="AC79" s="581"/>
      <c r="AD79" s="581"/>
      <c r="AE79" s="581"/>
      <c r="AF79" s="581"/>
      <c r="AG79" s="581"/>
      <c r="AH79" s="581"/>
      <c r="AI79" s="581"/>
      <c r="AJ79" s="581"/>
      <c r="AK79" s="581"/>
      <c r="AL79" s="581"/>
      <c r="AM79" s="581"/>
      <c r="AN79" s="581"/>
      <c r="AO79" s="581"/>
      <c r="AP79" s="581"/>
      <c r="AQ79" s="581"/>
      <c r="AR79" s="581"/>
    </row>
    <row r="80" spans="1:44" ht="12.75" customHeight="1" x14ac:dyDescent="0.25">
      <c r="A80" s="581"/>
      <c r="B80" s="581"/>
      <c r="C80" s="581"/>
      <c r="D80" s="581"/>
      <c r="E80" s="581"/>
      <c r="F80" s="581"/>
      <c r="G80" s="581"/>
      <c r="H80" s="581"/>
      <c r="I80" s="581"/>
      <c r="J80" s="581"/>
      <c r="K80" s="581"/>
      <c r="L80" s="581"/>
      <c r="M80" s="581"/>
      <c r="N80" s="581"/>
      <c r="O80" s="581"/>
      <c r="P80" s="581"/>
      <c r="AA80" s="581"/>
      <c r="AB80" s="581"/>
      <c r="AC80" s="581"/>
      <c r="AD80" s="581"/>
      <c r="AE80" s="581"/>
      <c r="AF80" s="581"/>
      <c r="AG80" s="581"/>
      <c r="AH80" s="581"/>
      <c r="AI80" s="581"/>
      <c r="AJ80" s="581"/>
      <c r="AK80" s="581"/>
      <c r="AL80" s="581"/>
      <c r="AM80" s="581"/>
      <c r="AN80" s="581"/>
      <c r="AO80" s="581"/>
      <c r="AP80" s="581"/>
      <c r="AQ80" s="581"/>
      <c r="AR80" s="581"/>
    </row>
    <row r="81" spans="1:44" ht="12.75" customHeight="1" x14ac:dyDescent="0.25">
      <c r="A81" s="581"/>
      <c r="B81" s="581"/>
      <c r="C81" s="581"/>
      <c r="D81" s="581"/>
      <c r="E81" s="581"/>
      <c r="F81" s="581"/>
      <c r="G81" s="581"/>
      <c r="H81" s="581"/>
      <c r="I81" s="581"/>
      <c r="J81" s="581"/>
      <c r="K81" s="581"/>
      <c r="L81" s="581"/>
      <c r="M81" s="581"/>
      <c r="N81" s="581"/>
      <c r="O81" s="581"/>
      <c r="P81" s="581"/>
      <c r="AA81" s="581"/>
      <c r="AB81" s="581"/>
      <c r="AC81" s="581"/>
      <c r="AD81" s="581"/>
      <c r="AE81" s="581"/>
      <c r="AF81" s="581"/>
      <c r="AG81" s="581"/>
      <c r="AH81" s="581"/>
      <c r="AI81" s="581"/>
      <c r="AJ81" s="581"/>
      <c r="AK81" s="581"/>
      <c r="AL81" s="581"/>
      <c r="AM81" s="581"/>
      <c r="AN81" s="581"/>
      <c r="AO81" s="581"/>
      <c r="AP81" s="581"/>
      <c r="AQ81" s="581"/>
      <c r="AR81" s="581"/>
    </row>
    <row r="82" spans="1:44" ht="12.75" customHeight="1" x14ac:dyDescent="0.25">
      <c r="A82" s="581"/>
      <c r="B82" s="581"/>
      <c r="C82" s="581"/>
      <c r="D82" s="581"/>
      <c r="E82" s="581"/>
      <c r="F82" s="581"/>
      <c r="G82" s="581"/>
      <c r="H82" s="581"/>
      <c r="I82" s="581"/>
      <c r="J82" s="581"/>
      <c r="K82" s="581"/>
      <c r="L82" s="581"/>
      <c r="M82" s="581"/>
      <c r="N82" s="581"/>
      <c r="O82" s="581"/>
      <c r="P82" s="581"/>
      <c r="AA82" s="581"/>
      <c r="AB82" s="581"/>
      <c r="AC82" s="581"/>
      <c r="AD82" s="581"/>
      <c r="AE82" s="581"/>
      <c r="AF82" s="581"/>
      <c r="AG82" s="581"/>
      <c r="AH82" s="581"/>
      <c r="AI82" s="581"/>
      <c r="AJ82" s="581"/>
      <c r="AK82" s="581"/>
      <c r="AL82" s="581"/>
      <c r="AM82" s="581"/>
      <c r="AN82" s="581"/>
      <c r="AO82" s="581"/>
      <c r="AP82" s="581"/>
      <c r="AQ82" s="581"/>
      <c r="AR82" s="581"/>
    </row>
    <row r="83" spans="1:44" ht="12.75" customHeight="1" x14ac:dyDescent="0.25">
      <c r="A83" s="581"/>
      <c r="B83" s="581"/>
      <c r="C83" s="581"/>
      <c r="D83" s="581"/>
      <c r="E83" s="581"/>
      <c r="F83" s="581"/>
      <c r="G83" s="581"/>
      <c r="H83" s="581"/>
      <c r="I83" s="581"/>
      <c r="J83" s="581"/>
      <c r="K83" s="581"/>
      <c r="L83" s="581"/>
      <c r="M83" s="581"/>
      <c r="N83" s="581"/>
      <c r="O83" s="581"/>
      <c r="P83" s="581"/>
      <c r="AA83" s="581"/>
      <c r="AB83" s="581"/>
      <c r="AC83" s="581"/>
      <c r="AD83" s="581"/>
      <c r="AE83" s="581"/>
      <c r="AF83" s="581"/>
      <c r="AG83" s="581"/>
      <c r="AH83" s="581"/>
      <c r="AI83" s="581"/>
      <c r="AJ83" s="581"/>
      <c r="AK83" s="581"/>
      <c r="AL83" s="581"/>
      <c r="AM83" s="581"/>
      <c r="AN83" s="581"/>
      <c r="AO83" s="581"/>
      <c r="AP83" s="581"/>
      <c r="AQ83" s="581"/>
      <c r="AR83" s="581"/>
    </row>
    <row r="84" spans="1:44" ht="12.75" customHeight="1" x14ac:dyDescent="0.25">
      <c r="A84" s="581"/>
      <c r="B84" s="581"/>
      <c r="C84" s="581"/>
      <c r="D84" s="581"/>
      <c r="E84" s="581"/>
      <c r="F84" s="581"/>
      <c r="G84" s="581"/>
      <c r="H84" s="581"/>
      <c r="I84" s="581"/>
      <c r="J84" s="581"/>
      <c r="K84" s="581"/>
      <c r="L84" s="581"/>
      <c r="M84" s="581"/>
      <c r="N84" s="581"/>
      <c r="O84" s="581"/>
      <c r="P84" s="581"/>
      <c r="AA84" s="581"/>
      <c r="AB84" s="581"/>
      <c r="AC84" s="581"/>
      <c r="AD84" s="581"/>
      <c r="AE84" s="581"/>
      <c r="AF84" s="581"/>
      <c r="AG84" s="581"/>
      <c r="AH84" s="581"/>
      <c r="AI84" s="581"/>
      <c r="AJ84" s="581"/>
      <c r="AK84" s="581"/>
      <c r="AL84" s="581"/>
      <c r="AM84" s="581"/>
      <c r="AN84" s="581"/>
      <c r="AO84" s="581"/>
      <c r="AP84" s="581"/>
      <c r="AQ84" s="581"/>
      <c r="AR84" s="581"/>
    </row>
    <row r="85" spans="1:44" ht="12.75" customHeight="1" x14ac:dyDescent="0.25">
      <c r="A85" s="581"/>
      <c r="B85" s="581"/>
      <c r="C85" s="581"/>
      <c r="D85" s="581"/>
      <c r="E85" s="581"/>
      <c r="F85" s="581"/>
      <c r="G85" s="581"/>
      <c r="H85" s="581"/>
      <c r="I85" s="581"/>
      <c r="J85" s="581"/>
      <c r="K85" s="581"/>
      <c r="L85" s="581"/>
      <c r="M85" s="581"/>
      <c r="N85" s="581"/>
      <c r="O85" s="581"/>
      <c r="P85" s="581"/>
      <c r="AA85" s="581"/>
      <c r="AB85" s="581"/>
      <c r="AC85" s="581"/>
      <c r="AD85" s="581"/>
      <c r="AE85" s="581"/>
      <c r="AF85" s="581"/>
      <c r="AG85" s="581"/>
      <c r="AH85" s="581"/>
      <c r="AI85" s="581"/>
      <c r="AJ85" s="581"/>
      <c r="AK85" s="581"/>
      <c r="AL85" s="581"/>
      <c r="AM85" s="581"/>
      <c r="AN85" s="581"/>
      <c r="AO85" s="581"/>
      <c r="AP85" s="581"/>
      <c r="AQ85" s="581"/>
      <c r="AR85" s="581"/>
    </row>
    <row r="86" spans="1:44" ht="12.75" customHeight="1" x14ac:dyDescent="0.25">
      <c r="A86" s="581"/>
      <c r="B86" s="581"/>
      <c r="C86" s="581"/>
      <c r="D86" s="581"/>
      <c r="E86" s="581"/>
      <c r="F86" s="581"/>
      <c r="G86" s="581"/>
      <c r="H86" s="581"/>
      <c r="I86" s="581"/>
      <c r="J86" s="581"/>
      <c r="K86" s="581"/>
      <c r="L86" s="581"/>
      <c r="M86" s="581"/>
      <c r="N86" s="581"/>
      <c r="O86" s="581"/>
      <c r="P86" s="581"/>
      <c r="AA86" s="581"/>
      <c r="AB86" s="581"/>
      <c r="AC86" s="581"/>
      <c r="AD86" s="581"/>
      <c r="AE86" s="581"/>
      <c r="AF86" s="581"/>
      <c r="AG86" s="581"/>
      <c r="AH86" s="581"/>
      <c r="AI86" s="581"/>
      <c r="AJ86" s="581"/>
      <c r="AK86" s="581"/>
      <c r="AL86" s="581"/>
      <c r="AM86" s="581"/>
      <c r="AN86" s="581"/>
      <c r="AO86" s="581"/>
      <c r="AP86" s="581"/>
      <c r="AQ86" s="581"/>
      <c r="AR86" s="581"/>
    </row>
    <row r="87" spans="1:44" ht="12.75" customHeight="1" x14ac:dyDescent="0.25">
      <c r="A87" s="581"/>
      <c r="B87" s="581"/>
      <c r="C87" s="581"/>
      <c r="D87" s="581"/>
      <c r="E87" s="581"/>
      <c r="F87" s="581"/>
      <c r="G87" s="581"/>
      <c r="H87" s="581"/>
      <c r="I87" s="581"/>
      <c r="J87" s="581"/>
      <c r="K87" s="581"/>
      <c r="L87" s="581"/>
      <c r="M87" s="581"/>
      <c r="N87" s="581"/>
      <c r="O87" s="581"/>
      <c r="P87" s="581"/>
      <c r="AA87" s="581"/>
      <c r="AB87" s="581"/>
      <c r="AC87" s="581"/>
      <c r="AD87" s="581"/>
      <c r="AE87" s="581"/>
      <c r="AF87" s="581"/>
      <c r="AG87" s="581"/>
      <c r="AH87" s="581"/>
      <c r="AI87" s="581"/>
      <c r="AJ87" s="581"/>
      <c r="AK87" s="581"/>
      <c r="AL87" s="581"/>
      <c r="AM87" s="581"/>
      <c r="AN87" s="581"/>
      <c r="AO87" s="581"/>
      <c r="AP87" s="581"/>
      <c r="AQ87" s="581"/>
      <c r="AR87" s="581"/>
    </row>
    <row r="88" spans="1:44" ht="12.75" customHeight="1" x14ac:dyDescent="0.25">
      <c r="A88" s="581"/>
      <c r="B88" s="581"/>
      <c r="C88" s="581"/>
      <c r="D88" s="581"/>
      <c r="E88" s="581"/>
      <c r="F88" s="581"/>
      <c r="G88" s="581"/>
      <c r="H88" s="581"/>
      <c r="I88" s="581"/>
      <c r="J88" s="581"/>
      <c r="K88" s="581"/>
      <c r="L88" s="581"/>
      <c r="M88" s="581"/>
      <c r="N88" s="581"/>
      <c r="O88" s="581"/>
      <c r="P88" s="581"/>
      <c r="AA88" s="581"/>
      <c r="AB88" s="581"/>
      <c r="AC88" s="581"/>
      <c r="AD88" s="581"/>
      <c r="AE88" s="581"/>
      <c r="AF88" s="581"/>
      <c r="AG88" s="581"/>
      <c r="AH88" s="581"/>
      <c r="AI88" s="581"/>
      <c r="AJ88" s="581"/>
      <c r="AK88" s="581"/>
      <c r="AL88" s="581"/>
      <c r="AM88" s="581"/>
      <c r="AN88" s="581"/>
      <c r="AO88" s="581"/>
      <c r="AP88" s="581"/>
      <c r="AQ88" s="581"/>
      <c r="AR88" s="581"/>
    </row>
    <row r="89" spans="1:44" ht="12.75" customHeight="1" x14ac:dyDescent="0.25">
      <c r="A89" s="581"/>
      <c r="B89" s="581"/>
      <c r="C89" s="581"/>
      <c r="D89" s="581"/>
      <c r="E89" s="581"/>
      <c r="F89" s="581"/>
      <c r="G89" s="581"/>
      <c r="H89" s="581"/>
      <c r="I89" s="581"/>
      <c r="J89" s="581"/>
      <c r="K89" s="581"/>
      <c r="L89" s="581"/>
      <c r="M89" s="581"/>
      <c r="N89" s="581"/>
      <c r="O89" s="581"/>
      <c r="P89" s="581"/>
      <c r="AA89" s="581"/>
      <c r="AB89" s="581"/>
      <c r="AC89" s="581"/>
      <c r="AD89" s="581"/>
      <c r="AE89" s="581"/>
      <c r="AF89" s="581"/>
      <c r="AG89" s="581"/>
      <c r="AH89" s="581"/>
      <c r="AI89" s="581"/>
      <c r="AJ89" s="581"/>
      <c r="AK89" s="581"/>
      <c r="AL89" s="581"/>
      <c r="AM89" s="581"/>
      <c r="AN89" s="581"/>
      <c r="AO89" s="581"/>
      <c r="AP89" s="581"/>
      <c r="AQ89" s="581"/>
      <c r="AR89" s="581"/>
    </row>
    <row r="90" spans="1:44" ht="12.75" customHeight="1" x14ac:dyDescent="0.25">
      <c r="A90" s="581"/>
      <c r="B90" s="581"/>
      <c r="C90" s="581"/>
      <c r="D90" s="581"/>
      <c r="E90" s="581"/>
      <c r="F90" s="581"/>
      <c r="G90" s="581"/>
      <c r="H90" s="581"/>
      <c r="I90" s="581"/>
      <c r="J90" s="581"/>
      <c r="K90" s="581"/>
      <c r="L90" s="581"/>
      <c r="M90" s="581"/>
      <c r="N90" s="581"/>
      <c r="O90" s="581"/>
      <c r="P90" s="581"/>
      <c r="AA90" s="581"/>
      <c r="AB90" s="581"/>
      <c r="AC90" s="581"/>
      <c r="AD90" s="581"/>
      <c r="AE90" s="581"/>
      <c r="AF90" s="581"/>
      <c r="AG90" s="581"/>
      <c r="AH90" s="581"/>
      <c r="AI90" s="581"/>
      <c r="AJ90" s="581"/>
      <c r="AK90" s="581"/>
      <c r="AL90" s="581"/>
      <c r="AM90" s="581"/>
      <c r="AN90" s="581"/>
      <c r="AO90" s="581"/>
      <c r="AP90" s="581"/>
      <c r="AQ90" s="581"/>
      <c r="AR90" s="581"/>
    </row>
    <row r="91" spans="1:44" ht="12.75" customHeight="1" x14ac:dyDescent="0.25">
      <c r="A91" s="581"/>
      <c r="B91" s="581"/>
      <c r="C91" s="581"/>
      <c r="D91" s="581"/>
      <c r="E91" s="581"/>
      <c r="F91" s="581"/>
      <c r="G91" s="581"/>
      <c r="H91" s="581"/>
      <c r="I91" s="581"/>
      <c r="J91" s="581"/>
      <c r="K91" s="581"/>
      <c r="L91" s="581"/>
      <c r="M91" s="581"/>
      <c r="N91" s="581"/>
      <c r="O91" s="581"/>
      <c r="P91" s="581"/>
      <c r="AA91" s="581"/>
      <c r="AB91" s="581"/>
      <c r="AC91" s="581"/>
      <c r="AD91" s="581"/>
      <c r="AE91" s="581"/>
      <c r="AF91" s="581"/>
      <c r="AG91" s="581"/>
      <c r="AH91" s="581"/>
      <c r="AI91" s="581"/>
      <c r="AJ91" s="581"/>
      <c r="AK91" s="581"/>
      <c r="AL91" s="581"/>
      <c r="AM91" s="581"/>
      <c r="AN91" s="581"/>
      <c r="AO91" s="581"/>
      <c r="AP91" s="581"/>
      <c r="AQ91" s="581"/>
      <c r="AR91" s="581"/>
    </row>
    <row r="92" spans="1:44" ht="12.75" customHeight="1" x14ac:dyDescent="0.25">
      <c r="A92" s="581"/>
      <c r="B92" s="581"/>
      <c r="C92" s="581"/>
      <c r="D92" s="581"/>
      <c r="E92" s="581"/>
      <c r="F92" s="581"/>
      <c r="G92" s="581"/>
      <c r="H92" s="581"/>
      <c r="I92" s="581"/>
      <c r="J92" s="581"/>
      <c r="K92" s="581"/>
      <c r="L92" s="581"/>
      <c r="M92" s="581"/>
      <c r="N92" s="581"/>
      <c r="O92" s="581"/>
      <c r="P92" s="581"/>
      <c r="AA92" s="581"/>
      <c r="AB92" s="581"/>
      <c r="AC92" s="581"/>
      <c r="AD92" s="581"/>
      <c r="AE92" s="581"/>
      <c r="AF92" s="581"/>
      <c r="AG92" s="581"/>
      <c r="AH92" s="581"/>
      <c r="AI92" s="581"/>
      <c r="AJ92" s="581"/>
      <c r="AK92" s="581"/>
      <c r="AL92" s="581"/>
      <c r="AM92" s="581"/>
      <c r="AN92" s="581"/>
      <c r="AO92" s="581"/>
      <c r="AP92" s="581"/>
      <c r="AQ92" s="581"/>
      <c r="AR92" s="581"/>
    </row>
    <row r="93" spans="1:44" ht="12.75" customHeight="1" x14ac:dyDescent="0.25">
      <c r="A93" s="581"/>
      <c r="B93" s="581"/>
      <c r="C93" s="581"/>
      <c r="D93" s="581"/>
      <c r="E93" s="581"/>
      <c r="F93" s="581"/>
      <c r="G93" s="581"/>
      <c r="H93" s="581"/>
      <c r="I93" s="581"/>
      <c r="J93" s="581"/>
      <c r="K93" s="581"/>
      <c r="L93" s="581"/>
      <c r="M93" s="581"/>
      <c r="N93" s="581"/>
      <c r="O93" s="581"/>
      <c r="P93" s="581"/>
      <c r="AA93" s="581"/>
      <c r="AB93" s="581"/>
      <c r="AC93" s="581"/>
      <c r="AD93" s="581"/>
      <c r="AE93" s="581"/>
      <c r="AF93" s="581"/>
      <c r="AG93" s="581"/>
      <c r="AH93" s="581"/>
      <c r="AI93" s="581"/>
      <c r="AJ93" s="581"/>
      <c r="AK93" s="581"/>
      <c r="AL93" s="581"/>
      <c r="AM93" s="581"/>
      <c r="AN93" s="581"/>
      <c r="AO93" s="581"/>
      <c r="AP93" s="581"/>
      <c r="AQ93" s="581"/>
      <c r="AR93" s="581"/>
    </row>
    <row r="94" spans="1:44" ht="12.75" customHeight="1" x14ac:dyDescent="0.25">
      <c r="A94" s="581"/>
      <c r="B94" s="581"/>
      <c r="C94" s="581"/>
      <c r="D94" s="581"/>
      <c r="E94" s="581"/>
      <c r="F94" s="581"/>
      <c r="G94" s="581"/>
      <c r="H94" s="581"/>
      <c r="I94" s="581"/>
      <c r="J94" s="581"/>
      <c r="K94" s="581"/>
      <c r="L94" s="581"/>
      <c r="M94" s="581"/>
      <c r="N94" s="581"/>
      <c r="O94" s="581"/>
      <c r="P94" s="581"/>
      <c r="AA94" s="581"/>
      <c r="AB94" s="581"/>
      <c r="AC94" s="581"/>
      <c r="AD94" s="581"/>
      <c r="AE94" s="581"/>
      <c r="AF94" s="581"/>
      <c r="AG94" s="581"/>
      <c r="AH94" s="581"/>
      <c r="AI94" s="581"/>
      <c r="AJ94" s="581"/>
      <c r="AK94" s="581"/>
      <c r="AL94" s="581"/>
      <c r="AM94" s="581"/>
      <c r="AN94" s="581"/>
      <c r="AO94" s="581"/>
      <c r="AP94" s="581"/>
      <c r="AQ94" s="581"/>
      <c r="AR94" s="581"/>
    </row>
    <row r="95" spans="1:44" ht="12.75" customHeight="1" x14ac:dyDescent="0.25">
      <c r="A95" s="581"/>
      <c r="B95" s="581"/>
      <c r="C95" s="581"/>
      <c r="D95" s="581"/>
      <c r="E95" s="581"/>
      <c r="F95" s="581"/>
      <c r="G95" s="581"/>
      <c r="H95" s="581"/>
      <c r="I95" s="581"/>
      <c r="J95" s="581"/>
      <c r="K95" s="581"/>
      <c r="L95" s="581"/>
      <c r="M95" s="581"/>
      <c r="N95" s="581"/>
      <c r="O95" s="581"/>
      <c r="P95" s="581"/>
      <c r="AA95" s="581"/>
      <c r="AB95" s="581"/>
      <c r="AC95" s="581"/>
      <c r="AD95" s="581"/>
      <c r="AE95" s="581"/>
      <c r="AF95" s="581"/>
      <c r="AG95" s="581"/>
      <c r="AH95" s="581"/>
      <c r="AI95" s="581"/>
      <c r="AJ95" s="581"/>
      <c r="AK95" s="581"/>
      <c r="AL95" s="581"/>
      <c r="AM95" s="581"/>
      <c r="AN95" s="581"/>
      <c r="AO95" s="581"/>
      <c r="AP95" s="581"/>
      <c r="AQ95" s="581"/>
      <c r="AR95" s="581"/>
    </row>
    <row r="96" spans="1:44" ht="12.75" customHeight="1" x14ac:dyDescent="0.25">
      <c r="A96" s="581"/>
      <c r="B96" s="581"/>
      <c r="C96" s="581"/>
      <c r="D96" s="581"/>
      <c r="E96" s="581"/>
      <c r="F96" s="581"/>
      <c r="G96" s="581"/>
      <c r="H96" s="581"/>
      <c r="I96" s="581"/>
      <c r="J96" s="581"/>
      <c r="K96" s="581"/>
      <c r="L96" s="581"/>
      <c r="M96" s="581"/>
      <c r="N96" s="581"/>
      <c r="O96" s="581"/>
      <c r="P96" s="581"/>
      <c r="AA96" s="581"/>
      <c r="AB96" s="581"/>
      <c r="AC96" s="581"/>
      <c r="AD96" s="581"/>
      <c r="AE96" s="581"/>
      <c r="AF96" s="581"/>
      <c r="AG96" s="581"/>
      <c r="AH96" s="581"/>
      <c r="AI96" s="581"/>
      <c r="AJ96" s="581"/>
      <c r="AK96" s="581"/>
      <c r="AL96" s="581"/>
      <c r="AM96" s="581"/>
      <c r="AN96" s="581"/>
      <c r="AO96" s="581"/>
      <c r="AP96" s="581"/>
      <c r="AQ96" s="581"/>
      <c r="AR96" s="581"/>
    </row>
    <row r="97" spans="1:44" ht="12.75" customHeight="1" x14ac:dyDescent="0.25">
      <c r="A97" s="581"/>
      <c r="B97" s="581"/>
      <c r="C97" s="581"/>
      <c r="D97" s="581"/>
      <c r="E97" s="581"/>
      <c r="F97" s="581"/>
      <c r="G97" s="581"/>
      <c r="H97" s="581"/>
      <c r="I97" s="581"/>
      <c r="J97" s="581"/>
      <c r="K97" s="581"/>
      <c r="L97" s="581"/>
      <c r="M97" s="581"/>
      <c r="N97" s="581"/>
      <c r="O97" s="581"/>
      <c r="P97" s="581"/>
      <c r="AA97" s="581"/>
      <c r="AB97" s="581"/>
      <c r="AC97" s="581"/>
      <c r="AD97" s="581"/>
      <c r="AE97" s="581"/>
      <c r="AF97" s="581"/>
      <c r="AG97" s="581"/>
      <c r="AH97" s="581"/>
      <c r="AI97" s="581"/>
      <c r="AJ97" s="581"/>
      <c r="AK97" s="581"/>
      <c r="AL97" s="581"/>
      <c r="AM97" s="581"/>
      <c r="AN97" s="581"/>
      <c r="AO97" s="581"/>
      <c r="AP97" s="581"/>
      <c r="AQ97" s="581"/>
      <c r="AR97" s="581"/>
    </row>
    <row r="98" spans="1:44" ht="12.75" customHeight="1" x14ac:dyDescent="0.25">
      <c r="A98" s="581"/>
      <c r="B98" s="581"/>
      <c r="C98" s="581"/>
      <c r="D98" s="581"/>
      <c r="E98" s="581"/>
      <c r="F98" s="581"/>
      <c r="G98" s="581"/>
      <c r="H98" s="581"/>
      <c r="I98" s="581"/>
      <c r="J98" s="581"/>
      <c r="K98" s="581"/>
      <c r="L98" s="581"/>
      <c r="M98" s="581"/>
      <c r="N98" s="581"/>
      <c r="O98" s="581"/>
      <c r="P98" s="581"/>
      <c r="AA98" s="581"/>
      <c r="AB98" s="581"/>
      <c r="AC98" s="581"/>
      <c r="AD98" s="581"/>
      <c r="AE98" s="581"/>
      <c r="AF98" s="581"/>
      <c r="AG98" s="581"/>
      <c r="AH98" s="581"/>
      <c r="AI98" s="581"/>
      <c r="AJ98" s="581"/>
      <c r="AK98" s="581"/>
      <c r="AL98" s="581"/>
      <c r="AM98" s="581"/>
      <c r="AN98" s="581"/>
      <c r="AO98" s="581"/>
      <c r="AP98" s="581"/>
      <c r="AQ98" s="581"/>
      <c r="AR98" s="581"/>
    </row>
    <row r="99" spans="1:44" ht="12.75" customHeight="1" x14ac:dyDescent="0.25">
      <c r="A99" s="581"/>
      <c r="B99" s="581"/>
      <c r="C99" s="581"/>
      <c r="D99" s="581"/>
      <c r="E99" s="581"/>
      <c r="F99" s="581"/>
      <c r="G99" s="581"/>
      <c r="H99" s="581"/>
      <c r="I99" s="581"/>
      <c r="J99" s="581"/>
      <c r="K99" s="581"/>
      <c r="L99" s="581"/>
      <c r="M99" s="581"/>
      <c r="N99" s="581"/>
      <c r="O99" s="581"/>
      <c r="P99" s="581"/>
      <c r="AA99" s="581"/>
      <c r="AB99" s="581"/>
      <c r="AC99" s="581"/>
      <c r="AD99" s="581"/>
      <c r="AE99" s="581"/>
      <c r="AF99" s="581"/>
      <c r="AG99" s="581"/>
      <c r="AH99" s="581"/>
      <c r="AI99" s="581"/>
      <c r="AJ99" s="581"/>
      <c r="AK99" s="581"/>
      <c r="AL99" s="581"/>
      <c r="AM99" s="581"/>
      <c r="AN99" s="581"/>
      <c r="AO99" s="581"/>
      <c r="AP99" s="581"/>
      <c r="AQ99" s="581"/>
      <c r="AR99" s="581"/>
    </row>
    <row r="100" spans="1:44" ht="12.75" customHeight="1" x14ac:dyDescent="0.25">
      <c r="A100" s="581"/>
      <c r="B100" s="581"/>
      <c r="C100" s="581"/>
      <c r="D100" s="581"/>
      <c r="E100" s="581"/>
      <c r="F100" s="581"/>
      <c r="G100" s="581"/>
      <c r="H100" s="581"/>
      <c r="I100" s="581"/>
      <c r="J100" s="581"/>
      <c r="K100" s="581"/>
      <c r="L100" s="581"/>
      <c r="M100" s="581"/>
      <c r="N100" s="581"/>
      <c r="O100" s="581"/>
      <c r="P100" s="581"/>
      <c r="AA100" s="581"/>
      <c r="AB100" s="581"/>
      <c r="AC100" s="581"/>
      <c r="AD100" s="581"/>
      <c r="AE100" s="581"/>
      <c r="AF100" s="581"/>
      <c r="AG100" s="581"/>
      <c r="AH100" s="581"/>
      <c r="AI100" s="581"/>
      <c r="AJ100" s="581"/>
      <c r="AK100" s="581"/>
      <c r="AL100" s="581"/>
      <c r="AM100" s="581"/>
      <c r="AN100" s="581"/>
      <c r="AO100" s="581"/>
      <c r="AP100" s="581"/>
      <c r="AQ100" s="581"/>
      <c r="AR100" s="581"/>
    </row>
    <row r="101" spans="1:44" ht="12.75" customHeight="1" x14ac:dyDescent="0.25">
      <c r="A101" s="581"/>
      <c r="B101" s="581"/>
      <c r="C101" s="581"/>
      <c r="D101" s="581"/>
      <c r="E101" s="581"/>
      <c r="F101" s="581"/>
      <c r="G101" s="581"/>
      <c r="H101" s="581"/>
      <c r="I101" s="581"/>
      <c r="J101" s="581"/>
      <c r="K101" s="581"/>
      <c r="L101" s="581"/>
      <c r="M101" s="581"/>
      <c r="N101" s="581"/>
      <c r="O101" s="581"/>
      <c r="P101" s="581"/>
      <c r="AA101" s="581"/>
      <c r="AB101" s="581"/>
      <c r="AC101" s="581"/>
      <c r="AD101" s="581"/>
      <c r="AE101" s="581"/>
      <c r="AF101" s="581"/>
      <c r="AG101" s="581"/>
      <c r="AH101" s="581"/>
      <c r="AI101" s="581"/>
      <c r="AJ101" s="581"/>
      <c r="AK101" s="581"/>
      <c r="AL101" s="581"/>
      <c r="AM101" s="581"/>
      <c r="AN101" s="581"/>
      <c r="AO101" s="581"/>
      <c r="AP101" s="581"/>
      <c r="AQ101" s="581"/>
      <c r="AR101" s="581"/>
    </row>
    <row r="102" spans="1:44" ht="12.75" customHeight="1" x14ac:dyDescent="0.25">
      <c r="A102" s="581"/>
      <c r="B102" s="581"/>
      <c r="C102" s="581"/>
      <c r="D102" s="581"/>
      <c r="E102" s="581"/>
      <c r="F102" s="581"/>
      <c r="G102" s="581"/>
      <c r="H102" s="581"/>
      <c r="I102" s="581"/>
      <c r="J102" s="581"/>
      <c r="K102" s="581"/>
      <c r="L102" s="581"/>
      <c r="M102" s="581"/>
      <c r="N102" s="581"/>
      <c r="O102" s="581"/>
      <c r="P102" s="581"/>
      <c r="AA102" s="581"/>
      <c r="AB102" s="581"/>
      <c r="AC102" s="581"/>
      <c r="AD102" s="581"/>
      <c r="AE102" s="581"/>
      <c r="AF102" s="581"/>
      <c r="AG102" s="581"/>
      <c r="AH102" s="581"/>
      <c r="AI102" s="581"/>
      <c r="AJ102" s="581"/>
      <c r="AK102" s="581"/>
      <c r="AL102" s="581"/>
      <c r="AM102" s="581"/>
      <c r="AN102" s="581"/>
      <c r="AO102" s="581"/>
      <c r="AP102" s="581"/>
      <c r="AQ102" s="581"/>
      <c r="AR102" s="581"/>
    </row>
    <row r="103" spans="1:44" ht="12.75" customHeight="1" x14ac:dyDescent="0.25">
      <c r="A103" s="581"/>
      <c r="B103" s="581"/>
      <c r="C103" s="581"/>
      <c r="D103" s="581"/>
      <c r="E103" s="581"/>
      <c r="F103" s="581"/>
      <c r="G103" s="581"/>
      <c r="H103" s="581"/>
      <c r="I103" s="581"/>
      <c r="J103" s="581"/>
      <c r="K103" s="581"/>
      <c r="L103" s="581"/>
      <c r="M103" s="581"/>
      <c r="N103" s="581"/>
      <c r="O103" s="581"/>
      <c r="P103" s="581"/>
      <c r="AA103" s="581"/>
      <c r="AB103" s="581"/>
      <c r="AC103" s="581"/>
      <c r="AD103" s="581"/>
      <c r="AE103" s="581"/>
      <c r="AF103" s="581"/>
      <c r="AG103" s="581"/>
      <c r="AH103" s="581"/>
      <c r="AI103" s="581"/>
      <c r="AJ103" s="581"/>
      <c r="AK103" s="581"/>
      <c r="AL103" s="581"/>
      <c r="AM103" s="581"/>
      <c r="AN103" s="581"/>
      <c r="AO103" s="581"/>
      <c r="AP103" s="581"/>
      <c r="AQ103" s="581"/>
      <c r="AR103" s="581"/>
    </row>
    <row r="104" spans="1:44" ht="12.75" customHeight="1" x14ac:dyDescent="0.25">
      <c r="A104" s="581"/>
      <c r="B104" s="581"/>
      <c r="C104" s="581"/>
      <c r="D104" s="581"/>
      <c r="E104" s="581"/>
      <c r="F104" s="581"/>
      <c r="G104" s="581"/>
      <c r="H104" s="581"/>
      <c r="I104" s="581"/>
      <c r="J104" s="581"/>
      <c r="K104" s="581"/>
      <c r="L104" s="581"/>
      <c r="M104" s="581"/>
      <c r="N104" s="581"/>
      <c r="O104" s="581"/>
      <c r="P104" s="581"/>
      <c r="AA104" s="581"/>
      <c r="AB104" s="581"/>
      <c r="AC104" s="581"/>
      <c r="AD104" s="581"/>
      <c r="AE104" s="581"/>
      <c r="AF104" s="581"/>
      <c r="AG104" s="581"/>
      <c r="AH104" s="581"/>
      <c r="AI104" s="581"/>
      <c r="AJ104" s="581"/>
      <c r="AK104" s="581"/>
      <c r="AL104" s="581"/>
      <c r="AM104" s="581"/>
      <c r="AN104" s="581"/>
      <c r="AO104" s="581"/>
      <c r="AP104" s="581"/>
      <c r="AQ104" s="581"/>
      <c r="AR104" s="581"/>
    </row>
    <row r="105" spans="1:44" ht="12.75" customHeight="1" x14ac:dyDescent="0.25">
      <c r="A105" s="581"/>
      <c r="B105" s="581"/>
      <c r="C105" s="581"/>
      <c r="D105" s="581"/>
      <c r="E105" s="581"/>
      <c r="F105" s="581"/>
      <c r="G105" s="581"/>
      <c r="H105" s="581"/>
      <c r="I105" s="581"/>
      <c r="J105" s="581"/>
      <c r="K105" s="581"/>
      <c r="L105" s="581"/>
      <c r="M105" s="581"/>
      <c r="N105" s="581"/>
      <c r="O105" s="581"/>
      <c r="P105" s="581"/>
      <c r="AA105" s="581"/>
      <c r="AB105" s="581"/>
      <c r="AC105" s="581"/>
      <c r="AD105" s="581"/>
      <c r="AE105" s="581"/>
      <c r="AF105" s="581"/>
      <c r="AG105" s="581"/>
      <c r="AH105" s="581"/>
      <c r="AI105" s="581"/>
      <c r="AJ105" s="581"/>
      <c r="AK105" s="581"/>
      <c r="AL105" s="581"/>
      <c r="AM105" s="581"/>
      <c r="AN105" s="581"/>
      <c r="AO105" s="581"/>
      <c r="AP105" s="581"/>
      <c r="AQ105" s="581"/>
      <c r="AR105" s="581"/>
    </row>
    <row r="106" spans="1:44" ht="12.75" customHeight="1" x14ac:dyDescent="0.25">
      <c r="A106" s="581"/>
      <c r="B106" s="581"/>
      <c r="C106" s="581"/>
      <c r="D106" s="581"/>
      <c r="E106" s="581"/>
      <c r="F106" s="581"/>
      <c r="G106" s="581"/>
      <c r="H106" s="581"/>
      <c r="I106" s="581"/>
      <c r="J106" s="581"/>
      <c r="K106" s="581"/>
      <c r="L106" s="581"/>
      <c r="M106" s="581"/>
      <c r="N106" s="581"/>
      <c r="O106" s="581"/>
      <c r="P106" s="581"/>
      <c r="AA106" s="581"/>
      <c r="AB106" s="581"/>
      <c r="AC106" s="581"/>
      <c r="AD106" s="581"/>
      <c r="AE106" s="581"/>
      <c r="AF106" s="581"/>
      <c r="AG106" s="581"/>
      <c r="AH106" s="581"/>
      <c r="AI106" s="581"/>
      <c r="AJ106" s="581"/>
      <c r="AK106" s="581"/>
      <c r="AL106" s="581"/>
      <c r="AM106" s="581"/>
      <c r="AN106" s="581"/>
      <c r="AO106" s="581"/>
      <c r="AP106" s="581"/>
      <c r="AQ106" s="581"/>
      <c r="AR106" s="581"/>
    </row>
    <row r="107" spans="1:44" ht="12.75" customHeight="1" x14ac:dyDescent="0.25">
      <c r="A107" s="581"/>
      <c r="B107" s="581"/>
      <c r="C107" s="581"/>
      <c r="D107" s="581"/>
      <c r="E107" s="581"/>
      <c r="F107" s="581"/>
      <c r="G107" s="581"/>
      <c r="H107" s="581"/>
      <c r="I107" s="581"/>
      <c r="J107" s="581"/>
      <c r="K107" s="581"/>
      <c r="L107" s="581"/>
      <c r="M107" s="581"/>
      <c r="N107" s="581"/>
      <c r="O107" s="581"/>
      <c r="P107" s="581"/>
      <c r="AA107" s="581"/>
      <c r="AB107" s="581"/>
      <c r="AC107" s="581"/>
      <c r="AD107" s="581"/>
      <c r="AE107" s="581"/>
      <c r="AF107" s="581"/>
      <c r="AG107" s="581"/>
      <c r="AH107" s="581"/>
      <c r="AI107" s="581"/>
      <c r="AJ107" s="581"/>
      <c r="AK107" s="581"/>
      <c r="AL107" s="581"/>
      <c r="AM107" s="581"/>
      <c r="AN107" s="581"/>
      <c r="AO107" s="581"/>
      <c r="AP107" s="581"/>
      <c r="AQ107" s="581"/>
      <c r="AR107" s="581"/>
    </row>
    <row r="108" spans="1:44" ht="12.75" customHeight="1" x14ac:dyDescent="0.25">
      <c r="A108" s="581"/>
      <c r="B108" s="581"/>
      <c r="C108" s="581"/>
      <c r="D108" s="581"/>
      <c r="E108" s="581"/>
      <c r="F108" s="581"/>
      <c r="G108" s="581"/>
      <c r="H108" s="581"/>
      <c r="I108" s="581"/>
      <c r="J108" s="581"/>
      <c r="K108" s="581"/>
      <c r="L108" s="581"/>
      <c r="M108" s="581"/>
      <c r="N108" s="581"/>
      <c r="O108" s="581"/>
      <c r="P108" s="581"/>
      <c r="AA108" s="581"/>
      <c r="AB108" s="581"/>
      <c r="AC108" s="581"/>
      <c r="AD108" s="581"/>
      <c r="AE108" s="581"/>
      <c r="AF108" s="581"/>
      <c r="AG108" s="581"/>
      <c r="AH108" s="581"/>
      <c r="AI108" s="581"/>
      <c r="AJ108" s="581"/>
      <c r="AK108" s="581"/>
      <c r="AL108" s="581"/>
      <c r="AM108" s="581"/>
      <c r="AN108" s="581"/>
      <c r="AO108" s="581"/>
      <c r="AP108" s="581"/>
      <c r="AQ108" s="581"/>
      <c r="AR108" s="581"/>
    </row>
    <row r="109" spans="1:44" ht="12.75" customHeight="1" x14ac:dyDescent="0.25">
      <c r="A109" s="581"/>
      <c r="B109" s="581"/>
      <c r="C109" s="581"/>
      <c r="D109" s="581"/>
      <c r="E109" s="581"/>
      <c r="F109" s="581"/>
      <c r="G109" s="581"/>
      <c r="H109" s="581"/>
      <c r="I109" s="581"/>
      <c r="J109" s="581"/>
      <c r="K109" s="581"/>
      <c r="L109" s="581"/>
      <c r="M109" s="581"/>
      <c r="N109" s="581"/>
      <c r="O109" s="581"/>
      <c r="P109" s="581"/>
      <c r="AA109" s="581"/>
      <c r="AB109" s="581"/>
      <c r="AC109" s="581"/>
      <c r="AD109" s="581"/>
      <c r="AE109" s="581"/>
      <c r="AF109" s="581"/>
      <c r="AG109" s="581"/>
      <c r="AH109" s="581"/>
      <c r="AI109" s="581"/>
      <c r="AJ109" s="581"/>
      <c r="AK109" s="581"/>
      <c r="AL109" s="581"/>
      <c r="AM109" s="581"/>
      <c r="AN109" s="581"/>
      <c r="AO109" s="581"/>
      <c r="AP109" s="581"/>
      <c r="AQ109" s="581"/>
      <c r="AR109" s="581"/>
    </row>
    <row r="110" spans="1:44" ht="12.75" customHeight="1" x14ac:dyDescent="0.25">
      <c r="A110" s="581"/>
      <c r="B110" s="581"/>
      <c r="C110" s="581"/>
      <c r="D110" s="581"/>
      <c r="E110" s="581"/>
      <c r="F110" s="581"/>
      <c r="G110" s="581"/>
      <c r="H110" s="581"/>
      <c r="I110" s="581"/>
      <c r="J110" s="581"/>
      <c r="K110" s="581"/>
      <c r="L110" s="581"/>
      <c r="M110" s="581"/>
      <c r="N110" s="581"/>
      <c r="O110" s="581"/>
      <c r="P110" s="581"/>
      <c r="AA110" s="581"/>
      <c r="AB110" s="581"/>
      <c r="AC110" s="581"/>
      <c r="AD110" s="581"/>
      <c r="AE110" s="581"/>
      <c r="AF110" s="581"/>
      <c r="AG110" s="581"/>
      <c r="AH110" s="581"/>
      <c r="AI110" s="581"/>
      <c r="AJ110" s="581"/>
      <c r="AK110" s="581"/>
      <c r="AL110" s="581"/>
      <c r="AM110" s="581"/>
      <c r="AN110" s="581"/>
      <c r="AO110" s="581"/>
      <c r="AP110" s="581"/>
      <c r="AQ110" s="581"/>
      <c r="AR110" s="581"/>
    </row>
    <row r="111" spans="1:44" ht="12.75" customHeight="1" x14ac:dyDescent="0.25">
      <c r="A111" s="581"/>
      <c r="B111" s="581"/>
      <c r="C111" s="581"/>
      <c r="D111" s="581"/>
      <c r="E111" s="581"/>
      <c r="F111" s="581"/>
      <c r="G111" s="581"/>
      <c r="H111" s="581"/>
      <c r="I111" s="581"/>
      <c r="J111" s="581"/>
      <c r="K111" s="581"/>
      <c r="L111" s="581"/>
      <c r="M111" s="581"/>
      <c r="N111" s="581"/>
      <c r="O111" s="581"/>
      <c r="P111" s="581"/>
      <c r="AA111" s="581"/>
      <c r="AB111" s="581"/>
      <c r="AC111" s="581"/>
      <c r="AD111" s="581"/>
      <c r="AE111" s="581"/>
      <c r="AF111" s="581"/>
      <c r="AG111" s="581"/>
      <c r="AH111" s="581"/>
      <c r="AI111" s="581"/>
      <c r="AJ111" s="581"/>
      <c r="AK111" s="581"/>
      <c r="AL111" s="581"/>
      <c r="AM111" s="581"/>
      <c r="AN111" s="581"/>
      <c r="AO111" s="581"/>
      <c r="AP111" s="581"/>
      <c r="AQ111" s="581"/>
      <c r="AR111" s="581"/>
    </row>
    <row r="112" spans="1:44" ht="12.75" customHeight="1" x14ac:dyDescent="0.25">
      <c r="A112" s="581"/>
      <c r="B112" s="581"/>
      <c r="C112" s="581"/>
      <c r="D112" s="581"/>
      <c r="E112" s="581"/>
      <c r="F112" s="581"/>
      <c r="G112" s="581"/>
      <c r="H112" s="581"/>
      <c r="I112" s="581"/>
      <c r="J112" s="581"/>
      <c r="K112" s="581"/>
      <c r="L112" s="581"/>
      <c r="M112" s="581"/>
      <c r="N112" s="581"/>
      <c r="O112" s="581"/>
      <c r="P112" s="581"/>
      <c r="AA112" s="581"/>
      <c r="AB112" s="581"/>
      <c r="AC112" s="581"/>
      <c r="AD112" s="581"/>
      <c r="AE112" s="581"/>
      <c r="AF112" s="581"/>
      <c r="AG112" s="581"/>
      <c r="AH112" s="581"/>
      <c r="AI112" s="581"/>
      <c r="AJ112" s="581"/>
      <c r="AK112" s="581"/>
      <c r="AL112" s="581"/>
      <c r="AM112" s="581"/>
      <c r="AN112" s="581"/>
      <c r="AO112" s="581"/>
      <c r="AP112" s="581"/>
      <c r="AQ112" s="581"/>
      <c r="AR112" s="581"/>
    </row>
    <row r="113" spans="1:44" ht="12.75" customHeight="1" x14ac:dyDescent="0.25">
      <c r="A113" s="581"/>
      <c r="B113" s="581"/>
      <c r="C113" s="581"/>
      <c r="D113" s="581"/>
      <c r="E113" s="581"/>
      <c r="F113" s="581"/>
      <c r="G113" s="581"/>
      <c r="H113" s="581"/>
      <c r="I113" s="581"/>
      <c r="J113" s="581"/>
      <c r="K113" s="581"/>
      <c r="L113" s="581"/>
      <c r="M113" s="581"/>
      <c r="N113" s="581"/>
      <c r="O113" s="581"/>
      <c r="P113" s="581"/>
      <c r="AA113" s="581"/>
      <c r="AB113" s="581"/>
      <c r="AC113" s="581"/>
      <c r="AD113" s="581"/>
      <c r="AE113" s="581"/>
      <c r="AF113" s="581"/>
      <c r="AG113" s="581"/>
      <c r="AH113" s="581"/>
      <c r="AI113" s="581"/>
      <c r="AJ113" s="581"/>
      <c r="AK113" s="581"/>
      <c r="AL113" s="581"/>
      <c r="AM113" s="581"/>
      <c r="AN113" s="581"/>
      <c r="AO113" s="581"/>
      <c r="AP113" s="581"/>
      <c r="AQ113" s="581"/>
      <c r="AR113" s="581"/>
    </row>
    <row r="114" spans="1:44" ht="12.75" customHeight="1" x14ac:dyDescent="0.25">
      <c r="A114" s="581"/>
      <c r="B114" s="581"/>
      <c r="C114" s="581"/>
      <c r="D114" s="581"/>
      <c r="E114" s="581"/>
      <c r="F114" s="581"/>
      <c r="G114" s="581"/>
      <c r="H114" s="581"/>
      <c r="I114" s="581"/>
      <c r="J114" s="581"/>
      <c r="K114" s="581"/>
      <c r="L114" s="581"/>
      <c r="M114" s="581"/>
      <c r="N114" s="581"/>
      <c r="O114" s="581"/>
      <c r="P114" s="581"/>
      <c r="AA114" s="581"/>
      <c r="AB114" s="581"/>
      <c r="AC114" s="581"/>
      <c r="AD114" s="581"/>
      <c r="AE114" s="581"/>
      <c r="AF114" s="581"/>
      <c r="AG114" s="581"/>
      <c r="AH114" s="581"/>
      <c r="AI114" s="581"/>
      <c r="AJ114" s="581"/>
      <c r="AK114" s="581"/>
      <c r="AL114" s="581"/>
      <c r="AM114" s="581"/>
      <c r="AN114" s="581"/>
      <c r="AO114" s="581"/>
      <c r="AP114" s="581"/>
      <c r="AQ114" s="581"/>
      <c r="AR114" s="581"/>
    </row>
    <row r="115" spans="1:44" ht="12.75" customHeight="1" x14ac:dyDescent="0.25">
      <c r="A115" s="581"/>
      <c r="B115" s="581"/>
      <c r="C115" s="581"/>
      <c r="D115" s="581"/>
      <c r="E115" s="581"/>
      <c r="F115" s="581"/>
      <c r="G115" s="581"/>
      <c r="H115" s="581"/>
      <c r="I115" s="581"/>
      <c r="J115" s="581"/>
      <c r="K115" s="581"/>
      <c r="L115" s="581"/>
      <c r="M115" s="581"/>
      <c r="N115" s="581"/>
      <c r="O115" s="581"/>
      <c r="P115" s="581"/>
      <c r="AA115" s="581"/>
      <c r="AB115" s="581"/>
      <c r="AC115" s="581"/>
      <c r="AD115" s="581"/>
      <c r="AE115" s="581"/>
      <c r="AF115" s="581"/>
      <c r="AG115" s="581"/>
      <c r="AH115" s="581"/>
      <c r="AI115" s="581"/>
      <c r="AJ115" s="581"/>
      <c r="AK115" s="581"/>
      <c r="AL115" s="581"/>
      <c r="AM115" s="581"/>
      <c r="AN115" s="581"/>
      <c r="AO115" s="581"/>
      <c r="AP115" s="581"/>
      <c r="AQ115" s="581"/>
      <c r="AR115" s="581"/>
    </row>
    <row r="116" spans="1:44" ht="12.75" customHeight="1" x14ac:dyDescent="0.25">
      <c r="A116" s="581"/>
      <c r="B116" s="581"/>
      <c r="C116" s="581"/>
      <c r="D116" s="581"/>
      <c r="E116" s="581"/>
      <c r="F116" s="581"/>
      <c r="G116" s="581"/>
      <c r="H116" s="581"/>
      <c r="I116" s="581"/>
      <c r="J116" s="581"/>
      <c r="K116" s="581"/>
      <c r="L116" s="581"/>
      <c r="M116" s="581"/>
      <c r="N116" s="581"/>
      <c r="O116" s="581"/>
      <c r="P116" s="581"/>
      <c r="AA116" s="581"/>
      <c r="AB116" s="581"/>
      <c r="AC116" s="581"/>
      <c r="AD116" s="581"/>
      <c r="AE116" s="581"/>
      <c r="AF116" s="581"/>
      <c r="AG116" s="581"/>
      <c r="AH116" s="581"/>
      <c r="AI116" s="581"/>
      <c r="AJ116" s="581"/>
      <c r="AK116" s="581"/>
      <c r="AL116" s="581"/>
      <c r="AM116" s="581"/>
      <c r="AN116" s="581"/>
      <c r="AO116" s="581"/>
      <c r="AP116" s="581"/>
      <c r="AQ116" s="581"/>
      <c r="AR116" s="581"/>
    </row>
    <row r="117" spans="1:44" ht="12.75" customHeight="1" x14ac:dyDescent="0.25">
      <c r="A117" s="581"/>
      <c r="B117" s="581"/>
      <c r="C117" s="581"/>
      <c r="D117" s="581"/>
      <c r="E117" s="581"/>
      <c r="F117" s="581"/>
      <c r="G117" s="581"/>
      <c r="H117" s="581"/>
      <c r="I117" s="581"/>
      <c r="J117" s="581"/>
      <c r="K117" s="581"/>
      <c r="L117" s="581"/>
      <c r="M117" s="581"/>
      <c r="N117" s="581"/>
      <c r="O117" s="581"/>
      <c r="P117" s="581"/>
      <c r="AA117" s="581"/>
      <c r="AB117" s="581"/>
      <c r="AC117" s="581"/>
      <c r="AD117" s="581"/>
      <c r="AE117" s="581"/>
      <c r="AF117" s="581"/>
      <c r="AG117" s="581"/>
      <c r="AH117" s="581"/>
      <c r="AI117" s="581"/>
      <c r="AJ117" s="581"/>
      <c r="AK117" s="581"/>
      <c r="AL117" s="581"/>
      <c r="AM117" s="581"/>
      <c r="AN117" s="581"/>
      <c r="AO117" s="581"/>
      <c r="AP117" s="581"/>
      <c r="AQ117" s="581"/>
      <c r="AR117" s="581"/>
    </row>
    <row r="118" spans="1:44" ht="12.75" customHeight="1" x14ac:dyDescent="0.25">
      <c r="A118" s="581"/>
      <c r="B118" s="581"/>
      <c r="C118" s="581"/>
      <c r="D118" s="581"/>
      <c r="E118" s="581"/>
      <c r="F118" s="581"/>
      <c r="G118" s="581"/>
      <c r="H118" s="581"/>
      <c r="I118" s="581"/>
      <c r="J118" s="581"/>
      <c r="K118" s="581"/>
      <c r="L118" s="581"/>
      <c r="M118" s="581"/>
      <c r="N118" s="581"/>
      <c r="O118" s="581"/>
      <c r="P118" s="581"/>
      <c r="AA118" s="581"/>
      <c r="AB118" s="581"/>
      <c r="AC118" s="581"/>
      <c r="AD118" s="581"/>
      <c r="AE118" s="581"/>
      <c r="AF118" s="581"/>
      <c r="AG118" s="581"/>
      <c r="AH118" s="581"/>
      <c r="AI118" s="581"/>
      <c r="AJ118" s="581"/>
      <c r="AK118" s="581"/>
      <c r="AL118" s="581"/>
      <c r="AM118" s="581"/>
      <c r="AN118" s="581"/>
      <c r="AO118" s="581"/>
      <c r="AP118" s="581"/>
      <c r="AQ118" s="581"/>
      <c r="AR118" s="581"/>
    </row>
    <row r="119" spans="1:44" ht="12.75" customHeight="1" x14ac:dyDescent="0.25">
      <c r="A119" s="581"/>
      <c r="B119" s="581"/>
      <c r="C119" s="581"/>
      <c r="D119" s="581"/>
      <c r="E119" s="581"/>
      <c r="F119" s="581"/>
      <c r="G119" s="581"/>
      <c r="H119" s="581"/>
      <c r="I119" s="581"/>
      <c r="J119" s="581"/>
      <c r="K119" s="581"/>
      <c r="L119" s="581"/>
      <c r="M119" s="581"/>
      <c r="N119" s="581"/>
      <c r="O119" s="581"/>
      <c r="P119" s="581"/>
      <c r="AA119" s="581"/>
      <c r="AB119" s="581"/>
      <c r="AC119" s="581"/>
      <c r="AD119" s="581"/>
      <c r="AE119" s="581"/>
      <c r="AF119" s="581"/>
      <c r="AG119" s="581"/>
      <c r="AH119" s="581"/>
      <c r="AI119" s="581"/>
      <c r="AJ119" s="581"/>
      <c r="AK119" s="581"/>
      <c r="AL119" s="581"/>
      <c r="AM119" s="581"/>
      <c r="AN119" s="581"/>
      <c r="AO119" s="581"/>
      <c r="AP119" s="581"/>
      <c r="AQ119" s="581"/>
      <c r="AR119" s="581"/>
    </row>
    <row r="120" spans="1:44" ht="12.75" customHeight="1" x14ac:dyDescent="0.25">
      <c r="A120" s="581"/>
      <c r="B120" s="581"/>
      <c r="C120" s="581"/>
      <c r="D120" s="581"/>
      <c r="E120" s="581"/>
      <c r="F120" s="581"/>
      <c r="G120" s="581"/>
      <c r="H120" s="581"/>
      <c r="I120" s="581"/>
      <c r="J120" s="581"/>
      <c r="K120" s="581"/>
      <c r="L120" s="581"/>
      <c r="M120" s="581"/>
      <c r="N120" s="581"/>
      <c r="O120" s="581"/>
      <c r="P120" s="581"/>
      <c r="AA120" s="581"/>
      <c r="AB120" s="581"/>
      <c r="AC120" s="581"/>
      <c r="AD120" s="581"/>
      <c r="AE120" s="581"/>
      <c r="AF120" s="581"/>
      <c r="AG120" s="581"/>
      <c r="AH120" s="581"/>
      <c r="AI120" s="581"/>
      <c r="AJ120" s="581"/>
      <c r="AK120" s="581"/>
      <c r="AL120" s="581"/>
      <c r="AM120" s="581"/>
      <c r="AN120" s="581"/>
      <c r="AO120" s="581"/>
      <c r="AP120" s="581"/>
      <c r="AQ120" s="581"/>
      <c r="AR120" s="581"/>
    </row>
    <row r="121" spans="1:44" ht="12.75" customHeight="1" x14ac:dyDescent="0.25">
      <c r="A121" s="581"/>
      <c r="B121" s="581"/>
      <c r="C121" s="581"/>
      <c r="D121" s="581"/>
      <c r="E121" s="581"/>
      <c r="F121" s="581"/>
      <c r="G121" s="581"/>
      <c r="H121" s="581"/>
      <c r="I121" s="581"/>
      <c r="J121" s="581"/>
      <c r="K121" s="581"/>
      <c r="L121" s="581"/>
      <c r="M121" s="581"/>
      <c r="N121" s="581"/>
      <c r="O121" s="581"/>
      <c r="P121" s="581"/>
      <c r="AA121" s="581"/>
      <c r="AB121" s="581"/>
      <c r="AC121" s="581"/>
      <c r="AD121" s="581"/>
      <c r="AE121" s="581"/>
      <c r="AF121" s="581"/>
      <c r="AG121" s="581"/>
      <c r="AH121" s="581"/>
      <c r="AI121" s="581"/>
      <c r="AJ121" s="581"/>
      <c r="AK121" s="581"/>
      <c r="AL121" s="581"/>
      <c r="AM121" s="581"/>
      <c r="AN121" s="581"/>
      <c r="AO121" s="581"/>
      <c r="AP121" s="581"/>
      <c r="AQ121" s="581"/>
      <c r="AR121" s="581"/>
    </row>
    <row r="122" spans="1:44" ht="12.75" customHeight="1" x14ac:dyDescent="0.25">
      <c r="A122" s="581"/>
      <c r="B122" s="581"/>
      <c r="C122" s="581"/>
      <c r="D122" s="581"/>
      <c r="E122" s="581"/>
      <c r="F122" s="581"/>
      <c r="G122" s="581"/>
      <c r="H122" s="581"/>
      <c r="I122" s="581"/>
      <c r="J122" s="581"/>
      <c r="K122" s="581"/>
      <c r="L122" s="581"/>
      <c r="M122" s="581"/>
      <c r="N122" s="581"/>
      <c r="O122" s="581"/>
      <c r="P122" s="581"/>
      <c r="AA122" s="581"/>
      <c r="AB122" s="581"/>
      <c r="AC122" s="581"/>
      <c r="AD122" s="581"/>
      <c r="AE122" s="581"/>
      <c r="AF122" s="581"/>
      <c r="AG122" s="581"/>
      <c r="AH122" s="581"/>
      <c r="AI122" s="581"/>
      <c r="AJ122" s="581"/>
      <c r="AK122" s="581"/>
      <c r="AL122" s="581"/>
      <c r="AM122" s="581"/>
      <c r="AN122" s="581"/>
      <c r="AO122" s="581"/>
      <c r="AP122" s="581"/>
      <c r="AQ122" s="581"/>
      <c r="AR122" s="581"/>
    </row>
    <row r="123" spans="1:44" ht="12.75" customHeight="1" x14ac:dyDescent="0.25">
      <c r="A123" s="581"/>
      <c r="B123" s="581"/>
      <c r="C123" s="581"/>
      <c r="D123" s="581"/>
      <c r="E123" s="581"/>
      <c r="F123" s="581"/>
      <c r="G123" s="581"/>
      <c r="H123" s="581"/>
      <c r="I123" s="581"/>
      <c r="J123" s="581"/>
      <c r="K123" s="581"/>
      <c r="L123" s="581"/>
      <c r="M123" s="581"/>
      <c r="N123" s="581"/>
      <c r="O123" s="581"/>
      <c r="P123" s="581"/>
      <c r="AA123" s="581"/>
      <c r="AB123" s="581"/>
      <c r="AC123" s="581"/>
      <c r="AD123" s="581"/>
      <c r="AE123" s="581"/>
      <c r="AF123" s="581"/>
      <c r="AG123" s="581"/>
      <c r="AH123" s="581"/>
      <c r="AI123" s="581"/>
      <c r="AJ123" s="581"/>
      <c r="AK123" s="581"/>
      <c r="AL123" s="581"/>
      <c r="AM123" s="581"/>
      <c r="AN123" s="581"/>
      <c r="AO123" s="581"/>
      <c r="AP123" s="581"/>
      <c r="AQ123" s="581"/>
      <c r="AR123" s="581"/>
    </row>
    <row r="124" spans="1:44" ht="12.75" customHeight="1" x14ac:dyDescent="0.25">
      <c r="A124" s="581"/>
      <c r="B124" s="581"/>
      <c r="C124" s="581"/>
      <c r="D124" s="581"/>
      <c r="E124" s="581"/>
      <c r="F124" s="581"/>
      <c r="G124" s="581"/>
      <c r="H124" s="581"/>
      <c r="I124" s="581"/>
      <c r="J124" s="581"/>
      <c r="K124" s="581"/>
      <c r="L124" s="581"/>
      <c r="M124" s="581"/>
      <c r="N124" s="581"/>
      <c r="O124" s="581"/>
      <c r="P124" s="581"/>
      <c r="AA124" s="581"/>
      <c r="AB124" s="581"/>
      <c r="AC124" s="581"/>
      <c r="AD124" s="581"/>
      <c r="AE124" s="581"/>
      <c r="AF124" s="581"/>
      <c r="AG124" s="581"/>
      <c r="AH124" s="581"/>
      <c r="AI124" s="581"/>
      <c r="AJ124" s="581"/>
      <c r="AK124" s="581"/>
      <c r="AL124" s="581"/>
      <c r="AM124" s="581"/>
      <c r="AN124" s="581"/>
      <c r="AO124" s="581"/>
      <c r="AP124" s="581"/>
      <c r="AQ124" s="581"/>
      <c r="AR124" s="581"/>
    </row>
    <row r="125" spans="1:44" ht="12.75" customHeight="1" x14ac:dyDescent="0.25">
      <c r="A125" s="581"/>
      <c r="B125" s="581"/>
      <c r="C125" s="581"/>
      <c r="D125" s="581"/>
      <c r="E125" s="581"/>
      <c r="F125" s="581"/>
      <c r="G125" s="581"/>
      <c r="H125" s="581"/>
      <c r="I125" s="581"/>
      <c r="J125" s="581"/>
      <c r="K125" s="581"/>
      <c r="L125" s="581"/>
      <c r="M125" s="581"/>
      <c r="N125" s="581"/>
      <c r="O125" s="581"/>
      <c r="P125" s="581"/>
      <c r="AA125" s="581"/>
      <c r="AB125" s="581"/>
      <c r="AC125" s="581"/>
      <c r="AD125" s="581"/>
      <c r="AE125" s="581"/>
      <c r="AF125" s="581"/>
      <c r="AG125" s="581"/>
      <c r="AH125" s="581"/>
      <c r="AI125" s="581"/>
      <c r="AJ125" s="581"/>
      <c r="AK125" s="581"/>
      <c r="AL125" s="581"/>
      <c r="AM125" s="581"/>
      <c r="AN125" s="581"/>
      <c r="AO125" s="581"/>
      <c r="AP125" s="581"/>
      <c r="AQ125" s="581"/>
      <c r="AR125" s="581"/>
    </row>
    <row r="126" spans="1:44" ht="12.75" customHeight="1" x14ac:dyDescent="0.25">
      <c r="A126" s="581"/>
      <c r="B126" s="581"/>
      <c r="C126" s="581"/>
      <c r="D126" s="581"/>
      <c r="E126" s="581"/>
      <c r="F126" s="581"/>
      <c r="G126" s="581"/>
      <c r="H126" s="581"/>
      <c r="I126" s="581"/>
      <c r="J126" s="581"/>
      <c r="K126" s="581"/>
      <c r="L126" s="581"/>
      <c r="M126" s="581"/>
      <c r="N126" s="581"/>
      <c r="O126" s="581"/>
      <c r="P126" s="581"/>
      <c r="AA126" s="581"/>
      <c r="AB126" s="581"/>
      <c r="AC126" s="581"/>
      <c r="AD126" s="581"/>
      <c r="AE126" s="581"/>
      <c r="AF126" s="581"/>
      <c r="AG126" s="581"/>
      <c r="AH126" s="581"/>
      <c r="AI126" s="581"/>
      <c r="AJ126" s="581"/>
      <c r="AK126" s="581"/>
      <c r="AL126" s="581"/>
      <c r="AM126" s="581"/>
      <c r="AN126" s="581"/>
      <c r="AO126" s="581"/>
      <c r="AP126" s="581"/>
      <c r="AQ126" s="581"/>
      <c r="AR126" s="581"/>
    </row>
    <row r="127" spans="1:44" ht="12.75" customHeight="1" x14ac:dyDescent="0.25">
      <c r="A127" s="581"/>
      <c r="B127" s="581"/>
      <c r="C127" s="581"/>
      <c r="D127" s="581"/>
      <c r="E127" s="581"/>
      <c r="F127" s="581"/>
      <c r="G127" s="581"/>
      <c r="H127" s="581"/>
      <c r="I127" s="581"/>
      <c r="J127" s="581"/>
      <c r="K127" s="581"/>
      <c r="L127" s="581"/>
      <c r="M127" s="581"/>
      <c r="N127" s="581"/>
      <c r="O127" s="581"/>
      <c r="P127" s="581"/>
      <c r="AA127" s="581"/>
      <c r="AB127" s="581"/>
      <c r="AC127" s="581"/>
      <c r="AD127" s="581"/>
      <c r="AE127" s="581"/>
      <c r="AF127" s="581"/>
      <c r="AG127" s="581"/>
      <c r="AH127" s="581"/>
      <c r="AI127" s="581"/>
      <c r="AJ127" s="581"/>
      <c r="AK127" s="581"/>
      <c r="AL127" s="581"/>
      <c r="AM127" s="581"/>
      <c r="AN127" s="581"/>
      <c r="AO127" s="581"/>
      <c r="AP127" s="581"/>
      <c r="AQ127" s="581"/>
      <c r="AR127" s="581"/>
    </row>
    <row r="128" spans="1:44" ht="12.75" customHeight="1" x14ac:dyDescent="0.25">
      <c r="A128" s="581"/>
      <c r="B128" s="581"/>
      <c r="C128" s="581"/>
      <c r="D128" s="581"/>
      <c r="E128" s="581"/>
      <c r="F128" s="581"/>
      <c r="G128" s="581"/>
      <c r="H128" s="581"/>
      <c r="I128" s="581"/>
      <c r="J128" s="581"/>
      <c r="K128" s="581"/>
      <c r="L128" s="581"/>
      <c r="M128" s="581"/>
      <c r="N128" s="581"/>
      <c r="O128" s="581"/>
      <c r="P128" s="581"/>
      <c r="AA128" s="581"/>
      <c r="AB128" s="581"/>
      <c r="AC128" s="581"/>
      <c r="AD128" s="581"/>
      <c r="AE128" s="581"/>
      <c r="AF128" s="581"/>
      <c r="AG128" s="581"/>
      <c r="AH128" s="581"/>
      <c r="AI128" s="581"/>
      <c r="AJ128" s="581"/>
      <c r="AK128" s="581"/>
      <c r="AL128" s="581"/>
      <c r="AM128" s="581"/>
      <c r="AN128" s="581"/>
      <c r="AO128" s="581"/>
      <c r="AP128" s="581"/>
      <c r="AQ128" s="581"/>
      <c r="AR128" s="581"/>
    </row>
    <row r="129" spans="1:44" ht="12.75" customHeight="1" x14ac:dyDescent="0.25">
      <c r="A129" s="581"/>
      <c r="B129" s="581"/>
      <c r="C129" s="581"/>
      <c r="D129" s="581"/>
      <c r="E129" s="581"/>
      <c r="F129" s="581"/>
      <c r="G129" s="581"/>
      <c r="H129" s="581"/>
      <c r="I129" s="581"/>
      <c r="J129" s="581"/>
      <c r="K129" s="581"/>
      <c r="L129" s="581"/>
      <c r="M129" s="581"/>
      <c r="N129" s="581"/>
      <c r="O129" s="581"/>
      <c r="P129" s="581"/>
      <c r="AA129" s="581"/>
      <c r="AB129" s="581"/>
      <c r="AC129" s="581"/>
      <c r="AD129" s="581"/>
      <c r="AE129" s="581"/>
      <c r="AF129" s="581"/>
      <c r="AG129" s="581"/>
      <c r="AH129" s="581"/>
      <c r="AI129" s="581"/>
      <c r="AJ129" s="581"/>
      <c r="AK129" s="581"/>
      <c r="AL129" s="581"/>
      <c r="AM129" s="581"/>
      <c r="AN129" s="581"/>
      <c r="AO129" s="581"/>
      <c r="AP129" s="581"/>
      <c r="AQ129" s="581"/>
      <c r="AR129" s="581"/>
    </row>
    <row r="130" spans="1:44" ht="12.75" customHeight="1" x14ac:dyDescent="0.25">
      <c r="A130" s="581"/>
      <c r="B130" s="581"/>
      <c r="C130" s="581"/>
      <c r="D130" s="581"/>
      <c r="E130" s="581"/>
      <c r="F130" s="581"/>
      <c r="G130" s="581"/>
      <c r="H130" s="581"/>
      <c r="I130" s="581"/>
      <c r="J130" s="581"/>
      <c r="K130" s="581"/>
      <c r="L130" s="581"/>
      <c r="M130" s="581"/>
      <c r="N130" s="581"/>
      <c r="O130" s="581"/>
      <c r="P130" s="581"/>
      <c r="AA130" s="581"/>
      <c r="AB130" s="581"/>
      <c r="AC130" s="581"/>
      <c r="AD130" s="581"/>
      <c r="AE130" s="581"/>
      <c r="AF130" s="581"/>
      <c r="AG130" s="581"/>
      <c r="AH130" s="581"/>
      <c r="AI130" s="581"/>
      <c r="AJ130" s="581"/>
      <c r="AK130" s="581"/>
      <c r="AL130" s="581"/>
      <c r="AM130" s="581"/>
      <c r="AN130" s="581"/>
      <c r="AO130" s="581"/>
      <c r="AP130" s="581"/>
      <c r="AQ130" s="581"/>
      <c r="AR130" s="581"/>
    </row>
    <row r="131" spans="1:44" ht="12.75" customHeight="1" x14ac:dyDescent="0.25">
      <c r="A131" s="581"/>
      <c r="B131" s="581"/>
      <c r="C131" s="581"/>
      <c r="D131" s="581"/>
      <c r="E131" s="581"/>
      <c r="F131" s="581"/>
      <c r="G131" s="581"/>
      <c r="H131" s="581"/>
      <c r="I131" s="581"/>
      <c r="J131" s="581"/>
      <c r="K131" s="581"/>
      <c r="L131" s="581"/>
      <c r="M131" s="581"/>
      <c r="N131" s="581"/>
      <c r="O131" s="581"/>
      <c r="P131" s="581"/>
      <c r="AA131" s="581"/>
      <c r="AB131" s="581"/>
      <c r="AC131" s="581"/>
      <c r="AD131" s="581"/>
      <c r="AE131" s="581"/>
      <c r="AF131" s="581"/>
      <c r="AG131" s="581"/>
      <c r="AH131" s="581"/>
      <c r="AI131" s="581"/>
      <c r="AJ131" s="581"/>
      <c r="AK131" s="581"/>
      <c r="AL131" s="581"/>
      <c r="AM131" s="581"/>
      <c r="AN131" s="581"/>
      <c r="AO131" s="581"/>
      <c r="AP131" s="581"/>
      <c r="AQ131" s="581"/>
      <c r="AR131" s="581"/>
    </row>
    <row r="132" spans="1:44" ht="12.75" customHeight="1" x14ac:dyDescent="0.25">
      <c r="A132" s="581"/>
      <c r="B132" s="581"/>
      <c r="C132" s="581"/>
      <c r="D132" s="581"/>
      <c r="E132" s="581"/>
      <c r="F132" s="581"/>
      <c r="G132" s="581"/>
      <c r="H132" s="581"/>
      <c r="I132" s="581"/>
      <c r="J132" s="581"/>
      <c r="K132" s="581"/>
      <c r="L132" s="581"/>
      <c r="M132" s="581"/>
      <c r="N132" s="581"/>
      <c r="O132" s="581"/>
      <c r="P132" s="581"/>
      <c r="AA132" s="581"/>
      <c r="AB132" s="581"/>
      <c r="AC132" s="581"/>
      <c r="AD132" s="581"/>
      <c r="AE132" s="581"/>
      <c r="AF132" s="581"/>
      <c r="AG132" s="581"/>
      <c r="AH132" s="581"/>
      <c r="AI132" s="581"/>
      <c r="AJ132" s="581"/>
      <c r="AK132" s="581"/>
      <c r="AL132" s="581"/>
      <c r="AM132" s="581"/>
      <c r="AN132" s="581"/>
      <c r="AO132" s="581"/>
      <c r="AP132" s="581"/>
      <c r="AQ132" s="581"/>
      <c r="AR132" s="581"/>
    </row>
    <row r="133" spans="1:44" ht="12.75" customHeight="1" x14ac:dyDescent="0.25">
      <c r="A133" s="581"/>
      <c r="B133" s="581"/>
      <c r="C133" s="581"/>
      <c r="D133" s="581"/>
      <c r="E133" s="581"/>
      <c r="F133" s="581"/>
      <c r="G133" s="581"/>
      <c r="H133" s="581"/>
      <c r="I133" s="581"/>
      <c r="J133" s="581"/>
      <c r="K133" s="581"/>
      <c r="L133" s="581"/>
      <c r="M133" s="581"/>
      <c r="N133" s="581"/>
      <c r="O133" s="581"/>
      <c r="P133" s="581"/>
      <c r="AA133" s="581"/>
      <c r="AB133" s="581"/>
      <c r="AC133" s="581"/>
      <c r="AD133" s="581"/>
      <c r="AE133" s="581"/>
      <c r="AF133" s="581"/>
      <c r="AG133" s="581"/>
      <c r="AH133" s="581"/>
      <c r="AI133" s="581"/>
      <c r="AJ133" s="581"/>
      <c r="AK133" s="581"/>
      <c r="AL133" s="581"/>
      <c r="AM133" s="581"/>
      <c r="AN133" s="581"/>
      <c r="AO133" s="581"/>
      <c r="AP133" s="581"/>
      <c r="AQ133" s="581"/>
      <c r="AR133" s="581"/>
    </row>
    <row r="134" spans="1:44" ht="12.75" customHeight="1" x14ac:dyDescent="0.25">
      <c r="A134" s="581"/>
      <c r="B134" s="581"/>
      <c r="C134" s="581"/>
      <c r="D134" s="581"/>
      <c r="E134" s="581"/>
      <c r="F134" s="581"/>
      <c r="G134" s="581"/>
      <c r="H134" s="581"/>
      <c r="I134" s="581"/>
      <c r="J134" s="581"/>
      <c r="K134" s="581"/>
      <c r="L134" s="581"/>
      <c r="M134" s="581"/>
      <c r="N134" s="581"/>
      <c r="O134" s="581"/>
      <c r="P134" s="581"/>
      <c r="AA134" s="581"/>
      <c r="AB134" s="581"/>
      <c r="AC134" s="581"/>
      <c r="AD134" s="581"/>
      <c r="AE134" s="581"/>
      <c r="AF134" s="581"/>
      <c r="AG134" s="581"/>
      <c r="AH134" s="581"/>
      <c r="AI134" s="581"/>
      <c r="AJ134" s="581"/>
      <c r="AK134" s="581"/>
      <c r="AL134" s="581"/>
      <c r="AM134" s="581"/>
      <c r="AN134" s="581"/>
      <c r="AO134" s="581"/>
      <c r="AP134" s="581"/>
      <c r="AQ134" s="581"/>
      <c r="AR134" s="581"/>
    </row>
    <row r="135" spans="1:44" ht="12.75" customHeight="1" x14ac:dyDescent="0.25">
      <c r="E135" s="256"/>
      <c r="F135" s="256"/>
      <c r="G135" s="256"/>
      <c r="I135" s="256"/>
    </row>
    <row r="136" spans="1:44" ht="12.75" customHeight="1" x14ac:dyDescent="0.25">
      <c r="E136" s="256"/>
      <c r="F136" s="256"/>
      <c r="G136" s="256"/>
      <c r="I136" s="256"/>
    </row>
    <row r="137" spans="1:44" ht="12.75" customHeight="1" x14ac:dyDescent="0.25">
      <c r="E137" s="256"/>
      <c r="F137" s="256"/>
      <c r="G137" s="256"/>
      <c r="I137" s="256"/>
    </row>
  </sheetData>
  <sheetProtection password="BCD8" sheet="1" objects="1" scenarios="1"/>
  <phoneticPr fontId="0" type="noConversion"/>
  <conditionalFormatting sqref="C24:C29">
    <cfRule type="cellIs" dxfId="165" priority="2" stopIfTrue="1" operator="equal">
      <formula>"&gt;"</formula>
    </cfRule>
  </conditionalFormatting>
  <conditionalFormatting sqref="D24:G29">
    <cfRule type="expression" dxfId="164" priority="1"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5" r:id="rId4" name="home">
              <controlPr defaultSize="0" print="0" autoFill="0" autoPict="0" macro="[0]!globalgoto">
                <anchor moveWithCells="1" sizeWithCells="1">
                  <from>
                    <xdr:col>0</xdr:col>
                    <xdr:colOff>88900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41986" r:id="rId5" name="basic">
              <controlPr defaultSize="0" print="0" autoFill="0" autoPict="0" macro="[0]!globalgoto">
                <anchor moveWithCells="1" sizeWithCells="1">
                  <from>
                    <xdr:col>0</xdr:col>
                    <xdr:colOff>88900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41987" r:id="rId6" name="Button 3">
              <controlPr defaultSize="0" print="0" autoFill="0" autoPict="0" macro="[0]!goto_previous_year_any_sheet">
                <anchor moveWithCells="1" sizeWithCells="1">
                  <from>
                    <xdr:col>0</xdr:col>
                    <xdr:colOff>107950</xdr:colOff>
                    <xdr:row>19</xdr:row>
                    <xdr:rowOff>12700</xdr:rowOff>
                  </from>
                  <to>
                    <xdr:col>0</xdr:col>
                    <xdr:colOff>1066800</xdr:colOff>
                    <xdr:row>22</xdr:row>
                    <xdr:rowOff>114300</xdr:rowOff>
                  </to>
                </anchor>
              </controlPr>
            </control>
          </mc:Choice>
        </mc:AlternateContent>
        <mc:AlternateContent xmlns:mc="http://schemas.openxmlformats.org/markup-compatibility/2006">
          <mc:Choice Requires="x14">
            <control shapeId="41988" r:id="rId7" name="Button 4">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41989" r:id="rId8" name="Button 5">
              <controlPr defaultSize="0" print="0" autoFill="0" autoPict="0" macro="[0]!copy_as_excel">
                <anchor moveWithCells="1" sizeWithCells="1">
                  <from>
                    <xdr:col>10</xdr:col>
                    <xdr:colOff>38100</xdr:colOff>
                    <xdr:row>11</xdr:row>
                    <xdr:rowOff>88900</xdr:rowOff>
                  </from>
                  <to>
                    <xdr:col>11</xdr:col>
                    <xdr:colOff>88900</xdr:colOff>
                    <xdr:row>13</xdr:row>
                    <xdr:rowOff>146050</xdr:rowOff>
                  </to>
                </anchor>
              </controlPr>
            </control>
          </mc:Choice>
        </mc:AlternateContent>
        <mc:AlternateContent xmlns:mc="http://schemas.openxmlformats.org/markup-compatibility/2006">
          <mc:Choice Requires="x14">
            <control shapeId="41990" r:id="rId9" name="Button 6">
              <controlPr defaultSize="0" print="0" autoFill="0" autoPict="0" macro="[0]!pdflauncher">
                <anchor moveWithCells="1" sizeWithCells="1">
                  <from>
                    <xdr:col>11</xdr:col>
                    <xdr:colOff>101600</xdr:colOff>
                    <xdr:row>11</xdr:row>
                    <xdr:rowOff>88900</xdr:rowOff>
                  </from>
                  <to>
                    <xdr:col>11</xdr:col>
                    <xdr:colOff>787400</xdr:colOff>
                    <xdr:row>13</xdr:row>
                    <xdr:rowOff>146050</xdr:rowOff>
                  </to>
                </anchor>
              </controlPr>
            </control>
          </mc:Choice>
        </mc:AlternateContent>
        <mc:AlternateContent xmlns:mc="http://schemas.openxmlformats.org/markup-compatibility/2006">
          <mc:Choice Requires="x14">
            <control shapeId="41991" r:id="rId10" name="Button 7">
              <controlPr defaultSize="0" print="0" autoFill="0" autoPict="0" macro="[0]!openfolder">
                <anchor moveWithCells="1" sizeWithCells="1">
                  <from>
                    <xdr:col>11</xdr:col>
                    <xdr:colOff>793750</xdr:colOff>
                    <xdr:row>11</xdr:row>
                    <xdr:rowOff>88900</xdr:rowOff>
                  </from>
                  <to>
                    <xdr:col>12</xdr:col>
                    <xdr:colOff>508000</xdr:colOff>
                    <xdr:row>13</xdr:row>
                    <xdr:rowOff>146050</xdr:rowOff>
                  </to>
                </anchor>
              </controlPr>
            </control>
          </mc:Choice>
        </mc:AlternateContent>
        <mc:AlternateContent xmlns:mc="http://schemas.openxmlformats.org/markup-compatibility/2006">
          <mc:Choice Requires="x14">
            <control shapeId="41992" r:id="rId11" name="Button 8">
              <controlPr defaultSize="0" print="0" autoFill="0" autoPict="0" macro="[0]!goto_folder_settings">
                <anchor moveWithCells="1" sizeWithCells="1">
                  <from>
                    <xdr:col>12</xdr:col>
                    <xdr:colOff>520700</xdr:colOff>
                    <xdr:row>11</xdr:row>
                    <xdr:rowOff>88900</xdr:rowOff>
                  </from>
                  <to>
                    <xdr:col>12</xdr:col>
                    <xdr:colOff>1041400</xdr:colOff>
                    <xdr:row>13</xdr:row>
                    <xdr:rowOff>146050</xdr:rowOff>
                  </to>
                </anchor>
              </controlPr>
            </control>
          </mc:Choice>
        </mc:AlternateContent>
        <mc:AlternateContent xmlns:mc="http://schemas.openxmlformats.org/markup-compatibility/2006">
          <mc:Choice Requires="x14">
            <control shapeId="41993" r:id="rId12" name="Button 9">
              <controlPr defaultSize="0" print="0" autoFill="0" autoPict="0" macro="[0]!email_pdf_launch">
                <anchor moveWithCells="1" sizeWithCells="1">
                  <from>
                    <xdr:col>11</xdr:col>
                    <xdr:colOff>241300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41994" r:id="rId13" name="Button 10">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41995" r:id="rId14" name="Button 11">
              <controlPr defaultSize="0" print="0" autoFill="0" autoPict="0" macro="[0]!emailsettings">
                <anchor moveWithCells="1" sizeWithCells="1">
                  <from>
                    <xdr:col>12</xdr:col>
                    <xdr:colOff>127000</xdr:colOff>
                    <xdr:row>9</xdr:row>
                    <xdr:rowOff>120650</xdr:rowOff>
                  </from>
                  <to>
                    <xdr:col>12</xdr:col>
                    <xdr:colOff>1041400</xdr:colOff>
                    <xdr:row>11</xdr:row>
                    <xdr:rowOff>82550</xdr:rowOff>
                  </to>
                </anchor>
              </controlPr>
            </control>
          </mc:Choice>
        </mc:AlternateContent>
        <mc:AlternateContent xmlns:mc="http://schemas.openxmlformats.org/markup-compatibility/2006">
          <mc:Choice Requires="x14">
            <control shapeId="41996" r:id="rId15" name="Button 12">
              <controlPr defaultSize="0" print="0" autoFill="0" autoPict="0" macro="[0]!goto_other_analysis">
                <anchor moveWithCells="1" sizeWithCells="1">
                  <from>
                    <xdr:col>10</xdr:col>
                    <xdr:colOff>127000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41998" r:id="rId16" name="Button 14">
              <controlPr defaultSize="0" print="0" autoFill="0" autoPict="0" macro="[0]!goto_basic_analysis_revised">
                <anchor moveWithCells="1" sizeWithCells="1">
                  <from>
                    <xdr:col>10</xdr:col>
                    <xdr:colOff>127000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41999" r:id="rId17"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mc:AlternateContent xmlns:mc="http://schemas.openxmlformats.org/markup-compatibility/2006">
          <mc:Choice Requires="x14">
            <control shapeId="42000" r:id="rId18" name="Button 16">
              <controlPr defaultSize="0" print="0" autoFill="0" autoPict="0" macro="[0]!goto_next_year_any_sheet">
                <anchor moveWithCells="1" sizeWithCells="1">
                  <from>
                    <xdr:col>10</xdr:col>
                    <xdr:colOff>101600</xdr:colOff>
                    <xdr:row>2</xdr:row>
                    <xdr:rowOff>127000</xdr:rowOff>
                  </from>
                  <to>
                    <xdr:col>11</xdr:col>
                    <xdr:colOff>419100</xdr:colOff>
                    <xdr:row>4</xdr:row>
                    <xdr:rowOff>63500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A293F-7E87-45F4-84A0-51F6B90836C7}">
  <sheetPr codeName="Sheet73">
    <pageSetUpPr fitToPage="1"/>
  </sheetPr>
  <dimension ref="A1:AR137"/>
  <sheetViews>
    <sheetView showGridLines="0" workbookViewId="0">
      <selection activeCell="A5" sqref="A5"/>
    </sheetView>
  </sheetViews>
  <sheetFormatPr defaultColWidth="9.08984375" defaultRowHeight="12.75" customHeight="1" x14ac:dyDescent="0.25"/>
  <cols>
    <col min="1" max="1" width="16.6328125" style="256" customWidth="1"/>
    <col min="2" max="2" width="2.6328125" style="256" customWidth="1"/>
    <col min="3" max="3" width="11.6328125" style="256" customWidth="1"/>
    <col min="4" max="4" width="23.453125" style="256" customWidth="1"/>
    <col min="5" max="5" width="12.08984375" style="273" customWidth="1"/>
    <col min="6" max="6" width="12.6328125" style="273" customWidth="1"/>
    <col min="7" max="7" width="10.6328125" style="273" customWidth="1"/>
    <col min="8" max="8" width="12.36328125" style="256" customWidth="1"/>
    <col min="9" max="9" width="12.453125" style="475" customWidth="1"/>
    <col min="10" max="10" width="2.54296875" style="256" customWidth="1"/>
    <col min="11" max="11" width="9.36328125" style="256" customWidth="1"/>
    <col min="12" max="12" width="11.90625" style="256" customWidth="1"/>
    <col min="13" max="13" width="15.6328125" style="256" customWidth="1"/>
    <col min="14" max="16" width="9.08984375" style="256"/>
    <col min="17" max="19" width="0" style="256" hidden="1" customWidth="1"/>
    <col min="20" max="20" width="17.453125" style="256" hidden="1" customWidth="1"/>
    <col min="21" max="26" width="0" style="256" hidden="1" customWidth="1"/>
    <col min="27" max="16384" width="9.08984375" style="256"/>
  </cols>
  <sheetData>
    <row r="1" spans="1:44" ht="12.5" x14ac:dyDescent="0.25">
      <c r="A1" s="492"/>
      <c r="B1" s="492"/>
      <c r="C1" s="492"/>
      <c r="D1" s="492"/>
      <c r="E1" s="493"/>
      <c r="F1" s="493"/>
      <c r="G1" s="493"/>
      <c r="H1" s="492"/>
      <c r="I1" s="494"/>
      <c r="J1" s="492"/>
      <c r="K1" s="492"/>
      <c r="L1" s="492"/>
      <c r="M1" s="492"/>
      <c r="N1" s="492"/>
      <c r="O1" s="492"/>
      <c r="P1" s="492"/>
      <c r="AA1" s="492"/>
      <c r="AB1" s="492"/>
      <c r="AC1" s="492"/>
      <c r="AD1" s="492"/>
      <c r="AE1" s="492"/>
      <c r="AF1" s="492"/>
      <c r="AG1" s="492"/>
      <c r="AH1" s="492"/>
      <c r="AI1" s="492"/>
      <c r="AJ1" s="492"/>
      <c r="AK1" s="492"/>
      <c r="AL1" s="492"/>
      <c r="AM1" s="492"/>
      <c r="AN1" s="492"/>
      <c r="AO1" s="492"/>
      <c r="AP1" s="492"/>
      <c r="AQ1" s="492"/>
      <c r="AR1" s="492"/>
    </row>
    <row r="2" spans="1:44" ht="12.5" x14ac:dyDescent="0.25">
      <c r="A2" s="492"/>
      <c r="B2" s="492"/>
      <c r="C2" s="492"/>
      <c r="D2" s="492"/>
      <c r="E2" s="493"/>
      <c r="F2" s="493"/>
      <c r="G2" s="493"/>
      <c r="H2" s="492"/>
      <c r="I2" s="494"/>
      <c r="J2" s="492"/>
      <c r="K2" s="492"/>
      <c r="L2" s="492"/>
      <c r="M2" s="492"/>
      <c r="N2" s="492"/>
      <c r="O2" s="492"/>
      <c r="P2" s="492"/>
      <c r="AA2" s="492"/>
      <c r="AB2" s="492"/>
      <c r="AC2" s="492"/>
      <c r="AD2" s="492"/>
      <c r="AE2" s="492"/>
      <c r="AF2" s="492"/>
      <c r="AG2" s="492"/>
      <c r="AH2" s="492"/>
      <c r="AI2" s="492"/>
      <c r="AJ2" s="492"/>
      <c r="AK2" s="492"/>
      <c r="AL2" s="492"/>
      <c r="AM2" s="492"/>
      <c r="AN2" s="492"/>
      <c r="AO2" s="492"/>
      <c r="AP2" s="492"/>
      <c r="AQ2" s="492"/>
      <c r="AR2" s="492"/>
    </row>
    <row r="3" spans="1:44" ht="12.5" x14ac:dyDescent="0.25">
      <c r="A3" s="492"/>
      <c r="K3" s="492"/>
      <c r="L3" s="492"/>
      <c r="M3" s="492"/>
      <c r="N3" s="492"/>
      <c r="O3" s="492"/>
      <c r="P3" s="492"/>
      <c r="AA3" s="492"/>
      <c r="AB3" s="492"/>
      <c r="AC3" s="492"/>
      <c r="AD3" s="492"/>
      <c r="AE3" s="492"/>
      <c r="AF3" s="492"/>
      <c r="AG3" s="492"/>
      <c r="AH3" s="492"/>
      <c r="AI3" s="492"/>
      <c r="AJ3" s="492"/>
      <c r="AK3" s="492"/>
      <c r="AL3" s="492"/>
      <c r="AM3" s="492"/>
      <c r="AN3" s="492"/>
      <c r="AO3" s="492"/>
      <c r="AP3" s="492"/>
      <c r="AQ3" s="492"/>
      <c r="AR3" s="492"/>
    </row>
    <row r="4" spans="1:44" ht="15.5" x14ac:dyDescent="0.35">
      <c r="A4" s="492"/>
      <c r="C4" s="488" t="str">
        <f>"Transitional Arrangements Calculation - "&amp;C10</f>
        <v xml:space="preserve">Transitional Arrangements Calculation - 2027/28 </v>
      </c>
      <c r="H4" s="488" t="str">
        <f>basic!D22</f>
        <v>England</v>
      </c>
      <c r="I4" s="579" t="s">
        <v>1031</v>
      </c>
      <c r="K4" s="492"/>
      <c r="L4" s="492"/>
      <c r="M4" s="492"/>
      <c r="N4" s="492"/>
      <c r="O4" s="492"/>
      <c r="P4" s="492"/>
      <c r="AA4" s="492"/>
      <c r="AB4" s="492"/>
      <c r="AC4" s="492"/>
      <c r="AD4" s="492"/>
      <c r="AE4" s="492"/>
      <c r="AF4" s="492"/>
      <c r="AG4" s="492"/>
      <c r="AH4" s="492"/>
      <c r="AI4" s="492"/>
      <c r="AJ4" s="492"/>
      <c r="AK4" s="492"/>
      <c r="AL4" s="492"/>
      <c r="AM4" s="492"/>
      <c r="AN4" s="492"/>
      <c r="AO4" s="492"/>
      <c r="AP4" s="492"/>
      <c r="AQ4" s="492"/>
      <c r="AR4" s="492"/>
    </row>
    <row r="5" spans="1:44" ht="9" customHeight="1" x14ac:dyDescent="0.3">
      <c r="A5" s="492"/>
      <c r="C5" s="291"/>
      <c r="K5" s="492"/>
      <c r="L5" s="492"/>
      <c r="M5" s="492"/>
      <c r="N5" s="492"/>
      <c r="O5" s="492"/>
      <c r="P5" s="492"/>
      <c r="AA5" s="492"/>
      <c r="AB5" s="492"/>
      <c r="AC5" s="492"/>
      <c r="AD5" s="492"/>
      <c r="AE5" s="492"/>
      <c r="AF5" s="492"/>
      <c r="AG5" s="492"/>
      <c r="AH5" s="492"/>
      <c r="AI5" s="492"/>
      <c r="AJ5" s="492"/>
      <c r="AK5" s="492"/>
      <c r="AL5" s="492"/>
      <c r="AM5" s="492"/>
      <c r="AN5" s="492"/>
      <c r="AO5" s="492"/>
      <c r="AP5" s="492"/>
      <c r="AQ5" s="492"/>
      <c r="AR5" s="492"/>
    </row>
    <row r="6" spans="1:44" ht="13" x14ac:dyDescent="0.3">
      <c r="A6" s="492"/>
      <c r="C6" s="291" t="s">
        <v>667</v>
      </c>
      <c r="D6" s="291" t="str">
        <f>basic!D26</f>
        <v>Enter Address Details</v>
      </c>
      <c r="K6" s="492"/>
      <c r="L6" s="492"/>
      <c r="M6" s="492"/>
      <c r="N6" s="492"/>
      <c r="O6" s="492"/>
      <c r="P6" s="492"/>
      <c r="AA6" s="492"/>
      <c r="AB6" s="492"/>
      <c r="AC6" s="492"/>
      <c r="AD6" s="492"/>
      <c r="AE6" s="492"/>
      <c r="AF6" s="492"/>
      <c r="AG6" s="492"/>
      <c r="AH6" s="492"/>
      <c r="AI6" s="492"/>
      <c r="AJ6" s="492"/>
      <c r="AK6" s="492"/>
      <c r="AL6" s="492"/>
      <c r="AM6" s="492"/>
      <c r="AN6" s="492"/>
      <c r="AO6" s="492"/>
      <c r="AP6" s="492"/>
      <c r="AQ6" s="492"/>
      <c r="AR6" s="492"/>
    </row>
    <row r="7" spans="1:44" ht="13" x14ac:dyDescent="0.3">
      <c r="A7" s="492"/>
      <c r="C7" s="291"/>
      <c r="D7" s="291"/>
      <c r="K7" s="492"/>
      <c r="L7" s="492"/>
      <c r="M7" s="492"/>
      <c r="N7" s="492"/>
      <c r="O7" s="492"/>
      <c r="P7" s="492"/>
      <c r="AA7" s="492"/>
      <c r="AB7" s="492"/>
      <c r="AC7" s="492"/>
      <c r="AD7" s="492"/>
      <c r="AE7" s="492"/>
      <c r="AF7" s="492"/>
      <c r="AG7" s="492"/>
      <c r="AH7" s="492"/>
      <c r="AI7" s="492"/>
      <c r="AJ7" s="492"/>
      <c r="AK7" s="492"/>
      <c r="AL7" s="492"/>
      <c r="AM7" s="492"/>
      <c r="AN7" s="492"/>
      <c r="AO7" s="492"/>
      <c r="AP7" s="492"/>
      <c r="AQ7" s="492"/>
      <c r="AR7" s="492"/>
    </row>
    <row r="8" spans="1:44" ht="13.5" customHeight="1" x14ac:dyDescent="0.3">
      <c r="A8" s="492"/>
      <c r="C8" s="489"/>
      <c r="D8" s="498" t="str">
        <f>IF(calc1!G38=FALSE,"As Transition did not apply in the previous year it will not apply this year","")</f>
        <v>As Transition did not apply in the previous year it will not apply this year</v>
      </c>
      <c r="E8" s="335"/>
      <c r="F8" s="335"/>
      <c r="G8" s="335"/>
      <c r="H8" s="283"/>
      <c r="I8" s="487"/>
      <c r="K8" s="492"/>
      <c r="L8" s="492"/>
      <c r="M8" s="492"/>
      <c r="N8" s="492"/>
      <c r="O8" s="492"/>
      <c r="P8" s="492"/>
      <c r="AA8" s="492"/>
      <c r="AB8" s="492"/>
      <c r="AC8" s="492"/>
      <c r="AD8" s="492"/>
      <c r="AE8" s="492"/>
      <c r="AF8" s="492"/>
      <c r="AG8" s="492"/>
      <c r="AH8" s="492"/>
      <c r="AI8" s="492"/>
      <c r="AJ8" s="492"/>
      <c r="AK8" s="492"/>
      <c r="AL8" s="492"/>
      <c r="AM8" s="492"/>
      <c r="AN8" s="492"/>
      <c r="AO8" s="492"/>
      <c r="AP8" s="492"/>
      <c r="AQ8" s="492"/>
      <c r="AR8" s="492"/>
    </row>
    <row r="9" spans="1:44" ht="9.75" customHeight="1" x14ac:dyDescent="0.3">
      <c r="A9" s="492"/>
      <c r="C9" s="291"/>
      <c r="K9" s="492"/>
      <c r="L9" s="492"/>
      <c r="M9" s="492"/>
      <c r="N9" s="492"/>
      <c r="O9" s="492"/>
      <c r="P9" s="492"/>
      <c r="S9" s="480" t="s">
        <v>57</v>
      </c>
      <c r="T9" s="302">
        <f>data!B3-1</f>
        <v>45016</v>
      </c>
      <c r="AA9" s="492"/>
      <c r="AB9" s="492"/>
      <c r="AC9" s="492"/>
      <c r="AD9" s="492"/>
      <c r="AE9" s="492"/>
      <c r="AF9" s="492"/>
      <c r="AG9" s="492"/>
      <c r="AH9" s="492"/>
      <c r="AI9" s="492"/>
      <c r="AJ9" s="492"/>
      <c r="AK9" s="492"/>
      <c r="AL9" s="492"/>
      <c r="AM9" s="492"/>
      <c r="AN9" s="492"/>
      <c r="AO9" s="492"/>
      <c r="AP9" s="492"/>
      <c r="AQ9" s="492"/>
      <c r="AR9" s="492"/>
    </row>
    <row r="10" spans="1:44" ht="13.5" customHeight="1" x14ac:dyDescent="0.3">
      <c r="A10" s="492"/>
      <c r="C10" s="291" t="str">
        <f>basic!D19</f>
        <v xml:space="preserve">2027/28 </v>
      </c>
      <c r="D10" s="257" t="str">
        <f>"The Base Liability is the Transitional Limit from the previous year"</f>
        <v>The Base Liability is the Transitional Limit from the previous year</v>
      </c>
      <c r="H10" s="476"/>
      <c r="K10" s="492"/>
      <c r="L10" s="492"/>
      <c r="M10" s="492"/>
      <c r="N10" s="492"/>
      <c r="O10" s="492"/>
      <c r="P10" s="492"/>
      <c r="S10" s="480" t="s">
        <v>43</v>
      </c>
      <c r="T10" s="495">
        <f>basic!I5</f>
        <v>0</v>
      </c>
      <c r="AA10" s="492"/>
      <c r="AB10" s="492"/>
      <c r="AC10" s="492"/>
      <c r="AD10" s="492"/>
      <c r="AE10" s="492"/>
      <c r="AF10" s="492"/>
      <c r="AG10" s="492"/>
      <c r="AH10" s="492"/>
      <c r="AI10" s="492"/>
      <c r="AJ10" s="492"/>
      <c r="AK10" s="492"/>
      <c r="AL10" s="492"/>
      <c r="AM10" s="492"/>
      <c r="AN10" s="492"/>
      <c r="AO10" s="492"/>
      <c r="AP10" s="492"/>
      <c r="AQ10" s="492"/>
      <c r="AR10" s="492"/>
    </row>
    <row r="11" spans="1:44" ht="13" x14ac:dyDescent="0.3">
      <c r="A11" s="492"/>
      <c r="C11" s="291"/>
      <c r="D11" s="256" t="str">
        <f>"which is a figure of £"&amp;TEXT(T14,"#,###.00")</f>
        <v>which is a figure of £.00</v>
      </c>
      <c r="H11" s="496"/>
      <c r="K11" s="492"/>
      <c r="L11" s="492"/>
      <c r="M11" s="492"/>
      <c r="N11" s="492"/>
      <c r="O11" s="492"/>
      <c r="P11" s="492"/>
      <c r="S11" s="480" t="s">
        <v>44</v>
      </c>
      <c r="T11" s="480"/>
      <c r="AA11" s="492"/>
      <c r="AB11" s="492"/>
      <c r="AC11" s="492"/>
      <c r="AD11" s="492"/>
      <c r="AE11" s="492"/>
      <c r="AF11" s="492"/>
      <c r="AG11" s="492"/>
      <c r="AH11" s="492"/>
      <c r="AI11" s="492"/>
      <c r="AJ11" s="492"/>
      <c r="AK11" s="492"/>
      <c r="AL11" s="492"/>
      <c r="AM11" s="492"/>
      <c r="AN11" s="492"/>
      <c r="AO11" s="492"/>
      <c r="AP11" s="492"/>
      <c r="AQ11" s="492"/>
      <c r="AR11" s="492"/>
    </row>
    <row r="12" spans="1:44" ht="13.5" customHeight="1" x14ac:dyDescent="0.3">
      <c r="A12" s="492"/>
      <c r="C12" s="291"/>
      <c r="D12" s="257" t="str">
        <f>"The Notional Liability is the RV as at "&amp;TEXT(T9+1,"dd/mm/yy")&amp;" ( "&amp;TEXT(T15,"#,###")&amp;" ) x the Small"</f>
        <v>The Notional Liability is the RV as at 01/04/23 (  ) x the Small</v>
      </c>
      <c r="K12" s="492"/>
      <c r="L12" s="492"/>
      <c r="M12" s="492"/>
      <c r="N12" s="492"/>
      <c r="O12" s="492"/>
      <c r="P12" s="492"/>
      <c r="S12" s="480" t="s">
        <v>45</v>
      </c>
      <c r="T12" s="480"/>
      <c r="AA12" s="492"/>
      <c r="AB12" s="492"/>
      <c r="AC12" s="492"/>
      <c r="AD12" s="492"/>
      <c r="AE12" s="492"/>
      <c r="AF12" s="492"/>
      <c r="AG12" s="492"/>
      <c r="AH12" s="492"/>
      <c r="AI12" s="492"/>
      <c r="AJ12" s="492"/>
      <c r="AK12" s="492"/>
      <c r="AL12" s="492"/>
      <c r="AM12" s="492"/>
      <c r="AN12" s="492"/>
      <c r="AO12" s="492"/>
      <c r="AP12" s="492"/>
      <c r="AQ12" s="492"/>
      <c r="AR12" s="492"/>
    </row>
    <row r="13" spans="1:44" ht="13.5" customHeight="1" x14ac:dyDescent="0.3">
      <c r="A13" s="492"/>
      <c r="C13" s="291"/>
      <c r="D13" s="256" t="str">
        <f>"Multiplier for "&amp;TEXT(text!B10,"dd/mm/yy")&amp;" ( "&amp;TEXT(T16,"0.000")&amp;" ) which gives a figure of "&amp;TEXT(T17,"#,###.00")</f>
        <v>Multiplier for 01/04/24 ( 0.540 ) which gives a figure of .00</v>
      </c>
      <c r="K13" s="492"/>
      <c r="L13" s="492"/>
      <c r="M13" s="492"/>
      <c r="N13" s="492"/>
      <c r="O13" s="492"/>
      <c r="P13" s="492"/>
      <c r="S13" s="480" t="s">
        <v>46</v>
      </c>
      <c r="T13" s="497"/>
      <c r="AA13" s="492"/>
      <c r="AB13" s="492"/>
      <c r="AC13" s="492"/>
      <c r="AD13" s="492"/>
      <c r="AE13" s="492"/>
      <c r="AF13" s="492"/>
      <c r="AG13" s="492"/>
      <c r="AH13" s="492"/>
      <c r="AI13" s="492"/>
      <c r="AJ13" s="492"/>
      <c r="AK13" s="492"/>
      <c r="AL13" s="492"/>
      <c r="AM13" s="492"/>
      <c r="AN13" s="492"/>
      <c r="AO13" s="492"/>
      <c r="AP13" s="492"/>
      <c r="AQ13" s="492"/>
      <c r="AR13" s="492"/>
    </row>
    <row r="14" spans="1:44" ht="13.5" customHeight="1" x14ac:dyDescent="0.3">
      <c r="A14" s="492"/>
      <c r="C14" s="291"/>
      <c r="D14" s="257"/>
      <c r="H14" s="476"/>
      <c r="K14" s="492"/>
      <c r="L14" s="492"/>
      <c r="M14" s="492"/>
      <c r="N14" s="492"/>
      <c r="O14" s="492"/>
      <c r="P14" s="492"/>
      <c r="S14" s="480" t="s">
        <v>49</v>
      </c>
      <c r="T14" s="480">
        <f>calc1!H19</f>
        <v>0</v>
      </c>
      <c r="AA14" s="492"/>
      <c r="AB14" s="492"/>
      <c r="AC14" s="492"/>
      <c r="AD14" s="492"/>
      <c r="AE14" s="492"/>
      <c r="AF14" s="492"/>
      <c r="AG14" s="492"/>
      <c r="AH14" s="492"/>
      <c r="AI14" s="492"/>
      <c r="AJ14" s="492"/>
      <c r="AK14" s="492"/>
      <c r="AL14" s="492"/>
      <c r="AM14" s="492"/>
      <c r="AN14" s="492"/>
      <c r="AO14" s="492"/>
      <c r="AP14" s="492"/>
      <c r="AQ14" s="492"/>
      <c r="AR14" s="492"/>
    </row>
    <row r="15" spans="1:44" ht="13.5" customHeight="1" x14ac:dyDescent="0.3">
      <c r="A15" s="492"/>
      <c r="C15" s="291"/>
      <c r="D15" s="256" t="str">
        <f>"The Notional Liability is "&amp;T19&amp;" than the Base Liability so the ratepayer is a revaluation "&amp;T20</f>
        <v>The Notional Liability is less than the Base Liability so the ratepayer is a revaluation Winner</v>
      </c>
      <c r="K15" s="492"/>
      <c r="L15" s="492"/>
      <c r="M15" s="492"/>
      <c r="N15" s="492"/>
      <c r="O15" s="492"/>
      <c r="P15" s="492"/>
      <c r="S15" s="480" t="s">
        <v>1223</v>
      </c>
      <c r="T15" s="495">
        <f>calc1!D5</f>
        <v>0</v>
      </c>
      <c r="AA15" s="492"/>
      <c r="AB15" s="492"/>
      <c r="AC15" s="492"/>
      <c r="AD15" s="492"/>
      <c r="AE15" s="492"/>
      <c r="AF15" s="492"/>
      <c r="AG15" s="492"/>
      <c r="AH15" s="492"/>
      <c r="AI15" s="492"/>
      <c r="AJ15" s="492"/>
      <c r="AK15" s="492"/>
      <c r="AL15" s="492"/>
      <c r="AM15" s="492"/>
      <c r="AN15" s="492"/>
      <c r="AO15" s="492"/>
      <c r="AP15" s="492"/>
      <c r="AQ15" s="492"/>
      <c r="AR15" s="492"/>
    </row>
    <row r="16" spans="1:44" ht="13.5" customHeight="1" x14ac:dyDescent="0.3">
      <c r="A16" s="492"/>
      <c r="C16" s="291"/>
      <c r="D16" s="256" t="str">
        <f>"The property is in "&amp;H4&amp;" so the Medium/Small threshold is "&amp;TEXT(T21,"#,###")&amp;". "</f>
        <v xml:space="preserve">The property is in England so the Medium/Small threshold is 20,000. </v>
      </c>
      <c r="K16" s="492"/>
      <c r="L16" s="492"/>
      <c r="M16" s="492"/>
      <c r="N16" s="492"/>
      <c r="O16" s="492"/>
      <c r="P16" s="492"/>
      <c r="S16" s="480" t="s">
        <v>47</v>
      </c>
      <c r="T16" s="480">
        <f>data!C57</f>
        <v>0.54</v>
      </c>
      <c r="AA16" s="492"/>
      <c r="AB16" s="492"/>
      <c r="AC16" s="492"/>
      <c r="AD16" s="492"/>
      <c r="AE16" s="492"/>
      <c r="AF16" s="492"/>
      <c r="AG16" s="492"/>
      <c r="AH16" s="492"/>
      <c r="AI16" s="492"/>
      <c r="AJ16" s="492"/>
      <c r="AK16" s="492"/>
      <c r="AL16" s="492"/>
      <c r="AM16" s="492"/>
      <c r="AN16" s="492"/>
      <c r="AO16" s="492"/>
      <c r="AP16" s="492"/>
      <c r="AQ16" s="492"/>
      <c r="AR16" s="492"/>
    </row>
    <row r="17" spans="1:44" ht="13.5" customHeight="1" x14ac:dyDescent="0.3">
      <c r="A17" s="492"/>
      <c r="C17" s="291"/>
      <c r="D17" s="256" t="str">
        <f>"The Large threshold is "&amp;TEXT(Y19,"#,###")</f>
        <v>The Large threshold is 100,000</v>
      </c>
      <c r="K17" s="492"/>
      <c r="L17" s="492"/>
      <c r="M17" s="492"/>
      <c r="N17" s="492"/>
      <c r="O17" s="492"/>
      <c r="P17" s="492"/>
      <c r="S17" s="480" t="s">
        <v>48</v>
      </c>
      <c r="T17" s="480">
        <f>T15*T16</f>
        <v>0</v>
      </c>
      <c r="V17" s="479" t="s">
        <v>51</v>
      </c>
      <c r="W17" s="479"/>
      <c r="X17" s="479"/>
      <c r="Y17" s="479"/>
      <c r="AA17" s="492"/>
      <c r="AB17" s="492"/>
      <c r="AC17" s="492"/>
      <c r="AD17" s="492"/>
      <c r="AE17" s="492"/>
      <c r="AF17" s="492"/>
      <c r="AG17" s="492"/>
      <c r="AH17" s="492"/>
      <c r="AI17" s="492"/>
      <c r="AJ17" s="492"/>
      <c r="AK17" s="492"/>
      <c r="AL17" s="492"/>
      <c r="AM17" s="492"/>
      <c r="AN17" s="492"/>
      <c r="AO17" s="492"/>
      <c r="AP17" s="492"/>
      <c r="AQ17" s="492"/>
      <c r="AR17" s="492"/>
    </row>
    <row r="18" spans="1:44" ht="13.5" customHeight="1" x14ac:dyDescent="0.3">
      <c r="A18" s="492"/>
      <c r="C18" s="291"/>
      <c r="D18" s="256" t="str">
        <f>"The RV as at "&amp;TEXT(T9+1,"dd/mm/yy")&amp;" is "&amp;TEXT(T15,"#,###")&amp;" so the property is "&amp;T23</f>
        <v>The RV as at 01/04/23 is  so the property is Small</v>
      </c>
      <c r="K18" s="492"/>
      <c r="L18" s="492"/>
      <c r="M18" s="492"/>
      <c r="N18" s="492"/>
      <c r="O18" s="492"/>
      <c r="P18" s="492"/>
      <c r="S18" s="480" t="s">
        <v>27</v>
      </c>
      <c r="T18" s="480" t="b">
        <f>T17&gt;T14</f>
        <v>0</v>
      </c>
      <c r="V18" s="480" t="str">
        <f>data!C22</f>
        <v>e small &lt;=</v>
      </c>
      <c r="W18" s="480" t="str">
        <f>data!D22</f>
        <v>l small &lt;=</v>
      </c>
      <c r="X18" s="480" t="str">
        <f>data!E22</f>
        <v>c small &lt;=</v>
      </c>
      <c r="Y18" s="480" t="str">
        <f>data!F22</f>
        <v>super &gt;</v>
      </c>
      <c r="AA18" s="492"/>
      <c r="AB18" s="492"/>
      <c r="AC18" s="492"/>
      <c r="AD18" s="492"/>
      <c r="AE18" s="492"/>
      <c r="AF18" s="492"/>
      <c r="AG18" s="492"/>
      <c r="AH18" s="492"/>
      <c r="AI18" s="492"/>
      <c r="AJ18" s="492"/>
      <c r="AK18" s="492"/>
      <c r="AL18" s="492"/>
      <c r="AM18" s="492"/>
      <c r="AN18" s="492"/>
      <c r="AO18" s="492"/>
      <c r="AP18" s="492"/>
      <c r="AQ18" s="492"/>
      <c r="AR18" s="492"/>
    </row>
    <row r="19" spans="1:44" ht="13.5" customHeight="1" x14ac:dyDescent="0.25">
      <c r="A19" s="492"/>
      <c r="K19" s="492"/>
      <c r="L19" s="492"/>
      <c r="M19" s="492"/>
      <c r="N19" s="492"/>
      <c r="O19" s="492"/>
      <c r="P19" s="492"/>
      <c r="S19" s="480" t="s">
        <v>50</v>
      </c>
      <c r="T19" s="480" t="str">
        <f>IF(T18=TRUE,"greater","less")</f>
        <v>less</v>
      </c>
      <c r="V19" s="480">
        <f>data!C23</f>
        <v>20000</v>
      </c>
      <c r="W19" s="480">
        <f>data!D23</f>
        <v>28000</v>
      </c>
      <c r="X19" s="480">
        <f>data!E23</f>
        <v>28000</v>
      </c>
      <c r="Y19" s="480">
        <f>data!F23</f>
        <v>100000</v>
      </c>
      <c r="AA19" s="492"/>
      <c r="AB19" s="492"/>
      <c r="AC19" s="492"/>
      <c r="AD19" s="492"/>
      <c r="AE19" s="492"/>
      <c r="AF19" s="492"/>
      <c r="AG19" s="492"/>
      <c r="AH19" s="492"/>
      <c r="AI19" s="492"/>
      <c r="AJ19" s="492"/>
      <c r="AK19" s="492"/>
      <c r="AL19" s="492"/>
      <c r="AM19" s="492"/>
      <c r="AN19" s="492"/>
      <c r="AO19" s="492"/>
      <c r="AP19" s="492"/>
      <c r="AQ19" s="492"/>
      <c r="AR19" s="492"/>
    </row>
    <row r="20" spans="1:44" ht="13.5" customHeight="1" x14ac:dyDescent="0.25">
      <c r="A20" s="492"/>
      <c r="D20" s="256" t="s">
        <v>28</v>
      </c>
      <c r="K20" s="492"/>
      <c r="L20" s="492"/>
      <c r="M20" s="492"/>
      <c r="N20" s="492"/>
      <c r="O20" s="492"/>
      <c r="P20" s="492"/>
      <c r="S20" s="480" t="s">
        <v>285</v>
      </c>
      <c r="T20" s="480" t="str">
        <f>IF(T18=TRUE,"Loser","Winner")</f>
        <v>Winner</v>
      </c>
      <c r="AA20" s="492"/>
      <c r="AB20" s="492"/>
      <c r="AC20" s="492"/>
      <c r="AD20" s="492"/>
      <c r="AE20" s="492"/>
      <c r="AF20" s="492"/>
      <c r="AG20" s="492"/>
      <c r="AH20" s="492"/>
      <c r="AI20" s="492"/>
      <c r="AJ20" s="492"/>
      <c r="AK20" s="492"/>
      <c r="AL20" s="492"/>
      <c r="AM20" s="492"/>
      <c r="AN20" s="492"/>
      <c r="AO20" s="492"/>
      <c r="AP20" s="492"/>
      <c r="AQ20" s="492"/>
      <c r="AR20" s="492"/>
    </row>
    <row r="21" spans="1:44" ht="13.5" customHeight="1" x14ac:dyDescent="0.25">
      <c r="A21" s="492"/>
      <c r="D21" s="256" t="str">
        <f>"for a '"&amp;T24&amp;"' is found by reference to the following table"</f>
        <v>for a 'Small Winner' is found by reference to the following table</v>
      </c>
      <c r="K21" s="492"/>
      <c r="L21" s="492"/>
      <c r="M21" s="492"/>
      <c r="N21" s="492"/>
      <c r="O21" s="492"/>
      <c r="P21" s="492"/>
      <c r="S21" s="480" t="s">
        <v>56</v>
      </c>
      <c r="T21" s="480">
        <f>calc1!D13</f>
        <v>20000</v>
      </c>
      <c r="V21" s="479" t="s">
        <v>53</v>
      </c>
      <c r="W21" s="479" t="s">
        <v>803</v>
      </c>
      <c r="AA21" s="492"/>
      <c r="AB21" s="492"/>
      <c r="AC21" s="492"/>
      <c r="AD21" s="492"/>
      <c r="AE21" s="492"/>
      <c r="AF21" s="492"/>
      <c r="AG21" s="492"/>
      <c r="AH21" s="492"/>
      <c r="AI21" s="492"/>
      <c r="AJ21" s="492"/>
      <c r="AK21" s="492"/>
      <c r="AL21" s="492"/>
      <c r="AM21" s="492"/>
      <c r="AN21" s="492"/>
      <c r="AO21" s="492"/>
      <c r="AP21" s="492"/>
      <c r="AQ21" s="492"/>
      <c r="AR21" s="492"/>
    </row>
    <row r="22" spans="1:44" ht="13.5" customHeight="1" x14ac:dyDescent="0.25">
      <c r="A22" s="492"/>
      <c r="K22" s="492"/>
      <c r="L22" s="492"/>
      <c r="M22" s="492"/>
      <c r="N22" s="492"/>
      <c r="O22" s="492"/>
      <c r="P22" s="492"/>
      <c r="S22" s="480" t="s">
        <v>52</v>
      </c>
      <c r="T22" s="495" t="str">
        <f>calc1!D23</f>
        <v>s</v>
      </c>
      <c r="V22" s="479" t="s">
        <v>54</v>
      </c>
      <c r="W22" s="479" t="s">
        <v>824</v>
      </c>
      <c r="AA22" s="492"/>
      <c r="AB22" s="492"/>
      <c r="AC22" s="492"/>
      <c r="AD22" s="492"/>
      <c r="AE22" s="492"/>
      <c r="AF22" s="492"/>
      <c r="AG22" s="492"/>
      <c r="AH22" s="492"/>
      <c r="AI22" s="492"/>
      <c r="AJ22" s="492"/>
      <c r="AK22" s="492"/>
      <c r="AL22" s="492"/>
      <c r="AM22" s="492"/>
      <c r="AN22" s="492"/>
      <c r="AO22" s="492"/>
      <c r="AP22" s="492"/>
      <c r="AQ22" s="492"/>
      <c r="AR22" s="492"/>
    </row>
    <row r="23" spans="1:44" ht="13.5" customHeight="1" x14ac:dyDescent="0.3">
      <c r="A23" s="492"/>
      <c r="D23" s="291" t="s">
        <v>29</v>
      </c>
      <c r="E23" s="477" t="s">
        <v>30</v>
      </c>
      <c r="F23" s="477" t="s">
        <v>31</v>
      </c>
      <c r="G23" s="272" t="s">
        <v>32</v>
      </c>
      <c r="K23" s="492"/>
      <c r="L23" s="492"/>
      <c r="M23" s="492"/>
      <c r="N23" s="492"/>
      <c r="O23" s="492"/>
      <c r="P23" s="492"/>
      <c r="S23" s="480" t="s">
        <v>55</v>
      </c>
      <c r="T23" s="480" t="str">
        <f>VLOOKUP(T22,V21:W23,2,FALSE)</f>
        <v>Small</v>
      </c>
      <c r="V23" s="479" t="s">
        <v>293</v>
      </c>
      <c r="W23" s="479" t="s">
        <v>804</v>
      </c>
      <c r="AA23" s="492"/>
      <c r="AB23" s="492"/>
      <c r="AC23" s="492"/>
      <c r="AD23" s="492"/>
      <c r="AE23" s="492"/>
      <c r="AF23" s="492"/>
      <c r="AG23" s="492"/>
      <c r="AH23" s="492"/>
      <c r="AI23" s="492"/>
      <c r="AJ23" s="492"/>
      <c r="AK23" s="492"/>
      <c r="AL23" s="492"/>
      <c r="AM23" s="492"/>
      <c r="AN23" s="492"/>
      <c r="AO23" s="492"/>
      <c r="AP23" s="492"/>
      <c r="AQ23" s="492"/>
      <c r="AR23" s="492"/>
    </row>
    <row r="24" spans="1:44" ht="13.5" customHeight="1" x14ac:dyDescent="0.3">
      <c r="A24" s="492"/>
      <c r="C24" s="478" t="str">
        <f t="shared" ref="C24:C29" si="0">IF(D24=$T$24,"&gt;","")</f>
        <v/>
      </c>
      <c r="D24" s="479" t="s">
        <v>33</v>
      </c>
      <c r="E24" s="480">
        <f>data!C7</f>
        <v>95.2</v>
      </c>
      <c r="F24" s="480">
        <f>'info sheet'!J33</f>
        <v>0</v>
      </c>
      <c r="G24" s="480">
        <f t="shared" ref="G24:G29" si="1">E24*F24/100</f>
        <v>0</v>
      </c>
      <c r="K24" s="492"/>
      <c r="L24" s="492"/>
      <c r="M24" s="492"/>
      <c r="N24" s="492"/>
      <c r="O24" s="492"/>
      <c r="P24" s="492"/>
      <c r="S24" s="480" t="s">
        <v>279</v>
      </c>
      <c r="T24" s="480" t="str">
        <f>T23&amp;" "&amp;T20</f>
        <v>Small Winner</v>
      </c>
      <c r="AA24" s="492"/>
      <c r="AB24" s="492"/>
      <c r="AC24" s="492"/>
      <c r="AD24" s="492"/>
      <c r="AE24" s="492"/>
      <c r="AF24" s="492"/>
      <c r="AG24" s="492"/>
      <c r="AH24" s="492"/>
      <c r="AI24" s="492"/>
      <c r="AJ24" s="492"/>
      <c r="AK24" s="492"/>
      <c r="AL24" s="492"/>
      <c r="AM24" s="492"/>
      <c r="AN24" s="492"/>
      <c r="AO24" s="492"/>
      <c r="AP24" s="492"/>
      <c r="AQ24" s="492"/>
      <c r="AR24" s="492"/>
    </row>
    <row r="25" spans="1:44" ht="13.5" customHeight="1" x14ac:dyDescent="0.3">
      <c r="A25" s="492"/>
      <c r="C25" s="478" t="str">
        <f t="shared" si="0"/>
        <v/>
      </c>
      <c r="D25" s="479" t="s">
        <v>34</v>
      </c>
      <c r="E25" s="480">
        <f>data!D7</f>
        <v>75</v>
      </c>
      <c r="F25" s="480">
        <f>F24</f>
        <v>0</v>
      </c>
      <c r="G25" s="480">
        <f t="shared" si="1"/>
        <v>0</v>
      </c>
      <c r="K25" s="492"/>
      <c r="L25" s="492"/>
      <c r="M25" s="492"/>
      <c r="N25" s="492"/>
      <c r="O25" s="492"/>
      <c r="P25" s="492"/>
      <c r="S25" s="480" t="s">
        <v>59</v>
      </c>
      <c r="T25" s="480" t="str">
        <f>IF(T22&lt;T23,"below","above")</f>
        <v>below</v>
      </c>
      <c r="AA25" s="492"/>
      <c r="AB25" s="492"/>
      <c r="AC25" s="492"/>
      <c r="AD25" s="492"/>
      <c r="AE25" s="492"/>
      <c r="AF25" s="492"/>
      <c r="AG25" s="492"/>
      <c r="AH25" s="492"/>
      <c r="AI25" s="492"/>
      <c r="AJ25" s="492"/>
      <c r="AK25" s="492"/>
      <c r="AL25" s="492"/>
      <c r="AM25" s="492"/>
      <c r="AN25" s="492"/>
      <c r="AO25" s="492"/>
      <c r="AP25" s="492"/>
      <c r="AQ25" s="492"/>
      <c r="AR25" s="492"/>
    </row>
    <row r="26" spans="1:44" ht="13.5" customHeight="1" x14ac:dyDescent="0.3">
      <c r="A26" s="492"/>
      <c r="C26" s="478" t="str">
        <f t="shared" si="0"/>
        <v>&gt;</v>
      </c>
      <c r="D26" s="479" t="s">
        <v>35</v>
      </c>
      <c r="E26" s="480">
        <f>data!E7</f>
        <v>45</v>
      </c>
      <c r="F26" s="480">
        <f>F25</f>
        <v>0</v>
      </c>
      <c r="G26" s="480">
        <f t="shared" si="1"/>
        <v>0</v>
      </c>
      <c r="K26" s="492"/>
      <c r="L26" s="492"/>
      <c r="M26" s="492"/>
      <c r="N26" s="492"/>
      <c r="O26" s="492"/>
      <c r="P26" s="492"/>
      <c r="S26" s="480" t="s">
        <v>58</v>
      </c>
      <c r="T26" s="480">
        <f>calc1!H27</f>
        <v>0.46800000000000003</v>
      </c>
      <c r="AA26" s="492"/>
      <c r="AB26" s="492"/>
      <c r="AC26" s="492"/>
      <c r="AD26" s="492"/>
      <c r="AE26" s="492"/>
      <c r="AF26" s="492"/>
      <c r="AG26" s="492"/>
      <c r="AH26" s="492"/>
      <c r="AI26" s="492"/>
      <c r="AJ26" s="492"/>
      <c r="AK26" s="492"/>
      <c r="AL26" s="492"/>
      <c r="AM26" s="492"/>
      <c r="AN26" s="492"/>
      <c r="AO26" s="492"/>
      <c r="AP26" s="492"/>
      <c r="AQ26" s="492"/>
      <c r="AR26" s="492"/>
    </row>
    <row r="27" spans="1:44" ht="13.5" customHeight="1" x14ac:dyDescent="0.3">
      <c r="A27" s="492"/>
      <c r="C27" s="478" t="str">
        <f t="shared" si="0"/>
        <v/>
      </c>
      <c r="D27" s="479" t="s">
        <v>36</v>
      </c>
      <c r="E27" s="480">
        <f>data!F7</f>
        <v>106</v>
      </c>
      <c r="F27" s="480">
        <f>F26</f>
        <v>0</v>
      </c>
      <c r="G27" s="480">
        <f t="shared" si="1"/>
        <v>0</v>
      </c>
      <c r="K27" s="492"/>
      <c r="L27" s="492"/>
      <c r="M27" s="492"/>
      <c r="N27" s="492"/>
      <c r="O27" s="492"/>
      <c r="P27" s="492"/>
      <c r="S27" s="480" t="s">
        <v>39</v>
      </c>
      <c r="T27" s="485">
        <f>F32-T17</f>
        <v>0</v>
      </c>
      <c r="AA27" s="492"/>
      <c r="AB27" s="492"/>
      <c r="AC27" s="492"/>
      <c r="AD27" s="492"/>
      <c r="AE27" s="492"/>
      <c r="AF27" s="492"/>
      <c r="AG27" s="492"/>
      <c r="AH27" s="492"/>
      <c r="AI27" s="492"/>
      <c r="AJ27" s="492"/>
      <c r="AK27" s="492"/>
      <c r="AL27" s="492"/>
      <c r="AM27" s="492"/>
      <c r="AN27" s="492"/>
      <c r="AO27" s="492"/>
      <c r="AP27" s="492"/>
      <c r="AQ27" s="492"/>
      <c r="AR27" s="492"/>
    </row>
    <row r="28" spans="1:44" ht="13.5" customHeight="1" x14ac:dyDescent="0.3">
      <c r="A28" s="492"/>
      <c r="C28" s="478" t="str">
        <f t="shared" si="0"/>
        <v/>
      </c>
      <c r="D28" s="479" t="s">
        <v>37</v>
      </c>
      <c r="E28" s="480">
        <f>data!G7</f>
        <v>125</v>
      </c>
      <c r="F28" s="480">
        <f>F27</f>
        <v>0</v>
      </c>
      <c r="G28" s="480">
        <f t="shared" si="1"/>
        <v>0</v>
      </c>
      <c r="K28" s="492"/>
      <c r="L28" s="492"/>
      <c r="M28" s="492"/>
      <c r="N28" s="492"/>
      <c r="O28" s="492"/>
      <c r="P28" s="492"/>
      <c r="AA28" s="492"/>
      <c r="AB28" s="492"/>
      <c r="AC28" s="492"/>
      <c r="AD28" s="492"/>
      <c r="AE28" s="492"/>
      <c r="AF28" s="492"/>
      <c r="AG28" s="492"/>
      <c r="AH28" s="492"/>
      <c r="AI28" s="492"/>
      <c r="AJ28" s="492"/>
      <c r="AK28" s="492"/>
      <c r="AL28" s="492"/>
      <c r="AM28" s="492"/>
      <c r="AN28" s="492"/>
      <c r="AO28" s="492"/>
      <c r="AP28" s="492"/>
      <c r="AQ28" s="492"/>
      <c r="AR28" s="492"/>
    </row>
    <row r="29" spans="1:44" ht="13.5" customHeight="1" x14ac:dyDescent="0.3">
      <c r="A29" s="492"/>
      <c r="C29" s="478" t="str">
        <f t="shared" si="0"/>
        <v/>
      </c>
      <c r="D29" s="479" t="s">
        <v>38</v>
      </c>
      <c r="E29" s="480">
        <f>data!H7</f>
        <v>115</v>
      </c>
      <c r="F29" s="480">
        <f>F28</f>
        <v>0</v>
      </c>
      <c r="G29" s="480">
        <f t="shared" si="1"/>
        <v>0</v>
      </c>
      <c r="K29" s="492"/>
      <c r="L29" s="492"/>
      <c r="M29" s="492"/>
      <c r="N29" s="492"/>
      <c r="O29" s="492"/>
      <c r="P29" s="492"/>
      <c r="AA29" s="492"/>
      <c r="AB29" s="492"/>
      <c r="AC29" s="492"/>
      <c r="AD29" s="492"/>
      <c r="AE29" s="492"/>
      <c r="AF29" s="492"/>
      <c r="AG29" s="492"/>
      <c r="AH29" s="492"/>
      <c r="AI29" s="492"/>
      <c r="AJ29" s="492"/>
      <c r="AK29" s="492"/>
      <c r="AL29" s="492"/>
      <c r="AM29" s="492"/>
      <c r="AN29" s="492"/>
      <c r="AO29" s="492"/>
      <c r="AP29" s="492"/>
      <c r="AQ29" s="492"/>
      <c r="AR29" s="492"/>
    </row>
    <row r="30" spans="1:44" ht="13.5" customHeight="1" x14ac:dyDescent="0.3">
      <c r="A30" s="492"/>
      <c r="C30" s="291"/>
      <c r="K30" s="492"/>
      <c r="L30" s="492"/>
      <c r="M30" s="492"/>
      <c r="N30" s="492"/>
      <c r="O30" s="492"/>
      <c r="P30" s="492"/>
      <c r="AA30" s="492"/>
      <c r="AB30" s="492"/>
      <c r="AC30" s="492"/>
      <c r="AD30" s="492"/>
      <c r="AE30" s="492"/>
      <c r="AF30" s="492"/>
      <c r="AG30" s="492"/>
      <c r="AH30" s="492"/>
      <c r="AI30" s="492"/>
      <c r="AJ30" s="492"/>
      <c r="AK30" s="492"/>
      <c r="AL30" s="492"/>
      <c r="AM30" s="492"/>
      <c r="AN30" s="492"/>
      <c r="AO30" s="492"/>
      <c r="AP30" s="492"/>
      <c r="AQ30" s="492"/>
      <c r="AR30" s="492"/>
    </row>
    <row r="31" spans="1:44" ht="13.5" customHeight="1" x14ac:dyDescent="0.3">
      <c r="A31" s="492"/>
      <c r="C31" s="291"/>
      <c r="D31" s="256" t="s">
        <v>60</v>
      </c>
      <c r="K31" s="492"/>
      <c r="L31" s="492"/>
      <c r="M31" s="492"/>
      <c r="N31" s="492"/>
      <c r="O31" s="492"/>
      <c r="P31" s="492"/>
      <c r="AA31" s="492"/>
      <c r="AB31" s="492"/>
      <c r="AC31" s="492"/>
      <c r="AD31" s="492"/>
      <c r="AE31" s="492"/>
      <c r="AF31" s="492"/>
      <c r="AG31" s="492"/>
      <c r="AH31" s="492"/>
      <c r="AI31" s="492"/>
      <c r="AJ31" s="492"/>
      <c r="AK31" s="492"/>
      <c r="AL31" s="492"/>
      <c r="AM31" s="492"/>
      <c r="AN31" s="492"/>
      <c r="AO31" s="492"/>
      <c r="AP31" s="492"/>
      <c r="AQ31" s="492"/>
      <c r="AR31" s="492"/>
    </row>
    <row r="32" spans="1:44" ht="22.5" customHeight="1" x14ac:dyDescent="0.35">
      <c r="A32" s="492"/>
      <c r="C32" s="291"/>
      <c r="D32" s="488" t="str">
        <f>"    "&amp;TEXT(T14,"#,###.00")&amp;"  x  "&amp;T26&amp;" = "</f>
        <v xml:space="preserve">    .00  x  0.468 = </v>
      </c>
      <c r="E32" s="490"/>
      <c r="F32" s="491">
        <f>calc1!H28</f>
        <v>0</v>
      </c>
      <c r="K32" s="492"/>
      <c r="L32" s="492"/>
      <c r="M32" s="492"/>
      <c r="N32" s="492"/>
      <c r="O32" s="492"/>
      <c r="P32" s="492"/>
      <c r="Q32" s="149"/>
      <c r="R32" s="149"/>
      <c r="S32" s="149"/>
      <c r="T32" s="149"/>
      <c r="U32" s="149"/>
      <c r="V32" s="149"/>
      <c r="W32" s="149"/>
      <c r="AA32" s="492"/>
      <c r="AB32" s="492"/>
      <c r="AC32" s="492"/>
      <c r="AD32" s="492"/>
      <c r="AE32" s="492"/>
      <c r="AF32" s="492"/>
      <c r="AG32" s="492"/>
      <c r="AH32" s="492"/>
      <c r="AI32" s="492"/>
      <c r="AJ32" s="492"/>
      <c r="AK32" s="492"/>
      <c r="AL32" s="492"/>
      <c r="AM32" s="492"/>
      <c r="AN32" s="492"/>
      <c r="AO32" s="492"/>
      <c r="AP32" s="492"/>
      <c r="AQ32" s="492"/>
      <c r="AR32" s="492"/>
    </row>
    <row r="33" spans="1:44" ht="14.5" x14ac:dyDescent="0.35">
      <c r="A33" s="492"/>
      <c r="C33" s="291"/>
      <c r="K33" s="492"/>
      <c r="L33" s="492"/>
      <c r="M33" s="492"/>
      <c r="N33" s="492"/>
      <c r="O33" s="492"/>
      <c r="P33" s="492"/>
      <c r="Q33" s="149"/>
      <c r="R33" s="149"/>
      <c r="S33" s="149"/>
      <c r="T33" s="149"/>
      <c r="U33" s="149"/>
      <c r="V33" s="149"/>
      <c r="W33" s="149"/>
      <c r="AA33" s="492"/>
      <c r="AB33" s="492"/>
      <c r="AC33" s="492"/>
      <c r="AD33" s="492"/>
      <c r="AE33" s="492"/>
      <c r="AF33" s="492"/>
      <c r="AG33" s="492"/>
      <c r="AH33" s="492"/>
      <c r="AI33" s="492"/>
      <c r="AJ33" s="492"/>
      <c r="AK33" s="492"/>
      <c r="AL33" s="492"/>
      <c r="AM33" s="492"/>
      <c r="AN33" s="492"/>
      <c r="AO33" s="492"/>
      <c r="AP33" s="492"/>
      <c r="AQ33" s="492"/>
      <c r="AR33" s="492"/>
    </row>
    <row r="34" spans="1:44" ht="13.5" customHeight="1" x14ac:dyDescent="0.35">
      <c r="A34" s="492"/>
      <c r="C34" s="291"/>
      <c r="D34" s="256" t="str">
        <f>"The ratepayer is a "&amp;T20&amp;". Therefore, if the Notional Liability is "&amp;T19&amp;" than the"</f>
        <v>The ratepayer is a Winner. Therefore, if the Notional Liability is less than the</v>
      </c>
      <c r="K34" s="492"/>
      <c r="L34" s="492"/>
      <c r="M34" s="492"/>
      <c r="N34" s="492"/>
      <c r="O34" s="492"/>
      <c r="P34" s="492"/>
      <c r="Q34" s="149"/>
      <c r="R34" s="149"/>
      <c r="S34" s="149"/>
      <c r="T34" s="149"/>
      <c r="U34" s="149"/>
      <c r="V34" s="149"/>
      <c r="W34" s="149"/>
      <c r="AA34" s="492"/>
      <c r="AB34" s="492"/>
      <c r="AC34" s="492"/>
      <c r="AD34" s="492"/>
      <c r="AE34" s="492"/>
      <c r="AF34" s="492"/>
      <c r="AG34" s="492"/>
      <c r="AH34" s="492"/>
      <c r="AI34" s="492"/>
      <c r="AJ34" s="492"/>
      <c r="AK34" s="492"/>
      <c r="AL34" s="492"/>
      <c r="AM34" s="492"/>
      <c r="AN34" s="492"/>
      <c r="AO34" s="492"/>
      <c r="AP34" s="492"/>
      <c r="AQ34" s="492"/>
      <c r="AR34" s="492"/>
    </row>
    <row r="35" spans="1:44" ht="13.5" customHeight="1" x14ac:dyDescent="0.35">
      <c r="A35" s="492"/>
      <c r="C35" s="291"/>
      <c r="D35" s="256" t="str">
        <f>"Base Liability AND "&amp;T19&amp;" than the Transitional Limit, transitional limits will apply"</f>
        <v>Base Liability AND less than the Transitional Limit, transitional limits will apply</v>
      </c>
      <c r="K35" s="492"/>
      <c r="L35" s="492"/>
      <c r="M35" s="492"/>
      <c r="N35" s="492"/>
      <c r="O35" s="492"/>
      <c r="P35" s="492"/>
      <c r="Q35" s="149"/>
      <c r="R35" s="149"/>
      <c r="S35" s="149"/>
      <c r="T35" s="149"/>
      <c r="U35" s="149"/>
      <c r="V35" s="149"/>
      <c r="W35" s="149"/>
      <c r="AA35" s="492"/>
      <c r="AB35" s="492"/>
      <c r="AC35" s="492"/>
      <c r="AD35" s="492"/>
      <c r="AE35" s="492"/>
      <c r="AF35" s="492"/>
      <c r="AG35" s="492"/>
      <c r="AH35" s="492"/>
      <c r="AI35" s="492"/>
      <c r="AJ35" s="492"/>
      <c r="AK35" s="492"/>
      <c r="AL35" s="492"/>
      <c r="AM35" s="492"/>
      <c r="AN35" s="492"/>
      <c r="AO35" s="492"/>
      <c r="AP35" s="492"/>
      <c r="AQ35" s="492"/>
      <c r="AR35" s="492"/>
    </row>
    <row r="36" spans="1:44" ht="13.5" customHeight="1" x14ac:dyDescent="0.35">
      <c r="A36" s="492"/>
      <c r="C36" s="291"/>
      <c r="K36" s="492"/>
      <c r="L36" s="492"/>
      <c r="M36" s="492"/>
      <c r="N36" s="492"/>
      <c r="O36" s="492"/>
      <c r="P36" s="492"/>
      <c r="Q36" s="149"/>
      <c r="R36" s="149"/>
      <c r="S36" s="149"/>
      <c r="T36" s="149"/>
      <c r="U36" s="149"/>
      <c r="V36" s="149"/>
      <c r="W36" s="149"/>
      <c r="AA36" s="492"/>
      <c r="AB36" s="492"/>
      <c r="AC36" s="492"/>
      <c r="AD36" s="492"/>
      <c r="AE36" s="492"/>
      <c r="AF36" s="492"/>
      <c r="AG36" s="492"/>
      <c r="AH36" s="492"/>
      <c r="AI36" s="492"/>
      <c r="AJ36" s="492"/>
      <c r="AK36" s="492"/>
      <c r="AL36" s="492"/>
      <c r="AM36" s="492"/>
      <c r="AN36" s="492"/>
      <c r="AO36" s="492"/>
      <c r="AP36" s="492"/>
      <c r="AQ36" s="492"/>
      <c r="AR36" s="492"/>
    </row>
    <row r="37" spans="1:44" ht="13.5" customHeight="1" x14ac:dyDescent="0.35">
      <c r="A37" s="492"/>
      <c r="C37" s="291"/>
      <c r="D37" s="482" t="s">
        <v>40</v>
      </c>
      <c r="E37" s="483"/>
      <c r="F37" s="484">
        <f>T17</f>
        <v>0</v>
      </c>
      <c r="K37" s="492"/>
      <c r="L37" s="492"/>
      <c r="M37" s="492"/>
      <c r="N37" s="492"/>
      <c r="O37" s="492"/>
      <c r="P37" s="492"/>
      <c r="Q37" s="149"/>
      <c r="R37" s="149"/>
      <c r="S37" s="149"/>
      <c r="T37" s="149"/>
      <c r="U37" s="149"/>
      <c r="V37" s="149"/>
      <c r="W37" s="149"/>
      <c r="AA37" s="492"/>
      <c r="AB37" s="492"/>
      <c r="AC37" s="492"/>
      <c r="AD37" s="492"/>
      <c r="AE37" s="492"/>
      <c r="AF37" s="492"/>
      <c r="AG37" s="492"/>
      <c r="AH37" s="492"/>
      <c r="AI37" s="492"/>
      <c r="AJ37" s="492"/>
      <c r="AK37" s="492"/>
      <c r="AL37" s="492"/>
      <c r="AM37" s="492"/>
      <c r="AN37" s="492"/>
      <c r="AO37" s="492"/>
      <c r="AP37" s="492"/>
      <c r="AQ37" s="492"/>
      <c r="AR37" s="492"/>
    </row>
    <row r="38" spans="1:44" ht="13.5" customHeight="1" x14ac:dyDescent="0.35">
      <c r="A38" s="492"/>
      <c r="C38" s="291"/>
      <c r="D38" s="482" t="s">
        <v>834</v>
      </c>
      <c r="E38" s="483"/>
      <c r="F38" s="484">
        <f>T14</f>
        <v>0</v>
      </c>
      <c r="K38" s="492"/>
      <c r="L38" s="492"/>
      <c r="M38" s="492"/>
      <c r="N38" s="492"/>
      <c r="O38" s="492"/>
      <c r="P38" s="492"/>
      <c r="Q38" s="149"/>
      <c r="R38" s="149"/>
      <c r="S38" s="149"/>
      <c r="T38" s="149"/>
      <c r="U38" s="149"/>
      <c r="V38" s="149"/>
      <c r="W38" s="149"/>
      <c r="AA38" s="492"/>
      <c r="AB38" s="492"/>
      <c r="AC38" s="492"/>
      <c r="AD38" s="492"/>
      <c r="AE38" s="492"/>
      <c r="AF38" s="492"/>
      <c r="AG38" s="492"/>
      <c r="AH38" s="492"/>
      <c r="AI38" s="492"/>
      <c r="AJ38" s="492"/>
      <c r="AK38" s="492"/>
      <c r="AL38" s="492"/>
      <c r="AM38" s="492"/>
      <c r="AN38" s="492"/>
      <c r="AO38" s="492"/>
      <c r="AP38" s="492"/>
      <c r="AQ38" s="492"/>
      <c r="AR38" s="492"/>
    </row>
    <row r="39" spans="1:44" ht="13.5" customHeight="1" x14ac:dyDescent="0.35">
      <c r="A39" s="492"/>
      <c r="C39" s="291"/>
      <c r="D39" s="482" t="s">
        <v>41</v>
      </c>
      <c r="E39" s="483"/>
      <c r="F39" s="484">
        <f>F32</f>
        <v>0</v>
      </c>
      <c r="K39" s="492"/>
      <c r="L39" s="492"/>
      <c r="M39" s="492"/>
      <c r="N39" s="492"/>
      <c r="O39" s="492"/>
      <c r="P39" s="492"/>
      <c r="Q39" s="149"/>
      <c r="R39" s="149"/>
      <c r="S39" s="149"/>
      <c r="T39" s="149"/>
      <c r="U39" s="149"/>
      <c r="V39" s="149"/>
      <c r="W39" s="149"/>
      <c r="AA39" s="492"/>
      <c r="AB39" s="492"/>
      <c r="AC39" s="492"/>
      <c r="AD39" s="492"/>
      <c r="AE39" s="492"/>
      <c r="AF39" s="492"/>
      <c r="AG39" s="492"/>
      <c r="AH39" s="492"/>
      <c r="AI39" s="492"/>
      <c r="AJ39" s="492"/>
      <c r="AK39" s="492"/>
      <c r="AL39" s="492"/>
      <c r="AM39" s="492"/>
      <c r="AN39" s="492"/>
      <c r="AO39" s="492"/>
      <c r="AP39" s="492"/>
      <c r="AQ39" s="492"/>
      <c r="AR39" s="492"/>
    </row>
    <row r="40" spans="1:44" ht="14.15" customHeight="1" x14ac:dyDescent="0.35">
      <c r="A40" s="492"/>
      <c r="D40" s="482" t="s">
        <v>42</v>
      </c>
      <c r="E40" s="483"/>
      <c r="F40" s="485" t="str">
        <f>IF(calc1!H38 = TRUE,"Yes","No")</f>
        <v>No</v>
      </c>
      <c r="G40" s="257" t="str">
        <f>IF(T14=0,"If there is no BL transition does not apply",IF(F40="Yes",IF(T20="Loser","(Transitional Relief)","(Transitional Premium)"),""))</f>
        <v>If there is no BL transition does not apply</v>
      </c>
      <c r="K40" s="492"/>
      <c r="L40" s="492"/>
      <c r="M40" s="492"/>
      <c r="N40" s="492"/>
      <c r="O40" s="492"/>
      <c r="P40" s="492"/>
      <c r="Q40" s="149"/>
      <c r="R40" s="149"/>
      <c r="S40" s="149"/>
      <c r="T40" s="149"/>
      <c r="U40" s="149"/>
      <c r="V40" s="149"/>
      <c r="W40" s="149"/>
      <c r="AA40" s="492"/>
      <c r="AB40" s="492"/>
      <c r="AC40" s="492"/>
      <c r="AD40" s="492"/>
      <c r="AE40" s="492"/>
      <c r="AF40" s="492"/>
      <c r="AG40" s="492"/>
      <c r="AH40" s="492"/>
      <c r="AI40" s="492"/>
      <c r="AJ40" s="492"/>
      <c r="AK40" s="492"/>
      <c r="AL40" s="492"/>
      <c r="AM40" s="492"/>
      <c r="AN40" s="492"/>
      <c r="AO40" s="492"/>
      <c r="AP40" s="492"/>
      <c r="AQ40" s="492"/>
      <c r="AR40" s="492"/>
    </row>
    <row r="41" spans="1:44" ht="14.15" customHeight="1" x14ac:dyDescent="0.35">
      <c r="A41" s="492"/>
      <c r="F41" s="486"/>
      <c r="K41" s="492"/>
      <c r="L41" s="492"/>
      <c r="M41" s="492"/>
      <c r="N41" s="492"/>
      <c r="O41" s="492"/>
      <c r="P41" s="492"/>
      <c r="Q41" s="149"/>
      <c r="R41" s="149"/>
      <c r="S41" s="149"/>
      <c r="T41" s="149"/>
      <c r="U41" s="149"/>
      <c r="V41" s="149"/>
      <c r="W41" s="149"/>
      <c r="AA41" s="492"/>
      <c r="AB41" s="492"/>
      <c r="AC41" s="492"/>
      <c r="AD41" s="492"/>
      <c r="AE41" s="492"/>
      <c r="AF41" s="492"/>
      <c r="AG41" s="492"/>
      <c r="AH41" s="492"/>
      <c r="AI41" s="492"/>
      <c r="AJ41" s="492"/>
      <c r="AK41" s="492"/>
      <c r="AL41" s="492"/>
      <c r="AM41" s="492"/>
      <c r="AN41" s="492"/>
      <c r="AO41" s="492"/>
      <c r="AP41" s="492"/>
      <c r="AQ41" s="492"/>
      <c r="AR41" s="492"/>
    </row>
    <row r="42" spans="1:44" ht="19.5" customHeight="1" x14ac:dyDescent="0.35">
      <c r="A42" s="492"/>
      <c r="D42" s="488" t="str">
        <f>IF(F40="Yes","The Transitional Adjustment (TL - NL) is therefore   "&amp;TEXT(T27,"#,###.00"),"In this case there will be no transitional adjustment")</f>
        <v>In this case there will be no transitional adjustment</v>
      </c>
      <c r="F42" s="486"/>
      <c r="G42" s="481"/>
      <c r="K42" s="492"/>
      <c r="L42" s="492"/>
      <c r="M42" s="492"/>
      <c r="N42" s="492"/>
      <c r="O42" s="492"/>
      <c r="P42" s="492"/>
      <c r="Q42" s="149"/>
      <c r="R42" s="149"/>
      <c r="S42" s="149"/>
      <c r="T42" s="149"/>
      <c r="U42" s="149"/>
      <c r="V42" s="149"/>
      <c r="W42" s="149"/>
      <c r="AA42" s="492"/>
      <c r="AB42" s="492"/>
      <c r="AC42" s="492"/>
      <c r="AD42" s="492"/>
      <c r="AE42" s="492"/>
      <c r="AF42" s="492"/>
      <c r="AG42" s="492"/>
      <c r="AH42" s="492"/>
      <c r="AI42" s="492"/>
      <c r="AJ42" s="492"/>
      <c r="AK42" s="492"/>
      <c r="AL42" s="492"/>
      <c r="AM42" s="492"/>
      <c r="AN42" s="492"/>
      <c r="AO42" s="492"/>
      <c r="AP42" s="492"/>
      <c r="AQ42" s="492"/>
      <c r="AR42" s="492"/>
    </row>
    <row r="43" spans="1:44" ht="14.15" customHeight="1" x14ac:dyDescent="0.35">
      <c r="A43" s="492"/>
      <c r="F43" s="486"/>
      <c r="K43" s="492"/>
      <c r="L43" s="492"/>
      <c r="M43" s="492"/>
      <c r="N43" s="492"/>
      <c r="O43" s="492"/>
      <c r="P43" s="492"/>
      <c r="Q43" s="149"/>
      <c r="R43" s="149"/>
      <c r="S43" s="149"/>
      <c r="T43" s="149"/>
      <c r="U43" s="149"/>
      <c r="V43" s="149"/>
      <c r="W43" s="149"/>
      <c r="AA43" s="492"/>
      <c r="AB43" s="492"/>
      <c r="AC43" s="492"/>
      <c r="AD43" s="492"/>
      <c r="AE43" s="492"/>
      <c r="AF43" s="492"/>
      <c r="AG43" s="492"/>
      <c r="AH43" s="492"/>
      <c r="AI43" s="492"/>
      <c r="AJ43" s="492"/>
      <c r="AK43" s="492"/>
      <c r="AL43" s="492"/>
      <c r="AM43" s="492"/>
      <c r="AN43" s="492"/>
      <c r="AO43" s="492"/>
      <c r="AP43" s="492"/>
      <c r="AQ43" s="492"/>
      <c r="AR43" s="492"/>
    </row>
    <row r="44" spans="1:44" ht="14.15" customHeight="1" x14ac:dyDescent="0.35">
      <c r="A44" s="492"/>
      <c r="D44" s="256" t="str">
        <f>IF(F40="Yes","This figure will be adjusted for the number of chargeable days (if not a full year) and used","")</f>
        <v/>
      </c>
      <c r="F44" s="486"/>
      <c r="K44" s="492"/>
      <c r="L44" s="492"/>
      <c r="M44" s="492"/>
      <c r="N44" s="492"/>
      <c r="O44" s="492"/>
      <c r="P44" s="492"/>
      <c r="Q44" s="149"/>
      <c r="R44" s="149"/>
      <c r="S44" s="149"/>
      <c r="T44" s="149"/>
      <c r="U44" s="149"/>
      <c r="V44" s="149"/>
      <c r="W44" s="149"/>
      <c r="AA44" s="492"/>
      <c r="AB44" s="492"/>
      <c r="AC44" s="492"/>
      <c r="AD44" s="492"/>
      <c r="AE44" s="492"/>
      <c r="AF44" s="492"/>
      <c r="AG44" s="492"/>
      <c r="AH44" s="492"/>
      <c r="AI44" s="492"/>
      <c r="AJ44" s="492"/>
      <c r="AK44" s="492"/>
      <c r="AL44" s="492"/>
      <c r="AM44" s="492"/>
      <c r="AN44" s="492"/>
      <c r="AO44" s="492"/>
      <c r="AP44" s="492"/>
      <c r="AQ44" s="492"/>
      <c r="AR44" s="492"/>
    </row>
    <row r="45" spans="1:44" ht="14.15" customHeight="1" x14ac:dyDescent="0.35">
      <c r="A45" s="492"/>
      <c r="D45" s="256" t="str">
        <f>IF(F40="Yes","in the liability calculation","")</f>
        <v/>
      </c>
      <c r="E45" s="276"/>
      <c r="H45" s="327"/>
      <c r="K45" s="492"/>
      <c r="L45" s="492"/>
      <c r="M45" s="492"/>
      <c r="N45" s="492"/>
      <c r="O45" s="492"/>
      <c r="P45" s="492"/>
      <c r="Q45" s="149"/>
      <c r="R45" s="149"/>
      <c r="S45" s="149"/>
      <c r="T45" s="149"/>
      <c r="U45" s="149"/>
      <c r="V45" s="149"/>
      <c r="W45" s="149"/>
      <c r="AA45" s="492"/>
      <c r="AB45" s="492"/>
      <c r="AC45" s="492"/>
      <c r="AD45" s="492"/>
      <c r="AE45" s="492"/>
      <c r="AF45" s="492"/>
      <c r="AG45" s="492"/>
      <c r="AH45" s="492"/>
      <c r="AI45" s="492"/>
      <c r="AJ45" s="492"/>
      <c r="AK45" s="492"/>
      <c r="AL45" s="492"/>
      <c r="AM45" s="492"/>
      <c r="AN45" s="492"/>
      <c r="AO45" s="492"/>
      <c r="AP45" s="492"/>
      <c r="AQ45" s="492"/>
      <c r="AR45" s="492"/>
    </row>
    <row r="46" spans="1:44" ht="14.15" customHeight="1" x14ac:dyDescent="0.35">
      <c r="A46" s="492"/>
      <c r="K46" s="492"/>
      <c r="L46" s="492"/>
      <c r="M46" s="492"/>
      <c r="N46" s="492"/>
      <c r="O46" s="492"/>
      <c r="P46" s="492"/>
      <c r="Q46" s="149"/>
      <c r="R46" s="149"/>
      <c r="S46" s="149"/>
      <c r="T46" s="149"/>
      <c r="U46" s="149"/>
      <c r="V46" s="149"/>
      <c r="W46" s="149"/>
      <c r="AA46" s="492"/>
      <c r="AB46" s="492"/>
      <c r="AC46" s="492"/>
      <c r="AD46" s="492"/>
      <c r="AE46" s="492"/>
      <c r="AF46" s="492"/>
      <c r="AG46" s="492"/>
      <c r="AH46" s="492"/>
      <c r="AI46" s="492"/>
      <c r="AJ46" s="492"/>
      <c r="AK46" s="492"/>
      <c r="AL46" s="492"/>
      <c r="AM46" s="492"/>
      <c r="AN46" s="492"/>
      <c r="AO46" s="492"/>
      <c r="AP46" s="492"/>
      <c r="AQ46" s="492"/>
      <c r="AR46" s="492"/>
    </row>
    <row r="47" spans="1:44" ht="14.15" customHeight="1" x14ac:dyDescent="0.35">
      <c r="A47" s="492"/>
      <c r="E47" s="276"/>
      <c r="H47" s="327"/>
      <c r="K47" s="492"/>
      <c r="L47" s="492"/>
      <c r="M47" s="492"/>
      <c r="N47" s="492"/>
      <c r="O47" s="492"/>
      <c r="P47" s="492"/>
      <c r="Q47" s="149"/>
      <c r="R47" s="149"/>
      <c r="S47" s="149"/>
      <c r="T47" s="149"/>
      <c r="U47" s="149"/>
      <c r="V47" s="149"/>
      <c r="W47" s="149"/>
      <c r="AA47" s="492"/>
      <c r="AB47" s="492"/>
      <c r="AC47" s="492"/>
      <c r="AD47" s="492"/>
      <c r="AE47" s="492"/>
      <c r="AF47" s="492"/>
      <c r="AG47" s="492"/>
      <c r="AH47" s="492"/>
      <c r="AI47" s="492"/>
      <c r="AJ47" s="492"/>
      <c r="AK47" s="492"/>
      <c r="AL47" s="492"/>
      <c r="AM47" s="492"/>
      <c r="AN47" s="492"/>
      <c r="AO47" s="492"/>
      <c r="AP47" s="492"/>
      <c r="AQ47" s="492"/>
      <c r="AR47" s="492"/>
    </row>
    <row r="48" spans="1:44" ht="9" customHeight="1" x14ac:dyDescent="0.25">
      <c r="A48" s="492"/>
      <c r="K48" s="492"/>
      <c r="L48" s="492"/>
      <c r="M48" s="492"/>
      <c r="N48" s="492"/>
      <c r="O48" s="492"/>
      <c r="P48" s="492"/>
      <c r="AA48" s="492"/>
      <c r="AB48" s="492"/>
      <c r="AC48" s="492"/>
      <c r="AD48" s="492"/>
      <c r="AE48" s="492"/>
      <c r="AF48" s="492"/>
      <c r="AG48" s="492"/>
      <c r="AH48" s="492"/>
      <c r="AI48" s="492"/>
      <c r="AJ48" s="492"/>
      <c r="AK48" s="492"/>
      <c r="AL48" s="492"/>
      <c r="AM48" s="492"/>
      <c r="AN48" s="492"/>
      <c r="AO48" s="492"/>
      <c r="AP48" s="492"/>
      <c r="AQ48" s="492"/>
      <c r="AR48" s="492"/>
    </row>
    <row r="49" spans="1:44" ht="12.5" x14ac:dyDescent="0.25">
      <c r="A49" s="492"/>
      <c r="C49" s="283"/>
      <c r="D49" s="283"/>
      <c r="E49" s="335"/>
      <c r="F49" s="335"/>
      <c r="G49" s="335"/>
      <c r="H49" s="283"/>
      <c r="I49" s="487"/>
      <c r="J49" s="283"/>
      <c r="K49" s="492"/>
      <c r="L49" s="492"/>
      <c r="M49" s="492"/>
      <c r="N49" s="492"/>
      <c r="O49" s="492"/>
      <c r="P49" s="492"/>
      <c r="AA49" s="492"/>
      <c r="AB49" s="492"/>
      <c r="AC49" s="492"/>
      <c r="AD49" s="492"/>
      <c r="AE49" s="492"/>
      <c r="AF49" s="492"/>
      <c r="AG49" s="492"/>
      <c r="AH49" s="492"/>
      <c r="AI49" s="492"/>
      <c r="AJ49" s="492"/>
      <c r="AK49" s="492"/>
      <c r="AL49" s="492"/>
      <c r="AM49" s="492"/>
      <c r="AN49" s="492"/>
      <c r="AO49" s="492"/>
      <c r="AP49" s="492"/>
      <c r="AQ49" s="492"/>
      <c r="AR49" s="492"/>
    </row>
    <row r="50" spans="1:44" ht="11.25" customHeight="1" x14ac:dyDescent="0.25">
      <c r="A50" s="492"/>
      <c r="K50" s="492"/>
      <c r="L50" s="492"/>
      <c r="M50" s="492"/>
      <c r="N50" s="492"/>
      <c r="O50" s="492"/>
      <c r="P50" s="492"/>
      <c r="AA50" s="492"/>
      <c r="AB50" s="492"/>
      <c r="AC50" s="492"/>
      <c r="AD50" s="492"/>
      <c r="AE50" s="492"/>
      <c r="AF50" s="492"/>
      <c r="AG50" s="492"/>
      <c r="AH50" s="492"/>
      <c r="AI50" s="492"/>
      <c r="AJ50" s="492"/>
      <c r="AK50" s="492"/>
      <c r="AL50" s="492"/>
      <c r="AM50" s="492"/>
      <c r="AN50" s="492"/>
      <c r="AO50" s="492"/>
      <c r="AP50" s="492"/>
      <c r="AQ50" s="492"/>
      <c r="AR50" s="492"/>
    </row>
    <row r="51" spans="1:44" ht="21" customHeight="1" x14ac:dyDescent="0.35">
      <c r="A51" s="492"/>
      <c r="C51" s="256" t="str">
        <f>'basic output'!C57</f>
        <v>prepared by</v>
      </c>
      <c r="D51" s="488" t="str">
        <f>'basic output'!E57</f>
        <v>CBRE</v>
      </c>
      <c r="K51" s="492"/>
      <c r="L51" s="492"/>
      <c r="M51" s="492"/>
      <c r="N51" s="492"/>
      <c r="O51" s="492"/>
      <c r="P51" s="492"/>
      <c r="AA51" s="492"/>
      <c r="AB51" s="492"/>
      <c r="AC51" s="492"/>
      <c r="AD51" s="492"/>
      <c r="AE51" s="492"/>
      <c r="AF51" s="492"/>
      <c r="AG51" s="492"/>
      <c r="AH51" s="492"/>
      <c r="AI51" s="492"/>
      <c r="AJ51" s="492"/>
      <c r="AK51" s="492"/>
      <c r="AL51" s="492"/>
      <c r="AM51" s="492"/>
      <c r="AN51" s="492"/>
      <c r="AO51" s="492"/>
      <c r="AP51" s="492"/>
      <c r="AQ51" s="492"/>
      <c r="AR51" s="492"/>
    </row>
    <row r="52" spans="1:44" ht="24" customHeight="1" x14ac:dyDescent="0.25">
      <c r="A52" s="492"/>
      <c r="K52" s="492"/>
      <c r="L52" s="492"/>
      <c r="M52" s="492"/>
      <c r="N52" s="492"/>
      <c r="O52" s="492"/>
      <c r="P52" s="492"/>
      <c r="AA52" s="492"/>
      <c r="AB52" s="492"/>
      <c r="AC52" s="492"/>
      <c r="AD52" s="492"/>
      <c r="AE52" s="492"/>
      <c r="AF52" s="492"/>
      <c r="AG52" s="492"/>
      <c r="AH52" s="492"/>
      <c r="AI52" s="492"/>
      <c r="AJ52" s="492"/>
      <c r="AK52" s="492"/>
      <c r="AL52" s="492"/>
      <c r="AM52" s="492"/>
      <c r="AN52" s="492"/>
      <c r="AO52" s="492"/>
      <c r="AP52" s="492"/>
      <c r="AQ52" s="492"/>
      <c r="AR52" s="492"/>
    </row>
    <row r="53" spans="1:44" ht="12.75" customHeight="1" x14ac:dyDescent="0.25">
      <c r="A53" s="492"/>
      <c r="B53" s="492"/>
      <c r="C53" s="492"/>
      <c r="D53" s="492"/>
      <c r="E53" s="492"/>
      <c r="F53" s="492"/>
      <c r="G53" s="492"/>
      <c r="H53" s="492"/>
      <c r="I53" s="492"/>
      <c r="J53" s="492"/>
      <c r="K53" s="492"/>
      <c r="L53" s="492"/>
      <c r="M53" s="492"/>
      <c r="N53" s="492"/>
      <c r="O53" s="492"/>
      <c r="P53" s="492"/>
      <c r="AA53" s="492"/>
      <c r="AB53" s="492"/>
      <c r="AC53" s="492"/>
      <c r="AD53" s="492"/>
      <c r="AE53" s="492"/>
      <c r="AF53" s="492"/>
      <c r="AG53" s="492"/>
      <c r="AH53" s="492"/>
      <c r="AI53" s="492"/>
      <c r="AJ53" s="492"/>
      <c r="AK53" s="492"/>
      <c r="AL53" s="492"/>
      <c r="AM53" s="492"/>
      <c r="AN53" s="492"/>
      <c r="AO53" s="492"/>
      <c r="AP53" s="492"/>
      <c r="AQ53" s="492"/>
      <c r="AR53" s="492"/>
    </row>
    <row r="54" spans="1:44" ht="12.75" customHeight="1" x14ac:dyDescent="0.25">
      <c r="A54" s="492"/>
      <c r="B54" s="492"/>
      <c r="C54" s="492"/>
      <c r="D54" s="492"/>
      <c r="E54" s="492"/>
      <c r="F54" s="492"/>
      <c r="G54" s="492"/>
      <c r="H54" s="492"/>
      <c r="I54" s="492"/>
      <c r="J54" s="492"/>
      <c r="K54" s="492"/>
      <c r="L54" s="492"/>
      <c r="M54" s="492"/>
      <c r="N54" s="492"/>
      <c r="O54" s="492"/>
      <c r="P54" s="492"/>
      <c r="AA54" s="492"/>
      <c r="AB54" s="492"/>
      <c r="AC54" s="492"/>
      <c r="AD54" s="492"/>
      <c r="AE54" s="492"/>
      <c r="AF54" s="492"/>
      <c r="AG54" s="492"/>
      <c r="AH54" s="492"/>
      <c r="AI54" s="492"/>
      <c r="AJ54" s="492"/>
      <c r="AK54" s="492"/>
      <c r="AL54" s="492"/>
      <c r="AM54" s="492"/>
      <c r="AN54" s="492"/>
      <c r="AO54" s="492"/>
      <c r="AP54" s="492"/>
      <c r="AQ54" s="492"/>
      <c r="AR54" s="492"/>
    </row>
    <row r="55" spans="1:44" ht="12.75" customHeight="1" x14ac:dyDescent="0.25">
      <c r="A55" s="492"/>
      <c r="B55" s="492"/>
      <c r="C55" s="492"/>
      <c r="D55" s="492"/>
      <c r="E55" s="492"/>
      <c r="F55" s="492"/>
      <c r="G55" s="492"/>
      <c r="H55" s="492"/>
      <c r="I55" s="492"/>
      <c r="J55" s="492"/>
      <c r="K55" s="492"/>
      <c r="L55" s="492"/>
      <c r="M55" s="492"/>
      <c r="N55" s="492"/>
      <c r="O55" s="492"/>
      <c r="P55" s="492"/>
      <c r="AA55" s="492"/>
      <c r="AB55" s="492"/>
      <c r="AC55" s="492"/>
      <c r="AD55" s="492"/>
      <c r="AE55" s="492"/>
      <c r="AF55" s="492"/>
      <c r="AG55" s="492"/>
      <c r="AH55" s="492"/>
      <c r="AI55" s="492"/>
      <c r="AJ55" s="492"/>
      <c r="AK55" s="492"/>
      <c r="AL55" s="492"/>
      <c r="AM55" s="492"/>
      <c r="AN55" s="492"/>
      <c r="AO55" s="492"/>
      <c r="AP55" s="492"/>
      <c r="AQ55" s="492"/>
      <c r="AR55" s="492"/>
    </row>
    <row r="56" spans="1:44" ht="12.75" customHeight="1" x14ac:dyDescent="0.25">
      <c r="A56" s="492"/>
      <c r="B56" s="492"/>
      <c r="C56" s="492"/>
      <c r="D56" s="492"/>
      <c r="E56" s="492"/>
      <c r="F56" s="492"/>
      <c r="G56" s="492"/>
      <c r="H56" s="492"/>
      <c r="I56" s="492"/>
      <c r="J56" s="492"/>
      <c r="K56" s="492"/>
      <c r="L56" s="492"/>
      <c r="M56" s="492"/>
      <c r="N56" s="492"/>
      <c r="O56" s="492"/>
      <c r="P56" s="492"/>
      <c r="AA56" s="492"/>
      <c r="AB56" s="492"/>
      <c r="AC56" s="492"/>
      <c r="AD56" s="492"/>
      <c r="AE56" s="492"/>
      <c r="AF56" s="492"/>
      <c r="AG56" s="492"/>
      <c r="AH56" s="492"/>
      <c r="AI56" s="492"/>
      <c r="AJ56" s="492"/>
      <c r="AK56" s="492"/>
      <c r="AL56" s="492"/>
      <c r="AM56" s="492"/>
      <c r="AN56" s="492"/>
      <c r="AO56" s="492"/>
      <c r="AP56" s="492"/>
      <c r="AQ56" s="492"/>
      <c r="AR56" s="492"/>
    </row>
    <row r="57" spans="1:44" ht="12.75" customHeight="1" x14ac:dyDescent="0.25">
      <c r="A57" s="492"/>
      <c r="B57" s="492"/>
      <c r="C57" s="492"/>
      <c r="D57" s="492"/>
      <c r="E57" s="492"/>
      <c r="F57" s="492"/>
      <c r="G57" s="492"/>
      <c r="H57" s="492"/>
      <c r="I57" s="492"/>
      <c r="J57" s="492"/>
      <c r="K57" s="492"/>
      <c r="L57" s="492"/>
      <c r="M57" s="492"/>
      <c r="N57" s="492"/>
      <c r="O57" s="492"/>
      <c r="P57" s="492"/>
      <c r="AA57" s="492"/>
      <c r="AB57" s="492"/>
      <c r="AC57" s="492"/>
      <c r="AD57" s="492"/>
      <c r="AE57" s="492"/>
      <c r="AF57" s="492"/>
      <c r="AG57" s="492"/>
      <c r="AH57" s="492"/>
      <c r="AI57" s="492"/>
      <c r="AJ57" s="492"/>
      <c r="AK57" s="492"/>
      <c r="AL57" s="492"/>
      <c r="AM57" s="492"/>
      <c r="AN57" s="492"/>
      <c r="AO57" s="492"/>
      <c r="AP57" s="492"/>
      <c r="AQ57" s="492"/>
      <c r="AR57" s="492"/>
    </row>
    <row r="58" spans="1:44" ht="12.75" customHeight="1" x14ac:dyDescent="0.25">
      <c r="A58" s="492"/>
      <c r="B58" s="492"/>
      <c r="C58" s="492"/>
      <c r="D58" s="492"/>
      <c r="E58" s="492"/>
      <c r="F58" s="492"/>
      <c r="G58" s="492"/>
      <c r="H58" s="492"/>
      <c r="I58" s="492"/>
      <c r="J58" s="492"/>
      <c r="K58" s="492"/>
      <c r="L58" s="492"/>
      <c r="M58" s="492"/>
      <c r="N58" s="492"/>
      <c r="O58" s="492"/>
      <c r="P58" s="492"/>
      <c r="AA58" s="492"/>
      <c r="AB58" s="492"/>
      <c r="AC58" s="492"/>
      <c r="AD58" s="492"/>
      <c r="AE58" s="492"/>
      <c r="AF58" s="492"/>
      <c r="AG58" s="492"/>
      <c r="AH58" s="492"/>
      <c r="AI58" s="492"/>
      <c r="AJ58" s="492"/>
      <c r="AK58" s="492"/>
      <c r="AL58" s="492"/>
      <c r="AM58" s="492"/>
      <c r="AN58" s="492"/>
      <c r="AO58" s="492"/>
      <c r="AP58" s="492"/>
      <c r="AQ58" s="492"/>
      <c r="AR58" s="492"/>
    </row>
    <row r="59" spans="1:44" ht="12.75" customHeight="1" x14ac:dyDescent="0.25">
      <c r="A59" s="492"/>
      <c r="B59" s="492"/>
      <c r="C59" s="492"/>
      <c r="D59" s="492"/>
      <c r="E59" s="492"/>
      <c r="F59" s="492"/>
      <c r="G59" s="492"/>
      <c r="H59" s="492"/>
      <c r="I59" s="492"/>
      <c r="J59" s="492"/>
      <c r="K59" s="492"/>
      <c r="L59" s="492"/>
      <c r="M59" s="492"/>
      <c r="N59" s="492"/>
      <c r="O59" s="492"/>
      <c r="P59" s="492"/>
      <c r="AA59" s="492"/>
      <c r="AB59" s="492"/>
      <c r="AC59" s="492"/>
      <c r="AD59" s="492"/>
      <c r="AE59" s="492"/>
      <c r="AF59" s="492"/>
      <c r="AG59" s="492"/>
      <c r="AH59" s="492"/>
      <c r="AI59" s="492"/>
      <c r="AJ59" s="492"/>
      <c r="AK59" s="492"/>
      <c r="AL59" s="492"/>
      <c r="AM59" s="492"/>
      <c r="AN59" s="492"/>
      <c r="AO59" s="492"/>
      <c r="AP59" s="492"/>
      <c r="AQ59" s="492"/>
      <c r="AR59" s="492"/>
    </row>
    <row r="60" spans="1:44" ht="12.75" customHeight="1" x14ac:dyDescent="0.25">
      <c r="A60" s="492"/>
      <c r="B60" s="492"/>
      <c r="C60" s="492"/>
      <c r="D60" s="492"/>
      <c r="E60" s="492"/>
      <c r="F60" s="492"/>
      <c r="G60" s="492"/>
      <c r="H60" s="492"/>
      <c r="I60" s="492"/>
      <c r="J60" s="492"/>
      <c r="K60" s="492"/>
      <c r="L60" s="492"/>
      <c r="M60" s="492"/>
      <c r="N60" s="492"/>
      <c r="O60" s="492"/>
      <c r="P60" s="492"/>
      <c r="AA60" s="492"/>
      <c r="AB60" s="492"/>
      <c r="AC60" s="492"/>
      <c r="AD60" s="492"/>
      <c r="AE60" s="492"/>
      <c r="AF60" s="492"/>
      <c r="AG60" s="492"/>
      <c r="AH60" s="492"/>
      <c r="AI60" s="492"/>
      <c r="AJ60" s="492"/>
      <c r="AK60" s="492"/>
      <c r="AL60" s="492"/>
      <c r="AM60" s="492"/>
      <c r="AN60" s="492"/>
      <c r="AO60" s="492"/>
      <c r="AP60" s="492"/>
      <c r="AQ60" s="492"/>
      <c r="AR60" s="492"/>
    </row>
    <row r="61" spans="1:44" ht="12.75" customHeight="1" x14ac:dyDescent="0.25">
      <c r="A61" s="492"/>
      <c r="B61" s="492"/>
      <c r="C61" s="492"/>
      <c r="D61" s="492"/>
      <c r="E61" s="492"/>
      <c r="F61" s="492"/>
      <c r="G61" s="492"/>
      <c r="H61" s="492"/>
      <c r="I61" s="492"/>
      <c r="J61" s="492"/>
      <c r="K61" s="492"/>
      <c r="L61" s="492"/>
      <c r="M61" s="492"/>
      <c r="N61" s="492"/>
      <c r="O61" s="492"/>
      <c r="P61" s="492"/>
      <c r="AA61" s="492"/>
      <c r="AB61" s="492"/>
      <c r="AC61" s="492"/>
      <c r="AD61" s="492"/>
      <c r="AE61" s="492"/>
      <c r="AF61" s="492"/>
      <c r="AG61" s="492"/>
      <c r="AH61" s="492"/>
      <c r="AI61" s="492"/>
      <c r="AJ61" s="492"/>
      <c r="AK61" s="492"/>
      <c r="AL61" s="492"/>
      <c r="AM61" s="492"/>
      <c r="AN61" s="492"/>
      <c r="AO61" s="492"/>
      <c r="AP61" s="492"/>
      <c r="AQ61" s="492"/>
      <c r="AR61" s="492"/>
    </row>
    <row r="62" spans="1:44" ht="12.75" customHeight="1" x14ac:dyDescent="0.25">
      <c r="A62" s="492"/>
      <c r="B62" s="492"/>
      <c r="C62" s="492"/>
      <c r="D62" s="492"/>
      <c r="E62" s="492"/>
      <c r="F62" s="492"/>
      <c r="G62" s="492"/>
      <c r="H62" s="492"/>
      <c r="I62" s="492"/>
      <c r="J62" s="492"/>
      <c r="K62" s="492"/>
      <c r="L62" s="492"/>
      <c r="M62" s="492"/>
      <c r="N62" s="492"/>
      <c r="O62" s="492"/>
      <c r="P62" s="492"/>
      <c r="AA62" s="492"/>
      <c r="AB62" s="492"/>
      <c r="AC62" s="492"/>
      <c r="AD62" s="492"/>
      <c r="AE62" s="492"/>
      <c r="AF62" s="492"/>
      <c r="AG62" s="492"/>
      <c r="AH62" s="492"/>
      <c r="AI62" s="492"/>
      <c r="AJ62" s="492"/>
      <c r="AK62" s="492"/>
      <c r="AL62" s="492"/>
      <c r="AM62" s="492"/>
      <c r="AN62" s="492"/>
      <c r="AO62" s="492"/>
      <c r="AP62" s="492"/>
      <c r="AQ62" s="492"/>
      <c r="AR62" s="492"/>
    </row>
    <row r="63" spans="1:44" ht="12.75" customHeight="1" x14ac:dyDescent="0.25">
      <c r="A63" s="492"/>
      <c r="B63" s="492"/>
      <c r="C63" s="492"/>
      <c r="D63" s="492"/>
      <c r="E63" s="492"/>
      <c r="F63" s="492"/>
      <c r="G63" s="492"/>
      <c r="H63" s="492"/>
      <c r="I63" s="492"/>
      <c r="J63" s="492"/>
      <c r="K63" s="492"/>
      <c r="L63" s="492"/>
      <c r="M63" s="492"/>
      <c r="N63" s="492"/>
      <c r="O63" s="492"/>
      <c r="P63" s="492"/>
      <c r="AA63" s="492"/>
      <c r="AB63" s="492"/>
      <c r="AC63" s="492"/>
      <c r="AD63" s="492"/>
      <c r="AE63" s="492"/>
      <c r="AF63" s="492"/>
      <c r="AG63" s="492"/>
      <c r="AH63" s="492"/>
      <c r="AI63" s="492"/>
      <c r="AJ63" s="492"/>
      <c r="AK63" s="492"/>
      <c r="AL63" s="492"/>
      <c r="AM63" s="492"/>
      <c r="AN63" s="492"/>
      <c r="AO63" s="492"/>
      <c r="AP63" s="492"/>
      <c r="AQ63" s="492"/>
      <c r="AR63" s="492"/>
    </row>
    <row r="64" spans="1:44" ht="12.75" customHeight="1" x14ac:dyDescent="0.25">
      <c r="A64" s="492"/>
      <c r="B64" s="492"/>
      <c r="C64" s="492"/>
      <c r="D64" s="492"/>
      <c r="E64" s="492"/>
      <c r="F64" s="492"/>
      <c r="G64" s="492"/>
      <c r="H64" s="492"/>
      <c r="I64" s="492"/>
      <c r="J64" s="492"/>
      <c r="K64" s="492"/>
      <c r="L64" s="492"/>
      <c r="M64" s="492"/>
      <c r="N64" s="492"/>
      <c r="O64" s="492"/>
      <c r="P64" s="492"/>
      <c r="AA64" s="492"/>
      <c r="AB64" s="492"/>
      <c r="AC64" s="492"/>
      <c r="AD64" s="492"/>
      <c r="AE64" s="492"/>
      <c r="AF64" s="492"/>
      <c r="AG64" s="492"/>
      <c r="AH64" s="492"/>
      <c r="AI64" s="492"/>
      <c r="AJ64" s="492"/>
      <c r="AK64" s="492"/>
      <c r="AL64" s="492"/>
      <c r="AM64" s="492"/>
      <c r="AN64" s="492"/>
      <c r="AO64" s="492"/>
      <c r="AP64" s="492"/>
      <c r="AQ64" s="492"/>
      <c r="AR64" s="492"/>
    </row>
    <row r="65" spans="1:44" ht="12.75" customHeight="1" x14ac:dyDescent="0.25">
      <c r="A65" s="492"/>
      <c r="B65" s="492"/>
      <c r="C65" s="492"/>
      <c r="D65" s="492"/>
      <c r="E65" s="492"/>
      <c r="F65" s="492"/>
      <c r="G65" s="492"/>
      <c r="H65" s="492"/>
      <c r="I65" s="492"/>
      <c r="J65" s="492"/>
      <c r="K65" s="492"/>
      <c r="L65" s="492"/>
      <c r="M65" s="492"/>
      <c r="N65" s="492"/>
      <c r="O65" s="492"/>
      <c r="P65" s="492"/>
      <c r="AA65" s="492"/>
      <c r="AB65" s="492"/>
      <c r="AC65" s="492"/>
      <c r="AD65" s="492"/>
      <c r="AE65" s="492"/>
      <c r="AF65" s="492"/>
      <c r="AG65" s="492"/>
      <c r="AH65" s="492"/>
      <c r="AI65" s="492"/>
      <c r="AJ65" s="492"/>
      <c r="AK65" s="492"/>
      <c r="AL65" s="492"/>
      <c r="AM65" s="492"/>
      <c r="AN65" s="492"/>
      <c r="AO65" s="492"/>
      <c r="AP65" s="492"/>
      <c r="AQ65" s="492"/>
      <c r="AR65" s="492"/>
    </row>
    <row r="66" spans="1:44" ht="12.75" customHeight="1" x14ac:dyDescent="0.25">
      <c r="A66" s="492"/>
      <c r="B66" s="492"/>
      <c r="C66" s="492"/>
      <c r="D66" s="492"/>
      <c r="E66" s="492"/>
      <c r="F66" s="492"/>
      <c r="G66" s="492"/>
      <c r="H66" s="492"/>
      <c r="I66" s="492"/>
      <c r="J66" s="492"/>
      <c r="K66" s="492"/>
      <c r="L66" s="492"/>
      <c r="M66" s="492"/>
      <c r="N66" s="492"/>
      <c r="O66" s="492"/>
      <c r="P66" s="492"/>
      <c r="AA66" s="492"/>
      <c r="AB66" s="492"/>
      <c r="AC66" s="492"/>
      <c r="AD66" s="492"/>
      <c r="AE66" s="492"/>
      <c r="AF66" s="492"/>
      <c r="AG66" s="492"/>
      <c r="AH66" s="492"/>
      <c r="AI66" s="492"/>
      <c r="AJ66" s="492"/>
      <c r="AK66" s="492"/>
      <c r="AL66" s="492"/>
      <c r="AM66" s="492"/>
      <c r="AN66" s="492"/>
      <c r="AO66" s="492"/>
      <c r="AP66" s="492"/>
      <c r="AQ66" s="492"/>
      <c r="AR66" s="492"/>
    </row>
    <row r="67" spans="1:44" ht="12.75" customHeight="1" x14ac:dyDescent="0.25">
      <c r="A67" s="492"/>
      <c r="B67" s="492"/>
      <c r="C67" s="492"/>
      <c r="D67" s="492"/>
      <c r="E67" s="492"/>
      <c r="F67" s="492"/>
      <c r="G67" s="492"/>
      <c r="H67" s="492"/>
      <c r="I67" s="492"/>
      <c r="J67" s="492"/>
      <c r="K67" s="492"/>
      <c r="L67" s="492"/>
      <c r="M67" s="492"/>
      <c r="N67" s="492"/>
      <c r="O67" s="492"/>
      <c r="P67" s="492"/>
      <c r="AA67" s="492"/>
      <c r="AB67" s="492"/>
      <c r="AC67" s="492"/>
      <c r="AD67" s="492"/>
      <c r="AE67" s="492"/>
      <c r="AF67" s="492"/>
      <c r="AG67" s="492"/>
      <c r="AH67" s="492"/>
      <c r="AI67" s="492"/>
      <c r="AJ67" s="492"/>
      <c r="AK67" s="492"/>
      <c r="AL67" s="492"/>
      <c r="AM67" s="492"/>
      <c r="AN67" s="492"/>
      <c r="AO67" s="492"/>
      <c r="AP67" s="492"/>
      <c r="AQ67" s="492"/>
      <c r="AR67" s="492"/>
    </row>
    <row r="68" spans="1:44" ht="12.75" customHeight="1" x14ac:dyDescent="0.25">
      <c r="A68" s="492"/>
      <c r="B68" s="492"/>
      <c r="C68" s="492"/>
      <c r="D68" s="492"/>
      <c r="E68" s="492"/>
      <c r="F68" s="492"/>
      <c r="G68" s="492"/>
      <c r="H68" s="492"/>
      <c r="I68" s="492"/>
      <c r="J68" s="492"/>
      <c r="K68" s="492"/>
      <c r="L68" s="492"/>
      <c r="M68" s="492"/>
      <c r="N68" s="492"/>
      <c r="O68" s="492"/>
      <c r="P68" s="492"/>
      <c r="AA68" s="492"/>
      <c r="AB68" s="492"/>
      <c r="AC68" s="492"/>
      <c r="AD68" s="492"/>
      <c r="AE68" s="492"/>
      <c r="AF68" s="492"/>
      <c r="AG68" s="492"/>
      <c r="AH68" s="492"/>
      <c r="AI68" s="492"/>
      <c r="AJ68" s="492"/>
      <c r="AK68" s="492"/>
      <c r="AL68" s="492"/>
      <c r="AM68" s="492"/>
      <c r="AN68" s="492"/>
      <c r="AO68" s="492"/>
      <c r="AP68" s="492"/>
      <c r="AQ68" s="492"/>
      <c r="AR68" s="492"/>
    </row>
    <row r="69" spans="1:44" ht="12.75" customHeight="1" x14ac:dyDescent="0.25">
      <c r="A69" s="492"/>
      <c r="B69" s="492"/>
      <c r="C69" s="492"/>
      <c r="D69" s="492"/>
      <c r="E69" s="492"/>
      <c r="F69" s="492"/>
      <c r="G69" s="492"/>
      <c r="H69" s="492"/>
      <c r="I69" s="492"/>
      <c r="J69" s="492"/>
      <c r="K69" s="492"/>
      <c r="L69" s="492"/>
      <c r="M69" s="492"/>
      <c r="N69" s="492"/>
      <c r="O69" s="492"/>
      <c r="P69" s="492"/>
      <c r="AA69" s="492"/>
      <c r="AB69" s="492"/>
      <c r="AC69" s="492"/>
      <c r="AD69" s="492"/>
      <c r="AE69" s="492"/>
      <c r="AF69" s="492"/>
      <c r="AG69" s="492"/>
      <c r="AH69" s="492"/>
      <c r="AI69" s="492"/>
      <c r="AJ69" s="492"/>
      <c r="AK69" s="492"/>
      <c r="AL69" s="492"/>
      <c r="AM69" s="492"/>
      <c r="AN69" s="492"/>
      <c r="AO69" s="492"/>
      <c r="AP69" s="492"/>
      <c r="AQ69" s="492"/>
      <c r="AR69" s="492"/>
    </row>
    <row r="70" spans="1:44" ht="12.75" customHeight="1" x14ac:dyDescent="0.25">
      <c r="A70" s="492"/>
      <c r="B70" s="492"/>
      <c r="C70" s="492"/>
      <c r="D70" s="492"/>
      <c r="E70" s="492"/>
      <c r="F70" s="492"/>
      <c r="G70" s="492"/>
      <c r="H70" s="492"/>
      <c r="I70" s="492"/>
      <c r="J70" s="492"/>
      <c r="K70" s="492"/>
      <c r="L70" s="492"/>
      <c r="M70" s="492"/>
      <c r="N70" s="492"/>
      <c r="O70" s="492"/>
      <c r="P70" s="492"/>
      <c r="AA70" s="492"/>
      <c r="AB70" s="492"/>
      <c r="AC70" s="492"/>
      <c r="AD70" s="492"/>
      <c r="AE70" s="492"/>
      <c r="AF70" s="492"/>
      <c r="AG70" s="492"/>
      <c r="AH70" s="492"/>
      <c r="AI70" s="492"/>
      <c r="AJ70" s="492"/>
      <c r="AK70" s="492"/>
      <c r="AL70" s="492"/>
      <c r="AM70" s="492"/>
      <c r="AN70" s="492"/>
      <c r="AO70" s="492"/>
      <c r="AP70" s="492"/>
      <c r="AQ70" s="492"/>
      <c r="AR70" s="492"/>
    </row>
    <row r="71" spans="1:44" ht="12.75" customHeight="1" x14ac:dyDescent="0.25">
      <c r="A71" s="492"/>
      <c r="B71" s="492"/>
      <c r="C71" s="492"/>
      <c r="D71" s="492"/>
      <c r="E71" s="492"/>
      <c r="F71" s="492"/>
      <c r="G71" s="492"/>
      <c r="H71" s="492"/>
      <c r="I71" s="492"/>
      <c r="J71" s="492"/>
      <c r="K71" s="492"/>
      <c r="L71" s="492"/>
      <c r="M71" s="492"/>
      <c r="N71" s="492"/>
      <c r="O71" s="492"/>
      <c r="P71" s="492"/>
      <c r="AA71" s="492"/>
      <c r="AB71" s="492"/>
      <c r="AC71" s="492"/>
      <c r="AD71" s="492"/>
      <c r="AE71" s="492"/>
      <c r="AF71" s="492"/>
      <c r="AG71" s="492"/>
      <c r="AH71" s="492"/>
      <c r="AI71" s="492"/>
      <c r="AJ71" s="492"/>
      <c r="AK71" s="492"/>
      <c r="AL71" s="492"/>
      <c r="AM71" s="492"/>
      <c r="AN71" s="492"/>
      <c r="AO71" s="492"/>
      <c r="AP71" s="492"/>
      <c r="AQ71" s="492"/>
      <c r="AR71" s="492"/>
    </row>
    <row r="72" spans="1:44" ht="12.75" customHeight="1" x14ac:dyDescent="0.25">
      <c r="A72" s="492"/>
      <c r="B72" s="492"/>
      <c r="C72" s="492"/>
      <c r="D72" s="492"/>
      <c r="E72" s="492"/>
      <c r="F72" s="492"/>
      <c r="G72" s="492"/>
      <c r="H72" s="492"/>
      <c r="I72" s="492"/>
      <c r="J72" s="492"/>
      <c r="K72" s="492"/>
      <c r="L72" s="492"/>
      <c r="M72" s="492"/>
      <c r="N72" s="492"/>
      <c r="O72" s="492"/>
      <c r="P72" s="492"/>
      <c r="AA72" s="492"/>
      <c r="AB72" s="492"/>
      <c r="AC72" s="492"/>
      <c r="AD72" s="492"/>
      <c r="AE72" s="492"/>
      <c r="AF72" s="492"/>
      <c r="AG72" s="492"/>
      <c r="AH72" s="492"/>
      <c r="AI72" s="492"/>
      <c r="AJ72" s="492"/>
      <c r="AK72" s="492"/>
      <c r="AL72" s="492"/>
      <c r="AM72" s="492"/>
      <c r="AN72" s="492"/>
      <c r="AO72" s="492"/>
      <c r="AP72" s="492"/>
      <c r="AQ72" s="492"/>
      <c r="AR72" s="492"/>
    </row>
    <row r="73" spans="1:44" ht="12.75" customHeight="1" x14ac:dyDescent="0.25">
      <c r="A73" s="492"/>
      <c r="B73" s="492"/>
      <c r="C73" s="492"/>
      <c r="D73" s="492"/>
      <c r="E73" s="492"/>
      <c r="F73" s="492"/>
      <c r="G73" s="492"/>
      <c r="H73" s="492"/>
      <c r="I73" s="492"/>
      <c r="J73" s="492"/>
      <c r="K73" s="492"/>
      <c r="L73" s="492"/>
      <c r="M73" s="492"/>
      <c r="N73" s="492"/>
      <c r="O73" s="492"/>
      <c r="P73" s="492"/>
      <c r="AA73" s="492"/>
      <c r="AB73" s="492"/>
      <c r="AC73" s="492"/>
      <c r="AD73" s="492"/>
      <c r="AE73" s="492"/>
      <c r="AF73" s="492"/>
      <c r="AG73" s="492"/>
      <c r="AH73" s="492"/>
      <c r="AI73" s="492"/>
      <c r="AJ73" s="492"/>
      <c r="AK73" s="492"/>
      <c r="AL73" s="492"/>
      <c r="AM73" s="492"/>
      <c r="AN73" s="492"/>
      <c r="AO73" s="492"/>
      <c r="AP73" s="492"/>
      <c r="AQ73" s="492"/>
      <c r="AR73" s="492"/>
    </row>
    <row r="74" spans="1:44" ht="12.75" customHeight="1" x14ac:dyDescent="0.25">
      <c r="A74" s="492"/>
      <c r="B74" s="492"/>
      <c r="C74" s="492"/>
      <c r="D74" s="492"/>
      <c r="E74" s="492"/>
      <c r="F74" s="492"/>
      <c r="G74" s="492"/>
      <c r="H74" s="492"/>
      <c r="I74" s="492"/>
      <c r="J74" s="492"/>
      <c r="K74" s="492"/>
      <c r="L74" s="492"/>
      <c r="M74" s="492"/>
      <c r="N74" s="492"/>
      <c r="O74" s="492"/>
      <c r="P74" s="492"/>
      <c r="AA74" s="492"/>
      <c r="AB74" s="492"/>
      <c r="AC74" s="492"/>
      <c r="AD74" s="492"/>
      <c r="AE74" s="492"/>
      <c r="AF74" s="492"/>
      <c r="AG74" s="492"/>
      <c r="AH74" s="492"/>
      <c r="AI74" s="492"/>
      <c r="AJ74" s="492"/>
      <c r="AK74" s="492"/>
      <c r="AL74" s="492"/>
      <c r="AM74" s="492"/>
      <c r="AN74" s="492"/>
      <c r="AO74" s="492"/>
      <c r="AP74" s="492"/>
      <c r="AQ74" s="492"/>
      <c r="AR74" s="492"/>
    </row>
    <row r="75" spans="1:44" ht="12.75" customHeight="1" x14ac:dyDescent="0.25">
      <c r="A75" s="492"/>
      <c r="B75" s="492"/>
      <c r="C75" s="492"/>
      <c r="D75" s="492"/>
      <c r="E75" s="492"/>
      <c r="F75" s="492"/>
      <c r="G75" s="492"/>
      <c r="H75" s="492"/>
      <c r="I75" s="492"/>
      <c r="J75" s="492"/>
      <c r="K75" s="492"/>
      <c r="L75" s="492"/>
      <c r="M75" s="492"/>
      <c r="N75" s="492"/>
      <c r="O75" s="492"/>
      <c r="P75" s="492"/>
      <c r="AA75" s="492"/>
      <c r="AB75" s="492"/>
      <c r="AC75" s="492"/>
      <c r="AD75" s="492"/>
      <c r="AE75" s="492"/>
      <c r="AF75" s="492"/>
      <c r="AG75" s="492"/>
      <c r="AH75" s="492"/>
      <c r="AI75" s="492"/>
      <c r="AJ75" s="492"/>
      <c r="AK75" s="492"/>
      <c r="AL75" s="492"/>
      <c r="AM75" s="492"/>
      <c r="AN75" s="492"/>
      <c r="AO75" s="492"/>
      <c r="AP75" s="492"/>
      <c r="AQ75" s="492"/>
      <c r="AR75" s="492"/>
    </row>
    <row r="76" spans="1:44" ht="12.75" customHeight="1" x14ac:dyDescent="0.25">
      <c r="A76" s="492"/>
      <c r="B76" s="492"/>
      <c r="C76" s="492"/>
      <c r="D76" s="492"/>
      <c r="E76" s="492"/>
      <c r="F76" s="492"/>
      <c r="G76" s="492"/>
      <c r="H76" s="492"/>
      <c r="I76" s="492"/>
      <c r="J76" s="492"/>
      <c r="K76" s="492"/>
      <c r="L76" s="492"/>
      <c r="M76" s="492"/>
      <c r="N76" s="492"/>
      <c r="O76" s="492"/>
      <c r="P76" s="492"/>
      <c r="AA76" s="492"/>
      <c r="AB76" s="492"/>
      <c r="AC76" s="492"/>
      <c r="AD76" s="492"/>
      <c r="AE76" s="492"/>
      <c r="AF76" s="492"/>
      <c r="AG76" s="492"/>
      <c r="AH76" s="492"/>
      <c r="AI76" s="492"/>
      <c r="AJ76" s="492"/>
      <c r="AK76" s="492"/>
      <c r="AL76" s="492"/>
      <c r="AM76" s="492"/>
      <c r="AN76" s="492"/>
      <c r="AO76" s="492"/>
      <c r="AP76" s="492"/>
      <c r="AQ76" s="492"/>
      <c r="AR76" s="492"/>
    </row>
    <row r="77" spans="1:44" ht="12.75" customHeight="1" x14ac:dyDescent="0.25">
      <c r="A77" s="492"/>
      <c r="B77" s="492"/>
      <c r="C77" s="492"/>
      <c r="D77" s="492"/>
      <c r="E77" s="492"/>
      <c r="F77" s="492"/>
      <c r="G77" s="492"/>
      <c r="H77" s="492"/>
      <c r="I77" s="492"/>
      <c r="J77" s="492"/>
      <c r="K77" s="492"/>
      <c r="L77" s="492"/>
      <c r="M77" s="492"/>
      <c r="N77" s="492"/>
      <c r="O77" s="492"/>
      <c r="P77" s="492"/>
      <c r="AA77" s="492"/>
      <c r="AB77" s="492"/>
      <c r="AC77" s="492"/>
      <c r="AD77" s="492"/>
      <c r="AE77" s="492"/>
      <c r="AF77" s="492"/>
      <c r="AG77" s="492"/>
      <c r="AH77" s="492"/>
      <c r="AI77" s="492"/>
      <c r="AJ77" s="492"/>
      <c r="AK77" s="492"/>
      <c r="AL77" s="492"/>
      <c r="AM77" s="492"/>
      <c r="AN77" s="492"/>
      <c r="AO77" s="492"/>
      <c r="AP77" s="492"/>
      <c r="AQ77" s="492"/>
      <c r="AR77" s="492"/>
    </row>
    <row r="78" spans="1:44" ht="12.75" customHeight="1" x14ac:dyDescent="0.25">
      <c r="A78" s="492"/>
      <c r="B78" s="492"/>
      <c r="C78" s="492"/>
      <c r="D78" s="492"/>
      <c r="E78" s="492"/>
      <c r="F78" s="492"/>
      <c r="G78" s="492"/>
      <c r="H78" s="492"/>
      <c r="I78" s="492"/>
      <c r="J78" s="492"/>
      <c r="K78" s="492"/>
      <c r="L78" s="492"/>
      <c r="M78" s="492"/>
      <c r="N78" s="492"/>
      <c r="O78" s="492"/>
      <c r="P78" s="492"/>
      <c r="AA78" s="492"/>
      <c r="AB78" s="492"/>
      <c r="AC78" s="492"/>
      <c r="AD78" s="492"/>
      <c r="AE78" s="492"/>
      <c r="AF78" s="492"/>
      <c r="AG78" s="492"/>
      <c r="AH78" s="492"/>
      <c r="AI78" s="492"/>
      <c r="AJ78" s="492"/>
      <c r="AK78" s="492"/>
      <c r="AL78" s="492"/>
      <c r="AM78" s="492"/>
      <c r="AN78" s="492"/>
      <c r="AO78" s="492"/>
      <c r="AP78" s="492"/>
      <c r="AQ78" s="492"/>
      <c r="AR78" s="492"/>
    </row>
    <row r="79" spans="1:44" ht="12.75" customHeight="1" x14ac:dyDescent="0.25">
      <c r="A79" s="492"/>
      <c r="B79" s="492"/>
      <c r="C79" s="492"/>
      <c r="D79" s="492"/>
      <c r="E79" s="492"/>
      <c r="F79" s="492"/>
      <c r="G79" s="492"/>
      <c r="H79" s="492"/>
      <c r="I79" s="492"/>
      <c r="J79" s="492"/>
      <c r="K79" s="492"/>
      <c r="L79" s="492"/>
      <c r="M79" s="492"/>
      <c r="N79" s="492"/>
      <c r="O79" s="492"/>
      <c r="P79" s="492"/>
      <c r="AA79" s="492"/>
      <c r="AB79" s="492"/>
      <c r="AC79" s="492"/>
      <c r="AD79" s="492"/>
      <c r="AE79" s="492"/>
      <c r="AF79" s="492"/>
      <c r="AG79" s="492"/>
      <c r="AH79" s="492"/>
      <c r="AI79" s="492"/>
      <c r="AJ79" s="492"/>
      <c r="AK79" s="492"/>
      <c r="AL79" s="492"/>
      <c r="AM79" s="492"/>
      <c r="AN79" s="492"/>
      <c r="AO79" s="492"/>
      <c r="AP79" s="492"/>
      <c r="AQ79" s="492"/>
      <c r="AR79" s="492"/>
    </row>
    <row r="80" spans="1:44" ht="12.75" customHeight="1" x14ac:dyDescent="0.25">
      <c r="A80" s="492"/>
      <c r="B80" s="492"/>
      <c r="C80" s="492"/>
      <c r="D80" s="492"/>
      <c r="E80" s="492"/>
      <c r="F80" s="492"/>
      <c r="G80" s="492"/>
      <c r="H80" s="492"/>
      <c r="I80" s="492"/>
      <c r="J80" s="492"/>
      <c r="K80" s="492"/>
      <c r="L80" s="492"/>
      <c r="M80" s="492"/>
      <c r="N80" s="492"/>
      <c r="O80" s="492"/>
      <c r="P80" s="492"/>
      <c r="AA80" s="492"/>
      <c r="AB80" s="492"/>
      <c r="AC80" s="492"/>
      <c r="AD80" s="492"/>
      <c r="AE80" s="492"/>
      <c r="AF80" s="492"/>
      <c r="AG80" s="492"/>
      <c r="AH80" s="492"/>
      <c r="AI80" s="492"/>
      <c r="AJ80" s="492"/>
      <c r="AK80" s="492"/>
      <c r="AL80" s="492"/>
      <c r="AM80" s="492"/>
      <c r="AN80" s="492"/>
      <c r="AO80" s="492"/>
      <c r="AP80" s="492"/>
      <c r="AQ80" s="492"/>
      <c r="AR80" s="492"/>
    </row>
    <row r="81" spans="1:44" ht="12.75" customHeight="1" x14ac:dyDescent="0.25">
      <c r="A81" s="492"/>
      <c r="B81" s="492"/>
      <c r="C81" s="492"/>
      <c r="D81" s="492"/>
      <c r="E81" s="492"/>
      <c r="F81" s="492"/>
      <c r="G81" s="492"/>
      <c r="H81" s="492"/>
      <c r="I81" s="492"/>
      <c r="J81" s="492"/>
      <c r="K81" s="492"/>
      <c r="L81" s="492"/>
      <c r="M81" s="492"/>
      <c r="N81" s="492"/>
      <c r="O81" s="492"/>
      <c r="P81" s="492"/>
      <c r="AA81" s="492"/>
      <c r="AB81" s="492"/>
      <c r="AC81" s="492"/>
      <c r="AD81" s="492"/>
      <c r="AE81" s="492"/>
      <c r="AF81" s="492"/>
      <c r="AG81" s="492"/>
      <c r="AH81" s="492"/>
      <c r="AI81" s="492"/>
      <c r="AJ81" s="492"/>
      <c r="AK81" s="492"/>
      <c r="AL81" s="492"/>
      <c r="AM81" s="492"/>
      <c r="AN81" s="492"/>
      <c r="AO81" s="492"/>
      <c r="AP81" s="492"/>
      <c r="AQ81" s="492"/>
      <c r="AR81" s="492"/>
    </row>
    <row r="82" spans="1:44" ht="12.75" customHeight="1" x14ac:dyDescent="0.25">
      <c r="A82" s="492"/>
      <c r="B82" s="492"/>
      <c r="C82" s="492"/>
      <c r="D82" s="492"/>
      <c r="E82" s="492"/>
      <c r="F82" s="492"/>
      <c r="G82" s="492"/>
      <c r="H82" s="492"/>
      <c r="I82" s="492"/>
      <c r="J82" s="492"/>
      <c r="K82" s="492"/>
      <c r="L82" s="492"/>
      <c r="M82" s="492"/>
      <c r="N82" s="492"/>
      <c r="O82" s="492"/>
      <c r="P82" s="492"/>
      <c r="AA82" s="492"/>
      <c r="AB82" s="492"/>
      <c r="AC82" s="492"/>
      <c r="AD82" s="492"/>
      <c r="AE82" s="492"/>
      <c r="AF82" s="492"/>
      <c r="AG82" s="492"/>
      <c r="AH82" s="492"/>
      <c r="AI82" s="492"/>
      <c r="AJ82" s="492"/>
      <c r="AK82" s="492"/>
      <c r="AL82" s="492"/>
      <c r="AM82" s="492"/>
      <c r="AN82" s="492"/>
      <c r="AO82" s="492"/>
      <c r="AP82" s="492"/>
      <c r="AQ82" s="492"/>
      <c r="AR82" s="492"/>
    </row>
    <row r="83" spans="1:44" ht="12.75" customHeight="1" x14ac:dyDescent="0.25">
      <c r="A83" s="492"/>
      <c r="B83" s="492"/>
      <c r="C83" s="492"/>
      <c r="D83" s="492"/>
      <c r="E83" s="492"/>
      <c r="F83" s="492"/>
      <c r="G83" s="492"/>
      <c r="H83" s="492"/>
      <c r="I83" s="492"/>
      <c r="J83" s="492"/>
      <c r="K83" s="492"/>
      <c r="L83" s="492"/>
      <c r="M83" s="492"/>
      <c r="N83" s="492"/>
      <c r="O83" s="492"/>
      <c r="P83" s="492"/>
      <c r="AA83" s="492"/>
      <c r="AB83" s="492"/>
      <c r="AC83" s="492"/>
      <c r="AD83" s="492"/>
      <c r="AE83" s="492"/>
      <c r="AF83" s="492"/>
      <c r="AG83" s="492"/>
      <c r="AH83" s="492"/>
      <c r="AI83" s="492"/>
      <c r="AJ83" s="492"/>
      <c r="AK83" s="492"/>
      <c r="AL83" s="492"/>
      <c r="AM83" s="492"/>
      <c r="AN83" s="492"/>
      <c r="AO83" s="492"/>
      <c r="AP83" s="492"/>
      <c r="AQ83" s="492"/>
      <c r="AR83" s="492"/>
    </row>
    <row r="84" spans="1:44" ht="12.75" customHeight="1" x14ac:dyDescent="0.25">
      <c r="A84" s="492"/>
      <c r="B84" s="492"/>
      <c r="C84" s="492"/>
      <c r="D84" s="492"/>
      <c r="E84" s="492"/>
      <c r="F84" s="492"/>
      <c r="G84" s="492"/>
      <c r="H84" s="492"/>
      <c r="I84" s="492"/>
      <c r="J84" s="492"/>
      <c r="K84" s="492"/>
      <c r="L84" s="492"/>
      <c r="M84" s="492"/>
      <c r="N84" s="492"/>
      <c r="O84" s="492"/>
      <c r="P84" s="492"/>
      <c r="AA84" s="492"/>
      <c r="AB84" s="492"/>
      <c r="AC84" s="492"/>
      <c r="AD84" s="492"/>
      <c r="AE84" s="492"/>
      <c r="AF84" s="492"/>
      <c r="AG84" s="492"/>
      <c r="AH84" s="492"/>
      <c r="AI84" s="492"/>
      <c r="AJ84" s="492"/>
      <c r="AK84" s="492"/>
      <c r="AL84" s="492"/>
      <c r="AM84" s="492"/>
      <c r="AN84" s="492"/>
      <c r="AO84" s="492"/>
      <c r="AP84" s="492"/>
      <c r="AQ84" s="492"/>
      <c r="AR84" s="492"/>
    </row>
    <row r="85" spans="1:44" ht="12.75" customHeight="1" x14ac:dyDescent="0.25">
      <c r="A85" s="492"/>
      <c r="B85" s="492"/>
      <c r="C85" s="492"/>
      <c r="D85" s="492"/>
      <c r="E85" s="492"/>
      <c r="F85" s="492"/>
      <c r="G85" s="492"/>
      <c r="H85" s="492"/>
      <c r="I85" s="492"/>
      <c r="J85" s="492"/>
      <c r="K85" s="492"/>
      <c r="L85" s="492"/>
      <c r="M85" s="492"/>
      <c r="N85" s="492"/>
      <c r="O85" s="492"/>
      <c r="P85" s="492"/>
      <c r="AA85" s="492"/>
      <c r="AB85" s="492"/>
      <c r="AC85" s="492"/>
      <c r="AD85" s="492"/>
      <c r="AE85" s="492"/>
      <c r="AF85" s="492"/>
      <c r="AG85" s="492"/>
      <c r="AH85" s="492"/>
      <c r="AI85" s="492"/>
      <c r="AJ85" s="492"/>
      <c r="AK85" s="492"/>
      <c r="AL85" s="492"/>
      <c r="AM85" s="492"/>
      <c r="AN85" s="492"/>
      <c r="AO85" s="492"/>
      <c r="AP85" s="492"/>
      <c r="AQ85" s="492"/>
      <c r="AR85" s="492"/>
    </row>
    <row r="86" spans="1:44" ht="12.75" customHeight="1" x14ac:dyDescent="0.25">
      <c r="A86" s="492"/>
      <c r="B86" s="492"/>
      <c r="C86" s="492"/>
      <c r="D86" s="492"/>
      <c r="E86" s="492"/>
      <c r="F86" s="492"/>
      <c r="G86" s="492"/>
      <c r="H86" s="492"/>
      <c r="I86" s="492"/>
      <c r="J86" s="492"/>
      <c r="K86" s="492"/>
      <c r="L86" s="492"/>
      <c r="M86" s="492"/>
      <c r="N86" s="492"/>
      <c r="O86" s="492"/>
      <c r="P86" s="492"/>
      <c r="AA86" s="492"/>
      <c r="AB86" s="492"/>
      <c r="AC86" s="492"/>
      <c r="AD86" s="492"/>
      <c r="AE86" s="492"/>
      <c r="AF86" s="492"/>
      <c r="AG86" s="492"/>
      <c r="AH86" s="492"/>
      <c r="AI86" s="492"/>
      <c r="AJ86" s="492"/>
      <c r="AK86" s="492"/>
      <c r="AL86" s="492"/>
      <c r="AM86" s="492"/>
      <c r="AN86" s="492"/>
      <c r="AO86" s="492"/>
      <c r="AP86" s="492"/>
      <c r="AQ86" s="492"/>
      <c r="AR86" s="492"/>
    </row>
    <row r="87" spans="1:44" ht="12.75" customHeight="1" x14ac:dyDescent="0.25">
      <c r="A87" s="492"/>
      <c r="B87" s="492"/>
      <c r="C87" s="492"/>
      <c r="D87" s="492"/>
      <c r="E87" s="492"/>
      <c r="F87" s="492"/>
      <c r="G87" s="492"/>
      <c r="H87" s="492"/>
      <c r="I87" s="492"/>
      <c r="J87" s="492"/>
      <c r="K87" s="492"/>
      <c r="L87" s="492"/>
      <c r="M87" s="492"/>
      <c r="N87" s="492"/>
      <c r="O87" s="492"/>
      <c r="P87" s="492"/>
      <c r="AA87" s="492"/>
      <c r="AB87" s="492"/>
      <c r="AC87" s="492"/>
      <c r="AD87" s="492"/>
      <c r="AE87" s="492"/>
      <c r="AF87" s="492"/>
      <c r="AG87" s="492"/>
      <c r="AH87" s="492"/>
      <c r="AI87" s="492"/>
      <c r="AJ87" s="492"/>
      <c r="AK87" s="492"/>
      <c r="AL87" s="492"/>
      <c r="AM87" s="492"/>
      <c r="AN87" s="492"/>
      <c r="AO87" s="492"/>
      <c r="AP87" s="492"/>
      <c r="AQ87" s="492"/>
      <c r="AR87" s="492"/>
    </row>
    <row r="88" spans="1:44" ht="12.75" customHeight="1" x14ac:dyDescent="0.25">
      <c r="A88" s="492"/>
      <c r="B88" s="492"/>
      <c r="C88" s="492"/>
      <c r="D88" s="492"/>
      <c r="E88" s="492"/>
      <c r="F88" s="492"/>
      <c r="G88" s="492"/>
      <c r="H88" s="492"/>
      <c r="I88" s="492"/>
      <c r="J88" s="492"/>
      <c r="K88" s="492"/>
      <c r="L88" s="492"/>
      <c r="M88" s="492"/>
      <c r="N88" s="492"/>
      <c r="O88" s="492"/>
      <c r="P88" s="492"/>
      <c r="AA88" s="492"/>
      <c r="AB88" s="492"/>
      <c r="AC88" s="492"/>
      <c r="AD88" s="492"/>
      <c r="AE88" s="492"/>
      <c r="AF88" s="492"/>
      <c r="AG88" s="492"/>
      <c r="AH88" s="492"/>
      <c r="AI88" s="492"/>
      <c r="AJ88" s="492"/>
      <c r="AK88" s="492"/>
      <c r="AL88" s="492"/>
      <c r="AM88" s="492"/>
      <c r="AN88" s="492"/>
      <c r="AO88" s="492"/>
      <c r="AP88" s="492"/>
      <c r="AQ88" s="492"/>
      <c r="AR88" s="492"/>
    </row>
    <row r="89" spans="1:44" ht="12.75" customHeight="1" x14ac:dyDescent="0.25">
      <c r="A89" s="492"/>
      <c r="B89" s="492"/>
      <c r="C89" s="492"/>
      <c r="D89" s="492"/>
      <c r="E89" s="492"/>
      <c r="F89" s="492"/>
      <c r="G89" s="492"/>
      <c r="H89" s="492"/>
      <c r="I89" s="492"/>
      <c r="J89" s="492"/>
      <c r="K89" s="492"/>
      <c r="L89" s="492"/>
      <c r="M89" s="492"/>
      <c r="N89" s="492"/>
      <c r="O89" s="492"/>
      <c r="P89" s="492"/>
      <c r="AA89" s="492"/>
      <c r="AB89" s="492"/>
      <c r="AC89" s="492"/>
      <c r="AD89" s="492"/>
      <c r="AE89" s="492"/>
      <c r="AF89" s="492"/>
      <c r="AG89" s="492"/>
      <c r="AH89" s="492"/>
      <c r="AI89" s="492"/>
      <c r="AJ89" s="492"/>
      <c r="AK89" s="492"/>
      <c r="AL89" s="492"/>
      <c r="AM89" s="492"/>
      <c r="AN89" s="492"/>
      <c r="AO89" s="492"/>
      <c r="AP89" s="492"/>
      <c r="AQ89" s="492"/>
      <c r="AR89" s="492"/>
    </row>
    <row r="90" spans="1:44" ht="12.75" customHeight="1" x14ac:dyDescent="0.25">
      <c r="A90" s="492"/>
      <c r="B90" s="492"/>
      <c r="C90" s="492"/>
      <c r="D90" s="492"/>
      <c r="E90" s="492"/>
      <c r="F90" s="492"/>
      <c r="G90" s="492"/>
      <c r="H90" s="492"/>
      <c r="I90" s="492"/>
      <c r="J90" s="492"/>
      <c r="K90" s="492"/>
      <c r="L90" s="492"/>
      <c r="M90" s="492"/>
      <c r="N90" s="492"/>
      <c r="O90" s="492"/>
      <c r="P90" s="492"/>
      <c r="AA90" s="492"/>
      <c r="AB90" s="492"/>
      <c r="AC90" s="492"/>
      <c r="AD90" s="492"/>
      <c r="AE90" s="492"/>
      <c r="AF90" s="492"/>
      <c r="AG90" s="492"/>
      <c r="AH90" s="492"/>
      <c r="AI90" s="492"/>
      <c r="AJ90" s="492"/>
      <c r="AK90" s="492"/>
      <c r="AL90" s="492"/>
      <c r="AM90" s="492"/>
      <c r="AN90" s="492"/>
      <c r="AO90" s="492"/>
      <c r="AP90" s="492"/>
      <c r="AQ90" s="492"/>
      <c r="AR90" s="492"/>
    </row>
    <row r="91" spans="1:44" ht="12.75" customHeight="1" x14ac:dyDescent="0.25">
      <c r="A91" s="492"/>
      <c r="B91" s="492"/>
      <c r="C91" s="492"/>
      <c r="D91" s="492"/>
      <c r="E91" s="492"/>
      <c r="F91" s="492"/>
      <c r="G91" s="492"/>
      <c r="H91" s="492"/>
      <c r="I91" s="492"/>
      <c r="J91" s="492"/>
      <c r="K91" s="492"/>
      <c r="L91" s="492"/>
      <c r="M91" s="492"/>
      <c r="N91" s="492"/>
      <c r="O91" s="492"/>
      <c r="P91" s="492"/>
      <c r="AA91" s="492"/>
      <c r="AB91" s="492"/>
      <c r="AC91" s="492"/>
      <c r="AD91" s="492"/>
      <c r="AE91" s="492"/>
      <c r="AF91" s="492"/>
      <c r="AG91" s="492"/>
      <c r="AH91" s="492"/>
      <c r="AI91" s="492"/>
      <c r="AJ91" s="492"/>
      <c r="AK91" s="492"/>
      <c r="AL91" s="492"/>
      <c r="AM91" s="492"/>
      <c r="AN91" s="492"/>
      <c r="AO91" s="492"/>
      <c r="AP91" s="492"/>
      <c r="AQ91" s="492"/>
      <c r="AR91" s="492"/>
    </row>
    <row r="92" spans="1:44" ht="12.75" customHeight="1" x14ac:dyDescent="0.25">
      <c r="A92" s="492"/>
      <c r="B92" s="492"/>
      <c r="C92" s="492"/>
      <c r="D92" s="492"/>
      <c r="E92" s="492"/>
      <c r="F92" s="492"/>
      <c r="G92" s="492"/>
      <c r="H92" s="492"/>
      <c r="I92" s="492"/>
      <c r="J92" s="492"/>
      <c r="K92" s="492"/>
      <c r="L92" s="492"/>
      <c r="M92" s="492"/>
      <c r="N92" s="492"/>
      <c r="O92" s="492"/>
      <c r="P92" s="492"/>
      <c r="AA92" s="492"/>
      <c r="AB92" s="492"/>
      <c r="AC92" s="492"/>
      <c r="AD92" s="492"/>
      <c r="AE92" s="492"/>
      <c r="AF92" s="492"/>
      <c r="AG92" s="492"/>
      <c r="AH92" s="492"/>
      <c r="AI92" s="492"/>
      <c r="AJ92" s="492"/>
      <c r="AK92" s="492"/>
      <c r="AL92" s="492"/>
      <c r="AM92" s="492"/>
      <c r="AN92" s="492"/>
      <c r="AO92" s="492"/>
      <c r="AP92" s="492"/>
      <c r="AQ92" s="492"/>
      <c r="AR92" s="492"/>
    </row>
    <row r="93" spans="1:44" ht="12.75" customHeight="1" x14ac:dyDescent="0.25">
      <c r="A93" s="492"/>
      <c r="B93" s="492"/>
      <c r="C93" s="492"/>
      <c r="D93" s="492"/>
      <c r="E93" s="492"/>
      <c r="F93" s="492"/>
      <c r="G93" s="492"/>
      <c r="H93" s="492"/>
      <c r="I93" s="492"/>
      <c r="J93" s="492"/>
      <c r="K93" s="492"/>
      <c r="L93" s="492"/>
      <c r="M93" s="492"/>
      <c r="N93" s="492"/>
      <c r="O93" s="492"/>
      <c r="P93" s="492"/>
      <c r="AA93" s="492"/>
      <c r="AB93" s="492"/>
      <c r="AC93" s="492"/>
      <c r="AD93" s="492"/>
      <c r="AE93" s="492"/>
      <c r="AF93" s="492"/>
      <c r="AG93" s="492"/>
      <c r="AH93" s="492"/>
      <c r="AI93" s="492"/>
      <c r="AJ93" s="492"/>
      <c r="AK93" s="492"/>
      <c r="AL93" s="492"/>
      <c r="AM93" s="492"/>
      <c r="AN93" s="492"/>
      <c r="AO93" s="492"/>
      <c r="AP93" s="492"/>
      <c r="AQ93" s="492"/>
      <c r="AR93" s="492"/>
    </row>
    <row r="94" spans="1:44" ht="12.75" customHeight="1" x14ac:dyDescent="0.25">
      <c r="A94" s="492"/>
      <c r="B94" s="492"/>
      <c r="C94" s="492"/>
      <c r="D94" s="492"/>
      <c r="E94" s="492"/>
      <c r="F94" s="492"/>
      <c r="G94" s="492"/>
      <c r="H94" s="492"/>
      <c r="I94" s="492"/>
      <c r="J94" s="492"/>
      <c r="K94" s="492"/>
      <c r="L94" s="492"/>
      <c r="M94" s="492"/>
      <c r="N94" s="492"/>
      <c r="O94" s="492"/>
      <c r="P94" s="492"/>
      <c r="AA94" s="492"/>
      <c r="AB94" s="492"/>
      <c r="AC94" s="492"/>
      <c r="AD94" s="492"/>
      <c r="AE94" s="492"/>
      <c r="AF94" s="492"/>
      <c r="AG94" s="492"/>
      <c r="AH94" s="492"/>
      <c r="AI94" s="492"/>
      <c r="AJ94" s="492"/>
      <c r="AK94" s="492"/>
      <c r="AL94" s="492"/>
      <c r="AM94" s="492"/>
      <c r="AN94" s="492"/>
      <c r="AO94" s="492"/>
      <c r="AP94" s="492"/>
      <c r="AQ94" s="492"/>
      <c r="AR94" s="492"/>
    </row>
    <row r="95" spans="1:44" ht="12.75" customHeight="1" x14ac:dyDescent="0.25">
      <c r="A95" s="492"/>
      <c r="B95" s="492"/>
      <c r="C95" s="492"/>
      <c r="D95" s="492"/>
      <c r="E95" s="492"/>
      <c r="F95" s="492"/>
      <c r="G95" s="492"/>
      <c r="H95" s="492"/>
      <c r="I95" s="492"/>
      <c r="J95" s="492"/>
      <c r="K95" s="492"/>
      <c r="L95" s="492"/>
      <c r="M95" s="492"/>
      <c r="N95" s="492"/>
      <c r="O95" s="492"/>
      <c r="P95" s="492"/>
      <c r="AA95" s="492"/>
      <c r="AB95" s="492"/>
      <c r="AC95" s="492"/>
      <c r="AD95" s="492"/>
      <c r="AE95" s="492"/>
      <c r="AF95" s="492"/>
      <c r="AG95" s="492"/>
      <c r="AH95" s="492"/>
      <c r="AI95" s="492"/>
      <c r="AJ95" s="492"/>
      <c r="AK95" s="492"/>
      <c r="AL95" s="492"/>
      <c r="AM95" s="492"/>
      <c r="AN95" s="492"/>
      <c r="AO95" s="492"/>
      <c r="AP95" s="492"/>
      <c r="AQ95" s="492"/>
      <c r="AR95" s="492"/>
    </row>
    <row r="96" spans="1:44" ht="12.75" customHeight="1" x14ac:dyDescent="0.25">
      <c r="A96" s="492"/>
      <c r="B96" s="492"/>
      <c r="C96" s="492"/>
      <c r="D96" s="492"/>
      <c r="E96" s="492"/>
      <c r="F96" s="492"/>
      <c r="G96" s="492"/>
      <c r="H96" s="492"/>
      <c r="I96" s="492"/>
      <c r="J96" s="492"/>
      <c r="K96" s="492"/>
      <c r="L96" s="492"/>
      <c r="M96" s="492"/>
      <c r="N96" s="492"/>
      <c r="O96" s="492"/>
      <c r="P96" s="492"/>
      <c r="AA96" s="492"/>
      <c r="AB96" s="492"/>
      <c r="AC96" s="492"/>
      <c r="AD96" s="492"/>
      <c r="AE96" s="492"/>
      <c r="AF96" s="492"/>
      <c r="AG96" s="492"/>
      <c r="AH96" s="492"/>
      <c r="AI96" s="492"/>
      <c r="AJ96" s="492"/>
      <c r="AK96" s="492"/>
      <c r="AL96" s="492"/>
      <c r="AM96" s="492"/>
      <c r="AN96" s="492"/>
      <c r="AO96" s="492"/>
      <c r="AP96" s="492"/>
      <c r="AQ96" s="492"/>
      <c r="AR96" s="492"/>
    </row>
    <row r="97" spans="1:44" ht="12.75" customHeight="1" x14ac:dyDescent="0.25">
      <c r="A97" s="492"/>
      <c r="B97" s="492"/>
      <c r="C97" s="492"/>
      <c r="D97" s="492"/>
      <c r="E97" s="492"/>
      <c r="F97" s="492"/>
      <c r="G97" s="492"/>
      <c r="H97" s="492"/>
      <c r="I97" s="492"/>
      <c r="J97" s="492"/>
      <c r="K97" s="492"/>
      <c r="L97" s="492"/>
      <c r="M97" s="492"/>
      <c r="N97" s="492"/>
      <c r="O97" s="492"/>
      <c r="P97" s="492"/>
      <c r="AA97" s="492"/>
      <c r="AB97" s="492"/>
      <c r="AC97" s="492"/>
      <c r="AD97" s="492"/>
      <c r="AE97" s="492"/>
      <c r="AF97" s="492"/>
      <c r="AG97" s="492"/>
      <c r="AH97" s="492"/>
      <c r="AI97" s="492"/>
      <c r="AJ97" s="492"/>
      <c r="AK97" s="492"/>
      <c r="AL97" s="492"/>
      <c r="AM97" s="492"/>
      <c r="AN97" s="492"/>
      <c r="AO97" s="492"/>
      <c r="AP97" s="492"/>
      <c r="AQ97" s="492"/>
      <c r="AR97" s="492"/>
    </row>
    <row r="98" spans="1:44" ht="12.75" customHeight="1" x14ac:dyDescent="0.25">
      <c r="A98" s="492"/>
      <c r="B98" s="492"/>
      <c r="C98" s="492"/>
      <c r="D98" s="492"/>
      <c r="E98" s="492"/>
      <c r="F98" s="492"/>
      <c r="G98" s="492"/>
      <c r="H98" s="492"/>
      <c r="I98" s="492"/>
      <c r="J98" s="492"/>
      <c r="K98" s="492"/>
      <c r="L98" s="492"/>
      <c r="M98" s="492"/>
      <c r="N98" s="492"/>
      <c r="O98" s="492"/>
      <c r="P98" s="492"/>
      <c r="AA98" s="492"/>
      <c r="AB98" s="492"/>
      <c r="AC98" s="492"/>
      <c r="AD98" s="492"/>
      <c r="AE98" s="492"/>
      <c r="AF98" s="492"/>
      <c r="AG98" s="492"/>
      <c r="AH98" s="492"/>
      <c r="AI98" s="492"/>
      <c r="AJ98" s="492"/>
      <c r="AK98" s="492"/>
      <c r="AL98" s="492"/>
      <c r="AM98" s="492"/>
      <c r="AN98" s="492"/>
      <c r="AO98" s="492"/>
      <c r="AP98" s="492"/>
      <c r="AQ98" s="492"/>
      <c r="AR98" s="492"/>
    </row>
    <row r="99" spans="1:44" ht="12.75" customHeight="1" x14ac:dyDescent="0.25">
      <c r="A99" s="492"/>
      <c r="B99" s="492"/>
      <c r="C99" s="492"/>
      <c r="D99" s="492"/>
      <c r="E99" s="492"/>
      <c r="F99" s="492"/>
      <c r="G99" s="492"/>
      <c r="H99" s="492"/>
      <c r="I99" s="492"/>
      <c r="J99" s="492"/>
      <c r="K99" s="492"/>
      <c r="L99" s="492"/>
      <c r="M99" s="492"/>
      <c r="N99" s="492"/>
      <c r="O99" s="492"/>
      <c r="P99" s="492"/>
      <c r="AA99" s="492"/>
      <c r="AB99" s="492"/>
      <c r="AC99" s="492"/>
      <c r="AD99" s="492"/>
      <c r="AE99" s="492"/>
      <c r="AF99" s="492"/>
      <c r="AG99" s="492"/>
      <c r="AH99" s="492"/>
      <c r="AI99" s="492"/>
      <c r="AJ99" s="492"/>
      <c r="AK99" s="492"/>
      <c r="AL99" s="492"/>
      <c r="AM99" s="492"/>
      <c r="AN99" s="492"/>
      <c r="AO99" s="492"/>
      <c r="AP99" s="492"/>
      <c r="AQ99" s="492"/>
      <c r="AR99" s="492"/>
    </row>
    <row r="100" spans="1:44" ht="12.75" customHeight="1" x14ac:dyDescent="0.25">
      <c r="A100" s="492"/>
      <c r="B100" s="492"/>
      <c r="C100" s="492"/>
      <c r="D100" s="492"/>
      <c r="E100" s="492"/>
      <c r="F100" s="492"/>
      <c r="G100" s="492"/>
      <c r="H100" s="492"/>
      <c r="I100" s="492"/>
      <c r="J100" s="492"/>
      <c r="K100" s="492"/>
      <c r="L100" s="492"/>
      <c r="M100" s="492"/>
      <c r="N100" s="492"/>
      <c r="O100" s="492"/>
      <c r="P100" s="492"/>
      <c r="AA100" s="492"/>
      <c r="AB100" s="492"/>
      <c r="AC100" s="492"/>
      <c r="AD100" s="492"/>
      <c r="AE100" s="492"/>
      <c r="AF100" s="492"/>
      <c r="AG100" s="492"/>
      <c r="AH100" s="492"/>
      <c r="AI100" s="492"/>
      <c r="AJ100" s="492"/>
      <c r="AK100" s="492"/>
      <c r="AL100" s="492"/>
      <c r="AM100" s="492"/>
      <c r="AN100" s="492"/>
      <c r="AO100" s="492"/>
      <c r="AP100" s="492"/>
      <c r="AQ100" s="492"/>
      <c r="AR100" s="492"/>
    </row>
    <row r="101" spans="1:44" ht="12.75" customHeight="1" x14ac:dyDescent="0.25">
      <c r="A101" s="492"/>
      <c r="B101" s="492"/>
      <c r="C101" s="492"/>
      <c r="D101" s="492"/>
      <c r="E101" s="492"/>
      <c r="F101" s="492"/>
      <c r="G101" s="492"/>
      <c r="H101" s="492"/>
      <c r="I101" s="492"/>
      <c r="J101" s="492"/>
      <c r="K101" s="492"/>
      <c r="L101" s="492"/>
      <c r="M101" s="492"/>
      <c r="N101" s="492"/>
      <c r="O101" s="492"/>
      <c r="P101" s="492"/>
      <c r="AA101" s="492"/>
      <c r="AB101" s="492"/>
      <c r="AC101" s="492"/>
      <c r="AD101" s="492"/>
      <c r="AE101" s="492"/>
      <c r="AF101" s="492"/>
      <c r="AG101" s="492"/>
      <c r="AH101" s="492"/>
      <c r="AI101" s="492"/>
      <c r="AJ101" s="492"/>
      <c r="AK101" s="492"/>
      <c r="AL101" s="492"/>
      <c r="AM101" s="492"/>
      <c r="AN101" s="492"/>
      <c r="AO101" s="492"/>
      <c r="AP101" s="492"/>
      <c r="AQ101" s="492"/>
      <c r="AR101" s="492"/>
    </row>
    <row r="102" spans="1:44" ht="12.75" customHeight="1" x14ac:dyDescent="0.25">
      <c r="A102" s="492"/>
      <c r="B102" s="492"/>
      <c r="C102" s="492"/>
      <c r="D102" s="492"/>
      <c r="E102" s="492"/>
      <c r="F102" s="492"/>
      <c r="G102" s="492"/>
      <c r="H102" s="492"/>
      <c r="I102" s="492"/>
      <c r="J102" s="492"/>
      <c r="K102" s="492"/>
      <c r="L102" s="492"/>
      <c r="M102" s="492"/>
      <c r="N102" s="492"/>
      <c r="O102" s="492"/>
      <c r="P102" s="492"/>
      <c r="AA102" s="492"/>
      <c r="AB102" s="492"/>
      <c r="AC102" s="492"/>
      <c r="AD102" s="492"/>
      <c r="AE102" s="492"/>
      <c r="AF102" s="492"/>
      <c r="AG102" s="492"/>
      <c r="AH102" s="492"/>
      <c r="AI102" s="492"/>
      <c r="AJ102" s="492"/>
      <c r="AK102" s="492"/>
      <c r="AL102" s="492"/>
      <c r="AM102" s="492"/>
      <c r="AN102" s="492"/>
      <c r="AO102" s="492"/>
      <c r="AP102" s="492"/>
      <c r="AQ102" s="492"/>
      <c r="AR102" s="492"/>
    </row>
    <row r="103" spans="1:44" ht="12.75" customHeight="1" x14ac:dyDescent="0.25">
      <c r="A103" s="492"/>
      <c r="B103" s="492"/>
      <c r="C103" s="492"/>
      <c r="D103" s="492"/>
      <c r="E103" s="492"/>
      <c r="F103" s="492"/>
      <c r="G103" s="492"/>
      <c r="H103" s="492"/>
      <c r="I103" s="492"/>
      <c r="J103" s="492"/>
      <c r="K103" s="492"/>
      <c r="L103" s="492"/>
      <c r="M103" s="492"/>
      <c r="N103" s="492"/>
      <c r="O103" s="492"/>
      <c r="P103" s="492"/>
      <c r="AA103" s="492"/>
      <c r="AB103" s="492"/>
      <c r="AC103" s="492"/>
      <c r="AD103" s="492"/>
      <c r="AE103" s="492"/>
      <c r="AF103" s="492"/>
      <c r="AG103" s="492"/>
      <c r="AH103" s="492"/>
      <c r="AI103" s="492"/>
      <c r="AJ103" s="492"/>
      <c r="AK103" s="492"/>
      <c r="AL103" s="492"/>
      <c r="AM103" s="492"/>
      <c r="AN103" s="492"/>
      <c r="AO103" s="492"/>
      <c r="AP103" s="492"/>
      <c r="AQ103" s="492"/>
      <c r="AR103" s="492"/>
    </row>
    <row r="104" spans="1:44" ht="12.75" customHeight="1" x14ac:dyDescent="0.25">
      <c r="A104" s="492"/>
      <c r="B104" s="492"/>
      <c r="C104" s="492"/>
      <c r="D104" s="492"/>
      <c r="E104" s="492"/>
      <c r="F104" s="492"/>
      <c r="G104" s="492"/>
      <c r="H104" s="492"/>
      <c r="I104" s="492"/>
      <c r="J104" s="492"/>
      <c r="K104" s="492"/>
      <c r="L104" s="492"/>
      <c r="M104" s="492"/>
      <c r="N104" s="492"/>
      <c r="O104" s="492"/>
      <c r="P104" s="492"/>
      <c r="AA104" s="492"/>
      <c r="AB104" s="492"/>
      <c r="AC104" s="492"/>
      <c r="AD104" s="492"/>
      <c r="AE104" s="492"/>
      <c r="AF104" s="492"/>
      <c r="AG104" s="492"/>
      <c r="AH104" s="492"/>
      <c r="AI104" s="492"/>
      <c r="AJ104" s="492"/>
      <c r="AK104" s="492"/>
      <c r="AL104" s="492"/>
      <c r="AM104" s="492"/>
      <c r="AN104" s="492"/>
      <c r="AO104" s="492"/>
      <c r="AP104" s="492"/>
      <c r="AQ104" s="492"/>
      <c r="AR104" s="492"/>
    </row>
    <row r="105" spans="1:44" ht="12.75" customHeight="1" x14ac:dyDescent="0.25">
      <c r="A105" s="492"/>
      <c r="B105" s="492"/>
      <c r="C105" s="492"/>
      <c r="D105" s="492"/>
      <c r="E105" s="492"/>
      <c r="F105" s="492"/>
      <c r="G105" s="492"/>
      <c r="H105" s="492"/>
      <c r="I105" s="492"/>
      <c r="J105" s="492"/>
      <c r="K105" s="492"/>
      <c r="L105" s="492"/>
      <c r="M105" s="492"/>
      <c r="N105" s="492"/>
      <c r="O105" s="492"/>
      <c r="P105" s="492"/>
      <c r="AA105" s="492"/>
      <c r="AB105" s="492"/>
      <c r="AC105" s="492"/>
      <c r="AD105" s="492"/>
      <c r="AE105" s="492"/>
      <c r="AF105" s="492"/>
      <c r="AG105" s="492"/>
      <c r="AH105" s="492"/>
      <c r="AI105" s="492"/>
      <c r="AJ105" s="492"/>
      <c r="AK105" s="492"/>
      <c r="AL105" s="492"/>
      <c r="AM105" s="492"/>
      <c r="AN105" s="492"/>
      <c r="AO105" s="492"/>
      <c r="AP105" s="492"/>
      <c r="AQ105" s="492"/>
      <c r="AR105" s="492"/>
    </row>
    <row r="106" spans="1:44" ht="12.75" customHeight="1" x14ac:dyDescent="0.25">
      <c r="A106" s="492"/>
      <c r="B106" s="492"/>
      <c r="C106" s="492"/>
      <c r="D106" s="492"/>
      <c r="E106" s="492"/>
      <c r="F106" s="492"/>
      <c r="G106" s="492"/>
      <c r="H106" s="492"/>
      <c r="I106" s="492"/>
      <c r="J106" s="492"/>
      <c r="K106" s="492"/>
      <c r="L106" s="492"/>
      <c r="M106" s="492"/>
      <c r="N106" s="492"/>
      <c r="O106" s="492"/>
      <c r="P106" s="492"/>
      <c r="AA106" s="492"/>
      <c r="AB106" s="492"/>
      <c r="AC106" s="492"/>
      <c r="AD106" s="492"/>
      <c r="AE106" s="492"/>
      <c r="AF106" s="492"/>
      <c r="AG106" s="492"/>
      <c r="AH106" s="492"/>
      <c r="AI106" s="492"/>
      <c r="AJ106" s="492"/>
      <c r="AK106" s="492"/>
      <c r="AL106" s="492"/>
      <c r="AM106" s="492"/>
      <c r="AN106" s="492"/>
      <c r="AO106" s="492"/>
      <c r="AP106" s="492"/>
      <c r="AQ106" s="492"/>
      <c r="AR106" s="492"/>
    </row>
    <row r="107" spans="1:44" ht="12.75" customHeight="1" x14ac:dyDescent="0.25">
      <c r="A107" s="492"/>
      <c r="B107" s="492"/>
      <c r="C107" s="492"/>
      <c r="D107" s="492"/>
      <c r="E107" s="492"/>
      <c r="F107" s="492"/>
      <c r="G107" s="492"/>
      <c r="H107" s="492"/>
      <c r="I107" s="492"/>
      <c r="J107" s="492"/>
      <c r="K107" s="492"/>
      <c r="L107" s="492"/>
      <c r="M107" s="492"/>
      <c r="N107" s="492"/>
      <c r="O107" s="492"/>
      <c r="P107" s="492"/>
      <c r="AA107" s="492"/>
      <c r="AB107" s="492"/>
      <c r="AC107" s="492"/>
      <c r="AD107" s="492"/>
      <c r="AE107" s="492"/>
      <c r="AF107" s="492"/>
      <c r="AG107" s="492"/>
      <c r="AH107" s="492"/>
      <c r="AI107" s="492"/>
      <c r="AJ107" s="492"/>
      <c r="AK107" s="492"/>
      <c r="AL107" s="492"/>
      <c r="AM107" s="492"/>
      <c r="AN107" s="492"/>
      <c r="AO107" s="492"/>
      <c r="AP107" s="492"/>
      <c r="AQ107" s="492"/>
      <c r="AR107" s="492"/>
    </row>
    <row r="108" spans="1:44" ht="12.75" customHeight="1" x14ac:dyDescent="0.25">
      <c r="A108" s="492"/>
      <c r="B108" s="492"/>
      <c r="C108" s="492"/>
      <c r="D108" s="492"/>
      <c r="E108" s="492"/>
      <c r="F108" s="492"/>
      <c r="G108" s="492"/>
      <c r="H108" s="492"/>
      <c r="I108" s="492"/>
      <c r="J108" s="492"/>
      <c r="K108" s="492"/>
      <c r="L108" s="492"/>
      <c r="M108" s="492"/>
      <c r="N108" s="492"/>
      <c r="O108" s="492"/>
      <c r="P108" s="492"/>
      <c r="AA108" s="492"/>
      <c r="AB108" s="492"/>
      <c r="AC108" s="492"/>
      <c r="AD108" s="492"/>
      <c r="AE108" s="492"/>
      <c r="AF108" s="492"/>
      <c r="AG108" s="492"/>
      <c r="AH108" s="492"/>
      <c r="AI108" s="492"/>
      <c r="AJ108" s="492"/>
      <c r="AK108" s="492"/>
      <c r="AL108" s="492"/>
      <c r="AM108" s="492"/>
      <c r="AN108" s="492"/>
      <c r="AO108" s="492"/>
      <c r="AP108" s="492"/>
      <c r="AQ108" s="492"/>
      <c r="AR108" s="492"/>
    </row>
    <row r="109" spans="1:44" ht="12.75" customHeight="1" x14ac:dyDescent="0.25">
      <c r="A109" s="492"/>
      <c r="B109" s="492"/>
      <c r="C109" s="492"/>
      <c r="D109" s="492"/>
      <c r="E109" s="492"/>
      <c r="F109" s="492"/>
      <c r="G109" s="492"/>
      <c r="H109" s="492"/>
      <c r="I109" s="492"/>
      <c r="J109" s="492"/>
      <c r="K109" s="492"/>
      <c r="L109" s="492"/>
      <c r="M109" s="492"/>
      <c r="N109" s="492"/>
      <c r="O109" s="492"/>
      <c r="P109" s="492"/>
      <c r="AA109" s="492"/>
      <c r="AB109" s="492"/>
      <c r="AC109" s="492"/>
      <c r="AD109" s="492"/>
      <c r="AE109" s="492"/>
      <c r="AF109" s="492"/>
      <c r="AG109" s="492"/>
      <c r="AH109" s="492"/>
      <c r="AI109" s="492"/>
      <c r="AJ109" s="492"/>
      <c r="AK109" s="492"/>
      <c r="AL109" s="492"/>
      <c r="AM109" s="492"/>
      <c r="AN109" s="492"/>
      <c r="AO109" s="492"/>
      <c r="AP109" s="492"/>
      <c r="AQ109" s="492"/>
      <c r="AR109" s="492"/>
    </row>
    <row r="110" spans="1:44" ht="12.75" customHeight="1" x14ac:dyDescent="0.25">
      <c r="A110" s="492"/>
      <c r="B110" s="492"/>
      <c r="C110" s="492"/>
      <c r="D110" s="492"/>
      <c r="E110" s="492"/>
      <c r="F110" s="492"/>
      <c r="G110" s="492"/>
      <c r="H110" s="492"/>
      <c r="I110" s="492"/>
      <c r="J110" s="492"/>
      <c r="K110" s="492"/>
      <c r="L110" s="492"/>
      <c r="M110" s="492"/>
      <c r="N110" s="492"/>
      <c r="O110" s="492"/>
      <c r="P110" s="492"/>
      <c r="AA110" s="492"/>
      <c r="AB110" s="492"/>
      <c r="AC110" s="492"/>
      <c r="AD110" s="492"/>
      <c r="AE110" s="492"/>
      <c r="AF110" s="492"/>
      <c r="AG110" s="492"/>
      <c r="AH110" s="492"/>
      <c r="AI110" s="492"/>
      <c r="AJ110" s="492"/>
      <c r="AK110" s="492"/>
      <c r="AL110" s="492"/>
      <c r="AM110" s="492"/>
      <c r="AN110" s="492"/>
      <c r="AO110" s="492"/>
      <c r="AP110" s="492"/>
      <c r="AQ110" s="492"/>
      <c r="AR110" s="492"/>
    </row>
    <row r="111" spans="1:44" ht="12.75" customHeight="1" x14ac:dyDescent="0.25">
      <c r="A111" s="492"/>
      <c r="B111" s="492"/>
      <c r="C111" s="492"/>
      <c r="D111" s="492"/>
      <c r="E111" s="492"/>
      <c r="F111" s="492"/>
      <c r="G111" s="492"/>
      <c r="H111" s="492"/>
      <c r="I111" s="492"/>
      <c r="J111" s="492"/>
      <c r="K111" s="492"/>
      <c r="L111" s="492"/>
      <c r="M111" s="492"/>
      <c r="N111" s="492"/>
      <c r="O111" s="492"/>
      <c r="P111" s="492"/>
      <c r="AA111" s="492"/>
      <c r="AB111" s="492"/>
      <c r="AC111" s="492"/>
      <c r="AD111" s="492"/>
      <c r="AE111" s="492"/>
      <c r="AF111" s="492"/>
      <c r="AG111" s="492"/>
      <c r="AH111" s="492"/>
      <c r="AI111" s="492"/>
      <c r="AJ111" s="492"/>
      <c r="AK111" s="492"/>
      <c r="AL111" s="492"/>
      <c r="AM111" s="492"/>
      <c r="AN111" s="492"/>
      <c r="AO111" s="492"/>
      <c r="AP111" s="492"/>
      <c r="AQ111" s="492"/>
      <c r="AR111" s="492"/>
    </row>
    <row r="112" spans="1:44" ht="12.75" customHeight="1" x14ac:dyDescent="0.25">
      <c r="A112" s="492"/>
      <c r="B112" s="492"/>
      <c r="C112" s="492"/>
      <c r="D112" s="492"/>
      <c r="E112" s="492"/>
      <c r="F112" s="492"/>
      <c r="G112" s="492"/>
      <c r="H112" s="492"/>
      <c r="I112" s="492"/>
      <c r="J112" s="492"/>
      <c r="K112" s="492"/>
      <c r="L112" s="492"/>
      <c r="M112" s="492"/>
      <c r="N112" s="492"/>
      <c r="O112" s="492"/>
      <c r="P112" s="492"/>
      <c r="AA112" s="492"/>
      <c r="AB112" s="492"/>
      <c r="AC112" s="492"/>
      <c r="AD112" s="492"/>
      <c r="AE112" s="492"/>
      <c r="AF112" s="492"/>
      <c r="AG112" s="492"/>
      <c r="AH112" s="492"/>
      <c r="AI112" s="492"/>
      <c r="AJ112" s="492"/>
      <c r="AK112" s="492"/>
      <c r="AL112" s="492"/>
      <c r="AM112" s="492"/>
      <c r="AN112" s="492"/>
      <c r="AO112" s="492"/>
      <c r="AP112" s="492"/>
      <c r="AQ112" s="492"/>
      <c r="AR112" s="492"/>
    </row>
    <row r="113" spans="1:44" ht="12.75" customHeight="1" x14ac:dyDescent="0.25">
      <c r="A113" s="492"/>
      <c r="B113" s="492"/>
      <c r="C113" s="492"/>
      <c r="D113" s="492"/>
      <c r="E113" s="492"/>
      <c r="F113" s="492"/>
      <c r="G113" s="492"/>
      <c r="H113" s="492"/>
      <c r="I113" s="492"/>
      <c r="J113" s="492"/>
      <c r="K113" s="492"/>
      <c r="L113" s="492"/>
      <c r="M113" s="492"/>
      <c r="N113" s="492"/>
      <c r="O113" s="492"/>
      <c r="P113" s="492"/>
      <c r="AA113" s="492"/>
      <c r="AB113" s="492"/>
      <c r="AC113" s="492"/>
      <c r="AD113" s="492"/>
      <c r="AE113" s="492"/>
      <c r="AF113" s="492"/>
      <c r="AG113" s="492"/>
      <c r="AH113" s="492"/>
      <c r="AI113" s="492"/>
      <c r="AJ113" s="492"/>
      <c r="AK113" s="492"/>
      <c r="AL113" s="492"/>
      <c r="AM113" s="492"/>
      <c r="AN113" s="492"/>
      <c r="AO113" s="492"/>
      <c r="AP113" s="492"/>
      <c r="AQ113" s="492"/>
      <c r="AR113" s="492"/>
    </row>
    <row r="114" spans="1:44" ht="12.75" customHeight="1" x14ac:dyDescent="0.25">
      <c r="A114" s="492"/>
      <c r="B114" s="492"/>
      <c r="C114" s="492"/>
      <c r="D114" s="492"/>
      <c r="E114" s="492"/>
      <c r="F114" s="492"/>
      <c r="G114" s="492"/>
      <c r="H114" s="492"/>
      <c r="I114" s="492"/>
      <c r="J114" s="492"/>
      <c r="K114" s="492"/>
      <c r="L114" s="492"/>
      <c r="M114" s="492"/>
      <c r="N114" s="492"/>
      <c r="O114" s="492"/>
      <c r="P114" s="492"/>
      <c r="AA114" s="492"/>
      <c r="AB114" s="492"/>
      <c r="AC114" s="492"/>
      <c r="AD114" s="492"/>
      <c r="AE114" s="492"/>
      <c r="AF114" s="492"/>
      <c r="AG114" s="492"/>
      <c r="AH114" s="492"/>
      <c r="AI114" s="492"/>
      <c r="AJ114" s="492"/>
      <c r="AK114" s="492"/>
      <c r="AL114" s="492"/>
      <c r="AM114" s="492"/>
      <c r="AN114" s="492"/>
      <c r="AO114" s="492"/>
      <c r="AP114" s="492"/>
      <c r="AQ114" s="492"/>
      <c r="AR114" s="492"/>
    </row>
    <row r="115" spans="1:44" ht="12.75" customHeight="1" x14ac:dyDescent="0.25">
      <c r="A115" s="492"/>
      <c r="B115" s="492"/>
      <c r="C115" s="492"/>
      <c r="D115" s="492"/>
      <c r="E115" s="492"/>
      <c r="F115" s="492"/>
      <c r="G115" s="492"/>
      <c r="H115" s="492"/>
      <c r="I115" s="492"/>
      <c r="J115" s="492"/>
      <c r="K115" s="492"/>
      <c r="L115" s="492"/>
      <c r="M115" s="492"/>
      <c r="N115" s="492"/>
      <c r="O115" s="492"/>
      <c r="P115" s="492"/>
      <c r="AA115" s="492"/>
      <c r="AB115" s="492"/>
      <c r="AC115" s="492"/>
      <c r="AD115" s="492"/>
      <c r="AE115" s="492"/>
      <c r="AF115" s="492"/>
      <c r="AG115" s="492"/>
      <c r="AH115" s="492"/>
      <c r="AI115" s="492"/>
      <c r="AJ115" s="492"/>
      <c r="AK115" s="492"/>
      <c r="AL115" s="492"/>
      <c r="AM115" s="492"/>
      <c r="AN115" s="492"/>
      <c r="AO115" s="492"/>
      <c r="AP115" s="492"/>
      <c r="AQ115" s="492"/>
      <c r="AR115" s="492"/>
    </row>
    <row r="116" spans="1:44" ht="12.75" customHeight="1" x14ac:dyDescent="0.25">
      <c r="A116" s="492"/>
      <c r="B116" s="492"/>
      <c r="C116" s="492"/>
      <c r="D116" s="492"/>
      <c r="E116" s="492"/>
      <c r="F116" s="492"/>
      <c r="G116" s="492"/>
      <c r="H116" s="492"/>
      <c r="I116" s="492"/>
      <c r="J116" s="492"/>
      <c r="K116" s="492"/>
      <c r="L116" s="492"/>
      <c r="M116" s="492"/>
      <c r="N116" s="492"/>
      <c r="O116" s="492"/>
      <c r="P116" s="492"/>
      <c r="AA116" s="492"/>
      <c r="AB116" s="492"/>
      <c r="AC116" s="492"/>
      <c r="AD116" s="492"/>
      <c r="AE116" s="492"/>
      <c r="AF116" s="492"/>
      <c r="AG116" s="492"/>
      <c r="AH116" s="492"/>
      <c r="AI116" s="492"/>
      <c r="AJ116" s="492"/>
      <c r="AK116" s="492"/>
      <c r="AL116" s="492"/>
      <c r="AM116" s="492"/>
      <c r="AN116" s="492"/>
      <c r="AO116" s="492"/>
      <c r="AP116" s="492"/>
      <c r="AQ116" s="492"/>
      <c r="AR116" s="492"/>
    </row>
    <row r="117" spans="1:44" ht="12.75" customHeight="1" x14ac:dyDescent="0.25">
      <c r="A117" s="492"/>
      <c r="B117" s="492"/>
      <c r="C117" s="492"/>
      <c r="D117" s="492"/>
      <c r="E117" s="492"/>
      <c r="F117" s="492"/>
      <c r="G117" s="492"/>
      <c r="H117" s="492"/>
      <c r="I117" s="492"/>
      <c r="J117" s="492"/>
      <c r="K117" s="492"/>
      <c r="L117" s="492"/>
      <c r="M117" s="492"/>
      <c r="N117" s="492"/>
      <c r="O117" s="492"/>
      <c r="P117" s="492"/>
      <c r="AA117" s="492"/>
      <c r="AB117" s="492"/>
      <c r="AC117" s="492"/>
      <c r="AD117" s="492"/>
      <c r="AE117" s="492"/>
      <c r="AF117" s="492"/>
      <c r="AG117" s="492"/>
      <c r="AH117" s="492"/>
      <c r="AI117" s="492"/>
      <c r="AJ117" s="492"/>
      <c r="AK117" s="492"/>
      <c r="AL117" s="492"/>
      <c r="AM117" s="492"/>
      <c r="AN117" s="492"/>
      <c r="AO117" s="492"/>
      <c r="AP117" s="492"/>
      <c r="AQ117" s="492"/>
      <c r="AR117" s="492"/>
    </row>
    <row r="118" spans="1:44" ht="12.75" customHeight="1" x14ac:dyDescent="0.25">
      <c r="A118" s="492"/>
      <c r="B118" s="492"/>
      <c r="C118" s="492"/>
      <c r="D118" s="492"/>
      <c r="E118" s="492"/>
      <c r="F118" s="492"/>
      <c r="G118" s="492"/>
      <c r="H118" s="492"/>
      <c r="I118" s="492"/>
      <c r="J118" s="492"/>
      <c r="K118" s="492"/>
      <c r="L118" s="492"/>
      <c r="M118" s="492"/>
      <c r="N118" s="492"/>
      <c r="O118" s="492"/>
      <c r="P118" s="492"/>
      <c r="AA118" s="492"/>
      <c r="AB118" s="492"/>
      <c r="AC118" s="492"/>
      <c r="AD118" s="492"/>
      <c r="AE118" s="492"/>
      <c r="AF118" s="492"/>
      <c r="AG118" s="492"/>
      <c r="AH118" s="492"/>
      <c r="AI118" s="492"/>
      <c r="AJ118" s="492"/>
      <c r="AK118" s="492"/>
      <c r="AL118" s="492"/>
      <c r="AM118" s="492"/>
      <c r="AN118" s="492"/>
      <c r="AO118" s="492"/>
      <c r="AP118" s="492"/>
      <c r="AQ118" s="492"/>
      <c r="AR118" s="492"/>
    </row>
    <row r="119" spans="1:44" ht="12.75" customHeight="1" x14ac:dyDescent="0.25">
      <c r="A119" s="492"/>
      <c r="B119" s="492"/>
      <c r="C119" s="492"/>
      <c r="D119" s="492"/>
      <c r="E119" s="492"/>
      <c r="F119" s="492"/>
      <c r="G119" s="492"/>
      <c r="H119" s="492"/>
      <c r="I119" s="492"/>
      <c r="J119" s="492"/>
      <c r="K119" s="492"/>
      <c r="L119" s="492"/>
      <c r="M119" s="492"/>
      <c r="N119" s="492"/>
      <c r="O119" s="492"/>
      <c r="P119" s="492"/>
      <c r="AA119" s="492"/>
      <c r="AB119" s="492"/>
      <c r="AC119" s="492"/>
      <c r="AD119" s="492"/>
      <c r="AE119" s="492"/>
      <c r="AF119" s="492"/>
      <c r="AG119" s="492"/>
      <c r="AH119" s="492"/>
      <c r="AI119" s="492"/>
      <c r="AJ119" s="492"/>
      <c r="AK119" s="492"/>
      <c r="AL119" s="492"/>
      <c r="AM119" s="492"/>
      <c r="AN119" s="492"/>
      <c r="AO119" s="492"/>
      <c r="AP119" s="492"/>
      <c r="AQ119" s="492"/>
      <c r="AR119" s="492"/>
    </row>
    <row r="120" spans="1:44" ht="12.75" customHeight="1" x14ac:dyDescent="0.25">
      <c r="A120" s="492"/>
      <c r="B120" s="492"/>
      <c r="C120" s="492"/>
      <c r="D120" s="492"/>
      <c r="E120" s="492"/>
      <c r="F120" s="492"/>
      <c r="G120" s="492"/>
      <c r="H120" s="492"/>
      <c r="I120" s="492"/>
      <c r="J120" s="492"/>
      <c r="K120" s="492"/>
      <c r="L120" s="492"/>
      <c r="M120" s="492"/>
      <c r="N120" s="492"/>
      <c r="O120" s="492"/>
      <c r="P120" s="492"/>
      <c r="AA120" s="492"/>
      <c r="AB120" s="492"/>
      <c r="AC120" s="492"/>
      <c r="AD120" s="492"/>
      <c r="AE120" s="492"/>
      <c r="AF120" s="492"/>
      <c r="AG120" s="492"/>
      <c r="AH120" s="492"/>
      <c r="AI120" s="492"/>
      <c r="AJ120" s="492"/>
      <c r="AK120" s="492"/>
      <c r="AL120" s="492"/>
      <c r="AM120" s="492"/>
      <c r="AN120" s="492"/>
      <c r="AO120" s="492"/>
      <c r="AP120" s="492"/>
      <c r="AQ120" s="492"/>
      <c r="AR120" s="492"/>
    </row>
    <row r="121" spans="1:44" ht="12.75" customHeight="1" x14ac:dyDescent="0.25">
      <c r="A121" s="492"/>
      <c r="B121" s="492"/>
      <c r="C121" s="492"/>
      <c r="D121" s="492"/>
      <c r="E121" s="492"/>
      <c r="F121" s="492"/>
      <c r="G121" s="492"/>
      <c r="H121" s="492"/>
      <c r="I121" s="492"/>
      <c r="J121" s="492"/>
      <c r="K121" s="492"/>
      <c r="L121" s="492"/>
      <c r="M121" s="492"/>
      <c r="N121" s="492"/>
      <c r="O121" s="492"/>
      <c r="P121" s="492"/>
      <c r="AA121" s="492"/>
      <c r="AB121" s="492"/>
      <c r="AC121" s="492"/>
      <c r="AD121" s="492"/>
      <c r="AE121" s="492"/>
      <c r="AF121" s="492"/>
      <c r="AG121" s="492"/>
      <c r="AH121" s="492"/>
      <c r="AI121" s="492"/>
      <c r="AJ121" s="492"/>
      <c r="AK121" s="492"/>
      <c r="AL121" s="492"/>
      <c r="AM121" s="492"/>
      <c r="AN121" s="492"/>
      <c r="AO121" s="492"/>
      <c r="AP121" s="492"/>
      <c r="AQ121" s="492"/>
      <c r="AR121" s="492"/>
    </row>
    <row r="122" spans="1:44" ht="12.75" customHeight="1" x14ac:dyDescent="0.25">
      <c r="A122" s="492"/>
      <c r="B122" s="492"/>
      <c r="C122" s="492"/>
      <c r="D122" s="492"/>
      <c r="E122" s="492"/>
      <c r="F122" s="492"/>
      <c r="G122" s="492"/>
      <c r="H122" s="492"/>
      <c r="I122" s="492"/>
      <c r="J122" s="492"/>
      <c r="K122" s="492"/>
      <c r="L122" s="492"/>
      <c r="M122" s="492"/>
      <c r="N122" s="492"/>
      <c r="O122" s="492"/>
      <c r="P122" s="492"/>
      <c r="AA122" s="492"/>
      <c r="AB122" s="492"/>
      <c r="AC122" s="492"/>
      <c r="AD122" s="492"/>
      <c r="AE122" s="492"/>
      <c r="AF122" s="492"/>
      <c r="AG122" s="492"/>
      <c r="AH122" s="492"/>
      <c r="AI122" s="492"/>
      <c r="AJ122" s="492"/>
      <c r="AK122" s="492"/>
      <c r="AL122" s="492"/>
      <c r="AM122" s="492"/>
      <c r="AN122" s="492"/>
      <c r="AO122" s="492"/>
      <c r="AP122" s="492"/>
      <c r="AQ122" s="492"/>
      <c r="AR122" s="492"/>
    </row>
    <row r="123" spans="1:44" ht="12.75" customHeight="1" x14ac:dyDescent="0.25">
      <c r="A123" s="492"/>
      <c r="B123" s="492"/>
      <c r="C123" s="492"/>
      <c r="D123" s="492"/>
      <c r="E123" s="492"/>
      <c r="F123" s="492"/>
      <c r="G123" s="492"/>
      <c r="H123" s="492"/>
      <c r="I123" s="492"/>
      <c r="J123" s="492"/>
      <c r="K123" s="492"/>
      <c r="L123" s="492"/>
      <c r="M123" s="492"/>
      <c r="N123" s="492"/>
      <c r="O123" s="492"/>
      <c r="P123" s="492"/>
      <c r="AA123" s="492"/>
      <c r="AB123" s="492"/>
      <c r="AC123" s="492"/>
      <c r="AD123" s="492"/>
      <c r="AE123" s="492"/>
      <c r="AF123" s="492"/>
      <c r="AG123" s="492"/>
      <c r="AH123" s="492"/>
      <c r="AI123" s="492"/>
      <c r="AJ123" s="492"/>
      <c r="AK123" s="492"/>
      <c r="AL123" s="492"/>
      <c r="AM123" s="492"/>
      <c r="AN123" s="492"/>
      <c r="AO123" s="492"/>
      <c r="AP123" s="492"/>
      <c r="AQ123" s="492"/>
      <c r="AR123" s="492"/>
    </row>
    <row r="124" spans="1:44" ht="12.75" customHeight="1" x14ac:dyDescent="0.25">
      <c r="A124" s="492"/>
      <c r="B124" s="492"/>
      <c r="C124" s="492"/>
      <c r="D124" s="492"/>
      <c r="E124" s="492"/>
      <c r="F124" s="492"/>
      <c r="G124" s="492"/>
      <c r="H124" s="492"/>
      <c r="I124" s="492"/>
      <c r="J124" s="492"/>
      <c r="K124" s="492"/>
      <c r="L124" s="492"/>
      <c r="M124" s="492"/>
      <c r="N124" s="492"/>
      <c r="O124" s="492"/>
      <c r="P124" s="492"/>
      <c r="AA124" s="492"/>
      <c r="AB124" s="492"/>
      <c r="AC124" s="492"/>
      <c r="AD124" s="492"/>
      <c r="AE124" s="492"/>
      <c r="AF124" s="492"/>
      <c r="AG124" s="492"/>
      <c r="AH124" s="492"/>
      <c r="AI124" s="492"/>
      <c r="AJ124" s="492"/>
      <c r="AK124" s="492"/>
      <c r="AL124" s="492"/>
      <c r="AM124" s="492"/>
      <c r="AN124" s="492"/>
      <c r="AO124" s="492"/>
      <c r="AP124" s="492"/>
      <c r="AQ124" s="492"/>
      <c r="AR124" s="492"/>
    </row>
    <row r="125" spans="1:44" ht="12.75" customHeight="1" x14ac:dyDescent="0.25">
      <c r="A125" s="492"/>
      <c r="B125" s="492"/>
      <c r="C125" s="492"/>
      <c r="D125" s="492"/>
      <c r="E125" s="492"/>
      <c r="F125" s="492"/>
      <c r="G125" s="492"/>
      <c r="H125" s="492"/>
      <c r="I125" s="492"/>
      <c r="J125" s="492"/>
      <c r="K125" s="492"/>
      <c r="L125" s="492"/>
      <c r="M125" s="492"/>
      <c r="N125" s="492"/>
      <c r="O125" s="492"/>
      <c r="P125" s="492"/>
      <c r="AA125" s="492"/>
      <c r="AB125" s="492"/>
      <c r="AC125" s="492"/>
      <c r="AD125" s="492"/>
      <c r="AE125" s="492"/>
      <c r="AF125" s="492"/>
      <c r="AG125" s="492"/>
      <c r="AH125" s="492"/>
      <c r="AI125" s="492"/>
      <c r="AJ125" s="492"/>
      <c r="AK125" s="492"/>
      <c r="AL125" s="492"/>
      <c r="AM125" s="492"/>
      <c r="AN125" s="492"/>
      <c r="AO125" s="492"/>
      <c r="AP125" s="492"/>
      <c r="AQ125" s="492"/>
      <c r="AR125" s="492"/>
    </row>
    <row r="126" spans="1:44" ht="12.75" customHeight="1" x14ac:dyDescent="0.25">
      <c r="A126" s="492"/>
      <c r="B126" s="492"/>
      <c r="C126" s="492"/>
      <c r="D126" s="492"/>
      <c r="E126" s="492"/>
      <c r="F126" s="492"/>
      <c r="G126" s="492"/>
      <c r="H126" s="492"/>
      <c r="I126" s="492"/>
      <c r="J126" s="492"/>
      <c r="K126" s="492"/>
      <c r="L126" s="492"/>
      <c r="M126" s="492"/>
      <c r="N126" s="492"/>
      <c r="O126" s="492"/>
      <c r="P126" s="492"/>
      <c r="AA126" s="492"/>
      <c r="AB126" s="492"/>
      <c r="AC126" s="492"/>
      <c r="AD126" s="492"/>
      <c r="AE126" s="492"/>
      <c r="AF126" s="492"/>
      <c r="AG126" s="492"/>
      <c r="AH126" s="492"/>
      <c r="AI126" s="492"/>
      <c r="AJ126" s="492"/>
      <c r="AK126" s="492"/>
      <c r="AL126" s="492"/>
      <c r="AM126" s="492"/>
      <c r="AN126" s="492"/>
      <c r="AO126" s="492"/>
      <c r="AP126" s="492"/>
      <c r="AQ126" s="492"/>
      <c r="AR126" s="492"/>
    </row>
    <row r="127" spans="1:44" ht="12.75" customHeight="1" x14ac:dyDescent="0.25">
      <c r="A127" s="492"/>
      <c r="B127" s="492"/>
      <c r="C127" s="492"/>
      <c r="D127" s="492"/>
      <c r="E127" s="492"/>
      <c r="F127" s="492"/>
      <c r="G127" s="492"/>
      <c r="H127" s="492"/>
      <c r="I127" s="492"/>
      <c r="J127" s="492"/>
      <c r="K127" s="492"/>
      <c r="L127" s="492"/>
      <c r="M127" s="492"/>
      <c r="N127" s="492"/>
      <c r="O127" s="492"/>
      <c r="P127" s="492"/>
      <c r="AA127" s="492"/>
      <c r="AB127" s="492"/>
      <c r="AC127" s="492"/>
      <c r="AD127" s="492"/>
      <c r="AE127" s="492"/>
      <c r="AF127" s="492"/>
      <c r="AG127" s="492"/>
      <c r="AH127" s="492"/>
      <c r="AI127" s="492"/>
      <c r="AJ127" s="492"/>
      <c r="AK127" s="492"/>
      <c r="AL127" s="492"/>
      <c r="AM127" s="492"/>
      <c r="AN127" s="492"/>
      <c r="AO127" s="492"/>
      <c r="AP127" s="492"/>
      <c r="AQ127" s="492"/>
      <c r="AR127" s="492"/>
    </row>
    <row r="128" spans="1:44" ht="12.75" customHeight="1" x14ac:dyDescent="0.25">
      <c r="A128" s="492"/>
      <c r="B128" s="492"/>
      <c r="C128" s="492"/>
      <c r="D128" s="492"/>
      <c r="E128" s="492"/>
      <c r="F128" s="492"/>
      <c r="G128" s="492"/>
      <c r="H128" s="492"/>
      <c r="I128" s="492"/>
      <c r="J128" s="492"/>
      <c r="K128" s="492"/>
      <c r="L128" s="492"/>
      <c r="M128" s="492"/>
      <c r="N128" s="492"/>
      <c r="O128" s="492"/>
      <c r="P128" s="492"/>
      <c r="AA128" s="492"/>
      <c r="AB128" s="492"/>
      <c r="AC128" s="492"/>
      <c r="AD128" s="492"/>
      <c r="AE128" s="492"/>
      <c r="AF128" s="492"/>
      <c r="AG128" s="492"/>
      <c r="AH128" s="492"/>
      <c r="AI128" s="492"/>
      <c r="AJ128" s="492"/>
      <c r="AK128" s="492"/>
      <c r="AL128" s="492"/>
      <c r="AM128" s="492"/>
      <c r="AN128" s="492"/>
      <c r="AO128" s="492"/>
      <c r="AP128" s="492"/>
      <c r="AQ128" s="492"/>
      <c r="AR128" s="492"/>
    </row>
    <row r="129" spans="1:44" ht="12.75" customHeight="1" x14ac:dyDescent="0.25">
      <c r="A129" s="492"/>
      <c r="B129" s="492"/>
      <c r="C129" s="492"/>
      <c r="D129" s="492"/>
      <c r="E129" s="492"/>
      <c r="F129" s="492"/>
      <c r="G129" s="492"/>
      <c r="H129" s="492"/>
      <c r="I129" s="492"/>
      <c r="J129" s="492"/>
      <c r="K129" s="492"/>
      <c r="L129" s="492"/>
      <c r="M129" s="492"/>
      <c r="N129" s="492"/>
      <c r="O129" s="492"/>
      <c r="P129" s="492"/>
      <c r="AA129" s="492"/>
      <c r="AB129" s="492"/>
      <c r="AC129" s="492"/>
      <c r="AD129" s="492"/>
      <c r="AE129" s="492"/>
      <c r="AF129" s="492"/>
      <c r="AG129" s="492"/>
      <c r="AH129" s="492"/>
      <c r="AI129" s="492"/>
      <c r="AJ129" s="492"/>
      <c r="AK129" s="492"/>
      <c r="AL129" s="492"/>
      <c r="AM129" s="492"/>
      <c r="AN129" s="492"/>
      <c r="AO129" s="492"/>
      <c r="AP129" s="492"/>
      <c r="AQ129" s="492"/>
      <c r="AR129" s="492"/>
    </row>
    <row r="130" spans="1:44" ht="12.75" customHeight="1" x14ac:dyDescent="0.25">
      <c r="A130" s="492"/>
      <c r="B130" s="492"/>
      <c r="C130" s="492"/>
      <c r="D130" s="492"/>
      <c r="E130" s="492"/>
      <c r="F130" s="492"/>
      <c r="G130" s="492"/>
      <c r="H130" s="492"/>
      <c r="I130" s="492"/>
      <c r="J130" s="492"/>
      <c r="K130" s="492"/>
      <c r="L130" s="492"/>
      <c r="M130" s="492"/>
      <c r="N130" s="492"/>
      <c r="O130" s="492"/>
      <c r="P130" s="492"/>
      <c r="AA130" s="492"/>
      <c r="AB130" s="492"/>
      <c r="AC130" s="492"/>
      <c r="AD130" s="492"/>
      <c r="AE130" s="492"/>
      <c r="AF130" s="492"/>
      <c r="AG130" s="492"/>
      <c r="AH130" s="492"/>
      <c r="AI130" s="492"/>
      <c r="AJ130" s="492"/>
      <c r="AK130" s="492"/>
      <c r="AL130" s="492"/>
      <c r="AM130" s="492"/>
      <c r="AN130" s="492"/>
      <c r="AO130" s="492"/>
      <c r="AP130" s="492"/>
      <c r="AQ130" s="492"/>
      <c r="AR130" s="492"/>
    </row>
    <row r="131" spans="1:44" ht="12.75" customHeight="1" x14ac:dyDescent="0.25">
      <c r="A131" s="492"/>
      <c r="B131" s="492"/>
      <c r="C131" s="492"/>
      <c r="D131" s="492"/>
      <c r="E131" s="492"/>
      <c r="F131" s="492"/>
      <c r="G131" s="492"/>
      <c r="H131" s="492"/>
      <c r="I131" s="492"/>
      <c r="J131" s="492"/>
      <c r="K131" s="492"/>
      <c r="L131" s="492"/>
      <c r="M131" s="492"/>
      <c r="N131" s="492"/>
      <c r="O131" s="492"/>
      <c r="P131" s="492"/>
      <c r="AA131" s="492"/>
      <c r="AB131" s="492"/>
      <c r="AC131" s="492"/>
      <c r="AD131" s="492"/>
      <c r="AE131" s="492"/>
      <c r="AF131" s="492"/>
      <c r="AG131" s="492"/>
      <c r="AH131" s="492"/>
      <c r="AI131" s="492"/>
      <c r="AJ131" s="492"/>
      <c r="AK131" s="492"/>
      <c r="AL131" s="492"/>
      <c r="AM131" s="492"/>
      <c r="AN131" s="492"/>
      <c r="AO131" s="492"/>
      <c r="AP131" s="492"/>
      <c r="AQ131" s="492"/>
      <c r="AR131" s="492"/>
    </row>
    <row r="132" spans="1:44" ht="12.75" customHeight="1" x14ac:dyDescent="0.25">
      <c r="A132" s="492"/>
      <c r="B132" s="492"/>
      <c r="C132" s="492"/>
      <c r="D132" s="492"/>
      <c r="E132" s="492"/>
      <c r="F132" s="492"/>
      <c r="G132" s="492"/>
      <c r="H132" s="492"/>
      <c r="I132" s="492"/>
      <c r="J132" s="492"/>
      <c r="K132" s="492"/>
      <c r="L132" s="492"/>
      <c r="M132" s="492"/>
      <c r="N132" s="492"/>
      <c r="O132" s="492"/>
      <c r="P132" s="492"/>
      <c r="AA132" s="492"/>
      <c r="AB132" s="492"/>
      <c r="AC132" s="492"/>
      <c r="AD132" s="492"/>
      <c r="AE132" s="492"/>
      <c r="AF132" s="492"/>
      <c r="AG132" s="492"/>
      <c r="AH132" s="492"/>
      <c r="AI132" s="492"/>
      <c r="AJ132" s="492"/>
      <c r="AK132" s="492"/>
      <c r="AL132" s="492"/>
      <c r="AM132" s="492"/>
      <c r="AN132" s="492"/>
      <c r="AO132" s="492"/>
      <c r="AP132" s="492"/>
      <c r="AQ132" s="492"/>
      <c r="AR132" s="492"/>
    </row>
    <row r="133" spans="1:44" ht="12.75" customHeight="1" x14ac:dyDescent="0.25">
      <c r="A133" s="492"/>
      <c r="B133" s="492"/>
      <c r="C133" s="492"/>
      <c r="D133" s="492"/>
      <c r="E133" s="492"/>
      <c r="F133" s="492"/>
      <c r="G133" s="492"/>
      <c r="H133" s="492"/>
      <c r="I133" s="492"/>
      <c r="J133" s="492"/>
      <c r="K133" s="492"/>
      <c r="L133" s="492"/>
      <c r="M133" s="492"/>
      <c r="N133" s="492"/>
      <c r="O133" s="492"/>
      <c r="P133" s="492"/>
      <c r="AA133" s="492"/>
      <c r="AB133" s="492"/>
      <c r="AC133" s="492"/>
      <c r="AD133" s="492"/>
      <c r="AE133" s="492"/>
      <c r="AF133" s="492"/>
      <c r="AG133" s="492"/>
      <c r="AH133" s="492"/>
      <c r="AI133" s="492"/>
      <c r="AJ133" s="492"/>
      <c r="AK133" s="492"/>
      <c r="AL133" s="492"/>
      <c r="AM133" s="492"/>
      <c r="AN133" s="492"/>
      <c r="AO133" s="492"/>
      <c r="AP133" s="492"/>
      <c r="AQ133" s="492"/>
      <c r="AR133" s="492"/>
    </row>
    <row r="134" spans="1:44" ht="12.75" customHeight="1" x14ac:dyDescent="0.25">
      <c r="A134" s="492"/>
      <c r="B134" s="492"/>
      <c r="C134" s="492"/>
      <c r="D134" s="492"/>
      <c r="E134" s="492"/>
      <c r="F134" s="492"/>
      <c r="G134" s="492"/>
      <c r="H134" s="492"/>
      <c r="I134" s="492"/>
      <c r="J134" s="492"/>
      <c r="K134" s="492"/>
      <c r="L134" s="492"/>
      <c r="M134" s="492"/>
      <c r="N134" s="492"/>
      <c r="O134" s="492"/>
      <c r="P134" s="492"/>
      <c r="AA134" s="492"/>
      <c r="AB134" s="492"/>
      <c r="AC134" s="492"/>
      <c r="AD134" s="492"/>
      <c r="AE134" s="492"/>
      <c r="AF134" s="492"/>
      <c r="AG134" s="492"/>
      <c r="AH134" s="492"/>
      <c r="AI134" s="492"/>
      <c r="AJ134" s="492"/>
      <c r="AK134" s="492"/>
      <c r="AL134" s="492"/>
      <c r="AM134" s="492"/>
      <c r="AN134" s="492"/>
      <c r="AO134" s="492"/>
      <c r="AP134" s="492"/>
      <c r="AQ134" s="492"/>
      <c r="AR134" s="492"/>
    </row>
    <row r="135" spans="1:44" ht="12.75" customHeight="1" x14ac:dyDescent="0.25">
      <c r="E135" s="256"/>
      <c r="F135" s="256"/>
      <c r="G135" s="256"/>
      <c r="I135" s="256"/>
    </row>
    <row r="136" spans="1:44" ht="12.75" customHeight="1" x14ac:dyDescent="0.25">
      <c r="E136" s="256"/>
      <c r="F136" s="256"/>
      <c r="G136" s="256"/>
      <c r="I136" s="256"/>
    </row>
    <row r="137" spans="1:44" ht="12.75" customHeight="1" x14ac:dyDescent="0.25">
      <c r="E137" s="256"/>
      <c r="F137" s="256"/>
      <c r="G137" s="256"/>
      <c r="I137" s="256"/>
    </row>
  </sheetData>
  <sheetProtection password="BCD8" sheet="1" objects="1" scenarios="1"/>
  <phoneticPr fontId="0" type="noConversion"/>
  <conditionalFormatting sqref="C24:C29">
    <cfRule type="cellIs" dxfId="163" priority="1" stopIfTrue="1" operator="equal">
      <formula>"&gt;"</formula>
    </cfRule>
  </conditionalFormatting>
  <conditionalFormatting sqref="D24:G29">
    <cfRule type="expression" dxfId="162" priority="2"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6561" r:id="rId4" name="home">
              <controlPr defaultSize="0" print="0" autoFill="0" autoPict="0" macro="[0]!globalgoto">
                <anchor moveWithCells="1" sizeWithCells="1">
                  <from>
                    <xdr:col>0</xdr:col>
                    <xdr:colOff>88900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66562" r:id="rId5" name="basic">
              <controlPr defaultSize="0" print="0" autoFill="0" autoPict="0" macro="[0]!globalgoto">
                <anchor moveWithCells="1" sizeWithCells="1">
                  <from>
                    <xdr:col>0</xdr:col>
                    <xdr:colOff>88900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66563" r:id="rId6" name="Button 3">
              <controlPr defaultSize="0" print="0" autoFill="0" autoPict="0" macro="[0]!goto_previous_year_any_sheet">
                <anchor moveWithCells="1" sizeWithCells="1">
                  <from>
                    <xdr:col>0</xdr:col>
                    <xdr:colOff>107950</xdr:colOff>
                    <xdr:row>19</xdr:row>
                    <xdr:rowOff>12700</xdr:rowOff>
                  </from>
                  <to>
                    <xdr:col>0</xdr:col>
                    <xdr:colOff>1066800</xdr:colOff>
                    <xdr:row>22</xdr:row>
                    <xdr:rowOff>114300</xdr:rowOff>
                  </to>
                </anchor>
              </controlPr>
            </control>
          </mc:Choice>
        </mc:AlternateContent>
        <mc:AlternateContent xmlns:mc="http://schemas.openxmlformats.org/markup-compatibility/2006">
          <mc:Choice Requires="x14">
            <control shapeId="66564" r:id="rId7" name="Button 4">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66565" r:id="rId8" name="Button 5">
              <controlPr defaultSize="0" print="0" autoFill="0" autoPict="0" macro="[0]!copy_as_excel">
                <anchor moveWithCells="1" sizeWithCells="1">
                  <from>
                    <xdr:col>10</xdr:col>
                    <xdr:colOff>38100</xdr:colOff>
                    <xdr:row>11</xdr:row>
                    <xdr:rowOff>88900</xdr:rowOff>
                  </from>
                  <to>
                    <xdr:col>11</xdr:col>
                    <xdr:colOff>88900</xdr:colOff>
                    <xdr:row>13</xdr:row>
                    <xdr:rowOff>146050</xdr:rowOff>
                  </to>
                </anchor>
              </controlPr>
            </control>
          </mc:Choice>
        </mc:AlternateContent>
        <mc:AlternateContent xmlns:mc="http://schemas.openxmlformats.org/markup-compatibility/2006">
          <mc:Choice Requires="x14">
            <control shapeId="66566" r:id="rId9" name="Button 6">
              <controlPr defaultSize="0" print="0" autoFill="0" autoPict="0" macro="[0]!pdflauncher">
                <anchor moveWithCells="1" sizeWithCells="1">
                  <from>
                    <xdr:col>11</xdr:col>
                    <xdr:colOff>101600</xdr:colOff>
                    <xdr:row>11</xdr:row>
                    <xdr:rowOff>88900</xdr:rowOff>
                  </from>
                  <to>
                    <xdr:col>11</xdr:col>
                    <xdr:colOff>787400</xdr:colOff>
                    <xdr:row>13</xdr:row>
                    <xdr:rowOff>146050</xdr:rowOff>
                  </to>
                </anchor>
              </controlPr>
            </control>
          </mc:Choice>
        </mc:AlternateContent>
        <mc:AlternateContent xmlns:mc="http://schemas.openxmlformats.org/markup-compatibility/2006">
          <mc:Choice Requires="x14">
            <control shapeId="66567" r:id="rId10" name="Button 7">
              <controlPr defaultSize="0" print="0" autoFill="0" autoPict="0" macro="[0]!openfolder">
                <anchor moveWithCells="1" sizeWithCells="1">
                  <from>
                    <xdr:col>11</xdr:col>
                    <xdr:colOff>793750</xdr:colOff>
                    <xdr:row>11</xdr:row>
                    <xdr:rowOff>88900</xdr:rowOff>
                  </from>
                  <to>
                    <xdr:col>12</xdr:col>
                    <xdr:colOff>508000</xdr:colOff>
                    <xdr:row>13</xdr:row>
                    <xdr:rowOff>146050</xdr:rowOff>
                  </to>
                </anchor>
              </controlPr>
            </control>
          </mc:Choice>
        </mc:AlternateContent>
        <mc:AlternateContent xmlns:mc="http://schemas.openxmlformats.org/markup-compatibility/2006">
          <mc:Choice Requires="x14">
            <control shapeId="66568" r:id="rId11" name="Button 8">
              <controlPr defaultSize="0" print="0" autoFill="0" autoPict="0" macro="[0]!goto_folder_settings">
                <anchor moveWithCells="1" sizeWithCells="1">
                  <from>
                    <xdr:col>12</xdr:col>
                    <xdr:colOff>520700</xdr:colOff>
                    <xdr:row>11</xdr:row>
                    <xdr:rowOff>88900</xdr:rowOff>
                  </from>
                  <to>
                    <xdr:col>12</xdr:col>
                    <xdr:colOff>1041400</xdr:colOff>
                    <xdr:row>13</xdr:row>
                    <xdr:rowOff>146050</xdr:rowOff>
                  </to>
                </anchor>
              </controlPr>
            </control>
          </mc:Choice>
        </mc:AlternateContent>
        <mc:AlternateContent xmlns:mc="http://schemas.openxmlformats.org/markup-compatibility/2006">
          <mc:Choice Requires="x14">
            <control shapeId="66569" r:id="rId12" name="Button 9">
              <controlPr defaultSize="0" print="0" autoFill="0" autoPict="0" macro="[0]!email_pdf_launch">
                <anchor moveWithCells="1" sizeWithCells="1">
                  <from>
                    <xdr:col>11</xdr:col>
                    <xdr:colOff>241300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66570" r:id="rId13" name="Button 10">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66571" r:id="rId14" name="Button 11">
              <controlPr defaultSize="0" print="0" autoFill="0" autoPict="0" macro="[0]!emailsettings">
                <anchor moveWithCells="1" sizeWithCells="1">
                  <from>
                    <xdr:col>12</xdr:col>
                    <xdr:colOff>127000</xdr:colOff>
                    <xdr:row>9</xdr:row>
                    <xdr:rowOff>120650</xdr:rowOff>
                  </from>
                  <to>
                    <xdr:col>12</xdr:col>
                    <xdr:colOff>1041400</xdr:colOff>
                    <xdr:row>11</xdr:row>
                    <xdr:rowOff>82550</xdr:rowOff>
                  </to>
                </anchor>
              </controlPr>
            </control>
          </mc:Choice>
        </mc:AlternateContent>
        <mc:AlternateContent xmlns:mc="http://schemas.openxmlformats.org/markup-compatibility/2006">
          <mc:Choice Requires="x14">
            <control shapeId="66572" r:id="rId15" name="Button 12">
              <controlPr defaultSize="0" print="0" autoFill="0" autoPict="0" macro="[0]!goto_other_analysis">
                <anchor moveWithCells="1" sizeWithCells="1">
                  <from>
                    <xdr:col>10</xdr:col>
                    <xdr:colOff>127000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66574" r:id="rId16" name="Button 14">
              <controlPr defaultSize="0" print="0" autoFill="0" autoPict="0" macro="[0]!goto_basic_analysis_original">
                <anchor moveWithCells="1" sizeWithCells="1">
                  <from>
                    <xdr:col>10</xdr:col>
                    <xdr:colOff>127000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66575" r:id="rId17"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539F0-A34B-487D-BF1C-23F7E44F7C6A}">
  <sheetPr codeName="Sheet74">
    <pageSetUpPr fitToPage="1"/>
  </sheetPr>
  <dimension ref="A1:AR137"/>
  <sheetViews>
    <sheetView showGridLines="0" workbookViewId="0">
      <selection activeCell="A2" sqref="A2"/>
    </sheetView>
  </sheetViews>
  <sheetFormatPr defaultColWidth="9.08984375" defaultRowHeight="12.75" customHeight="1" x14ac:dyDescent="0.25"/>
  <cols>
    <col min="1" max="1" width="16.6328125" style="256" customWidth="1"/>
    <col min="2" max="2" width="2.6328125" style="256" customWidth="1"/>
    <col min="3" max="3" width="11.6328125" style="256" customWidth="1"/>
    <col min="4" max="4" width="23.453125" style="256" customWidth="1"/>
    <col min="5" max="5" width="12.08984375" style="273" customWidth="1"/>
    <col min="6" max="6" width="12.6328125" style="273" customWidth="1"/>
    <col min="7" max="7" width="10.6328125" style="273" customWidth="1"/>
    <col min="8" max="8" width="12.36328125" style="256" customWidth="1"/>
    <col min="9" max="9" width="12.453125" style="475" customWidth="1"/>
    <col min="10" max="10" width="2.54296875" style="256" customWidth="1"/>
    <col min="11" max="11" width="9.36328125" style="256" customWidth="1"/>
    <col min="12" max="12" width="11.90625" style="256" customWidth="1"/>
    <col min="13" max="13" width="15.6328125" style="256" customWidth="1"/>
    <col min="14" max="19" width="9.08984375" style="256"/>
    <col min="20" max="20" width="17.453125" style="256" customWidth="1"/>
    <col min="21" max="16384" width="9.08984375" style="256"/>
  </cols>
  <sheetData>
    <row r="1" spans="1:44" ht="12.5" x14ac:dyDescent="0.25">
      <c r="A1" s="581"/>
      <c r="B1" s="581"/>
      <c r="C1" s="581"/>
      <c r="D1" s="581"/>
      <c r="E1" s="582"/>
      <c r="F1" s="582"/>
      <c r="G1" s="582"/>
      <c r="H1" s="581"/>
      <c r="I1" s="583"/>
      <c r="J1" s="581"/>
      <c r="K1" s="581"/>
      <c r="L1" s="581"/>
      <c r="M1" s="581"/>
      <c r="N1" s="581"/>
      <c r="O1" s="581"/>
      <c r="P1" s="581"/>
      <c r="AA1" s="581"/>
      <c r="AB1" s="581"/>
      <c r="AC1" s="581"/>
      <c r="AD1" s="581"/>
      <c r="AE1" s="581"/>
      <c r="AF1" s="581"/>
      <c r="AG1" s="581"/>
      <c r="AH1" s="581"/>
      <c r="AI1" s="581"/>
      <c r="AJ1" s="581"/>
      <c r="AK1" s="581"/>
      <c r="AL1" s="581"/>
      <c r="AM1" s="581"/>
      <c r="AN1" s="581"/>
      <c r="AO1" s="581"/>
      <c r="AP1" s="581"/>
      <c r="AQ1" s="581"/>
      <c r="AR1" s="581"/>
    </row>
    <row r="2" spans="1:44" ht="12.5" x14ac:dyDescent="0.25">
      <c r="A2" s="581"/>
      <c r="B2" s="581"/>
      <c r="C2" s="581"/>
      <c r="D2" s="581"/>
      <c r="E2" s="582"/>
      <c r="F2" s="582"/>
      <c r="G2" s="582"/>
      <c r="H2" s="581"/>
      <c r="I2" s="583"/>
      <c r="J2" s="581"/>
      <c r="K2" s="581"/>
      <c r="L2" s="581"/>
      <c r="M2" s="581"/>
      <c r="N2" s="581"/>
      <c r="O2" s="581"/>
      <c r="P2" s="581"/>
      <c r="AA2" s="581"/>
      <c r="AB2" s="581"/>
      <c r="AC2" s="581"/>
      <c r="AD2" s="581"/>
      <c r="AE2" s="581"/>
      <c r="AF2" s="581"/>
      <c r="AG2" s="581"/>
      <c r="AH2" s="581"/>
      <c r="AI2" s="581"/>
      <c r="AJ2" s="581"/>
      <c r="AK2" s="581"/>
      <c r="AL2" s="581"/>
      <c r="AM2" s="581"/>
      <c r="AN2" s="581"/>
      <c r="AO2" s="581"/>
      <c r="AP2" s="581"/>
      <c r="AQ2" s="581"/>
      <c r="AR2" s="581"/>
    </row>
    <row r="3" spans="1:44" ht="12.5" x14ac:dyDescent="0.25">
      <c r="A3" s="581"/>
      <c r="K3" s="581"/>
      <c r="L3" s="581"/>
      <c r="M3" s="581"/>
      <c r="N3" s="581"/>
      <c r="O3" s="581"/>
      <c r="P3" s="581"/>
      <c r="AA3" s="581"/>
      <c r="AB3" s="581"/>
      <c r="AC3" s="581"/>
      <c r="AD3" s="581"/>
      <c r="AE3" s="581"/>
      <c r="AF3" s="581"/>
      <c r="AG3" s="581"/>
      <c r="AH3" s="581"/>
      <c r="AI3" s="581"/>
      <c r="AJ3" s="581"/>
      <c r="AK3" s="581"/>
      <c r="AL3" s="581"/>
      <c r="AM3" s="581"/>
      <c r="AN3" s="581"/>
      <c r="AO3" s="581"/>
      <c r="AP3" s="581"/>
      <c r="AQ3" s="581"/>
      <c r="AR3" s="581"/>
    </row>
    <row r="4" spans="1:44" ht="15.5" x14ac:dyDescent="0.35">
      <c r="A4" s="581"/>
      <c r="C4" s="488" t="str">
        <f>"Transitional Arrangements Calculation - "&amp;C10</f>
        <v xml:space="preserve">Transitional Arrangements Calculation - 2027/28 </v>
      </c>
      <c r="H4" s="488" t="str">
        <f>basic!D22</f>
        <v>England</v>
      </c>
      <c r="I4" s="579" t="s">
        <v>1031</v>
      </c>
      <c r="K4" s="581"/>
      <c r="L4" s="581"/>
      <c r="M4" s="581"/>
      <c r="N4" s="581"/>
      <c r="O4" s="581"/>
      <c r="P4" s="581"/>
      <c r="AA4" s="581"/>
      <c r="AB4" s="581"/>
      <c r="AC4" s="581"/>
      <c r="AD4" s="581"/>
      <c r="AE4" s="581"/>
      <c r="AF4" s="581"/>
      <c r="AG4" s="581"/>
      <c r="AH4" s="581"/>
      <c r="AI4" s="581"/>
      <c r="AJ4" s="581"/>
      <c r="AK4" s="581"/>
      <c r="AL4" s="581"/>
      <c r="AM4" s="581"/>
      <c r="AN4" s="581"/>
      <c r="AO4" s="581"/>
      <c r="AP4" s="581"/>
      <c r="AQ4" s="581"/>
      <c r="AR4" s="581"/>
    </row>
    <row r="5" spans="1:44" ht="9" customHeight="1" x14ac:dyDescent="0.3">
      <c r="A5" s="581"/>
      <c r="C5" s="291"/>
      <c r="K5" s="581"/>
      <c r="L5" s="581"/>
      <c r="M5" s="581"/>
      <c r="N5" s="581"/>
      <c r="O5" s="581"/>
      <c r="P5" s="581"/>
      <c r="AA5" s="581"/>
      <c r="AB5" s="581"/>
      <c r="AC5" s="581"/>
      <c r="AD5" s="581"/>
      <c r="AE5" s="581"/>
      <c r="AF5" s="581"/>
      <c r="AG5" s="581"/>
      <c r="AH5" s="581"/>
      <c r="AI5" s="581"/>
      <c r="AJ5" s="581"/>
      <c r="AK5" s="581"/>
      <c r="AL5" s="581"/>
      <c r="AM5" s="581"/>
      <c r="AN5" s="581"/>
      <c r="AO5" s="581"/>
      <c r="AP5" s="581"/>
      <c r="AQ5" s="581"/>
      <c r="AR5" s="581"/>
    </row>
    <row r="6" spans="1:44" ht="13" x14ac:dyDescent="0.3">
      <c r="A6" s="581"/>
      <c r="C6" s="291" t="s">
        <v>667</v>
      </c>
      <c r="D6" s="291" t="str">
        <f>basic!D26</f>
        <v>Enter Address Details</v>
      </c>
      <c r="K6" s="581"/>
      <c r="L6" s="581"/>
      <c r="M6" s="581"/>
      <c r="N6" s="581"/>
      <c r="O6" s="581"/>
      <c r="P6" s="581"/>
      <c r="AA6" s="581"/>
      <c r="AB6" s="581"/>
      <c r="AC6" s="581"/>
      <c r="AD6" s="581"/>
      <c r="AE6" s="581"/>
      <c r="AF6" s="581"/>
      <c r="AG6" s="581"/>
      <c r="AH6" s="581"/>
      <c r="AI6" s="581"/>
      <c r="AJ6" s="581"/>
      <c r="AK6" s="581"/>
      <c r="AL6" s="581"/>
      <c r="AM6" s="581"/>
      <c r="AN6" s="581"/>
      <c r="AO6" s="581"/>
      <c r="AP6" s="581"/>
      <c r="AQ6" s="581"/>
      <c r="AR6" s="581"/>
    </row>
    <row r="7" spans="1:44" ht="13" x14ac:dyDescent="0.3">
      <c r="A7" s="581"/>
      <c r="C7" s="291"/>
      <c r="D7" s="291"/>
      <c r="K7" s="581"/>
      <c r="L7" s="581"/>
      <c r="M7" s="581"/>
      <c r="N7" s="581"/>
      <c r="O7" s="581"/>
      <c r="P7" s="581"/>
      <c r="AA7" s="581"/>
      <c r="AB7" s="581"/>
      <c r="AC7" s="581"/>
      <c r="AD7" s="581"/>
      <c r="AE7" s="581"/>
      <c r="AF7" s="581"/>
      <c r="AG7" s="581"/>
      <c r="AH7" s="581"/>
      <c r="AI7" s="581"/>
      <c r="AJ7" s="581"/>
      <c r="AK7" s="581"/>
      <c r="AL7" s="581"/>
      <c r="AM7" s="581"/>
      <c r="AN7" s="581"/>
      <c r="AO7" s="581"/>
      <c r="AP7" s="581"/>
      <c r="AQ7" s="581"/>
      <c r="AR7" s="581"/>
    </row>
    <row r="8" spans="1:44" ht="13.5" customHeight="1" x14ac:dyDescent="0.3">
      <c r="A8" s="581"/>
      <c r="C8" s="489"/>
      <c r="D8" s="498" t="str">
        <f>IF(calc2!G38=FALSE,"As Transition did not apply in the previous year it will not apply this year","")</f>
        <v>As Transition did not apply in the previous year it will not apply this year</v>
      </c>
      <c r="E8" s="335"/>
      <c r="F8" s="335"/>
      <c r="G8" s="335"/>
      <c r="H8" s="283"/>
      <c r="I8" s="487"/>
      <c r="K8" s="581"/>
      <c r="L8" s="581"/>
      <c r="M8" s="581"/>
      <c r="N8" s="581"/>
      <c r="O8" s="581"/>
      <c r="P8" s="581"/>
      <c r="AA8" s="581"/>
      <c r="AB8" s="581"/>
      <c r="AC8" s="581"/>
      <c r="AD8" s="581"/>
      <c r="AE8" s="581"/>
      <c r="AF8" s="581"/>
      <c r="AG8" s="581"/>
      <c r="AH8" s="581"/>
      <c r="AI8" s="581"/>
      <c r="AJ8" s="581"/>
      <c r="AK8" s="581"/>
      <c r="AL8" s="581"/>
      <c r="AM8" s="581"/>
      <c r="AN8" s="581"/>
      <c r="AO8" s="581"/>
      <c r="AP8" s="581"/>
      <c r="AQ8" s="581"/>
      <c r="AR8" s="581"/>
    </row>
    <row r="9" spans="1:44" ht="9.75" customHeight="1" x14ac:dyDescent="0.3">
      <c r="A9" s="581"/>
      <c r="C9" s="291"/>
      <c r="K9" s="581"/>
      <c r="L9" s="581"/>
      <c r="M9" s="581"/>
      <c r="N9" s="581"/>
      <c r="O9" s="581"/>
      <c r="P9" s="581"/>
      <c r="S9" s="480" t="s">
        <v>57</v>
      </c>
      <c r="T9" s="302">
        <f>data!B3-1</f>
        <v>45016</v>
      </c>
      <c r="AA9" s="581"/>
      <c r="AB9" s="581"/>
      <c r="AC9" s="581"/>
      <c r="AD9" s="581"/>
      <c r="AE9" s="581"/>
      <c r="AF9" s="581"/>
      <c r="AG9" s="581"/>
      <c r="AH9" s="581"/>
      <c r="AI9" s="581"/>
      <c r="AJ9" s="581"/>
      <c r="AK9" s="581"/>
      <c r="AL9" s="581"/>
      <c r="AM9" s="581"/>
      <c r="AN9" s="581"/>
      <c r="AO9" s="581"/>
      <c r="AP9" s="581"/>
      <c r="AQ9" s="581"/>
      <c r="AR9" s="581"/>
    </row>
    <row r="10" spans="1:44" ht="13.5" customHeight="1" x14ac:dyDescent="0.3">
      <c r="A10" s="581"/>
      <c r="C10" s="291" t="str">
        <f>basic!D19</f>
        <v xml:space="preserve">2027/28 </v>
      </c>
      <c r="D10" s="257" t="str">
        <f>"The Base Liability is the Transitional Limit from the previous year"</f>
        <v>The Base Liability is the Transitional Limit from the previous year</v>
      </c>
      <c r="H10" s="476"/>
      <c r="K10" s="581"/>
      <c r="L10" s="581"/>
      <c r="M10" s="581"/>
      <c r="N10" s="581"/>
      <c r="O10" s="581"/>
      <c r="P10" s="581"/>
      <c r="S10" s="480" t="s">
        <v>43</v>
      </c>
      <c r="T10" s="495">
        <f>basic!I5</f>
        <v>0</v>
      </c>
      <c r="AA10" s="581"/>
      <c r="AB10" s="581"/>
      <c r="AC10" s="581"/>
      <c r="AD10" s="581"/>
      <c r="AE10" s="581"/>
      <c r="AF10" s="581"/>
      <c r="AG10" s="581"/>
      <c r="AH10" s="581"/>
      <c r="AI10" s="581"/>
      <c r="AJ10" s="581"/>
      <c r="AK10" s="581"/>
      <c r="AL10" s="581"/>
      <c r="AM10" s="581"/>
      <c r="AN10" s="581"/>
      <c r="AO10" s="581"/>
      <c r="AP10" s="581"/>
      <c r="AQ10" s="581"/>
      <c r="AR10" s="581"/>
    </row>
    <row r="11" spans="1:44" ht="13" x14ac:dyDescent="0.3">
      <c r="A11" s="581"/>
      <c r="C11" s="291"/>
      <c r="D11" s="256" t="str">
        <f>"which is a figure of £"&amp;TEXT(T14,"#,###.00")</f>
        <v>which is a figure of £.00</v>
      </c>
      <c r="H11" s="496"/>
      <c r="K11" s="581"/>
      <c r="L11" s="581"/>
      <c r="M11" s="581"/>
      <c r="N11" s="581"/>
      <c r="O11" s="581"/>
      <c r="P11" s="581"/>
      <c r="S11" s="480" t="s">
        <v>44</v>
      </c>
      <c r="T11" s="480"/>
      <c r="AA11" s="581"/>
      <c r="AB11" s="581"/>
      <c r="AC11" s="581"/>
      <c r="AD11" s="581"/>
      <c r="AE11" s="581"/>
      <c r="AF11" s="581"/>
      <c r="AG11" s="581"/>
      <c r="AH11" s="581"/>
      <c r="AI11" s="581"/>
      <c r="AJ11" s="581"/>
      <c r="AK11" s="581"/>
      <c r="AL11" s="581"/>
      <c r="AM11" s="581"/>
      <c r="AN11" s="581"/>
      <c r="AO11" s="581"/>
      <c r="AP11" s="581"/>
      <c r="AQ11" s="581"/>
      <c r="AR11" s="581"/>
    </row>
    <row r="12" spans="1:44" ht="13.5" customHeight="1" x14ac:dyDescent="0.3">
      <c r="A12" s="581"/>
      <c r="C12" s="291"/>
      <c r="D12" s="257" t="str">
        <f>"The Notional Liability is the RV as at "&amp;TEXT(T9+1,"dd/mm/yy")&amp;" ( "&amp;TEXT(T15,"#,###")&amp;" ) x the Small"</f>
        <v>The Notional Liability is the RV as at 01/04/23 (  ) x the Small</v>
      </c>
      <c r="K12" s="581"/>
      <c r="L12" s="581"/>
      <c r="M12" s="581"/>
      <c r="N12" s="581"/>
      <c r="O12" s="581"/>
      <c r="P12" s="581"/>
      <c r="S12" s="480" t="s">
        <v>45</v>
      </c>
      <c r="T12" s="480"/>
      <c r="AA12" s="581"/>
      <c r="AB12" s="581"/>
      <c r="AC12" s="581"/>
      <c r="AD12" s="581"/>
      <c r="AE12" s="581"/>
      <c r="AF12" s="581"/>
      <c r="AG12" s="581"/>
      <c r="AH12" s="581"/>
      <c r="AI12" s="581"/>
      <c r="AJ12" s="581"/>
      <c r="AK12" s="581"/>
      <c r="AL12" s="581"/>
      <c r="AM12" s="581"/>
      <c r="AN12" s="581"/>
      <c r="AO12" s="581"/>
      <c r="AP12" s="581"/>
      <c r="AQ12" s="581"/>
      <c r="AR12" s="581"/>
    </row>
    <row r="13" spans="1:44" ht="13.5" customHeight="1" x14ac:dyDescent="0.3">
      <c r="A13" s="581"/>
      <c r="C13" s="291"/>
      <c r="D13" s="256" t="str">
        <f>"Multiplier for "&amp;TEXT(text!B10,"dd/mm/yy")&amp;" ( "&amp;TEXT(T16,"0.000")&amp;" ) which gives a figure of "&amp;TEXT(T17,"#,###.00")</f>
        <v>Multiplier for 01/04/24 ( 0.540 ) which gives a figure of .00</v>
      </c>
      <c r="K13" s="581"/>
      <c r="L13" s="581"/>
      <c r="M13" s="581"/>
      <c r="N13" s="581"/>
      <c r="O13" s="581"/>
      <c r="P13" s="581"/>
      <c r="S13" s="480" t="s">
        <v>46</v>
      </c>
      <c r="T13" s="497"/>
      <c r="AA13" s="581"/>
      <c r="AB13" s="581"/>
      <c r="AC13" s="581"/>
      <c r="AD13" s="581"/>
      <c r="AE13" s="581"/>
      <c r="AF13" s="581"/>
      <c r="AG13" s="581"/>
      <c r="AH13" s="581"/>
      <c r="AI13" s="581"/>
      <c r="AJ13" s="581"/>
      <c r="AK13" s="581"/>
      <c r="AL13" s="581"/>
      <c r="AM13" s="581"/>
      <c r="AN13" s="581"/>
      <c r="AO13" s="581"/>
      <c r="AP13" s="581"/>
      <c r="AQ13" s="581"/>
      <c r="AR13" s="581"/>
    </row>
    <row r="14" spans="1:44" ht="13.5" customHeight="1" x14ac:dyDescent="0.3">
      <c r="A14" s="581"/>
      <c r="C14" s="291"/>
      <c r="D14" s="257"/>
      <c r="H14" s="476"/>
      <c r="K14" s="581"/>
      <c r="L14" s="581"/>
      <c r="M14" s="581"/>
      <c r="N14" s="581"/>
      <c r="O14" s="581"/>
      <c r="P14" s="581"/>
      <c r="S14" s="480" t="s">
        <v>49</v>
      </c>
      <c r="T14" s="480">
        <f>calc2!H19</f>
        <v>0</v>
      </c>
      <c r="AA14" s="581"/>
      <c r="AB14" s="581"/>
      <c r="AC14" s="581"/>
      <c r="AD14" s="581"/>
      <c r="AE14" s="581"/>
      <c r="AF14" s="581"/>
      <c r="AG14" s="581"/>
      <c r="AH14" s="581"/>
      <c r="AI14" s="581"/>
      <c r="AJ14" s="581"/>
      <c r="AK14" s="581"/>
      <c r="AL14" s="581"/>
      <c r="AM14" s="581"/>
      <c r="AN14" s="581"/>
      <c r="AO14" s="581"/>
      <c r="AP14" s="581"/>
      <c r="AQ14" s="581"/>
      <c r="AR14" s="581"/>
    </row>
    <row r="15" spans="1:44" ht="13.5" customHeight="1" x14ac:dyDescent="0.3">
      <c r="A15" s="581"/>
      <c r="C15" s="291"/>
      <c r="D15" s="256" t="str">
        <f>"The Notional Liability is "&amp;T19&amp;" than the Base Liability so the ratepayer is a revaluation "&amp;T20</f>
        <v>The Notional Liability is less than the Base Liability so the ratepayer is a revaluation Winner</v>
      </c>
      <c r="K15" s="581"/>
      <c r="L15" s="581"/>
      <c r="M15" s="581"/>
      <c r="N15" s="581"/>
      <c r="O15" s="581"/>
      <c r="P15" s="581"/>
      <c r="S15" s="480" t="s">
        <v>1223</v>
      </c>
      <c r="T15" s="495">
        <f>calc2!D5</f>
        <v>0</v>
      </c>
      <c r="AA15" s="581"/>
      <c r="AB15" s="581"/>
      <c r="AC15" s="581"/>
      <c r="AD15" s="581"/>
      <c r="AE15" s="581"/>
      <c r="AF15" s="581"/>
      <c r="AG15" s="581"/>
      <c r="AH15" s="581"/>
      <c r="AI15" s="581"/>
      <c r="AJ15" s="581"/>
      <c r="AK15" s="581"/>
      <c r="AL15" s="581"/>
      <c r="AM15" s="581"/>
      <c r="AN15" s="581"/>
      <c r="AO15" s="581"/>
      <c r="AP15" s="581"/>
      <c r="AQ15" s="581"/>
      <c r="AR15" s="581"/>
    </row>
    <row r="16" spans="1:44" ht="13.5" customHeight="1" x14ac:dyDescent="0.3">
      <c r="A16" s="581"/>
      <c r="C16" s="291"/>
      <c r="D16" s="256" t="str">
        <f>"The property is in "&amp;H4&amp;" so the Medium/Small threshold is "&amp;TEXT(T21,"#,###")&amp;". "</f>
        <v xml:space="preserve">The property is in England so the Medium/Small threshold is 20,000. </v>
      </c>
      <c r="K16" s="581"/>
      <c r="L16" s="581"/>
      <c r="M16" s="581"/>
      <c r="N16" s="581"/>
      <c r="O16" s="581"/>
      <c r="P16" s="581"/>
      <c r="S16" s="480" t="s">
        <v>47</v>
      </c>
      <c r="T16" s="480">
        <f>data!C57</f>
        <v>0.54</v>
      </c>
      <c r="AA16" s="581"/>
      <c r="AB16" s="581"/>
      <c r="AC16" s="581"/>
      <c r="AD16" s="581"/>
      <c r="AE16" s="581"/>
      <c r="AF16" s="581"/>
      <c r="AG16" s="581"/>
      <c r="AH16" s="581"/>
      <c r="AI16" s="581"/>
      <c r="AJ16" s="581"/>
      <c r="AK16" s="581"/>
      <c r="AL16" s="581"/>
      <c r="AM16" s="581"/>
      <c r="AN16" s="581"/>
      <c r="AO16" s="581"/>
      <c r="AP16" s="581"/>
      <c r="AQ16" s="581"/>
      <c r="AR16" s="581"/>
    </row>
    <row r="17" spans="1:44" ht="13.5" customHeight="1" x14ac:dyDescent="0.3">
      <c r="A17" s="581"/>
      <c r="C17" s="291"/>
      <c r="D17" s="256" t="str">
        <f>"The Large threshold is "&amp;TEXT(Y19,"#,###")</f>
        <v>The Large threshold is 100,000</v>
      </c>
      <c r="K17" s="581"/>
      <c r="L17" s="581"/>
      <c r="M17" s="581"/>
      <c r="N17" s="581"/>
      <c r="O17" s="581"/>
      <c r="P17" s="581"/>
      <c r="S17" s="480" t="s">
        <v>48</v>
      </c>
      <c r="T17" s="480">
        <f>T15*T16</f>
        <v>0</v>
      </c>
      <c r="V17" s="479" t="s">
        <v>51</v>
      </c>
      <c r="W17" s="479"/>
      <c r="X17" s="479"/>
      <c r="Y17" s="479"/>
      <c r="AA17" s="581"/>
      <c r="AB17" s="581"/>
      <c r="AC17" s="581"/>
      <c r="AD17" s="581"/>
      <c r="AE17" s="581"/>
      <c r="AF17" s="581"/>
      <c r="AG17" s="581"/>
      <c r="AH17" s="581"/>
      <c r="AI17" s="581"/>
      <c r="AJ17" s="581"/>
      <c r="AK17" s="581"/>
      <c r="AL17" s="581"/>
      <c r="AM17" s="581"/>
      <c r="AN17" s="581"/>
      <c r="AO17" s="581"/>
      <c r="AP17" s="581"/>
      <c r="AQ17" s="581"/>
      <c r="AR17" s="581"/>
    </row>
    <row r="18" spans="1:44" ht="13.5" customHeight="1" x14ac:dyDescent="0.3">
      <c r="A18" s="581"/>
      <c r="C18" s="291"/>
      <c r="D18" s="256" t="str">
        <f>"The RV as at "&amp;TEXT(T9+1,"dd/mm/yy")&amp;" is "&amp;TEXT(T15,"#,###")&amp;" so the property is "&amp;T23</f>
        <v>The RV as at 01/04/23 is  so the property is Small</v>
      </c>
      <c r="K18" s="581"/>
      <c r="L18" s="581"/>
      <c r="M18" s="581"/>
      <c r="N18" s="581"/>
      <c r="O18" s="581"/>
      <c r="P18" s="581"/>
      <c r="S18" s="480" t="s">
        <v>27</v>
      </c>
      <c r="T18" s="480" t="b">
        <f>T17&gt;T14</f>
        <v>0</v>
      </c>
      <c r="V18" s="480" t="str">
        <f>data!C22</f>
        <v>e small &lt;=</v>
      </c>
      <c r="W18" s="480" t="str">
        <f>data!D22</f>
        <v>l small &lt;=</v>
      </c>
      <c r="X18" s="480" t="str">
        <f>data!E22</f>
        <v>c small &lt;=</v>
      </c>
      <c r="Y18" s="480" t="str">
        <f>data!F22</f>
        <v>super &gt;</v>
      </c>
      <c r="AA18" s="581"/>
      <c r="AB18" s="581"/>
      <c r="AC18" s="581"/>
      <c r="AD18" s="581"/>
      <c r="AE18" s="581"/>
      <c r="AF18" s="581"/>
      <c r="AG18" s="581"/>
      <c r="AH18" s="581"/>
      <c r="AI18" s="581"/>
      <c r="AJ18" s="581"/>
      <c r="AK18" s="581"/>
      <c r="AL18" s="581"/>
      <c r="AM18" s="581"/>
      <c r="AN18" s="581"/>
      <c r="AO18" s="581"/>
      <c r="AP18" s="581"/>
      <c r="AQ18" s="581"/>
      <c r="AR18" s="581"/>
    </row>
    <row r="19" spans="1:44" ht="13.5" customHeight="1" x14ac:dyDescent="0.25">
      <c r="A19" s="581"/>
      <c r="K19" s="581"/>
      <c r="L19" s="581"/>
      <c r="M19" s="581"/>
      <c r="N19" s="581"/>
      <c r="O19" s="581"/>
      <c r="P19" s="581"/>
      <c r="S19" s="480" t="s">
        <v>50</v>
      </c>
      <c r="T19" s="480" t="str">
        <f>IF(T18=TRUE,"greater","less")</f>
        <v>less</v>
      </c>
      <c r="V19" s="480">
        <f>data!C23</f>
        <v>20000</v>
      </c>
      <c r="W19" s="480">
        <f>data!D23</f>
        <v>28000</v>
      </c>
      <c r="X19" s="480">
        <f>data!E23</f>
        <v>28000</v>
      </c>
      <c r="Y19" s="480">
        <f>data!F23</f>
        <v>100000</v>
      </c>
      <c r="AA19" s="581"/>
      <c r="AB19" s="581"/>
      <c r="AC19" s="581"/>
      <c r="AD19" s="581"/>
      <c r="AE19" s="581"/>
      <c r="AF19" s="581"/>
      <c r="AG19" s="581"/>
      <c r="AH19" s="581"/>
      <c r="AI19" s="581"/>
      <c r="AJ19" s="581"/>
      <c r="AK19" s="581"/>
      <c r="AL19" s="581"/>
      <c r="AM19" s="581"/>
      <c r="AN19" s="581"/>
      <c r="AO19" s="581"/>
      <c r="AP19" s="581"/>
      <c r="AQ19" s="581"/>
      <c r="AR19" s="581"/>
    </row>
    <row r="20" spans="1:44" ht="13.5" customHeight="1" x14ac:dyDescent="0.25">
      <c r="A20" s="581"/>
      <c r="D20" s="256" t="s">
        <v>28</v>
      </c>
      <c r="K20" s="581"/>
      <c r="L20" s="581"/>
      <c r="M20" s="581"/>
      <c r="N20" s="581"/>
      <c r="O20" s="581"/>
      <c r="P20" s="581"/>
      <c r="S20" s="480" t="s">
        <v>285</v>
      </c>
      <c r="T20" s="480" t="str">
        <f>IF(T18=TRUE,"Loser","Winner")</f>
        <v>Winner</v>
      </c>
      <c r="AA20" s="581"/>
      <c r="AB20" s="581"/>
      <c r="AC20" s="581"/>
      <c r="AD20" s="581"/>
      <c r="AE20" s="581"/>
      <c r="AF20" s="581"/>
      <c r="AG20" s="581"/>
      <c r="AH20" s="581"/>
      <c r="AI20" s="581"/>
      <c r="AJ20" s="581"/>
      <c r="AK20" s="581"/>
      <c r="AL20" s="581"/>
      <c r="AM20" s="581"/>
      <c r="AN20" s="581"/>
      <c r="AO20" s="581"/>
      <c r="AP20" s="581"/>
      <c r="AQ20" s="581"/>
      <c r="AR20" s="581"/>
    </row>
    <row r="21" spans="1:44" ht="13.5" customHeight="1" x14ac:dyDescent="0.25">
      <c r="A21" s="581"/>
      <c r="D21" s="256" t="str">
        <f>"for a '"&amp;T24&amp;"' is found by reference to the following table"</f>
        <v>for a 'Small Winner' is found by reference to the following table</v>
      </c>
      <c r="K21" s="581"/>
      <c r="L21" s="581"/>
      <c r="M21" s="581"/>
      <c r="N21" s="581"/>
      <c r="O21" s="581"/>
      <c r="P21" s="581"/>
      <c r="S21" s="480" t="s">
        <v>56</v>
      </c>
      <c r="T21" s="480">
        <f>calc2!D13</f>
        <v>20000</v>
      </c>
      <c r="V21" s="479" t="s">
        <v>53</v>
      </c>
      <c r="W21" s="479" t="s">
        <v>803</v>
      </c>
      <c r="AA21" s="581"/>
      <c r="AB21" s="581"/>
      <c r="AC21" s="581"/>
      <c r="AD21" s="581"/>
      <c r="AE21" s="581"/>
      <c r="AF21" s="581"/>
      <c r="AG21" s="581"/>
      <c r="AH21" s="581"/>
      <c r="AI21" s="581"/>
      <c r="AJ21" s="581"/>
      <c r="AK21" s="581"/>
      <c r="AL21" s="581"/>
      <c r="AM21" s="581"/>
      <c r="AN21" s="581"/>
      <c r="AO21" s="581"/>
      <c r="AP21" s="581"/>
      <c r="AQ21" s="581"/>
      <c r="AR21" s="581"/>
    </row>
    <row r="22" spans="1:44" ht="13.5" customHeight="1" x14ac:dyDescent="0.25">
      <c r="A22" s="581"/>
      <c r="K22" s="581"/>
      <c r="L22" s="581"/>
      <c r="M22" s="581"/>
      <c r="N22" s="581"/>
      <c r="O22" s="581"/>
      <c r="P22" s="581"/>
      <c r="S22" s="480" t="s">
        <v>52</v>
      </c>
      <c r="T22" s="495" t="str">
        <f>calc2!D23</f>
        <v>s</v>
      </c>
      <c r="V22" s="479" t="s">
        <v>54</v>
      </c>
      <c r="W22" s="479" t="s">
        <v>824</v>
      </c>
      <c r="AA22" s="581"/>
      <c r="AB22" s="581"/>
      <c r="AC22" s="581"/>
      <c r="AD22" s="581"/>
      <c r="AE22" s="581"/>
      <c r="AF22" s="581"/>
      <c r="AG22" s="581"/>
      <c r="AH22" s="581"/>
      <c r="AI22" s="581"/>
      <c r="AJ22" s="581"/>
      <c r="AK22" s="581"/>
      <c r="AL22" s="581"/>
      <c r="AM22" s="581"/>
      <c r="AN22" s="581"/>
      <c r="AO22" s="581"/>
      <c r="AP22" s="581"/>
      <c r="AQ22" s="581"/>
      <c r="AR22" s="581"/>
    </row>
    <row r="23" spans="1:44" ht="13.5" customHeight="1" x14ac:dyDescent="0.3">
      <c r="A23" s="581"/>
      <c r="D23" s="291" t="s">
        <v>29</v>
      </c>
      <c r="E23" s="477" t="s">
        <v>30</v>
      </c>
      <c r="F23" s="477" t="s">
        <v>31</v>
      </c>
      <c r="G23" s="272" t="s">
        <v>32</v>
      </c>
      <c r="K23" s="581"/>
      <c r="L23" s="581"/>
      <c r="M23" s="581"/>
      <c r="N23" s="581"/>
      <c r="O23" s="581"/>
      <c r="P23" s="581"/>
      <c r="S23" s="480" t="s">
        <v>55</v>
      </c>
      <c r="T23" s="480" t="str">
        <f>VLOOKUP(T22,V21:W23,2,FALSE)</f>
        <v>Small</v>
      </c>
      <c r="V23" s="479" t="s">
        <v>293</v>
      </c>
      <c r="W23" s="479" t="s">
        <v>804</v>
      </c>
      <c r="AA23" s="581"/>
      <c r="AB23" s="581"/>
      <c r="AC23" s="581"/>
      <c r="AD23" s="581"/>
      <c r="AE23" s="581"/>
      <c r="AF23" s="581"/>
      <c r="AG23" s="581"/>
      <c r="AH23" s="581"/>
      <c r="AI23" s="581"/>
      <c r="AJ23" s="581"/>
      <c r="AK23" s="581"/>
      <c r="AL23" s="581"/>
      <c r="AM23" s="581"/>
      <c r="AN23" s="581"/>
      <c r="AO23" s="581"/>
      <c r="AP23" s="581"/>
      <c r="AQ23" s="581"/>
      <c r="AR23" s="581"/>
    </row>
    <row r="24" spans="1:44" ht="13.5" customHeight="1" x14ac:dyDescent="0.3">
      <c r="A24" s="581"/>
      <c r="C24" s="478" t="str">
        <f t="shared" ref="C24:C29" si="0">IF(D24=$T$24,"&gt;","")</f>
        <v/>
      </c>
      <c r="D24" s="479" t="s">
        <v>33</v>
      </c>
      <c r="E24" s="480">
        <f>data!C6</f>
        <v>94.2</v>
      </c>
      <c r="F24" s="480">
        <f>'info sheet'!J32</f>
        <v>0</v>
      </c>
      <c r="G24" s="480">
        <f t="shared" ref="G24:G29" si="1">E24*F24/100</f>
        <v>0</v>
      </c>
      <c r="K24" s="581"/>
      <c r="L24" s="581"/>
      <c r="M24" s="581"/>
      <c r="N24" s="581"/>
      <c r="O24" s="581"/>
      <c r="P24" s="581"/>
      <c r="S24" s="480" t="s">
        <v>279</v>
      </c>
      <c r="T24" s="480" t="str">
        <f>T23&amp;" "&amp;T20</f>
        <v>Small Winner</v>
      </c>
      <c r="AA24" s="581"/>
      <c r="AB24" s="581"/>
      <c r="AC24" s="581"/>
      <c r="AD24" s="581"/>
      <c r="AE24" s="581"/>
      <c r="AF24" s="581"/>
      <c r="AG24" s="581"/>
      <c r="AH24" s="581"/>
      <c r="AI24" s="581"/>
      <c r="AJ24" s="581"/>
      <c r="AK24" s="581"/>
      <c r="AL24" s="581"/>
      <c r="AM24" s="581"/>
      <c r="AN24" s="581"/>
      <c r="AO24" s="581"/>
      <c r="AP24" s="581"/>
      <c r="AQ24" s="581"/>
      <c r="AR24" s="581"/>
    </row>
    <row r="25" spans="1:44" ht="13.5" customHeight="1" x14ac:dyDescent="0.3">
      <c r="A25" s="581"/>
      <c r="C25" s="478" t="str">
        <f t="shared" si="0"/>
        <v/>
      </c>
      <c r="D25" s="479" t="s">
        <v>34</v>
      </c>
      <c r="E25" s="480">
        <f>data!D6</f>
        <v>75</v>
      </c>
      <c r="F25" s="480">
        <f>F24</f>
        <v>0</v>
      </c>
      <c r="G25" s="480">
        <f t="shared" si="1"/>
        <v>0</v>
      </c>
      <c r="K25" s="581"/>
      <c r="L25" s="581"/>
      <c r="M25" s="581"/>
      <c r="N25" s="581"/>
      <c r="O25" s="581"/>
      <c r="P25" s="581"/>
      <c r="S25" s="480" t="s">
        <v>59</v>
      </c>
      <c r="T25" s="480" t="str">
        <f>IF(T22&lt;T23,"below","above")</f>
        <v>below</v>
      </c>
      <c r="AA25" s="581"/>
      <c r="AB25" s="581"/>
      <c r="AC25" s="581"/>
      <c r="AD25" s="581"/>
      <c r="AE25" s="581"/>
      <c r="AF25" s="581"/>
      <c r="AG25" s="581"/>
      <c r="AH25" s="581"/>
      <c r="AI25" s="581"/>
      <c r="AJ25" s="581"/>
      <c r="AK25" s="581"/>
      <c r="AL25" s="581"/>
      <c r="AM25" s="581"/>
      <c r="AN25" s="581"/>
      <c r="AO25" s="581"/>
      <c r="AP25" s="581"/>
      <c r="AQ25" s="581"/>
      <c r="AR25" s="581"/>
    </row>
    <row r="26" spans="1:44" ht="13.5" customHeight="1" x14ac:dyDescent="0.3">
      <c r="A26" s="581"/>
      <c r="C26" s="478" t="str">
        <f t="shared" si="0"/>
        <v>&gt;</v>
      </c>
      <c r="D26" s="479" t="s">
        <v>35</v>
      </c>
      <c r="E26" s="480">
        <f>data!E6</f>
        <v>45</v>
      </c>
      <c r="F26" s="480">
        <f>F25</f>
        <v>0</v>
      </c>
      <c r="G26" s="480">
        <f t="shared" si="1"/>
        <v>0</v>
      </c>
      <c r="K26" s="581"/>
      <c r="L26" s="581"/>
      <c r="M26" s="581"/>
      <c r="N26" s="581"/>
      <c r="O26" s="581"/>
      <c r="P26" s="581"/>
      <c r="S26" s="480" t="s">
        <v>58</v>
      </c>
      <c r="T26" s="480">
        <f>calc2!H27</f>
        <v>0.46800000000000003</v>
      </c>
      <c r="AA26" s="581"/>
      <c r="AB26" s="581"/>
      <c r="AC26" s="581"/>
      <c r="AD26" s="581"/>
      <c r="AE26" s="581"/>
      <c r="AF26" s="581"/>
      <c r="AG26" s="581"/>
      <c r="AH26" s="581"/>
      <c r="AI26" s="581"/>
      <c r="AJ26" s="581"/>
      <c r="AK26" s="581"/>
      <c r="AL26" s="581"/>
      <c r="AM26" s="581"/>
      <c r="AN26" s="581"/>
      <c r="AO26" s="581"/>
      <c r="AP26" s="581"/>
      <c r="AQ26" s="581"/>
      <c r="AR26" s="581"/>
    </row>
    <row r="27" spans="1:44" ht="13.5" customHeight="1" x14ac:dyDescent="0.3">
      <c r="A27" s="581"/>
      <c r="C27" s="478" t="str">
        <f t="shared" si="0"/>
        <v/>
      </c>
      <c r="D27" s="479" t="s">
        <v>36</v>
      </c>
      <c r="E27" s="480">
        <f>data!F6</f>
        <v>116</v>
      </c>
      <c r="F27" s="480">
        <f>F26</f>
        <v>0</v>
      </c>
      <c r="G27" s="480">
        <f t="shared" si="1"/>
        <v>0</v>
      </c>
      <c r="K27" s="581"/>
      <c r="L27" s="581"/>
      <c r="M27" s="581"/>
      <c r="N27" s="581"/>
      <c r="O27" s="581"/>
      <c r="P27" s="581"/>
      <c r="S27" s="480" t="s">
        <v>39</v>
      </c>
      <c r="T27" s="485">
        <f>F32-T17</f>
        <v>0</v>
      </c>
      <c r="AA27" s="581"/>
      <c r="AB27" s="581"/>
      <c r="AC27" s="581"/>
      <c r="AD27" s="581"/>
      <c r="AE27" s="581"/>
      <c r="AF27" s="581"/>
      <c r="AG27" s="581"/>
      <c r="AH27" s="581"/>
      <c r="AI27" s="581"/>
      <c r="AJ27" s="581"/>
      <c r="AK27" s="581"/>
      <c r="AL27" s="581"/>
      <c r="AM27" s="581"/>
      <c r="AN27" s="581"/>
      <c r="AO27" s="581"/>
      <c r="AP27" s="581"/>
      <c r="AQ27" s="581"/>
      <c r="AR27" s="581"/>
    </row>
    <row r="28" spans="1:44" ht="13.5" customHeight="1" x14ac:dyDescent="0.3">
      <c r="A28" s="581"/>
      <c r="C28" s="478" t="str">
        <f t="shared" si="0"/>
        <v/>
      </c>
      <c r="D28" s="479" t="s">
        <v>37</v>
      </c>
      <c r="E28" s="480">
        <f>data!G6</f>
        <v>125</v>
      </c>
      <c r="F28" s="480">
        <f>F27</f>
        <v>0</v>
      </c>
      <c r="G28" s="480">
        <f t="shared" si="1"/>
        <v>0</v>
      </c>
      <c r="K28" s="581"/>
      <c r="L28" s="581"/>
      <c r="M28" s="581"/>
      <c r="N28" s="581"/>
      <c r="O28" s="581"/>
      <c r="P28" s="581"/>
      <c r="AA28" s="581"/>
      <c r="AB28" s="581"/>
      <c r="AC28" s="581"/>
      <c r="AD28" s="581"/>
      <c r="AE28" s="581"/>
      <c r="AF28" s="581"/>
      <c r="AG28" s="581"/>
      <c r="AH28" s="581"/>
      <c r="AI28" s="581"/>
      <c r="AJ28" s="581"/>
      <c r="AK28" s="581"/>
      <c r="AL28" s="581"/>
      <c r="AM28" s="581"/>
      <c r="AN28" s="581"/>
      <c r="AO28" s="581"/>
      <c r="AP28" s="581"/>
      <c r="AQ28" s="581"/>
      <c r="AR28" s="581"/>
    </row>
    <row r="29" spans="1:44" ht="13.5" customHeight="1" x14ac:dyDescent="0.3">
      <c r="A29" s="581"/>
      <c r="C29" s="478" t="str">
        <f t="shared" si="0"/>
        <v/>
      </c>
      <c r="D29" s="479" t="s">
        <v>38</v>
      </c>
      <c r="E29" s="480">
        <f>data!H6</f>
        <v>115</v>
      </c>
      <c r="F29" s="480">
        <f>F28</f>
        <v>0</v>
      </c>
      <c r="G29" s="480">
        <f t="shared" si="1"/>
        <v>0</v>
      </c>
      <c r="K29" s="581"/>
      <c r="L29" s="581"/>
      <c r="M29" s="581"/>
      <c r="N29" s="581"/>
      <c r="O29" s="581"/>
      <c r="P29" s="581"/>
      <c r="AA29" s="581"/>
      <c r="AB29" s="581"/>
      <c r="AC29" s="581"/>
      <c r="AD29" s="581"/>
      <c r="AE29" s="581"/>
      <c r="AF29" s="581"/>
      <c r="AG29" s="581"/>
      <c r="AH29" s="581"/>
      <c r="AI29" s="581"/>
      <c r="AJ29" s="581"/>
      <c r="AK29" s="581"/>
      <c r="AL29" s="581"/>
      <c r="AM29" s="581"/>
      <c r="AN29" s="581"/>
      <c r="AO29" s="581"/>
      <c r="AP29" s="581"/>
      <c r="AQ29" s="581"/>
      <c r="AR29" s="581"/>
    </row>
    <row r="30" spans="1:44" ht="13.5" customHeight="1" x14ac:dyDescent="0.3">
      <c r="A30" s="581"/>
      <c r="C30" s="291"/>
      <c r="K30" s="581"/>
      <c r="L30" s="581"/>
      <c r="M30" s="581"/>
      <c r="N30" s="581"/>
      <c r="O30" s="581"/>
      <c r="P30" s="581"/>
      <c r="AA30" s="581"/>
      <c r="AB30" s="581"/>
      <c r="AC30" s="581"/>
      <c r="AD30" s="581"/>
      <c r="AE30" s="581"/>
      <c r="AF30" s="581"/>
      <c r="AG30" s="581"/>
      <c r="AH30" s="581"/>
      <c r="AI30" s="581"/>
      <c r="AJ30" s="581"/>
      <c r="AK30" s="581"/>
      <c r="AL30" s="581"/>
      <c r="AM30" s="581"/>
      <c r="AN30" s="581"/>
      <c r="AO30" s="581"/>
      <c r="AP30" s="581"/>
      <c r="AQ30" s="581"/>
      <c r="AR30" s="581"/>
    </row>
    <row r="31" spans="1:44" ht="13.5" customHeight="1" x14ac:dyDescent="0.3">
      <c r="A31" s="581"/>
      <c r="C31" s="291"/>
      <c r="D31" s="256" t="s">
        <v>60</v>
      </c>
      <c r="K31" s="581"/>
      <c r="L31" s="581"/>
      <c r="M31" s="581"/>
      <c r="N31" s="581"/>
      <c r="O31" s="581"/>
      <c r="P31" s="581"/>
      <c r="AA31" s="581"/>
      <c r="AB31" s="581"/>
      <c r="AC31" s="581"/>
      <c r="AD31" s="581"/>
      <c r="AE31" s="581"/>
      <c r="AF31" s="581"/>
      <c r="AG31" s="581"/>
      <c r="AH31" s="581"/>
      <c r="AI31" s="581"/>
      <c r="AJ31" s="581"/>
      <c r="AK31" s="581"/>
      <c r="AL31" s="581"/>
      <c r="AM31" s="581"/>
      <c r="AN31" s="581"/>
      <c r="AO31" s="581"/>
      <c r="AP31" s="581"/>
      <c r="AQ31" s="581"/>
      <c r="AR31" s="581"/>
    </row>
    <row r="32" spans="1:44" ht="22.5" customHeight="1" x14ac:dyDescent="0.35">
      <c r="A32" s="581"/>
      <c r="C32" s="291"/>
      <c r="D32" s="488" t="str">
        <f>"    "&amp;TEXT(T14,"#,###.00")&amp;"  x  "&amp;T26&amp;" = "</f>
        <v xml:space="preserve">    .00  x  0.468 = </v>
      </c>
      <c r="E32" s="490"/>
      <c r="F32" s="491">
        <f>calc2!H28</f>
        <v>0</v>
      </c>
      <c r="K32" s="581"/>
      <c r="L32" s="581"/>
      <c r="M32" s="581"/>
      <c r="N32" s="581"/>
      <c r="O32" s="581"/>
      <c r="P32" s="581"/>
      <c r="Q32" s="149"/>
      <c r="R32" s="149"/>
      <c r="S32" s="149"/>
      <c r="T32" s="149"/>
      <c r="U32" s="149"/>
      <c r="V32" s="149"/>
      <c r="W32" s="149"/>
      <c r="AA32" s="581"/>
      <c r="AB32" s="581"/>
      <c r="AC32" s="581"/>
      <c r="AD32" s="581"/>
      <c r="AE32" s="581"/>
      <c r="AF32" s="581"/>
      <c r="AG32" s="581"/>
      <c r="AH32" s="581"/>
      <c r="AI32" s="581"/>
      <c r="AJ32" s="581"/>
      <c r="AK32" s="581"/>
      <c r="AL32" s="581"/>
      <c r="AM32" s="581"/>
      <c r="AN32" s="581"/>
      <c r="AO32" s="581"/>
      <c r="AP32" s="581"/>
      <c r="AQ32" s="581"/>
      <c r="AR32" s="581"/>
    </row>
    <row r="33" spans="1:44" ht="14.5" x14ac:dyDescent="0.35">
      <c r="A33" s="581"/>
      <c r="C33" s="291"/>
      <c r="K33" s="581"/>
      <c r="L33" s="581"/>
      <c r="M33" s="581"/>
      <c r="N33" s="581"/>
      <c r="O33" s="581"/>
      <c r="P33" s="581"/>
      <c r="Q33" s="149"/>
      <c r="R33" s="149"/>
      <c r="S33" s="149"/>
      <c r="T33" s="149"/>
      <c r="U33" s="149"/>
      <c r="V33" s="149"/>
      <c r="W33" s="149"/>
      <c r="AA33" s="581"/>
      <c r="AB33" s="581"/>
      <c r="AC33" s="581"/>
      <c r="AD33" s="581"/>
      <c r="AE33" s="581"/>
      <c r="AF33" s="581"/>
      <c r="AG33" s="581"/>
      <c r="AH33" s="581"/>
      <c r="AI33" s="581"/>
      <c r="AJ33" s="581"/>
      <c r="AK33" s="581"/>
      <c r="AL33" s="581"/>
      <c r="AM33" s="581"/>
      <c r="AN33" s="581"/>
      <c r="AO33" s="581"/>
      <c r="AP33" s="581"/>
      <c r="AQ33" s="581"/>
      <c r="AR33" s="581"/>
    </row>
    <row r="34" spans="1:44" ht="13.5" customHeight="1" x14ac:dyDescent="0.35">
      <c r="A34" s="581"/>
      <c r="C34" s="291"/>
      <c r="D34" s="256" t="str">
        <f>"The ratepayer is a "&amp;T20&amp;". Therefore, if the Notional Liability is "&amp;T19&amp;" than the"</f>
        <v>The ratepayer is a Winner. Therefore, if the Notional Liability is less than the</v>
      </c>
      <c r="K34" s="581"/>
      <c r="L34" s="581"/>
      <c r="M34" s="581"/>
      <c r="N34" s="581"/>
      <c r="O34" s="581"/>
      <c r="P34" s="581"/>
      <c r="Q34" s="149"/>
      <c r="R34" s="149"/>
      <c r="S34" s="149"/>
      <c r="T34" s="149"/>
      <c r="U34" s="149"/>
      <c r="V34" s="149"/>
      <c r="W34" s="149"/>
      <c r="AA34" s="581"/>
      <c r="AB34" s="581"/>
      <c r="AC34" s="581"/>
      <c r="AD34" s="581"/>
      <c r="AE34" s="581"/>
      <c r="AF34" s="581"/>
      <c r="AG34" s="581"/>
      <c r="AH34" s="581"/>
      <c r="AI34" s="581"/>
      <c r="AJ34" s="581"/>
      <c r="AK34" s="581"/>
      <c r="AL34" s="581"/>
      <c r="AM34" s="581"/>
      <c r="AN34" s="581"/>
      <c r="AO34" s="581"/>
      <c r="AP34" s="581"/>
      <c r="AQ34" s="581"/>
      <c r="AR34" s="581"/>
    </row>
    <row r="35" spans="1:44" ht="13.5" customHeight="1" x14ac:dyDescent="0.35">
      <c r="A35" s="581"/>
      <c r="C35" s="291"/>
      <c r="D35" s="256" t="str">
        <f>"Base Liability AND "&amp;T19&amp;" than the Transitional Limit, transitional limits will apply"</f>
        <v>Base Liability AND less than the Transitional Limit, transitional limits will apply</v>
      </c>
      <c r="K35" s="581"/>
      <c r="L35" s="581"/>
      <c r="M35" s="581"/>
      <c r="N35" s="581"/>
      <c r="O35" s="581"/>
      <c r="P35" s="581"/>
      <c r="Q35" s="149"/>
      <c r="R35" s="149"/>
      <c r="S35" s="149"/>
      <c r="T35" s="149"/>
      <c r="U35" s="149"/>
      <c r="V35" s="149"/>
      <c r="W35" s="149"/>
      <c r="AA35" s="581"/>
      <c r="AB35" s="581"/>
      <c r="AC35" s="581"/>
      <c r="AD35" s="581"/>
      <c r="AE35" s="581"/>
      <c r="AF35" s="581"/>
      <c r="AG35" s="581"/>
      <c r="AH35" s="581"/>
      <c r="AI35" s="581"/>
      <c r="AJ35" s="581"/>
      <c r="AK35" s="581"/>
      <c r="AL35" s="581"/>
      <c r="AM35" s="581"/>
      <c r="AN35" s="581"/>
      <c r="AO35" s="581"/>
      <c r="AP35" s="581"/>
      <c r="AQ35" s="581"/>
      <c r="AR35" s="581"/>
    </row>
    <row r="36" spans="1:44" ht="13.5" customHeight="1" x14ac:dyDescent="0.35">
      <c r="A36" s="581"/>
      <c r="C36" s="291"/>
      <c r="K36" s="581"/>
      <c r="L36" s="581"/>
      <c r="M36" s="581"/>
      <c r="N36" s="581"/>
      <c r="O36" s="581"/>
      <c r="P36" s="581"/>
      <c r="Q36" s="149"/>
      <c r="R36" s="149"/>
      <c r="S36" s="149"/>
      <c r="T36" s="149"/>
      <c r="U36" s="149"/>
      <c r="V36" s="149"/>
      <c r="W36" s="149"/>
      <c r="AA36" s="581"/>
      <c r="AB36" s="581"/>
      <c r="AC36" s="581"/>
      <c r="AD36" s="581"/>
      <c r="AE36" s="581"/>
      <c r="AF36" s="581"/>
      <c r="AG36" s="581"/>
      <c r="AH36" s="581"/>
      <c r="AI36" s="581"/>
      <c r="AJ36" s="581"/>
      <c r="AK36" s="581"/>
      <c r="AL36" s="581"/>
      <c r="AM36" s="581"/>
      <c r="AN36" s="581"/>
      <c r="AO36" s="581"/>
      <c r="AP36" s="581"/>
      <c r="AQ36" s="581"/>
      <c r="AR36" s="581"/>
    </row>
    <row r="37" spans="1:44" ht="13.5" customHeight="1" x14ac:dyDescent="0.35">
      <c r="A37" s="581"/>
      <c r="C37" s="291"/>
      <c r="D37" s="482" t="s">
        <v>40</v>
      </c>
      <c r="E37" s="483"/>
      <c r="F37" s="484">
        <f>T17</f>
        <v>0</v>
      </c>
      <c r="K37" s="581"/>
      <c r="L37" s="581"/>
      <c r="M37" s="581"/>
      <c r="N37" s="581"/>
      <c r="O37" s="581"/>
      <c r="P37" s="581"/>
      <c r="Q37" s="149"/>
      <c r="R37" s="149"/>
      <c r="S37" s="149"/>
      <c r="T37" s="149"/>
      <c r="U37" s="149"/>
      <c r="V37" s="149"/>
      <c r="W37" s="149"/>
      <c r="AA37" s="581"/>
      <c r="AB37" s="581"/>
      <c r="AC37" s="581"/>
      <c r="AD37" s="581"/>
      <c r="AE37" s="581"/>
      <c r="AF37" s="581"/>
      <c r="AG37" s="581"/>
      <c r="AH37" s="581"/>
      <c r="AI37" s="581"/>
      <c r="AJ37" s="581"/>
      <c r="AK37" s="581"/>
      <c r="AL37" s="581"/>
      <c r="AM37" s="581"/>
      <c r="AN37" s="581"/>
      <c r="AO37" s="581"/>
      <c r="AP37" s="581"/>
      <c r="AQ37" s="581"/>
      <c r="AR37" s="581"/>
    </row>
    <row r="38" spans="1:44" ht="13.5" customHeight="1" x14ac:dyDescent="0.35">
      <c r="A38" s="581"/>
      <c r="C38" s="291"/>
      <c r="D38" s="482" t="s">
        <v>834</v>
      </c>
      <c r="E38" s="483"/>
      <c r="F38" s="484">
        <f>T14</f>
        <v>0</v>
      </c>
      <c r="K38" s="581"/>
      <c r="L38" s="581"/>
      <c r="M38" s="581"/>
      <c r="N38" s="581"/>
      <c r="O38" s="581"/>
      <c r="P38" s="581"/>
      <c r="Q38" s="149"/>
      <c r="R38" s="149"/>
      <c r="S38" s="149"/>
      <c r="T38" s="149"/>
      <c r="U38" s="149"/>
      <c r="V38" s="149"/>
      <c r="W38" s="149"/>
      <c r="AA38" s="581"/>
      <c r="AB38" s="581"/>
      <c r="AC38" s="581"/>
      <c r="AD38" s="581"/>
      <c r="AE38" s="581"/>
      <c r="AF38" s="581"/>
      <c r="AG38" s="581"/>
      <c r="AH38" s="581"/>
      <c r="AI38" s="581"/>
      <c r="AJ38" s="581"/>
      <c r="AK38" s="581"/>
      <c r="AL38" s="581"/>
      <c r="AM38" s="581"/>
      <c r="AN38" s="581"/>
      <c r="AO38" s="581"/>
      <c r="AP38" s="581"/>
      <c r="AQ38" s="581"/>
      <c r="AR38" s="581"/>
    </row>
    <row r="39" spans="1:44" ht="13.5" customHeight="1" x14ac:dyDescent="0.35">
      <c r="A39" s="581"/>
      <c r="C39" s="291"/>
      <c r="D39" s="482" t="s">
        <v>41</v>
      </c>
      <c r="E39" s="483"/>
      <c r="F39" s="484">
        <f>F32</f>
        <v>0</v>
      </c>
      <c r="K39" s="581"/>
      <c r="L39" s="581"/>
      <c r="M39" s="581"/>
      <c r="N39" s="581"/>
      <c r="O39" s="581"/>
      <c r="P39" s="581"/>
      <c r="Q39" s="149"/>
      <c r="R39" s="149"/>
      <c r="S39" s="149"/>
      <c r="T39" s="149"/>
      <c r="U39" s="149"/>
      <c r="V39" s="149"/>
      <c r="W39" s="149"/>
      <c r="AA39" s="581"/>
      <c r="AB39" s="581"/>
      <c r="AC39" s="581"/>
      <c r="AD39" s="581"/>
      <c r="AE39" s="581"/>
      <c r="AF39" s="581"/>
      <c r="AG39" s="581"/>
      <c r="AH39" s="581"/>
      <c r="AI39" s="581"/>
      <c r="AJ39" s="581"/>
      <c r="AK39" s="581"/>
      <c r="AL39" s="581"/>
      <c r="AM39" s="581"/>
      <c r="AN39" s="581"/>
      <c r="AO39" s="581"/>
      <c r="AP39" s="581"/>
      <c r="AQ39" s="581"/>
      <c r="AR39" s="581"/>
    </row>
    <row r="40" spans="1:44" ht="14.15" customHeight="1" x14ac:dyDescent="0.35">
      <c r="A40" s="581"/>
      <c r="D40" s="482" t="s">
        <v>42</v>
      </c>
      <c r="E40" s="483"/>
      <c r="F40" s="485" t="str">
        <f>IF(calc2!H38 = TRUE,"Yes","No")</f>
        <v>No</v>
      </c>
      <c r="G40" s="257" t="str">
        <f>IF(T14=0,"If there is no BL transition does not apply",IF(F40="Yes",IF(T20="Loser","(Transitional Relief)","(Transitional Premium)"),""))</f>
        <v>If there is no BL transition does not apply</v>
      </c>
      <c r="K40" s="581"/>
      <c r="L40" s="581"/>
      <c r="M40" s="581"/>
      <c r="N40" s="581"/>
      <c r="O40" s="581"/>
      <c r="P40" s="581"/>
      <c r="Q40" s="149"/>
      <c r="R40" s="149"/>
      <c r="S40" s="149"/>
      <c r="T40" s="149"/>
      <c r="U40" s="149"/>
      <c r="V40" s="149"/>
      <c r="W40" s="149"/>
      <c r="AA40" s="581"/>
      <c r="AB40" s="581"/>
      <c r="AC40" s="581"/>
      <c r="AD40" s="581"/>
      <c r="AE40" s="581"/>
      <c r="AF40" s="581"/>
      <c r="AG40" s="581"/>
      <c r="AH40" s="581"/>
      <c r="AI40" s="581"/>
      <c r="AJ40" s="581"/>
      <c r="AK40" s="581"/>
      <c r="AL40" s="581"/>
      <c r="AM40" s="581"/>
      <c r="AN40" s="581"/>
      <c r="AO40" s="581"/>
      <c r="AP40" s="581"/>
      <c r="AQ40" s="581"/>
      <c r="AR40" s="581"/>
    </row>
    <row r="41" spans="1:44" ht="14.15" customHeight="1" x14ac:dyDescent="0.35">
      <c r="A41" s="581"/>
      <c r="F41" s="486"/>
      <c r="K41" s="581"/>
      <c r="L41" s="581"/>
      <c r="M41" s="581"/>
      <c r="N41" s="581"/>
      <c r="O41" s="581"/>
      <c r="P41" s="581"/>
      <c r="Q41" s="149"/>
      <c r="R41" s="149"/>
      <c r="S41" s="149"/>
      <c r="T41" s="149"/>
      <c r="U41" s="149"/>
      <c r="V41" s="149"/>
      <c r="W41" s="149"/>
      <c r="AA41" s="581"/>
      <c r="AB41" s="581"/>
      <c r="AC41" s="581"/>
      <c r="AD41" s="581"/>
      <c r="AE41" s="581"/>
      <c r="AF41" s="581"/>
      <c r="AG41" s="581"/>
      <c r="AH41" s="581"/>
      <c r="AI41" s="581"/>
      <c r="AJ41" s="581"/>
      <c r="AK41" s="581"/>
      <c r="AL41" s="581"/>
      <c r="AM41" s="581"/>
      <c r="AN41" s="581"/>
      <c r="AO41" s="581"/>
      <c r="AP41" s="581"/>
      <c r="AQ41" s="581"/>
      <c r="AR41" s="581"/>
    </row>
    <row r="42" spans="1:44" ht="19.5" customHeight="1" x14ac:dyDescent="0.35">
      <c r="A42" s="581"/>
      <c r="D42" s="488" t="str">
        <f>IF(F40="Yes","The Transitional Adjustment (TL - NL) is therefore   "&amp;TEXT(T27,"#,###.00"),"In this case there will be no transitional adjustment")</f>
        <v>In this case there will be no transitional adjustment</v>
      </c>
      <c r="F42" s="486"/>
      <c r="G42" s="481"/>
      <c r="K42" s="581"/>
      <c r="L42" s="581"/>
      <c r="M42" s="581"/>
      <c r="N42" s="581"/>
      <c r="O42" s="581"/>
      <c r="P42" s="581"/>
      <c r="Q42" s="149"/>
      <c r="R42" s="149"/>
      <c r="S42" s="149"/>
      <c r="T42" s="149"/>
      <c r="U42" s="149"/>
      <c r="V42" s="149"/>
      <c r="W42" s="149"/>
      <c r="AA42" s="581"/>
      <c r="AB42" s="581"/>
      <c r="AC42" s="581"/>
      <c r="AD42" s="581"/>
      <c r="AE42" s="581"/>
      <c r="AF42" s="581"/>
      <c r="AG42" s="581"/>
      <c r="AH42" s="581"/>
      <c r="AI42" s="581"/>
      <c r="AJ42" s="581"/>
      <c r="AK42" s="581"/>
      <c r="AL42" s="581"/>
      <c r="AM42" s="581"/>
      <c r="AN42" s="581"/>
      <c r="AO42" s="581"/>
      <c r="AP42" s="581"/>
      <c r="AQ42" s="581"/>
      <c r="AR42" s="581"/>
    </row>
    <row r="43" spans="1:44" ht="14.15" customHeight="1" x14ac:dyDescent="0.35">
      <c r="A43" s="581"/>
      <c r="F43" s="486"/>
      <c r="K43" s="581"/>
      <c r="L43" s="581"/>
      <c r="M43" s="581"/>
      <c r="N43" s="581"/>
      <c r="O43" s="581"/>
      <c r="P43" s="581"/>
      <c r="Q43" s="149"/>
      <c r="R43" s="149"/>
      <c r="S43" s="149"/>
      <c r="T43" s="149"/>
      <c r="U43" s="149"/>
      <c r="V43" s="149"/>
      <c r="W43" s="149"/>
      <c r="AA43" s="581"/>
      <c r="AB43" s="581"/>
      <c r="AC43" s="581"/>
      <c r="AD43" s="581"/>
      <c r="AE43" s="581"/>
      <c r="AF43" s="581"/>
      <c r="AG43" s="581"/>
      <c r="AH43" s="581"/>
      <c r="AI43" s="581"/>
      <c r="AJ43" s="581"/>
      <c r="AK43" s="581"/>
      <c r="AL43" s="581"/>
      <c r="AM43" s="581"/>
      <c r="AN43" s="581"/>
      <c r="AO43" s="581"/>
      <c r="AP43" s="581"/>
      <c r="AQ43" s="581"/>
      <c r="AR43" s="581"/>
    </row>
    <row r="44" spans="1:44" ht="14.15" customHeight="1" x14ac:dyDescent="0.35">
      <c r="A44" s="581"/>
      <c r="D44" s="256" t="str">
        <f>IF(F40="Yes","This figure will be adjusted for the number of chargeable days (if not a full year) and used","")</f>
        <v/>
      </c>
      <c r="F44" s="486"/>
      <c r="K44" s="581"/>
      <c r="L44" s="581"/>
      <c r="M44" s="581"/>
      <c r="N44" s="581"/>
      <c r="O44" s="581"/>
      <c r="P44" s="581"/>
      <c r="Q44" s="149"/>
      <c r="R44" s="149"/>
      <c r="S44" s="149"/>
      <c r="T44" s="149"/>
      <c r="U44" s="149"/>
      <c r="V44" s="149"/>
      <c r="W44" s="149"/>
      <c r="AA44" s="581"/>
      <c r="AB44" s="581"/>
      <c r="AC44" s="581"/>
      <c r="AD44" s="581"/>
      <c r="AE44" s="581"/>
      <c r="AF44" s="581"/>
      <c r="AG44" s="581"/>
      <c r="AH44" s="581"/>
      <c r="AI44" s="581"/>
      <c r="AJ44" s="581"/>
      <c r="AK44" s="581"/>
      <c r="AL44" s="581"/>
      <c r="AM44" s="581"/>
      <c r="AN44" s="581"/>
      <c r="AO44" s="581"/>
      <c r="AP44" s="581"/>
      <c r="AQ44" s="581"/>
      <c r="AR44" s="581"/>
    </row>
    <row r="45" spans="1:44" ht="14.15" customHeight="1" x14ac:dyDescent="0.35">
      <c r="A45" s="581"/>
      <c r="D45" s="256" t="str">
        <f>IF(F40="Yes","in the liability calculation","")</f>
        <v/>
      </c>
      <c r="E45" s="276"/>
      <c r="H45" s="327"/>
      <c r="K45" s="581"/>
      <c r="L45" s="581"/>
      <c r="M45" s="581"/>
      <c r="N45" s="581"/>
      <c r="O45" s="581"/>
      <c r="P45" s="581"/>
      <c r="Q45" s="149"/>
      <c r="R45" s="149"/>
      <c r="S45" s="149"/>
      <c r="T45" s="149"/>
      <c r="U45" s="149"/>
      <c r="V45" s="149"/>
      <c r="W45" s="149"/>
      <c r="AA45" s="581"/>
      <c r="AB45" s="581"/>
      <c r="AC45" s="581"/>
      <c r="AD45" s="581"/>
      <c r="AE45" s="581"/>
      <c r="AF45" s="581"/>
      <c r="AG45" s="581"/>
      <c r="AH45" s="581"/>
      <c r="AI45" s="581"/>
      <c r="AJ45" s="581"/>
      <c r="AK45" s="581"/>
      <c r="AL45" s="581"/>
      <c r="AM45" s="581"/>
      <c r="AN45" s="581"/>
      <c r="AO45" s="581"/>
      <c r="AP45" s="581"/>
      <c r="AQ45" s="581"/>
      <c r="AR45" s="581"/>
    </row>
    <row r="46" spans="1:44" ht="14.15" customHeight="1" x14ac:dyDescent="0.35">
      <c r="A46" s="581"/>
      <c r="K46" s="581"/>
      <c r="L46" s="581"/>
      <c r="M46" s="581"/>
      <c r="N46" s="581"/>
      <c r="O46" s="581"/>
      <c r="P46" s="581"/>
      <c r="Q46" s="149"/>
      <c r="R46" s="149"/>
      <c r="S46" s="149"/>
      <c r="T46" s="149"/>
      <c r="U46" s="149"/>
      <c r="V46" s="149"/>
      <c r="W46" s="149"/>
      <c r="AA46" s="581"/>
      <c r="AB46" s="581"/>
      <c r="AC46" s="581"/>
      <c r="AD46" s="581"/>
      <c r="AE46" s="581"/>
      <c r="AF46" s="581"/>
      <c r="AG46" s="581"/>
      <c r="AH46" s="581"/>
      <c r="AI46" s="581"/>
      <c r="AJ46" s="581"/>
      <c r="AK46" s="581"/>
      <c r="AL46" s="581"/>
      <c r="AM46" s="581"/>
      <c r="AN46" s="581"/>
      <c r="AO46" s="581"/>
      <c r="AP46" s="581"/>
      <c r="AQ46" s="581"/>
      <c r="AR46" s="581"/>
    </row>
    <row r="47" spans="1:44" ht="14.15" customHeight="1" x14ac:dyDescent="0.35">
      <c r="A47" s="581"/>
      <c r="E47" s="276"/>
      <c r="H47" s="327"/>
      <c r="K47" s="581"/>
      <c r="L47" s="581"/>
      <c r="M47" s="581"/>
      <c r="N47" s="581"/>
      <c r="O47" s="581"/>
      <c r="P47" s="581"/>
      <c r="Q47" s="149"/>
      <c r="R47" s="149"/>
      <c r="S47" s="149"/>
      <c r="T47" s="149"/>
      <c r="U47" s="149"/>
      <c r="V47" s="149"/>
      <c r="W47" s="149"/>
      <c r="AA47" s="581"/>
      <c r="AB47" s="581"/>
      <c r="AC47" s="581"/>
      <c r="AD47" s="581"/>
      <c r="AE47" s="581"/>
      <c r="AF47" s="581"/>
      <c r="AG47" s="581"/>
      <c r="AH47" s="581"/>
      <c r="AI47" s="581"/>
      <c r="AJ47" s="581"/>
      <c r="AK47" s="581"/>
      <c r="AL47" s="581"/>
      <c r="AM47" s="581"/>
      <c r="AN47" s="581"/>
      <c r="AO47" s="581"/>
      <c r="AP47" s="581"/>
      <c r="AQ47" s="581"/>
      <c r="AR47" s="581"/>
    </row>
    <row r="48" spans="1:44" ht="9" customHeight="1" x14ac:dyDescent="0.25">
      <c r="A48" s="581"/>
      <c r="K48" s="581"/>
      <c r="L48" s="581"/>
      <c r="M48" s="581"/>
      <c r="N48" s="581"/>
      <c r="O48" s="581"/>
      <c r="P48" s="581"/>
      <c r="AA48" s="581"/>
      <c r="AB48" s="581"/>
      <c r="AC48" s="581"/>
      <c r="AD48" s="581"/>
      <c r="AE48" s="581"/>
      <c r="AF48" s="581"/>
      <c r="AG48" s="581"/>
      <c r="AH48" s="581"/>
      <c r="AI48" s="581"/>
      <c r="AJ48" s="581"/>
      <c r="AK48" s="581"/>
      <c r="AL48" s="581"/>
      <c r="AM48" s="581"/>
      <c r="AN48" s="581"/>
      <c r="AO48" s="581"/>
      <c r="AP48" s="581"/>
      <c r="AQ48" s="581"/>
      <c r="AR48" s="581"/>
    </row>
    <row r="49" spans="1:44" ht="12.5" x14ac:dyDescent="0.25">
      <c r="A49" s="581"/>
      <c r="C49" s="283"/>
      <c r="D49" s="283"/>
      <c r="E49" s="335"/>
      <c r="F49" s="335"/>
      <c r="G49" s="335"/>
      <c r="H49" s="283"/>
      <c r="I49" s="487"/>
      <c r="J49" s="283"/>
      <c r="K49" s="581"/>
      <c r="L49" s="581"/>
      <c r="M49" s="581"/>
      <c r="N49" s="581"/>
      <c r="O49" s="581"/>
      <c r="P49" s="581"/>
      <c r="AA49" s="581"/>
      <c r="AB49" s="581"/>
      <c r="AC49" s="581"/>
      <c r="AD49" s="581"/>
      <c r="AE49" s="581"/>
      <c r="AF49" s="581"/>
      <c r="AG49" s="581"/>
      <c r="AH49" s="581"/>
      <c r="AI49" s="581"/>
      <c r="AJ49" s="581"/>
      <c r="AK49" s="581"/>
      <c r="AL49" s="581"/>
      <c r="AM49" s="581"/>
      <c r="AN49" s="581"/>
      <c r="AO49" s="581"/>
      <c r="AP49" s="581"/>
      <c r="AQ49" s="581"/>
      <c r="AR49" s="581"/>
    </row>
    <row r="50" spans="1:44" ht="11.25" customHeight="1" x14ac:dyDescent="0.25">
      <c r="A50" s="581"/>
      <c r="K50" s="581"/>
      <c r="L50" s="581"/>
      <c r="M50" s="581"/>
      <c r="N50" s="581"/>
      <c r="O50" s="581"/>
      <c r="P50" s="581"/>
      <c r="AA50" s="581"/>
      <c r="AB50" s="581"/>
      <c r="AC50" s="581"/>
      <c r="AD50" s="581"/>
      <c r="AE50" s="581"/>
      <c r="AF50" s="581"/>
      <c r="AG50" s="581"/>
      <c r="AH50" s="581"/>
      <c r="AI50" s="581"/>
      <c r="AJ50" s="581"/>
      <c r="AK50" s="581"/>
      <c r="AL50" s="581"/>
      <c r="AM50" s="581"/>
      <c r="AN50" s="581"/>
      <c r="AO50" s="581"/>
      <c r="AP50" s="581"/>
      <c r="AQ50" s="581"/>
      <c r="AR50" s="581"/>
    </row>
    <row r="51" spans="1:44" ht="21" customHeight="1" x14ac:dyDescent="0.35">
      <c r="A51" s="581"/>
      <c r="C51" s="256" t="str">
        <f>'basic output'!C57</f>
        <v>prepared by</v>
      </c>
      <c r="D51" s="488" t="str">
        <f>'basic output'!E57</f>
        <v>CBRE</v>
      </c>
      <c r="K51" s="581"/>
      <c r="L51" s="581"/>
      <c r="M51" s="581"/>
      <c r="N51" s="581"/>
      <c r="O51" s="581"/>
      <c r="P51" s="581"/>
      <c r="AA51" s="581"/>
      <c r="AB51" s="581"/>
      <c r="AC51" s="581"/>
      <c r="AD51" s="581"/>
      <c r="AE51" s="581"/>
      <c r="AF51" s="581"/>
      <c r="AG51" s="581"/>
      <c r="AH51" s="581"/>
      <c r="AI51" s="581"/>
      <c r="AJ51" s="581"/>
      <c r="AK51" s="581"/>
      <c r="AL51" s="581"/>
      <c r="AM51" s="581"/>
      <c r="AN51" s="581"/>
      <c r="AO51" s="581"/>
      <c r="AP51" s="581"/>
      <c r="AQ51" s="581"/>
      <c r="AR51" s="581"/>
    </row>
    <row r="52" spans="1:44" ht="24" customHeight="1" x14ac:dyDescent="0.25">
      <c r="A52" s="581"/>
      <c r="K52" s="581"/>
      <c r="L52" s="581"/>
      <c r="M52" s="581"/>
      <c r="N52" s="581"/>
      <c r="O52" s="581"/>
      <c r="P52" s="581"/>
      <c r="AA52" s="581"/>
      <c r="AB52" s="581"/>
      <c r="AC52" s="581"/>
      <c r="AD52" s="581"/>
      <c r="AE52" s="581"/>
      <c r="AF52" s="581"/>
      <c r="AG52" s="581"/>
      <c r="AH52" s="581"/>
      <c r="AI52" s="581"/>
      <c r="AJ52" s="581"/>
      <c r="AK52" s="581"/>
      <c r="AL52" s="581"/>
      <c r="AM52" s="581"/>
      <c r="AN52" s="581"/>
      <c r="AO52" s="581"/>
      <c r="AP52" s="581"/>
      <c r="AQ52" s="581"/>
      <c r="AR52" s="581"/>
    </row>
    <row r="53" spans="1:44" ht="12.75" customHeight="1" x14ac:dyDescent="0.25">
      <c r="A53" s="581"/>
      <c r="B53" s="581"/>
      <c r="C53" s="581"/>
      <c r="D53" s="581"/>
      <c r="E53" s="581"/>
      <c r="F53" s="581"/>
      <c r="G53" s="581"/>
      <c r="H53" s="581"/>
      <c r="I53" s="581"/>
      <c r="J53" s="581"/>
      <c r="K53" s="581"/>
      <c r="L53" s="581"/>
      <c r="M53" s="581"/>
      <c r="N53" s="581"/>
      <c r="O53" s="581"/>
      <c r="P53" s="581"/>
      <c r="AA53" s="581"/>
      <c r="AB53" s="581"/>
      <c r="AC53" s="581"/>
      <c r="AD53" s="581"/>
      <c r="AE53" s="581"/>
      <c r="AF53" s="581"/>
      <c r="AG53" s="581"/>
      <c r="AH53" s="581"/>
      <c r="AI53" s="581"/>
      <c r="AJ53" s="581"/>
      <c r="AK53" s="581"/>
      <c r="AL53" s="581"/>
      <c r="AM53" s="581"/>
      <c r="AN53" s="581"/>
      <c r="AO53" s="581"/>
      <c r="AP53" s="581"/>
      <c r="AQ53" s="581"/>
      <c r="AR53" s="581"/>
    </row>
    <row r="54" spans="1:44" ht="12.75" customHeight="1" x14ac:dyDescent="0.25">
      <c r="A54" s="581"/>
      <c r="B54" s="581"/>
      <c r="C54" s="581"/>
      <c r="D54" s="581"/>
      <c r="E54" s="581"/>
      <c r="F54" s="581"/>
      <c r="G54" s="581"/>
      <c r="H54" s="581"/>
      <c r="I54" s="581"/>
      <c r="J54" s="581"/>
      <c r="K54" s="581"/>
      <c r="L54" s="581"/>
      <c r="M54" s="581"/>
      <c r="N54" s="581"/>
      <c r="O54" s="581"/>
      <c r="P54" s="581"/>
      <c r="AA54" s="581"/>
      <c r="AB54" s="581"/>
      <c r="AC54" s="581"/>
      <c r="AD54" s="581"/>
      <c r="AE54" s="581"/>
      <c r="AF54" s="581"/>
      <c r="AG54" s="581"/>
      <c r="AH54" s="581"/>
      <c r="AI54" s="581"/>
      <c r="AJ54" s="581"/>
      <c r="AK54" s="581"/>
      <c r="AL54" s="581"/>
      <c r="AM54" s="581"/>
      <c r="AN54" s="581"/>
      <c r="AO54" s="581"/>
      <c r="AP54" s="581"/>
      <c r="AQ54" s="581"/>
      <c r="AR54" s="581"/>
    </row>
    <row r="55" spans="1:44" ht="12.75" customHeight="1" x14ac:dyDescent="0.25">
      <c r="A55" s="581"/>
      <c r="B55" s="581"/>
      <c r="C55" s="581"/>
      <c r="D55" s="581"/>
      <c r="E55" s="581"/>
      <c r="F55" s="581"/>
      <c r="G55" s="581"/>
      <c r="H55" s="581"/>
      <c r="I55" s="581"/>
      <c r="J55" s="581"/>
      <c r="K55" s="581"/>
      <c r="L55" s="581"/>
      <c r="M55" s="581"/>
      <c r="N55" s="581"/>
      <c r="O55" s="581"/>
      <c r="P55" s="581"/>
      <c r="AA55" s="581"/>
      <c r="AB55" s="581"/>
      <c r="AC55" s="581"/>
      <c r="AD55" s="581"/>
      <c r="AE55" s="581"/>
      <c r="AF55" s="581"/>
      <c r="AG55" s="581"/>
      <c r="AH55" s="581"/>
      <c r="AI55" s="581"/>
      <c r="AJ55" s="581"/>
      <c r="AK55" s="581"/>
      <c r="AL55" s="581"/>
      <c r="AM55" s="581"/>
      <c r="AN55" s="581"/>
      <c r="AO55" s="581"/>
      <c r="AP55" s="581"/>
      <c r="AQ55" s="581"/>
      <c r="AR55" s="581"/>
    </row>
    <row r="56" spans="1:44" ht="12.75" customHeight="1" x14ac:dyDescent="0.25">
      <c r="A56" s="581"/>
      <c r="B56" s="581"/>
      <c r="C56" s="581"/>
      <c r="D56" s="581"/>
      <c r="E56" s="581"/>
      <c r="F56" s="581"/>
      <c r="G56" s="581"/>
      <c r="H56" s="581"/>
      <c r="I56" s="581"/>
      <c r="J56" s="581"/>
      <c r="K56" s="581"/>
      <c r="L56" s="581"/>
      <c r="M56" s="581"/>
      <c r="N56" s="581"/>
      <c r="O56" s="581"/>
      <c r="P56" s="581"/>
      <c r="AA56" s="581"/>
      <c r="AB56" s="581"/>
      <c r="AC56" s="581"/>
      <c r="AD56" s="581"/>
      <c r="AE56" s="581"/>
      <c r="AF56" s="581"/>
      <c r="AG56" s="581"/>
      <c r="AH56" s="581"/>
      <c r="AI56" s="581"/>
      <c r="AJ56" s="581"/>
      <c r="AK56" s="581"/>
      <c r="AL56" s="581"/>
      <c r="AM56" s="581"/>
      <c r="AN56" s="581"/>
      <c r="AO56" s="581"/>
      <c r="AP56" s="581"/>
      <c r="AQ56" s="581"/>
      <c r="AR56" s="581"/>
    </row>
    <row r="57" spans="1:44" ht="12.75" customHeight="1" x14ac:dyDescent="0.25">
      <c r="A57" s="581"/>
      <c r="B57" s="581"/>
      <c r="C57" s="581"/>
      <c r="D57" s="581"/>
      <c r="E57" s="581"/>
      <c r="F57" s="581"/>
      <c r="G57" s="581"/>
      <c r="H57" s="581"/>
      <c r="I57" s="581"/>
      <c r="J57" s="581"/>
      <c r="K57" s="581"/>
      <c r="L57" s="581"/>
      <c r="M57" s="581"/>
      <c r="N57" s="581"/>
      <c r="O57" s="581"/>
      <c r="P57" s="581"/>
      <c r="AA57" s="581"/>
      <c r="AB57" s="581"/>
      <c r="AC57" s="581"/>
      <c r="AD57" s="581"/>
      <c r="AE57" s="581"/>
      <c r="AF57" s="581"/>
      <c r="AG57" s="581"/>
      <c r="AH57" s="581"/>
      <c r="AI57" s="581"/>
      <c r="AJ57" s="581"/>
      <c r="AK57" s="581"/>
      <c r="AL57" s="581"/>
      <c r="AM57" s="581"/>
      <c r="AN57" s="581"/>
      <c r="AO57" s="581"/>
      <c r="AP57" s="581"/>
      <c r="AQ57" s="581"/>
      <c r="AR57" s="581"/>
    </row>
    <row r="58" spans="1:44" ht="12.75" customHeight="1" x14ac:dyDescent="0.25">
      <c r="A58" s="581"/>
      <c r="B58" s="581"/>
      <c r="C58" s="581"/>
      <c r="D58" s="581"/>
      <c r="E58" s="581"/>
      <c r="F58" s="581"/>
      <c r="G58" s="581"/>
      <c r="H58" s="581"/>
      <c r="I58" s="581"/>
      <c r="J58" s="581"/>
      <c r="K58" s="581"/>
      <c r="L58" s="581"/>
      <c r="M58" s="581"/>
      <c r="N58" s="581"/>
      <c r="O58" s="581"/>
      <c r="P58" s="581"/>
      <c r="AA58" s="581"/>
      <c r="AB58" s="581"/>
      <c r="AC58" s="581"/>
      <c r="AD58" s="581"/>
      <c r="AE58" s="581"/>
      <c r="AF58" s="581"/>
      <c r="AG58" s="581"/>
      <c r="AH58" s="581"/>
      <c r="AI58" s="581"/>
      <c r="AJ58" s="581"/>
      <c r="AK58" s="581"/>
      <c r="AL58" s="581"/>
      <c r="AM58" s="581"/>
      <c r="AN58" s="581"/>
      <c r="AO58" s="581"/>
      <c r="AP58" s="581"/>
      <c r="AQ58" s="581"/>
      <c r="AR58" s="581"/>
    </row>
    <row r="59" spans="1:44" ht="12.75" customHeight="1" x14ac:dyDescent="0.25">
      <c r="A59" s="581"/>
      <c r="B59" s="581"/>
      <c r="C59" s="581"/>
      <c r="D59" s="581"/>
      <c r="E59" s="581"/>
      <c r="F59" s="581"/>
      <c r="G59" s="581"/>
      <c r="H59" s="581"/>
      <c r="I59" s="581"/>
      <c r="J59" s="581"/>
      <c r="K59" s="581"/>
      <c r="L59" s="581"/>
      <c r="M59" s="581"/>
      <c r="N59" s="581"/>
      <c r="O59" s="581"/>
      <c r="P59" s="581"/>
      <c r="AA59" s="581"/>
      <c r="AB59" s="581"/>
      <c r="AC59" s="581"/>
      <c r="AD59" s="581"/>
      <c r="AE59" s="581"/>
      <c r="AF59" s="581"/>
      <c r="AG59" s="581"/>
      <c r="AH59" s="581"/>
      <c r="AI59" s="581"/>
      <c r="AJ59" s="581"/>
      <c r="AK59" s="581"/>
      <c r="AL59" s="581"/>
      <c r="AM59" s="581"/>
      <c r="AN59" s="581"/>
      <c r="AO59" s="581"/>
      <c r="AP59" s="581"/>
      <c r="AQ59" s="581"/>
      <c r="AR59" s="581"/>
    </row>
    <row r="60" spans="1:44" ht="12.75" customHeight="1" x14ac:dyDescent="0.25">
      <c r="A60" s="581"/>
      <c r="B60" s="581"/>
      <c r="C60" s="581"/>
      <c r="D60" s="581"/>
      <c r="E60" s="581"/>
      <c r="F60" s="581"/>
      <c r="G60" s="581"/>
      <c r="H60" s="581"/>
      <c r="I60" s="581"/>
      <c r="J60" s="581"/>
      <c r="K60" s="581"/>
      <c r="L60" s="581"/>
      <c r="M60" s="581"/>
      <c r="N60" s="581"/>
      <c r="O60" s="581"/>
      <c r="P60" s="581"/>
      <c r="AA60" s="581"/>
      <c r="AB60" s="581"/>
      <c r="AC60" s="581"/>
      <c r="AD60" s="581"/>
      <c r="AE60" s="581"/>
      <c r="AF60" s="581"/>
      <c r="AG60" s="581"/>
      <c r="AH60" s="581"/>
      <c r="AI60" s="581"/>
      <c r="AJ60" s="581"/>
      <c r="AK60" s="581"/>
      <c r="AL60" s="581"/>
      <c r="AM60" s="581"/>
      <c r="AN60" s="581"/>
      <c r="AO60" s="581"/>
      <c r="AP60" s="581"/>
      <c r="AQ60" s="581"/>
      <c r="AR60" s="581"/>
    </row>
    <row r="61" spans="1:44" ht="12.75" customHeight="1" x14ac:dyDescent="0.25">
      <c r="A61" s="581"/>
      <c r="B61" s="581"/>
      <c r="C61" s="581"/>
      <c r="D61" s="581"/>
      <c r="E61" s="581"/>
      <c r="F61" s="581"/>
      <c r="G61" s="581"/>
      <c r="H61" s="581"/>
      <c r="I61" s="581"/>
      <c r="J61" s="581"/>
      <c r="K61" s="581"/>
      <c r="L61" s="581"/>
      <c r="M61" s="581"/>
      <c r="N61" s="581"/>
      <c r="O61" s="581"/>
      <c r="P61" s="581"/>
      <c r="AA61" s="581"/>
      <c r="AB61" s="581"/>
      <c r="AC61" s="581"/>
      <c r="AD61" s="581"/>
      <c r="AE61" s="581"/>
      <c r="AF61" s="581"/>
      <c r="AG61" s="581"/>
      <c r="AH61" s="581"/>
      <c r="AI61" s="581"/>
      <c r="AJ61" s="581"/>
      <c r="AK61" s="581"/>
      <c r="AL61" s="581"/>
      <c r="AM61" s="581"/>
      <c r="AN61" s="581"/>
      <c r="AO61" s="581"/>
      <c r="AP61" s="581"/>
      <c r="AQ61" s="581"/>
      <c r="AR61" s="581"/>
    </row>
    <row r="62" spans="1:44" ht="12.75" customHeight="1" x14ac:dyDescent="0.25">
      <c r="A62" s="581"/>
      <c r="B62" s="581"/>
      <c r="C62" s="581"/>
      <c r="D62" s="581"/>
      <c r="E62" s="581"/>
      <c r="F62" s="581"/>
      <c r="G62" s="581"/>
      <c r="H62" s="581"/>
      <c r="I62" s="581"/>
      <c r="J62" s="581"/>
      <c r="K62" s="581"/>
      <c r="L62" s="581"/>
      <c r="M62" s="581"/>
      <c r="N62" s="581"/>
      <c r="O62" s="581"/>
      <c r="P62" s="581"/>
      <c r="AA62" s="581"/>
      <c r="AB62" s="581"/>
      <c r="AC62" s="581"/>
      <c r="AD62" s="581"/>
      <c r="AE62" s="581"/>
      <c r="AF62" s="581"/>
      <c r="AG62" s="581"/>
      <c r="AH62" s="581"/>
      <c r="AI62" s="581"/>
      <c r="AJ62" s="581"/>
      <c r="AK62" s="581"/>
      <c r="AL62" s="581"/>
      <c r="AM62" s="581"/>
      <c r="AN62" s="581"/>
      <c r="AO62" s="581"/>
      <c r="AP62" s="581"/>
      <c r="AQ62" s="581"/>
      <c r="AR62" s="581"/>
    </row>
    <row r="63" spans="1:44" ht="12.75" customHeight="1" x14ac:dyDescent="0.25">
      <c r="A63" s="581"/>
      <c r="B63" s="581"/>
      <c r="C63" s="581"/>
      <c r="D63" s="581"/>
      <c r="E63" s="581"/>
      <c r="F63" s="581"/>
      <c r="G63" s="581"/>
      <c r="H63" s="581"/>
      <c r="I63" s="581"/>
      <c r="J63" s="581"/>
      <c r="K63" s="581"/>
      <c r="L63" s="581"/>
      <c r="M63" s="581"/>
      <c r="N63" s="581"/>
      <c r="O63" s="581"/>
      <c r="P63" s="581"/>
      <c r="AA63" s="581"/>
      <c r="AB63" s="581"/>
      <c r="AC63" s="581"/>
      <c r="AD63" s="581"/>
      <c r="AE63" s="581"/>
      <c r="AF63" s="581"/>
      <c r="AG63" s="581"/>
      <c r="AH63" s="581"/>
      <c r="AI63" s="581"/>
      <c r="AJ63" s="581"/>
      <c r="AK63" s="581"/>
      <c r="AL63" s="581"/>
      <c r="AM63" s="581"/>
      <c r="AN63" s="581"/>
      <c r="AO63" s="581"/>
      <c r="AP63" s="581"/>
      <c r="AQ63" s="581"/>
      <c r="AR63" s="581"/>
    </row>
    <row r="64" spans="1:44" ht="12.75" customHeight="1" x14ac:dyDescent="0.25">
      <c r="A64" s="581"/>
      <c r="B64" s="581"/>
      <c r="C64" s="581"/>
      <c r="D64" s="581"/>
      <c r="E64" s="581"/>
      <c r="F64" s="581"/>
      <c r="G64" s="581"/>
      <c r="H64" s="581"/>
      <c r="I64" s="581"/>
      <c r="J64" s="581"/>
      <c r="K64" s="581"/>
      <c r="L64" s="581"/>
      <c r="M64" s="581"/>
      <c r="N64" s="581"/>
      <c r="O64" s="581"/>
      <c r="P64" s="581"/>
      <c r="AA64" s="581"/>
      <c r="AB64" s="581"/>
      <c r="AC64" s="581"/>
      <c r="AD64" s="581"/>
      <c r="AE64" s="581"/>
      <c r="AF64" s="581"/>
      <c r="AG64" s="581"/>
      <c r="AH64" s="581"/>
      <c r="AI64" s="581"/>
      <c r="AJ64" s="581"/>
      <c r="AK64" s="581"/>
      <c r="AL64" s="581"/>
      <c r="AM64" s="581"/>
      <c r="AN64" s="581"/>
      <c r="AO64" s="581"/>
      <c r="AP64" s="581"/>
      <c r="AQ64" s="581"/>
      <c r="AR64" s="581"/>
    </row>
    <row r="65" spans="1:44" ht="12.75" customHeight="1" x14ac:dyDescent="0.25">
      <c r="A65" s="581"/>
      <c r="B65" s="581"/>
      <c r="C65" s="581"/>
      <c r="D65" s="581"/>
      <c r="E65" s="581"/>
      <c r="F65" s="581"/>
      <c r="G65" s="581"/>
      <c r="H65" s="581"/>
      <c r="I65" s="581"/>
      <c r="J65" s="581"/>
      <c r="K65" s="581"/>
      <c r="L65" s="581"/>
      <c r="M65" s="581"/>
      <c r="N65" s="581"/>
      <c r="O65" s="581"/>
      <c r="P65" s="581"/>
      <c r="AA65" s="581"/>
      <c r="AB65" s="581"/>
      <c r="AC65" s="581"/>
      <c r="AD65" s="581"/>
      <c r="AE65" s="581"/>
      <c r="AF65" s="581"/>
      <c r="AG65" s="581"/>
      <c r="AH65" s="581"/>
      <c r="AI65" s="581"/>
      <c r="AJ65" s="581"/>
      <c r="AK65" s="581"/>
      <c r="AL65" s="581"/>
      <c r="AM65" s="581"/>
      <c r="AN65" s="581"/>
      <c r="AO65" s="581"/>
      <c r="AP65" s="581"/>
      <c r="AQ65" s="581"/>
      <c r="AR65" s="581"/>
    </row>
    <row r="66" spans="1:44" ht="12.75" customHeight="1" x14ac:dyDescent="0.25">
      <c r="A66" s="581"/>
      <c r="B66" s="581"/>
      <c r="C66" s="581"/>
      <c r="D66" s="581"/>
      <c r="E66" s="581"/>
      <c r="F66" s="581"/>
      <c r="G66" s="581"/>
      <c r="H66" s="581"/>
      <c r="I66" s="581"/>
      <c r="J66" s="581"/>
      <c r="K66" s="581"/>
      <c r="L66" s="581"/>
      <c r="M66" s="581"/>
      <c r="N66" s="581"/>
      <c r="O66" s="581"/>
      <c r="P66" s="581"/>
      <c r="AA66" s="581"/>
      <c r="AB66" s="581"/>
      <c r="AC66" s="581"/>
      <c r="AD66" s="581"/>
      <c r="AE66" s="581"/>
      <c r="AF66" s="581"/>
      <c r="AG66" s="581"/>
      <c r="AH66" s="581"/>
      <c r="AI66" s="581"/>
      <c r="AJ66" s="581"/>
      <c r="AK66" s="581"/>
      <c r="AL66" s="581"/>
      <c r="AM66" s="581"/>
      <c r="AN66" s="581"/>
      <c r="AO66" s="581"/>
      <c r="AP66" s="581"/>
      <c r="AQ66" s="581"/>
      <c r="AR66" s="581"/>
    </row>
    <row r="67" spans="1:44" ht="12.75" customHeight="1" x14ac:dyDescent="0.25">
      <c r="A67" s="581"/>
      <c r="B67" s="581"/>
      <c r="C67" s="581"/>
      <c r="D67" s="581"/>
      <c r="E67" s="581"/>
      <c r="F67" s="581"/>
      <c r="G67" s="581"/>
      <c r="H67" s="581"/>
      <c r="I67" s="581"/>
      <c r="J67" s="581"/>
      <c r="K67" s="581"/>
      <c r="L67" s="581"/>
      <c r="M67" s="581"/>
      <c r="N67" s="581"/>
      <c r="O67" s="581"/>
      <c r="P67" s="581"/>
      <c r="AA67" s="581"/>
      <c r="AB67" s="581"/>
      <c r="AC67" s="581"/>
      <c r="AD67" s="581"/>
      <c r="AE67" s="581"/>
      <c r="AF67" s="581"/>
      <c r="AG67" s="581"/>
      <c r="AH67" s="581"/>
      <c r="AI67" s="581"/>
      <c r="AJ67" s="581"/>
      <c r="AK67" s="581"/>
      <c r="AL67" s="581"/>
      <c r="AM67" s="581"/>
      <c r="AN67" s="581"/>
      <c r="AO67" s="581"/>
      <c r="AP67" s="581"/>
      <c r="AQ67" s="581"/>
      <c r="AR67" s="581"/>
    </row>
    <row r="68" spans="1:44" ht="12.75" customHeight="1" x14ac:dyDescent="0.25">
      <c r="A68" s="581"/>
      <c r="B68" s="581"/>
      <c r="C68" s="581"/>
      <c r="D68" s="581"/>
      <c r="E68" s="581"/>
      <c r="F68" s="581"/>
      <c r="G68" s="581"/>
      <c r="H68" s="581"/>
      <c r="I68" s="581"/>
      <c r="J68" s="581"/>
      <c r="K68" s="581"/>
      <c r="L68" s="581"/>
      <c r="M68" s="581"/>
      <c r="N68" s="581"/>
      <c r="O68" s="581"/>
      <c r="P68" s="581"/>
      <c r="AA68" s="581"/>
      <c r="AB68" s="581"/>
      <c r="AC68" s="581"/>
      <c r="AD68" s="581"/>
      <c r="AE68" s="581"/>
      <c r="AF68" s="581"/>
      <c r="AG68" s="581"/>
      <c r="AH68" s="581"/>
      <c r="AI68" s="581"/>
      <c r="AJ68" s="581"/>
      <c r="AK68" s="581"/>
      <c r="AL68" s="581"/>
      <c r="AM68" s="581"/>
      <c r="AN68" s="581"/>
      <c r="AO68" s="581"/>
      <c r="AP68" s="581"/>
      <c r="AQ68" s="581"/>
      <c r="AR68" s="581"/>
    </row>
    <row r="69" spans="1:44" ht="12.75" customHeight="1" x14ac:dyDescent="0.25">
      <c r="A69" s="581"/>
      <c r="B69" s="581"/>
      <c r="C69" s="581"/>
      <c r="D69" s="581"/>
      <c r="E69" s="581"/>
      <c r="F69" s="581"/>
      <c r="G69" s="581"/>
      <c r="H69" s="581"/>
      <c r="I69" s="581"/>
      <c r="J69" s="581"/>
      <c r="K69" s="581"/>
      <c r="L69" s="581"/>
      <c r="M69" s="581"/>
      <c r="N69" s="581"/>
      <c r="O69" s="581"/>
      <c r="P69" s="581"/>
      <c r="AA69" s="581"/>
      <c r="AB69" s="581"/>
      <c r="AC69" s="581"/>
      <c r="AD69" s="581"/>
      <c r="AE69" s="581"/>
      <c r="AF69" s="581"/>
      <c r="AG69" s="581"/>
      <c r="AH69" s="581"/>
      <c r="AI69" s="581"/>
      <c r="AJ69" s="581"/>
      <c r="AK69" s="581"/>
      <c r="AL69" s="581"/>
      <c r="AM69" s="581"/>
      <c r="AN69" s="581"/>
      <c r="AO69" s="581"/>
      <c r="AP69" s="581"/>
      <c r="AQ69" s="581"/>
      <c r="AR69" s="581"/>
    </row>
    <row r="70" spans="1:44" ht="12.75" customHeight="1" x14ac:dyDescent="0.25">
      <c r="A70" s="581"/>
      <c r="B70" s="581"/>
      <c r="C70" s="581"/>
      <c r="D70" s="581"/>
      <c r="E70" s="581"/>
      <c r="F70" s="581"/>
      <c r="G70" s="581"/>
      <c r="H70" s="581"/>
      <c r="I70" s="581"/>
      <c r="J70" s="581"/>
      <c r="K70" s="581"/>
      <c r="L70" s="581"/>
      <c r="M70" s="581"/>
      <c r="N70" s="581"/>
      <c r="O70" s="581"/>
      <c r="P70" s="581"/>
      <c r="AA70" s="581"/>
      <c r="AB70" s="581"/>
      <c r="AC70" s="581"/>
      <c r="AD70" s="581"/>
      <c r="AE70" s="581"/>
      <c r="AF70" s="581"/>
      <c r="AG70" s="581"/>
      <c r="AH70" s="581"/>
      <c r="AI70" s="581"/>
      <c r="AJ70" s="581"/>
      <c r="AK70" s="581"/>
      <c r="AL70" s="581"/>
      <c r="AM70" s="581"/>
      <c r="AN70" s="581"/>
      <c r="AO70" s="581"/>
      <c r="AP70" s="581"/>
      <c r="AQ70" s="581"/>
      <c r="AR70" s="581"/>
    </row>
    <row r="71" spans="1:44" ht="12.75" customHeight="1" x14ac:dyDescent="0.25">
      <c r="A71" s="581"/>
      <c r="B71" s="581"/>
      <c r="C71" s="581"/>
      <c r="D71" s="581"/>
      <c r="E71" s="581"/>
      <c r="F71" s="581"/>
      <c r="G71" s="581"/>
      <c r="H71" s="581"/>
      <c r="I71" s="581"/>
      <c r="J71" s="581"/>
      <c r="K71" s="581"/>
      <c r="L71" s="581"/>
      <c r="M71" s="581"/>
      <c r="N71" s="581"/>
      <c r="O71" s="581"/>
      <c r="P71" s="581"/>
      <c r="AA71" s="581"/>
      <c r="AB71" s="581"/>
      <c r="AC71" s="581"/>
      <c r="AD71" s="581"/>
      <c r="AE71" s="581"/>
      <c r="AF71" s="581"/>
      <c r="AG71" s="581"/>
      <c r="AH71" s="581"/>
      <c r="AI71" s="581"/>
      <c r="AJ71" s="581"/>
      <c r="AK71" s="581"/>
      <c r="AL71" s="581"/>
      <c r="AM71" s="581"/>
      <c r="AN71" s="581"/>
      <c r="AO71" s="581"/>
      <c r="AP71" s="581"/>
      <c r="AQ71" s="581"/>
      <c r="AR71" s="581"/>
    </row>
    <row r="72" spans="1:44" ht="12.75" customHeight="1" x14ac:dyDescent="0.25">
      <c r="A72" s="581"/>
      <c r="B72" s="581"/>
      <c r="C72" s="581"/>
      <c r="D72" s="581"/>
      <c r="E72" s="581"/>
      <c r="F72" s="581"/>
      <c r="G72" s="581"/>
      <c r="H72" s="581"/>
      <c r="I72" s="581"/>
      <c r="J72" s="581"/>
      <c r="K72" s="581"/>
      <c r="L72" s="581"/>
      <c r="M72" s="581"/>
      <c r="N72" s="581"/>
      <c r="O72" s="581"/>
      <c r="P72" s="581"/>
      <c r="AA72" s="581"/>
      <c r="AB72" s="581"/>
      <c r="AC72" s="581"/>
      <c r="AD72" s="581"/>
      <c r="AE72" s="581"/>
      <c r="AF72" s="581"/>
      <c r="AG72" s="581"/>
      <c r="AH72" s="581"/>
      <c r="AI72" s="581"/>
      <c r="AJ72" s="581"/>
      <c r="AK72" s="581"/>
      <c r="AL72" s="581"/>
      <c r="AM72" s="581"/>
      <c r="AN72" s="581"/>
      <c r="AO72" s="581"/>
      <c r="AP72" s="581"/>
      <c r="AQ72" s="581"/>
      <c r="AR72" s="581"/>
    </row>
    <row r="73" spans="1:44" ht="12.75" customHeight="1" x14ac:dyDescent="0.25">
      <c r="A73" s="581"/>
      <c r="B73" s="581"/>
      <c r="C73" s="581"/>
      <c r="D73" s="581"/>
      <c r="E73" s="581"/>
      <c r="F73" s="581"/>
      <c r="G73" s="581"/>
      <c r="H73" s="581"/>
      <c r="I73" s="581"/>
      <c r="J73" s="581"/>
      <c r="K73" s="581"/>
      <c r="L73" s="581"/>
      <c r="M73" s="581"/>
      <c r="N73" s="581"/>
      <c r="O73" s="581"/>
      <c r="P73" s="581"/>
      <c r="AA73" s="581"/>
      <c r="AB73" s="581"/>
      <c r="AC73" s="581"/>
      <c r="AD73" s="581"/>
      <c r="AE73" s="581"/>
      <c r="AF73" s="581"/>
      <c r="AG73" s="581"/>
      <c r="AH73" s="581"/>
      <c r="AI73" s="581"/>
      <c r="AJ73" s="581"/>
      <c r="AK73" s="581"/>
      <c r="AL73" s="581"/>
      <c r="AM73" s="581"/>
      <c r="AN73" s="581"/>
      <c r="AO73" s="581"/>
      <c r="AP73" s="581"/>
      <c r="AQ73" s="581"/>
      <c r="AR73" s="581"/>
    </row>
    <row r="74" spans="1:44" ht="12.75" customHeight="1" x14ac:dyDescent="0.25">
      <c r="A74" s="581"/>
      <c r="B74" s="581"/>
      <c r="C74" s="581"/>
      <c r="D74" s="581"/>
      <c r="E74" s="581"/>
      <c r="F74" s="581"/>
      <c r="G74" s="581"/>
      <c r="H74" s="581"/>
      <c r="I74" s="581"/>
      <c r="J74" s="581"/>
      <c r="K74" s="581"/>
      <c r="L74" s="581"/>
      <c r="M74" s="581"/>
      <c r="N74" s="581"/>
      <c r="O74" s="581"/>
      <c r="P74" s="581"/>
      <c r="AA74" s="581"/>
      <c r="AB74" s="581"/>
      <c r="AC74" s="581"/>
      <c r="AD74" s="581"/>
      <c r="AE74" s="581"/>
      <c r="AF74" s="581"/>
      <c r="AG74" s="581"/>
      <c r="AH74" s="581"/>
      <c r="AI74" s="581"/>
      <c r="AJ74" s="581"/>
      <c r="AK74" s="581"/>
      <c r="AL74" s="581"/>
      <c r="AM74" s="581"/>
      <c r="AN74" s="581"/>
      <c r="AO74" s="581"/>
      <c r="AP74" s="581"/>
      <c r="AQ74" s="581"/>
      <c r="AR74" s="581"/>
    </row>
    <row r="75" spans="1:44" ht="12.75" customHeight="1" x14ac:dyDescent="0.25">
      <c r="A75" s="581"/>
      <c r="B75" s="581"/>
      <c r="C75" s="581"/>
      <c r="D75" s="581"/>
      <c r="E75" s="581"/>
      <c r="F75" s="581"/>
      <c r="G75" s="581"/>
      <c r="H75" s="581"/>
      <c r="I75" s="581"/>
      <c r="J75" s="581"/>
      <c r="K75" s="581"/>
      <c r="L75" s="581"/>
      <c r="M75" s="581"/>
      <c r="N75" s="581"/>
      <c r="O75" s="581"/>
      <c r="P75" s="581"/>
      <c r="AA75" s="581"/>
      <c r="AB75" s="581"/>
      <c r="AC75" s="581"/>
      <c r="AD75" s="581"/>
      <c r="AE75" s="581"/>
      <c r="AF75" s="581"/>
      <c r="AG75" s="581"/>
      <c r="AH75" s="581"/>
      <c r="AI75" s="581"/>
      <c r="AJ75" s="581"/>
      <c r="AK75" s="581"/>
      <c r="AL75" s="581"/>
      <c r="AM75" s="581"/>
      <c r="AN75" s="581"/>
      <c r="AO75" s="581"/>
      <c r="AP75" s="581"/>
      <c r="AQ75" s="581"/>
      <c r="AR75" s="581"/>
    </row>
    <row r="76" spans="1:44" ht="12.75" customHeight="1" x14ac:dyDescent="0.25">
      <c r="A76" s="581"/>
      <c r="B76" s="581"/>
      <c r="C76" s="581"/>
      <c r="D76" s="581"/>
      <c r="E76" s="581"/>
      <c r="F76" s="581"/>
      <c r="G76" s="581"/>
      <c r="H76" s="581"/>
      <c r="I76" s="581"/>
      <c r="J76" s="581"/>
      <c r="K76" s="581"/>
      <c r="L76" s="581"/>
      <c r="M76" s="581"/>
      <c r="N76" s="581"/>
      <c r="O76" s="581"/>
      <c r="P76" s="581"/>
      <c r="AA76" s="581"/>
      <c r="AB76" s="581"/>
      <c r="AC76" s="581"/>
      <c r="AD76" s="581"/>
      <c r="AE76" s="581"/>
      <c r="AF76" s="581"/>
      <c r="AG76" s="581"/>
      <c r="AH76" s="581"/>
      <c r="AI76" s="581"/>
      <c r="AJ76" s="581"/>
      <c r="AK76" s="581"/>
      <c r="AL76" s="581"/>
      <c r="AM76" s="581"/>
      <c r="AN76" s="581"/>
      <c r="AO76" s="581"/>
      <c r="AP76" s="581"/>
      <c r="AQ76" s="581"/>
      <c r="AR76" s="581"/>
    </row>
    <row r="77" spans="1:44" ht="12.75" customHeight="1" x14ac:dyDescent="0.25">
      <c r="A77" s="581"/>
      <c r="B77" s="581"/>
      <c r="C77" s="581"/>
      <c r="D77" s="581"/>
      <c r="E77" s="581"/>
      <c r="F77" s="581"/>
      <c r="G77" s="581"/>
      <c r="H77" s="581"/>
      <c r="I77" s="581"/>
      <c r="J77" s="581"/>
      <c r="K77" s="581"/>
      <c r="L77" s="581"/>
      <c r="M77" s="581"/>
      <c r="N77" s="581"/>
      <c r="O77" s="581"/>
      <c r="P77" s="581"/>
      <c r="AA77" s="581"/>
      <c r="AB77" s="581"/>
      <c r="AC77" s="581"/>
      <c r="AD77" s="581"/>
      <c r="AE77" s="581"/>
      <c r="AF77" s="581"/>
      <c r="AG77" s="581"/>
      <c r="AH77" s="581"/>
      <c r="AI77" s="581"/>
      <c r="AJ77" s="581"/>
      <c r="AK77" s="581"/>
      <c r="AL77" s="581"/>
      <c r="AM77" s="581"/>
      <c r="AN77" s="581"/>
      <c r="AO77" s="581"/>
      <c r="AP77" s="581"/>
      <c r="AQ77" s="581"/>
      <c r="AR77" s="581"/>
    </row>
    <row r="78" spans="1:44" ht="12.75" customHeight="1" x14ac:dyDescent="0.25">
      <c r="A78" s="581"/>
      <c r="B78" s="581"/>
      <c r="C78" s="581"/>
      <c r="D78" s="581"/>
      <c r="E78" s="581"/>
      <c r="F78" s="581"/>
      <c r="G78" s="581"/>
      <c r="H78" s="581"/>
      <c r="I78" s="581"/>
      <c r="J78" s="581"/>
      <c r="K78" s="581"/>
      <c r="L78" s="581"/>
      <c r="M78" s="581"/>
      <c r="N78" s="581"/>
      <c r="O78" s="581"/>
      <c r="P78" s="581"/>
      <c r="AA78" s="581"/>
      <c r="AB78" s="581"/>
      <c r="AC78" s="581"/>
      <c r="AD78" s="581"/>
      <c r="AE78" s="581"/>
      <c r="AF78" s="581"/>
      <c r="AG78" s="581"/>
      <c r="AH78" s="581"/>
      <c r="AI78" s="581"/>
      <c r="AJ78" s="581"/>
      <c r="AK78" s="581"/>
      <c r="AL78" s="581"/>
      <c r="AM78" s="581"/>
      <c r="AN78" s="581"/>
      <c r="AO78" s="581"/>
      <c r="AP78" s="581"/>
      <c r="AQ78" s="581"/>
      <c r="AR78" s="581"/>
    </row>
    <row r="79" spans="1:44" ht="12.75" customHeight="1" x14ac:dyDescent="0.25">
      <c r="A79" s="581"/>
      <c r="B79" s="581"/>
      <c r="C79" s="581"/>
      <c r="D79" s="581"/>
      <c r="E79" s="581"/>
      <c r="F79" s="581"/>
      <c r="G79" s="581"/>
      <c r="H79" s="581"/>
      <c r="I79" s="581"/>
      <c r="J79" s="581"/>
      <c r="K79" s="581"/>
      <c r="L79" s="581"/>
      <c r="M79" s="581"/>
      <c r="N79" s="581"/>
      <c r="O79" s="581"/>
      <c r="P79" s="581"/>
      <c r="AA79" s="581"/>
      <c r="AB79" s="581"/>
      <c r="AC79" s="581"/>
      <c r="AD79" s="581"/>
      <c r="AE79" s="581"/>
      <c r="AF79" s="581"/>
      <c r="AG79" s="581"/>
      <c r="AH79" s="581"/>
      <c r="AI79" s="581"/>
      <c r="AJ79" s="581"/>
      <c r="AK79" s="581"/>
      <c r="AL79" s="581"/>
      <c r="AM79" s="581"/>
      <c r="AN79" s="581"/>
      <c r="AO79" s="581"/>
      <c r="AP79" s="581"/>
      <c r="AQ79" s="581"/>
      <c r="AR79" s="581"/>
    </row>
    <row r="80" spans="1:44" ht="12.75" customHeight="1" x14ac:dyDescent="0.25">
      <c r="A80" s="581"/>
      <c r="B80" s="581"/>
      <c r="C80" s="581"/>
      <c r="D80" s="581"/>
      <c r="E80" s="581"/>
      <c r="F80" s="581"/>
      <c r="G80" s="581"/>
      <c r="H80" s="581"/>
      <c r="I80" s="581"/>
      <c r="J80" s="581"/>
      <c r="K80" s="581"/>
      <c r="L80" s="581"/>
      <c r="M80" s="581"/>
      <c r="N80" s="581"/>
      <c r="O80" s="581"/>
      <c r="P80" s="581"/>
      <c r="AA80" s="581"/>
      <c r="AB80" s="581"/>
      <c r="AC80" s="581"/>
      <c r="AD80" s="581"/>
      <c r="AE80" s="581"/>
      <c r="AF80" s="581"/>
      <c r="AG80" s="581"/>
      <c r="AH80" s="581"/>
      <c r="AI80" s="581"/>
      <c r="AJ80" s="581"/>
      <c r="AK80" s="581"/>
      <c r="AL80" s="581"/>
      <c r="AM80" s="581"/>
      <c r="AN80" s="581"/>
      <c r="AO80" s="581"/>
      <c r="AP80" s="581"/>
      <c r="AQ80" s="581"/>
      <c r="AR80" s="581"/>
    </row>
    <row r="81" spans="1:44" ht="12.75" customHeight="1" x14ac:dyDescent="0.25">
      <c r="A81" s="581"/>
      <c r="B81" s="581"/>
      <c r="C81" s="581"/>
      <c r="D81" s="581"/>
      <c r="E81" s="581"/>
      <c r="F81" s="581"/>
      <c r="G81" s="581"/>
      <c r="H81" s="581"/>
      <c r="I81" s="581"/>
      <c r="J81" s="581"/>
      <c r="K81" s="581"/>
      <c r="L81" s="581"/>
      <c r="M81" s="581"/>
      <c r="N81" s="581"/>
      <c r="O81" s="581"/>
      <c r="P81" s="581"/>
      <c r="AA81" s="581"/>
      <c r="AB81" s="581"/>
      <c r="AC81" s="581"/>
      <c r="AD81" s="581"/>
      <c r="AE81" s="581"/>
      <c r="AF81" s="581"/>
      <c r="AG81" s="581"/>
      <c r="AH81" s="581"/>
      <c r="AI81" s="581"/>
      <c r="AJ81" s="581"/>
      <c r="AK81" s="581"/>
      <c r="AL81" s="581"/>
      <c r="AM81" s="581"/>
      <c r="AN81" s="581"/>
      <c r="AO81" s="581"/>
      <c r="AP81" s="581"/>
      <c r="AQ81" s="581"/>
      <c r="AR81" s="581"/>
    </row>
    <row r="82" spans="1:44" ht="12.75" customHeight="1" x14ac:dyDescent="0.25">
      <c r="A82" s="581"/>
      <c r="B82" s="581"/>
      <c r="C82" s="581"/>
      <c r="D82" s="581"/>
      <c r="E82" s="581"/>
      <c r="F82" s="581"/>
      <c r="G82" s="581"/>
      <c r="H82" s="581"/>
      <c r="I82" s="581"/>
      <c r="J82" s="581"/>
      <c r="K82" s="581"/>
      <c r="L82" s="581"/>
      <c r="M82" s="581"/>
      <c r="N82" s="581"/>
      <c r="O82" s="581"/>
      <c r="P82" s="581"/>
      <c r="AA82" s="581"/>
      <c r="AB82" s="581"/>
      <c r="AC82" s="581"/>
      <c r="AD82" s="581"/>
      <c r="AE82" s="581"/>
      <c r="AF82" s="581"/>
      <c r="AG82" s="581"/>
      <c r="AH82" s="581"/>
      <c r="AI82" s="581"/>
      <c r="AJ82" s="581"/>
      <c r="AK82" s="581"/>
      <c r="AL82" s="581"/>
      <c r="AM82" s="581"/>
      <c r="AN82" s="581"/>
      <c r="AO82" s="581"/>
      <c r="AP82" s="581"/>
      <c r="AQ82" s="581"/>
      <c r="AR82" s="581"/>
    </row>
    <row r="83" spans="1:44" ht="12.75" customHeight="1" x14ac:dyDescent="0.25">
      <c r="A83" s="581"/>
      <c r="B83" s="581"/>
      <c r="C83" s="581"/>
      <c r="D83" s="581"/>
      <c r="E83" s="581"/>
      <c r="F83" s="581"/>
      <c r="G83" s="581"/>
      <c r="H83" s="581"/>
      <c r="I83" s="581"/>
      <c r="J83" s="581"/>
      <c r="K83" s="581"/>
      <c r="L83" s="581"/>
      <c r="M83" s="581"/>
      <c r="N83" s="581"/>
      <c r="O83" s="581"/>
      <c r="P83" s="581"/>
      <c r="AA83" s="581"/>
      <c r="AB83" s="581"/>
      <c r="AC83" s="581"/>
      <c r="AD83" s="581"/>
      <c r="AE83" s="581"/>
      <c r="AF83" s="581"/>
      <c r="AG83" s="581"/>
      <c r="AH83" s="581"/>
      <c r="AI83" s="581"/>
      <c r="AJ83" s="581"/>
      <c r="AK83" s="581"/>
      <c r="AL83" s="581"/>
      <c r="AM83" s="581"/>
      <c r="AN83" s="581"/>
      <c r="AO83" s="581"/>
      <c r="AP83" s="581"/>
      <c r="AQ83" s="581"/>
      <c r="AR83" s="581"/>
    </row>
    <row r="84" spans="1:44" ht="12.75" customHeight="1" x14ac:dyDescent="0.25">
      <c r="A84" s="581"/>
      <c r="B84" s="581"/>
      <c r="C84" s="581"/>
      <c r="D84" s="581"/>
      <c r="E84" s="581"/>
      <c r="F84" s="581"/>
      <c r="G84" s="581"/>
      <c r="H84" s="581"/>
      <c r="I84" s="581"/>
      <c r="J84" s="581"/>
      <c r="K84" s="581"/>
      <c r="L84" s="581"/>
      <c r="M84" s="581"/>
      <c r="N84" s="581"/>
      <c r="O84" s="581"/>
      <c r="P84" s="581"/>
      <c r="AA84" s="581"/>
      <c r="AB84" s="581"/>
      <c r="AC84" s="581"/>
      <c r="AD84" s="581"/>
      <c r="AE84" s="581"/>
      <c r="AF84" s="581"/>
      <c r="AG84" s="581"/>
      <c r="AH84" s="581"/>
      <c r="AI84" s="581"/>
      <c r="AJ84" s="581"/>
      <c r="AK84" s="581"/>
      <c r="AL84" s="581"/>
      <c r="AM84" s="581"/>
      <c r="AN84" s="581"/>
      <c r="AO84" s="581"/>
      <c r="AP84" s="581"/>
      <c r="AQ84" s="581"/>
      <c r="AR84" s="581"/>
    </row>
    <row r="85" spans="1:44" ht="12.75" customHeight="1" x14ac:dyDescent="0.25">
      <c r="A85" s="581"/>
      <c r="B85" s="581"/>
      <c r="C85" s="581"/>
      <c r="D85" s="581"/>
      <c r="E85" s="581"/>
      <c r="F85" s="581"/>
      <c r="G85" s="581"/>
      <c r="H85" s="581"/>
      <c r="I85" s="581"/>
      <c r="J85" s="581"/>
      <c r="K85" s="581"/>
      <c r="L85" s="581"/>
      <c r="M85" s="581"/>
      <c r="N85" s="581"/>
      <c r="O85" s="581"/>
      <c r="P85" s="581"/>
      <c r="AA85" s="581"/>
      <c r="AB85" s="581"/>
      <c r="AC85" s="581"/>
      <c r="AD85" s="581"/>
      <c r="AE85" s="581"/>
      <c r="AF85" s="581"/>
      <c r="AG85" s="581"/>
      <c r="AH85" s="581"/>
      <c r="AI85" s="581"/>
      <c r="AJ85" s="581"/>
      <c r="AK85" s="581"/>
      <c r="AL85" s="581"/>
      <c r="AM85" s="581"/>
      <c r="AN85" s="581"/>
      <c r="AO85" s="581"/>
      <c r="AP85" s="581"/>
      <c r="AQ85" s="581"/>
      <c r="AR85" s="581"/>
    </row>
    <row r="86" spans="1:44" ht="12.75" customHeight="1" x14ac:dyDescent="0.25">
      <c r="A86" s="581"/>
      <c r="B86" s="581"/>
      <c r="C86" s="581"/>
      <c r="D86" s="581"/>
      <c r="E86" s="581"/>
      <c r="F86" s="581"/>
      <c r="G86" s="581"/>
      <c r="H86" s="581"/>
      <c r="I86" s="581"/>
      <c r="J86" s="581"/>
      <c r="K86" s="581"/>
      <c r="L86" s="581"/>
      <c r="M86" s="581"/>
      <c r="N86" s="581"/>
      <c r="O86" s="581"/>
      <c r="P86" s="581"/>
      <c r="AA86" s="581"/>
      <c r="AB86" s="581"/>
      <c r="AC86" s="581"/>
      <c r="AD86" s="581"/>
      <c r="AE86" s="581"/>
      <c r="AF86" s="581"/>
      <c r="AG86" s="581"/>
      <c r="AH86" s="581"/>
      <c r="AI86" s="581"/>
      <c r="AJ86" s="581"/>
      <c r="AK86" s="581"/>
      <c r="AL86" s="581"/>
      <c r="AM86" s="581"/>
      <c r="AN86" s="581"/>
      <c r="AO86" s="581"/>
      <c r="AP86" s="581"/>
      <c r="AQ86" s="581"/>
      <c r="AR86" s="581"/>
    </row>
    <row r="87" spans="1:44" ht="12.75" customHeight="1" x14ac:dyDescent="0.25">
      <c r="A87" s="581"/>
      <c r="B87" s="581"/>
      <c r="C87" s="581"/>
      <c r="D87" s="581"/>
      <c r="E87" s="581"/>
      <c r="F87" s="581"/>
      <c r="G87" s="581"/>
      <c r="H87" s="581"/>
      <c r="I87" s="581"/>
      <c r="J87" s="581"/>
      <c r="K87" s="581"/>
      <c r="L87" s="581"/>
      <c r="M87" s="581"/>
      <c r="N87" s="581"/>
      <c r="O87" s="581"/>
      <c r="P87" s="581"/>
      <c r="AA87" s="581"/>
      <c r="AB87" s="581"/>
      <c r="AC87" s="581"/>
      <c r="AD87" s="581"/>
      <c r="AE87" s="581"/>
      <c r="AF87" s="581"/>
      <c r="AG87" s="581"/>
      <c r="AH87" s="581"/>
      <c r="AI87" s="581"/>
      <c r="AJ87" s="581"/>
      <c r="AK87" s="581"/>
      <c r="AL87" s="581"/>
      <c r="AM87" s="581"/>
      <c r="AN87" s="581"/>
      <c r="AO87" s="581"/>
      <c r="AP87" s="581"/>
      <c r="AQ87" s="581"/>
      <c r="AR87" s="581"/>
    </row>
    <row r="88" spans="1:44" ht="12.75" customHeight="1" x14ac:dyDescent="0.25">
      <c r="A88" s="581"/>
      <c r="B88" s="581"/>
      <c r="C88" s="581"/>
      <c r="D88" s="581"/>
      <c r="E88" s="581"/>
      <c r="F88" s="581"/>
      <c r="G88" s="581"/>
      <c r="H88" s="581"/>
      <c r="I88" s="581"/>
      <c r="J88" s="581"/>
      <c r="K88" s="581"/>
      <c r="L88" s="581"/>
      <c r="M88" s="581"/>
      <c r="N88" s="581"/>
      <c r="O88" s="581"/>
      <c r="P88" s="581"/>
      <c r="AA88" s="581"/>
      <c r="AB88" s="581"/>
      <c r="AC88" s="581"/>
      <c r="AD88" s="581"/>
      <c r="AE88" s="581"/>
      <c r="AF88" s="581"/>
      <c r="AG88" s="581"/>
      <c r="AH88" s="581"/>
      <c r="AI88" s="581"/>
      <c r="AJ88" s="581"/>
      <c r="AK88" s="581"/>
      <c r="AL88" s="581"/>
      <c r="AM88" s="581"/>
      <c r="AN88" s="581"/>
      <c r="AO88" s="581"/>
      <c r="AP88" s="581"/>
      <c r="AQ88" s="581"/>
      <c r="AR88" s="581"/>
    </row>
    <row r="89" spans="1:44" ht="12.75" customHeight="1" x14ac:dyDescent="0.25">
      <c r="A89" s="581"/>
      <c r="B89" s="581"/>
      <c r="C89" s="581"/>
      <c r="D89" s="581"/>
      <c r="E89" s="581"/>
      <c r="F89" s="581"/>
      <c r="G89" s="581"/>
      <c r="H89" s="581"/>
      <c r="I89" s="581"/>
      <c r="J89" s="581"/>
      <c r="K89" s="581"/>
      <c r="L89" s="581"/>
      <c r="M89" s="581"/>
      <c r="N89" s="581"/>
      <c r="O89" s="581"/>
      <c r="P89" s="581"/>
      <c r="AA89" s="581"/>
      <c r="AB89" s="581"/>
      <c r="AC89" s="581"/>
      <c r="AD89" s="581"/>
      <c r="AE89" s="581"/>
      <c r="AF89" s="581"/>
      <c r="AG89" s="581"/>
      <c r="AH89" s="581"/>
      <c r="AI89" s="581"/>
      <c r="AJ89" s="581"/>
      <c r="AK89" s="581"/>
      <c r="AL89" s="581"/>
      <c r="AM89" s="581"/>
      <c r="AN89" s="581"/>
      <c r="AO89" s="581"/>
      <c r="AP89" s="581"/>
      <c r="AQ89" s="581"/>
      <c r="AR89" s="581"/>
    </row>
    <row r="90" spans="1:44" ht="12.75" customHeight="1" x14ac:dyDescent="0.25">
      <c r="A90" s="581"/>
      <c r="B90" s="581"/>
      <c r="C90" s="581"/>
      <c r="D90" s="581"/>
      <c r="E90" s="581"/>
      <c r="F90" s="581"/>
      <c r="G90" s="581"/>
      <c r="H90" s="581"/>
      <c r="I90" s="581"/>
      <c r="J90" s="581"/>
      <c r="K90" s="581"/>
      <c r="L90" s="581"/>
      <c r="M90" s="581"/>
      <c r="N90" s="581"/>
      <c r="O90" s="581"/>
      <c r="P90" s="581"/>
      <c r="AA90" s="581"/>
      <c r="AB90" s="581"/>
      <c r="AC90" s="581"/>
      <c r="AD90" s="581"/>
      <c r="AE90" s="581"/>
      <c r="AF90" s="581"/>
      <c r="AG90" s="581"/>
      <c r="AH90" s="581"/>
      <c r="AI90" s="581"/>
      <c r="AJ90" s="581"/>
      <c r="AK90" s="581"/>
      <c r="AL90" s="581"/>
      <c r="AM90" s="581"/>
      <c r="AN90" s="581"/>
      <c r="AO90" s="581"/>
      <c r="AP90" s="581"/>
      <c r="AQ90" s="581"/>
      <c r="AR90" s="581"/>
    </row>
    <row r="91" spans="1:44" ht="12.75" customHeight="1" x14ac:dyDescent="0.25">
      <c r="A91" s="581"/>
      <c r="B91" s="581"/>
      <c r="C91" s="581"/>
      <c r="D91" s="581"/>
      <c r="E91" s="581"/>
      <c r="F91" s="581"/>
      <c r="G91" s="581"/>
      <c r="H91" s="581"/>
      <c r="I91" s="581"/>
      <c r="J91" s="581"/>
      <c r="K91" s="581"/>
      <c r="L91" s="581"/>
      <c r="M91" s="581"/>
      <c r="N91" s="581"/>
      <c r="O91" s="581"/>
      <c r="P91" s="581"/>
      <c r="AA91" s="581"/>
      <c r="AB91" s="581"/>
      <c r="AC91" s="581"/>
      <c r="AD91" s="581"/>
      <c r="AE91" s="581"/>
      <c r="AF91" s="581"/>
      <c r="AG91" s="581"/>
      <c r="AH91" s="581"/>
      <c r="AI91" s="581"/>
      <c r="AJ91" s="581"/>
      <c r="AK91" s="581"/>
      <c r="AL91" s="581"/>
      <c r="AM91" s="581"/>
      <c r="AN91" s="581"/>
      <c r="AO91" s="581"/>
      <c r="AP91" s="581"/>
      <c r="AQ91" s="581"/>
      <c r="AR91" s="581"/>
    </row>
    <row r="92" spans="1:44" ht="12.75" customHeight="1" x14ac:dyDescent="0.25">
      <c r="A92" s="581"/>
      <c r="B92" s="581"/>
      <c r="C92" s="581"/>
      <c r="D92" s="581"/>
      <c r="E92" s="581"/>
      <c r="F92" s="581"/>
      <c r="G92" s="581"/>
      <c r="H92" s="581"/>
      <c r="I92" s="581"/>
      <c r="J92" s="581"/>
      <c r="K92" s="581"/>
      <c r="L92" s="581"/>
      <c r="M92" s="581"/>
      <c r="N92" s="581"/>
      <c r="O92" s="581"/>
      <c r="P92" s="581"/>
      <c r="AA92" s="581"/>
      <c r="AB92" s="581"/>
      <c r="AC92" s="581"/>
      <c r="AD92" s="581"/>
      <c r="AE92" s="581"/>
      <c r="AF92" s="581"/>
      <c r="AG92" s="581"/>
      <c r="AH92" s="581"/>
      <c r="AI92" s="581"/>
      <c r="AJ92" s="581"/>
      <c r="AK92" s="581"/>
      <c r="AL92" s="581"/>
      <c r="AM92" s="581"/>
      <c r="AN92" s="581"/>
      <c r="AO92" s="581"/>
      <c r="AP92" s="581"/>
      <c r="AQ92" s="581"/>
      <c r="AR92" s="581"/>
    </row>
    <row r="93" spans="1:44" ht="12.75" customHeight="1" x14ac:dyDescent="0.25">
      <c r="A93" s="581"/>
      <c r="B93" s="581"/>
      <c r="C93" s="581"/>
      <c r="D93" s="581"/>
      <c r="E93" s="581"/>
      <c r="F93" s="581"/>
      <c r="G93" s="581"/>
      <c r="H93" s="581"/>
      <c r="I93" s="581"/>
      <c r="J93" s="581"/>
      <c r="K93" s="581"/>
      <c r="L93" s="581"/>
      <c r="M93" s="581"/>
      <c r="N93" s="581"/>
      <c r="O93" s="581"/>
      <c r="P93" s="581"/>
      <c r="AA93" s="581"/>
      <c r="AB93" s="581"/>
      <c r="AC93" s="581"/>
      <c r="AD93" s="581"/>
      <c r="AE93" s="581"/>
      <c r="AF93" s="581"/>
      <c r="AG93" s="581"/>
      <c r="AH93" s="581"/>
      <c r="AI93" s="581"/>
      <c r="AJ93" s="581"/>
      <c r="AK93" s="581"/>
      <c r="AL93" s="581"/>
      <c r="AM93" s="581"/>
      <c r="AN93" s="581"/>
      <c r="AO93" s="581"/>
      <c r="AP93" s="581"/>
      <c r="AQ93" s="581"/>
      <c r="AR93" s="581"/>
    </row>
    <row r="94" spans="1:44" ht="12.75" customHeight="1" x14ac:dyDescent="0.25">
      <c r="A94" s="581"/>
      <c r="B94" s="581"/>
      <c r="C94" s="581"/>
      <c r="D94" s="581"/>
      <c r="E94" s="581"/>
      <c r="F94" s="581"/>
      <c r="G94" s="581"/>
      <c r="H94" s="581"/>
      <c r="I94" s="581"/>
      <c r="J94" s="581"/>
      <c r="K94" s="581"/>
      <c r="L94" s="581"/>
      <c r="M94" s="581"/>
      <c r="N94" s="581"/>
      <c r="O94" s="581"/>
      <c r="P94" s="581"/>
      <c r="AA94" s="581"/>
      <c r="AB94" s="581"/>
      <c r="AC94" s="581"/>
      <c r="AD94" s="581"/>
      <c r="AE94" s="581"/>
      <c r="AF94" s="581"/>
      <c r="AG94" s="581"/>
      <c r="AH94" s="581"/>
      <c r="AI94" s="581"/>
      <c r="AJ94" s="581"/>
      <c r="AK94" s="581"/>
      <c r="AL94" s="581"/>
      <c r="AM94" s="581"/>
      <c r="AN94" s="581"/>
      <c r="AO94" s="581"/>
      <c r="AP94" s="581"/>
      <c r="AQ94" s="581"/>
      <c r="AR94" s="581"/>
    </row>
    <row r="95" spans="1:44" ht="12.75" customHeight="1" x14ac:dyDescent="0.25">
      <c r="A95" s="581"/>
      <c r="B95" s="581"/>
      <c r="C95" s="581"/>
      <c r="D95" s="581"/>
      <c r="E95" s="581"/>
      <c r="F95" s="581"/>
      <c r="G95" s="581"/>
      <c r="H95" s="581"/>
      <c r="I95" s="581"/>
      <c r="J95" s="581"/>
      <c r="K95" s="581"/>
      <c r="L95" s="581"/>
      <c r="M95" s="581"/>
      <c r="N95" s="581"/>
      <c r="O95" s="581"/>
      <c r="P95" s="581"/>
      <c r="AA95" s="581"/>
      <c r="AB95" s="581"/>
      <c r="AC95" s="581"/>
      <c r="AD95" s="581"/>
      <c r="AE95" s="581"/>
      <c r="AF95" s="581"/>
      <c r="AG95" s="581"/>
      <c r="AH95" s="581"/>
      <c r="AI95" s="581"/>
      <c r="AJ95" s="581"/>
      <c r="AK95" s="581"/>
      <c r="AL95" s="581"/>
      <c r="AM95" s="581"/>
      <c r="AN95" s="581"/>
      <c r="AO95" s="581"/>
      <c r="AP95" s="581"/>
      <c r="AQ95" s="581"/>
      <c r="AR95" s="581"/>
    </row>
    <row r="96" spans="1:44" ht="12.75" customHeight="1" x14ac:dyDescent="0.25">
      <c r="A96" s="581"/>
      <c r="B96" s="581"/>
      <c r="C96" s="581"/>
      <c r="D96" s="581"/>
      <c r="E96" s="581"/>
      <c r="F96" s="581"/>
      <c r="G96" s="581"/>
      <c r="H96" s="581"/>
      <c r="I96" s="581"/>
      <c r="J96" s="581"/>
      <c r="K96" s="581"/>
      <c r="L96" s="581"/>
      <c r="M96" s="581"/>
      <c r="N96" s="581"/>
      <c r="O96" s="581"/>
      <c r="P96" s="581"/>
      <c r="AA96" s="581"/>
      <c r="AB96" s="581"/>
      <c r="AC96" s="581"/>
      <c r="AD96" s="581"/>
      <c r="AE96" s="581"/>
      <c r="AF96" s="581"/>
      <c r="AG96" s="581"/>
      <c r="AH96" s="581"/>
      <c r="AI96" s="581"/>
      <c r="AJ96" s="581"/>
      <c r="AK96" s="581"/>
      <c r="AL96" s="581"/>
      <c r="AM96" s="581"/>
      <c r="AN96" s="581"/>
      <c r="AO96" s="581"/>
      <c r="AP96" s="581"/>
      <c r="AQ96" s="581"/>
      <c r="AR96" s="581"/>
    </row>
    <row r="97" spans="1:44" ht="12.75" customHeight="1" x14ac:dyDescent="0.25">
      <c r="A97" s="581"/>
      <c r="B97" s="581"/>
      <c r="C97" s="581"/>
      <c r="D97" s="581"/>
      <c r="E97" s="581"/>
      <c r="F97" s="581"/>
      <c r="G97" s="581"/>
      <c r="H97" s="581"/>
      <c r="I97" s="581"/>
      <c r="J97" s="581"/>
      <c r="K97" s="581"/>
      <c r="L97" s="581"/>
      <c r="M97" s="581"/>
      <c r="N97" s="581"/>
      <c r="O97" s="581"/>
      <c r="P97" s="581"/>
      <c r="AA97" s="581"/>
      <c r="AB97" s="581"/>
      <c r="AC97" s="581"/>
      <c r="AD97" s="581"/>
      <c r="AE97" s="581"/>
      <c r="AF97" s="581"/>
      <c r="AG97" s="581"/>
      <c r="AH97" s="581"/>
      <c r="AI97" s="581"/>
      <c r="AJ97" s="581"/>
      <c r="AK97" s="581"/>
      <c r="AL97" s="581"/>
      <c r="AM97" s="581"/>
      <c r="AN97" s="581"/>
      <c r="AO97" s="581"/>
      <c r="AP97" s="581"/>
      <c r="AQ97" s="581"/>
      <c r="AR97" s="581"/>
    </row>
    <row r="98" spans="1:44" ht="12.75" customHeight="1" x14ac:dyDescent="0.25">
      <c r="A98" s="581"/>
      <c r="B98" s="581"/>
      <c r="C98" s="581"/>
      <c r="D98" s="581"/>
      <c r="E98" s="581"/>
      <c r="F98" s="581"/>
      <c r="G98" s="581"/>
      <c r="H98" s="581"/>
      <c r="I98" s="581"/>
      <c r="J98" s="581"/>
      <c r="K98" s="581"/>
      <c r="L98" s="581"/>
      <c r="M98" s="581"/>
      <c r="N98" s="581"/>
      <c r="O98" s="581"/>
      <c r="P98" s="581"/>
      <c r="AA98" s="581"/>
      <c r="AB98" s="581"/>
      <c r="AC98" s="581"/>
      <c r="AD98" s="581"/>
      <c r="AE98" s="581"/>
      <c r="AF98" s="581"/>
      <c r="AG98" s="581"/>
      <c r="AH98" s="581"/>
      <c r="AI98" s="581"/>
      <c r="AJ98" s="581"/>
      <c r="AK98" s="581"/>
      <c r="AL98" s="581"/>
      <c r="AM98" s="581"/>
      <c r="AN98" s="581"/>
      <c r="AO98" s="581"/>
      <c r="AP98" s="581"/>
      <c r="AQ98" s="581"/>
      <c r="AR98" s="581"/>
    </row>
    <row r="99" spans="1:44" ht="12.75" customHeight="1" x14ac:dyDescent="0.25">
      <c r="A99" s="581"/>
      <c r="B99" s="581"/>
      <c r="C99" s="581"/>
      <c r="D99" s="581"/>
      <c r="E99" s="581"/>
      <c r="F99" s="581"/>
      <c r="G99" s="581"/>
      <c r="H99" s="581"/>
      <c r="I99" s="581"/>
      <c r="J99" s="581"/>
      <c r="K99" s="581"/>
      <c r="L99" s="581"/>
      <c r="M99" s="581"/>
      <c r="N99" s="581"/>
      <c r="O99" s="581"/>
      <c r="P99" s="581"/>
      <c r="AA99" s="581"/>
      <c r="AB99" s="581"/>
      <c r="AC99" s="581"/>
      <c r="AD99" s="581"/>
      <c r="AE99" s="581"/>
      <c r="AF99" s="581"/>
      <c r="AG99" s="581"/>
      <c r="AH99" s="581"/>
      <c r="AI99" s="581"/>
      <c r="AJ99" s="581"/>
      <c r="AK99" s="581"/>
      <c r="AL99" s="581"/>
      <c r="AM99" s="581"/>
      <c r="AN99" s="581"/>
      <c r="AO99" s="581"/>
      <c r="AP99" s="581"/>
      <c r="AQ99" s="581"/>
      <c r="AR99" s="581"/>
    </row>
    <row r="100" spans="1:44" ht="12.75" customHeight="1" x14ac:dyDescent="0.25">
      <c r="A100" s="581"/>
      <c r="B100" s="581"/>
      <c r="C100" s="581"/>
      <c r="D100" s="581"/>
      <c r="E100" s="581"/>
      <c r="F100" s="581"/>
      <c r="G100" s="581"/>
      <c r="H100" s="581"/>
      <c r="I100" s="581"/>
      <c r="J100" s="581"/>
      <c r="K100" s="581"/>
      <c r="L100" s="581"/>
      <c r="M100" s="581"/>
      <c r="N100" s="581"/>
      <c r="O100" s="581"/>
      <c r="P100" s="581"/>
      <c r="AA100" s="581"/>
      <c r="AB100" s="581"/>
      <c r="AC100" s="581"/>
      <c r="AD100" s="581"/>
      <c r="AE100" s="581"/>
      <c r="AF100" s="581"/>
      <c r="AG100" s="581"/>
      <c r="AH100" s="581"/>
      <c r="AI100" s="581"/>
      <c r="AJ100" s="581"/>
      <c r="AK100" s="581"/>
      <c r="AL100" s="581"/>
      <c r="AM100" s="581"/>
      <c r="AN100" s="581"/>
      <c r="AO100" s="581"/>
      <c r="AP100" s="581"/>
      <c r="AQ100" s="581"/>
      <c r="AR100" s="581"/>
    </row>
    <row r="101" spans="1:44" ht="12.75" customHeight="1" x14ac:dyDescent="0.25">
      <c r="A101" s="581"/>
      <c r="B101" s="581"/>
      <c r="C101" s="581"/>
      <c r="D101" s="581"/>
      <c r="E101" s="581"/>
      <c r="F101" s="581"/>
      <c r="G101" s="581"/>
      <c r="H101" s="581"/>
      <c r="I101" s="581"/>
      <c r="J101" s="581"/>
      <c r="K101" s="581"/>
      <c r="L101" s="581"/>
      <c r="M101" s="581"/>
      <c r="N101" s="581"/>
      <c r="O101" s="581"/>
      <c r="P101" s="581"/>
      <c r="AA101" s="581"/>
      <c r="AB101" s="581"/>
      <c r="AC101" s="581"/>
      <c r="AD101" s="581"/>
      <c r="AE101" s="581"/>
      <c r="AF101" s="581"/>
      <c r="AG101" s="581"/>
      <c r="AH101" s="581"/>
      <c r="AI101" s="581"/>
      <c r="AJ101" s="581"/>
      <c r="AK101" s="581"/>
      <c r="AL101" s="581"/>
      <c r="AM101" s="581"/>
      <c r="AN101" s="581"/>
      <c r="AO101" s="581"/>
      <c r="AP101" s="581"/>
      <c r="AQ101" s="581"/>
      <c r="AR101" s="581"/>
    </row>
    <row r="102" spans="1:44" ht="12.75" customHeight="1" x14ac:dyDescent="0.25">
      <c r="A102" s="581"/>
      <c r="B102" s="581"/>
      <c r="C102" s="581"/>
      <c r="D102" s="581"/>
      <c r="E102" s="581"/>
      <c r="F102" s="581"/>
      <c r="G102" s="581"/>
      <c r="H102" s="581"/>
      <c r="I102" s="581"/>
      <c r="J102" s="581"/>
      <c r="K102" s="581"/>
      <c r="L102" s="581"/>
      <c r="M102" s="581"/>
      <c r="N102" s="581"/>
      <c r="O102" s="581"/>
      <c r="P102" s="581"/>
      <c r="AA102" s="581"/>
      <c r="AB102" s="581"/>
      <c r="AC102" s="581"/>
      <c r="AD102" s="581"/>
      <c r="AE102" s="581"/>
      <c r="AF102" s="581"/>
      <c r="AG102" s="581"/>
      <c r="AH102" s="581"/>
      <c r="AI102" s="581"/>
      <c r="AJ102" s="581"/>
      <c r="AK102" s="581"/>
      <c r="AL102" s="581"/>
      <c r="AM102" s="581"/>
      <c r="AN102" s="581"/>
      <c r="AO102" s="581"/>
      <c r="AP102" s="581"/>
      <c r="AQ102" s="581"/>
      <c r="AR102" s="581"/>
    </row>
    <row r="103" spans="1:44" ht="12.75" customHeight="1" x14ac:dyDescent="0.25">
      <c r="A103" s="581"/>
      <c r="B103" s="581"/>
      <c r="C103" s="581"/>
      <c r="D103" s="581"/>
      <c r="E103" s="581"/>
      <c r="F103" s="581"/>
      <c r="G103" s="581"/>
      <c r="H103" s="581"/>
      <c r="I103" s="581"/>
      <c r="J103" s="581"/>
      <c r="K103" s="581"/>
      <c r="L103" s="581"/>
      <c r="M103" s="581"/>
      <c r="N103" s="581"/>
      <c r="O103" s="581"/>
      <c r="P103" s="581"/>
      <c r="AA103" s="581"/>
      <c r="AB103" s="581"/>
      <c r="AC103" s="581"/>
      <c r="AD103" s="581"/>
      <c r="AE103" s="581"/>
      <c r="AF103" s="581"/>
      <c r="AG103" s="581"/>
      <c r="AH103" s="581"/>
      <c r="AI103" s="581"/>
      <c r="AJ103" s="581"/>
      <c r="AK103" s="581"/>
      <c r="AL103" s="581"/>
      <c r="AM103" s="581"/>
      <c r="AN103" s="581"/>
      <c r="AO103" s="581"/>
      <c r="AP103" s="581"/>
      <c r="AQ103" s="581"/>
      <c r="AR103" s="581"/>
    </row>
    <row r="104" spans="1:44" ht="12.75" customHeight="1" x14ac:dyDescent="0.25">
      <c r="A104" s="581"/>
      <c r="B104" s="581"/>
      <c r="C104" s="581"/>
      <c r="D104" s="581"/>
      <c r="E104" s="581"/>
      <c r="F104" s="581"/>
      <c r="G104" s="581"/>
      <c r="H104" s="581"/>
      <c r="I104" s="581"/>
      <c r="J104" s="581"/>
      <c r="K104" s="581"/>
      <c r="L104" s="581"/>
      <c r="M104" s="581"/>
      <c r="N104" s="581"/>
      <c r="O104" s="581"/>
      <c r="P104" s="581"/>
      <c r="AA104" s="581"/>
      <c r="AB104" s="581"/>
      <c r="AC104" s="581"/>
      <c r="AD104" s="581"/>
      <c r="AE104" s="581"/>
      <c r="AF104" s="581"/>
      <c r="AG104" s="581"/>
      <c r="AH104" s="581"/>
      <c r="AI104" s="581"/>
      <c r="AJ104" s="581"/>
      <c r="AK104" s="581"/>
      <c r="AL104" s="581"/>
      <c r="AM104" s="581"/>
      <c r="AN104" s="581"/>
      <c r="AO104" s="581"/>
      <c r="AP104" s="581"/>
      <c r="AQ104" s="581"/>
      <c r="AR104" s="581"/>
    </row>
    <row r="105" spans="1:44" ht="12.75" customHeight="1" x14ac:dyDescent="0.25">
      <c r="A105" s="581"/>
      <c r="B105" s="581"/>
      <c r="C105" s="581"/>
      <c r="D105" s="581"/>
      <c r="E105" s="581"/>
      <c r="F105" s="581"/>
      <c r="G105" s="581"/>
      <c r="H105" s="581"/>
      <c r="I105" s="581"/>
      <c r="J105" s="581"/>
      <c r="K105" s="581"/>
      <c r="L105" s="581"/>
      <c r="M105" s="581"/>
      <c r="N105" s="581"/>
      <c r="O105" s="581"/>
      <c r="P105" s="581"/>
      <c r="AA105" s="581"/>
      <c r="AB105" s="581"/>
      <c r="AC105" s="581"/>
      <c r="AD105" s="581"/>
      <c r="AE105" s="581"/>
      <c r="AF105" s="581"/>
      <c r="AG105" s="581"/>
      <c r="AH105" s="581"/>
      <c r="AI105" s="581"/>
      <c r="AJ105" s="581"/>
      <c r="AK105" s="581"/>
      <c r="AL105" s="581"/>
      <c r="AM105" s="581"/>
      <c r="AN105" s="581"/>
      <c r="AO105" s="581"/>
      <c r="AP105" s="581"/>
      <c r="AQ105" s="581"/>
      <c r="AR105" s="581"/>
    </row>
    <row r="106" spans="1:44" ht="12.75" customHeight="1" x14ac:dyDescent="0.25">
      <c r="A106" s="581"/>
      <c r="B106" s="581"/>
      <c r="C106" s="581"/>
      <c r="D106" s="581"/>
      <c r="E106" s="581"/>
      <c r="F106" s="581"/>
      <c r="G106" s="581"/>
      <c r="H106" s="581"/>
      <c r="I106" s="581"/>
      <c r="J106" s="581"/>
      <c r="K106" s="581"/>
      <c r="L106" s="581"/>
      <c r="M106" s="581"/>
      <c r="N106" s="581"/>
      <c r="O106" s="581"/>
      <c r="P106" s="581"/>
      <c r="AA106" s="581"/>
      <c r="AB106" s="581"/>
      <c r="AC106" s="581"/>
      <c r="AD106" s="581"/>
      <c r="AE106" s="581"/>
      <c r="AF106" s="581"/>
      <c r="AG106" s="581"/>
      <c r="AH106" s="581"/>
      <c r="AI106" s="581"/>
      <c r="AJ106" s="581"/>
      <c r="AK106" s="581"/>
      <c r="AL106" s="581"/>
      <c r="AM106" s="581"/>
      <c r="AN106" s="581"/>
      <c r="AO106" s="581"/>
      <c r="AP106" s="581"/>
      <c r="AQ106" s="581"/>
      <c r="AR106" s="581"/>
    </row>
    <row r="107" spans="1:44" ht="12.75" customHeight="1" x14ac:dyDescent="0.25">
      <c r="A107" s="581"/>
      <c r="B107" s="581"/>
      <c r="C107" s="581"/>
      <c r="D107" s="581"/>
      <c r="E107" s="581"/>
      <c r="F107" s="581"/>
      <c r="G107" s="581"/>
      <c r="H107" s="581"/>
      <c r="I107" s="581"/>
      <c r="J107" s="581"/>
      <c r="K107" s="581"/>
      <c r="L107" s="581"/>
      <c r="M107" s="581"/>
      <c r="N107" s="581"/>
      <c r="O107" s="581"/>
      <c r="P107" s="581"/>
      <c r="AA107" s="581"/>
      <c r="AB107" s="581"/>
      <c r="AC107" s="581"/>
      <c r="AD107" s="581"/>
      <c r="AE107" s="581"/>
      <c r="AF107" s="581"/>
      <c r="AG107" s="581"/>
      <c r="AH107" s="581"/>
      <c r="AI107" s="581"/>
      <c r="AJ107" s="581"/>
      <c r="AK107" s="581"/>
      <c r="AL107" s="581"/>
      <c r="AM107" s="581"/>
      <c r="AN107" s="581"/>
      <c r="AO107" s="581"/>
      <c r="AP107" s="581"/>
      <c r="AQ107" s="581"/>
      <c r="AR107" s="581"/>
    </row>
    <row r="108" spans="1:44" ht="12.75" customHeight="1" x14ac:dyDescent="0.25">
      <c r="A108" s="581"/>
      <c r="B108" s="581"/>
      <c r="C108" s="581"/>
      <c r="D108" s="581"/>
      <c r="E108" s="581"/>
      <c r="F108" s="581"/>
      <c r="G108" s="581"/>
      <c r="H108" s="581"/>
      <c r="I108" s="581"/>
      <c r="J108" s="581"/>
      <c r="K108" s="581"/>
      <c r="L108" s="581"/>
      <c r="M108" s="581"/>
      <c r="N108" s="581"/>
      <c r="O108" s="581"/>
      <c r="P108" s="581"/>
      <c r="AA108" s="581"/>
      <c r="AB108" s="581"/>
      <c r="AC108" s="581"/>
      <c r="AD108" s="581"/>
      <c r="AE108" s="581"/>
      <c r="AF108" s="581"/>
      <c r="AG108" s="581"/>
      <c r="AH108" s="581"/>
      <c r="AI108" s="581"/>
      <c r="AJ108" s="581"/>
      <c r="AK108" s="581"/>
      <c r="AL108" s="581"/>
      <c r="AM108" s="581"/>
      <c r="AN108" s="581"/>
      <c r="AO108" s="581"/>
      <c r="AP108" s="581"/>
      <c r="AQ108" s="581"/>
      <c r="AR108" s="581"/>
    </row>
    <row r="109" spans="1:44" ht="12.75" customHeight="1" x14ac:dyDescent="0.25">
      <c r="A109" s="581"/>
      <c r="B109" s="581"/>
      <c r="C109" s="581"/>
      <c r="D109" s="581"/>
      <c r="E109" s="581"/>
      <c r="F109" s="581"/>
      <c r="G109" s="581"/>
      <c r="H109" s="581"/>
      <c r="I109" s="581"/>
      <c r="J109" s="581"/>
      <c r="K109" s="581"/>
      <c r="L109" s="581"/>
      <c r="M109" s="581"/>
      <c r="N109" s="581"/>
      <c r="O109" s="581"/>
      <c r="P109" s="581"/>
      <c r="AA109" s="581"/>
      <c r="AB109" s="581"/>
      <c r="AC109" s="581"/>
      <c r="AD109" s="581"/>
      <c r="AE109" s="581"/>
      <c r="AF109" s="581"/>
      <c r="AG109" s="581"/>
      <c r="AH109" s="581"/>
      <c r="AI109" s="581"/>
      <c r="AJ109" s="581"/>
      <c r="AK109" s="581"/>
      <c r="AL109" s="581"/>
      <c r="AM109" s="581"/>
      <c r="AN109" s="581"/>
      <c r="AO109" s="581"/>
      <c r="AP109" s="581"/>
      <c r="AQ109" s="581"/>
      <c r="AR109" s="581"/>
    </row>
    <row r="110" spans="1:44" ht="12.75" customHeight="1" x14ac:dyDescent="0.25">
      <c r="A110" s="581"/>
      <c r="B110" s="581"/>
      <c r="C110" s="581"/>
      <c r="D110" s="581"/>
      <c r="E110" s="581"/>
      <c r="F110" s="581"/>
      <c r="G110" s="581"/>
      <c r="H110" s="581"/>
      <c r="I110" s="581"/>
      <c r="J110" s="581"/>
      <c r="K110" s="581"/>
      <c r="L110" s="581"/>
      <c r="M110" s="581"/>
      <c r="N110" s="581"/>
      <c r="O110" s="581"/>
      <c r="P110" s="581"/>
      <c r="AA110" s="581"/>
      <c r="AB110" s="581"/>
      <c r="AC110" s="581"/>
      <c r="AD110" s="581"/>
      <c r="AE110" s="581"/>
      <c r="AF110" s="581"/>
      <c r="AG110" s="581"/>
      <c r="AH110" s="581"/>
      <c r="AI110" s="581"/>
      <c r="AJ110" s="581"/>
      <c r="AK110" s="581"/>
      <c r="AL110" s="581"/>
      <c r="AM110" s="581"/>
      <c r="AN110" s="581"/>
      <c r="AO110" s="581"/>
      <c r="AP110" s="581"/>
      <c r="AQ110" s="581"/>
      <c r="AR110" s="581"/>
    </row>
    <row r="111" spans="1:44" ht="12.75" customHeight="1" x14ac:dyDescent="0.25">
      <c r="A111" s="581"/>
      <c r="B111" s="581"/>
      <c r="C111" s="581"/>
      <c r="D111" s="581"/>
      <c r="E111" s="581"/>
      <c r="F111" s="581"/>
      <c r="G111" s="581"/>
      <c r="H111" s="581"/>
      <c r="I111" s="581"/>
      <c r="J111" s="581"/>
      <c r="K111" s="581"/>
      <c r="L111" s="581"/>
      <c r="M111" s="581"/>
      <c r="N111" s="581"/>
      <c r="O111" s="581"/>
      <c r="P111" s="581"/>
      <c r="AA111" s="581"/>
      <c r="AB111" s="581"/>
      <c r="AC111" s="581"/>
      <c r="AD111" s="581"/>
      <c r="AE111" s="581"/>
      <c r="AF111" s="581"/>
      <c r="AG111" s="581"/>
      <c r="AH111" s="581"/>
      <c r="AI111" s="581"/>
      <c r="AJ111" s="581"/>
      <c r="AK111" s="581"/>
      <c r="AL111" s="581"/>
      <c r="AM111" s="581"/>
      <c r="AN111" s="581"/>
      <c r="AO111" s="581"/>
      <c r="AP111" s="581"/>
      <c r="AQ111" s="581"/>
      <c r="AR111" s="581"/>
    </row>
    <row r="112" spans="1:44" ht="12.75" customHeight="1" x14ac:dyDescent="0.25">
      <c r="A112" s="581"/>
      <c r="B112" s="581"/>
      <c r="C112" s="581"/>
      <c r="D112" s="581"/>
      <c r="E112" s="581"/>
      <c r="F112" s="581"/>
      <c r="G112" s="581"/>
      <c r="H112" s="581"/>
      <c r="I112" s="581"/>
      <c r="J112" s="581"/>
      <c r="K112" s="581"/>
      <c r="L112" s="581"/>
      <c r="M112" s="581"/>
      <c r="N112" s="581"/>
      <c r="O112" s="581"/>
      <c r="P112" s="581"/>
      <c r="AA112" s="581"/>
      <c r="AB112" s="581"/>
      <c r="AC112" s="581"/>
      <c r="AD112" s="581"/>
      <c r="AE112" s="581"/>
      <c r="AF112" s="581"/>
      <c r="AG112" s="581"/>
      <c r="AH112" s="581"/>
      <c r="AI112" s="581"/>
      <c r="AJ112" s="581"/>
      <c r="AK112" s="581"/>
      <c r="AL112" s="581"/>
      <c r="AM112" s="581"/>
      <c r="AN112" s="581"/>
      <c r="AO112" s="581"/>
      <c r="AP112" s="581"/>
      <c r="AQ112" s="581"/>
      <c r="AR112" s="581"/>
    </row>
    <row r="113" spans="1:44" ht="12.75" customHeight="1" x14ac:dyDescent="0.25">
      <c r="A113" s="581"/>
      <c r="B113" s="581"/>
      <c r="C113" s="581"/>
      <c r="D113" s="581"/>
      <c r="E113" s="581"/>
      <c r="F113" s="581"/>
      <c r="G113" s="581"/>
      <c r="H113" s="581"/>
      <c r="I113" s="581"/>
      <c r="J113" s="581"/>
      <c r="K113" s="581"/>
      <c r="L113" s="581"/>
      <c r="M113" s="581"/>
      <c r="N113" s="581"/>
      <c r="O113" s="581"/>
      <c r="P113" s="581"/>
      <c r="AA113" s="581"/>
      <c r="AB113" s="581"/>
      <c r="AC113" s="581"/>
      <c r="AD113" s="581"/>
      <c r="AE113" s="581"/>
      <c r="AF113" s="581"/>
      <c r="AG113" s="581"/>
      <c r="AH113" s="581"/>
      <c r="AI113" s="581"/>
      <c r="AJ113" s="581"/>
      <c r="AK113" s="581"/>
      <c r="AL113" s="581"/>
      <c r="AM113" s="581"/>
      <c r="AN113" s="581"/>
      <c r="AO113" s="581"/>
      <c r="AP113" s="581"/>
      <c r="AQ113" s="581"/>
      <c r="AR113" s="581"/>
    </row>
    <row r="114" spans="1:44" ht="12.75" customHeight="1" x14ac:dyDescent="0.25">
      <c r="A114" s="581"/>
      <c r="B114" s="581"/>
      <c r="C114" s="581"/>
      <c r="D114" s="581"/>
      <c r="E114" s="581"/>
      <c r="F114" s="581"/>
      <c r="G114" s="581"/>
      <c r="H114" s="581"/>
      <c r="I114" s="581"/>
      <c r="J114" s="581"/>
      <c r="K114" s="581"/>
      <c r="L114" s="581"/>
      <c r="M114" s="581"/>
      <c r="N114" s="581"/>
      <c r="O114" s="581"/>
      <c r="P114" s="581"/>
      <c r="AA114" s="581"/>
      <c r="AB114" s="581"/>
      <c r="AC114" s="581"/>
      <c r="AD114" s="581"/>
      <c r="AE114" s="581"/>
      <c r="AF114" s="581"/>
      <c r="AG114" s="581"/>
      <c r="AH114" s="581"/>
      <c r="AI114" s="581"/>
      <c r="AJ114" s="581"/>
      <c r="AK114" s="581"/>
      <c r="AL114" s="581"/>
      <c r="AM114" s="581"/>
      <c r="AN114" s="581"/>
      <c r="AO114" s="581"/>
      <c r="AP114" s="581"/>
      <c r="AQ114" s="581"/>
      <c r="AR114" s="581"/>
    </row>
    <row r="115" spans="1:44" ht="12.75" customHeight="1" x14ac:dyDescent="0.25">
      <c r="A115" s="581"/>
      <c r="B115" s="581"/>
      <c r="C115" s="581"/>
      <c r="D115" s="581"/>
      <c r="E115" s="581"/>
      <c r="F115" s="581"/>
      <c r="G115" s="581"/>
      <c r="H115" s="581"/>
      <c r="I115" s="581"/>
      <c r="J115" s="581"/>
      <c r="K115" s="581"/>
      <c r="L115" s="581"/>
      <c r="M115" s="581"/>
      <c r="N115" s="581"/>
      <c r="O115" s="581"/>
      <c r="P115" s="581"/>
      <c r="AA115" s="581"/>
      <c r="AB115" s="581"/>
      <c r="AC115" s="581"/>
      <c r="AD115" s="581"/>
      <c r="AE115" s="581"/>
      <c r="AF115" s="581"/>
      <c r="AG115" s="581"/>
      <c r="AH115" s="581"/>
      <c r="AI115" s="581"/>
      <c r="AJ115" s="581"/>
      <c r="AK115" s="581"/>
      <c r="AL115" s="581"/>
      <c r="AM115" s="581"/>
      <c r="AN115" s="581"/>
      <c r="AO115" s="581"/>
      <c r="AP115" s="581"/>
      <c r="AQ115" s="581"/>
      <c r="AR115" s="581"/>
    </row>
    <row r="116" spans="1:44" ht="12.75" customHeight="1" x14ac:dyDescent="0.25">
      <c r="A116" s="581"/>
      <c r="B116" s="581"/>
      <c r="C116" s="581"/>
      <c r="D116" s="581"/>
      <c r="E116" s="581"/>
      <c r="F116" s="581"/>
      <c r="G116" s="581"/>
      <c r="H116" s="581"/>
      <c r="I116" s="581"/>
      <c r="J116" s="581"/>
      <c r="K116" s="581"/>
      <c r="L116" s="581"/>
      <c r="M116" s="581"/>
      <c r="N116" s="581"/>
      <c r="O116" s="581"/>
      <c r="P116" s="581"/>
      <c r="AA116" s="581"/>
      <c r="AB116" s="581"/>
      <c r="AC116" s="581"/>
      <c r="AD116" s="581"/>
      <c r="AE116" s="581"/>
      <c r="AF116" s="581"/>
      <c r="AG116" s="581"/>
      <c r="AH116" s="581"/>
      <c r="AI116" s="581"/>
      <c r="AJ116" s="581"/>
      <c r="AK116" s="581"/>
      <c r="AL116" s="581"/>
      <c r="AM116" s="581"/>
      <c r="AN116" s="581"/>
      <c r="AO116" s="581"/>
      <c r="AP116" s="581"/>
      <c r="AQ116" s="581"/>
      <c r="AR116" s="581"/>
    </row>
    <row r="117" spans="1:44" ht="12.75" customHeight="1" x14ac:dyDescent="0.25">
      <c r="A117" s="581"/>
      <c r="B117" s="581"/>
      <c r="C117" s="581"/>
      <c r="D117" s="581"/>
      <c r="E117" s="581"/>
      <c r="F117" s="581"/>
      <c r="G117" s="581"/>
      <c r="H117" s="581"/>
      <c r="I117" s="581"/>
      <c r="J117" s="581"/>
      <c r="K117" s="581"/>
      <c r="L117" s="581"/>
      <c r="M117" s="581"/>
      <c r="N117" s="581"/>
      <c r="O117" s="581"/>
      <c r="P117" s="581"/>
      <c r="AA117" s="581"/>
      <c r="AB117" s="581"/>
      <c r="AC117" s="581"/>
      <c r="AD117" s="581"/>
      <c r="AE117" s="581"/>
      <c r="AF117" s="581"/>
      <c r="AG117" s="581"/>
      <c r="AH117" s="581"/>
      <c r="AI117" s="581"/>
      <c r="AJ117" s="581"/>
      <c r="AK117" s="581"/>
      <c r="AL117" s="581"/>
      <c r="AM117" s="581"/>
      <c r="AN117" s="581"/>
      <c r="AO117" s="581"/>
      <c r="AP117" s="581"/>
      <c r="AQ117" s="581"/>
      <c r="AR117" s="581"/>
    </row>
    <row r="118" spans="1:44" ht="12.75" customHeight="1" x14ac:dyDescent="0.25">
      <c r="A118" s="581"/>
      <c r="B118" s="581"/>
      <c r="C118" s="581"/>
      <c r="D118" s="581"/>
      <c r="E118" s="581"/>
      <c r="F118" s="581"/>
      <c r="G118" s="581"/>
      <c r="H118" s="581"/>
      <c r="I118" s="581"/>
      <c r="J118" s="581"/>
      <c r="K118" s="581"/>
      <c r="L118" s="581"/>
      <c r="M118" s="581"/>
      <c r="N118" s="581"/>
      <c r="O118" s="581"/>
      <c r="P118" s="581"/>
      <c r="AA118" s="581"/>
      <c r="AB118" s="581"/>
      <c r="AC118" s="581"/>
      <c r="AD118" s="581"/>
      <c r="AE118" s="581"/>
      <c r="AF118" s="581"/>
      <c r="AG118" s="581"/>
      <c r="AH118" s="581"/>
      <c r="AI118" s="581"/>
      <c r="AJ118" s="581"/>
      <c r="AK118" s="581"/>
      <c r="AL118" s="581"/>
      <c r="AM118" s="581"/>
      <c r="AN118" s="581"/>
      <c r="AO118" s="581"/>
      <c r="AP118" s="581"/>
      <c r="AQ118" s="581"/>
      <c r="AR118" s="581"/>
    </row>
    <row r="119" spans="1:44" ht="12.75" customHeight="1" x14ac:dyDescent="0.25">
      <c r="A119" s="581"/>
      <c r="B119" s="581"/>
      <c r="C119" s="581"/>
      <c r="D119" s="581"/>
      <c r="E119" s="581"/>
      <c r="F119" s="581"/>
      <c r="G119" s="581"/>
      <c r="H119" s="581"/>
      <c r="I119" s="581"/>
      <c r="J119" s="581"/>
      <c r="K119" s="581"/>
      <c r="L119" s="581"/>
      <c r="M119" s="581"/>
      <c r="N119" s="581"/>
      <c r="O119" s="581"/>
      <c r="P119" s="581"/>
      <c r="AA119" s="581"/>
      <c r="AB119" s="581"/>
      <c r="AC119" s="581"/>
      <c r="AD119" s="581"/>
      <c r="AE119" s="581"/>
      <c r="AF119" s="581"/>
      <c r="AG119" s="581"/>
      <c r="AH119" s="581"/>
      <c r="AI119" s="581"/>
      <c r="AJ119" s="581"/>
      <c r="AK119" s="581"/>
      <c r="AL119" s="581"/>
      <c r="AM119" s="581"/>
      <c r="AN119" s="581"/>
      <c r="AO119" s="581"/>
      <c r="AP119" s="581"/>
      <c r="AQ119" s="581"/>
      <c r="AR119" s="581"/>
    </row>
    <row r="120" spans="1:44" ht="12.75" customHeight="1" x14ac:dyDescent="0.25">
      <c r="A120" s="581"/>
      <c r="B120" s="581"/>
      <c r="C120" s="581"/>
      <c r="D120" s="581"/>
      <c r="E120" s="581"/>
      <c r="F120" s="581"/>
      <c r="G120" s="581"/>
      <c r="H120" s="581"/>
      <c r="I120" s="581"/>
      <c r="J120" s="581"/>
      <c r="K120" s="581"/>
      <c r="L120" s="581"/>
      <c r="M120" s="581"/>
      <c r="N120" s="581"/>
      <c r="O120" s="581"/>
      <c r="P120" s="581"/>
      <c r="AA120" s="581"/>
      <c r="AB120" s="581"/>
      <c r="AC120" s="581"/>
      <c r="AD120" s="581"/>
      <c r="AE120" s="581"/>
      <c r="AF120" s="581"/>
      <c r="AG120" s="581"/>
      <c r="AH120" s="581"/>
      <c r="AI120" s="581"/>
      <c r="AJ120" s="581"/>
      <c r="AK120" s="581"/>
      <c r="AL120" s="581"/>
      <c r="AM120" s="581"/>
      <c r="AN120" s="581"/>
      <c r="AO120" s="581"/>
      <c r="AP120" s="581"/>
      <c r="AQ120" s="581"/>
      <c r="AR120" s="581"/>
    </row>
    <row r="121" spans="1:44" ht="12.75" customHeight="1" x14ac:dyDescent="0.25">
      <c r="A121" s="581"/>
      <c r="B121" s="581"/>
      <c r="C121" s="581"/>
      <c r="D121" s="581"/>
      <c r="E121" s="581"/>
      <c r="F121" s="581"/>
      <c r="G121" s="581"/>
      <c r="H121" s="581"/>
      <c r="I121" s="581"/>
      <c r="J121" s="581"/>
      <c r="K121" s="581"/>
      <c r="L121" s="581"/>
      <c r="M121" s="581"/>
      <c r="N121" s="581"/>
      <c r="O121" s="581"/>
      <c r="P121" s="581"/>
      <c r="AA121" s="581"/>
      <c r="AB121" s="581"/>
      <c r="AC121" s="581"/>
      <c r="AD121" s="581"/>
      <c r="AE121" s="581"/>
      <c r="AF121" s="581"/>
      <c r="AG121" s="581"/>
      <c r="AH121" s="581"/>
      <c r="AI121" s="581"/>
      <c r="AJ121" s="581"/>
      <c r="AK121" s="581"/>
      <c r="AL121" s="581"/>
      <c r="AM121" s="581"/>
      <c r="AN121" s="581"/>
      <c r="AO121" s="581"/>
      <c r="AP121" s="581"/>
      <c r="AQ121" s="581"/>
      <c r="AR121" s="581"/>
    </row>
    <row r="122" spans="1:44" ht="12.75" customHeight="1" x14ac:dyDescent="0.25">
      <c r="A122" s="581"/>
      <c r="B122" s="581"/>
      <c r="C122" s="581"/>
      <c r="D122" s="581"/>
      <c r="E122" s="581"/>
      <c r="F122" s="581"/>
      <c r="G122" s="581"/>
      <c r="H122" s="581"/>
      <c r="I122" s="581"/>
      <c r="J122" s="581"/>
      <c r="K122" s="581"/>
      <c r="L122" s="581"/>
      <c r="M122" s="581"/>
      <c r="N122" s="581"/>
      <c r="O122" s="581"/>
      <c r="P122" s="581"/>
      <c r="AA122" s="581"/>
      <c r="AB122" s="581"/>
      <c r="AC122" s="581"/>
      <c r="AD122" s="581"/>
      <c r="AE122" s="581"/>
      <c r="AF122" s="581"/>
      <c r="AG122" s="581"/>
      <c r="AH122" s="581"/>
      <c r="AI122" s="581"/>
      <c r="AJ122" s="581"/>
      <c r="AK122" s="581"/>
      <c r="AL122" s="581"/>
      <c r="AM122" s="581"/>
      <c r="AN122" s="581"/>
      <c r="AO122" s="581"/>
      <c r="AP122" s="581"/>
      <c r="AQ122" s="581"/>
      <c r="AR122" s="581"/>
    </row>
    <row r="123" spans="1:44" ht="12.75" customHeight="1" x14ac:dyDescent="0.25">
      <c r="A123" s="581"/>
      <c r="B123" s="581"/>
      <c r="C123" s="581"/>
      <c r="D123" s="581"/>
      <c r="E123" s="581"/>
      <c r="F123" s="581"/>
      <c r="G123" s="581"/>
      <c r="H123" s="581"/>
      <c r="I123" s="581"/>
      <c r="J123" s="581"/>
      <c r="K123" s="581"/>
      <c r="L123" s="581"/>
      <c r="M123" s="581"/>
      <c r="N123" s="581"/>
      <c r="O123" s="581"/>
      <c r="P123" s="581"/>
      <c r="AA123" s="581"/>
      <c r="AB123" s="581"/>
      <c r="AC123" s="581"/>
      <c r="AD123" s="581"/>
      <c r="AE123" s="581"/>
      <c r="AF123" s="581"/>
      <c r="AG123" s="581"/>
      <c r="AH123" s="581"/>
      <c r="AI123" s="581"/>
      <c r="AJ123" s="581"/>
      <c r="AK123" s="581"/>
      <c r="AL123" s="581"/>
      <c r="AM123" s="581"/>
      <c r="AN123" s="581"/>
      <c r="AO123" s="581"/>
      <c r="AP123" s="581"/>
      <c r="AQ123" s="581"/>
      <c r="AR123" s="581"/>
    </row>
    <row r="124" spans="1:44" ht="12.75" customHeight="1" x14ac:dyDescent="0.25">
      <c r="A124" s="581"/>
      <c r="B124" s="581"/>
      <c r="C124" s="581"/>
      <c r="D124" s="581"/>
      <c r="E124" s="581"/>
      <c r="F124" s="581"/>
      <c r="G124" s="581"/>
      <c r="H124" s="581"/>
      <c r="I124" s="581"/>
      <c r="J124" s="581"/>
      <c r="K124" s="581"/>
      <c r="L124" s="581"/>
      <c r="M124" s="581"/>
      <c r="N124" s="581"/>
      <c r="O124" s="581"/>
      <c r="P124" s="581"/>
      <c r="AA124" s="581"/>
      <c r="AB124" s="581"/>
      <c r="AC124" s="581"/>
      <c r="AD124" s="581"/>
      <c r="AE124" s="581"/>
      <c r="AF124" s="581"/>
      <c r="AG124" s="581"/>
      <c r="AH124" s="581"/>
      <c r="AI124" s="581"/>
      <c r="AJ124" s="581"/>
      <c r="AK124" s="581"/>
      <c r="AL124" s="581"/>
      <c r="AM124" s="581"/>
      <c r="AN124" s="581"/>
      <c r="AO124" s="581"/>
      <c r="AP124" s="581"/>
      <c r="AQ124" s="581"/>
      <c r="AR124" s="581"/>
    </row>
    <row r="125" spans="1:44" ht="12.75" customHeight="1" x14ac:dyDescent="0.25">
      <c r="A125" s="581"/>
      <c r="B125" s="581"/>
      <c r="C125" s="581"/>
      <c r="D125" s="581"/>
      <c r="E125" s="581"/>
      <c r="F125" s="581"/>
      <c r="G125" s="581"/>
      <c r="H125" s="581"/>
      <c r="I125" s="581"/>
      <c r="J125" s="581"/>
      <c r="K125" s="581"/>
      <c r="L125" s="581"/>
      <c r="M125" s="581"/>
      <c r="N125" s="581"/>
      <c r="O125" s="581"/>
      <c r="P125" s="581"/>
      <c r="AA125" s="581"/>
      <c r="AB125" s="581"/>
      <c r="AC125" s="581"/>
      <c r="AD125" s="581"/>
      <c r="AE125" s="581"/>
      <c r="AF125" s="581"/>
      <c r="AG125" s="581"/>
      <c r="AH125" s="581"/>
      <c r="AI125" s="581"/>
      <c r="AJ125" s="581"/>
      <c r="AK125" s="581"/>
      <c r="AL125" s="581"/>
      <c r="AM125" s="581"/>
      <c r="AN125" s="581"/>
      <c r="AO125" s="581"/>
      <c r="AP125" s="581"/>
      <c r="AQ125" s="581"/>
      <c r="AR125" s="581"/>
    </row>
    <row r="126" spans="1:44" ht="12.75" customHeight="1" x14ac:dyDescent="0.25">
      <c r="A126" s="581"/>
      <c r="B126" s="581"/>
      <c r="C126" s="581"/>
      <c r="D126" s="581"/>
      <c r="E126" s="581"/>
      <c r="F126" s="581"/>
      <c r="G126" s="581"/>
      <c r="H126" s="581"/>
      <c r="I126" s="581"/>
      <c r="J126" s="581"/>
      <c r="K126" s="581"/>
      <c r="L126" s="581"/>
      <c r="M126" s="581"/>
      <c r="N126" s="581"/>
      <c r="O126" s="581"/>
      <c r="P126" s="581"/>
      <c r="AA126" s="581"/>
      <c r="AB126" s="581"/>
      <c r="AC126" s="581"/>
      <c r="AD126" s="581"/>
      <c r="AE126" s="581"/>
      <c r="AF126" s="581"/>
      <c r="AG126" s="581"/>
      <c r="AH126" s="581"/>
      <c r="AI126" s="581"/>
      <c r="AJ126" s="581"/>
      <c r="AK126" s="581"/>
      <c r="AL126" s="581"/>
      <c r="AM126" s="581"/>
      <c r="AN126" s="581"/>
      <c r="AO126" s="581"/>
      <c r="AP126" s="581"/>
      <c r="AQ126" s="581"/>
      <c r="AR126" s="581"/>
    </row>
    <row r="127" spans="1:44" ht="12.75" customHeight="1" x14ac:dyDescent="0.25">
      <c r="A127" s="581"/>
      <c r="B127" s="581"/>
      <c r="C127" s="581"/>
      <c r="D127" s="581"/>
      <c r="E127" s="581"/>
      <c r="F127" s="581"/>
      <c r="G127" s="581"/>
      <c r="H127" s="581"/>
      <c r="I127" s="581"/>
      <c r="J127" s="581"/>
      <c r="K127" s="581"/>
      <c r="L127" s="581"/>
      <c r="M127" s="581"/>
      <c r="N127" s="581"/>
      <c r="O127" s="581"/>
      <c r="P127" s="581"/>
      <c r="AA127" s="581"/>
      <c r="AB127" s="581"/>
      <c r="AC127" s="581"/>
      <c r="AD127" s="581"/>
      <c r="AE127" s="581"/>
      <c r="AF127" s="581"/>
      <c r="AG127" s="581"/>
      <c r="AH127" s="581"/>
      <c r="AI127" s="581"/>
      <c r="AJ127" s="581"/>
      <c r="AK127" s="581"/>
      <c r="AL127" s="581"/>
      <c r="AM127" s="581"/>
      <c r="AN127" s="581"/>
      <c r="AO127" s="581"/>
      <c r="AP127" s="581"/>
      <c r="AQ127" s="581"/>
      <c r="AR127" s="581"/>
    </row>
    <row r="128" spans="1:44" ht="12.75" customHeight="1" x14ac:dyDescent="0.25">
      <c r="A128" s="581"/>
      <c r="B128" s="581"/>
      <c r="C128" s="581"/>
      <c r="D128" s="581"/>
      <c r="E128" s="581"/>
      <c r="F128" s="581"/>
      <c r="G128" s="581"/>
      <c r="H128" s="581"/>
      <c r="I128" s="581"/>
      <c r="J128" s="581"/>
      <c r="K128" s="581"/>
      <c r="L128" s="581"/>
      <c r="M128" s="581"/>
      <c r="N128" s="581"/>
      <c r="O128" s="581"/>
      <c r="P128" s="581"/>
      <c r="AA128" s="581"/>
      <c r="AB128" s="581"/>
      <c r="AC128" s="581"/>
      <c r="AD128" s="581"/>
      <c r="AE128" s="581"/>
      <c r="AF128" s="581"/>
      <c r="AG128" s="581"/>
      <c r="AH128" s="581"/>
      <c r="AI128" s="581"/>
      <c r="AJ128" s="581"/>
      <c r="AK128" s="581"/>
      <c r="AL128" s="581"/>
      <c r="AM128" s="581"/>
      <c r="AN128" s="581"/>
      <c r="AO128" s="581"/>
      <c r="AP128" s="581"/>
      <c r="AQ128" s="581"/>
      <c r="AR128" s="581"/>
    </row>
    <row r="129" spans="1:44" ht="12.75" customHeight="1" x14ac:dyDescent="0.25">
      <c r="A129" s="581"/>
      <c r="B129" s="581"/>
      <c r="C129" s="581"/>
      <c r="D129" s="581"/>
      <c r="E129" s="581"/>
      <c r="F129" s="581"/>
      <c r="G129" s="581"/>
      <c r="H129" s="581"/>
      <c r="I129" s="581"/>
      <c r="J129" s="581"/>
      <c r="K129" s="581"/>
      <c r="L129" s="581"/>
      <c r="M129" s="581"/>
      <c r="N129" s="581"/>
      <c r="O129" s="581"/>
      <c r="P129" s="581"/>
      <c r="AA129" s="581"/>
      <c r="AB129" s="581"/>
      <c r="AC129" s="581"/>
      <c r="AD129" s="581"/>
      <c r="AE129" s="581"/>
      <c r="AF129" s="581"/>
      <c r="AG129" s="581"/>
      <c r="AH129" s="581"/>
      <c r="AI129" s="581"/>
      <c r="AJ129" s="581"/>
      <c r="AK129" s="581"/>
      <c r="AL129" s="581"/>
      <c r="AM129" s="581"/>
      <c r="AN129" s="581"/>
      <c r="AO129" s="581"/>
      <c r="AP129" s="581"/>
      <c r="AQ129" s="581"/>
      <c r="AR129" s="581"/>
    </row>
    <row r="130" spans="1:44" ht="12.75" customHeight="1" x14ac:dyDescent="0.25">
      <c r="A130" s="581"/>
      <c r="B130" s="581"/>
      <c r="C130" s="581"/>
      <c r="D130" s="581"/>
      <c r="E130" s="581"/>
      <c r="F130" s="581"/>
      <c r="G130" s="581"/>
      <c r="H130" s="581"/>
      <c r="I130" s="581"/>
      <c r="J130" s="581"/>
      <c r="K130" s="581"/>
      <c r="L130" s="581"/>
      <c r="M130" s="581"/>
      <c r="N130" s="581"/>
      <c r="O130" s="581"/>
      <c r="P130" s="581"/>
      <c r="AA130" s="581"/>
      <c r="AB130" s="581"/>
      <c r="AC130" s="581"/>
      <c r="AD130" s="581"/>
      <c r="AE130" s="581"/>
      <c r="AF130" s="581"/>
      <c r="AG130" s="581"/>
      <c r="AH130" s="581"/>
      <c r="AI130" s="581"/>
      <c r="AJ130" s="581"/>
      <c r="AK130" s="581"/>
      <c r="AL130" s="581"/>
      <c r="AM130" s="581"/>
      <c r="AN130" s="581"/>
      <c r="AO130" s="581"/>
      <c r="AP130" s="581"/>
      <c r="AQ130" s="581"/>
      <c r="AR130" s="581"/>
    </row>
    <row r="131" spans="1:44" ht="12.75" customHeight="1" x14ac:dyDescent="0.25">
      <c r="A131" s="581"/>
      <c r="B131" s="581"/>
      <c r="C131" s="581"/>
      <c r="D131" s="581"/>
      <c r="E131" s="581"/>
      <c r="F131" s="581"/>
      <c r="G131" s="581"/>
      <c r="H131" s="581"/>
      <c r="I131" s="581"/>
      <c r="J131" s="581"/>
      <c r="K131" s="581"/>
      <c r="L131" s="581"/>
      <c r="M131" s="581"/>
      <c r="N131" s="581"/>
      <c r="O131" s="581"/>
      <c r="P131" s="581"/>
      <c r="AA131" s="581"/>
      <c r="AB131" s="581"/>
      <c r="AC131" s="581"/>
      <c r="AD131" s="581"/>
      <c r="AE131" s="581"/>
      <c r="AF131" s="581"/>
      <c r="AG131" s="581"/>
      <c r="AH131" s="581"/>
      <c r="AI131" s="581"/>
      <c r="AJ131" s="581"/>
      <c r="AK131" s="581"/>
      <c r="AL131" s="581"/>
      <c r="AM131" s="581"/>
      <c r="AN131" s="581"/>
      <c r="AO131" s="581"/>
      <c r="AP131" s="581"/>
      <c r="AQ131" s="581"/>
      <c r="AR131" s="581"/>
    </row>
    <row r="132" spans="1:44" ht="12.75" customHeight="1" x14ac:dyDescent="0.25">
      <c r="A132" s="581"/>
      <c r="B132" s="581"/>
      <c r="C132" s="581"/>
      <c r="D132" s="581"/>
      <c r="E132" s="581"/>
      <c r="F132" s="581"/>
      <c r="G132" s="581"/>
      <c r="H132" s="581"/>
      <c r="I132" s="581"/>
      <c r="J132" s="581"/>
      <c r="K132" s="581"/>
      <c r="L132" s="581"/>
      <c r="M132" s="581"/>
      <c r="N132" s="581"/>
      <c r="O132" s="581"/>
      <c r="P132" s="581"/>
      <c r="AA132" s="581"/>
      <c r="AB132" s="581"/>
      <c r="AC132" s="581"/>
      <c r="AD132" s="581"/>
      <c r="AE132" s="581"/>
      <c r="AF132" s="581"/>
      <c r="AG132" s="581"/>
      <c r="AH132" s="581"/>
      <c r="AI132" s="581"/>
      <c r="AJ132" s="581"/>
      <c r="AK132" s="581"/>
      <c r="AL132" s="581"/>
      <c r="AM132" s="581"/>
      <c r="AN132" s="581"/>
      <c r="AO132" s="581"/>
      <c r="AP132" s="581"/>
      <c r="AQ132" s="581"/>
      <c r="AR132" s="581"/>
    </row>
    <row r="133" spans="1:44" ht="12.75" customHeight="1" x14ac:dyDescent="0.25">
      <c r="A133" s="581"/>
      <c r="B133" s="581"/>
      <c r="C133" s="581"/>
      <c r="D133" s="581"/>
      <c r="E133" s="581"/>
      <c r="F133" s="581"/>
      <c r="G133" s="581"/>
      <c r="H133" s="581"/>
      <c r="I133" s="581"/>
      <c r="J133" s="581"/>
      <c r="K133" s="581"/>
      <c r="L133" s="581"/>
      <c r="M133" s="581"/>
      <c r="N133" s="581"/>
      <c r="O133" s="581"/>
      <c r="P133" s="581"/>
      <c r="AA133" s="581"/>
      <c r="AB133" s="581"/>
      <c r="AC133" s="581"/>
      <c r="AD133" s="581"/>
      <c r="AE133" s="581"/>
      <c r="AF133" s="581"/>
      <c r="AG133" s="581"/>
      <c r="AH133" s="581"/>
      <c r="AI133" s="581"/>
      <c r="AJ133" s="581"/>
      <c r="AK133" s="581"/>
      <c r="AL133" s="581"/>
      <c r="AM133" s="581"/>
      <c r="AN133" s="581"/>
      <c r="AO133" s="581"/>
      <c r="AP133" s="581"/>
      <c r="AQ133" s="581"/>
      <c r="AR133" s="581"/>
    </row>
    <row r="134" spans="1:44" ht="12.75" customHeight="1" x14ac:dyDescent="0.25">
      <c r="A134" s="581"/>
      <c r="B134" s="581"/>
      <c r="C134" s="581"/>
      <c r="D134" s="581"/>
      <c r="E134" s="581"/>
      <c r="F134" s="581"/>
      <c r="G134" s="581"/>
      <c r="H134" s="581"/>
      <c r="I134" s="581"/>
      <c r="J134" s="581"/>
      <c r="K134" s="581"/>
      <c r="L134" s="581"/>
      <c r="M134" s="581"/>
      <c r="N134" s="581"/>
      <c r="O134" s="581"/>
      <c r="P134" s="581"/>
      <c r="AA134" s="581"/>
      <c r="AB134" s="581"/>
      <c r="AC134" s="581"/>
      <c r="AD134" s="581"/>
      <c r="AE134" s="581"/>
      <c r="AF134" s="581"/>
      <c r="AG134" s="581"/>
      <c r="AH134" s="581"/>
      <c r="AI134" s="581"/>
      <c r="AJ134" s="581"/>
      <c r="AK134" s="581"/>
      <c r="AL134" s="581"/>
      <c r="AM134" s="581"/>
      <c r="AN134" s="581"/>
      <c r="AO134" s="581"/>
      <c r="AP134" s="581"/>
      <c r="AQ134" s="581"/>
      <c r="AR134" s="581"/>
    </row>
    <row r="135" spans="1:44" ht="12.75" customHeight="1" x14ac:dyDescent="0.25">
      <c r="E135" s="256"/>
      <c r="F135" s="256"/>
      <c r="G135" s="256"/>
      <c r="I135" s="256"/>
    </row>
    <row r="136" spans="1:44" ht="12.75" customHeight="1" x14ac:dyDescent="0.25">
      <c r="E136" s="256"/>
      <c r="F136" s="256"/>
      <c r="G136" s="256"/>
      <c r="I136" s="256"/>
    </row>
    <row r="137" spans="1:44" ht="12.75" customHeight="1" x14ac:dyDescent="0.25">
      <c r="E137" s="256"/>
      <c r="F137" s="256"/>
      <c r="G137" s="256"/>
      <c r="I137" s="256"/>
    </row>
  </sheetData>
  <sheetProtection password="BCD8" sheet="1" objects="1" scenarios="1"/>
  <phoneticPr fontId="0" type="noConversion"/>
  <conditionalFormatting sqref="C24:C29">
    <cfRule type="cellIs" dxfId="161" priority="1" stopIfTrue="1" operator="equal">
      <formula>"&gt;"</formula>
    </cfRule>
  </conditionalFormatting>
  <conditionalFormatting sqref="D24:G29">
    <cfRule type="expression" dxfId="160" priority="2" stopIfTrue="1">
      <formula>$C24="&gt;"</formula>
    </cfRule>
  </conditionalFormatting>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7585" r:id="rId4" name="home">
              <controlPr defaultSize="0" print="0" autoFill="0" autoPict="0" macro="[0]!globalgoto">
                <anchor moveWithCells="1" sizeWithCells="1">
                  <from>
                    <xdr:col>0</xdr:col>
                    <xdr:colOff>88900</xdr:colOff>
                    <xdr:row>2</xdr:row>
                    <xdr:rowOff>25400</xdr:rowOff>
                  </from>
                  <to>
                    <xdr:col>0</xdr:col>
                    <xdr:colOff>1035050</xdr:colOff>
                    <xdr:row>4</xdr:row>
                    <xdr:rowOff>31750</xdr:rowOff>
                  </to>
                </anchor>
              </controlPr>
            </control>
          </mc:Choice>
        </mc:AlternateContent>
        <mc:AlternateContent xmlns:mc="http://schemas.openxmlformats.org/markup-compatibility/2006">
          <mc:Choice Requires="x14">
            <control shapeId="67586" r:id="rId5" name="basic">
              <controlPr defaultSize="0" print="0" autoFill="0" autoPict="0" macro="[0]!globalgoto">
                <anchor moveWithCells="1" sizeWithCells="1">
                  <from>
                    <xdr:col>0</xdr:col>
                    <xdr:colOff>88900</xdr:colOff>
                    <xdr:row>4</xdr:row>
                    <xdr:rowOff>38100</xdr:rowOff>
                  </from>
                  <to>
                    <xdr:col>0</xdr:col>
                    <xdr:colOff>1035050</xdr:colOff>
                    <xdr:row>6</xdr:row>
                    <xdr:rowOff>139700</xdr:rowOff>
                  </to>
                </anchor>
              </controlPr>
            </control>
          </mc:Choice>
        </mc:AlternateContent>
        <mc:AlternateContent xmlns:mc="http://schemas.openxmlformats.org/markup-compatibility/2006">
          <mc:Choice Requires="x14">
            <control shapeId="67587" r:id="rId6" name="Button 3">
              <controlPr defaultSize="0" print="0" autoFill="0" autoPict="0" macro="[0]!goto_previous_year_any_sheet">
                <anchor moveWithCells="1" sizeWithCells="1">
                  <from>
                    <xdr:col>0</xdr:col>
                    <xdr:colOff>107950</xdr:colOff>
                    <xdr:row>19</xdr:row>
                    <xdr:rowOff>12700</xdr:rowOff>
                  </from>
                  <to>
                    <xdr:col>0</xdr:col>
                    <xdr:colOff>1066800</xdr:colOff>
                    <xdr:row>22</xdr:row>
                    <xdr:rowOff>114300</xdr:rowOff>
                  </to>
                </anchor>
              </controlPr>
            </control>
          </mc:Choice>
        </mc:AlternateContent>
        <mc:AlternateContent xmlns:mc="http://schemas.openxmlformats.org/markup-compatibility/2006">
          <mc:Choice Requires="x14">
            <control shapeId="67588" r:id="rId7" name="Button 4">
              <controlPr defaultSize="0" print="0" autoFill="0" autoPict="0" macro="[0]!goto_previous_year_any_sheet">
                <anchor moveWithCells="1" sizeWithCells="1">
                  <from>
                    <xdr:col>10</xdr:col>
                    <xdr:colOff>101600</xdr:colOff>
                    <xdr:row>5</xdr:row>
                    <xdr:rowOff>25400</xdr:rowOff>
                  </from>
                  <to>
                    <xdr:col>11</xdr:col>
                    <xdr:colOff>419100</xdr:colOff>
                    <xdr:row>6</xdr:row>
                    <xdr:rowOff>158750</xdr:rowOff>
                  </to>
                </anchor>
              </controlPr>
            </control>
          </mc:Choice>
        </mc:AlternateContent>
        <mc:AlternateContent xmlns:mc="http://schemas.openxmlformats.org/markup-compatibility/2006">
          <mc:Choice Requires="x14">
            <control shapeId="67589" r:id="rId8" name="Button 5">
              <controlPr defaultSize="0" print="0" autoFill="0" autoPict="0" macro="[0]!copy_as_excel">
                <anchor moveWithCells="1" sizeWithCells="1">
                  <from>
                    <xdr:col>10</xdr:col>
                    <xdr:colOff>38100</xdr:colOff>
                    <xdr:row>11</xdr:row>
                    <xdr:rowOff>88900</xdr:rowOff>
                  </from>
                  <to>
                    <xdr:col>11</xdr:col>
                    <xdr:colOff>88900</xdr:colOff>
                    <xdr:row>13</xdr:row>
                    <xdr:rowOff>146050</xdr:rowOff>
                  </to>
                </anchor>
              </controlPr>
            </control>
          </mc:Choice>
        </mc:AlternateContent>
        <mc:AlternateContent xmlns:mc="http://schemas.openxmlformats.org/markup-compatibility/2006">
          <mc:Choice Requires="x14">
            <control shapeId="67590" r:id="rId9" name="Button 6">
              <controlPr defaultSize="0" print="0" autoFill="0" autoPict="0" macro="[0]!pdflauncher">
                <anchor moveWithCells="1" sizeWithCells="1">
                  <from>
                    <xdr:col>11</xdr:col>
                    <xdr:colOff>101600</xdr:colOff>
                    <xdr:row>11</xdr:row>
                    <xdr:rowOff>88900</xdr:rowOff>
                  </from>
                  <to>
                    <xdr:col>11</xdr:col>
                    <xdr:colOff>787400</xdr:colOff>
                    <xdr:row>13</xdr:row>
                    <xdr:rowOff>146050</xdr:rowOff>
                  </to>
                </anchor>
              </controlPr>
            </control>
          </mc:Choice>
        </mc:AlternateContent>
        <mc:AlternateContent xmlns:mc="http://schemas.openxmlformats.org/markup-compatibility/2006">
          <mc:Choice Requires="x14">
            <control shapeId="67591" r:id="rId10" name="Button 7">
              <controlPr defaultSize="0" print="0" autoFill="0" autoPict="0" macro="[0]!openfolder">
                <anchor moveWithCells="1" sizeWithCells="1">
                  <from>
                    <xdr:col>11</xdr:col>
                    <xdr:colOff>793750</xdr:colOff>
                    <xdr:row>11</xdr:row>
                    <xdr:rowOff>88900</xdr:rowOff>
                  </from>
                  <to>
                    <xdr:col>12</xdr:col>
                    <xdr:colOff>508000</xdr:colOff>
                    <xdr:row>13</xdr:row>
                    <xdr:rowOff>146050</xdr:rowOff>
                  </to>
                </anchor>
              </controlPr>
            </control>
          </mc:Choice>
        </mc:AlternateContent>
        <mc:AlternateContent xmlns:mc="http://schemas.openxmlformats.org/markup-compatibility/2006">
          <mc:Choice Requires="x14">
            <control shapeId="67592" r:id="rId11" name="Button 8">
              <controlPr defaultSize="0" print="0" autoFill="0" autoPict="0" macro="[0]!goto_folder_settings">
                <anchor moveWithCells="1" sizeWithCells="1">
                  <from>
                    <xdr:col>12</xdr:col>
                    <xdr:colOff>520700</xdr:colOff>
                    <xdr:row>11</xdr:row>
                    <xdr:rowOff>88900</xdr:rowOff>
                  </from>
                  <to>
                    <xdr:col>12</xdr:col>
                    <xdr:colOff>1041400</xdr:colOff>
                    <xdr:row>13</xdr:row>
                    <xdr:rowOff>146050</xdr:rowOff>
                  </to>
                </anchor>
              </controlPr>
            </control>
          </mc:Choice>
        </mc:AlternateContent>
        <mc:AlternateContent xmlns:mc="http://schemas.openxmlformats.org/markup-compatibility/2006">
          <mc:Choice Requires="x14">
            <control shapeId="67593" r:id="rId12" name="Button 9">
              <controlPr defaultSize="0" print="0" autoFill="0" autoPict="0" macro="[0]!email_pdf_launch">
                <anchor moveWithCells="1" sizeWithCells="1">
                  <from>
                    <xdr:col>11</xdr:col>
                    <xdr:colOff>241300</xdr:colOff>
                    <xdr:row>9</xdr:row>
                    <xdr:rowOff>120650</xdr:rowOff>
                  </from>
                  <to>
                    <xdr:col>12</xdr:col>
                    <xdr:colOff>114300</xdr:colOff>
                    <xdr:row>11</xdr:row>
                    <xdr:rowOff>82550</xdr:rowOff>
                  </to>
                </anchor>
              </controlPr>
            </control>
          </mc:Choice>
        </mc:AlternateContent>
        <mc:AlternateContent xmlns:mc="http://schemas.openxmlformats.org/markup-compatibility/2006">
          <mc:Choice Requires="x14">
            <control shapeId="67594" r:id="rId13" name="Button 10">
              <controlPr defaultSize="0" print="0" autoFill="0" autoPict="0" macro="[0]!email_copy_as_excel">
                <anchor moveWithCells="1" sizeWithCells="1">
                  <from>
                    <xdr:col>10</xdr:col>
                    <xdr:colOff>38100</xdr:colOff>
                    <xdr:row>9</xdr:row>
                    <xdr:rowOff>120650</xdr:rowOff>
                  </from>
                  <to>
                    <xdr:col>11</xdr:col>
                    <xdr:colOff>234950</xdr:colOff>
                    <xdr:row>11</xdr:row>
                    <xdr:rowOff>82550</xdr:rowOff>
                  </to>
                </anchor>
              </controlPr>
            </control>
          </mc:Choice>
        </mc:AlternateContent>
        <mc:AlternateContent xmlns:mc="http://schemas.openxmlformats.org/markup-compatibility/2006">
          <mc:Choice Requires="x14">
            <control shapeId="67595" r:id="rId14" name="Button 11">
              <controlPr defaultSize="0" print="0" autoFill="0" autoPict="0" macro="[0]!emailsettings">
                <anchor moveWithCells="1" sizeWithCells="1">
                  <from>
                    <xdr:col>12</xdr:col>
                    <xdr:colOff>127000</xdr:colOff>
                    <xdr:row>9</xdr:row>
                    <xdr:rowOff>120650</xdr:rowOff>
                  </from>
                  <to>
                    <xdr:col>12</xdr:col>
                    <xdr:colOff>1041400</xdr:colOff>
                    <xdr:row>11</xdr:row>
                    <xdr:rowOff>82550</xdr:rowOff>
                  </to>
                </anchor>
              </controlPr>
            </control>
          </mc:Choice>
        </mc:AlternateContent>
        <mc:AlternateContent xmlns:mc="http://schemas.openxmlformats.org/markup-compatibility/2006">
          <mc:Choice Requires="x14">
            <control shapeId="67596" r:id="rId15" name="Button 12">
              <controlPr defaultSize="0" print="0" autoFill="0" autoPict="0" macro="[0]!goto_other_analysis">
                <anchor moveWithCells="1" sizeWithCells="1">
                  <from>
                    <xdr:col>10</xdr:col>
                    <xdr:colOff>127000</xdr:colOff>
                    <xdr:row>22</xdr:row>
                    <xdr:rowOff>114300</xdr:rowOff>
                  </from>
                  <to>
                    <xdr:col>11</xdr:col>
                    <xdr:colOff>450850</xdr:colOff>
                    <xdr:row>26</xdr:row>
                    <xdr:rowOff>38100</xdr:rowOff>
                  </to>
                </anchor>
              </controlPr>
            </control>
          </mc:Choice>
        </mc:AlternateContent>
        <mc:AlternateContent xmlns:mc="http://schemas.openxmlformats.org/markup-compatibility/2006">
          <mc:Choice Requires="x14">
            <control shapeId="67597" r:id="rId16" name="Button 13">
              <controlPr defaultSize="0" print="0" autoFill="0" autoPict="0">
                <anchor moveWithCells="1" sizeWithCells="1">
                  <from>
                    <xdr:col>10</xdr:col>
                    <xdr:colOff>101600</xdr:colOff>
                    <xdr:row>2</xdr:row>
                    <xdr:rowOff>127000</xdr:rowOff>
                  </from>
                  <to>
                    <xdr:col>11</xdr:col>
                    <xdr:colOff>419100</xdr:colOff>
                    <xdr:row>4</xdr:row>
                    <xdr:rowOff>63500</xdr:rowOff>
                  </to>
                </anchor>
              </controlPr>
            </control>
          </mc:Choice>
        </mc:AlternateContent>
        <mc:AlternateContent xmlns:mc="http://schemas.openxmlformats.org/markup-compatibility/2006">
          <mc:Choice Requires="x14">
            <control shapeId="67598" r:id="rId17" name="Button 14">
              <controlPr defaultSize="0" print="0" autoFill="0" autoPict="0" macro="[0]!goto_basic_analysis_revised">
                <anchor moveWithCells="1" sizeWithCells="1">
                  <from>
                    <xdr:col>10</xdr:col>
                    <xdr:colOff>127000</xdr:colOff>
                    <xdr:row>28</xdr:row>
                    <xdr:rowOff>146050</xdr:rowOff>
                  </from>
                  <to>
                    <xdr:col>11</xdr:col>
                    <xdr:colOff>450850</xdr:colOff>
                    <xdr:row>31</xdr:row>
                    <xdr:rowOff>234950</xdr:rowOff>
                  </to>
                </anchor>
              </controlPr>
            </control>
          </mc:Choice>
        </mc:AlternateContent>
        <mc:AlternateContent xmlns:mc="http://schemas.openxmlformats.org/markup-compatibility/2006">
          <mc:Choice Requires="x14">
            <control shapeId="67599" r:id="rId18" name="globalbacktobutton">
              <controlPr defaultSize="0" print="0" autoFill="0" autoPict="0" macro="[0]!backto">
                <anchor moveWithCells="1" sizeWithCells="1">
                  <from>
                    <xdr:col>10</xdr:col>
                    <xdr:colOff>139700</xdr:colOff>
                    <xdr:row>19</xdr:row>
                    <xdr:rowOff>38100</xdr:rowOff>
                  </from>
                  <to>
                    <xdr:col>11</xdr:col>
                    <xdr:colOff>450850</xdr:colOff>
                    <xdr:row>21</xdr:row>
                    <xdr:rowOff>146050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1D179-DFBA-4D84-BF0C-B5440691A51C}">
  <sheetPr codeName="Sheet2"/>
  <dimension ref="A1:I170"/>
  <sheetViews>
    <sheetView workbookViewId="0">
      <pane ySplit="1" topLeftCell="A2" activePane="bottomLeft" state="frozen"/>
      <selection activeCell="D165" sqref="D165"/>
      <selection pane="bottomLeft"/>
    </sheetView>
  </sheetViews>
  <sheetFormatPr defaultRowHeight="14.5" x14ac:dyDescent="0.35"/>
  <cols>
    <col min="1" max="1" width="16.453125"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8.90625" customWidth="1"/>
    <col min="13" max="13" width="12.453125" customWidth="1"/>
    <col min="14" max="14" width="12.08984375" customWidth="1"/>
    <col min="15" max="15" width="11.54296875" customWidth="1"/>
    <col min="16" max="16" width="12.54296875" customWidth="1"/>
  </cols>
  <sheetData>
    <row r="1" spans="1:9" x14ac:dyDescent="0.35">
      <c r="B1" s="5" t="s">
        <v>373</v>
      </c>
      <c r="C1" t="s">
        <v>374</v>
      </c>
      <c r="D1" s="5" t="s">
        <v>361</v>
      </c>
      <c r="E1" s="5" t="s">
        <v>362</v>
      </c>
      <c r="F1" s="5" t="s">
        <v>363</v>
      </c>
      <c r="G1" s="5" t="s">
        <v>364</v>
      </c>
      <c r="H1" s="5" t="s">
        <v>371</v>
      </c>
      <c r="I1" s="5" t="s">
        <v>372</v>
      </c>
    </row>
    <row r="2" spans="1:9" x14ac:dyDescent="0.35">
      <c r="C2" t="s">
        <v>251</v>
      </c>
      <c r="D2" s="13">
        <f>text!D1</f>
        <v>45017</v>
      </c>
      <c r="E2" s="13">
        <f>text!E1</f>
        <v>45383</v>
      </c>
      <c r="F2" s="13">
        <f>text!F1</f>
        <v>45748</v>
      </c>
      <c r="G2" s="13">
        <f>text!G1</f>
        <v>46113</v>
      </c>
      <c r="H2" s="13">
        <f>text!H1</f>
        <v>46478</v>
      </c>
      <c r="I2" s="13">
        <f>text!I1</f>
        <v>46844</v>
      </c>
    </row>
    <row r="3" spans="1:9" x14ac:dyDescent="0.35">
      <c r="C3" t="s">
        <v>268</v>
      </c>
      <c r="D3" s="5" t="str">
        <f>text!D2</f>
        <v>2023/24</v>
      </c>
      <c r="E3" s="5" t="str">
        <f>text!E2</f>
        <v>2024/25</v>
      </c>
      <c r="F3" s="5" t="str">
        <f>text!F2</f>
        <v>2025/26</v>
      </c>
      <c r="G3" s="5" t="str">
        <f>text!G2</f>
        <v>2026/27</v>
      </c>
      <c r="H3" s="5" t="str">
        <f>text!H2</f>
        <v>2027/28</v>
      </c>
      <c r="I3" s="5" t="str">
        <f>text!I2</f>
        <v>2028/29</v>
      </c>
    </row>
    <row r="4" spans="1:9" x14ac:dyDescent="0.35">
      <c r="C4" t="s">
        <v>271</v>
      </c>
      <c r="D4" s="5">
        <f>text!D3</f>
        <v>1</v>
      </c>
      <c r="E4" s="5">
        <f>text!E3</f>
        <v>2</v>
      </c>
      <c r="F4" s="5">
        <f>text!F3</f>
        <v>3</v>
      </c>
      <c r="G4" s="5">
        <f>text!G3</f>
        <v>4</v>
      </c>
      <c r="H4" s="5">
        <f>text!H3</f>
        <v>5</v>
      </c>
      <c r="I4" s="5">
        <f>text!I3</f>
        <v>6</v>
      </c>
    </row>
    <row r="5" spans="1:9" x14ac:dyDescent="0.35">
      <c r="C5" t="s">
        <v>272</v>
      </c>
      <c r="D5" s="27">
        <f>basic!I6</f>
        <v>0</v>
      </c>
      <c r="E5" s="5">
        <f t="shared" ref="E5:I9" si="0">D5</f>
        <v>0</v>
      </c>
      <c r="F5" s="5">
        <f t="shared" si="0"/>
        <v>0</v>
      </c>
      <c r="G5" s="5">
        <f t="shared" si="0"/>
        <v>0</v>
      </c>
      <c r="H5" s="5">
        <f t="shared" si="0"/>
        <v>0</v>
      </c>
      <c r="I5" s="5">
        <f t="shared" si="0"/>
        <v>0</v>
      </c>
    </row>
    <row r="6" spans="1:9" x14ac:dyDescent="0.35">
      <c r="C6" t="s">
        <v>273</v>
      </c>
      <c r="D6" s="5" t="str">
        <f>basic!W3</f>
        <v>e</v>
      </c>
      <c r="E6" s="5" t="str">
        <f t="shared" si="0"/>
        <v>e</v>
      </c>
      <c r="F6" s="5" t="str">
        <f t="shared" si="0"/>
        <v>e</v>
      </c>
      <c r="G6" s="5" t="str">
        <f t="shared" si="0"/>
        <v>e</v>
      </c>
      <c r="H6" s="5" t="str">
        <f t="shared" si="0"/>
        <v>e</v>
      </c>
      <c r="I6" s="5" t="str">
        <f t="shared" si="0"/>
        <v>e</v>
      </c>
    </row>
    <row r="7" spans="1:9" x14ac:dyDescent="0.35">
      <c r="C7" t="s">
        <v>334</v>
      </c>
      <c r="D7" s="5" t="b">
        <f>basic!W21</f>
        <v>0</v>
      </c>
      <c r="E7" s="5" t="b">
        <f t="shared" si="0"/>
        <v>0</v>
      </c>
      <c r="F7" s="5" t="b">
        <f t="shared" si="0"/>
        <v>0</v>
      </c>
      <c r="G7" s="5" t="b">
        <f t="shared" si="0"/>
        <v>0</v>
      </c>
      <c r="H7" s="5" t="b">
        <f t="shared" si="0"/>
        <v>0</v>
      </c>
      <c r="I7" s="5" t="b">
        <f t="shared" si="0"/>
        <v>0</v>
      </c>
    </row>
    <row r="8" spans="1:9" x14ac:dyDescent="0.35">
      <c r="C8" t="s">
        <v>335</v>
      </c>
      <c r="D8" s="5" t="b">
        <f>basic!W22</f>
        <v>0</v>
      </c>
      <c r="E8" s="5" t="b">
        <f t="shared" si="0"/>
        <v>0</v>
      </c>
      <c r="F8" s="5" t="b">
        <f t="shared" si="0"/>
        <v>0</v>
      </c>
      <c r="G8" s="5" t="b">
        <f t="shared" si="0"/>
        <v>0</v>
      </c>
      <c r="H8" s="5" t="b">
        <f t="shared" si="0"/>
        <v>0</v>
      </c>
      <c r="I8" s="5" t="b">
        <f t="shared" si="0"/>
        <v>0</v>
      </c>
    </row>
    <row r="9" spans="1:9" x14ac:dyDescent="0.35">
      <c r="C9" t="s">
        <v>336</v>
      </c>
      <c r="D9" s="5" t="b">
        <f>basic!W23</f>
        <v>0</v>
      </c>
      <c r="E9" s="5" t="b">
        <f t="shared" si="0"/>
        <v>0</v>
      </c>
      <c r="F9" s="5" t="b">
        <f t="shared" si="0"/>
        <v>0</v>
      </c>
      <c r="G9" s="5" t="b">
        <f t="shared" si="0"/>
        <v>0</v>
      </c>
      <c r="H9" s="5" t="b">
        <f t="shared" si="0"/>
        <v>0</v>
      </c>
      <c r="I9" s="5" t="b">
        <f t="shared" si="0"/>
        <v>0</v>
      </c>
    </row>
    <row r="10" spans="1:9" x14ac:dyDescent="0.35">
      <c r="B10" s="5">
        <v>3</v>
      </c>
      <c r="C10" t="s">
        <v>300</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9" x14ac:dyDescent="0.35">
      <c r="B11" s="5">
        <v>4</v>
      </c>
      <c r="C11" t="s">
        <v>301</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9" x14ac:dyDescent="0.35">
      <c r="B12" s="5">
        <v>5</v>
      </c>
      <c r="C12" t="s">
        <v>302</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9" x14ac:dyDescent="0.35">
      <c r="A13" t="s">
        <v>306</v>
      </c>
      <c r="B13" s="5">
        <f>IF(D6="e",3,IF(D6="l",4,5))</f>
        <v>3</v>
      </c>
      <c r="C13" t="s">
        <v>304</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9" x14ac:dyDescent="0.35">
      <c r="B14" s="5">
        <v>6</v>
      </c>
      <c r="C14" t="s">
        <v>305</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9" x14ac:dyDescent="0.35">
      <c r="C15" t="s">
        <v>307</v>
      </c>
      <c r="D15" s="5">
        <f>basic!I5</f>
        <v>0</v>
      </c>
      <c r="E15" s="5">
        <f>D15</f>
        <v>0</v>
      </c>
      <c r="F15" s="5">
        <f>E15</f>
        <v>0</v>
      </c>
      <c r="G15" s="5">
        <f>F15</f>
        <v>0</v>
      </c>
      <c r="H15" s="5">
        <f>G15</f>
        <v>0</v>
      </c>
      <c r="I15" s="5">
        <f>H15</f>
        <v>0</v>
      </c>
    </row>
    <row r="16" spans="1:9" x14ac:dyDescent="0.35">
      <c r="C16" t="s">
        <v>309</v>
      </c>
      <c r="D16" s="5">
        <f>data!C52</f>
        <v>0.499</v>
      </c>
    </row>
    <row r="17" spans="1:9" x14ac:dyDescent="0.35">
      <c r="C17" t="s">
        <v>311</v>
      </c>
      <c r="D17" s="5">
        <f>D15*D16</f>
        <v>0</v>
      </c>
    </row>
    <row r="18" spans="1:9" x14ac:dyDescent="0.35">
      <c r="A18" t="s">
        <v>1074</v>
      </c>
      <c r="B18" s="23" t="b">
        <v>0</v>
      </c>
      <c r="C18" t="s">
        <v>360</v>
      </c>
      <c r="D18" s="15">
        <f>basic!H9</f>
        <v>0</v>
      </c>
    </row>
    <row r="19" spans="1:9" x14ac:dyDescent="0.35">
      <c r="C19" t="s">
        <v>312</v>
      </c>
      <c r="D19" s="5">
        <f>IF(B18=TRUE,D18,D17)</f>
        <v>0</v>
      </c>
      <c r="E19" s="5">
        <f>D28</f>
        <v>0</v>
      </c>
      <c r="F19" s="5">
        <f>E28</f>
        <v>0</v>
      </c>
      <c r="G19" s="5">
        <f>F28</f>
        <v>0</v>
      </c>
      <c r="H19" s="5">
        <f>G28</f>
        <v>0</v>
      </c>
      <c r="I19" s="5">
        <f>H28</f>
        <v>0</v>
      </c>
    </row>
    <row r="20" spans="1:9" x14ac:dyDescent="0.35">
      <c r="B20" s="5">
        <v>3</v>
      </c>
      <c r="C20" t="s">
        <v>275</v>
      </c>
      <c r="D20" s="5">
        <f>VLOOKUP(D$4,data!$A$53:$C$59,$B20,FALSE)</f>
        <v>0.499</v>
      </c>
      <c r="E20" s="5">
        <f>VLOOKUP(E$4,data!$A$53:$C$59,$B20,FALSE)</f>
        <v>0.499</v>
      </c>
      <c r="F20" s="5">
        <f>VLOOKUP(F$4,data!$A$53:$C$59,$B20,FALSE)</f>
        <v>0.499</v>
      </c>
      <c r="G20" s="5">
        <f>VLOOKUP(G$4,data!$A$53:$C$59,$B20,FALSE)</f>
        <v>0.51900000000000002</v>
      </c>
      <c r="H20" s="5">
        <f>VLOOKUP(H$4,data!$A$53:$C$59,$B20,FALSE)</f>
        <v>0.54</v>
      </c>
      <c r="I20" s="5">
        <f>VLOOKUP(I$4,data!$A$53:$C$59,$B20,FALSE)</f>
        <v>0.56200000000000006</v>
      </c>
    </row>
    <row r="21" spans="1:9" x14ac:dyDescent="0.35">
      <c r="C21" t="s">
        <v>276</v>
      </c>
      <c r="D21" s="5">
        <f t="shared" ref="D21:I21" si="1">D5*D20</f>
        <v>0</v>
      </c>
      <c r="E21" s="5">
        <f t="shared" si="1"/>
        <v>0</v>
      </c>
      <c r="F21" s="5">
        <f t="shared" si="1"/>
        <v>0</v>
      </c>
      <c r="G21" s="5">
        <f t="shared" si="1"/>
        <v>0</v>
      </c>
      <c r="H21" s="5">
        <f t="shared" si="1"/>
        <v>0</v>
      </c>
      <c r="I21" s="5">
        <f t="shared" si="1"/>
        <v>0</v>
      </c>
    </row>
    <row r="22" spans="1:9" x14ac:dyDescent="0.35">
      <c r="C22" t="s">
        <v>277</v>
      </c>
      <c r="D22" s="5" t="str">
        <f t="shared" ref="D22:I22" si="2">IF(D21&gt;D19,"l","w")</f>
        <v>w</v>
      </c>
      <c r="E22" s="5" t="str">
        <f t="shared" si="2"/>
        <v>w</v>
      </c>
      <c r="F22" s="5" t="str">
        <f t="shared" si="2"/>
        <v>w</v>
      </c>
      <c r="G22" s="5" t="str">
        <f t="shared" si="2"/>
        <v>w</v>
      </c>
      <c r="H22" s="5" t="str">
        <f t="shared" si="2"/>
        <v>w</v>
      </c>
      <c r="I22" s="5" t="str">
        <f t="shared" si="2"/>
        <v>w</v>
      </c>
    </row>
    <row r="23" spans="1:9" x14ac:dyDescent="0.35">
      <c r="C23" t="s">
        <v>278</v>
      </c>
      <c r="D23" s="5" t="str">
        <f t="shared" ref="D23:I23" si="3">IF(D5&lt;=D13,"s",IF(D5&lt;=D14,"m","l"))</f>
        <v>s</v>
      </c>
      <c r="E23" s="5" t="str">
        <f t="shared" si="3"/>
        <v>s</v>
      </c>
      <c r="F23" s="5" t="str">
        <f t="shared" si="3"/>
        <v>s</v>
      </c>
      <c r="G23" s="5" t="str">
        <f t="shared" si="3"/>
        <v>s</v>
      </c>
      <c r="H23" s="5" t="str">
        <f t="shared" si="3"/>
        <v>s</v>
      </c>
      <c r="I23" s="5" t="str">
        <f t="shared" si="3"/>
        <v>s</v>
      </c>
    </row>
    <row r="24" spans="1:9" x14ac:dyDescent="0.35">
      <c r="C24" t="s">
        <v>279</v>
      </c>
      <c r="D24" s="5" t="str">
        <f t="shared" ref="D24:I24" si="4">D22&amp;D23</f>
        <v>ws</v>
      </c>
      <c r="E24" s="5" t="str">
        <f t="shared" si="4"/>
        <v>ws</v>
      </c>
      <c r="F24" s="5" t="str">
        <f t="shared" si="4"/>
        <v>ws</v>
      </c>
      <c r="G24" s="5" t="str">
        <f t="shared" si="4"/>
        <v>ws</v>
      </c>
      <c r="H24" s="5" t="str">
        <f t="shared" si="4"/>
        <v>ws</v>
      </c>
      <c r="I24" s="5" t="str">
        <f t="shared" si="4"/>
        <v>ws</v>
      </c>
    </row>
    <row r="25" spans="1:9" x14ac:dyDescent="0.35">
      <c r="C25" t="s">
        <v>313</v>
      </c>
      <c r="D25" s="5">
        <f>HLOOKUP(D24,data!$C$2:$H$10,D4+1,FALSE)</f>
        <v>0</v>
      </c>
      <c r="E25" s="5">
        <f>HLOOKUP(E24,data!$C$2:$H$10,E4+1,FALSE)</f>
        <v>0</v>
      </c>
      <c r="F25" s="5">
        <f>HLOOKUP(F24,data!$C$2:$H$10,F4+1,FALSE)</f>
        <v>0</v>
      </c>
      <c r="G25" s="5">
        <f>HLOOKUP(G24,data!$C$2:$H$10,G4+1,FALSE)</f>
        <v>45</v>
      </c>
      <c r="H25" s="5">
        <f>HLOOKUP(H24,data!$C$2:$H$10,H4+1,FALSE)</f>
        <v>45</v>
      </c>
      <c r="I25" s="5">
        <f>HLOOKUP(I24,data!$C$2:$H$10,I4+1,FALSE)</f>
        <v>0</v>
      </c>
    </row>
    <row r="26" spans="1:9" x14ac:dyDescent="0.35">
      <c r="B26" s="5">
        <v>4</v>
      </c>
      <c r="C26" t="s">
        <v>314</v>
      </c>
      <c r="D26" s="5">
        <f>VLOOKUP(D$4,data!$A$53:$D$60,$B26,FALSE)</f>
        <v>1</v>
      </c>
      <c r="E26" s="5">
        <f>VLOOKUP(E$4,data!$A$53:$D$60,$B26,FALSE)</f>
        <v>1</v>
      </c>
      <c r="F26" s="5">
        <f>VLOOKUP(F$4,data!$A$53:$D$60,$B26,FALSE)</f>
        <v>1</v>
      </c>
      <c r="G26" s="5">
        <f>VLOOKUP(G$4,data!$A$53:$D$60,$B26,FALSE)</f>
        <v>1.04</v>
      </c>
      <c r="H26" s="5">
        <f>VLOOKUP(H$4,data!$A$53:$D$60,$B26,FALSE)</f>
        <v>1.04</v>
      </c>
      <c r="I26" s="5">
        <f>VLOOKUP(I$4,data!$A$53:$D$60,$B26,FALSE)</f>
        <v>1.0409999999999999</v>
      </c>
    </row>
    <row r="27" spans="1:9" x14ac:dyDescent="0.35">
      <c r="C27" t="s">
        <v>280</v>
      </c>
      <c r="D27" s="5">
        <f t="shared" ref="D27:I27" si="5">IF(D25=0,1,D25*D26/100)</f>
        <v>1</v>
      </c>
      <c r="E27" s="5">
        <f t="shared" si="5"/>
        <v>1</v>
      </c>
      <c r="F27" s="5">
        <f t="shared" si="5"/>
        <v>1</v>
      </c>
      <c r="G27" s="5">
        <f t="shared" si="5"/>
        <v>0.46800000000000003</v>
      </c>
      <c r="H27" s="5">
        <f t="shared" si="5"/>
        <v>0.46800000000000003</v>
      </c>
      <c r="I27" s="5">
        <f t="shared" si="5"/>
        <v>1</v>
      </c>
    </row>
    <row r="28" spans="1:9" x14ac:dyDescent="0.35">
      <c r="C28" t="s">
        <v>281</v>
      </c>
      <c r="D28" s="5">
        <f t="shared" ref="D28:I28" si="6">D19*D27</f>
        <v>0</v>
      </c>
      <c r="E28" s="5">
        <f t="shared" si="6"/>
        <v>0</v>
      </c>
      <c r="F28" s="5">
        <f t="shared" si="6"/>
        <v>0</v>
      </c>
      <c r="G28" s="5">
        <f t="shared" si="6"/>
        <v>0</v>
      </c>
      <c r="H28" s="5">
        <f t="shared" si="6"/>
        <v>0</v>
      </c>
      <c r="I28" s="5">
        <f t="shared" si="6"/>
        <v>0</v>
      </c>
    </row>
    <row r="29" spans="1:9" x14ac:dyDescent="0.35">
      <c r="B29" s="5" t="s">
        <v>1075</v>
      </c>
      <c r="C29" t="s">
        <v>282</v>
      </c>
      <c r="D29" s="1218" t="b">
        <v>0</v>
      </c>
      <c r="E29" s="5" t="b">
        <f>E22&lt;&gt;D22</f>
        <v>0</v>
      </c>
      <c r="F29" s="5" t="b">
        <f>F22&lt;&gt;E22</f>
        <v>0</v>
      </c>
      <c r="G29" s="5" t="b">
        <f>G22&lt;&gt;F22</f>
        <v>0</v>
      </c>
      <c r="H29" s="5" t="b">
        <f>H22&lt;&gt;G22</f>
        <v>0</v>
      </c>
      <c r="I29" s="5" t="b">
        <f>I22&lt;&gt;H22</f>
        <v>0</v>
      </c>
    </row>
    <row r="30" spans="1:9" x14ac:dyDescent="0.35">
      <c r="B30" s="5" t="s">
        <v>1076</v>
      </c>
      <c r="C30" t="s">
        <v>1079</v>
      </c>
      <c r="D30" s="5" t="b">
        <f t="shared" ref="D30:I30" si="7">AND(D21&gt;D19,D21&gt;D28)</f>
        <v>0</v>
      </c>
      <c r="E30" s="5" t="b">
        <f t="shared" si="7"/>
        <v>0</v>
      </c>
      <c r="F30" s="5" t="b">
        <f t="shared" si="7"/>
        <v>0</v>
      </c>
      <c r="G30" s="5" t="b">
        <f t="shared" si="7"/>
        <v>0</v>
      </c>
      <c r="H30" s="5" t="b">
        <f t="shared" si="7"/>
        <v>0</v>
      </c>
      <c r="I30" s="5" t="b">
        <f t="shared" si="7"/>
        <v>0</v>
      </c>
    </row>
    <row r="31" spans="1:9" x14ac:dyDescent="0.35">
      <c r="B31" s="5" t="s">
        <v>1077</v>
      </c>
      <c r="C31" t="s">
        <v>1080</v>
      </c>
      <c r="D31" s="5" t="b">
        <f t="shared" ref="D31:I31" si="8">AND(D21&lt;D19,D21&lt;D28)</f>
        <v>0</v>
      </c>
      <c r="E31" s="5" t="b">
        <f t="shared" si="8"/>
        <v>0</v>
      </c>
      <c r="F31" s="5" t="b">
        <f t="shared" si="8"/>
        <v>0</v>
      </c>
      <c r="G31" s="5" t="b">
        <f t="shared" si="8"/>
        <v>0</v>
      </c>
      <c r="H31" s="5" t="b">
        <f t="shared" si="8"/>
        <v>0</v>
      </c>
      <c r="I31" s="5" t="b">
        <f t="shared" si="8"/>
        <v>0</v>
      </c>
    </row>
    <row r="32" spans="1:9" x14ac:dyDescent="0.35">
      <c r="B32" s="5" t="s">
        <v>252</v>
      </c>
      <c r="C32" t="s">
        <v>253</v>
      </c>
      <c r="D32" s="5" t="b">
        <f t="shared" ref="D32:I32" si="9">OR(D30=TRUE,D31=TRUE)</f>
        <v>0</v>
      </c>
      <c r="E32" s="5" t="b">
        <f t="shared" si="9"/>
        <v>0</v>
      </c>
      <c r="F32" s="5" t="b">
        <f t="shared" si="9"/>
        <v>0</v>
      </c>
      <c r="G32" s="5" t="b">
        <f t="shared" si="9"/>
        <v>0</v>
      </c>
      <c r="H32" s="5" t="b">
        <f t="shared" si="9"/>
        <v>0</v>
      </c>
      <c r="I32" s="5" t="b">
        <f t="shared" si="9"/>
        <v>0</v>
      </c>
    </row>
    <row r="33" spans="2:9" x14ac:dyDescent="0.35">
      <c r="B33" s="5" t="s">
        <v>254</v>
      </c>
      <c r="C33" t="s">
        <v>255</v>
      </c>
      <c r="D33" s="1218" t="b">
        <v>1</v>
      </c>
      <c r="E33" s="5" t="b">
        <f>D38</f>
        <v>0</v>
      </c>
      <c r="F33" s="5" t="b">
        <f>E38</f>
        <v>0</v>
      </c>
      <c r="G33" s="5" t="b">
        <f>F38</f>
        <v>0</v>
      </c>
      <c r="H33" s="5" t="b">
        <f>G38</f>
        <v>0</v>
      </c>
      <c r="I33" s="5" t="b">
        <f>H38</f>
        <v>0</v>
      </c>
    </row>
    <row r="34" spans="2:9" x14ac:dyDescent="0.35">
      <c r="B34" s="5" t="s">
        <v>256</v>
      </c>
      <c r="C34" t="s">
        <v>259</v>
      </c>
      <c r="D34" s="5" t="b">
        <f t="shared" ref="D34:I34" si="10">D25&lt;&gt;0</f>
        <v>0</v>
      </c>
      <c r="E34" s="5" t="b">
        <f t="shared" si="10"/>
        <v>0</v>
      </c>
      <c r="F34" s="5" t="b">
        <f t="shared" si="10"/>
        <v>0</v>
      </c>
      <c r="G34" s="5" t="b">
        <f t="shared" si="10"/>
        <v>1</v>
      </c>
      <c r="H34" s="5" t="b">
        <f t="shared" si="10"/>
        <v>1</v>
      </c>
      <c r="I34" s="5" t="b">
        <f t="shared" si="10"/>
        <v>0</v>
      </c>
    </row>
    <row r="35" spans="2:9" x14ac:dyDescent="0.35">
      <c r="B35" s="5" t="s">
        <v>257</v>
      </c>
      <c r="C35" t="s">
        <v>260</v>
      </c>
      <c r="D35" s="5" t="b">
        <f t="shared" ref="D35:I35" si="11">D15&gt;0</f>
        <v>0</v>
      </c>
      <c r="E35" s="5" t="b">
        <f t="shared" si="11"/>
        <v>0</v>
      </c>
      <c r="F35" s="5" t="b">
        <f t="shared" si="11"/>
        <v>0</v>
      </c>
      <c r="G35" s="5" t="b">
        <f t="shared" si="11"/>
        <v>0</v>
      </c>
      <c r="H35" s="5" t="b">
        <f t="shared" si="11"/>
        <v>0</v>
      </c>
      <c r="I35" s="5" t="b">
        <f t="shared" si="11"/>
        <v>0</v>
      </c>
    </row>
    <row r="36" spans="2:9" x14ac:dyDescent="0.35">
      <c r="B36" s="5" t="s">
        <v>258</v>
      </c>
      <c r="C36" t="s">
        <v>261</v>
      </c>
      <c r="D36" s="5" t="b">
        <f t="shared" ref="D36:I36" si="12">D5&gt;0</f>
        <v>0</v>
      </c>
      <c r="E36" s="5" t="b">
        <f t="shared" si="12"/>
        <v>0</v>
      </c>
      <c r="F36" s="5" t="b">
        <f t="shared" si="12"/>
        <v>0</v>
      </c>
      <c r="G36" s="5" t="b">
        <f t="shared" si="12"/>
        <v>0</v>
      </c>
      <c r="H36" s="5" t="b">
        <f t="shared" si="12"/>
        <v>0</v>
      </c>
      <c r="I36" s="5" t="b">
        <f t="shared" si="12"/>
        <v>0</v>
      </c>
    </row>
    <row r="37" spans="2:9" x14ac:dyDescent="0.35">
      <c r="B37" s="5" t="s">
        <v>2162</v>
      </c>
      <c r="C37" t="s">
        <v>2163</v>
      </c>
      <c r="D37" s="5" t="b">
        <v>0</v>
      </c>
      <c r="E37" s="5" t="b">
        <v>0</v>
      </c>
      <c r="F37" s="5" t="b">
        <v>0</v>
      </c>
      <c r="G37" s="5" t="b">
        <v>0</v>
      </c>
      <c r="H37" s="5" t="b">
        <v>0</v>
      </c>
      <c r="I37" s="12" t="b">
        <f>basic!$S$20</f>
        <v>1</v>
      </c>
    </row>
    <row r="38" spans="2:9" x14ac:dyDescent="0.35">
      <c r="C38" t="s">
        <v>283</v>
      </c>
      <c r="D38" s="5" t="b">
        <f t="shared" ref="D38:I38" si="13">AND(D29=FALSE,D32=TRUE,D33=TRUE,D34=TRUE,D35=TRUE,D36=TRUE,D37=FALSE)</f>
        <v>0</v>
      </c>
      <c r="E38" s="5" t="b">
        <f t="shared" si="13"/>
        <v>0</v>
      </c>
      <c r="F38" s="5" t="b">
        <f t="shared" si="13"/>
        <v>0</v>
      </c>
      <c r="G38" s="5" t="b">
        <f t="shared" si="13"/>
        <v>0</v>
      </c>
      <c r="H38" s="5" t="b">
        <f t="shared" si="13"/>
        <v>0</v>
      </c>
      <c r="I38" s="5" t="b">
        <f t="shared" si="13"/>
        <v>0</v>
      </c>
    </row>
    <row r="39" spans="2:9" x14ac:dyDescent="0.35">
      <c r="B39" s="5" t="s">
        <v>421</v>
      </c>
      <c r="C39" t="s">
        <v>316</v>
      </c>
      <c r="D39" s="14">
        <f t="shared" ref="D39:I39" si="14">IF(D38=TRUE,D28,D21)</f>
        <v>0</v>
      </c>
      <c r="E39" s="14">
        <f t="shared" si="14"/>
        <v>0</v>
      </c>
      <c r="F39" s="14">
        <f t="shared" si="14"/>
        <v>0</v>
      </c>
      <c r="G39" s="14">
        <f t="shared" si="14"/>
        <v>0</v>
      </c>
      <c r="H39" s="14">
        <f t="shared" si="14"/>
        <v>0</v>
      </c>
      <c r="I39" s="14">
        <f t="shared" si="14"/>
        <v>0</v>
      </c>
    </row>
    <row r="40" spans="2:9" x14ac:dyDescent="0.35">
      <c r="C40" t="s">
        <v>2156</v>
      </c>
      <c r="D40" s="5" t="str">
        <f>IF(D38=FALSE,"ta",IF(D22="w","tp","tr"))</f>
        <v>ta</v>
      </c>
    </row>
    <row r="41" spans="2:9" x14ac:dyDescent="0.35">
      <c r="B41" s="5">
        <v>6</v>
      </c>
      <c r="C41" t="s">
        <v>638</v>
      </c>
      <c r="D41" s="5">
        <f>VLOOKUP(D$4,data!$A$33:$F$40,$B41,FALSE)</f>
        <v>1.2999999999999999E-2</v>
      </c>
      <c r="E41" s="5">
        <f>VLOOKUP(E$4,data!$A$33:$F$40,$B41,FALSE)</f>
        <v>4.7000000000000042E-2</v>
      </c>
      <c r="F41" s="5">
        <f>VLOOKUP(F$4,data!$A$33:$F$40,$B41,FALSE)</f>
        <v>5.600000000000005E-2</v>
      </c>
      <c r="G41" s="5">
        <f>VLOOKUP(G$4,data!$A$33:$F$40,$B41,FALSE)</f>
        <v>5.600000000000005E-2</v>
      </c>
      <c r="H41" s="5">
        <f>VLOOKUP(H$4,data!$A$33:$F$40,$B41,FALSE)</f>
        <v>5.600000000000005E-2</v>
      </c>
      <c r="I41" s="5">
        <f>VLOOKUP(I$4,data!$A$33:$F$40,$B41,FALSE)</f>
        <v>5.600000000000005E-2</v>
      </c>
    </row>
    <row r="42" spans="2:9" x14ac:dyDescent="0.35">
      <c r="C42" t="s">
        <v>640</v>
      </c>
      <c r="D42" s="5" t="b">
        <f>IF(OR(D7=TRUE,D8=TRUE),TRUE,IF(D5&lt;D12,FALSE,TRUE))</f>
        <v>0</v>
      </c>
      <c r="E42" s="5" t="b">
        <f>IF(E5&lt;E12,FALSE,TRUE)</f>
        <v>0</v>
      </c>
      <c r="F42" s="5" t="b">
        <f>IF(F5&lt;F12,FALSE,TRUE)</f>
        <v>0</v>
      </c>
      <c r="G42" s="5" t="b">
        <f>IF(G5&lt;G12,FALSE,TRUE)</f>
        <v>0</v>
      </c>
      <c r="H42" s="5" t="b">
        <f>IF(H5&lt;H12,FALSE,TRUE)</f>
        <v>0</v>
      </c>
      <c r="I42" s="5" t="b">
        <f>IF(I5&lt;I12,FALSE,TRUE)</f>
        <v>0</v>
      </c>
    </row>
    <row r="43" spans="2:9" x14ac:dyDescent="0.35">
      <c r="C43" t="s">
        <v>641</v>
      </c>
      <c r="D43" s="5">
        <f t="shared" ref="D43:I43" ca="1" si="15">D5*D41*D42*D158</f>
        <v>0</v>
      </c>
      <c r="E43" s="5">
        <f t="shared" ca="1" si="15"/>
        <v>0</v>
      </c>
      <c r="F43" s="5">
        <f t="shared" ca="1" si="15"/>
        <v>0</v>
      </c>
      <c r="G43" s="5">
        <f t="shared" si="15"/>
        <v>0</v>
      </c>
      <c r="H43" s="5">
        <f t="shared" si="15"/>
        <v>0</v>
      </c>
      <c r="I43" s="5">
        <f t="shared" si="15"/>
        <v>0</v>
      </c>
    </row>
    <row r="44" spans="2:9" x14ac:dyDescent="0.35">
      <c r="B44" s="2291">
        <f>IF(D5&lt;D12,11,5)</f>
        <v>11</v>
      </c>
      <c r="C44" t="s">
        <v>642</v>
      </c>
      <c r="D44" s="5">
        <f>VLOOKUP(D$4,data!$A$53:$K$59,$B44,FALSE)</f>
        <v>1.4E-2</v>
      </c>
      <c r="E44" s="5">
        <f>VLOOKUP(E$4,data!$A$53:$K$59,$B44,FALSE)</f>
        <v>1.6E-2</v>
      </c>
      <c r="F44" s="5">
        <f>VLOOKUP(F$4,data!$A$53:$K$59,$B44,FALSE)</f>
        <v>0.02</v>
      </c>
      <c r="G44" s="5">
        <f>VLOOKUP(G$4,data!$A$53:$K$59,$B44,FALSE)</f>
        <v>0</v>
      </c>
      <c r="H44" s="5">
        <f>VLOOKUP(H$4,data!$A$53:$K$59,$B44,FALSE)</f>
        <v>0</v>
      </c>
      <c r="I44" s="5">
        <f>VLOOKUP(I$4,data!$A$53:$K$59,$B44,FALSE)</f>
        <v>0</v>
      </c>
    </row>
    <row r="45" spans="2:9" x14ac:dyDescent="0.35">
      <c r="C45" t="s">
        <v>643</v>
      </c>
      <c r="D45" s="5" t="b">
        <f t="shared" ref="D45:I45" si="16">D6="c"</f>
        <v>0</v>
      </c>
      <c r="E45" s="5" t="b">
        <f t="shared" si="16"/>
        <v>0</v>
      </c>
      <c r="F45" s="5" t="b">
        <f t="shared" si="16"/>
        <v>0</v>
      </c>
      <c r="G45" s="5" t="b">
        <f t="shared" si="16"/>
        <v>0</v>
      </c>
      <c r="H45" s="5" t="b">
        <f t="shared" si="16"/>
        <v>0</v>
      </c>
      <c r="I45" s="5" t="b">
        <f t="shared" si="16"/>
        <v>0</v>
      </c>
    </row>
    <row r="46" spans="2:9" x14ac:dyDescent="0.35">
      <c r="C46" t="s">
        <v>644</v>
      </c>
      <c r="D46" s="5">
        <f t="shared" ref="D46:I46" si="17">D5*D44*D45</f>
        <v>0</v>
      </c>
      <c r="E46" s="5">
        <f t="shared" si="17"/>
        <v>0</v>
      </c>
      <c r="F46" s="5">
        <f t="shared" si="17"/>
        <v>0</v>
      </c>
      <c r="G46" s="5">
        <f t="shared" si="17"/>
        <v>0</v>
      </c>
      <c r="H46" s="5">
        <f t="shared" si="17"/>
        <v>0</v>
      </c>
      <c r="I46" s="5">
        <f t="shared" si="17"/>
        <v>0</v>
      </c>
    </row>
    <row r="47" spans="2:9" x14ac:dyDescent="0.35">
      <c r="B47" s="5">
        <v>6</v>
      </c>
      <c r="C47" t="s">
        <v>645</v>
      </c>
      <c r="D47" s="5">
        <f>VLOOKUP(D$4,data!$A$53:$G$59,$B47,FALSE)</f>
        <v>0.02</v>
      </c>
      <c r="E47" s="5">
        <f>VLOOKUP(E$4,data!$A$53:$G$59,$B47,FALSE)</f>
        <v>0.02</v>
      </c>
      <c r="F47" s="5">
        <f>VLOOKUP(F$4,data!$A$53:$G$59,$B47,FALSE)</f>
        <v>0.02</v>
      </c>
      <c r="G47" s="5">
        <f>VLOOKUP(G$4,data!$A$53:$G$59,$B47,FALSE)</f>
        <v>0.02</v>
      </c>
      <c r="H47" s="5">
        <f>VLOOKUP(H$4,data!$A$53:$G$59,$B47,FALSE)</f>
        <v>0.02</v>
      </c>
      <c r="I47" s="5">
        <f>VLOOKUP(I$4,data!$A$53:$G$59,$B47,FALSE)</f>
        <v>0.02</v>
      </c>
    </row>
    <row r="48" spans="2:9" x14ac:dyDescent="0.35">
      <c r="B48" s="5">
        <v>7</v>
      </c>
      <c r="C48" t="s">
        <v>322</v>
      </c>
      <c r="D48" s="5">
        <f>VLOOKUP(D$4,data!$A$53:$G$59,$B48,FALSE)</f>
        <v>75000</v>
      </c>
      <c r="E48" s="5">
        <f>VLOOKUP(E$4,data!$A$53:$G$59,$B48,FALSE)</f>
        <v>75000</v>
      </c>
      <c r="F48" s="5">
        <f>VLOOKUP(F$4,data!$A$53:$G$59,$B48,FALSE)</f>
        <v>75000</v>
      </c>
      <c r="G48" s="5">
        <f>VLOOKUP(G$4,data!$A$53:$G$59,$B48,FALSE)</f>
        <v>75000</v>
      </c>
      <c r="H48" s="5">
        <f>VLOOKUP(H$4,data!$A$53:$G$59,$B48,FALSE)</f>
        <v>75000</v>
      </c>
      <c r="I48" s="5">
        <f>VLOOKUP(I$4,data!$A$53:$G$59,$B48,FALSE)</f>
        <v>75000</v>
      </c>
    </row>
    <row r="49" spans="1:9" x14ac:dyDescent="0.35">
      <c r="A49" t="s">
        <v>2410</v>
      </c>
      <c r="B49" s="12" t="str">
        <f>IF(D49=TRUE,"Crossrail","")</f>
        <v/>
      </c>
      <c r="C49" t="s">
        <v>646</v>
      </c>
      <c r="D49" s="5" t="b">
        <f t="shared" ref="D49:I49" si="18">AND(D6&lt;&gt;"e",D5&gt;D48)</f>
        <v>0</v>
      </c>
      <c r="E49" s="5" t="b">
        <f t="shared" si="18"/>
        <v>0</v>
      </c>
      <c r="F49" s="5" t="b">
        <f t="shared" si="18"/>
        <v>0</v>
      </c>
      <c r="G49" s="5" t="b">
        <f t="shared" si="18"/>
        <v>0</v>
      </c>
      <c r="H49" s="5" t="b">
        <f t="shared" si="18"/>
        <v>0</v>
      </c>
      <c r="I49" s="5" t="b">
        <f t="shared" si="18"/>
        <v>0</v>
      </c>
    </row>
    <row r="50" spans="1:9" x14ac:dyDescent="0.35">
      <c r="C50" t="s">
        <v>652</v>
      </c>
      <c r="D50" s="5">
        <f t="shared" ref="D50:I50" si="19">D5*D47*D49</f>
        <v>0</v>
      </c>
      <c r="E50" s="5">
        <f t="shared" si="19"/>
        <v>0</v>
      </c>
      <c r="F50" s="5">
        <f t="shared" si="19"/>
        <v>0</v>
      </c>
      <c r="G50" s="5">
        <f t="shared" si="19"/>
        <v>0</v>
      </c>
      <c r="H50" s="5">
        <f t="shared" si="19"/>
        <v>0</v>
      </c>
      <c r="I50" s="5">
        <f t="shared" si="19"/>
        <v>0</v>
      </c>
    </row>
    <row r="51" spans="1:9" x14ac:dyDescent="0.35">
      <c r="C51" t="s">
        <v>325</v>
      </c>
      <c r="D51" s="5">
        <f t="shared" ref="D51:I51" si="20">(D11-D10)/(D5-D10)</f>
        <v>-0.25</v>
      </c>
      <c r="E51" s="5">
        <f t="shared" si="20"/>
        <v>-0.25</v>
      </c>
      <c r="F51" s="5">
        <f t="shared" si="20"/>
        <v>-0.25</v>
      </c>
      <c r="G51" s="5">
        <f t="shared" si="20"/>
        <v>-0.25</v>
      </c>
      <c r="H51" s="5">
        <f t="shared" si="20"/>
        <v>-0.25</v>
      </c>
      <c r="I51" s="5">
        <f t="shared" si="20"/>
        <v>-0.25</v>
      </c>
    </row>
    <row r="52" spans="1:9" x14ac:dyDescent="0.35">
      <c r="C52" t="s">
        <v>326</v>
      </c>
      <c r="D52" s="5">
        <f t="shared" ref="D52:I52" si="21">IF(MID(D51,6,1)="5",-0.0001,0)</f>
        <v>0</v>
      </c>
      <c r="E52" s="5">
        <f t="shared" si="21"/>
        <v>0</v>
      </c>
      <c r="F52" s="5">
        <f t="shared" si="21"/>
        <v>0</v>
      </c>
      <c r="G52" s="5">
        <f t="shared" si="21"/>
        <v>0</v>
      </c>
      <c r="H52" s="5">
        <f t="shared" si="21"/>
        <v>0</v>
      </c>
      <c r="I52" s="5">
        <f t="shared" si="21"/>
        <v>0</v>
      </c>
    </row>
    <row r="53" spans="1:9" x14ac:dyDescent="0.35">
      <c r="C53" t="s">
        <v>327</v>
      </c>
      <c r="D53" s="5">
        <f t="shared" ref="D53:I53" si="22">IF(D58=FALSE,1,IF(D5&lt;=D10,5000000,IF(D5&gt;=D11,1,ROUND((D51+D52),3))))</f>
        <v>1</v>
      </c>
      <c r="E53" s="5">
        <f t="shared" si="22"/>
        <v>1</v>
      </c>
      <c r="F53" s="5">
        <f t="shared" si="22"/>
        <v>1</v>
      </c>
      <c r="G53" s="5">
        <f t="shared" si="22"/>
        <v>1</v>
      </c>
      <c r="H53" s="5">
        <f t="shared" si="22"/>
        <v>1</v>
      </c>
      <c r="I53" s="5">
        <f t="shared" si="22"/>
        <v>1</v>
      </c>
    </row>
    <row r="54" spans="1:9" x14ac:dyDescent="0.35">
      <c r="C54" t="s">
        <v>328</v>
      </c>
      <c r="D54" s="5" t="b">
        <f t="shared" ref="D54:I54" si="23">D9</f>
        <v>0</v>
      </c>
      <c r="E54" s="5" t="b">
        <f t="shared" si="23"/>
        <v>0</v>
      </c>
      <c r="F54" s="5" t="b">
        <f t="shared" si="23"/>
        <v>0</v>
      </c>
      <c r="G54" s="5" t="b">
        <f t="shared" si="23"/>
        <v>0</v>
      </c>
      <c r="H54" s="5" t="b">
        <f t="shared" si="23"/>
        <v>0</v>
      </c>
      <c r="I54" s="5" t="b">
        <f t="shared" si="23"/>
        <v>0</v>
      </c>
    </row>
    <row r="55" spans="1:9" x14ac:dyDescent="0.35">
      <c r="C55" t="s">
        <v>329</v>
      </c>
      <c r="D55" s="5" t="b">
        <f t="shared" ref="D55:I55" si="24">D5&lt;D11</f>
        <v>1</v>
      </c>
      <c r="E55" s="5" t="b">
        <f t="shared" si="24"/>
        <v>1</v>
      </c>
      <c r="F55" s="5" t="b">
        <f t="shared" si="24"/>
        <v>1</v>
      </c>
      <c r="G55" s="5" t="b">
        <f t="shared" si="24"/>
        <v>1</v>
      </c>
      <c r="H55" s="5" t="b">
        <f t="shared" si="24"/>
        <v>1</v>
      </c>
      <c r="I55" s="5" t="b">
        <f t="shared" si="24"/>
        <v>1</v>
      </c>
    </row>
    <row r="56" spans="1:9" x14ac:dyDescent="0.35">
      <c r="C56" t="s">
        <v>330</v>
      </c>
      <c r="D56" s="5" t="b">
        <f t="shared" ref="D56:I57" si="25">D7=FALSE</f>
        <v>1</v>
      </c>
      <c r="E56" s="5" t="b">
        <f t="shared" si="25"/>
        <v>1</v>
      </c>
      <c r="F56" s="5" t="b">
        <f t="shared" si="25"/>
        <v>1</v>
      </c>
      <c r="G56" s="5" t="b">
        <f t="shared" si="25"/>
        <v>1</v>
      </c>
      <c r="H56" s="5" t="b">
        <f t="shared" si="25"/>
        <v>1</v>
      </c>
      <c r="I56" s="5" t="b">
        <f t="shared" si="25"/>
        <v>1</v>
      </c>
    </row>
    <row r="57" spans="1:9" x14ac:dyDescent="0.35">
      <c r="C57" t="s">
        <v>331</v>
      </c>
      <c r="D57" s="5" t="b">
        <f t="shared" si="25"/>
        <v>1</v>
      </c>
      <c r="E57" s="5" t="b">
        <f t="shared" si="25"/>
        <v>1</v>
      </c>
      <c r="F57" s="5" t="b">
        <f t="shared" si="25"/>
        <v>1</v>
      </c>
      <c r="G57" s="5" t="b">
        <f t="shared" si="25"/>
        <v>1</v>
      </c>
      <c r="H57" s="5" t="b">
        <f t="shared" si="25"/>
        <v>1</v>
      </c>
      <c r="I57" s="5" t="b">
        <f t="shared" si="25"/>
        <v>1</v>
      </c>
    </row>
    <row r="58" spans="1:9" x14ac:dyDescent="0.35">
      <c r="C58" t="s">
        <v>332</v>
      </c>
      <c r="D58" s="5" t="b">
        <f t="shared" ref="D58:I58" si="26">D54+D55+D56+D57=4</f>
        <v>0</v>
      </c>
      <c r="E58" s="5" t="b">
        <f t="shared" si="26"/>
        <v>0</v>
      </c>
      <c r="F58" s="5" t="b">
        <f t="shared" si="26"/>
        <v>0</v>
      </c>
      <c r="G58" s="5" t="b">
        <f t="shared" si="26"/>
        <v>0</v>
      </c>
      <c r="H58" s="5" t="b">
        <f t="shared" si="26"/>
        <v>0</v>
      </c>
      <c r="I58" s="5" t="b">
        <f t="shared" si="26"/>
        <v>0</v>
      </c>
    </row>
    <row r="59" spans="1:9" x14ac:dyDescent="0.35">
      <c r="B59" s="5">
        <f>basic!W28</f>
        <v>1</v>
      </c>
      <c r="C59" t="s">
        <v>653</v>
      </c>
      <c r="D59" s="5" t="str">
        <f>INDEX(authorities!$A:$A,$B$59)</f>
        <v>Enter Levying Authority</v>
      </c>
      <c r="E59" s="5" t="str">
        <f>INDEX(authorities!$A:$A,$B$59)</f>
        <v>Enter Levying Authority</v>
      </c>
      <c r="F59" s="5" t="str">
        <f>INDEX(authorities!$A:$A,$B$59)</f>
        <v>Enter Levying Authority</v>
      </c>
      <c r="G59" s="5" t="str">
        <f>INDEX(authorities!$A:$A,$B$59)</f>
        <v>Enter Levying Authority</v>
      </c>
      <c r="H59" s="5" t="str">
        <f>INDEX(authorities!$A:$A,$B$59)</f>
        <v>Enter Levying Authority</v>
      </c>
      <c r="I59" s="5" t="str">
        <f>INDEX(authorities!$A:$A,$B$59)</f>
        <v>Enter Levying Authority</v>
      </c>
    </row>
    <row r="60" spans="1:9" x14ac:dyDescent="0.35">
      <c r="C60" t="s">
        <v>648</v>
      </c>
      <c r="D60" s="5">
        <f>IF($B$59&gt;1,VLOOKUP(D59,authorities!$A:$H,D4+1,FALSE),0)</f>
        <v>0</v>
      </c>
      <c r="E60" s="5">
        <f>IF($B$59&gt;1,VLOOKUP(E59,authorities!$A:$H,E4+1,FALSE),0)</f>
        <v>0</v>
      </c>
      <c r="F60" s="5">
        <f>IF($B$59&gt;1,VLOOKUP(F59,authorities!$A:$H,F4+1,FALSE),0)</f>
        <v>0</v>
      </c>
      <c r="G60" s="5">
        <f>IF($B$59&gt;1,VLOOKUP(G59,authorities!$A:$H,G4+1,FALSE),0)</f>
        <v>0</v>
      </c>
      <c r="H60" s="5">
        <f>IF($B$59&gt;1,VLOOKUP(H59,authorities!$A:$H,H4+1,FALSE),0)</f>
        <v>0</v>
      </c>
      <c r="I60" s="5">
        <f>IF($B$59&gt;1,VLOOKUP(I59,authorities!$A:$H,I4+1,FALSE),0)</f>
        <v>0</v>
      </c>
    </row>
    <row r="61" spans="1:9" x14ac:dyDescent="0.35">
      <c r="B61" s="5">
        <f>COLUMN(authorities!I1)</f>
        <v>9</v>
      </c>
      <c r="C61" t="s">
        <v>649</v>
      </c>
      <c r="D61" s="5" t="str">
        <f>VLOOKUP(D59,authorities!$A:$I,$B$61,FALSE)</f>
        <v>RV limit</v>
      </c>
      <c r="E61" s="5" t="str">
        <f>VLOOKUP(E59,authorities!$A:$I,$B$61,FALSE)</f>
        <v>RV limit</v>
      </c>
      <c r="F61" s="5" t="str">
        <f>VLOOKUP(F59,authorities!$A:$I,$B$61,FALSE)</f>
        <v>RV limit</v>
      </c>
      <c r="G61" s="5" t="str">
        <f>VLOOKUP(G59,authorities!$A:$I,$B$61,FALSE)</f>
        <v>RV limit</v>
      </c>
      <c r="H61" s="5" t="str">
        <f>VLOOKUP(H59,authorities!$A:$I,$B$61,FALSE)</f>
        <v>RV limit</v>
      </c>
      <c r="I61" s="5" t="str">
        <f>VLOOKUP(I59,authorities!$A:$I,$B$61,FALSE)</f>
        <v>RV limit</v>
      </c>
    </row>
    <row r="62" spans="1:9" x14ac:dyDescent="0.35">
      <c r="A62" t="s">
        <v>2410</v>
      </c>
      <c r="B62" s="12" t="str">
        <f>IF(D62=TRUE,D59,"")</f>
        <v/>
      </c>
      <c r="C62" t="s">
        <v>650</v>
      </c>
      <c r="D62" s="5" t="b">
        <f t="shared" ref="D62:I62" si="27">D5&gt;D61</f>
        <v>0</v>
      </c>
      <c r="E62" s="5" t="b">
        <f t="shared" si="27"/>
        <v>0</v>
      </c>
      <c r="F62" s="5" t="b">
        <f t="shared" si="27"/>
        <v>0</v>
      </c>
      <c r="G62" s="5" t="b">
        <f t="shared" si="27"/>
        <v>0</v>
      </c>
      <c r="H62" s="5" t="b">
        <f t="shared" si="27"/>
        <v>0</v>
      </c>
      <c r="I62" s="5" t="b">
        <f t="shared" si="27"/>
        <v>0</v>
      </c>
    </row>
    <row r="63" spans="1:9" x14ac:dyDescent="0.35">
      <c r="C63" t="s">
        <v>651</v>
      </c>
      <c r="D63" s="5">
        <f t="shared" ref="D63:I63" si="28">D5*D60*D62</f>
        <v>0</v>
      </c>
      <c r="E63" s="5">
        <f t="shared" si="28"/>
        <v>0</v>
      </c>
      <c r="F63" s="5">
        <f t="shared" si="28"/>
        <v>0</v>
      </c>
      <c r="G63" s="5">
        <f t="shared" si="28"/>
        <v>0</v>
      </c>
      <c r="H63" s="5">
        <f t="shared" si="28"/>
        <v>0</v>
      </c>
      <c r="I63" s="5">
        <f t="shared" si="28"/>
        <v>0</v>
      </c>
    </row>
    <row r="64" spans="1:9" x14ac:dyDescent="0.35">
      <c r="B64" s="5">
        <v>3</v>
      </c>
      <c r="C64" t="s">
        <v>291</v>
      </c>
      <c r="D64" s="5">
        <f>VLOOKUP(D$4,data!$A$13:$C$19,$B64,FALSE)</f>
        <v>366</v>
      </c>
      <c r="E64" s="5">
        <f>VLOOKUP(E$4,data!$A$13:$C$19,$B64,FALSE)</f>
        <v>365</v>
      </c>
      <c r="F64" s="5">
        <f>VLOOKUP(F$4,data!$A$13:$C$19,$B64,FALSE)</f>
        <v>365</v>
      </c>
      <c r="G64" s="5">
        <f>VLOOKUP(G$4,data!$A$13:$C$19,$B64,FALSE)</f>
        <v>365</v>
      </c>
      <c r="H64" s="5">
        <f>VLOOKUP(H$4,data!$A$13:$C$19,$B64,FALSE)</f>
        <v>366</v>
      </c>
      <c r="I64" s="5">
        <f>VLOOKUP(I$4,data!$A$13:$C$19,$B64,FALSE)</f>
        <v>365</v>
      </c>
    </row>
    <row r="65" spans="3:9" x14ac:dyDescent="0.35">
      <c r="C65" t="s">
        <v>324</v>
      </c>
      <c r="D65" s="5">
        <f t="shared" ref="D65:I65" si="29">D79</f>
        <v>366</v>
      </c>
      <c r="E65" s="5">
        <f t="shared" si="29"/>
        <v>365</v>
      </c>
      <c r="F65" s="5">
        <f t="shared" si="29"/>
        <v>365</v>
      </c>
      <c r="G65" s="5">
        <f t="shared" si="29"/>
        <v>0</v>
      </c>
      <c r="H65" s="5">
        <f t="shared" si="29"/>
        <v>0</v>
      </c>
      <c r="I65" s="5">
        <f t="shared" si="29"/>
        <v>0</v>
      </c>
    </row>
    <row r="66" spans="3:9" x14ac:dyDescent="0.35">
      <c r="C66" t="s">
        <v>377</v>
      </c>
      <c r="D66" s="5">
        <f t="shared" ref="D66:I66" ca="1" si="30">(D39+D43+D46+D50+D63)/D53*D68</f>
        <v>0</v>
      </c>
      <c r="E66" s="5">
        <f t="shared" ca="1" si="30"/>
        <v>0</v>
      </c>
      <c r="F66" s="5">
        <f t="shared" ca="1" si="30"/>
        <v>0</v>
      </c>
      <c r="G66" s="5">
        <f t="shared" ca="1" si="30"/>
        <v>0</v>
      </c>
      <c r="H66" s="5">
        <f t="shared" ca="1" si="30"/>
        <v>0</v>
      </c>
      <c r="I66" s="5">
        <f t="shared" ca="1" si="30"/>
        <v>0</v>
      </c>
    </row>
    <row r="67" spans="3:9" x14ac:dyDescent="0.35">
      <c r="C67" t="s">
        <v>375</v>
      </c>
      <c r="D67" s="5">
        <f t="shared" ref="D67:I67" ca="1" si="31">D66/D64</f>
        <v>0</v>
      </c>
      <c r="E67" s="5">
        <f t="shared" ca="1" si="31"/>
        <v>0</v>
      </c>
      <c r="F67" s="5">
        <f t="shared" ca="1" si="31"/>
        <v>0</v>
      </c>
      <c r="G67" s="5">
        <f t="shared" ca="1" si="31"/>
        <v>0</v>
      </c>
      <c r="H67" s="5">
        <f t="shared" ca="1" si="31"/>
        <v>0</v>
      </c>
      <c r="I67" s="5">
        <f t="shared" ca="1" si="31"/>
        <v>0</v>
      </c>
    </row>
    <row r="68" spans="3:9" x14ac:dyDescent="0.35">
      <c r="C68" t="s">
        <v>647</v>
      </c>
      <c r="D68" s="5" t="b">
        <f ca="1">codes!J29</f>
        <v>1</v>
      </c>
      <c r="E68" s="5" t="b">
        <f ca="1">codes!J30</f>
        <v>1</v>
      </c>
      <c r="F68" s="5" t="b">
        <f ca="1">codes!J31</f>
        <v>1</v>
      </c>
      <c r="G68" s="5" t="b">
        <f ca="1">codes!J32</f>
        <v>1</v>
      </c>
      <c r="H68" s="5" t="b">
        <f ca="1">codes!J33</f>
        <v>1</v>
      </c>
      <c r="I68" s="5" t="b">
        <f ca="1">codes!J34</f>
        <v>1</v>
      </c>
    </row>
    <row r="70" spans="3:9" x14ac:dyDescent="0.35">
      <c r="C70" s="9" t="s">
        <v>341</v>
      </c>
    </row>
    <row r="71" spans="3:9" x14ac:dyDescent="0.35">
      <c r="C71" t="s">
        <v>342</v>
      </c>
      <c r="D71" s="13">
        <f>basic!I23</f>
        <v>45017</v>
      </c>
      <c r="E71" s="13">
        <f>D71</f>
        <v>45017</v>
      </c>
      <c r="F71" s="13">
        <f t="shared" ref="F71:I72" si="32">E71</f>
        <v>45017</v>
      </c>
      <c r="G71" s="13">
        <f t="shared" si="32"/>
        <v>45017</v>
      </c>
      <c r="H71" s="13">
        <f t="shared" si="32"/>
        <v>45017</v>
      </c>
      <c r="I71" s="13">
        <f t="shared" si="32"/>
        <v>45017</v>
      </c>
    </row>
    <row r="72" spans="3:9" x14ac:dyDescent="0.35">
      <c r="C72" t="s">
        <v>343</v>
      </c>
      <c r="D72" s="13">
        <f>basic!I24</f>
        <v>46112</v>
      </c>
      <c r="E72" s="13">
        <f>D72</f>
        <v>46112</v>
      </c>
      <c r="F72" s="13">
        <f t="shared" si="32"/>
        <v>46112</v>
      </c>
      <c r="G72" s="13">
        <f t="shared" si="32"/>
        <v>46112</v>
      </c>
      <c r="H72" s="13">
        <f t="shared" si="32"/>
        <v>46112</v>
      </c>
      <c r="I72" s="13">
        <f t="shared" si="32"/>
        <v>46112</v>
      </c>
    </row>
    <row r="73" spans="3:9" x14ac:dyDescent="0.35">
      <c r="C73" t="s">
        <v>267</v>
      </c>
      <c r="D73" s="13">
        <f t="shared" ref="D73:I73" si="33">D2+D64-1</f>
        <v>45382</v>
      </c>
      <c r="E73" s="13">
        <f t="shared" si="33"/>
        <v>45747</v>
      </c>
      <c r="F73" s="13">
        <f t="shared" si="33"/>
        <v>46112</v>
      </c>
      <c r="G73" s="13">
        <f t="shared" si="33"/>
        <v>46477</v>
      </c>
      <c r="H73" s="13">
        <f t="shared" si="33"/>
        <v>46843</v>
      </c>
      <c r="I73" s="13">
        <f t="shared" si="33"/>
        <v>47208</v>
      </c>
    </row>
    <row r="74" spans="3:9" x14ac:dyDescent="0.35">
      <c r="C74" t="s">
        <v>344</v>
      </c>
      <c r="D74" s="5" t="b">
        <f t="shared" ref="D74:I74" si="34">AND(D2&lt;=D71,D71&lt;=D73)</f>
        <v>1</v>
      </c>
      <c r="E74" s="5" t="b">
        <f t="shared" si="34"/>
        <v>0</v>
      </c>
      <c r="F74" s="5" t="b">
        <f t="shared" si="34"/>
        <v>0</v>
      </c>
      <c r="G74" s="5" t="b">
        <f t="shared" si="34"/>
        <v>0</v>
      </c>
      <c r="H74" s="5" t="b">
        <f t="shared" si="34"/>
        <v>0</v>
      </c>
      <c r="I74" s="5" t="b">
        <f t="shared" si="34"/>
        <v>0</v>
      </c>
    </row>
    <row r="75" spans="3:9" x14ac:dyDescent="0.35">
      <c r="C75" t="s">
        <v>345</v>
      </c>
      <c r="D75" s="5" t="b">
        <f t="shared" ref="D75:I75" si="35">AND(D2&lt;=D72,D72&lt;=D73)</f>
        <v>0</v>
      </c>
      <c r="E75" s="5" t="b">
        <f t="shared" si="35"/>
        <v>0</v>
      </c>
      <c r="F75" s="5" t="b">
        <f t="shared" si="35"/>
        <v>1</v>
      </c>
      <c r="G75" s="5" t="b">
        <f t="shared" si="35"/>
        <v>0</v>
      </c>
      <c r="H75" s="5" t="b">
        <f t="shared" si="35"/>
        <v>0</v>
      </c>
      <c r="I75" s="5" t="b">
        <f t="shared" si="35"/>
        <v>0</v>
      </c>
    </row>
    <row r="76" spans="3:9" x14ac:dyDescent="0.35">
      <c r="C76" t="s">
        <v>346</v>
      </c>
      <c r="D76" s="5" t="b">
        <f>D74</f>
        <v>1</v>
      </c>
      <c r="E76" s="5" t="b">
        <f>IF(OR(D75=TRUE,D74+E74=0),FALSE,TRUE)</f>
        <v>1</v>
      </c>
      <c r="F76" s="5" t="b">
        <f>IF(D75+E75&gt;0,FALSE,IF(D74+E74+F74=0,FALSE,TRUE))</f>
        <v>1</v>
      </c>
      <c r="G76" s="5" t="b">
        <f>IF(D75+E75+F75&gt;0,FALSE,IF(D74+E74+F74+G74=0,FALSE,TRUE))</f>
        <v>0</v>
      </c>
      <c r="H76" s="5" t="b">
        <f>IF(D75+E75+F75+G75&gt;0,FALSE,IF(D74+E74+F74+G74+H74=0,FALSE,TRUE))</f>
        <v>0</v>
      </c>
      <c r="I76" s="5" t="b">
        <f>IF(D75+E75+F75+G75+H75&gt;0,FALSE,IF(D74+E74+F74+G74+H74+I74=0,FALSE,TRUE))</f>
        <v>0</v>
      </c>
    </row>
    <row r="77" spans="3:9" x14ac:dyDescent="0.35">
      <c r="C77" t="s">
        <v>354</v>
      </c>
      <c r="D77" s="13">
        <f t="shared" ref="D77:I77" si="36">IF(D76=FALSE,0,IF(D74=TRUE,D71,D2))</f>
        <v>45017</v>
      </c>
      <c r="E77" s="13">
        <f t="shared" si="36"/>
        <v>45383</v>
      </c>
      <c r="F77" s="13">
        <f t="shared" si="36"/>
        <v>45748</v>
      </c>
      <c r="G77" s="13">
        <f t="shared" si="36"/>
        <v>0</v>
      </c>
      <c r="H77" s="13">
        <f t="shared" si="36"/>
        <v>0</v>
      </c>
      <c r="I77" s="13">
        <f t="shared" si="36"/>
        <v>0</v>
      </c>
    </row>
    <row r="78" spans="3:9" x14ac:dyDescent="0.35">
      <c r="C78" t="s">
        <v>355</v>
      </c>
      <c r="D78" s="13">
        <f t="shared" ref="D78:I78" si="37">IF(D76=FALSE,0,IF(D75=TRUE,D72,D73))</f>
        <v>45382</v>
      </c>
      <c r="E78" s="13">
        <f t="shared" si="37"/>
        <v>45747</v>
      </c>
      <c r="F78" s="13">
        <f t="shared" si="37"/>
        <v>46112</v>
      </c>
      <c r="G78" s="13">
        <f t="shared" si="37"/>
        <v>0</v>
      </c>
      <c r="H78" s="13">
        <f t="shared" si="37"/>
        <v>0</v>
      </c>
      <c r="I78" s="13">
        <f t="shared" si="37"/>
        <v>0</v>
      </c>
    </row>
    <row r="79" spans="3:9" x14ac:dyDescent="0.35">
      <c r="C79" t="s">
        <v>324</v>
      </c>
      <c r="D79" s="5">
        <f t="shared" ref="D79:I79" si="38">(D78-D77+1)*D76</f>
        <v>366</v>
      </c>
      <c r="E79" s="5">
        <f t="shared" si="38"/>
        <v>365</v>
      </c>
      <c r="F79" s="5">
        <f t="shared" si="38"/>
        <v>365</v>
      </c>
      <c r="G79" s="5">
        <f t="shared" si="38"/>
        <v>0</v>
      </c>
      <c r="H79" s="5">
        <f t="shared" si="38"/>
        <v>0</v>
      </c>
      <c r="I79" s="5">
        <f t="shared" si="38"/>
        <v>0</v>
      </c>
    </row>
    <row r="80" spans="3:9" x14ac:dyDescent="0.35">
      <c r="C80" t="s">
        <v>381</v>
      </c>
      <c r="D80" s="5">
        <f t="shared" ref="D80:I80" ca="1" si="39">D66</f>
        <v>0</v>
      </c>
      <c r="E80" s="5">
        <f t="shared" ca="1" si="39"/>
        <v>0</v>
      </c>
      <c r="F80" s="5">
        <f t="shared" ca="1" si="39"/>
        <v>0</v>
      </c>
      <c r="G80" s="5">
        <f t="shared" ca="1" si="39"/>
        <v>0</v>
      </c>
      <c r="H80" s="5">
        <f t="shared" ca="1" si="39"/>
        <v>0</v>
      </c>
      <c r="I80" s="5">
        <f t="shared" ca="1" si="39"/>
        <v>0</v>
      </c>
    </row>
    <row r="81" spans="1:9" x14ac:dyDescent="0.35">
      <c r="C81" s="1055" t="s">
        <v>401</v>
      </c>
    </row>
    <row r="82" spans="1:9" s="9" customFormat="1" x14ac:dyDescent="0.35">
      <c r="C82" t="s">
        <v>356</v>
      </c>
      <c r="D82" s="5">
        <f t="shared" ref="D82:I82" ca="1" si="40">D106*-1</f>
        <v>0</v>
      </c>
      <c r="E82" s="5">
        <f t="shared" ca="1" si="40"/>
        <v>0</v>
      </c>
      <c r="F82" s="5">
        <f t="shared" ca="1" si="40"/>
        <v>0</v>
      </c>
      <c r="G82" s="5">
        <f t="shared" ca="1" si="40"/>
        <v>0</v>
      </c>
      <c r="H82" s="5">
        <f t="shared" ca="1" si="40"/>
        <v>0</v>
      </c>
      <c r="I82" s="5">
        <f t="shared" ca="1" si="40"/>
        <v>0</v>
      </c>
    </row>
    <row r="83" spans="1:9" x14ac:dyDescent="0.35">
      <c r="A83" t="s">
        <v>909</v>
      </c>
      <c r="B83" s="5" t="b">
        <f>SUM(D83:I83)&lt;0</f>
        <v>0</v>
      </c>
      <c r="C83" t="s">
        <v>463</v>
      </c>
      <c r="D83" s="5">
        <v>0</v>
      </c>
      <c r="E83" s="5">
        <v>0</v>
      </c>
      <c r="F83" s="5">
        <v>0</v>
      </c>
      <c r="G83" s="5">
        <v>0</v>
      </c>
      <c r="H83" s="5">
        <v>0</v>
      </c>
      <c r="I83" s="5">
        <v>0</v>
      </c>
    </row>
    <row r="84" spans="1:9" x14ac:dyDescent="0.35">
      <c r="C84" t="s">
        <v>403</v>
      </c>
      <c r="D84" s="5">
        <f t="shared" ref="D84:I84" ca="1" si="41">D115*-1</f>
        <v>0</v>
      </c>
      <c r="E84" s="5">
        <f t="shared" ca="1" si="41"/>
        <v>0</v>
      </c>
      <c r="F84" s="5">
        <f t="shared" ca="1" si="41"/>
        <v>0</v>
      </c>
      <c r="G84" s="5">
        <f t="shared" ca="1" si="41"/>
        <v>0</v>
      </c>
      <c r="H84" s="5">
        <f t="shared" ca="1" si="41"/>
        <v>0</v>
      </c>
      <c r="I84" s="5">
        <f t="shared" ca="1" si="41"/>
        <v>0</v>
      </c>
    </row>
    <row r="85" spans="1:9" x14ac:dyDescent="0.35">
      <c r="A85" t="s">
        <v>909</v>
      </c>
      <c r="B85" s="5" t="b">
        <f>SUM(D85:I85)&lt;0</f>
        <v>0</v>
      </c>
      <c r="C85" t="s">
        <v>1696</v>
      </c>
      <c r="D85" s="5">
        <f t="shared" ref="D85:I85" si="42">D132*-1</f>
        <v>0</v>
      </c>
      <c r="E85" s="5">
        <f t="shared" si="42"/>
        <v>0</v>
      </c>
      <c r="F85" s="5">
        <f t="shared" si="42"/>
        <v>0</v>
      </c>
      <c r="G85" s="5">
        <f t="shared" si="42"/>
        <v>0</v>
      </c>
      <c r="H85" s="5">
        <f t="shared" si="42"/>
        <v>0</v>
      </c>
      <c r="I85" s="5">
        <f t="shared" si="42"/>
        <v>0</v>
      </c>
    </row>
    <row r="86" spans="1:9" x14ac:dyDescent="0.35">
      <c r="A86" t="s">
        <v>909</v>
      </c>
      <c r="B86" s="5" t="b">
        <f ca="1">SUM(D86:I86)&lt;0</f>
        <v>0</v>
      </c>
      <c r="C86" t="s">
        <v>727</v>
      </c>
      <c r="D86" s="5">
        <f ca="1">D155*-1</f>
        <v>0</v>
      </c>
      <c r="E86" s="5">
        <f ca="1">E155*-1</f>
        <v>0</v>
      </c>
      <c r="F86" s="5">
        <f ca="1">F155*-1</f>
        <v>0</v>
      </c>
    </row>
    <row r="87" spans="1:9" x14ac:dyDescent="0.35">
      <c r="A87" t="s">
        <v>909</v>
      </c>
      <c r="B87" s="5" t="b">
        <f>SUM(D87:I87)&lt;0</f>
        <v>0</v>
      </c>
      <c r="C87" t="s">
        <v>357</v>
      </c>
    </row>
    <row r="88" spans="1:9" x14ac:dyDescent="0.35">
      <c r="A88" t="s">
        <v>909</v>
      </c>
      <c r="B88" s="5" t="b">
        <f>SUM(D88:I88)&lt;0</f>
        <v>0</v>
      </c>
      <c r="C88" t="s">
        <v>358</v>
      </c>
    </row>
    <row r="89" spans="1:9" x14ac:dyDescent="0.35">
      <c r="A89" t="s">
        <v>909</v>
      </c>
      <c r="B89" s="5" t="b">
        <f>SUM(D89:I89)&lt;0</f>
        <v>0</v>
      </c>
      <c r="C89" t="s">
        <v>402</v>
      </c>
    </row>
    <row r="90" spans="1:9" x14ac:dyDescent="0.35">
      <c r="C90" t="s">
        <v>378</v>
      </c>
      <c r="D90" s="5">
        <f t="shared" ref="D90:I90" ca="1" si="43">SUM(D80:D89)</f>
        <v>0</v>
      </c>
      <c r="E90" s="5">
        <f t="shared" ca="1" si="43"/>
        <v>0</v>
      </c>
      <c r="F90" s="5">
        <f t="shared" ca="1" si="43"/>
        <v>0</v>
      </c>
      <c r="G90" s="5">
        <f t="shared" ca="1" si="43"/>
        <v>0</v>
      </c>
      <c r="H90" s="5">
        <f t="shared" ca="1" si="43"/>
        <v>0</v>
      </c>
      <c r="I90" s="5">
        <f t="shared" ca="1" si="43"/>
        <v>0</v>
      </c>
    </row>
    <row r="91" spans="1:9" x14ac:dyDescent="0.35">
      <c r="A91" t="s">
        <v>909</v>
      </c>
      <c r="B91" s="5" t="b">
        <f ca="1">SUM(D91:I91)&lt;0</f>
        <v>0</v>
      </c>
      <c r="C91" t="s">
        <v>1063</v>
      </c>
      <c r="D91" s="5">
        <f t="shared" ref="D91:I91" ca="1" si="44">IF(D138&lt;&gt;"",D138*-1,0)</f>
        <v>0</v>
      </c>
      <c r="E91" s="5">
        <f t="shared" ca="1" si="44"/>
        <v>0</v>
      </c>
      <c r="F91" s="5">
        <f t="shared" ca="1" si="44"/>
        <v>0</v>
      </c>
      <c r="G91" s="5">
        <f t="shared" ca="1" si="44"/>
        <v>0</v>
      </c>
      <c r="H91" s="5">
        <f t="shared" ca="1" si="44"/>
        <v>0</v>
      </c>
      <c r="I91" s="5">
        <f t="shared" ca="1" si="44"/>
        <v>0</v>
      </c>
    </row>
    <row r="92" spans="1:9" x14ac:dyDescent="0.35">
      <c r="A92" t="b">
        <f>A99+A107=2</f>
        <v>1</v>
      </c>
      <c r="B92" s="5">
        <v>0</v>
      </c>
      <c r="C92" t="s">
        <v>376</v>
      </c>
      <c r="D92" s="1198">
        <f t="shared" ref="D92:I92" ca="1" si="45">IF($A92=FALSE,$B92,ROUND((D90/D64*D65)+D91+D130,2))*D93</f>
        <v>0</v>
      </c>
      <c r="E92" s="1198">
        <f t="shared" ca="1" si="45"/>
        <v>0</v>
      </c>
      <c r="F92" s="1198">
        <f t="shared" ca="1" si="45"/>
        <v>0</v>
      </c>
      <c r="G92" s="1198">
        <f t="shared" ca="1" si="45"/>
        <v>0</v>
      </c>
      <c r="H92" s="1198">
        <f t="shared" ca="1" si="45"/>
        <v>0</v>
      </c>
      <c r="I92" s="1198">
        <f t="shared" ca="1" si="45"/>
        <v>0</v>
      </c>
    </row>
    <row r="93" spans="1:9" x14ac:dyDescent="0.35">
      <c r="A93" t="s">
        <v>1026</v>
      </c>
      <c r="D93" s="5" t="b">
        <f>data!$G$13</f>
        <v>1</v>
      </c>
      <c r="E93" s="5" t="b">
        <f>data!$G$14</f>
        <v>1</v>
      </c>
      <c r="F93" s="5" t="b">
        <f>data!$G$15</f>
        <v>1</v>
      </c>
      <c r="G93" s="5" t="b">
        <f>data!$G$16</f>
        <v>0</v>
      </c>
      <c r="H93" s="5" t="b">
        <f>data!$G$17</f>
        <v>0</v>
      </c>
      <c r="I93" s="5" t="b">
        <f>data!$G$18</f>
        <v>0</v>
      </c>
    </row>
    <row r="94" spans="1:9" x14ac:dyDescent="0.35">
      <c r="B94" s="5" t="b">
        <f>D98+D99=2</f>
        <v>0</v>
      </c>
      <c r="C94" s="9" t="s">
        <v>408</v>
      </c>
    </row>
    <row r="95" spans="1:9" x14ac:dyDescent="0.35">
      <c r="C95" t="s">
        <v>1695</v>
      </c>
      <c r="D95" s="5">
        <f t="shared" ref="D95:I95" ca="1" si="46">D66+D82-D140-D155</f>
        <v>0</v>
      </c>
      <c r="E95" s="5">
        <f t="shared" ca="1" si="46"/>
        <v>0</v>
      </c>
      <c r="F95" s="5">
        <f t="shared" ca="1" si="46"/>
        <v>0</v>
      </c>
      <c r="G95" s="5">
        <f t="shared" ca="1" si="46"/>
        <v>0</v>
      </c>
      <c r="H95" s="5">
        <f t="shared" ca="1" si="46"/>
        <v>0</v>
      </c>
      <c r="I95" s="5">
        <f t="shared" ca="1" si="46"/>
        <v>0</v>
      </c>
    </row>
    <row r="96" spans="1:9" x14ac:dyDescent="0.35">
      <c r="C96" t="s">
        <v>382</v>
      </c>
      <c r="D96" s="5">
        <f ca="1">D95/reliefs!D7*D97*D98*D99</f>
        <v>0</v>
      </c>
      <c r="E96" s="5">
        <f ca="1">E95/reliefs!E7*E97*E98*E99</f>
        <v>0</v>
      </c>
      <c r="F96" s="5">
        <f ca="1">F95/reliefs!F7*F97*F98*F99</f>
        <v>0</v>
      </c>
      <c r="G96" s="5">
        <f ca="1">G95/reliefs!G7*G97*G98*G99</f>
        <v>0</v>
      </c>
      <c r="H96" s="5">
        <f ca="1">H95/reliefs!H7*H97*H98*H99</f>
        <v>0</v>
      </c>
      <c r="I96" s="5">
        <f ca="1">I95/reliefs!I7*I97*I98*I99</f>
        <v>0</v>
      </c>
    </row>
    <row r="97" spans="1:9" x14ac:dyDescent="0.35">
      <c r="C97" t="s">
        <v>385</v>
      </c>
      <c r="D97" s="5" t="b">
        <f>D5&lt;VLOOKUP(D4,data!$A$63:$C$70,3,FALSE)</f>
        <v>1</v>
      </c>
      <c r="E97" s="5" t="b">
        <f>E5&lt;VLOOKUP(E4,data!$A$63:$C$70,3,FALSE)</f>
        <v>1</v>
      </c>
      <c r="F97" s="5" t="b">
        <f>F5&lt;VLOOKUP(F4,data!$A$63:$C$70,3,FALSE)</f>
        <v>1</v>
      </c>
      <c r="G97" s="5" t="b">
        <f>G5&lt;VLOOKUP(G4,data!$A$63:$C$70,3,FALSE)</f>
        <v>1</v>
      </c>
      <c r="H97" s="5" t="b">
        <f>H5&lt;VLOOKUP(H4,data!$A$63:$C$70,3,FALSE)</f>
        <v>1</v>
      </c>
      <c r="I97" s="5" t="b">
        <f>I5&lt;VLOOKUP(I4,data!$A$63:$C$70,3,FALSE)</f>
        <v>1</v>
      </c>
    </row>
    <row r="98" spans="1:9" x14ac:dyDescent="0.35">
      <c r="C98" t="s">
        <v>386</v>
      </c>
      <c r="D98" s="5" t="b">
        <f>basic!$W$24</f>
        <v>0</v>
      </c>
      <c r="E98" s="5" t="b">
        <f>basic!$W$24</f>
        <v>0</v>
      </c>
      <c r="F98" s="5" t="b">
        <f>basic!$W$24</f>
        <v>0</v>
      </c>
      <c r="G98" s="5" t="b">
        <f>basic!$W$24</f>
        <v>0</v>
      </c>
      <c r="H98" s="5" t="b">
        <f>basic!$W$24</f>
        <v>0</v>
      </c>
      <c r="I98" s="5" t="b">
        <f>basic!$W$24</f>
        <v>0</v>
      </c>
    </row>
    <row r="99" spans="1:9" x14ac:dyDescent="0.35">
      <c r="A99" t="b">
        <f>D99+E99+F99+G99+H99+I99=6</f>
        <v>1</v>
      </c>
      <c r="C99" t="s">
        <v>407</v>
      </c>
      <c r="D99" s="5" t="b">
        <f t="shared" ref="D99:I99" si="47">IF(AND(D98=TRUE,D7=TRUE)=FALSE,TRUE,FALSE)</f>
        <v>1</v>
      </c>
      <c r="E99" s="5" t="b">
        <f t="shared" si="47"/>
        <v>1</v>
      </c>
      <c r="F99" s="5" t="b">
        <f t="shared" si="47"/>
        <v>1</v>
      </c>
      <c r="G99" s="5" t="b">
        <f t="shared" si="47"/>
        <v>1</v>
      </c>
      <c r="H99" s="5" t="b">
        <f t="shared" si="47"/>
        <v>1</v>
      </c>
      <c r="I99" s="5" t="b">
        <f t="shared" si="47"/>
        <v>1</v>
      </c>
    </row>
    <row r="100" spans="1:9" x14ac:dyDescent="0.35">
      <c r="C100" t="s">
        <v>389</v>
      </c>
      <c r="D100" t="str">
        <f>text!T4</f>
        <v>Retail Relief can't apply on an Empty Property</v>
      </c>
    </row>
    <row r="101" spans="1:9" x14ac:dyDescent="0.35">
      <c r="C101" t="s">
        <v>456</v>
      </c>
      <c r="D101" s="15">
        <f>reliefs!D15</f>
        <v>110000</v>
      </c>
      <c r="E101" s="15">
        <f>reliefs!E15</f>
        <v>110000</v>
      </c>
      <c r="F101" s="15">
        <f>reliefs!F15</f>
        <v>110000</v>
      </c>
      <c r="G101" s="15">
        <f>reliefs!G15</f>
        <v>0</v>
      </c>
      <c r="H101" s="15">
        <f>reliefs!H15</f>
        <v>0</v>
      </c>
      <c r="I101" s="15">
        <f>reliefs!I15</f>
        <v>0</v>
      </c>
    </row>
    <row r="102" spans="1:9" x14ac:dyDescent="0.35">
      <c r="B102" s="5" t="b">
        <f>D104+D107=2</f>
        <v>0</v>
      </c>
      <c r="C102" s="9" t="s">
        <v>356</v>
      </c>
    </row>
    <row r="103" spans="1:9" x14ac:dyDescent="0.35">
      <c r="C103" t="s">
        <v>387</v>
      </c>
      <c r="D103" s="5">
        <f t="shared" ref="D103:I103" ca="1" si="48">D66</f>
        <v>0</v>
      </c>
      <c r="E103" s="5">
        <f t="shared" ca="1" si="48"/>
        <v>0</v>
      </c>
      <c r="F103" s="5">
        <f t="shared" ca="1" si="48"/>
        <v>0</v>
      </c>
      <c r="G103" s="5">
        <f t="shared" ca="1" si="48"/>
        <v>0</v>
      </c>
      <c r="H103" s="5">
        <f t="shared" ca="1" si="48"/>
        <v>0</v>
      </c>
      <c r="I103" s="5">
        <f t="shared" ca="1" si="48"/>
        <v>0</v>
      </c>
    </row>
    <row r="104" spans="1:9" x14ac:dyDescent="0.35">
      <c r="C104" t="s">
        <v>386</v>
      </c>
      <c r="D104" s="5" t="b">
        <f t="shared" ref="D104:I104" si="49">D8</f>
        <v>0</v>
      </c>
      <c r="E104" s="5" t="b">
        <f t="shared" si="49"/>
        <v>0</v>
      </c>
      <c r="F104" s="5" t="b">
        <f t="shared" si="49"/>
        <v>0</v>
      </c>
      <c r="G104" s="5" t="b">
        <f t="shared" si="49"/>
        <v>0</v>
      </c>
      <c r="H104" s="5" t="b">
        <f t="shared" si="49"/>
        <v>0</v>
      </c>
      <c r="I104" s="5" t="b">
        <f t="shared" si="49"/>
        <v>0</v>
      </c>
    </row>
    <row r="105" spans="1:9" x14ac:dyDescent="0.35">
      <c r="C105" t="s">
        <v>388</v>
      </c>
      <c r="D105" s="5" t="b">
        <f t="shared" ref="D105:I105" si="50">D58</f>
        <v>0</v>
      </c>
      <c r="E105" s="5" t="b">
        <f t="shared" si="50"/>
        <v>0</v>
      </c>
      <c r="F105" s="5" t="b">
        <f t="shared" si="50"/>
        <v>0</v>
      </c>
      <c r="G105" s="5" t="b">
        <f t="shared" si="50"/>
        <v>0</v>
      </c>
      <c r="H105" s="5" t="b">
        <f t="shared" si="50"/>
        <v>0</v>
      </c>
      <c r="I105" s="5" t="b">
        <f t="shared" si="50"/>
        <v>0</v>
      </c>
    </row>
    <row r="106" spans="1:9" x14ac:dyDescent="0.35">
      <c r="C106" t="s">
        <v>382</v>
      </c>
      <c r="D106" s="5">
        <f t="shared" ref="D106:I106" ca="1" si="51">IF(D105=FALSE,D103*0.8*D104*D107,0)</f>
        <v>0</v>
      </c>
      <c r="E106" s="5">
        <f t="shared" ca="1" si="51"/>
        <v>0</v>
      </c>
      <c r="F106" s="5">
        <f t="shared" ca="1" si="51"/>
        <v>0</v>
      </c>
      <c r="G106" s="5">
        <f t="shared" ca="1" si="51"/>
        <v>0</v>
      </c>
      <c r="H106" s="5">
        <f t="shared" ca="1" si="51"/>
        <v>0</v>
      </c>
      <c r="I106" s="5">
        <f t="shared" ca="1" si="51"/>
        <v>0</v>
      </c>
    </row>
    <row r="107" spans="1:9" x14ac:dyDescent="0.35">
      <c r="A107" t="b">
        <f>D107+E107+F107+G107+H107+I107=6</f>
        <v>1</v>
      </c>
      <c r="C107" t="s">
        <v>409</v>
      </c>
      <c r="D107" s="5" t="b">
        <f t="shared" ref="D107:I107" si="52">IF(AND(D104=TRUE,OR(D7=TRUE,D54=TRUE))=FALSE,TRUE,FALSE)</f>
        <v>1</v>
      </c>
      <c r="E107" s="5" t="b">
        <f t="shared" si="52"/>
        <v>1</v>
      </c>
      <c r="F107" s="5" t="b">
        <f t="shared" si="52"/>
        <v>1</v>
      </c>
      <c r="G107" s="5" t="b">
        <f t="shared" si="52"/>
        <v>1</v>
      </c>
      <c r="H107" s="5" t="b">
        <f t="shared" si="52"/>
        <v>1</v>
      </c>
      <c r="I107" s="5" t="b">
        <f t="shared" si="52"/>
        <v>1</v>
      </c>
    </row>
    <row r="108" spans="1:9" x14ac:dyDescent="0.35">
      <c r="C108" t="s">
        <v>389</v>
      </c>
      <c r="D108" t="str">
        <f>text!T3</f>
        <v>Charitable Relief can't apply with SBRR, or on an Empty Property</v>
      </c>
    </row>
    <row r="110" spans="1:9" x14ac:dyDescent="0.35">
      <c r="C110" s="9" t="s">
        <v>410</v>
      </c>
    </row>
    <row r="111" spans="1:9" x14ac:dyDescent="0.35">
      <c r="C111" t="str">
        <f>C103</f>
        <v>calculated annual charge</v>
      </c>
      <c r="D111" s="5">
        <f t="shared" ref="D111:I111" ca="1" si="53">D66</f>
        <v>0</v>
      </c>
      <c r="E111" s="5">
        <f t="shared" ca="1" si="53"/>
        <v>0</v>
      </c>
      <c r="F111" s="5">
        <f t="shared" ca="1" si="53"/>
        <v>0</v>
      </c>
      <c r="G111" s="5">
        <f t="shared" ca="1" si="53"/>
        <v>0</v>
      </c>
      <c r="H111" s="5">
        <f t="shared" ca="1" si="53"/>
        <v>0</v>
      </c>
      <c r="I111" s="5">
        <f t="shared" ca="1" si="53"/>
        <v>0</v>
      </c>
    </row>
    <row r="112" spans="1:9" x14ac:dyDescent="0.35">
      <c r="C112" t="str">
        <f>C104</f>
        <v>ticked</v>
      </c>
      <c r="D112" s="5" t="b">
        <f t="shared" ref="D112:I112" si="54">D7</f>
        <v>0</v>
      </c>
      <c r="E112" s="5" t="b">
        <f t="shared" si="54"/>
        <v>0</v>
      </c>
      <c r="F112" s="5" t="b">
        <f t="shared" si="54"/>
        <v>0</v>
      </c>
      <c r="G112" s="5" t="b">
        <f t="shared" si="54"/>
        <v>0</v>
      </c>
      <c r="H112" s="5" t="b">
        <f t="shared" si="54"/>
        <v>0</v>
      </c>
      <c r="I112" s="5" t="b">
        <f t="shared" si="54"/>
        <v>0</v>
      </c>
    </row>
    <row r="113" spans="2:9" x14ac:dyDescent="0.35">
      <c r="B113" s="5">
        <v>3</v>
      </c>
      <c r="C113" t="s">
        <v>404</v>
      </c>
      <c r="D113" s="5">
        <f>VLOOKUP(D4,data!$A$43:$C$50,$B113,FALSE)</f>
        <v>2900</v>
      </c>
      <c r="E113" s="5">
        <f>VLOOKUP(E4,data!$A$43:$C$50,$B113,FALSE)</f>
        <v>2900</v>
      </c>
      <c r="F113" s="5">
        <f>VLOOKUP(F4,data!$A$43:$C$50,$B113,FALSE)</f>
        <v>2900</v>
      </c>
      <c r="G113" s="5">
        <f>VLOOKUP(G4,data!$A$43:$C$50,$B113,FALSE)</f>
        <v>2900</v>
      </c>
      <c r="H113" s="5">
        <f>VLOOKUP(H4,data!$A$43:$C$50,$B113,FALSE)</f>
        <v>2900</v>
      </c>
      <c r="I113" s="5">
        <f>VLOOKUP(I4,data!$A$43:$C$50,$B113,FALSE)</f>
        <v>2900</v>
      </c>
    </row>
    <row r="114" spans="2:9" x14ac:dyDescent="0.35">
      <c r="C114" t="s">
        <v>405</v>
      </c>
      <c r="D114" s="5" t="b">
        <f t="shared" ref="D114:I114" si="55">D5&lt;D113</f>
        <v>1</v>
      </c>
      <c r="E114" s="5" t="b">
        <f t="shared" si="55"/>
        <v>1</v>
      </c>
      <c r="F114" s="5" t="b">
        <f t="shared" si="55"/>
        <v>1</v>
      </c>
      <c r="G114" s="5" t="b">
        <f t="shared" si="55"/>
        <v>1</v>
      </c>
      <c r="H114" s="5" t="b">
        <f t="shared" si="55"/>
        <v>1</v>
      </c>
      <c r="I114" s="5" t="b">
        <f t="shared" si="55"/>
        <v>1</v>
      </c>
    </row>
    <row r="115" spans="2:9" x14ac:dyDescent="0.35">
      <c r="C115" t="s">
        <v>406</v>
      </c>
      <c r="D115" s="5">
        <f t="shared" ref="D115:I115" ca="1" si="56">D111*D112*D114</f>
        <v>0</v>
      </c>
      <c r="E115" s="5">
        <f t="shared" ca="1" si="56"/>
        <v>0</v>
      </c>
      <c r="F115" s="5">
        <f t="shared" ca="1" si="56"/>
        <v>0</v>
      </c>
      <c r="G115" s="5">
        <f t="shared" ca="1" si="56"/>
        <v>0</v>
      </c>
      <c r="H115" s="5">
        <f t="shared" ca="1" si="56"/>
        <v>0</v>
      </c>
      <c r="I115" s="5">
        <f t="shared" ca="1" si="56"/>
        <v>0</v>
      </c>
    </row>
    <row r="117" spans="2:9" x14ac:dyDescent="0.35">
      <c r="C117" t="s">
        <v>2402</v>
      </c>
      <c r="D117"/>
    </row>
    <row r="118" spans="2:9" x14ac:dyDescent="0.35">
      <c r="C118" t="s">
        <v>2400</v>
      </c>
      <c r="D118" s="14">
        <f t="shared" ref="D118:I118" ca="1" si="57">(D39+D43+D46+D50+D63)</f>
        <v>0</v>
      </c>
      <c r="E118" s="14">
        <f t="shared" ca="1" si="57"/>
        <v>0</v>
      </c>
      <c r="F118" s="14">
        <f t="shared" ca="1" si="57"/>
        <v>0</v>
      </c>
      <c r="G118" s="14">
        <f t="shared" si="57"/>
        <v>0</v>
      </c>
      <c r="H118" s="14">
        <f t="shared" si="57"/>
        <v>0</v>
      </c>
      <c r="I118" s="14">
        <f t="shared" si="57"/>
        <v>0</v>
      </c>
    </row>
    <row r="119" spans="2:9" x14ac:dyDescent="0.35">
      <c r="C119" t="s">
        <v>2401</v>
      </c>
      <c r="D119" s="5">
        <f t="shared" ref="D119:I119" ca="1" si="58">D66</f>
        <v>0</v>
      </c>
      <c r="E119" s="5">
        <f t="shared" ca="1" si="58"/>
        <v>0</v>
      </c>
      <c r="F119" s="5">
        <f t="shared" ca="1" si="58"/>
        <v>0</v>
      </c>
      <c r="G119" s="5">
        <f t="shared" ca="1" si="58"/>
        <v>0</v>
      </c>
      <c r="H119" s="5">
        <f t="shared" ca="1" si="58"/>
        <v>0</v>
      </c>
      <c r="I119" s="5">
        <f t="shared" ca="1" si="58"/>
        <v>0</v>
      </c>
    </row>
    <row r="120" spans="2:9" x14ac:dyDescent="0.35">
      <c r="C120" t="s">
        <v>2403</v>
      </c>
      <c r="D120" s="14">
        <f t="shared" ref="D120:I120" ca="1" si="59">D119-D118</f>
        <v>0</v>
      </c>
      <c r="E120" s="14">
        <f t="shared" ca="1" si="59"/>
        <v>0</v>
      </c>
      <c r="F120" s="14">
        <f t="shared" ca="1" si="59"/>
        <v>0</v>
      </c>
      <c r="G120" s="14">
        <f t="shared" ca="1" si="59"/>
        <v>0</v>
      </c>
      <c r="H120" s="14">
        <f t="shared" ca="1" si="59"/>
        <v>0</v>
      </c>
      <c r="I120" s="14">
        <f t="shared" ca="1" si="59"/>
        <v>0</v>
      </c>
    </row>
    <row r="122" spans="2:9" x14ac:dyDescent="0.35">
      <c r="C122" t="s">
        <v>2405</v>
      </c>
    </row>
    <row r="123" spans="2:9" x14ac:dyDescent="0.35">
      <c r="C123" t="s">
        <v>2406</v>
      </c>
      <c r="D123" s="5">
        <f t="shared" ref="D123:I123" si="60">(D28-D21)*D38</f>
        <v>0</v>
      </c>
      <c r="E123" s="5">
        <f t="shared" si="60"/>
        <v>0</v>
      </c>
      <c r="F123" s="5">
        <f t="shared" si="60"/>
        <v>0</v>
      </c>
      <c r="G123" s="5">
        <f t="shared" si="60"/>
        <v>0</v>
      </c>
      <c r="H123" s="5">
        <f t="shared" si="60"/>
        <v>0</v>
      </c>
      <c r="I123" s="5">
        <f t="shared" si="60"/>
        <v>0</v>
      </c>
    </row>
    <row r="125" spans="2:9" x14ac:dyDescent="0.35">
      <c r="C125" s="9" t="s">
        <v>457</v>
      </c>
    </row>
    <row r="126" spans="2:9" x14ac:dyDescent="0.35">
      <c r="C126" t="s">
        <v>421</v>
      </c>
      <c r="D126" s="5">
        <f t="shared" ref="D126:I126" ca="1" si="61">D96</f>
        <v>0</v>
      </c>
      <c r="E126" s="5">
        <f t="shared" ca="1" si="61"/>
        <v>0</v>
      </c>
      <c r="F126" s="5">
        <f t="shared" ca="1" si="61"/>
        <v>0</v>
      </c>
      <c r="G126" s="5">
        <f t="shared" ca="1" si="61"/>
        <v>0</v>
      </c>
      <c r="H126" s="5">
        <f t="shared" ca="1" si="61"/>
        <v>0</v>
      </c>
      <c r="I126" s="5">
        <f t="shared" ca="1" si="61"/>
        <v>0</v>
      </c>
    </row>
    <row r="127" spans="2:9" x14ac:dyDescent="0.35">
      <c r="C127" t="s">
        <v>458</v>
      </c>
      <c r="D127" s="5">
        <f t="shared" ref="D127:I127" ca="1" si="62">D126/D64*D65</f>
        <v>0</v>
      </c>
      <c r="E127" s="5">
        <f t="shared" ca="1" si="62"/>
        <v>0</v>
      </c>
      <c r="F127" s="5">
        <f t="shared" ca="1" si="62"/>
        <v>0</v>
      </c>
      <c r="G127" s="5">
        <f t="shared" ca="1" si="62"/>
        <v>0</v>
      </c>
      <c r="H127" s="5">
        <f t="shared" ca="1" si="62"/>
        <v>0</v>
      </c>
      <c r="I127" s="5">
        <f t="shared" ca="1" si="62"/>
        <v>0</v>
      </c>
    </row>
    <row r="128" spans="2:9" x14ac:dyDescent="0.35">
      <c r="C128" t="s">
        <v>456</v>
      </c>
      <c r="D128" s="15">
        <f>MIN(D101,D165)</f>
        <v>110000</v>
      </c>
      <c r="E128" s="15">
        <f ca="1">MIN(E101,E165)</f>
        <v>110000</v>
      </c>
      <c r="F128" s="15">
        <f ca="1">MIN(F101,F165)</f>
        <v>110000</v>
      </c>
      <c r="G128" s="15">
        <f>G101</f>
        <v>0</v>
      </c>
      <c r="H128" s="15">
        <f>H101</f>
        <v>0</v>
      </c>
      <c r="I128" s="15">
        <f>I101</f>
        <v>0</v>
      </c>
    </row>
    <row r="129" spans="1:9" x14ac:dyDescent="0.35">
      <c r="C129" t="s">
        <v>460</v>
      </c>
      <c r="D129" s="5" t="b">
        <f t="shared" ref="D129:I129" ca="1" si="63">D127&gt;D128</f>
        <v>0</v>
      </c>
      <c r="E129" s="5" t="b">
        <f t="shared" ca="1" si="63"/>
        <v>0</v>
      </c>
      <c r="F129" s="5" t="b">
        <f t="shared" ca="1" si="63"/>
        <v>0</v>
      </c>
      <c r="G129" s="5" t="b">
        <f t="shared" ca="1" si="63"/>
        <v>0</v>
      </c>
      <c r="H129" s="5" t="b">
        <f t="shared" ca="1" si="63"/>
        <v>0</v>
      </c>
      <c r="I129" s="5" t="b">
        <f t="shared" ca="1" si="63"/>
        <v>0</v>
      </c>
    </row>
    <row r="130" spans="1:9" x14ac:dyDescent="0.35">
      <c r="A130" t="s">
        <v>909</v>
      </c>
      <c r="B130" s="5" t="b">
        <f ca="1">SUM(D130:I130)&lt;0</f>
        <v>0</v>
      </c>
      <c r="C130" t="s">
        <v>459</v>
      </c>
      <c r="D130" s="15">
        <f t="shared" ref="D130:I130" ca="1" si="64">ROUND(IF(D129=TRUE,D128,D127),2)*-1</f>
        <v>0</v>
      </c>
      <c r="E130" s="15">
        <f t="shared" ca="1" si="64"/>
        <v>0</v>
      </c>
      <c r="F130" s="15">
        <f t="shared" ca="1" si="64"/>
        <v>0</v>
      </c>
      <c r="G130" s="15">
        <f t="shared" ca="1" si="64"/>
        <v>0</v>
      </c>
      <c r="H130" s="15">
        <f t="shared" ca="1" si="64"/>
        <v>0</v>
      </c>
      <c r="I130" s="15">
        <f t="shared" ca="1" si="64"/>
        <v>0</v>
      </c>
    </row>
    <row r="134" spans="1:9" x14ac:dyDescent="0.35">
      <c r="C134" s="9" t="s">
        <v>923</v>
      </c>
    </row>
    <row r="135" spans="1:9" x14ac:dyDescent="0.35">
      <c r="A135" s="5">
        <f>ROW()</f>
        <v>135</v>
      </c>
      <c r="B135" s="5" t="s">
        <v>924</v>
      </c>
      <c r="C135" s="1199"/>
      <c r="D135" s="440"/>
      <c r="E135" s="440"/>
      <c r="F135" s="440"/>
      <c r="G135" s="440"/>
      <c r="H135" s="440"/>
      <c r="I135" s="440"/>
    </row>
    <row r="136" spans="1:9" x14ac:dyDescent="0.35">
      <c r="C136" t="s">
        <v>926</v>
      </c>
      <c r="D136" s="5">
        <f t="shared" ref="D136:I136" ca="1" si="65">(D159+D82-D155)/D64*D65</f>
        <v>0</v>
      </c>
      <c r="E136" s="5">
        <f t="shared" ca="1" si="65"/>
        <v>0</v>
      </c>
      <c r="F136" s="5">
        <f t="shared" ca="1" si="65"/>
        <v>0</v>
      </c>
      <c r="G136" s="5">
        <f t="shared" ca="1" si="65"/>
        <v>0</v>
      </c>
      <c r="H136" s="5">
        <f t="shared" ca="1" si="65"/>
        <v>0</v>
      </c>
      <c r="I136" s="5">
        <f t="shared" ca="1" si="65"/>
        <v>0</v>
      </c>
    </row>
    <row r="137" spans="1:9" x14ac:dyDescent="0.35">
      <c r="C137" t="s">
        <v>1691</v>
      </c>
      <c r="D137" s="5">
        <f t="shared" ref="D137:I137" si="66">D135</f>
        <v>0</v>
      </c>
      <c r="E137" s="5">
        <f t="shared" si="66"/>
        <v>0</v>
      </c>
      <c r="F137" s="5">
        <f t="shared" si="66"/>
        <v>0</v>
      </c>
      <c r="G137" s="5">
        <f t="shared" si="66"/>
        <v>0</v>
      </c>
      <c r="H137" s="5">
        <f t="shared" si="66"/>
        <v>0</v>
      </c>
      <c r="I137" s="5">
        <f t="shared" si="66"/>
        <v>0</v>
      </c>
    </row>
    <row r="138" spans="1:9" x14ac:dyDescent="0.35">
      <c r="C138" t="s">
        <v>1694</v>
      </c>
      <c r="D138" s="5">
        <f t="shared" ref="D138:I138" ca="1" si="67">IF(D137&gt;D136,D136,D137)*D139</f>
        <v>0</v>
      </c>
      <c r="E138" s="5">
        <f t="shared" ca="1" si="67"/>
        <v>0</v>
      </c>
      <c r="F138" s="5">
        <f t="shared" ca="1" si="67"/>
        <v>0</v>
      </c>
      <c r="G138" s="5">
        <f t="shared" ca="1" si="67"/>
        <v>0</v>
      </c>
      <c r="H138" s="5">
        <f t="shared" ca="1" si="67"/>
        <v>0</v>
      </c>
      <c r="I138" s="5">
        <f t="shared" ca="1" si="67"/>
        <v>0</v>
      </c>
    </row>
    <row r="139" spans="1:9" x14ac:dyDescent="0.35">
      <c r="C139" t="s">
        <v>1015</v>
      </c>
      <c r="D139" s="5" t="b">
        <f t="shared" ref="D139:I139" si="68">D76</f>
        <v>1</v>
      </c>
      <c r="E139" s="5" t="b">
        <f t="shared" si="68"/>
        <v>1</v>
      </c>
      <c r="F139" s="5" t="b">
        <f t="shared" si="68"/>
        <v>1</v>
      </c>
      <c r="G139" s="5" t="b">
        <f t="shared" si="68"/>
        <v>0</v>
      </c>
      <c r="H139" s="5" t="b">
        <f t="shared" si="68"/>
        <v>0</v>
      </c>
      <c r="I139" s="5" t="b">
        <f t="shared" si="68"/>
        <v>0</v>
      </c>
    </row>
    <row r="140" spans="1:9" x14ac:dyDescent="0.35">
      <c r="C140" t="s">
        <v>2542</v>
      </c>
      <c r="D140" s="5">
        <f ca="1">IF(D65&gt;0,D138/D65*D64,0)</f>
        <v>0</v>
      </c>
      <c r="E140" s="5">
        <f ca="1">IF(E65&gt;0,E138/E65*E64,0)</f>
        <v>0</v>
      </c>
      <c r="F140" s="5">
        <f ca="1">IF(F65&gt;0,F138/F65*F64,0)</f>
        <v>0</v>
      </c>
    </row>
    <row r="141" spans="1:9" x14ac:dyDescent="0.35">
      <c r="C141" s="9" t="s">
        <v>1703</v>
      </c>
    </row>
    <row r="142" spans="1:9" x14ac:dyDescent="0.35">
      <c r="C142" t="s">
        <v>1704</v>
      </c>
      <c r="D142" s="5">
        <v>600</v>
      </c>
      <c r="E142" s="5">
        <v>600</v>
      </c>
      <c r="F142" s="5">
        <v>600</v>
      </c>
      <c r="G142" s="5">
        <v>600</v>
      </c>
      <c r="H142" s="5">
        <v>600</v>
      </c>
      <c r="I142" s="5">
        <v>600</v>
      </c>
    </row>
    <row r="143" spans="1:9" x14ac:dyDescent="0.35">
      <c r="C143" t="s">
        <v>1705</v>
      </c>
      <c r="D143" s="5">
        <f>D15</f>
        <v>0</v>
      </c>
    </row>
    <row r="144" spans="1:9" x14ac:dyDescent="0.35">
      <c r="C144" t="s">
        <v>1706</v>
      </c>
      <c r="D144" s="5">
        <f>D16</f>
        <v>0.499</v>
      </c>
    </row>
    <row r="145" spans="1:6" x14ac:dyDescent="0.35">
      <c r="C145" t="s">
        <v>1707</v>
      </c>
      <c r="D145" s="5">
        <f>IF(D143&lt;=12000,5000000,IF(D143&gt;15000,1,IF(MID((3000/(D143-12000)),6,1)="5",ROUND((3000/(D143-12000))-0.0001,3),ROUND(3000/(D143-12000),3))))</f>
        <v>5000000</v>
      </c>
    </row>
    <row r="146" spans="1:6" x14ac:dyDescent="0.35">
      <c r="C146" t="s">
        <v>1708</v>
      </c>
      <c r="D146" s="5">
        <f>D143*D144/D145</f>
        <v>0</v>
      </c>
      <c r="E146" s="5">
        <f>D148</f>
        <v>600</v>
      </c>
      <c r="F146" s="5">
        <f>E148</f>
        <v>1200</v>
      </c>
    </row>
    <row r="147" spans="1:6" x14ac:dyDescent="0.35">
      <c r="C147" t="s">
        <v>728</v>
      </c>
      <c r="D147" s="15">
        <f ca="1">D159</f>
        <v>0</v>
      </c>
      <c r="E147" s="15">
        <f ca="1">E159</f>
        <v>0</v>
      </c>
      <c r="F147" s="15">
        <f ca="1">F159</f>
        <v>0</v>
      </c>
    </row>
    <row r="148" spans="1:6" x14ac:dyDescent="0.35">
      <c r="A148" s="2398" t="str">
        <f>data!$G$32</f>
        <v>plist sb thresh</v>
      </c>
      <c r="C148" t="s">
        <v>1710</v>
      </c>
      <c r="D148" s="5">
        <f>D146+D142</f>
        <v>600</v>
      </c>
      <c r="E148" s="5">
        <f>E146+E142</f>
        <v>1200</v>
      </c>
      <c r="F148" s="5">
        <f>F146+F142</f>
        <v>1800</v>
      </c>
    </row>
    <row r="149" spans="1:6" x14ac:dyDescent="0.35">
      <c r="A149" s="503">
        <f>data!$G$33</f>
        <v>15000</v>
      </c>
      <c r="C149" s="1493" t="s">
        <v>1711</v>
      </c>
      <c r="D149" s="5" t="b">
        <f>D15&lt;=A149</f>
        <v>1</v>
      </c>
      <c r="E149" s="5" t="b">
        <f>D149</f>
        <v>1</v>
      </c>
      <c r="F149" s="5" t="b">
        <f>E149</f>
        <v>1</v>
      </c>
    </row>
    <row r="150" spans="1:6" x14ac:dyDescent="0.35">
      <c r="C150" s="1493" t="s">
        <v>1712</v>
      </c>
      <c r="D150" s="5" t="b">
        <f>basic!W25</f>
        <v>0</v>
      </c>
      <c r="E150" s="5" t="b">
        <f>D150</f>
        <v>0</v>
      </c>
      <c r="F150" s="5" t="b">
        <f>E150</f>
        <v>0</v>
      </c>
    </row>
    <row r="151" spans="1:6" x14ac:dyDescent="0.35">
      <c r="C151" s="1594" t="s">
        <v>1713</v>
      </c>
      <c r="D151" s="5" t="b">
        <f ca="1">D147&gt;D148</f>
        <v>0</v>
      </c>
      <c r="E151" s="5" t="b">
        <f ca="1">E147&gt;E148</f>
        <v>0</v>
      </c>
      <c r="F151" s="5" t="b">
        <f ca="1">F147&gt;F148</f>
        <v>0</v>
      </c>
    </row>
    <row r="152" spans="1:6" x14ac:dyDescent="0.35">
      <c r="C152" s="1594" t="s">
        <v>350</v>
      </c>
      <c r="D152" s="5" t="b">
        <f t="shared" ref="D152:F153" si="69">D7=FALSE</f>
        <v>1</v>
      </c>
      <c r="E152" s="5" t="b">
        <f t="shared" si="69"/>
        <v>1</v>
      </c>
      <c r="F152" s="5" t="b">
        <f t="shared" si="69"/>
        <v>1</v>
      </c>
    </row>
    <row r="153" spans="1:6" x14ac:dyDescent="0.35">
      <c r="A153" t="s">
        <v>2946</v>
      </c>
      <c r="C153" s="1594" t="s">
        <v>351</v>
      </c>
      <c r="D153" s="5" t="b">
        <f t="shared" si="69"/>
        <v>1</v>
      </c>
      <c r="E153" s="5" t="b">
        <f t="shared" si="69"/>
        <v>1</v>
      </c>
      <c r="F153" s="5" t="b">
        <f t="shared" si="69"/>
        <v>1</v>
      </c>
    </row>
    <row r="154" spans="1:6" x14ac:dyDescent="0.35">
      <c r="A154" t="b">
        <f>basic!W26</f>
        <v>0</v>
      </c>
      <c r="B154" s="5">
        <f ca="1">D154+E154+F154</f>
        <v>0</v>
      </c>
      <c r="C154" t="s">
        <v>1714</v>
      </c>
      <c r="D154" s="5" t="b">
        <f ca="1">D149+D150+D151+D152+D153=5</f>
        <v>0</v>
      </c>
      <c r="E154" s="5" t="b">
        <f ca="1">IF(A154=TRUE,FALSE,IF(E149+E150+E151+E152+E153=5,TRUE,FALSE))</f>
        <v>0</v>
      </c>
      <c r="F154" s="5" t="b">
        <f ca="1">IF(A154=TRUE,FALSE,IF(F149+F150+F151+F152+F153=5,TRUE,FALSE))</f>
        <v>0</v>
      </c>
    </row>
    <row r="155" spans="1:6" x14ac:dyDescent="0.35">
      <c r="C155" s="1594" t="s">
        <v>726</v>
      </c>
      <c r="D155" s="5">
        <f ca="1">(D66-D148)*D154</f>
        <v>0</v>
      </c>
      <c r="E155" s="5">
        <f ca="1">(E66-E148)*E154</f>
        <v>0</v>
      </c>
      <c r="F155" s="5">
        <f ca="1">(F66-F148)*F154</f>
        <v>0</v>
      </c>
    </row>
    <row r="156" spans="1:6" x14ac:dyDescent="0.35">
      <c r="C156" t="str">
        <f>C127</f>
        <v>for days</v>
      </c>
      <c r="D156" s="5">
        <f ca="1">D155/D64*D65</f>
        <v>0</v>
      </c>
      <c r="E156" s="5">
        <f ca="1">E155/E64*E65</f>
        <v>0</v>
      </c>
      <c r="F156" s="5">
        <f ca="1">F155/F64*F65</f>
        <v>0</v>
      </c>
    </row>
    <row r="157" spans="1:6" x14ac:dyDescent="0.35">
      <c r="C157" t="s">
        <v>729</v>
      </c>
      <c r="D157" s="5">
        <f ca="1">D156*-1</f>
        <v>0</v>
      </c>
      <c r="E157" s="5">
        <f ca="1">E156*-1</f>
        <v>0</v>
      </c>
      <c r="F157" s="5">
        <f ca="1">F156*-1</f>
        <v>0</v>
      </c>
    </row>
    <row r="158" spans="1:6" x14ac:dyDescent="0.35">
      <c r="C158" t="s">
        <v>352</v>
      </c>
      <c r="D158" s="5" t="b">
        <f ca="1">D154=FALSE</f>
        <v>1</v>
      </c>
      <c r="E158" s="5" t="b">
        <f ca="1">E154=FALSE</f>
        <v>1</v>
      </c>
      <c r="F158" s="5" t="b">
        <f ca="1">F154=FALSE</f>
        <v>1</v>
      </c>
    </row>
    <row r="159" spans="1:6" x14ac:dyDescent="0.35">
      <c r="B159" s="5" t="s">
        <v>353</v>
      </c>
      <c r="C159" t="s">
        <v>377</v>
      </c>
      <c r="D159" s="5">
        <f ca="1">(D39+D161+D46+D50+D63)/D53*D68</f>
        <v>0</v>
      </c>
      <c r="E159" s="5">
        <f ca="1">(E39+E161+E46+E50+E63)/E53*E68</f>
        <v>0</v>
      </c>
      <c r="F159" s="5">
        <f ca="1">(F39+F161+F46+F50+F63)/F53*F68</f>
        <v>0</v>
      </c>
    </row>
    <row r="160" spans="1:6" x14ac:dyDescent="0.35">
      <c r="C160" t="s">
        <v>640</v>
      </c>
      <c r="D160" s="5" t="b">
        <f>IF(OR(D7=TRUE,D8=TRUE),TRUE,IF(D5&lt;D12,FALSE,TRUE))</f>
        <v>0</v>
      </c>
      <c r="E160" s="5" t="b">
        <f>IF(OR(E7=TRUE,E8=TRUE),TRUE,IF(E5&lt;E12,FALSE,TRUE))</f>
        <v>0</v>
      </c>
      <c r="F160" s="5" t="b">
        <f>IF(OR(F7=TRUE,F8=TRUE),TRUE,IF(F5&lt;F12,FALSE,TRUE))</f>
        <v>0</v>
      </c>
    </row>
    <row r="161" spans="1:6" x14ac:dyDescent="0.35">
      <c r="C161" t="s">
        <v>641</v>
      </c>
      <c r="D161" s="5">
        <f>D5*D41*D160</f>
        <v>0</v>
      </c>
      <c r="E161" s="5">
        <f>E5*E41*E160</f>
        <v>0</v>
      </c>
      <c r="F161" s="5">
        <f>F5*F41*F160</f>
        <v>0</v>
      </c>
    </row>
    <row r="163" spans="1:6" x14ac:dyDescent="0.35">
      <c r="B163" s="5" t="s">
        <v>2873</v>
      </c>
    </row>
    <row r="164" spans="1:6" x14ac:dyDescent="0.35">
      <c r="C164" t="s">
        <v>456</v>
      </c>
      <c r="D164" s="15">
        <f>reliefs!D16</f>
        <v>315000</v>
      </c>
      <c r="E164" s="15">
        <f>reliefs!E16</f>
        <v>315000</v>
      </c>
      <c r="F164" s="15">
        <f>reliefs!F16</f>
        <v>315000</v>
      </c>
    </row>
    <row r="165" spans="1:6" x14ac:dyDescent="0.35">
      <c r="A165" s="723">
        <v>0</v>
      </c>
      <c r="B165" s="723">
        <f>IF(B168="y",B166,B167)*D170</f>
        <v>0</v>
      </c>
      <c r="C165" t="s">
        <v>2874</v>
      </c>
      <c r="D165" s="15">
        <f>D164-A165-B165</f>
        <v>315000</v>
      </c>
      <c r="E165" s="15">
        <f ca="1">E164-B165-(D130*-1)</f>
        <v>315000</v>
      </c>
      <c r="F165" s="15">
        <f ca="1">F164-(D130*-1)-(E130*-1)</f>
        <v>315000</v>
      </c>
    </row>
    <row r="166" spans="1:6" x14ac:dyDescent="0.35">
      <c r="A166" t="s">
        <v>2891</v>
      </c>
      <c r="B166" s="2364"/>
      <c r="C166" t="s">
        <v>2875</v>
      </c>
    </row>
    <row r="167" spans="1:6" x14ac:dyDescent="0.35">
      <c r="A167" t="s">
        <v>2890</v>
      </c>
      <c r="B167" s="723">
        <f>reliefs!D30</f>
        <v>0</v>
      </c>
      <c r="C167" t="s">
        <v>2876</v>
      </c>
    </row>
    <row r="168" spans="1:6" x14ac:dyDescent="0.35">
      <c r="A168" t="s">
        <v>2892</v>
      </c>
      <c r="B168" s="2364" t="s">
        <v>426</v>
      </c>
      <c r="C168" t="s">
        <v>2877</v>
      </c>
    </row>
    <row r="169" spans="1:6" x14ac:dyDescent="0.35">
      <c r="B169" s="723" t="s">
        <v>2924</v>
      </c>
      <c r="D169" s="5" t="str">
        <f ca="1">IF(D129=TRUE," (capped)","")</f>
        <v/>
      </c>
      <c r="E169" s="5" t="str">
        <f ca="1">IF(E129=TRUE," (capped)","")</f>
        <v/>
      </c>
      <c r="F169" s="5" t="str">
        <f ca="1">IF(F129=TRUE," (capped)","")</f>
        <v/>
      </c>
    </row>
    <row r="170" spans="1:6" x14ac:dyDescent="0.35">
      <c r="B170" s="723"/>
      <c r="C170" t="s">
        <v>2878</v>
      </c>
      <c r="D170" s="5" t="b">
        <f>basic!R5</f>
        <v>0</v>
      </c>
    </row>
  </sheetData>
  <sheetProtection password="BCD8" sheet="1" objects="1" scenarios="1"/>
  <phoneticPr fontId="0"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9F425-F453-452D-B9EC-86F5FABB6D75}">
  <sheetPr codeName="Sheet8"/>
  <dimension ref="A1:I170"/>
  <sheetViews>
    <sheetView workbookViewId="0">
      <pane ySplit="1" topLeftCell="A2" activePane="bottomLeft" state="frozen"/>
      <selection activeCell="E155" sqref="E155"/>
      <selection pane="bottomLeft" activeCell="A2" sqref="A2"/>
    </sheetView>
  </sheetViews>
  <sheetFormatPr defaultRowHeight="14.5" x14ac:dyDescent="0.35"/>
  <cols>
    <col min="1" max="1" width="16.453125"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8.90625" customWidth="1"/>
    <col min="13" max="13" width="12.453125" customWidth="1"/>
    <col min="14" max="14" width="12.08984375" customWidth="1"/>
    <col min="15" max="15" width="11.54296875" customWidth="1"/>
    <col min="16" max="16" width="12.54296875" customWidth="1"/>
  </cols>
  <sheetData>
    <row r="1" spans="1:9" x14ac:dyDescent="0.35">
      <c r="B1" s="5" t="s">
        <v>373</v>
      </c>
      <c r="C1" t="s">
        <v>374</v>
      </c>
      <c r="D1" s="5" t="s">
        <v>361</v>
      </c>
      <c r="E1" s="5" t="s">
        <v>362</v>
      </c>
      <c r="F1" s="5" t="s">
        <v>363</v>
      </c>
      <c r="G1" s="5" t="s">
        <v>364</v>
      </c>
      <c r="H1" s="5" t="s">
        <v>371</v>
      </c>
      <c r="I1" s="5" t="s">
        <v>372</v>
      </c>
    </row>
    <row r="2" spans="1:9" x14ac:dyDescent="0.35">
      <c r="C2" t="s">
        <v>251</v>
      </c>
      <c r="D2" s="13">
        <f>text!D1</f>
        <v>45017</v>
      </c>
      <c r="E2" s="13">
        <f>text!E1</f>
        <v>45383</v>
      </c>
      <c r="F2" s="13">
        <f>text!F1</f>
        <v>45748</v>
      </c>
      <c r="G2" s="13">
        <f>text!G1</f>
        <v>46113</v>
      </c>
      <c r="H2" s="13">
        <f>text!H1</f>
        <v>46478</v>
      </c>
      <c r="I2" s="13">
        <f>text!I1</f>
        <v>46844</v>
      </c>
    </row>
    <row r="3" spans="1:9" x14ac:dyDescent="0.35">
      <c r="C3" t="s">
        <v>268</v>
      </c>
      <c r="D3" s="5" t="str">
        <f>text!D2</f>
        <v>2023/24</v>
      </c>
      <c r="E3" s="5" t="str">
        <f>text!E2</f>
        <v>2024/25</v>
      </c>
      <c r="F3" s="5" t="str">
        <f>text!F2</f>
        <v>2025/26</v>
      </c>
      <c r="G3" s="5" t="str">
        <f>text!G2</f>
        <v>2026/27</v>
      </c>
      <c r="H3" s="5" t="str">
        <f>text!H2</f>
        <v>2027/28</v>
      </c>
      <c r="I3" s="5" t="str">
        <f>text!I2</f>
        <v>2028/29</v>
      </c>
    </row>
    <row r="4" spans="1:9" x14ac:dyDescent="0.35">
      <c r="C4" t="s">
        <v>271</v>
      </c>
      <c r="D4" s="5">
        <f>text!D3</f>
        <v>1</v>
      </c>
      <c r="E4" s="5">
        <f>text!E3</f>
        <v>2</v>
      </c>
      <c r="F4" s="5">
        <f>text!F3</f>
        <v>3</v>
      </c>
      <c r="G4" s="5">
        <f>text!G3</f>
        <v>4</v>
      </c>
      <c r="H4" s="5">
        <f>text!H3</f>
        <v>5</v>
      </c>
      <c r="I4" s="5">
        <f>text!I3</f>
        <v>6</v>
      </c>
    </row>
    <row r="5" spans="1:9" x14ac:dyDescent="0.35">
      <c r="C5" t="s">
        <v>272</v>
      </c>
      <c r="D5" s="27">
        <f>basic!I7</f>
        <v>0</v>
      </c>
      <c r="E5" s="5">
        <f t="shared" ref="E5:I9" si="0">D5</f>
        <v>0</v>
      </c>
      <c r="F5" s="5">
        <f t="shared" si="0"/>
        <v>0</v>
      </c>
      <c r="G5" s="5">
        <f t="shared" si="0"/>
        <v>0</v>
      </c>
      <c r="H5" s="5">
        <f t="shared" si="0"/>
        <v>0</v>
      </c>
      <c r="I5" s="5">
        <f t="shared" si="0"/>
        <v>0</v>
      </c>
    </row>
    <row r="6" spans="1:9" x14ac:dyDescent="0.35">
      <c r="C6" t="s">
        <v>273</v>
      </c>
      <c r="D6" s="5" t="str">
        <f>basic!W3</f>
        <v>e</v>
      </c>
      <c r="E6" s="5" t="str">
        <f t="shared" si="0"/>
        <v>e</v>
      </c>
      <c r="F6" s="5" t="str">
        <f t="shared" si="0"/>
        <v>e</v>
      </c>
      <c r="G6" s="5" t="str">
        <f t="shared" si="0"/>
        <v>e</v>
      </c>
      <c r="H6" s="5" t="str">
        <f t="shared" si="0"/>
        <v>e</v>
      </c>
      <c r="I6" s="5" t="str">
        <f t="shared" si="0"/>
        <v>e</v>
      </c>
    </row>
    <row r="7" spans="1:9" x14ac:dyDescent="0.35">
      <c r="C7" t="s">
        <v>334</v>
      </c>
      <c r="D7" s="5" t="b">
        <f>basic!W21</f>
        <v>0</v>
      </c>
      <c r="E7" s="5" t="b">
        <f t="shared" si="0"/>
        <v>0</v>
      </c>
      <c r="F7" s="5" t="b">
        <f t="shared" si="0"/>
        <v>0</v>
      </c>
      <c r="G7" s="5" t="b">
        <f t="shared" si="0"/>
        <v>0</v>
      </c>
      <c r="H7" s="5" t="b">
        <f t="shared" si="0"/>
        <v>0</v>
      </c>
      <c r="I7" s="5" t="b">
        <f t="shared" si="0"/>
        <v>0</v>
      </c>
    </row>
    <row r="8" spans="1:9" x14ac:dyDescent="0.35">
      <c r="C8" t="s">
        <v>335</v>
      </c>
      <c r="D8" s="5" t="b">
        <f>basic!W22</f>
        <v>0</v>
      </c>
      <c r="E8" s="5" t="b">
        <f t="shared" si="0"/>
        <v>0</v>
      </c>
      <c r="F8" s="5" t="b">
        <f t="shared" si="0"/>
        <v>0</v>
      </c>
      <c r="G8" s="5" t="b">
        <f t="shared" si="0"/>
        <v>0</v>
      </c>
      <c r="H8" s="5" t="b">
        <f t="shared" si="0"/>
        <v>0</v>
      </c>
      <c r="I8" s="5" t="b">
        <f t="shared" si="0"/>
        <v>0</v>
      </c>
    </row>
    <row r="9" spans="1:9" x14ac:dyDescent="0.35">
      <c r="C9" t="s">
        <v>336</v>
      </c>
      <c r="D9" s="5" t="b">
        <f>basic!W23</f>
        <v>0</v>
      </c>
      <c r="E9" s="5" t="b">
        <f t="shared" si="0"/>
        <v>0</v>
      </c>
      <c r="F9" s="5" t="b">
        <f t="shared" si="0"/>
        <v>0</v>
      </c>
      <c r="G9" s="5" t="b">
        <f t="shared" si="0"/>
        <v>0</v>
      </c>
      <c r="H9" s="5" t="b">
        <f t="shared" si="0"/>
        <v>0</v>
      </c>
      <c r="I9" s="5" t="b">
        <f t="shared" si="0"/>
        <v>0</v>
      </c>
    </row>
    <row r="10" spans="1:9" x14ac:dyDescent="0.35">
      <c r="B10" s="5">
        <v>3</v>
      </c>
      <c r="C10" t="s">
        <v>300</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9" x14ac:dyDescent="0.35">
      <c r="B11" s="5">
        <v>4</v>
      </c>
      <c r="C11" t="s">
        <v>301</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9" x14ac:dyDescent="0.35">
      <c r="B12" s="5">
        <v>5</v>
      </c>
      <c r="C12" t="s">
        <v>302</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9" x14ac:dyDescent="0.35">
      <c r="A13" t="s">
        <v>306</v>
      </c>
      <c r="B13" s="5">
        <f>IF(D6="e",3,IF(D6="l",4,5))</f>
        <v>3</v>
      </c>
      <c r="C13" t="s">
        <v>304</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9" x14ac:dyDescent="0.35">
      <c r="B14" s="5">
        <v>6</v>
      </c>
      <c r="C14" t="s">
        <v>305</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9" x14ac:dyDescent="0.35">
      <c r="C15" t="s">
        <v>307</v>
      </c>
      <c r="D15" s="5">
        <f>IF(basic!AA7&lt;&gt;"",basic!AA7,basic!I5)</f>
        <v>0</v>
      </c>
      <c r="E15" s="5">
        <f>D15</f>
        <v>0</v>
      </c>
      <c r="F15" s="5">
        <f>E15</f>
        <v>0</v>
      </c>
      <c r="G15" s="5">
        <f>F15</f>
        <v>0</v>
      </c>
      <c r="H15" s="5">
        <f>G15</f>
        <v>0</v>
      </c>
      <c r="I15" s="5">
        <f>H15</f>
        <v>0</v>
      </c>
    </row>
    <row r="16" spans="1:9" x14ac:dyDescent="0.35">
      <c r="C16" t="s">
        <v>309</v>
      </c>
      <c r="D16" s="5">
        <f>data!C52</f>
        <v>0.499</v>
      </c>
    </row>
    <row r="17" spans="1:9" x14ac:dyDescent="0.35">
      <c r="C17" t="s">
        <v>311</v>
      </c>
      <c r="D17" s="5">
        <f>D15*D16</f>
        <v>0</v>
      </c>
    </row>
    <row r="18" spans="1:9" x14ac:dyDescent="0.35">
      <c r="A18" t="s">
        <v>1074</v>
      </c>
      <c r="B18" s="23" t="b">
        <v>0</v>
      </c>
      <c r="C18" t="s">
        <v>360</v>
      </c>
      <c r="D18" s="15">
        <f>basic!H9</f>
        <v>0</v>
      </c>
    </row>
    <row r="19" spans="1:9" x14ac:dyDescent="0.35">
      <c r="C19" t="s">
        <v>312</v>
      </c>
      <c r="D19" s="5">
        <f>IF(B18=TRUE,D18,D17)</f>
        <v>0</v>
      </c>
      <c r="E19" s="5">
        <f>D28</f>
        <v>0</v>
      </c>
      <c r="F19" s="5">
        <f>E28</f>
        <v>0</v>
      </c>
      <c r="G19" s="5">
        <f>F28</f>
        <v>0</v>
      </c>
      <c r="H19" s="5">
        <f>G28</f>
        <v>0</v>
      </c>
      <c r="I19" s="5">
        <f>H28</f>
        <v>0</v>
      </c>
    </row>
    <row r="20" spans="1:9" x14ac:dyDescent="0.35">
      <c r="B20" s="5">
        <v>3</v>
      </c>
      <c r="C20" t="s">
        <v>275</v>
      </c>
      <c r="D20" s="5">
        <f>VLOOKUP(D$4,data!$A$53:$C$59,$B20,FALSE)</f>
        <v>0.499</v>
      </c>
      <c r="E20" s="5">
        <f>VLOOKUP(E$4,data!$A$53:$C$59,$B20,FALSE)</f>
        <v>0.499</v>
      </c>
      <c r="F20" s="5">
        <f>VLOOKUP(F$4,data!$A$53:$C$59,$B20,FALSE)</f>
        <v>0.499</v>
      </c>
      <c r="G20" s="5">
        <f>VLOOKUP(G$4,data!$A$53:$C$59,$B20,FALSE)</f>
        <v>0.51900000000000002</v>
      </c>
      <c r="H20" s="5">
        <f>VLOOKUP(H$4,data!$A$53:$C$59,$B20,FALSE)</f>
        <v>0.54</v>
      </c>
      <c r="I20" s="5">
        <f>VLOOKUP(I$4,data!$A$53:$C$59,$B20,FALSE)</f>
        <v>0.56200000000000006</v>
      </c>
    </row>
    <row r="21" spans="1:9" x14ac:dyDescent="0.35">
      <c r="C21" t="s">
        <v>276</v>
      </c>
      <c r="D21" s="5">
        <f t="shared" ref="D21:I21" si="1">D5*D20</f>
        <v>0</v>
      </c>
      <c r="E21" s="5">
        <f t="shared" si="1"/>
        <v>0</v>
      </c>
      <c r="F21" s="5">
        <f t="shared" si="1"/>
        <v>0</v>
      </c>
      <c r="G21" s="5">
        <f t="shared" si="1"/>
        <v>0</v>
      </c>
      <c r="H21" s="5">
        <f t="shared" si="1"/>
        <v>0</v>
      </c>
      <c r="I21" s="5">
        <f t="shared" si="1"/>
        <v>0</v>
      </c>
    </row>
    <row r="22" spans="1:9" x14ac:dyDescent="0.35">
      <c r="C22" t="s">
        <v>277</v>
      </c>
      <c r="D22" s="5" t="str">
        <f t="shared" ref="D22:I22" si="2">IF(D21&gt;D19,"l","w")</f>
        <v>w</v>
      </c>
      <c r="E22" s="5" t="str">
        <f t="shared" si="2"/>
        <v>w</v>
      </c>
      <c r="F22" s="5" t="str">
        <f t="shared" si="2"/>
        <v>w</v>
      </c>
      <c r="G22" s="5" t="str">
        <f t="shared" si="2"/>
        <v>w</v>
      </c>
      <c r="H22" s="5" t="str">
        <f t="shared" si="2"/>
        <v>w</v>
      </c>
      <c r="I22" s="5" t="str">
        <f t="shared" si="2"/>
        <v>w</v>
      </c>
    </row>
    <row r="23" spans="1:9" x14ac:dyDescent="0.35">
      <c r="C23" t="s">
        <v>278</v>
      </c>
      <c r="D23" s="5" t="str">
        <f t="shared" ref="D23:I23" si="3">IF(D5&lt;=D13,"s",IF(D5&lt;=D14,"m","l"))</f>
        <v>s</v>
      </c>
      <c r="E23" s="5" t="str">
        <f t="shared" si="3"/>
        <v>s</v>
      </c>
      <c r="F23" s="5" t="str">
        <f t="shared" si="3"/>
        <v>s</v>
      </c>
      <c r="G23" s="5" t="str">
        <f t="shared" si="3"/>
        <v>s</v>
      </c>
      <c r="H23" s="5" t="str">
        <f t="shared" si="3"/>
        <v>s</v>
      </c>
      <c r="I23" s="5" t="str">
        <f t="shared" si="3"/>
        <v>s</v>
      </c>
    </row>
    <row r="24" spans="1:9" x14ac:dyDescent="0.35">
      <c r="C24" t="s">
        <v>279</v>
      </c>
      <c r="D24" s="5" t="str">
        <f t="shared" ref="D24:I24" si="4">D22&amp;D23</f>
        <v>ws</v>
      </c>
      <c r="E24" s="5" t="str">
        <f t="shared" si="4"/>
        <v>ws</v>
      </c>
      <c r="F24" s="5" t="str">
        <f t="shared" si="4"/>
        <v>ws</v>
      </c>
      <c r="G24" s="5" t="str">
        <f t="shared" si="4"/>
        <v>ws</v>
      </c>
      <c r="H24" s="5" t="str">
        <f t="shared" si="4"/>
        <v>ws</v>
      </c>
      <c r="I24" s="5" t="str">
        <f t="shared" si="4"/>
        <v>ws</v>
      </c>
    </row>
    <row r="25" spans="1:9" x14ac:dyDescent="0.35">
      <c r="C25" t="s">
        <v>313</v>
      </c>
      <c r="D25" s="5">
        <f>HLOOKUP(D24,data!$C$2:$H$10,D4+1,FALSE)</f>
        <v>0</v>
      </c>
      <c r="E25" s="5">
        <f>HLOOKUP(E24,data!$C$2:$H$10,E4+1,FALSE)</f>
        <v>0</v>
      </c>
      <c r="F25" s="5">
        <f>HLOOKUP(F24,data!$C$2:$H$10,F4+1,FALSE)</f>
        <v>0</v>
      </c>
      <c r="G25" s="5">
        <f>HLOOKUP(G24,data!$C$2:$H$10,G4+1,FALSE)</f>
        <v>45</v>
      </c>
      <c r="H25" s="5">
        <f>HLOOKUP(H24,data!$C$2:$H$10,H4+1,FALSE)</f>
        <v>45</v>
      </c>
      <c r="I25" s="5">
        <f>HLOOKUP(I24,data!$C$2:$H$10,I4+1,FALSE)</f>
        <v>0</v>
      </c>
    </row>
    <row r="26" spans="1:9" x14ac:dyDescent="0.35">
      <c r="B26" s="5">
        <v>4</v>
      </c>
      <c r="C26" t="s">
        <v>314</v>
      </c>
      <c r="D26" s="5">
        <f>VLOOKUP(D$4,data!$A$53:$D$60,$B26,FALSE)</f>
        <v>1</v>
      </c>
      <c r="E26" s="5">
        <f>VLOOKUP(E$4,data!$A$53:$D$60,$B26,FALSE)</f>
        <v>1</v>
      </c>
      <c r="F26" s="5">
        <f>VLOOKUP(F$4,data!$A$53:$D$60,$B26,FALSE)</f>
        <v>1</v>
      </c>
      <c r="G26" s="5">
        <f>VLOOKUP(G$4,data!$A$53:$D$60,$B26,FALSE)</f>
        <v>1.04</v>
      </c>
      <c r="H26" s="5">
        <f>VLOOKUP(H$4,data!$A$53:$D$60,$B26,FALSE)</f>
        <v>1.04</v>
      </c>
      <c r="I26" s="5">
        <f>VLOOKUP(I$4,data!$A$53:$D$60,$B26,FALSE)</f>
        <v>1.0409999999999999</v>
      </c>
    </row>
    <row r="27" spans="1:9" x14ac:dyDescent="0.35">
      <c r="C27" t="s">
        <v>280</v>
      </c>
      <c r="D27" s="5">
        <f t="shared" ref="D27:I27" si="5">IF(D25=0,1,D25*D26/100)</f>
        <v>1</v>
      </c>
      <c r="E27" s="5">
        <f t="shared" si="5"/>
        <v>1</v>
      </c>
      <c r="F27" s="5">
        <f t="shared" si="5"/>
        <v>1</v>
      </c>
      <c r="G27" s="5">
        <f t="shared" si="5"/>
        <v>0.46800000000000003</v>
      </c>
      <c r="H27" s="5">
        <f t="shared" si="5"/>
        <v>0.46800000000000003</v>
      </c>
      <c r="I27" s="5">
        <f t="shared" si="5"/>
        <v>1</v>
      </c>
    </row>
    <row r="28" spans="1:9" x14ac:dyDescent="0.35">
      <c r="C28" t="s">
        <v>281</v>
      </c>
      <c r="D28" s="5">
        <f t="shared" ref="D28:I28" si="6">D19*D27</f>
        <v>0</v>
      </c>
      <c r="E28" s="5">
        <f t="shared" si="6"/>
        <v>0</v>
      </c>
      <c r="F28" s="5">
        <f t="shared" si="6"/>
        <v>0</v>
      </c>
      <c r="G28" s="5">
        <f t="shared" si="6"/>
        <v>0</v>
      </c>
      <c r="H28" s="5">
        <f t="shared" si="6"/>
        <v>0</v>
      </c>
      <c r="I28" s="5">
        <f t="shared" si="6"/>
        <v>0</v>
      </c>
    </row>
    <row r="29" spans="1:9" x14ac:dyDescent="0.35">
      <c r="B29" s="5" t="s">
        <v>1075</v>
      </c>
      <c r="C29" t="s">
        <v>282</v>
      </c>
      <c r="D29" s="1218" t="b">
        <v>0</v>
      </c>
      <c r="E29" s="5" t="b">
        <f>E22&lt;&gt;D22</f>
        <v>0</v>
      </c>
      <c r="F29" s="5" t="b">
        <f>F22&lt;&gt;E22</f>
        <v>0</v>
      </c>
      <c r="G29" s="5" t="b">
        <f>G22&lt;&gt;F22</f>
        <v>0</v>
      </c>
      <c r="H29" s="5" t="b">
        <f>H22&lt;&gt;G22</f>
        <v>0</v>
      </c>
      <c r="I29" s="5" t="b">
        <f>I22&lt;&gt;H22</f>
        <v>0</v>
      </c>
    </row>
    <row r="30" spans="1:9" x14ac:dyDescent="0.35">
      <c r="B30" s="5" t="s">
        <v>1076</v>
      </c>
      <c r="C30" t="s">
        <v>1079</v>
      </c>
      <c r="D30" s="5" t="b">
        <f t="shared" ref="D30:I30" si="7">AND(D21&gt;D19,D21&gt;D28)</f>
        <v>0</v>
      </c>
      <c r="E30" s="5" t="b">
        <f t="shared" si="7"/>
        <v>0</v>
      </c>
      <c r="F30" s="5" t="b">
        <f t="shared" si="7"/>
        <v>0</v>
      </c>
      <c r="G30" s="5" t="b">
        <f t="shared" si="7"/>
        <v>0</v>
      </c>
      <c r="H30" s="5" t="b">
        <f t="shared" si="7"/>
        <v>0</v>
      </c>
      <c r="I30" s="5" t="b">
        <f t="shared" si="7"/>
        <v>0</v>
      </c>
    </row>
    <row r="31" spans="1:9" x14ac:dyDescent="0.35">
      <c r="B31" s="5" t="s">
        <v>1077</v>
      </c>
      <c r="C31" t="s">
        <v>1080</v>
      </c>
      <c r="D31" s="5" t="b">
        <f t="shared" ref="D31:I31" si="8">AND(D21&lt;D19,D21&lt;D28)</f>
        <v>0</v>
      </c>
      <c r="E31" s="5" t="b">
        <f t="shared" si="8"/>
        <v>0</v>
      </c>
      <c r="F31" s="5" t="b">
        <f t="shared" si="8"/>
        <v>0</v>
      </c>
      <c r="G31" s="5" t="b">
        <f t="shared" si="8"/>
        <v>0</v>
      </c>
      <c r="H31" s="5" t="b">
        <f t="shared" si="8"/>
        <v>0</v>
      </c>
      <c r="I31" s="5" t="b">
        <f t="shared" si="8"/>
        <v>0</v>
      </c>
    </row>
    <row r="32" spans="1:9" x14ac:dyDescent="0.35">
      <c r="B32" s="5" t="s">
        <v>252</v>
      </c>
      <c r="C32" t="s">
        <v>253</v>
      </c>
      <c r="D32" s="5" t="b">
        <f t="shared" ref="D32:I32" si="9">OR(D30=TRUE,D31=TRUE)</f>
        <v>0</v>
      </c>
      <c r="E32" s="5" t="b">
        <f t="shared" si="9"/>
        <v>0</v>
      </c>
      <c r="F32" s="5" t="b">
        <f t="shared" si="9"/>
        <v>0</v>
      </c>
      <c r="G32" s="5" t="b">
        <f t="shared" si="9"/>
        <v>0</v>
      </c>
      <c r="H32" s="5" t="b">
        <f t="shared" si="9"/>
        <v>0</v>
      </c>
      <c r="I32" s="5" t="b">
        <f t="shared" si="9"/>
        <v>0</v>
      </c>
    </row>
    <row r="33" spans="2:9" x14ac:dyDescent="0.35">
      <c r="B33" s="5" t="s">
        <v>254</v>
      </c>
      <c r="C33" t="s">
        <v>255</v>
      </c>
      <c r="D33" s="1218" t="b">
        <v>1</v>
      </c>
      <c r="E33" s="5" t="b">
        <f>D38</f>
        <v>0</v>
      </c>
      <c r="F33" s="5" t="b">
        <f>E38</f>
        <v>0</v>
      </c>
      <c r="G33" s="5" t="b">
        <f>F38</f>
        <v>0</v>
      </c>
      <c r="H33" s="5" t="b">
        <f>G38</f>
        <v>0</v>
      </c>
      <c r="I33" s="5" t="b">
        <f>H38</f>
        <v>0</v>
      </c>
    </row>
    <row r="34" spans="2:9" x14ac:dyDescent="0.35">
      <c r="B34" s="5" t="s">
        <v>256</v>
      </c>
      <c r="C34" t="s">
        <v>259</v>
      </c>
      <c r="D34" s="5" t="b">
        <f t="shared" ref="D34:I34" si="10">D25&lt;&gt;0</f>
        <v>0</v>
      </c>
      <c r="E34" s="5" t="b">
        <f t="shared" si="10"/>
        <v>0</v>
      </c>
      <c r="F34" s="5" t="b">
        <f t="shared" si="10"/>
        <v>0</v>
      </c>
      <c r="G34" s="5" t="b">
        <f t="shared" si="10"/>
        <v>1</v>
      </c>
      <c r="H34" s="5" t="b">
        <f t="shared" si="10"/>
        <v>1</v>
      </c>
      <c r="I34" s="5" t="b">
        <f t="shared" si="10"/>
        <v>0</v>
      </c>
    </row>
    <row r="35" spans="2:9" x14ac:dyDescent="0.35">
      <c r="B35" s="5" t="s">
        <v>257</v>
      </c>
      <c r="C35" t="s">
        <v>260</v>
      </c>
      <c r="D35" s="5" t="b">
        <f t="shared" ref="D35:I35" si="11">D15&gt;0</f>
        <v>0</v>
      </c>
      <c r="E35" s="5" t="b">
        <f t="shared" si="11"/>
        <v>0</v>
      </c>
      <c r="F35" s="5" t="b">
        <f t="shared" si="11"/>
        <v>0</v>
      </c>
      <c r="G35" s="5" t="b">
        <f t="shared" si="11"/>
        <v>0</v>
      </c>
      <c r="H35" s="5" t="b">
        <f t="shared" si="11"/>
        <v>0</v>
      </c>
      <c r="I35" s="5" t="b">
        <f t="shared" si="11"/>
        <v>0</v>
      </c>
    </row>
    <row r="36" spans="2:9" x14ac:dyDescent="0.35">
      <c r="B36" s="5" t="s">
        <v>258</v>
      </c>
      <c r="C36" t="s">
        <v>261</v>
      </c>
      <c r="D36" s="5" t="b">
        <f t="shared" ref="D36:I36" si="12">D5&gt;0</f>
        <v>0</v>
      </c>
      <c r="E36" s="5" t="b">
        <f t="shared" si="12"/>
        <v>0</v>
      </c>
      <c r="F36" s="5" t="b">
        <f t="shared" si="12"/>
        <v>0</v>
      </c>
      <c r="G36" s="5" t="b">
        <f t="shared" si="12"/>
        <v>0</v>
      </c>
      <c r="H36" s="5" t="b">
        <f t="shared" si="12"/>
        <v>0</v>
      </c>
      <c r="I36" s="5" t="b">
        <f t="shared" si="12"/>
        <v>0</v>
      </c>
    </row>
    <row r="37" spans="2:9" x14ac:dyDescent="0.35">
      <c r="B37" s="5" t="s">
        <v>2162</v>
      </c>
      <c r="C37" t="s">
        <v>2163</v>
      </c>
      <c r="D37" s="5" t="b">
        <v>0</v>
      </c>
      <c r="E37" s="5" t="b">
        <v>0</v>
      </c>
      <c r="F37" s="5" t="b">
        <v>0</v>
      </c>
      <c r="G37" s="5" t="b">
        <v>0</v>
      </c>
      <c r="H37" s="5" t="b">
        <v>0</v>
      </c>
      <c r="I37" s="12" t="b">
        <f>calc1!I37</f>
        <v>1</v>
      </c>
    </row>
    <row r="38" spans="2:9" x14ac:dyDescent="0.35">
      <c r="C38" t="s">
        <v>283</v>
      </c>
      <c r="D38" s="5" t="b">
        <f t="shared" ref="D38:I38" si="13">AND(D29=FALSE,D32=TRUE,D33=TRUE,D34=TRUE,D35=TRUE,D36=TRUE,D37=FALSE)</f>
        <v>0</v>
      </c>
      <c r="E38" s="5" t="b">
        <f t="shared" si="13"/>
        <v>0</v>
      </c>
      <c r="F38" s="5" t="b">
        <f t="shared" si="13"/>
        <v>0</v>
      </c>
      <c r="G38" s="5" t="b">
        <f t="shared" si="13"/>
        <v>0</v>
      </c>
      <c r="H38" s="5" t="b">
        <f t="shared" si="13"/>
        <v>0</v>
      </c>
      <c r="I38" s="5" t="b">
        <f t="shared" si="13"/>
        <v>0</v>
      </c>
    </row>
    <row r="39" spans="2:9" x14ac:dyDescent="0.35">
      <c r="B39" s="5" t="s">
        <v>421</v>
      </c>
      <c r="C39" t="s">
        <v>316</v>
      </c>
      <c r="D39" s="14">
        <f t="shared" ref="D39:I39" si="14">IF(D38=TRUE,D28,D21)</f>
        <v>0</v>
      </c>
      <c r="E39" s="14">
        <f t="shared" si="14"/>
        <v>0</v>
      </c>
      <c r="F39" s="14">
        <f t="shared" si="14"/>
        <v>0</v>
      </c>
      <c r="G39" s="14">
        <f t="shared" si="14"/>
        <v>0</v>
      </c>
      <c r="H39" s="14">
        <f t="shared" si="14"/>
        <v>0</v>
      </c>
      <c r="I39" s="14">
        <f t="shared" si="14"/>
        <v>0</v>
      </c>
    </row>
    <row r="40" spans="2:9" x14ac:dyDescent="0.35">
      <c r="C40" t="s">
        <v>2156</v>
      </c>
      <c r="D40" s="5" t="str">
        <f>IF(D38=FALSE,"ta",IF(D22="w","tp","tr"))</f>
        <v>ta</v>
      </c>
    </row>
    <row r="41" spans="2:9" x14ac:dyDescent="0.35">
      <c r="B41" s="5">
        <v>6</v>
      </c>
      <c r="C41" t="s">
        <v>638</v>
      </c>
      <c r="D41" s="5">
        <f>VLOOKUP(D$4,data!$A$33:$F$40,$B41,FALSE)</f>
        <v>1.2999999999999999E-2</v>
      </c>
      <c r="E41" s="5">
        <f>VLOOKUP(E$4,data!$A$33:$F$40,$B41,FALSE)</f>
        <v>4.7000000000000042E-2</v>
      </c>
      <c r="F41" s="5">
        <f>VLOOKUP(F$4,data!$A$33:$F$40,$B41,FALSE)</f>
        <v>5.600000000000005E-2</v>
      </c>
      <c r="G41" s="5">
        <f>VLOOKUP(G$4,data!$A$33:$F$40,$B41,FALSE)</f>
        <v>5.600000000000005E-2</v>
      </c>
      <c r="H41" s="5">
        <f>VLOOKUP(H$4,data!$A$33:$F$40,$B41,FALSE)</f>
        <v>5.600000000000005E-2</v>
      </c>
      <c r="I41" s="5">
        <f>VLOOKUP(I$4,data!$A$33:$F$40,$B41,FALSE)</f>
        <v>5.600000000000005E-2</v>
      </c>
    </row>
    <row r="42" spans="2:9" x14ac:dyDescent="0.35">
      <c r="C42" t="s">
        <v>640</v>
      </c>
      <c r="D42" s="5" t="b">
        <f>IF(OR(D7=TRUE,D8=TRUE),TRUE,IF(D5&lt;D12,FALSE,TRUE))</f>
        <v>0</v>
      </c>
      <c r="E42" s="5" t="b">
        <f>IF(E5&lt;E12,FALSE,TRUE)</f>
        <v>0</v>
      </c>
      <c r="F42" s="5" t="b">
        <f>IF(F5&lt;F12,FALSE,TRUE)</f>
        <v>0</v>
      </c>
      <c r="G42" s="5" t="b">
        <f>IF(G5&lt;G12,FALSE,TRUE)</f>
        <v>0</v>
      </c>
      <c r="H42" s="5" t="b">
        <f>IF(H5&lt;H12,FALSE,TRUE)</f>
        <v>0</v>
      </c>
      <c r="I42" s="5" t="b">
        <f>IF(I5&lt;I12,FALSE,TRUE)</f>
        <v>0</v>
      </c>
    </row>
    <row r="43" spans="2:9" x14ac:dyDescent="0.35">
      <c r="C43" t="s">
        <v>641</v>
      </c>
      <c r="D43" s="5">
        <f t="shared" ref="D43:I43" ca="1" si="15">D5*D41*D42*D158</f>
        <v>0</v>
      </c>
      <c r="E43" s="5">
        <f t="shared" ca="1" si="15"/>
        <v>0</v>
      </c>
      <c r="F43" s="5">
        <f t="shared" ca="1" si="15"/>
        <v>0</v>
      </c>
      <c r="G43" s="5">
        <f t="shared" si="15"/>
        <v>0</v>
      </c>
      <c r="H43" s="5">
        <f t="shared" si="15"/>
        <v>0</v>
      </c>
      <c r="I43" s="5">
        <f t="shared" si="15"/>
        <v>0</v>
      </c>
    </row>
    <row r="44" spans="2:9" x14ac:dyDescent="0.35">
      <c r="B44" s="2291">
        <f>IF(D5&lt;D12,11,5)</f>
        <v>11</v>
      </c>
      <c r="C44" t="s">
        <v>642</v>
      </c>
      <c r="D44" s="5">
        <f>VLOOKUP(D$4,data!$A$53:$K$59,$B44,FALSE)</f>
        <v>1.4E-2</v>
      </c>
      <c r="E44" s="5">
        <f>VLOOKUP(E$4,data!$A$53:$K$59,$B44,FALSE)</f>
        <v>1.6E-2</v>
      </c>
      <c r="F44" s="5">
        <f>VLOOKUP(F$4,data!$A$53:$K$59,$B44,FALSE)</f>
        <v>0.02</v>
      </c>
      <c r="G44" s="5">
        <f>VLOOKUP(G$4,data!$A$53:$K$59,$B44,FALSE)</f>
        <v>0</v>
      </c>
      <c r="H44" s="5">
        <f>VLOOKUP(H$4,data!$A$53:$K$59,$B44,FALSE)</f>
        <v>0</v>
      </c>
      <c r="I44" s="5">
        <f>VLOOKUP(I$4,data!$A$53:$K$59,$B44,FALSE)</f>
        <v>0</v>
      </c>
    </row>
    <row r="45" spans="2:9" x14ac:dyDescent="0.35">
      <c r="C45" t="s">
        <v>643</v>
      </c>
      <c r="D45" s="5" t="b">
        <f t="shared" ref="D45:I45" si="16">D6="c"</f>
        <v>0</v>
      </c>
      <c r="E45" s="5" t="b">
        <f t="shared" si="16"/>
        <v>0</v>
      </c>
      <c r="F45" s="5" t="b">
        <f t="shared" si="16"/>
        <v>0</v>
      </c>
      <c r="G45" s="5" t="b">
        <f t="shared" si="16"/>
        <v>0</v>
      </c>
      <c r="H45" s="5" t="b">
        <f t="shared" si="16"/>
        <v>0</v>
      </c>
      <c r="I45" s="5" t="b">
        <f t="shared" si="16"/>
        <v>0</v>
      </c>
    </row>
    <row r="46" spans="2:9" x14ac:dyDescent="0.35">
      <c r="C46" t="s">
        <v>644</v>
      </c>
      <c r="D46" s="5">
        <f t="shared" ref="D46:I46" si="17">D5*D44*D45</f>
        <v>0</v>
      </c>
      <c r="E46" s="5">
        <f t="shared" si="17"/>
        <v>0</v>
      </c>
      <c r="F46" s="5">
        <f t="shared" si="17"/>
        <v>0</v>
      </c>
      <c r="G46" s="5">
        <f t="shared" si="17"/>
        <v>0</v>
      </c>
      <c r="H46" s="5">
        <f t="shared" si="17"/>
        <v>0</v>
      </c>
      <c r="I46" s="5">
        <f t="shared" si="17"/>
        <v>0</v>
      </c>
    </row>
    <row r="47" spans="2:9" x14ac:dyDescent="0.35">
      <c r="B47" s="5">
        <v>6</v>
      </c>
      <c r="C47" t="s">
        <v>645</v>
      </c>
      <c r="D47" s="5">
        <f>VLOOKUP(D$4,data!$A$53:$G$59,$B47,FALSE)</f>
        <v>0.02</v>
      </c>
      <c r="E47" s="5">
        <f>VLOOKUP(E$4,data!$A$53:$G$59,$B47,FALSE)</f>
        <v>0.02</v>
      </c>
      <c r="F47" s="5">
        <f>VLOOKUP(F$4,data!$A$53:$G$59,$B47,FALSE)</f>
        <v>0.02</v>
      </c>
      <c r="G47" s="5">
        <f>VLOOKUP(G$4,data!$A$53:$G$59,$B47,FALSE)</f>
        <v>0.02</v>
      </c>
      <c r="H47" s="5">
        <f>VLOOKUP(H$4,data!$A$53:$G$59,$B47,FALSE)</f>
        <v>0.02</v>
      </c>
      <c r="I47" s="5">
        <f>VLOOKUP(I$4,data!$A$53:$G$59,$B47,FALSE)</f>
        <v>0.02</v>
      </c>
    </row>
    <row r="48" spans="2:9" x14ac:dyDescent="0.35">
      <c r="B48" s="5">
        <v>7</v>
      </c>
      <c r="C48" t="s">
        <v>322</v>
      </c>
      <c r="D48" s="5">
        <f>VLOOKUP(D$4,data!$A$53:$G$59,$B48,FALSE)</f>
        <v>75000</v>
      </c>
      <c r="E48" s="5">
        <f>VLOOKUP(E$4,data!$A$53:$G$59,$B48,FALSE)</f>
        <v>75000</v>
      </c>
      <c r="F48" s="5">
        <f>VLOOKUP(F$4,data!$A$53:$G$59,$B48,FALSE)</f>
        <v>75000</v>
      </c>
      <c r="G48" s="5">
        <f>VLOOKUP(G$4,data!$A$53:$G$59,$B48,FALSE)</f>
        <v>75000</v>
      </c>
      <c r="H48" s="5">
        <f>VLOOKUP(H$4,data!$A$53:$G$59,$B48,FALSE)</f>
        <v>75000</v>
      </c>
      <c r="I48" s="5">
        <f>VLOOKUP(I$4,data!$A$53:$G$59,$B48,FALSE)</f>
        <v>75000</v>
      </c>
    </row>
    <row r="49" spans="1:9" x14ac:dyDescent="0.35">
      <c r="A49" t="s">
        <v>2410</v>
      </c>
      <c r="B49" s="12" t="str">
        <f>IF(D49=TRUE,"Crossrail","")</f>
        <v/>
      </c>
      <c r="C49" t="s">
        <v>646</v>
      </c>
      <c r="D49" s="5" t="b">
        <f t="shared" ref="D49:I49" si="18">AND(D6&lt;&gt;"e",D5&gt;D48)</f>
        <v>0</v>
      </c>
      <c r="E49" s="5" t="b">
        <f t="shared" si="18"/>
        <v>0</v>
      </c>
      <c r="F49" s="5" t="b">
        <f t="shared" si="18"/>
        <v>0</v>
      </c>
      <c r="G49" s="5" t="b">
        <f t="shared" si="18"/>
        <v>0</v>
      </c>
      <c r="H49" s="5" t="b">
        <f t="shared" si="18"/>
        <v>0</v>
      </c>
      <c r="I49" s="5" t="b">
        <f t="shared" si="18"/>
        <v>0</v>
      </c>
    </row>
    <row r="50" spans="1:9" x14ac:dyDescent="0.35">
      <c r="C50" t="s">
        <v>652</v>
      </c>
      <c r="D50" s="5">
        <f t="shared" ref="D50:I50" si="19">D5*D47*D49</f>
        <v>0</v>
      </c>
      <c r="E50" s="5">
        <f t="shared" si="19"/>
        <v>0</v>
      </c>
      <c r="F50" s="5">
        <f t="shared" si="19"/>
        <v>0</v>
      </c>
      <c r="G50" s="5">
        <f t="shared" si="19"/>
        <v>0</v>
      </c>
      <c r="H50" s="5">
        <f t="shared" si="19"/>
        <v>0</v>
      </c>
      <c r="I50" s="5">
        <f t="shared" si="19"/>
        <v>0</v>
      </c>
    </row>
    <row r="51" spans="1:9" x14ac:dyDescent="0.35">
      <c r="C51" t="s">
        <v>325</v>
      </c>
      <c r="D51" s="5">
        <f t="shared" ref="D51:I51" si="20">(D11-D10)/(D5-D10)</f>
        <v>-0.25</v>
      </c>
      <c r="E51" s="5">
        <f t="shared" si="20"/>
        <v>-0.25</v>
      </c>
      <c r="F51" s="5">
        <f t="shared" si="20"/>
        <v>-0.25</v>
      </c>
      <c r="G51" s="5">
        <f t="shared" si="20"/>
        <v>-0.25</v>
      </c>
      <c r="H51" s="5">
        <f t="shared" si="20"/>
        <v>-0.25</v>
      </c>
      <c r="I51" s="5">
        <f t="shared" si="20"/>
        <v>-0.25</v>
      </c>
    </row>
    <row r="52" spans="1:9" x14ac:dyDescent="0.35">
      <c r="C52" t="s">
        <v>326</v>
      </c>
      <c r="D52" s="5">
        <f t="shared" ref="D52:I52" si="21">IF(MID(D51,6,1)="5",-0.0001,0)</f>
        <v>0</v>
      </c>
      <c r="E52" s="5">
        <f t="shared" si="21"/>
        <v>0</v>
      </c>
      <c r="F52" s="5">
        <f t="shared" si="21"/>
        <v>0</v>
      </c>
      <c r="G52" s="5">
        <f t="shared" si="21"/>
        <v>0</v>
      </c>
      <c r="H52" s="5">
        <f t="shared" si="21"/>
        <v>0</v>
      </c>
      <c r="I52" s="5">
        <f t="shared" si="21"/>
        <v>0</v>
      </c>
    </row>
    <row r="53" spans="1:9" x14ac:dyDescent="0.35">
      <c r="C53" t="s">
        <v>327</v>
      </c>
      <c r="D53" s="5">
        <f t="shared" ref="D53:I53" si="22">IF(D58=FALSE,1,IF(D5&lt;=D10,5000000,IF(D5&gt;=D11,1,ROUND((D51+D52),3))))</f>
        <v>1</v>
      </c>
      <c r="E53" s="5">
        <f t="shared" si="22"/>
        <v>1</v>
      </c>
      <c r="F53" s="5">
        <f t="shared" si="22"/>
        <v>1</v>
      </c>
      <c r="G53" s="5">
        <f t="shared" si="22"/>
        <v>1</v>
      </c>
      <c r="H53" s="5">
        <f t="shared" si="22"/>
        <v>1</v>
      </c>
      <c r="I53" s="5">
        <f t="shared" si="22"/>
        <v>1</v>
      </c>
    </row>
    <row r="54" spans="1:9" x14ac:dyDescent="0.35">
      <c r="C54" t="s">
        <v>328</v>
      </c>
      <c r="D54" s="5" t="b">
        <f t="shared" ref="D54:I54" si="23">D9</f>
        <v>0</v>
      </c>
      <c r="E54" s="5" t="b">
        <f t="shared" si="23"/>
        <v>0</v>
      </c>
      <c r="F54" s="5" t="b">
        <f t="shared" si="23"/>
        <v>0</v>
      </c>
      <c r="G54" s="5" t="b">
        <f t="shared" si="23"/>
        <v>0</v>
      </c>
      <c r="H54" s="5" t="b">
        <f t="shared" si="23"/>
        <v>0</v>
      </c>
      <c r="I54" s="5" t="b">
        <f t="shared" si="23"/>
        <v>0</v>
      </c>
    </row>
    <row r="55" spans="1:9" x14ac:dyDescent="0.35">
      <c r="C55" t="s">
        <v>329</v>
      </c>
      <c r="D55" s="5" t="b">
        <f t="shared" ref="D55:I55" si="24">D5&lt;D11</f>
        <v>1</v>
      </c>
      <c r="E55" s="5" t="b">
        <f t="shared" si="24"/>
        <v>1</v>
      </c>
      <c r="F55" s="5" t="b">
        <f t="shared" si="24"/>
        <v>1</v>
      </c>
      <c r="G55" s="5" t="b">
        <f t="shared" si="24"/>
        <v>1</v>
      </c>
      <c r="H55" s="5" t="b">
        <f t="shared" si="24"/>
        <v>1</v>
      </c>
      <c r="I55" s="5" t="b">
        <f t="shared" si="24"/>
        <v>1</v>
      </c>
    </row>
    <row r="56" spans="1:9" x14ac:dyDescent="0.35">
      <c r="C56" t="s">
        <v>330</v>
      </c>
      <c r="D56" s="5" t="b">
        <f t="shared" ref="D56:I57" si="25">D7=FALSE</f>
        <v>1</v>
      </c>
      <c r="E56" s="5" t="b">
        <f t="shared" si="25"/>
        <v>1</v>
      </c>
      <c r="F56" s="5" t="b">
        <f t="shared" si="25"/>
        <v>1</v>
      </c>
      <c r="G56" s="5" t="b">
        <f t="shared" si="25"/>
        <v>1</v>
      </c>
      <c r="H56" s="5" t="b">
        <f t="shared" si="25"/>
        <v>1</v>
      </c>
      <c r="I56" s="5" t="b">
        <f t="shared" si="25"/>
        <v>1</v>
      </c>
    </row>
    <row r="57" spans="1:9" x14ac:dyDescent="0.35">
      <c r="C57" t="s">
        <v>331</v>
      </c>
      <c r="D57" s="5" t="b">
        <f t="shared" si="25"/>
        <v>1</v>
      </c>
      <c r="E57" s="5" t="b">
        <f t="shared" si="25"/>
        <v>1</v>
      </c>
      <c r="F57" s="5" t="b">
        <f t="shared" si="25"/>
        <v>1</v>
      </c>
      <c r="G57" s="5" t="b">
        <f t="shared" si="25"/>
        <v>1</v>
      </c>
      <c r="H57" s="5" t="b">
        <f t="shared" si="25"/>
        <v>1</v>
      </c>
      <c r="I57" s="5" t="b">
        <f t="shared" si="25"/>
        <v>1</v>
      </c>
    </row>
    <row r="58" spans="1:9" x14ac:dyDescent="0.35">
      <c r="C58" t="s">
        <v>332</v>
      </c>
      <c r="D58" s="5" t="b">
        <f t="shared" ref="D58:I58" si="26">D54+D55+D56+D57=4</f>
        <v>0</v>
      </c>
      <c r="E58" s="5" t="b">
        <f t="shared" si="26"/>
        <v>0</v>
      </c>
      <c r="F58" s="5" t="b">
        <f t="shared" si="26"/>
        <v>0</v>
      </c>
      <c r="G58" s="5" t="b">
        <f t="shared" si="26"/>
        <v>0</v>
      </c>
      <c r="H58" s="5" t="b">
        <f t="shared" si="26"/>
        <v>0</v>
      </c>
      <c r="I58" s="5" t="b">
        <f t="shared" si="26"/>
        <v>0</v>
      </c>
    </row>
    <row r="59" spans="1:9" x14ac:dyDescent="0.35">
      <c r="B59" s="5">
        <f>basic!W28</f>
        <v>1</v>
      </c>
      <c r="C59" t="s">
        <v>653</v>
      </c>
      <c r="D59" s="5" t="str">
        <f>INDEX(authorities!$A:$A,$B$59)</f>
        <v>Enter Levying Authority</v>
      </c>
      <c r="E59" s="5" t="str">
        <f>INDEX(authorities!$A:$A,$B$59)</f>
        <v>Enter Levying Authority</v>
      </c>
      <c r="F59" s="5" t="str">
        <f>INDEX(authorities!$A:$A,$B$59)</f>
        <v>Enter Levying Authority</v>
      </c>
      <c r="G59" s="5" t="str">
        <f>INDEX(authorities!$A:$A,$B$59)</f>
        <v>Enter Levying Authority</v>
      </c>
      <c r="H59" s="5" t="str">
        <f>INDEX(authorities!$A:$A,$B$59)</f>
        <v>Enter Levying Authority</v>
      </c>
      <c r="I59" s="5" t="str">
        <f>INDEX(authorities!$A:$A,$B$59)</f>
        <v>Enter Levying Authority</v>
      </c>
    </row>
    <row r="60" spans="1:9" x14ac:dyDescent="0.35">
      <c r="C60" t="s">
        <v>648</v>
      </c>
      <c r="D60" s="5">
        <f>IF($B$59&gt;1,VLOOKUP(D59,authorities!$A:$H,D4+1,FALSE),0)</f>
        <v>0</v>
      </c>
      <c r="E60" s="5">
        <f>IF($B$59&gt;1,VLOOKUP(E59,authorities!$A:$H,E4+1,FALSE),0)</f>
        <v>0</v>
      </c>
      <c r="F60" s="5">
        <f>IF($B$59&gt;1,VLOOKUP(F59,authorities!$A:$H,F4+1,FALSE),0)</f>
        <v>0</v>
      </c>
      <c r="G60" s="5">
        <f>IF($B$59&gt;1,VLOOKUP(G59,authorities!$A:$H,G4+1,FALSE),0)</f>
        <v>0</v>
      </c>
      <c r="H60" s="5">
        <f>IF($B$59&gt;1,VLOOKUP(H59,authorities!$A:$H,H4+1,FALSE),0)</f>
        <v>0</v>
      </c>
      <c r="I60" s="5">
        <f>IF($B$59&gt;1,VLOOKUP(I59,authorities!$A:$H,I4+1,FALSE),0)</f>
        <v>0</v>
      </c>
    </row>
    <row r="61" spans="1:9" x14ac:dyDescent="0.35">
      <c r="B61" s="5">
        <f>COLUMN(authorities!I1)</f>
        <v>9</v>
      </c>
      <c r="C61" t="s">
        <v>649</v>
      </c>
      <c r="D61" s="5" t="str">
        <f>VLOOKUP(D59,authorities!$A:$I,$B$61,FALSE)</f>
        <v>RV limit</v>
      </c>
      <c r="E61" s="5" t="str">
        <f>VLOOKUP(E59,authorities!$A:$I,$B$61,FALSE)</f>
        <v>RV limit</v>
      </c>
      <c r="F61" s="5" t="str">
        <f>VLOOKUP(F59,authorities!$A:$I,$B$61,FALSE)</f>
        <v>RV limit</v>
      </c>
      <c r="G61" s="5" t="str">
        <f>VLOOKUP(G59,authorities!$A:$I,$B$61,FALSE)</f>
        <v>RV limit</v>
      </c>
      <c r="H61" s="5" t="str">
        <f>VLOOKUP(H59,authorities!$A:$I,$B$61,FALSE)</f>
        <v>RV limit</v>
      </c>
      <c r="I61" s="5" t="str">
        <f>VLOOKUP(I59,authorities!$A:$I,$B$61,FALSE)</f>
        <v>RV limit</v>
      </c>
    </row>
    <row r="62" spans="1:9" x14ac:dyDescent="0.35">
      <c r="A62" t="s">
        <v>2410</v>
      </c>
      <c r="B62" s="12" t="str">
        <f>IF(D62=TRUE,D59,"")</f>
        <v/>
      </c>
      <c r="C62" t="s">
        <v>650</v>
      </c>
      <c r="D62" s="5" t="b">
        <f t="shared" ref="D62:I62" si="27">D5&gt;D61</f>
        <v>0</v>
      </c>
      <c r="E62" s="5" t="b">
        <f t="shared" si="27"/>
        <v>0</v>
      </c>
      <c r="F62" s="5" t="b">
        <f t="shared" si="27"/>
        <v>0</v>
      </c>
      <c r="G62" s="5" t="b">
        <f t="shared" si="27"/>
        <v>0</v>
      </c>
      <c r="H62" s="5" t="b">
        <f t="shared" si="27"/>
        <v>0</v>
      </c>
      <c r="I62" s="5" t="b">
        <f t="shared" si="27"/>
        <v>0</v>
      </c>
    </row>
    <row r="63" spans="1:9" x14ac:dyDescent="0.35">
      <c r="C63" t="s">
        <v>651</v>
      </c>
      <c r="D63" s="5">
        <f t="shared" ref="D63:I63" si="28">D5*D60*D62</f>
        <v>0</v>
      </c>
      <c r="E63" s="5">
        <f t="shared" si="28"/>
        <v>0</v>
      </c>
      <c r="F63" s="5">
        <f t="shared" si="28"/>
        <v>0</v>
      </c>
      <c r="G63" s="5">
        <f t="shared" si="28"/>
        <v>0</v>
      </c>
      <c r="H63" s="5">
        <f t="shared" si="28"/>
        <v>0</v>
      </c>
      <c r="I63" s="5">
        <f t="shared" si="28"/>
        <v>0</v>
      </c>
    </row>
    <row r="64" spans="1:9" x14ac:dyDescent="0.35">
      <c r="B64" s="5">
        <v>3</v>
      </c>
      <c r="C64" t="s">
        <v>291</v>
      </c>
      <c r="D64" s="5">
        <f>VLOOKUP(D$4,data!$A$13:$C$19,$B64,FALSE)</f>
        <v>366</v>
      </c>
      <c r="E64" s="5">
        <f>VLOOKUP(E$4,data!$A$13:$C$19,$B64,FALSE)</f>
        <v>365</v>
      </c>
      <c r="F64" s="5">
        <f>VLOOKUP(F$4,data!$A$13:$C$19,$B64,FALSE)</f>
        <v>365</v>
      </c>
      <c r="G64" s="5">
        <f>VLOOKUP(G$4,data!$A$13:$C$19,$B64,FALSE)</f>
        <v>365</v>
      </c>
      <c r="H64" s="5">
        <f>VLOOKUP(H$4,data!$A$13:$C$19,$B64,FALSE)</f>
        <v>366</v>
      </c>
      <c r="I64" s="5">
        <f>VLOOKUP(I$4,data!$A$13:$C$19,$B64,FALSE)</f>
        <v>365</v>
      </c>
    </row>
    <row r="65" spans="3:9" x14ac:dyDescent="0.35">
      <c r="C65" t="s">
        <v>324</v>
      </c>
      <c r="D65" s="5">
        <f t="shared" ref="D65:I65" si="29">D79</f>
        <v>366</v>
      </c>
      <c r="E65" s="5">
        <f t="shared" si="29"/>
        <v>365</v>
      </c>
      <c r="F65" s="5">
        <f t="shared" si="29"/>
        <v>365</v>
      </c>
      <c r="G65" s="5">
        <f t="shared" si="29"/>
        <v>0</v>
      </c>
      <c r="H65" s="5">
        <f t="shared" si="29"/>
        <v>0</v>
      </c>
      <c r="I65" s="5">
        <f t="shared" si="29"/>
        <v>0</v>
      </c>
    </row>
    <row r="66" spans="3:9" x14ac:dyDescent="0.35">
      <c r="C66" t="s">
        <v>377</v>
      </c>
      <c r="D66" s="5">
        <f t="shared" ref="D66:I66" ca="1" si="30">(D39+D43+D46+D50+D63)/D53*D68</f>
        <v>0</v>
      </c>
      <c r="E66" s="5">
        <f t="shared" ca="1" si="30"/>
        <v>0</v>
      </c>
      <c r="F66" s="5">
        <f t="shared" ca="1" si="30"/>
        <v>0</v>
      </c>
      <c r="G66" s="5">
        <f t="shared" ca="1" si="30"/>
        <v>0</v>
      </c>
      <c r="H66" s="5">
        <f t="shared" ca="1" si="30"/>
        <v>0</v>
      </c>
      <c r="I66" s="5">
        <f t="shared" ca="1" si="30"/>
        <v>0</v>
      </c>
    </row>
    <row r="67" spans="3:9" x14ac:dyDescent="0.35">
      <c r="C67" t="s">
        <v>375</v>
      </c>
      <c r="D67" s="5">
        <f t="shared" ref="D67:I67" ca="1" si="31">D66/D64</f>
        <v>0</v>
      </c>
      <c r="E67" s="5">
        <f t="shared" ca="1" si="31"/>
        <v>0</v>
      </c>
      <c r="F67" s="5">
        <f t="shared" ca="1" si="31"/>
        <v>0</v>
      </c>
      <c r="G67" s="5">
        <f t="shared" ca="1" si="31"/>
        <v>0</v>
      </c>
      <c r="H67" s="5">
        <f t="shared" ca="1" si="31"/>
        <v>0</v>
      </c>
      <c r="I67" s="5">
        <f t="shared" ca="1" si="31"/>
        <v>0</v>
      </c>
    </row>
    <row r="68" spans="3:9" x14ac:dyDescent="0.35">
      <c r="C68" t="s">
        <v>647</v>
      </c>
      <c r="D68" s="5" t="b">
        <f ca="1">codes!J29</f>
        <v>1</v>
      </c>
      <c r="E68" s="5" t="b">
        <f ca="1">codes!J30</f>
        <v>1</v>
      </c>
      <c r="F68" s="5" t="b">
        <f ca="1">codes!J31</f>
        <v>1</v>
      </c>
      <c r="G68" s="5" t="b">
        <f ca="1">codes!J32</f>
        <v>1</v>
      </c>
      <c r="H68" s="5" t="b">
        <f ca="1">codes!J33</f>
        <v>1</v>
      </c>
      <c r="I68" s="5" t="b">
        <f ca="1">codes!J34</f>
        <v>1</v>
      </c>
    </row>
    <row r="70" spans="3:9" x14ac:dyDescent="0.35">
      <c r="C70" s="9" t="s">
        <v>341</v>
      </c>
    </row>
    <row r="71" spans="3:9" x14ac:dyDescent="0.35">
      <c r="C71" t="s">
        <v>342</v>
      </c>
      <c r="D71" s="13">
        <f>basic!I23</f>
        <v>45017</v>
      </c>
      <c r="E71" s="13">
        <f>D71</f>
        <v>45017</v>
      </c>
      <c r="F71" s="13">
        <f t="shared" ref="F71:I72" si="32">E71</f>
        <v>45017</v>
      </c>
      <c r="G71" s="13">
        <f t="shared" si="32"/>
        <v>45017</v>
      </c>
      <c r="H71" s="13">
        <f t="shared" si="32"/>
        <v>45017</v>
      </c>
      <c r="I71" s="13">
        <f t="shared" si="32"/>
        <v>45017</v>
      </c>
    </row>
    <row r="72" spans="3:9" x14ac:dyDescent="0.35">
      <c r="C72" t="s">
        <v>343</v>
      </c>
      <c r="D72" s="13">
        <f>basic!I24</f>
        <v>46112</v>
      </c>
      <c r="E72" s="13">
        <f>D72</f>
        <v>46112</v>
      </c>
      <c r="F72" s="13">
        <f t="shared" si="32"/>
        <v>46112</v>
      </c>
      <c r="G72" s="13">
        <f t="shared" si="32"/>
        <v>46112</v>
      </c>
      <c r="H72" s="13">
        <f t="shared" si="32"/>
        <v>46112</v>
      </c>
      <c r="I72" s="13">
        <f t="shared" si="32"/>
        <v>46112</v>
      </c>
    </row>
    <row r="73" spans="3:9" x14ac:dyDescent="0.35">
      <c r="C73" t="s">
        <v>267</v>
      </c>
      <c r="D73" s="13">
        <f t="shared" ref="D73:I73" si="33">D2+D64-1</f>
        <v>45382</v>
      </c>
      <c r="E73" s="13">
        <f t="shared" si="33"/>
        <v>45747</v>
      </c>
      <c r="F73" s="13">
        <f t="shared" si="33"/>
        <v>46112</v>
      </c>
      <c r="G73" s="13">
        <f t="shared" si="33"/>
        <v>46477</v>
      </c>
      <c r="H73" s="13">
        <f t="shared" si="33"/>
        <v>46843</v>
      </c>
      <c r="I73" s="13">
        <f t="shared" si="33"/>
        <v>47208</v>
      </c>
    </row>
    <row r="74" spans="3:9" x14ac:dyDescent="0.35">
      <c r="C74" t="s">
        <v>344</v>
      </c>
      <c r="D74" s="5" t="b">
        <f t="shared" ref="D74:I74" si="34">AND(D2&lt;=D71,D71&lt;=D73)</f>
        <v>1</v>
      </c>
      <c r="E74" s="5" t="b">
        <f t="shared" si="34"/>
        <v>0</v>
      </c>
      <c r="F74" s="5" t="b">
        <f t="shared" si="34"/>
        <v>0</v>
      </c>
      <c r="G74" s="5" t="b">
        <f t="shared" si="34"/>
        <v>0</v>
      </c>
      <c r="H74" s="5" t="b">
        <f t="shared" si="34"/>
        <v>0</v>
      </c>
      <c r="I74" s="5" t="b">
        <f t="shared" si="34"/>
        <v>0</v>
      </c>
    </row>
    <row r="75" spans="3:9" x14ac:dyDescent="0.35">
      <c r="C75" t="s">
        <v>345</v>
      </c>
      <c r="D75" s="5" t="b">
        <f t="shared" ref="D75:I75" si="35">AND(D2&lt;=D72,D72&lt;=D73)</f>
        <v>0</v>
      </c>
      <c r="E75" s="5" t="b">
        <f t="shared" si="35"/>
        <v>0</v>
      </c>
      <c r="F75" s="5" t="b">
        <f t="shared" si="35"/>
        <v>1</v>
      </c>
      <c r="G75" s="5" t="b">
        <f t="shared" si="35"/>
        <v>0</v>
      </c>
      <c r="H75" s="5" t="b">
        <f t="shared" si="35"/>
        <v>0</v>
      </c>
      <c r="I75" s="5" t="b">
        <f t="shared" si="35"/>
        <v>0</v>
      </c>
    </row>
    <row r="76" spans="3:9" x14ac:dyDescent="0.35">
      <c r="C76" t="s">
        <v>346</v>
      </c>
      <c r="D76" s="5" t="b">
        <f>D74</f>
        <v>1</v>
      </c>
      <c r="E76" s="5" t="b">
        <f>IF(OR(D75=TRUE,D74+E74=0),FALSE,TRUE)</f>
        <v>1</v>
      </c>
      <c r="F76" s="5" t="b">
        <f>IF(D75+E75&gt;0,FALSE,IF(D74+E74+F74=0,FALSE,TRUE))</f>
        <v>1</v>
      </c>
      <c r="G76" s="5" t="b">
        <f>IF(D75+E75+F75&gt;0,FALSE,IF(D74+E74+F74+G74=0,FALSE,TRUE))</f>
        <v>0</v>
      </c>
      <c r="H76" s="5" t="b">
        <f>IF(D75+E75+F75+G75&gt;0,FALSE,IF(D74+E74+F74+G74+H74=0,FALSE,TRUE))</f>
        <v>0</v>
      </c>
      <c r="I76" s="5" t="b">
        <f>IF(D75+E75+F75+G75+H75&gt;0,FALSE,IF(D74+E74+F74+G74+H74+I74=0,FALSE,TRUE))</f>
        <v>0</v>
      </c>
    </row>
    <row r="77" spans="3:9" x14ac:dyDescent="0.35">
      <c r="C77" t="s">
        <v>354</v>
      </c>
      <c r="D77" s="13">
        <f t="shared" ref="D77:I77" si="36">IF(D76=FALSE,0,IF(D74=TRUE,D71,D2))</f>
        <v>45017</v>
      </c>
      <c r="E77" s="13">
        <f t="shared" si="36"/>
        <v>45383</v>
      </c>
      <c r="F77" s="13">
        <f t="shared" si="36"/>
        <v>45748</v>
      </c>
      <c r="G77" s="13">
        <f t="shared" si="36"/>
        <v>0</v>
      </c>
      <c r="H77" s="13">
        <f t="shared" si="36"/>
        <v>0</v>
      </c>
      <c r="I77" s="13">
        <f t="shared" si="36"/>
        <v>0</v>
      </c>
    </row>
    <row r="78" spans="3:9" x14ac:dyDescent="0.35">
      <c r="C78" t="s">
        <v>355</v>
      </c>
      <c r="D78" s="13">
        <f t="shared" ref="D78:I78" si="37">IF(D76=FALSE,0,IF(D75=TRUE,D72,D73))</f>
        <v>45382</v>
      </c>
      <c r="E78" s="13">
        <f t="shared" si="37"/>
        <v>45747</v>
      </c>
      <c r="F78" s="13">
        <f t="shared" si="37"/>
        <v>46112</v>
      </c>
      <c r="G78" s="13">
        <f t="shared" si="37"/>
        <v>0</v>
      </c>
      <c r="H78" s="13">
        <f t="shared" si="37"/>
        <v>0</v>
      </c>
      <c r="I78" s="13">
        <f t="shared" si="37"/>
        <v>0</v>
      </c>
    </row>
    <row r="79" spans="3:9" x14ac:dyDescent="0.35">
      <c r="C79" t="s">
        <v>324</v>
      </c>
      <c r="D79" s="5">
        <f t="shared" ref="D79:I79" si="38">(D78-D77+1)*D76</f>
        <v>366</v>
      </c>
      <c r="E79" s="5">
        <f t="shared" si="38"/>
        <v>365</v>
      </c>
      <c r="F79" s="5">
        <f t="shared" si="38"/>
        <v>365</v>
      </c>
      <c r="G79" s="5">
        <f t="shared" si="38"/>
        <v>0</v>
      </c>
      <c r="H79" s="5">
        <f t="shared" si="38"/>
        <v>0</v>
      </c>
      <c r="I79" s="5">
        <f t="shared" si="38"/>
        <v>0</v>
      </c>
    </row>
    <row r="80" spans="3:9" x14ac:dyDescent="0.35">
      <c r="C80" t="s">
        <v>381</v>
      </c>
      <c r="D80" s="5">
        <f t="shared" ref="D80:I80" ca="1" si="39">D66</f>
        <v>0</v>
      </c>
      <c r="E80" s="5">
        <f t="shared" ca="1" si="39"/>
        <v>0</v>
      </c>
      <c r="F80" s="5">
        <f t="shared" ca="1" si="39"/>
        <v>0</v>
      </c>
      <c r="G80" s="5">
        <f t="shared" ca="1" si="39"/>
        <v>0</v>
      </c>
      <c r="H80" s="5">
        <f t="shared" ca="1" si="39"/>
        <v>0</v>
      </c>
      <c r="I80" s="5">
        <f t="shared" ca="1" si="39"/>
        <v>0</v>
      </c>
    </row>
    <row r="81" spans="1:9" x14ac:dyDescent="0.35">
      <c r="C81" s="1055" t="s">
        <v>401</v>
      </c>
    </row>
    <row r="82" spans="1:9" s="9" customFormat="1" x14ac:dyDescent="0.35">
      <c r="C82" t="s">
        <v>356</v>
      </c>
      <c r="D82" s="5">
        <f t="shared" ref="D82:I82" ca="1" si="40">D106*-1</f>
        <v>0</v>
      </c>
      <c r="E82" s="5">
        <f t="shared" ca="1" si="40"/>
        <v>0</v>
      </c>
      <c r="F82" s="5">
        <f t="shared" ca="1" si="40"/>
        <v>0</v>
      </c>
      <c r="G82" s="5">
        <f t="shared" ca="1" si="40"/>
        <v>0</v>
      </c>
      <c r="H82" s="5">
        <f t="shared" ca="1" si="40"/>
        <v>0</v>
      </c>
      <c r="I82" s="5">
        <f t="shared" ca="1" si="40"/>
        <v>0</v>
      </c>
    </row>
    <row r="83" spans="1:9" x14ac:dyDescent="0.35">
      <c r="A83" t="s">
        <v>909</v>
      </c>
      <c r="B83" s="5" t="b">
        <f>SUM(D83:I83)&lt;0</f>
        <v>0</v>
      </c>
      <c r="C83" t="s">
        <v>463</v>
      </c>
      <c r="D83" s="5">
        <v>0</v>
      </c>
      <c r="E83" s="5">
        <v>0</v>
      </c>
      <c r="F83" s="5">
        <v>0</v>
      </c>
      <c r="G83" s="5">
        <v>0</v>
      </c>
      <c r="H83" s="5">
        <v>0</v>
      </c>
      <c r="I83" s="5">
        <v>0</v>
      </c>
    </row>
    <row r="84" spans="1:9" x14ac:dyDescent="0.35">
      <c r="C84" t="s">
        <v>403</v>
      </c>
      <c r="D84" s="5">
        <f t="shared" ref="D84:I84" ca="1" si="41">D115*-1</f>
        <v>0</v>
      </c>
      <c r="E84" s="5">
        <f t="shared" ca="1" si="41"/>
        <v>0</v>
      </c>
      <c r="F84" s="5">
        <f t="shared" ca="1" si="41"/>
        <v>0</v>
      </c>
      <c r="G84" s="5">
        <f t="shared" ca="1" si="41"/>
        <v>0</v>
      </c>
      <c r="H84" s="5">
        <f t="shared" ca="1" si="41"/>
        <v>0</v>
      </c>
      <c r="I84" s="5">
        <f t="shared" ca="1" si="41"/>
        <v>0</v>
      </c>
    </row>
    <row r="85" spans="1:9" x14ac:dyDescent="0.35">
      <c r="A85" t="s">
        <v>909</v>
      </c>
      <c r="B85" s="5" t="b">
        <f>SUM(D85:I85)&lt;0</f>
        <v>0</v>
      </c>
      <c r="C85" t="s">
        <v>1696</v>
      </c>
      <c r="D85" s="5">
        <f t="shared" ref="D85:I85" si="42">D132*-1</f>
        <v>0</v>
      </c>
      <c r="E85" s="5">
        <f t="shared" si="42"/>
        <v>0</v>
      </c>
      <c r="F85" s="5">
        <f t="shared" si="42"/>
        <v>0</v>
      </c>
      <c r="G85" s="5">
        <f t="shared" si="42"/>
        <v>0</v>
      </c>
      <c r="H85" s="5">
        <f t="shared" si="42"/>
        <v>0</v>
      </c>
      <c r="I85" s="5">
        <f t="shared" si="42"/>
        <v>0</v>
      </c>
    </row>
    <row r="86" spans="1:9" x14ac:dyDescent="0.35">
      <c r="A86" t="s">
        <v>909</v>
      </c>
      <c r="B86" s="5" t="b">
        <f ca="1">SUM(D86:I86)&lt;0</f>
        <v>0</v>
      </c>
      <c r="C86" t="s">
        <v>727</v>
      </c>
      <c r="D86" s="5">
        <f ca="1">D155*-1</f>
        <v>0</v>
      </c>
      <c r="E86" s="5">
        <f ca="1">E155*-1</f>
        <v>0</v>
      </c>
      <c r="F86" s="5">
        <f ca="1">F155*-1</f>
        <v>0</v>
      </c>
    </row>
    <row r="87" spans="1:9" x14ac:dyDescent="0.35">
      <c r="A87" t="s">
        <v>909</v>
      </c>
      <c r="B87" s="5" t="b">
        <f>SUM(D87:I87)&lt;0</f>
        <v>0</v>
      </c>
      <c r="C87" t="s">
        <v>357</v>
      </c>
    </row>
    <row r="88" spans="1:9" x14ac:dyDescent="0.35">
      <c r="A88" t="s">
        <v>909</v>
      </c>
      <c r="B88" s="5" t="b">
        <f>SUM(D88:I88)&lt;0</f>
        <v>0</v>
      </c>
      <c r="C88" t="s">
        <v>358</v>
      </c>
    </row>
    <row r="89" spans="1:9" x14ac:dyDescent="0.35">
      <c r="A89" t="s">
        <v>909</v>
      </c>
      <c r="B89" s="5" t="b">
        <f>SUM(D89:I89)&lt;0</f>
        <v>0</v>
      </c>
      <c r="C89" t="s">
        <v>402</v>
      </c>
    </row>
    <row r="90" spans="1:9" x14ac:dyDescent="0.35">
      <c r="C90" t="s">
        <v>378</v>
      </c>
      <c r="D90" s="5">
        <f t="shared" ref="D90:I90" ca="1" si="43">SUM(D80:D89)</f>
        <v>0</v>
      </c>
      <c r="E90" s="5">
        <f t="shared" ca="1" si="43"/>
        <v>0</v>
      </c>
      <c r="F90" s="5">
        <f t="shared" ca="1" si="43"/>
        <v>0</v>
      </c>
      <c r="G90" s="5">
        <f t="shared" ca="1" si="43"/>
        <v>0</v>
      </c>
      <c r="H90" s="5">
        <f t="shared" ca="1" si="43"/>
        <v>0</v>
      </c>
      <c r="I90" s="5">
        <f t="shared" ca="1" si="43"/>
        <v>0</v>
      </c>
    </row>
    <row r="91" spans="1:9" x14ac:dyDescent="0.35">
      <c r="A91" t="s">
        <v>909</v>
      </c>
      <c r="B91" s="5" t="b">
        <f ca="1">SUM(D91:I91)&lt;0</f>
        <v>0</v>
      </c>
      <c r="C91" t="s">
        <v>1063</v>
      </c>
      <c r="D91" s="5">
        <f t="shared" ref="D91:I91" ca="1" si="44">IF(D138&lt;&gt;"",D138*-1,0)</f>
        <v>0</v>
      </c>
      <c r="E91" s="5">
        <f t="shared" ca="1" si="44"/>
        <v>0</v>
      </c>
      <c r="F91" s="5">
        <f t="shared" ca="1" si="44"/>
        <v>0</v>
      </c>
      <c r="G91" s="5">
        <f t="shared" ca="1" si="44"/>
        <v>0</v>
      </c>
      <c r="H91" s="5">
        <f t="shared" ca="1" si="44"/>
        <v>0</v>
      </c>
      <c r="I91" s="5">
        <f t="shared" ca="1" si="44"/>
        <v>0</v>
      </c>
    </row>
    <row r="92" spans="1:9" x14ac:dyDescent="0.35">
      <c r="A92" t="b">
        <f>A99+A107=2</f>
        <v>1</v>
      </c>
      <c r="B92" s="5">
        <v>0</v>
      </c>
      <c r="C92" t="s">
        <v>376</v>
      </c>
      <c r="D92" s="1198">
        <f t="shared" ref="D92:I92" ca="1" si="45">IF($A92=FALSE,$B92,ROUND((D90/D64*D65)+D91+D130,2))*D93</f>
        <v>0</v>
      </c>
      <c r="E92" s="1198">
        <f t="shared" ca="1" si="45"/>
        <v>0</v>
      </c>
      <c r="F92" s="1198">
        <f t="shared" ca="1" si="45"/>
        <v>0</v>
      </c>
      <c r="G92" s="1198">
        <f t="shared" ca="1" si="45"/>
        <v>0</v>
      </c>
      <c r="H92" s="1198">
        <f t="shared" ca="1" si="45"/>
        <v>0</v>
      </c>
      <c r="I92" s="1198">
        <f t="shared" ca="1" si="45"/>
        <v>0</v>
      </c>
    </row>
    <row r="93" spans="1:9" x14ac:dyDescent="0.35">
      <c r="A93" t="s">
        <v>1026</v>
      </c>
      <c r="D93" s="5" t="b">
        <f>data!$G$13</f>
        <v>1</v>
      </c>
      <c r="E93" s="5" t="b">
        <f>data!$G$14</f>
        <v>1</v>
      </c>
      <c r="F93" s="5" t="b">
        <f>data!$G$15</f>
        <v>1</v>
      </c>
      <c r="G93" s="5" t="b">
        <f>data!$G$16</f>
        <v>0</v>
      </c>
      <c r="H93" s="5" t="b">
        <f>data!$G$17</f>
        <v>0</v>
      </c>
      <c r="I93" s="5" t="b">
        <f>data!$G$18</f>
        <v>0</v>
      </c>
    </row>
    <row r="94" spans="1:9" x14ac:dyDescent="0.35">
      <c r="B94" s="5" t="b">
        <f>D98+D99=2</f>
        <v>0</v>
      </c>
      <c r="C94" s="9" t="s">
        <v>408</v>
      </c>
    </row>
    <row r="95" spans="1:9" x14ac:dyDescent="0.35">
      <c r="C95" t="s">
        <v>1695</v>
      </c>
      <c r="D95" s="5">
        <f t="shared" ref="D95:I95" ca="1" si="46">D66+D82-D140-D155</f>
        <v>0</v>
      </c>
      <c r="E95" s="5">
        <f t="shared" ca="1" si="46"/>
        <v>0</v>
      </c>
      <c r="F95" s="5">
        <f t="shared" ca="1" si="46"/>
        <v>0</v>
      </c>
      <c r="G95" s="5">
        <f t="shared" ca="1" si="46"/>
        <v>0</v>
      </c>
      <c r="H95" s="5">
        <f t="shared" ca="1" si="46"/>
        <v>0</v>
      </c>
      <c r="I95" s="5">
        <f t="shared" ca="1" si="46"/>
        <v>0</v>
      </c>
    </row>
    <row r="96" spans="1:9" x14ac:dyDescent="0.35">
      <c r="C96" t="s">
        <v>382</v>
      </c>
      <c r="D96" s="5">
        <f ca="1">D95/reliefs!D7*D97*D98*D99</f>
        <v>0</v>
      </c>
      <c r="E96" s="5">
        <f ca="1">E95/reliefs!E7*E97*E98*E99</f>
        <v>0</v>
      </c>
      <c r="F96" s="5">
        <f ca="1">F95/reliefs!F7*F97*F98*F99</f>
        <v>0</v>
      </c>
      <c r="G96" s="5">
        <f ca="1">G95/reliefs!G7*G97*G98*G99</f>
        <v>0</v>
      </c>
      <c r="H96" s="5">
        <f ca="1">H95/reliefs!H7*H97*H98*H99</f>
        <v>0</v>
      </c>
      <c r="I96" s="5">
        <f ca="1">I95/reliefs!I7*I97*I98*I99</f>
        <v>0</v>
      </c>
    </row>
    <row r="97" spans="1:9" x14ac:dyDescent="0.35">
      <c r="C97" t="s">
        <v>385</v>
      </c>
      <c r="D97" s="5" t="b">
        <f>D5&lt;VLOOKUP(D4,data!$A$63:$C$70,3,FALSE)</f>
        <v>1</v>
      </c>
      <c r="E97" s="5" t="b">
        <f>E5&lt;VLOOKUP(E4,data!$A$63:$C$70,3,FALSE)</f>
        <v>1</v>
      </c>
      <c r="F97" s="5" t="b">
        <f>F5&lt;VLOOKUP(F4,data!$A$63:$C$70,3,FALSE)</f>
        <v>1</v>
      </c>
      <c r="G97" s="5" t="b">
        <f>G5&lt;VLOOKUP(G4,data!$A$63:$C$70,3,FALSE)</f>
        <v>1</v>
      </c>
      <c r="H97" s="5" t="b">
        <f>H5&lt;VLOOKUP(H4,data!$A$63:$C$70,3,FALSE)</f>
        <v>1</v>
      </c>
      <c r="I97" s="5" t="b">
        <f>I5&lt;VLOOKUP(I4,data!$A$63:$C$70,3,FALSE)</f>
        <v>1</v>
      </c>
    </row>
    <row r="98" spans="1:9" x14ac:dyDescent="0.35">
      <c r="C98" t="s">
        <v>386</v>
      </c>
      <c r="D98" s="5" t="b">
        <f>basic!$W$24</f>
        <v>0</v>
      </c>
      <c r="E98" s="5" t="b">
        <f>basic!$W$24</f>
        <v>0</v>
      </c>
      <c r="F98" s="5" t="b">
        <f>basic!$W$24</f>
        <v>0</v>
      </c>
      <c r="G98" s="5" t="b">
        <f>basic!$W$24</f>
        <v>0</v>
      </c>
      <c r="H98" s="5" t="b">
        <f>basic!$W$24</f>
        <v>0</v>
      </c>
      <c r="I98" s="5" t="b">
        <f>basic!$W$24</f>
        <v>0</v>
      </c>
    </row>
    <row r="99" spans="1:9" x14ac:dyDescent="0.35">
      <c r="A99" t="b">
        <f>D99+E99+F99+G99+H99+I99=6</f>
        <v>1</v>
      </c>
      <c r="C99" t="s">
        <v>407</v>
      </c>
      <c r="D99" s="5" t="b">
        <f t="shared" ref="D99:I99" si="47">IF(AND(D98=TRUE,D7=TRUE)=FALSE,TRUE,FALSE)</f>
        <v>1</v>
      </c>
      <c r="E99" s="5" t="b">
        <f t="shared" si="47"/>
        <v>1</v>
      </c>
      <c r="F99" s="5" t="b">
        <f t="shared" si="47"/>
        <v>1</v>
      </c>
      <c r="G99" s="5" t="b">
        <f t="shared" si="47"/>
        <v>1</v>
      </c>
      <c r="H99" s="5" t="b">
        <f t="shared" si="47"/>
        <v>1</v>
      </c>
      <c r="I99" s="5" t="b">
        <f t="shared" si="47"/>
        <v>1</v>
      </c>
    </row>
    <row r="100" spans="1:9" x14ac:dyDescent="0.35">
      <c r="C100" t="s">
        <v>389</v>
      </c>
      <c r="D100" t="str">
        <f>text!T4</f>
        <v>Retail Relief can't apply on an Empty Property</v>
      </c>
    </row>
    <row r="101" spans="1:9" x14ac:dyDescent="0.35">
      <c r="C101" t="s">
        <v>455</v>
      </c>
      <c r="D101" s="15">
        <f>reliefs!D15</f>
        <v>110000</v>
      </c>
      <c r="E101" s="15">
        <f>reliefs!E15</f>
        <v>110000</v>
      </c>
      <c r="F101" s="15">
        <f>reliefs!F15</f>
        <v>110000</v>
      </c>
      <c r="G101" s="15">
        <f>reliefs!G15</f>
        <v>0</v>
      </c>
      <c r="H101" s="15">
        <f>reliefs!H15</f>
        <v>0</v>
      </c>
      <c r="I101" s="15">
        <f>reliefs!I15</f>
        <v>0</v>
      </c>
    </row>
    <row r="102" spans="1:9" x14ac:dyDescent="0.35">
      <c r="B102" s="5" t="b">
        <f>D104+D107=2</f>
        <v>0</v>
      </c>
      <c r="C102" s="9" t="s">
        <v>356</v>
      </c>
    </row>
    <row r="103" spans="1:9" x14ac:dyDescent="0.35">
      <c r="C103" t="s">
        <v>387</v>
      </c>
      <c r="D103" s="5">
        <f t="shared" ref="D103:I103" ca="1" si="48">D66</f>
        <v>0</v>
      </c>
      <c r="E103" s="5">
        <f t="shared" ca="1" si="48"/>
        <v>0</v>
      </c>
      <c r="F103" s="5">
        <f t="shared" ca="1" si="48"/>
        <v>0</v>
      </c>
      <c r="G103" s="5">
        <f t="shared" ca="1" si="48"/>
        <v>0</v>
      </c>
      <c r="H103" s="5">
        <f t="shared" ca="1" si="48"/>
        <v>0</v>
      </c>
      <c r="I103" s="5">
        <f t="shared" ca="1" si="48"/>
        <v>0</v>
      </c>
    </row>
    <row r="104" spans="1:9" x14ac:dyDescent="0.35">
      <c r="C104" t="s">
        <v>386</v>
      </c>
      <c r="D104" s="5" t="b">
        <f t="shared" ref="D104:I104" si="49">D8</f>
        <v>0</v>
      </c>
      <c r="E104" s="5" t="b">
        <f t="shared" si="49"/>
        <v>0</v>
      </c>
      <c r="F104" s="5" t="b">
        <f t="shared" si="49"/>
        <v>0</v>
      </c>
      <c r="G104" s="5" t="b">
        <f t="shared" si="49"/>
        <v>0</v>
      </c>
      <c r="H104" s="5" t="b">
        <f t="shared" si="49"/>
        <v>0</v>
      </c>
      <c r="I104" s="5" t="b">
        <f t="shared" si="49"/>
        <v>0</v>
      </c>
    </row>
    <row r="105" spans="1:9" x14ac:dyDescent="0.35">
      <c r="C105" t="s">
        <v>388</v>
      </c>
      <c r="D105" s="5" t="b">
        <f t="shared" ref="D105:I105" si="50">D58</f>
        <v>0</v>
      </c>
      <c r="E105" s="5" t="b">
        <f t="shared" si="50"/>
        <v>0</v>
      </c>
      <c r="F105" s="5" t="b">
        <f t="shared" si="50"/>
        <v>0</v>
      </c>
      <c r="G105" s="5" t="b">
        <f t="shared" si="50"/>
        <v>0</v>
      </c>
      <c r="H105" s="5" t="b">
        <f t="shared" si="50"/>
        <v>0</v>
      </c>
      <c r="I105" s="5" t="b">
        <f t="shared" si="50"/>
        <v>0</v>
      </c>
    </row>
    <row r="106" spans="1:9" x14ac:dyDescent="0.35">
      <c r="C106" t="s">
        <v>382</v>
      </c>
      <c r="D106" s="5">
        <f t="shared" ref="D106:I106" ca="1" si="51">IF(D105=FALSE,D103*0.8*D104*D107,0)</f>
        <v>0</v>
      </c>
      <c r="E106" s="5">
        <f t="shared" ca="1" si="51"/>
        <v>0</v>
      </c>
      <c r="F106" s="5">
        <f t="shared" ca="1" si="51"/>
        <v>0</v>
      </c>
      <c r="G106" s="5">
        <f t="shared" ca="1" si="51"/>
        <v>0</v>
      </c>
      <c r="H106" s="5">
        <f t="shared" ca="1" si="51"/>
        <v>0</v>
      </c>
      <c r="I106" s="5">
        <f t="shared" ca="1" si="51"/>
        <v>0</v>
      </c>
    </row>
    <row r="107" spans="1:9" x14ac:dyDescent="0.35">
      <c r="A107" t="b">
        <f>D107+E107+F107+G107+H107+I107=6</f>
        <v>1</v>
      </c>
      <c r="C107" t="s">
        <v>409</v>
      </c>
      <c r="D107" s="5" t="b">
        <f t="shared" ref="D107:I107" si="52">IF(AND(D104=TRUE,OR(D7=TRUE,D54=TRUE))=FALSE,TRUE,FALSE)</f>
        <v>1</v>
      </c>
      <c r="E107" s="5" t="b">
        <f t="shared" si="52"/>
        <v>1</v>
      </c>
      <c r="F107" s="5" t="b">
        <f t="shared" si="52"/>
        <v>1</v>
      </c>
      <c r="G107" s="5" t="b">
        <f t="shared" si="52"/>
        <v>1</v>
      </c>
      <c r="H107" s="5" t="b">
        <f t="shared" si="52"/>
        <v>1</v>
      </c>
      <c r="I107" s="5" t="b">
        <f t="shared" si="52"/>
        <v>1</v>
      </c>
    </row>
    <row r="108" spans="1:9" x14ac:dyDescent="0.35">
      <c r="C108" t="s">
        <v>389</v>
      </c>
      <c r="D108" t="str">
        <f>text!T3</f>
        <v>Charitable Relief can't apply with SBRR, or on an Empty Property</v>
      </c>
    </row>
    <row r="110" spans="1:9" x14ac:dyDescent="0.35">
      <c r="C110" s="9" t="s">
        <v>410</v>
      </c>
    </row>
    <row r="111" spans="1:9" x14ac:dyDescent="0.35">
      <c r="C111" t="str">
        <f>C103</f>
        <v>calculated annual charge</v>
      </c>
      <c r="D111" s="5">
        <f t="shared" ref="D111:I111" ca="1" si="53">D66</f>
        <v>0</v>
      </c>
      <c r="E111" s="5">
        <f t="shared" ca="1" si="53"/>
        <v>0</v>
      </c>
      <c r="F111" s="5">
        <f t="shared" ca="1" si="53"/>
        <v>0</v>
      </c>
      <c r="G111" s="5">
        <f t="shared" ca="1" si="53"/>
        <v>0</v>
      </c>
      <c r="H111" s="5">
        <f t="shared" ca="1" si="53"/>
        <v>0</v>
      </c>
      <c r="I111" s="5">
        <f t="shared" ca="1" si="53"/>
        <v>0</v>
      </c>
    </row>
    <row r="112" spans="1:9" x14ac:dyDescent="0.35">
      <c r="C112" t="str">
        <f>C104</f>
        <v>ticked</v>
      </c>
      <c r="D112" s="5" t="b">
        <f t="shared" ref="D112:I112" si="54">D7</f>
        <v>0</v>
      </c>
      <c r="E112" s="5" t="b">
        <f t="shared" si="54"/>
        <v>0</v>
      </c>
      <c r="F112" s="5" t="b">
        <f t="shared" si="54"/>
        <v>0</v>
      </c>
      <c r="G112" s="5" t="b">
        <f t="shared" si="54"/>
        <v>0</v>
      </c>
      <c r="H112" s="5" t="b">
        <f t="shared" si="54"/>
        <v>0</v>
      </c>
      <c r="I112" s="5" t="b">
        <f t="shared" si="54"/>
        <v>0</v>
      </c>
    </row>
    <row r="113" spans="2:9" x14ac:dyDescent="0.35">
      <c r="B113" s="5">
        <v>3</v>
      </c>
      <c r="C113" t="s">
        <v>404</v>
      </c>
      <c r="D113" s="5">
        <f>VLOOKUP(D4,data!$A$43:$C$50,$B113,FALSE)</f>
        <v>2900</v>
      </c>
      <c r="E113" s="5">
        <f>VLOOKUP(E4,data!$A$43:$C$50,$B113,FALSE)</f>
        <v>2900</v>
      </c>
      <c r="F113" s="5">
        <f>VLOOKUP(F4,data!$A$43:$C$50,$B113,FALSE)</f>
        <v>2900</v>
      </c>
      <c r="G113" s="5">
        <f>VLOOKUP(G4,data!$A$43:$C$50,$B113,FALSE)</f>
        <v>2900</v>
      </c>
      <c r="H113" s="5">
        <f>VLOOKUP(H4,data!$A$43:$C$50,$B113,FALSE)</f>
        <v>2900</v>
      </c>
      <c r="I113" s="5">
        <f>VLOOKUP(I4,data!$A$43:$C$50,$B113,FALSE)</f>
        <v>2900</v>
      </c>
    </row>
    <row r="114" spans="2:9" x14ac:dyDescent="0.35">
      <c r="C114" t="s">
        <v>405</v>
      </c>
      <c r="D114" s="5" t="b">
        <f t="shared" ref="D114:I114" si="55">D5&lt;D113</f>
        <v>1</v>
      </c>
      <c r="E114" s="5" t="b">
        <f t="shared" si="55"/>
        <v>1</v>
      </c>
      <c r="F114" s="5" t="b">
        <f t="shared" si="55"/>
        <v>1</v>
      </c>
      <c r="G114" s="5" t="b">
        <f t="shared" si="55"/>
        <v>1</v>
      </c>
      <c r="H114" s="5" t="b">
        <f t="shared" si="55"/>
        <v>1</v>
      </c>
      <c r="I114" s="5" t="b">
        <f t="shared" si="55"/>
        <v>1</v>
      </c>
    </row>
    <row r="115" spans="2:9" x14ac:dyDescent="0.35">
      <c r="C115" t="s">
        <v>406</v>
      </c>
      <c r="D115" s="5">
        <f t="shared" ref="D115:I115" ca="1" si="56">D111*D112*D114</f>
        <v>0</v>
      </c>
      <c r="E115" s="5">
        <f t="shared" ca="1" si="56"/>
        <v>0</v>
      </c>
      <c r="F115" s="5">
        <f t="shared" ca="1" si="56"/>
        <v>0</v>
      </c>
      <c r="G115" s="5">
        <f t="shared" ca="1" si="56"/>
        <v>0</v>
      </c>
      <c r="H115" s="5">
        <f t="shared" ca="1" si="56"/>
        <v>0</v>
      </c>
      <c r="I115" s="5">
        <f t="shared" ca="1" si="56"/>
        <v>0</v>
      </c>
    </row>
    <row r="117" spans="2:9" x14ac:dyDescent="0.35">
      <c r="C117" t="s">
        <v>2402</v>
      </c>
      <c r="D117"/>
    </row>
    <row r="118" spans="2:9" x14ac:dyDescent="0.35">
      <c r="C118" t="s">
        <v>2400</v>
      </c>
      <c r="D118" s="14">
        <f t="shared" ref="D118:I118" ca="1" si="57">(D39+D43+D46+D50+D63)</f>
        <v>0</v>
      </c>
      <c r="E118" s="14">
        <f t="shared" ca="1" si="57"/>
        <v>0</v>
      </c>
      <c r="F118" s="14">
        <f t="shared" ca="1" si="57"/>
        <v>0</v>
      </c>
      <c r="G118" s="14">
        <f t="shared" si="57"/>
        <v>0</v>
      </c>
      <c r="H118" s="14">
        <f t="shared" si="57"/>
        <v>0</v>
      </c>
      <c r="I118" s="14">
        <f t="shared" si="57"/>
        <v>0</v>
      </c>
    </row>
    <row r="119" spans="2:9" x14ac:dyDescent="0.35">
      <c r="C119" t="s">
        <v>2401</v>
      </c>
      <c r="D119" s="5">
        <f t="shared" ref="D119:I119" ca="1" si="58">D66</f>
        <v>0</v>
      </c>
      <c r="E119" s="5">
        <f t="shared" ca="1" si="58"/>
        <v>0</v>
      </c>
      <c r="F119" s="5">
        <f t="shared" ca="1" si="58"/>
        <v>0</v>
      </c>
      <c r="G119" s="5">
        <f t="shared" ca="1" si="58"/>
        <v>0</v>
      </c>
      <c r="H119" s="5">
        <f t="shared" ca="1" si="58"/>
        <v>0</v>
      </c>
      <c r="I119" s="5">
        <f t="shared" ca="1" si="58"/>
        <v>0</v>
      </c>
    </row>
    <row r="120" spans="2:9" x14ac:dyDescent="0.35">
      <c r="C120" t="s">
        <v>2403</v>
      </c>
      <c r="D120" s="14">
        <f t="shared" ref="D120:I120" ca="1" si="59">D119-D118</f>
        <v>0</v>
      </c>
      <c r="E120" s="14">
        <f t="shared" ca="1" si="59"/>
        <v>0</v>
      </c>
      <c r="F120" s="14">
        <f t="shared" ca="1" si="59"/>
        <v>0</v>
      </c>
      <c r="G120" s="14">
        <f t="shared" ca="1" si="59"/>
        <v>0</v>
      </c>
      <c r="H120" s="14">
        <f t="shared" ca="1" si="59"/>
        <v>0</v>
      </c>
      <c r="I120" s="14">
        <f t="shared" ca="1" si="59"/>
        <v>0</v>
      </c>
    </row>
    <row r="122" spans="2:9" x14ac:dyDescent="0.35">
      <c r="C122" t="s">
        <v>2405</v>
      </c>
    </row>
    <row r="123" spans="2:9" x14ac:dyDescent="0.35">
      <c r="C123" t="s">
        <v>2406</v>
      </c>
      <c r="D123" s="5">
        <f t="shared" ref="D123:I123" si="60">(D28-D21)*D38</f>
        <v>0</v>
      </c>
      <c r="E123" s="5">
        <f t="shared" si="60"/>
        <v>0</v>
      </c>
      <c r="F123" s="5">
        <f t="shared" si="60"/>
        <v>0</v>
      </c>
      <c r="G123" s="5">
        <f t="shared" si="60"/>
        <v>0</v>
      </c>
      <c r="H123" s="5">
        <f t="shared" si="60"/>
        <v>0</v>
      </c>
      <c r="I123" s="5">
        <f t="shared" si="60"/>
        <v>0</v>
      </c>
    </row>
    <row r="125" spans="2:9" x14ac:dyDescent="0.35">
      <c r="C125" s="9" t="s">
        <v>457</v>
      </c>
    </row>
    <row r="126" spans="2:9" x14ac:dyDescent="0.35">
      <c r="C126" t="s">
        <v>421</v>
      </c>
      <c r="D126" s="5">
        <f t="shared" ref="D126:I126" ca="1" si="61">D96</f>
        <v>0</v>
      </c>
      <c r="E126" s="5">
        <f t="shared" ca="1" si="61"/>
        <v>0</v>
      </c>
      <c r="F126" s="5">
        <f t="shared" ca="1" si="61"/>
        <v>0</v>
      </c>
      <c r="G126" s="5">
        <f t="shared" ca="1" si="61"/>
        <v>0</v>
      </c>
      <c r="H126" s="5">
        <f t="shared" ca="1" si="61"/>
        <v>0</v>
      </c>
      <c r="I126" s="5">
        <f t="shared" ca="1" si="61"/>
        <v>0</v>
      </c>
    </row>
    <row r="127" spans="2:9" x14ac:dyDescent="0.35">
      <c r="C127" t="s">
        <v>458</v>
      </c>
      <c r="D127" s="5">
        <f t="shared" ref="D127:I127" ca="1" si="62">D126/D64*D65</f>
        <v>0</v>
      </c>
      <c r="E127" s="5">
        <f t="shared" ca="1" si="62"/>
        <v>0</v>
      </c>
      <c r="F127" s="5">
        <f t="shared" ca="1" si="62"/>
        <v>0</v>
      </c>
      <c r="G127" s="5">
        <f t="shared" ca="1" si="62"/>
        <v>0</v>
      </c>
      <c r="H127" s="5">
        <f t="shared" ca="1" si="62"/>
        <v>0</v>
      </c>
      <c r="I127" s="5">
        <f t="shared" ca="1" si="62"/>
        <v>0</v>
      </c>
    </row>
    <row r="128" spans="2:9" x14ac:dyDescent="0.35">
      <c r="C128" t="s">
        <v>456</v>
      </c>
      <c r="D128" s="15">
        <f>MIN(D101,D165)</f>
        <v>110000</v>
      </c>
      <c r="E128" s="15">
        <f ca="1">MIN(E101,E165)</f>
        <v>110000</v>
      </c>
      <c r="F128" s="15">
        <f ca="1">MIN(F101,F165)</f>
        <v>110000</v>
      </c>
      <c r="G128" s="15">
        <f>G101</f>
        <v>0</v>
      </c>
      <c r="H128" s="15">
        <f>H101</f>
        <v>0</v>
      </c>
      <c r="I128" s="15">
        <f>I101</f>
        <v>0</v>
      </c>
    </row>
    <row r="129" spans="1:9" x14ac:dyDescent="0.35">
      <c r="C129" t="s">
        <v>460</v>
      </c>
      <c r="D129" s="5" t="b">
        <f t="shared" ref="D129:I129" ca="1" si="63">D127&gt;D128</f>
        <v>0</v>
      </c>
      <c r="E129" s="5" t="b">
        <f t="shared" ca="1" si="63"/>
        <v>0</v>
      </c>
      <c r="F129" s="5" t="b">
        <f t="shared" ca="1" si="63"/>
        <v>0</v>
      </c>
      <c r="G129" s="5" t="b">
        <f t="shared" ca="1" si="63"/>
        <v>0</v>
      </c>
      <c r="H129" s="5" t="b">
        <f t="shared" ca="1" si="63"/>
        <v>0</v>
      </c>
      <c r="I129" s="5" t="b">
        <f t="shared" ca="1" si="63"/>
        <v>0</v>
      </c>
    </row>
    <row r="130" spans="1:9" x14ac:dyDescent="0.35">
      <c r="A130" t="s">
        <v>909</v>
      </c>
      <c r="B130" s="5" t="b">
        <f ca="1">SUM(D130:I130)&lt;0</f>
        <v>0</v>
      </c>
      <c r="C130" t="s">
        <v>459</v>
      </c>
      <c r="D130" s="15">
        <f t="shared" ref="D130:I130" ca="1" si="64">ROUND(IF(D129=TRUE,D128,D127),2)*-1</f>
        <v>0</v>
      </c>
      <c r="E130" s="15">
        <f t="shared" ca="1" si="64"/>
        <v>0</v>
      </c>
      <c r="F130" s="15">
        <f t="shared" ca="1" si="64"/>
        <v>0</v>
      </c>
      <c r="G130" s="15">
        <f t="shared" ca="1" si="64"/>
        <v>0</v>
      </c>
      <c r="H130" s="15">
        <f t="shared" ca="1" si="64"/>
        <v>0</v>
      </c>
      <c r="I130" s="15">
        <f t="shared" ca="1" si="64"/>
        <v>0</v>
      </c>
    </row>
    <row r="134" spans="1:9" x14ac:dyDescent="0.35">
      <c r="C134" s="9" t="s">
        <v>923</v>
      </c>
    </row>
    <row r="135" spans="1:9" x14ac:dyDescent="0.35">
      <c r="B135" s="5" t="s">
        <v>924</v>
      </c>
      <c r="C135" s="1199"/>
      <c r="D135" s="440"/>
      <c r="E135" s="440"/>
      <c r="F135" s="440"/>
      <c r="G135" s="440"/>
      <c r="H135" s="440"/>
      <c r="I135" s="440"/>
    </row>
    <row r="136" spans="1:9" x14ac:dyDescent="0.35">
      <c r="C136" t="s">
        <v>926</v>
      </c>
      <c r="D136" s="5">
        <f t="shared" ref="D136:I136" ca="1" si="65">(D159+D82-D155)/D64*D65</f>
        <v>0</v>
      </c>
      <c r="E136" s="5">
        <f t="shared" ca="1" si="65"/>
        <v>0</v>
      </c>
      <c r="F136" s="5">
        <f t="shared" ca="1" si="65"/>
        <v>0</v>
      </c>
      <c r="G136" s="5">
        <f t="shared" ca="1" si="65"/>
        <v>0</v>
      </c>
      <c r="H136" s="5">
        <f t="shared" ca="1" si="65"/>
        <v>0</v>
      </c>
      <c r="I136" s="5">
        <f t="shared" ca="1" si="65"/>
        <v>0</v>
      </c>
    </row>
    <row r="137" spans="1:9" x14ac:dyDescent="0.35">
      <c r="C137" t="s">
        <v>1691</v>
      </c>
      <c r="D137" s="5">
        <f t="shared" ref="D137:I137" si="66">D135</f>
        <v>0</v>
      </c>
      <c r="E137" s="5">
        <f t="shared" si="66"/>
        <v>0</v>
      </c>
      <c r="F137" s="5">
        <f t="shared" si="66"/>
        <v>0</v>
      </c>
      <c r="G137" s="5">
        <f t="shared" si="66"/>
        <v>0</v>
      </c>
      <c r="H137" s="5">
        <f t="shared" si="66"/>
        <v>0</v>
      </c>
      <c r="I137" s="5">
        <f t="shared" si="66"/>
        <v>0</v>
      </c>
    </row>
    <row r="138" spans="1:9" x14ac:dyDescent="0.35">
      <c r="C138" t="s">
        <v>1694</v>
      </c>
      <c r="D138" s="5">
        <f t="shared" ref="D138:I138" ca="1" si="67">IF(D137&gt;D136,D136,D137)*D139</f>
        <v>0</v>
      </c>
      <c r="E138" s="5">
        <f t="shared" ca="1" si="67"/>
        <v>0</v>
      </c>
      <c r="F138" s="5">
        <f t="shared" ca="1" si="67"/>
        <v>0</v>
      </c>
      <c r="G138" s="5">
        <f t="shared" ca="1" si="67"/>
        <v>0</v>
      </c>
      <c r="H138" s="5">
        <f t="shared" ca="1" si="67"/>
        <v>0</v>
      </c>
      <c r="I138" s="5">
        <f t="shared" ca="1" si="67"/>
        <v>0</v>
      </c>
    </row>
    <row r="139" spans="1:9" x14ac:dyDescent="0.35">
      <c r="C139" t="s">
        <v>1015</v>
      </c>
      <c r="D139" s="5" t="b">
        <f t="shared" ref="D139:I139" si="68">D76</f>
        <v>1</v>
      </c>
      <c r="E139" s="5" t="b">
        <f t="shared" si="68"/>
        <v>1</v>
      </c>
      <c r="F139" s="5" t="b">
        <f t="shared" si="68"/>
        <v>1</v>
      </c>
      <c r="G139" s="5" t="b">
        <f t="shared" si="68"/>
        <v>0</v>
      </c>
      <c r="H139" s="5" t="b">
        <f t="shared" si="68"/>
        <v>0</v>
      </c>
      <c r="I139" s="5" t="b">
        <f t="shared" si="68"/>
        <v>0</v>
      </c>
    </row>
    <row r="140" spans="1:9" x14ac:dyDescent="0.35">
      <c r="C140" t="s">
        <v>2542</v>
      </c>
      <c r="D140" s="5">
        <f ca="1">IF(D65&gt;0,D138/D65*D64,0)</f>
        <v>0</v>
      </c>
      <c r="E140" s="5">
        <f ca="1">IF(E65&gt;0,E138/E65*E64,0)</f>
        <v>0</v>
      </c>
      <c r="F140" s="5">
        <f ca="1">IF(F65&gt;0,F138/F65*F64,0)</f>
        <v>0</v>
      </c>
    </row>
    <row r="141" spans="1:9" x14ac:dyDescent="0.35">
      <c r="C141" s="9" t="s">
        <v>1703</v>
      </c>
    </row>
    <row r="142" spans="1:9" x14ac:dyDescent="0.35">
      <c r="C142" t="s">
        <v>1704</v>
      </c>
      <c r="D142" s="5">
        <v>600</v>
      </c>
      <c r="E142" s="5">
        <v>600</v>
      </c>
      <c r="F142" s="5">
        <v>600</v>
      </c>
    </row>
    <row r="143" spans="1:9" x14ac:dyDescent="0.35">
      <c r="C143" t="s">
        <v>1705</v>
      </c>
      <c r="D143" s="5">
        <f>D15</f>
        <v>0</v>
      </c>
    </row>
    <row r="144" spans="1:9" x14ac:dyDescent="0.35">
      <c r="C144" t="s">
        <v>1706</v>
      </c>
      <c r="D144" s="5">
        <f>D16</f>
        <v>0.499</v>
      </c>
    </row>
    <row r="145" spans="1:6" x14ac:dyDescent="0.35">
      <c r="C145" t="s">
        <v>1707</v>
      </c>
      <c r="D145" s="5">
        <f>IF(D143&lt;=12000,5000000,IF(D143&gt;15000,1,IF(MID((3000/(D143-12000)),6,1)="5",ROUND((3000/(D143-12000))-0.0001,3),ROUND(3000/(D143-12000),3))))</f>
        <v>5000000</v>
      </c>
    </row>
    <row r="146" spans="1:6" x14ac:dyDescent="0.35">
      <c r="C146" t="s">
        <v>1708</v>
      </c>
      <c r="D146" s="5">
        <f>D143*D144/D145</f>
        <v>0</v>
      </c>
      <c r="E146" s="5">
        <f>D148</f>
        <v>600</v>
      </c>
      <c r="F146" s="5">
        <f>E148</f>
        <v>1200</v>
      </c>
    </row>
    <row r="147" spans="1:6" x14ac:dyDescent="0.35">
      <c r="C147" t="s">
        <v>1709</v>
      </c>
      <c r="D147" s="15">
        <f ca="1">D159</f>
        <v>0</v>
      </c>
      <c r="E147" s="15">
        <f ca="1">E159</f>
        <v>0</v>
      </c>
      <c r="F147" s="15">
        <f ca="1">F159</f>
        <v>0</v>
      </c>
    </row>
    <row r="148" spans="1:6" x14ac:dyDescent="0.35">
      <c r="A148" s="503" t="str">
        <f>calc1!A148</f>
        <v>plist sb thresh</v>
      </c>
      <c r="C148" t="s">
        <v>1710</v>
      </c>
      <c r="D148" s="5">
        <f>D146+D142</f>
        <v>600</v>
      </c>
      <c r="E148" s="5">
        <f>E146+E142</f>
        <v>1200</v>
      </c>
      <c r="F148" s="5">
        <f>F146+F142</f>
        <v>1800</v>
      </c>
    </row>
    <row r="149" spans="1:6" x14ac:dyDescent="0.35">
      <c r="A149" s="503">
        <f>calc1!A149</f>
        <v>15000</v>
      </c>
      <c r="C149" s="1493" t="s">
        <v>1711</v>
      </c>
      <c r="D149" s="5" t="b">
        <f>D15&lt;=A149</f>
        <v>1</v>
      </c>
      <c r="E149" s="5" t="b">
        <f>D149</f>
        <v>1</v>
      </c>
      <c r="F149" s="5" t="b">
        <f>E149</f>
        <v>1</v>
      </c>
    </row>
    <row r="150" spans="1:6" x14ac:dyDescent="0.35">
      <c r="C150" s="1493" t="s">
        <v>1712</v>
      </c>
      <c r="D150" s="5" t="b">
        <f>basic!W25</f>
        <v>0</v>
      </c>
      <c r="E150" s="5" t="b">
        <f>D150</f>
        <v>0</v>
      </c>
      <c r="F150" s="5" t="b">
        <f>E150</f>
        <v>0</v>
      </c>
    </row>
    <row r="151" spans="1:6" x14ac:dyDescent="0.35">
      <c r="C151" s="1594" t="s">
        <v>1713</v>
      </c>
      <c r="D151" s="5" t="b">
        <f ca="1">D147&gt;D148</f>
        <v>0</v>
      </c>
      <c r="E151" s="5" t="b">
        <f ca="1">E147&gt;E148</f>
        <v>0</v>
      </c>
      <c r="F151" s="5" t="b">
        <f ca="1">F147&gt;F148</f>
        <v>0</v>
      </c>
    </row>
    <row r="152" spans="1:6" x14ac:dyDescent="0.35">
      <c r="C152" s="1594" t="s">
        <v>350</v>
      </c>
      <c r="D152" s="5" t="b">
        <f t="shared" ref="D152:F153" si="69">D7=FALSE</f>
        <v>1</v>
      </c>
      <c r="E152" s="5" t="b">
        <f t="shared" si="69"/>
        <v>1</v>
      </c>
      <c r="F152" s="5" t="b">
        <f t="shared" si="69"/>
        <v>1</v>
      </c>
    </row>
    <row r="153" spans="1:6" x14ac:dyDescent="0.35">
      <c r="A153" t="str">
        <f>calc1!A153</f>
        <v>ssbr in 22/23?</v>
      </c>
      <c r="C153" s="1594" t="s">
        <v>351</v>
      </c>
      <c r="D153" s="5" t="b">
        <f t="shared" si="69"/>
        <v>1</v>
      </c>
      <c r="E153" s="5" t="b">
        <f t="shared" si="69"/>
        <v>1</v>
      </c>
      <c r="F153" s="5" t="b">
        <f t="shared" si="69"/>
        <v>1</v>
      </c>
    </row>
    <row r="154" spans="1:6" x14ac:dyDescent="0.35">
      <c r="A154" t="b">
        <f>calc1!A154</f>
        <v>0</v>
      </c>
      <c r="B154" s="5">
        <f ca="1">D154+E154+F154</f>
        <v>0</v>
      </c>
      <c r="C154" t="s">
        <v>1714</v>
      </c>
      <c r="D154" s="5" t="b">
        <f ca="1">D149+D150+D151+D152+D153=5</f>
        <v>0</v>
      </c>
      <c r="E154" s="5" t="b">
        <f ca="1">IF(A154=TRUE,FALSE,IF(E149+E150+E151+E152+E153=5,TRUE,FALSE))</f>
        <v>0</v>
      </c>
      <c r="F154" s="5" t="b">
        <f ca="1">IF(A154=TRUE,FALSE,IF(F149+F150+F151+F152+F153=5,TRUE,FALSE))</f>
        <v>0</v>
      </c>
    </row>
    <row r="155" spans="1:6" x14ac:dyDescent="0.35">
      <c r="C155" s="1594" t="s">
        <v>726</v>
      </c>
      <c r="D155" s="5">
        <f ca="1">(D66-D148)*D154</f>
        <v>0</v>
      </c>
      <c r="E155" s="5">
        <f ca="1">(E66-E148)*E154</f>
        <v>0</v>
      </c>
      <c r="F155" s="5">
        <f ca="1">(F66-F148)*F154</f>
        <v>0</v>
      </c>
    </row>
    <row r="156" spans="1:6" x14ac:dyDescent="0.35">
      <c r="C156" t="str">
        <f>C127</f>
        <v>for days</v>
      </c>
      <c r="D156" s="5">
        <f ca="1">D155/D64*D65</f>
        <v>0</v>
      </c>
      <c r="E156" s="5">
        <f ca="1">E155/E64*E65</f>
        <v>0</v>
      </c>
      <c r="F156" s="5">
        <f ca="1">F155/F64*F65</f>
        <v>0</v>
      </c>
    </row>
    <row r="157" spans="1:6" x14ac:dyDescent="0.35">
      <c r="C157" t="s">
        <v>729</v>
      </c>
      <c r="D157" s="5">
        <f ca="1">D156*-1</f>
        <v>0</v>
      </c>
      <c r="E157" s="5">
        <f ca="1">E156*-1</f>
        <v>0</v>
      </c>
      <c r="F157" s="5">
        <f ca="1">F156*-1</f>
        <v>0</v>
      </c>
    </row>
    <row r="158" spans="1:6" x14ac:dyDescent="0.35">
      <c r="C158" t="s">
        <v>352</v>
      </c>
      <c r="D158" s="5" t="b">
        <f ca="1">D154=FALSE</f>
        <v>1</v>
      </c>
      <c r="E158" s="5" t="b">
        <f ca="1">E154=FALSE</f>
        <v>1</v>
      </c>
      <c r="F158" s="5" t="b">
        <f ca="1">F154=FALSE</f>
        <v>1</v>
      </c>
    </row>
    <row r="159" spans="1:6" x14ac:dyDescent="0.35">
      <c r="B159" s="5" t="s">
        <v>353</v>
      </c>
      <c r="C159" t="s">
        <v>377</v>
      </c>
      <c r="D159" s="5">
        <f ca="1">(D39+D161+D46+D50+D63)/D53*D68</f>
        <v>0</v>
      </c>
      <c r="E159" s="5">
        <f ca="1">(E39+E161+E46+E50+E63)/E53*E68</f>
        <v>0</v>
      </c>
      <c r="F159" s="5">
        <f ca="1">(F39+F161+F46+F50+F63)/F53*F68</f>
        <v>0</v>
      </c>
    </row>
    <row r="160" spans="1:6" x14ac:dyDescent="0.35">
      <c r="C160" t="s">
        <v>640</v>
      </c>
      <c r="D160" s="5" t="b">
        <f>IF(OR(D7=TRUE,D8=TRUE),TRUE,IF(D5&lt;D12,FALSE,TRUE))</f>
        <v>0</v>
      </c>
      <c r="E160" s="5" t="b">
        <f>IF(OR(E7=TRUE,E8=TRUE),TRUE,IF(E5&lt;E12,FALSE,TRUE))</f>
        <v>0</v>
      </c>
      <c r="F160" s="5" t="b">
        <f>IF(OR(F7=TRUE,F8=TRUE),TRUE,IF(F5&lt;F12,FALSE,TRUE))</f>
        <v>0</v>
      </c>
    </row>
    <row r="161" spans="1:6" x14ac:dyDescent="0.35">
      <c r="C161" t="s">
        <v>641</v>
      </c>
      <c r="D161" s="5">
        <f>D5*D41*D160</f>
        <v>0</v>
      </c>
      <c r="E161" s="5">
        <f>E5*E41*E160</f>
        <v>0</v>
      </c>
      <c r="F161" s="5">
        <f>F5*F41*F160</f>
        <v>0</v>
      </c>
    </row>
    <row r="164" spans="1:6" x14ac:dyDescent="0.35">
      <c r="C164" t="s">
        <v>456</v>
      </c>
      <c r="D164" s="15">
        <f>reliefs!D16</f>
        <v>315000</v>
      </c>
      <c r="E164" s="15">
        <f>reliefs!E16</f>
        <v>315000</v>
      </c>
      <c r="F164" s="15">
        <f>reliefs!F16</f>
        <v>315000</v>
      </c>
    </row>
    <row r="165" spans="1:6" x14ac:dyDescent="0.35">
      <c r="A165" s="723">
        <v>0</v>
      </c>
      <c r="B165" s="723">
        <f>IF(B168="y",B166,B167)*D170</f>
        <v>0</v>
      </c>
      <c r="C165" t="s">
        <v>2874</v>
      </c>
      <c r="D165" s="15">
        <f>D164-A165-B165</f>
        <v>315000</v>
      </c>
      <c r="E165" s="15">
        <f ca="1">E164-B165-(D130*-1)</f>
        <v>315000</v>
      </c>
      <c r="F165" s="15">
        <f ca="1">F164-(D130*-1)-(E130*-1)</f>
        <v>315000</v>
      </c>
    </row>
    <row r="166" spans="1:6" x14ac:dyDescent="0.35">
      <c r="A166" t="s">
        <v>2891</v>
      </c>
      <c r="B166" s="2368">
        <f>calc1!B166</f>
        <v>0</v>
      </c>
      <c r="C166" t="s">
        <v>2875</v>
      </c>
    </row>
    <row r="167" spans="1:6" x14ac:dyDescent="0.35">
      <c r="A167" t="s">
        <v>2890</v>
      </c>
      <c r="B167" s="723">
        <f>reliefs!D30</f>
        <v>0</v>
      </c>
      <c r="C167" t="s">
        <v>2876</v>
      </c>
    </row>
    <row r="168" spans="1:6" x14ac:dyDescent="0.35">
      <c r="A168" t="s">
        <v>2892</v>
      </c>
      <c r="B168" s="2368" t="str">
        <f>calc1!B168</f>
        <v>n</v>
      </c>
      <c r="C168" t="s">
        <v>2877</v>
      </c>
    </row>
    <row r="169" spans="1:6" x14ac:dyDescent="0.35">
      <c r="B169" s="5" t="s">
        <v>2924</v>
      </c>
      <c r="D169" s="5" t="str">
        <f ca="1">IF(D129=TRUE," (capped)","")</f>
        <v/>
      </c>
      <c r="E169" s="5" t="str">
        <f ca="1">IF(E129=TRUE," (capped)","")</f>
        <v/>
      </c>
      <c r="F169" s="5" t="str">
        <f ca="1">IF(F129=TRUE," (capped)","")</f>
        <v/>
      </c>
    </row>
    <row r="170" spans="1:6" x14ac:dyDescent="0.35">
      <c r="C170" t="s">
        <v>2878</v>
      </c>
      <c r="D170" s="5" t="b">
        <f>basic!R5</f>
        <v>0</v>
      </c>
    </row>
  </sheetData>
  <sheetProtection password="BCD8" sheet="1" objects="1" scenarios="1"/>
  <phoneticPr fontId="0"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C8B26-2651-4007-9928-9DEE9C3C21A2}">
  <sheetPr codeName="Sheet44">
    <pageSetUpPr fitToPage="1"/>
  </sheetPr>
  <dimension ref="A1:AS282"/>
  <sheetViews>
    <sheetView showGridLines="0" zoomScaleNormal="100" workbookViewId="0">
      <selection activeCell="I9" sqref="I9"/>
    </sheetView>
  </sheetViews>
  <sheetFormatPr defaultColWidth="9.08984375" defaultRowHeight="12.5" x14ac:dyDescent="0.25"/>
  <cols>
    <col min="1" max="1" width="3.36328125" style="783" customWidth="1"/>
    <col min="2" max="2" width="16.54296875" style="783" customWidth="1"/>
    <col min="3" max="3" width="2.36328125" style="783" customWidth="1"/>
    <col min="4" max="4" width="0.90625" style="783" customWidth="1"/>
    <col min="5" max="5" width="2.36328125" style="783" customWidth="1"/>
    <col min="6" max="6" width="9.54296875" style="783" customWidth="1"/>
    <col min="7" max="7" width="10.453125" style="783" customWidth="1"/>
    <col min="8" max="8" width="11.08984375" style="783" customWidth="1"/>
    <col min="9" max="9" width="13.54296875" style="783" customWidth="1"/>
    <col min="10" max="10" width="13" style="783" customWidth="1"/>
    <col min="11" max="11" width="7.90625" style="783" customWidth="1"/>
    <col min="12" max="12" width="3.453125" style="783" customWidth="1"/>
    <col min="13" max="13" width="13.08984375" style="783" customWidth="1"/>
    <col min="14" max="14" width="13" style="783" customWidth="1"/>
    <col min="15" max="15" width="12.36328125" style="783" customWidth="1"/>
    <col min="16" max="16" width="3.90625" style="783" customWidth="1"/>
    <col min="17" max="17" width="14.36328125" style="783" customWidth="1"/>
    <col min="18" max="18" width="2.54296875" style="783" customWidth="1"/>
    <col min="19" max="19" width="26.6328125" style="783" customWidth="1"/>
    <col min="20" max="20" width="10.08984375" style="784" hidden="1" customWidth="1"/>
    <col min="21" max="21" width="28.08984375" style="784" hidden="1" customWidth="1"/>
    <col min="22" max="22" width="10.08984375" style="784" hidden="1" customWidth="1"/>
    <col min="23" max="23" width="11.90625" style="784" hidden="1" customWidth="1"/>
    <col min="24" max="24" width="16.6328125" style="784" hidden="1" customWidth="1"/>
    <col min="25" max="25" width="12.36328125" style="784" hidden="1" customWidth="1"/>
    <col min="26" max="26" width="9.08984375" style="784" hidden="1" customWidth="1"/>
    <col min="27" max="27" width="10.08984375" style="784" hidden="1" customWidth="1"/>
    <col min="28" max="28" width="13.6328125" style="784" hidden="1" customWidth="1"/>
    <col min="29" max="29" width="11.453125" style="784" hidden="1" customWidth="1"/>
    <col min="30" max="30" width="13.6328125" style="784" hidden="1" customWidth="1"/>
    <col min="31" max="31" width="13" style="784" hidden="1" customWidth="1"/>
    <col min="32" max="32" width="13.6328125" style="784" hidden="1" customWidth="1"/>
    <col min="33" max="33" width="13.08984375" style="784" hidden="1" customWidth="1"/>
    <col min="34" max="34" width="12.90625" style="784" hidden="1" customWidth="1"/>
    <col min="35" max="39" width="9.08984375" style="784" hidden="1" customWidth="1"/>
    <col min="40" max="40" width="13" style="784" hidden="1" customWidth="1"/>
    <col min="41" max="41" width="13.08984375" style="784" hidden="1" customWidth="1"/>
    <col min="42" max="45" width="9.08984375" style="784" hidden="1" customWidth="1"/>
    <col min="46" max="16384" width="9.08984375" style="783"/>
  </cols>
  <sheetData>
    <row r="1" spans="2:41" ht="13" x14ac:dyDescent="0.3">
      <c r="G1" s="1047" t="s">
        <v>760</v>
      </c>
      <c r="V1" s="1050"/>
      <c r="W1" s="1050"/>
      <c r="AB1" s="785" t="s">
        <v>870</v>
      </c>
      <c r="AD1" s="786"/>
      <c r="AE1" s="784" t="s">
        <v>871</v>
      </c>
      <c r="AJ1" s="785"/>
      <c r="AN1" s="863">
        <f>COLUMN()</f>
        <v>40</v>
      </c>
      <c r="AO1" s="863">
        <f>COLUMN()</f>
        <v>41</v>
      </c>
    </row>
    <row r="2" spans="2:41" ht="36" customHeight="1" x14ac:dyDescent="0.25">
      <c r="J2" s="787" t="s">
        <v>872</v>
      </c>
      <c r="K2" s="788"/>
      <c r="L2" s="788"/>
      <c r="M2" s="789" t="s">
        <v>873</v>
      </c>
      <c r="N2" s="788"/>
      <c r="O2" s="790"/>
      <c r="U2" s="1051"/>
      <c r="V2" s="792"/>
      <c r="W2" s="792"/>
      <c r="X2" s="793" t="s">
        <v>874</v>
      </c>
      <c r="Y2" s="791"/>
      <c r="Z2" s="791"/>
      <c r="AA2" s="784" t="s">
        <v>875</v>
      </c>
      <c r="AB2" s="794" t="s">
        <v>876</v>
      </c>
    </row>
    <row r="3" spans="2:41" x14ac:dyDescent="0.25">
      <c r="E3" s="795"/>
      <c r="F3" s="796"/>
      <c r="G3" s="796"/>
      <c r="H3" s="796"/>
      <c r="I3" s="797"/>
      <c r="J3" s="796"/>
      <c r="K3" s="796"/>
      <c r="L3" s="796"/>
      <c r="M3" s="796"/>
      <c r="N3" s="796"/>
      <c r="O3" s="796"/>
      <c r="P3" s="798"/>
      <c r="U3" s="799" t="s">
        <v>877</v>
      </c>
      <c r="V3" s="800"/>
      <c r="W3" s="792"/>
      <c r="X3" s="793" t="s">
        <v>878</v>
      </c>
      <c r="Y3" s="791"/>
      <c r="Z3" s="791"/>
      <c r="AA3" s="786" t="b">
        <f ca="1">W103</f>
        <v>1</v>
      </c>
      <c r="AB3" s="801" t="b">
        <f ca="1">codes!F3</f>
        <v>1</v>
      </c>
      <c r="AG3" s="802" t="s">
        <v>879</v>
      </c>
      <c r="AH3" s="802" t="s">
        <v>880</v>
      </c>
      <c r="AI3" s="803"/>
      <c r="AJ3" s="799" t="s">
        <v>881</v>
      </c>
      <c r="AK3" s="799" t="s">
        <v>882</v>
      </c>
      <c r="AL3" s="802" t="s">
        <v>880</v>
      </c>
    </row>
    <row r="4" spans="2:41" ht="16" thickBot="1" x14ac:dyDescent="0.4">
      <c r="B4" s="804" t="s">
        <v>865</v>
      </c>
      <c r="C4" s="1046"/>
      <c r="E4" s="805"/>
      <c r="F4" s="806" t="str">
        <f>"This Section: Values as at "&amp;text!E52&amp;" - Original on Left, Revised on Right"</f>
        <v>This Section: Values as at 01/04/23 - Original on Left, Revised on Right</v>
      </c>
      <c r="G4" s="807"/>
      <c r="H4" s="807"/>
      <c r="I4" s="807"/>
      <c r="J4" s="807"/>
      <c r="K4" s="808"/>
      <c r="L4" s="784"/>
      <c r="M4" s="809" t="str">
        <f>IF(V4=TRUE,"Hypothetical","")</f>
        <v/>
      </c>
      <c r="N4" s="810" t="str">
        <f>IF(V3&gt;0,"Calculation No. "&amp;V3,"")</f>
        <v/>
      </c>
      <c r="O4" s="811"/>
      <c r="P4" s="812"/>
      <c r="U4" s="799" t="s">
        <v>883</v>
      </c>
      <c r="V4" s="792" t="b">
        <v>0</v>
      </c>
      <c r="W4" s="792"/>
      <c r="X4" s="793" t="s">
        <v>884</v>
      </c>
      <c r="Y4" s="791"/>
      <c r="Z4" s="791"/>
      <c r="AG4" s="802" t="s">
        <v>2868</v>
      </c>
      <c r="AH4" s="802" t="str">
        <f>IF(AJ4=TRUE,AG4,"")</f>
        <v/>
      </c>
      <c r="AI4" s="799" t="s">
        <v>2867</v>
      </c>
      <c r="AJ4" s="813" t="b">
        <v>0</v>
      </c>
      <c r="AK4" s="813" t="b">
        <v>0</v>
      </c>
      <c r="AL4" s="802" t="str">
        <f>IF(AK4=TRUE,AG4,"")</f>
        <v/>
      </c>
    </row>
    <row r="5" spans="2:41" ht="16.5" customHeight="1" x14ac:dyDescent="0.3">
      <c r="B5" s="814"/>
      <c r="D5" s="815"/>
      <c r="E5" s="805"/>
      <c r="F5" s="816" t="str">
        <f>IF(details!D12="Enter Address Details","Click Button Below to Enter Address",details!D12)</f>
        <v>Click Button Below to Enter Address</v>
      </c>
      <c r="G5" s="784"/>
      <c r="H5" s="784"/>
      <c r="I5" s="784"/>
      <c r="J5" s="784"/>
      <c r="K5" s="784"/>
      <c r="L5" s="784"/>
      <c r="M5" s="784"/>
      <c r="N5" s="784"/>
      <c r="O5" s="784"/>
      <c r="P5" s="812"/>
      <c r="R5" s="817"/>
      <c r="S5" s="818" t="s">
        <v>886</v>
      </c>
      <c r="V5" s="819" t="s">
        <v>887</v>
      </c>
      <c r="W5" s="819" t="s">
        <v>655</v>
      </c>
      <c r="X5" s="791"/>
      <c r="Y5" s="791"/>
      <c r="Z5" s="791"/>
      <c r="AG5" s="802" t="s">
        <v>888</v>
      </c>
      <c r="AH5" s="802" t="str">
        <f>IF(AJ5=TRUE,AG5,"")</f>
        <v/>
      </c>
      <c r="AI5" s="799" t="s">
        <v>889</v>
      </c>
      <c r="AJ5" s="813" t="b">
        <v>0</v>
      </c>
      <c r="AK5" s="813" t="b">
        <v>0</v>
      </c>
      <c r="AL5" s="802" t="str">
        <f>IF(AK5=TRUE,AG5,"")</f>
        <v/>
      </c>
    </row>
    <row r="6" spans="2:41" ht="19.5" customHeight="1" x14ac:dyDescent="0.35">
      <c r="B6" s="814"/>
      <c r="D6" s="815"/>
      <c r="E6" s="805"/>
      <c r="F6" s="784"/>
      <c r="G6" s="784"/>
      <c r="H6" s="784"/>
      <c r="I6" s="820" t="s">
        <v>1341</v>
      </c>
      <c r="J6" s="784"/>
      <c r="K6" s="784"/>
      <c r="L6" s="784"/>
      <c r="M6" s="821" t="s">
        <v>1342</v>
      </c>
      <c r="N6" s="784"/>
      <c r="O6" s="784"/>
      <c r="P6" s="812"/>
      <c r="R6" s="822"/>
      <c r="S6" s="823"/>
      <c r="U6" s="799" t="s">
        <v>890</v>
      </c>
      <c r="V6" s="824">
        <f>text!C52</f>
        <v>45017</v>
      </c>
      <c r="W6" s="803" t="str">
        <f>TEXT(V6,"dd/mm/yy")</f>
        <v>01/04/23</v>
      </c>
      <c r="AG6" s="802" t="s">
        <v>891</v>
      </c>
      <c r="AH6" s="802" t="str">
        <f>IF(AD92&gt;0,AG6,"")</f>
        <v/>
      </c>
      <c r="AI6" s="799" t="s">
        <v>892</v>
      </c>
      <c r="AJ6" s="813" t="b">
        <v>0</v>
      </c>
      <c r="AK6" s="813" t="b">
        <v>0</v>
      </c>
      <c r="AL6" s="802" t="str">
        <f>IF(AE92&gt;0,AG6,"")</f>
        <v/>
      </c>
    </row>
    <row r="7" spans="2:41" x14ac:dyDescent="0.25">
      <c r="B7" s="825"/>
      <c r="D7" s="815"/>
      <c r="E7" s="805"/>
      <c r="F7" s="784"/>
      <c r="G7" s="784"/>
      <c r="H7" s="784"/>
      <c r="I7" s="784"/>
      <c r="J7" s="784"/>
      <c r="K7" s="784"/>
      <c r="L7" s="784"/>
      <c r="M7" s="784"/>
      <c r="N7" s="784"/>
      <c r="O7" s="784"/>
      <c r="P7" s="812"/>
      <c r="R7" s="822"/>
      <c r="S7" s="823"/>
      <c r="U7" s="799" t="s">
        <v>893</v>
      </c>
      <c r="V7" s="824">
        <f>text!C53</f>
        <v>46112</v>
      </c>
      <c r="W7" s="803" t="str">
        <f>TEXT(V7,"dd/mm/yy")</f>
        <v>31/03/26</v>
      </c>
      <c r="AG7" s="802" t="s">
        <v>894</v>
      </c>
      <c r="AH7" s="802" t="str">
        <f>IF(V15=TRUE,AG7,"")</f>
        <v/>
      </c>
      <c r="AI7" s="799" t="s">
        <v>318</v>
      </c>
      <c r="AJ7" s="813" t="b">
        <v>0</v>
      </c>
      <c r="AK7" s="813" t="b">
        <v>0</v>
      </c>
      <c r="AL7" s="802" t="str">
        <f>IF(W15=TRUE,AG7,"")</f>
        <v/>
      </c>
    </row>
    <row r="8" spans="2:41" x14ac:dyDescent="0.25">
      <c r="D8" s="815"/>
      <c r="E8" s="805"/>
      <c r="F8" s="784" t="s">
        <v>830</v>
      </c>
      <c r="G8" s="784"/>
      <c r="H8" s="784"/>
      <c r="I8" s="826" t="str">
        <f>global!E8</f>
        <v>e</v>
      </c>
      <c r="J8" s="784"/>
      <c r="K8" s="784"/>
      <c r="L8" s="784"/>
      <c r="M8" s="826" t="str">
        <f>I8</f>
        <v>e</v>
      </c>
      <c r="N8" s="784"/>
      <c r="O8" s="784"/>
      <c r="P8" s="812"/>
      <c r="R8" s="822"/>
      <c r="S8" s="823"/>
      <c r="AG8" s="802" t="s">
        <v>928</v>
      </c>
      <c r="AH8" s="802" t="str">
        <f>IF(V16=TRUE,AG8,"")</f>
        <v/>
      </c>
      <c r="AI8" s="799" t="s">
        <v>379</v>
      </c>
      <c r="AJ8" s="813" t="b">
        <v>0</v>
      </c>
      <c r="AK8" s="813" t="b">
        <v>0</v>
      </c>
      <c r="AL8" s="802" t="str">
        <f>IF(W16=TRUE,AG8,"")</f>
        <v/>
      </c>
    </row>
    <row r="9" spans="2:41" ht="15.75" customHeight="1" x14ac:dyDescent="0.3">
      <c r="B9" s="828"/>
      <c r="C9" s="1048" t="str">
        <f>IF(I9="","START &gt;","")</f>
        <v>START &gt;</v>
      </c>
      <c r="D9" s="815"/>
      <c r="E9" s="805"/>
      <c r="F9" s="784" t="s">
        <v>497</v>
      </c>
      <c r="G9" s="784"/>
      <c r="H9" s="784"/>
      <c r="I9" s="829"/>
      <c r="J9" s="830" t="str">
        <f>IF($I$9="","&lt;","")</f>
        <v>&lt;</v>
      </c>
      <c r="K9" s="784"/>
      <c r="L9" s="831" t="str">
        <f>IF($M$9="","&gt;","")</f>
        <v/>
      </c>
      <c r="M9" s="829">
        <f>I9</f>
        <v>0</v>
      </c>
      <c r="N9" s="784"/>
      <c r="O9" s="784"/>
      <c r="P9" s="812"/>
      <c r="R9" s="822"/>
      <c r="S9" s="823"/>
      <c r="U9" s="819"/>
      <c r="V9" s="863"/>
      <c r="W9" s="863"/>
      <c r="AG9" s="802" t="s">
        <v>930</v>
      </c>
      <c r="AH9" s="802" t="str">
        <f ca="1">IF(Z13=TRUE,AG9,"")</f>
        <v/>
      </c>
      <c r="AI9" s="799" t="s">
        <v>931</v>
      </c>
      <c r="AJ9" s="813" t="b">
        <v>0</v>
      </c>
      <c r="AK9" s="813" t="b">
        <v>0</v>
      </c>
      <c r="AL9" s="802" t="str">
        <f ca="1">IF(AA13=TRUE,AG9,"")</f>
        <v/>
      </c>
    </row>
    <row r="10" spans="2:41" ht="13.5" thickBot="1" x14ac:dyDescent="0.3">
      <c r="D10" s="815"/>
      <c r="E10" s="805"/>
      <c r="F10" s="784" t="str">
        <f>"RV as at "&amp;text!E52&amp;" or a zero if none"</f>
        <v>RV as at 01/04/23 or a zero if none</v>
      </c>
      <c r="G10" s="784"/>
      <c r="H10" s="784"/>
      <c r="I10" s="829"/>
      <c r="J10" s="784"/>
      <c r="K10" s="784"/>
      <c r="L10" s="831" t="str">
        <f>IF($M$10="","&gt;","")</f>
        <v/>
      </c>
      <c r="M10" s="829">
        <f>I10</f>
        <v>0</v>
      </c>
      <c r="N10" s="834" t="str">
        <f>IF(V12=TRUE,"&lt;","")</f>
        <v/>
      </c>
      <c r="O10" s="784"/>
      <c r="P10" s="812"/>
      <c r="R10" s="835"/>
      <c r="S10" s="836"/>
      <c r="U10" s="819"/>
      <c r="AC10" s="791"/>
      <c r="AD10" s="791"/>
      <c r="AG10" s="819" t="s">
        <v>932</v>
      </c>
      <c r="AH10" s="784" t="b">
        <f ca="1">AD92+AJ4+AJ5+AJ6+V15+V16+Z13&gt;0</f>
        <v>0</v>
      </c>
      <c r="AI10" s="819" t="s">
        <v>933</v>
      </c>
      <c r="AJ10" s="784" t="b">
        <f>AND(AJ7=TRUE,OR(AJ5=TRUE,AJ9=TRUE))</f>
        <v>0</v>
      </c>
      <c r="AK10" s="784" t="b">
        <f>AND(AK7=TRUE,OR(AK5=TRUE,AK9=TRUE))</f>
        <v>0</v>
      </c>
      <c r="AL10" s="784" t="b">
        <f ca="1">AE92+AK4+AK5+AK6+W15+W16+AA13&gt;0</f>
        <v>0</v>
      </c>
      <c r="AN10" s="799" t="s">
        <v>2906</v>
      </c>
      <c r="AO10" s="799" t="s">
        <v>2907</v>
      </c>
    </row>
    <row r="11" spans="2:41" ht="13" x14ac:dyDescent="0.3">
      <c r="D11" s="815"/>
      <c r="E11" s="805"/>
      <c r="F11" s="837" t="str">
        <f>"% Payable from "&amp;text!E52</f>
        <v>% Payable from 01/04/23</v>
      </c>
      <c r="G11" s="838"/>
      <c r="H11" s="784"/>
      <c r="I11" s="839">
        <v>1</v>
      </c>
      <c r="J11" s="784"/>
      <c r="K11" s="784"/>
      <c r="L11" s="784"/>
      <c r="M11" s="839">
        <f>I11</f>
        <v>1</v>
      </c>
      <c r="N11" s="784"/>
      <c r="O11" s="784"/>
      <c r="P11" s="812"/>
      <c r="R11" s="822"/>
      <c r="S11" s="840" t="s">
        <v>934</v>
      </c>
      <c r="U11" s="819"/>
      <c r="AC11" s="791"/>
      <c r="AD11" s="791"/>
      <c r="AG11" s="819" t="s">
        <v>2948</v>
      </c>
      <c r="AJ11" s="792" t="b">
        <v>0</v>
      </c>
      <c r="AK11" s="792" t="b">
        <v>0</v>
      </c>
      <c r="AM11" s="819" t="s">
        <v>2911</v>
      </c>
      <c r="AN11" s="2377" t="b">
        <f>AND(workings1!BA2=TRUE,AJ8=TRUE)</f>
        <v>0</v>
      </c>
      <c r="AO11" s="2378" t="b">
        <f>AND(workings2!BA2=TRUE,AK8=TRUE)</f>
        <v>0</v>
      </c>
    </row>
    <row r="12" spans="2:41" x14ac:dyDescent="0.25">
      <c r="D12" s="815"/>
      <c r="E12" s="805"/>
      <c r="F12" s="819" t="str">
        <f>"is this vacant as at "&amp;text!E52</f>
        <v>is this vacant as at 01/04/23</v>
      </c>
      <c r="G12" s="841"/>
      <c r="H12" s="784"/>
      <c r="I12" s="862" t="s">
        <v>426</v>
      </c>
      <c r="J12" s="784"/>
      <c r="K12" s="784"/>
      <c r="L12" s="784"/>
      <c r="M12" s="842" t="str">
        <f>I12</f>
        <v>n</v>
      </c>
      <c r="N12" s="784"/>
      <c r="O12" s="784"/>
      <c r="P12" s="812"/>
      <c r="R12" s="822"/>
      <c r="S12" s="823"/>
      <c r="U12" s="819"/>
      <c r="Y12" s="843"/>
      <c r="Z12" s="843" t="s">
        <v>881</v>
      </c>
      <c r="AA12" s="843" t="s">
        <v>929</v>
      </c>
      <c r="AB12" s="843"/>
      <c r="AJ12" s="784">
        <f>COLUMN()</f>
        <v>36</v>
      </c>
      <c r="AM12" s="819" t="s">
        <v>2908</v>
      </c>
      <c r="AN12" s="2376"/>
      <c r="AO12" s="2376"/>
    </row>
    <row r="13" spans="2:41" ht="14.5" x14ac:dyDescent="0.35">
      <c r="D13" s="815"/>
      <c r="E13" s="805"/>
      <c r="F13" s="819" t="s">
        <v>1340</v>
      </c>
      <c r="G13" s="784"/>
      <c r="H13" s="2402"/>
      <c r="I13" s="844">
        <f>nncalc1!D19</f>
        <v>0</v>
      </c>
      <c r="J13" s="784"/>
      <c r="K13" s="784"/>
      <c r="L13" s="784"/>
      <c r="M13" s="844">
        <f>nncalc2!D19</f>
        <v>0</v>
      </c>
      <c r="N13" s="1054"/>
      <c r="O13" s="2400"/>
      <c r="P13" s="812"/>
      <c r="R13" s="822"/>
      <c r="S13" s="823"/>
      <c r="U13" s="799" t="s">
        <v>1070</v>
      </c>
      <c r="V13" s="792" t="b">
        <v>0</v>
      </c>
      <c r="W13" s="792" t="b">
        <v>0</v>
      </c>
      <c r="Y13" s="843" t="s">
        <v>935</v>
      </c>
      <c r="Z13" s="843" t="b">
        <f ca="1">W112&gt;0</f>
        <v>0</v>
      </c>
      <c r="AA13" s="843" t="b">
        <f ca="1">W120&gt;0</f>
        <v>0</v>
      </c>
      <c r="AB13" s="843" t="str">
        <f>Y13</f>
        <v>sbrr?</v>
      </c>
      <c r="AM13" s="819" t="s">
        <v>2909</v>
      </c>
      <c r="AN13" s="2379" t="s">
        <v>426</v>
      </c>
      <c r="AO13" s="2379" t="s">
        <v>426</v>
      </c>
    </row>
    <row r="14" spans="2:41" ht="16.5" customHeight="1" x14ac:dyDescent="0.3">
      <c r="D14" s="815"/>
      <c r="E14" s="805"/>
      <c r="F14" s="2382" t="str">
        <f>IF(AN11=TRUE,"! RHL may exceed 3 year cap.","")</f>
        <v/>
      </c>
      <c r="G14" s="784"/>
      <c r="H14" s="2401"/>
      <c r="I14" s="874" t="str">
        <f>IF(AN11=TRUE,"RHL 2022/23","")</f>
        <v/>
      </c>
      <c r="J14" s="834"/>
      <c r="K14" s="834"/>
      <c r="L14" s="834"/>
      <c r="M14" s="874" t="str">
        <f>IF(AO11=TRUE,"RHL 2022/23","")</f>
        <v/>
      </c>
      <c r="N14" s="2383" t="str">
        <f>IF(AO11=TRUE,"RHL may exceed 3 year cap","")</f>
        <v/>
      </c>
      <c r="O14" s="784"/>
      <c r="P14" s="812"/>
      <c r="R14" s="822"/>
      <c r="S14" s="823"/>
      <c r="U14" s="791"/>
      <c r="V14" s="826" t="s">
        <v>881</v>
      </c>
      <c r="W14" s="826" t="s">
        <v>929</v>
      </c>
      <c r="Y14" s="843" t="s">
        <v>936</v>
      </c>
      <c r="Z14" s="845" t="b">
        <f ca="1">OR((Z13+V15)=2,(Z15+V15)=2)</f>
        <v>0</v>
      </c>
      <c r="AA14" s="845" t="b">
        <f ca="1">OR((AA13+W15)=2,(AA15+W15)=2)</f>
        <v>0</v>
      </c>
      <c r="AB14" s="843" t="s">
        <v>937</v>
      </c>
      <c r="AM14" s="819" t="s">
        <v>2915</v>
      </c>
      <c r="AN14" s="2327">
        <v>500000</v>
      </c>
      <c r="AO14" s="2327">
        <v>900000</v>
      </c>
    </row>
    <row r="15" spans="2:41" ht="23.25" customHeight="1" x14ac:dyDescent="0.25">
      <c r="D15" s="815"/>
      <c r="E15" s="805"/>
      <c r="F15" s="2384" t="str">
        <f>IF(AN11=FALSE,"",IF(AN13="y","RHL 2022 You entered £"&amp;TEXT(AN12,"#,###.00"),"RHL given in 2022/23  &gt;"))</f>
        <v/>
      </c>
      <c r="G15" s="784"/>
      <c r="H15" s="784"/>
      <c r="I15" s="2385" t="str">
        <f>IF(AN11=TRUE,AN15,"")</f>
        <v/>
      </c>
      <c r="J15" s="1058"/>
      <c r="K15" s="1058"/>
      <c r="L15" s="1058"/>
      <c r="M15" s="2385" t="str">
        <f>IF(AO11=TRUE,AO15,"")</f>
        <v/>
      </c>
      <c r="N15" s="2384" t="str">
        <f>IF(AO11=FALSE,"",IF(AO13="y","&lt; You entered £"&amp;TEXT(AO12,"#,###.00"),"&lt;  RHL given in 2022/23"))</f>
        <v/>
      </c>
      <c r="O15" s="784"/>
      <c r="P15" s="812"/>
      <c r="R15" s="822"/>
      <c r="S15" s="823"/>
      <c r="U15" s="799" t="s">
        <v>938</v>
      </c>
      <c r="V15" s="846" t="b">
        <f>AJ7</f>
        <v>0</v>
      </c>
      <c r="W15" s="846" t="b">
        <f>AK7</f>
        <v>0</v>
      </c>
      <c r="Y15" s="2440" t="s">
        <v>3034</v>
      </c>
      <c r="Z15" s="843" t="b">
        <f>AJ5</f>
        <v>0</v>
      </c>
      <c r="AA15" s="843" t="b">
        <f>AK5</f>
        <v>0</v>
      </c>
      <c r="AB15" s="843" t="str">
        <f>Y15</f>
        <v xml:space="preserve">s s b r </v>
      </c>
      <c r="AM15" s="819" t="s">
        <v>2910</v>
      </c>
      <c r="AN15" s="889">
        <f>workings1!BA3</f>
        <v>0</v>
      </c>
      <c r="AO15" s="889">
        <f>workings2!BA3</f>
        <v>0</v>
      </c>
    </row>
    <row r="16" spans="2:41" ht="13.5" thickBot="1" x14ac:dyDescent="0.35">
      <c r="D16" s="815"/>
      <c r="E16" s="847"/>
      <c r="F16" s="848"/>
      <c r="G16" s="848"/>
      <c r="H16" s="848"/>
      <c r="I16" s="848"/>
      <c r="J16" s="849" t="str">
        <f ca="1">IF(AH10=TRUE,"Reliefs: "&amp;AD16,"")</f>
        <v/>
      </c>
      <c r="K16" s="848"/>
      <c r="L16" s="850" t="str">
        <f ca="1">IF(AL10=TRUE,"Reliefs: "&amp;AE16,"")</f>
        <v/>
      </c>
      <c r="M16" s="848"/>
      <c r="N16" s="848"/>
      <c r="O16" s="848"/>
      <c r="P16" s="851"/>
      <c r="R16" s="852"/>
      <c r="S16" s="853"/>
      <c r="U16" s="799" t="s">
        <v>939</v>
      </c>
      <c r="V16" s="846" t="b">
        <f>AJ8</f>
        <v>0</v>
      </c>
      <c r="W16" s="846" t="b">
        <f>AK8</f>
        <v>0</v>
      </c>
      <c r="AD16" s="854" t="str">
        <f ca="1">AH4&amp;AH5&amp;AH6&amp;AH7&amp;AH8&amp;AH9</f>
        <v/>
      </c>
      <c r="AE16" s="855" t="str">
        <f ca="1">AL4&amp;AL5&amp;AL6&amp;AL7&amp;AL8&amp;AL9</f>
        <v/>
      </c>
      <c r="AN16" s="2378" t="str">
        <f>IF(AN11=TRUE,"&lt; RHL help","")</f>
        <v/>
      </c>
      <c r="AO16" s="2378" t="str">
        <f>IF(AO11=TRUE,"RHL help &gt;","")</f>
        <v/>
      </c>
    </row>
    <row r="17" spans="2:27" ht="5.15" customHeight="1" x14ac:dyDescent="0.25">
      <c r="D17" s="815"/>
      <c r="E17" s="815"/>
      <c r="F17" s="815"/>
      <c r="G17" s="815"/>
      <c r="H17" s="815"/>
      <c r="I17" s="856"/>
      <c r="J17" s="856"/>
      <c r="K17" s="856"/>
      <c r="L17" s="856"/>
      <c r="M17" s="856"/>
      <c r="N17" s="815"/>
      <c r="O17" s="815"/>
    </row>
    <row r="18" spans="2:27" ht="5.25" hidden="1" customHeight="1" x14ac:dyDescent="0.25"/>
    <row r="19" spans="2:27" ht="13" hidden="1" x14ac:dyDescent="0.3">
      <c r="E19" s="795"/>
      <c r="F19" s="857"/>
      <c r="G19" s="796"/>
      <c r="H19" s="796"/>
      <c r="I19" s="796"/>
      <c r="J19" s="796"/>
      <c r="K19" s="796"/>
      <c r="L19" s="796"/>
      <c r="M19" s="796"/>
      <c r="N19" s="796"/>
      <c r="O19" s="796"/>
      <c r="P19" s="798"/>
      <c r="U19" s="799" t="s">
        <v>1039</v>
      </c>
      <c r="V19" s="858"/>
    </row>
    <row r="20" spans="2:27" ht="13" hidden="1" x14ac:dyDescent="0.3">
      <c r="D20" s="815"/>
      <c r="E20" s="805"/>
      <c r="F20" s="806" t="s">
        <v>940</v>
      </c>
      <c r="G20" s="807"/>
      <c r="H20" s="808"/>
      <c r="I20" s="808"/>
      <c r="J20" s="784"/>
      <c r="K20" s="784"/>
      <c r="L20" s="784"/>
      <c r="M20" s="784"/>
      <c r="N20" s="784"/>
      <c r="O20" s="784"/>
      <c r="P20" s="812"/>
      <c r="U20" s="1053" t="s">
        <v>922</v>
      </c>
    </row>
    <row r="21" spans="2:27" ht="18" hidden="1" customHeight="1" x14ac:dyDescent="0.3">
      <c r="D21" s="815"/>
      <c r="E21" s="805"/>
      <c r="F21" s="859"/>
      <c r="G21" s="784"/>
      <c r="H21" s="784"/>
      <c r="I21" s="860" t="s">
        <v>1341</v>
      </c>
      <c r="J21" s="784"/>
      <c r="K21" s="784"/>
      <c r="L21" s="784"/>
      <c r="M21" s="861" t="s">
        <v>1342</v>
      </c>
      <c r="N21" s="784"/>
      <c r="O21" s="784"/>
      <c r="P21" s="812"/>
    </row>
    <row r="22" spans="2:27" hidden="1" x14ac:dyDescent="0.25">
      <c r="D22" s="815"/>
      <c r="E22" s="805"/>
      <c r="F22" s="784" t="str">
        <f>"sbrr "&amp;text!D9&amp;" y/n"</f>
        <v>sbrr 2023/24 y/n</v>
      </c>
      <c r="G22" s="784"/>
      <c r="H22" s="784"/>
      <c r="I22" s="862" t="s">
        <v>426</v>
      </c>
      <c r="J22" s="784"/>
      <c r="K22" s="863"/>
      <c r="L22" s="863"/>
      <c r="M22" s="842" t="str">
        <f>I22</f>
        <v>n</v>
      </c>
      <c r="N22" s="784"/>
      <c r="O22" s="784"/>
      <c r="P22" s="812"/>
      <c r="U22" s="803" t="s">
        <v>941</v>
      </c>
      <c r="V22" s="792">
        <v>0</v>
      </c>
      <c r="Y22" s="819"/>
      <c r="Z22" s="819"/>
      <c r="AA22" s="819"/>
    </row>
    <row r="23" spans="2:27" hidden="1" x14ac:dyDescent="0.25">
      <c r="D23" s="815"/>
      <c r="E23" s="805"/>
      <c r="F23" s="784" t="str">
        <f>"sbrr "&amp;text!D10&amp;" y/n"</f>
        <v>sbrr 2024/25 y/n</v>
      </c>
      <c r="G23" s="784"/>
      <c r="H23" s="784"/>
      <c r="I23" s="862" t="str">
        <f>I22</f>
        <v>n</v>
      </c>
      <c r="J23" s="784"/>
      <c r="K23" s="863"/>
      <c r="L23" s="863"/>
      <c r="M23" s="862" t="str">
        <f>I23</f>
        <v>n</v>
      </c>
      <c r="N23" s="784"/>
      <c r="O23" s="784"/>
      <c r="P23" s="812"/>
      <c r="U23" s="803" t="s">
        <v>942</v>
      </c>
      <c r="V23" s="803" t="b">
        <f>OR(I22="y",M22="y",I23="y",M23="y",I24="y",M24="y")</f>
        <v>0</v>
      </c>
      <c r="Y23" s="819"/>
      <c r="Z23" s="1050"/>
      <c r="AA23" s="1050"/>
    </row>
    <row r="24" spans="2:27" hidden="1" x14ac:dyDescent="0.25">
      <c r="D24" s="815"/>
      <c r="E24" s="805"/>
      <c r="F24" s="784" t="str">
        <f>"sbrr "&amp;text!D11&amp;" y/n"</f>
        <v>sbrr 2025/26 y/n</v>
      </c>
      <c r="G24" s="784"/>
      <c r="H24" s="784"/>
      <c r="I24" s="842" t="str">
        <f>I23</f>
        <v>n</v>
      </c>
      <c r="J24" s="784"/>
      <c r="K24" s="863"/>
      <c r="L24" s="863"/>
      <c r="M24" s="842" t="str">
        <f>I24</f>
        <v>n</v>
      </c>
      <c r="N24" s="784"/>
      <c r="O24" s="784"/>
      <c r="P24" s="812"/>
      <c r="U24" s="803" t="s">
        <v>943</v>
      </c>
      <c r="V24" s="803" t="b">
        <f>AND(I22="n",I23="n",M22="n",M23="n",I24="n",M24="n")</f>
        <v>1</v>
      </c>
    </row>
    <row r="25" spans="2:27" hidden="1" x14ac:dyDescent="0.25">
      <c r="D25" s="815"/>
      <c r="E25" s="805"/>
      <c r="F25" s="784"/>
      <c r="G25" s="784"/>
      <c r="H25" s="784"/>
      <c r="I25" s="1297"/>
      <c r="J25" s="784"/>
      <c r="K25" s="863"/>
      <c r="L25" s="863"/>
      <c r="M25" s="1298"/>
      <c r="N25" s="784"/>
      <c r="O25" s="784"/>
      <c r="P25" s="812"/>
    </row>
    <row r="26" spans="2:27" hidden="1" x14ac:dyDescent="0.25">
      <c r="D26" s="815"/>
      <c r="E26" s="805"/>
      <c r="F26" s="784"/>
      <c r="G26" s="784"/>
      <c r="H26" s="784"/>
      <c r="I26" s="864"/>
      <c r="J26" s="784"/>
      <c r="K26" s="863"/>
      <c r="L26" s="863"/>
      <c r="M26" s="864"/>
      <c r="N26" s="784"/>
      <c r="O26" s="784"/>
      <c r="P26" s="812"/>
      <c r="V26" s="791"/>
      <c r="W26" s="791"/>
    </row>
    <row r="27" spans="2:27" hidden="1" x14ac:dyDescent="0.25">
      <c r="D27" s="815"/>
      <c r="E27" s="847"/>
      <c r="F27" s="848"/>
      <c r="G27" s="848"/>
      <c r="H27" s="848"/>
      <c r="I27" s="865"/>
      <c r="J27" s="848"/>
      <c r="K27" s="865"/>
      <c r="L27" s="865"/>
      <c r="M27" s="848"/>
      <c r="N27" s="865"/>
      <c r="O27" s="848"/>
      <c r="P27" s="851"/>
      <c r="V27" s="791"/>
      <c r="W27" s="791"/>
    </row>
    <row r="28" spans="2:27" ht="4.5" hidden="1" customHeight="1" x14ac:dyDescent="0.25">
      <c r="D28" s="815"/>
      <c r="E28" s="815"/>
      <c r="F28" s="815"/>
      <c r="G28" s="815"/>
      <c r="H28" s="815"/>
      <c r="I28" s="866"/>
      <c r="J28" s="815"/>
      <c r="K28" s="866"/>
      <c r="L28" s="866"/>
      <c r="M28" s="815"/>
      <c r="N28" s="866"/>
      <c r="O28" s="815"/>
      <c r="V28" s="791"/>
      <c r="W28" s="791"/>
    </row>
    <row r="29" spans="2:27" ht="6" customHeight="1" x14ac:dyDescent="0.25">
      <c r="V29" s="791"/>
      <c r="W29" s="791"/>
    </row>
    <row r="30" spans="2:27" ht="15" hidden="1" customHeight="1" x14ac:dyDescent="0.25">
      <c r="E30" s="795"/>
      <c r="F30" s="796"/>
      <c r="G30" s="796"/>
      <c r="H30" s="796"/>
      <c r="I30" s="796"/>
      <c r="J30" s="796"/>
      <c r="K30" s="796"/>
      <c r="L30" s="796"/>
      <c r="M30" s="796"/>
      <c r="N30" s="796"/>
      <c r="O30" s="796"/>
      <c r="P30" s="798"/>
      <c r="U30" s="799" t="s">
        <v>944</v>
      </c>
      <c r="V30" s="819" t="s">
        <v>655</v>
      </c>
      <c r="W30" s="799" t="s">
        <v>945</v>
      </c>
      <c r="X30" s="799" t="s">
        <v>946</v>
      </c>
      <c r="Y30" s="867"/>
    </row>
    <row r="31" spans="2:27" ht="23.25" hidden="1" customHeight="1" x14ac:dyDescent="0.3">
      <c r="B31" s="1056"/>
      <c r="D31" s="815"/>
      <c r="E31" s="805"/>
      <c r="F31" s="806" t="s">
        <v>947</v>
      </c>
      <c r="G31" s="807"/>
      <c r="H31" s="807"/>
      <c r="I31" s="807"/>
      <c r="J31" s="808"/>
      <c r="K31" s="784"/>
      <c r="L31" s="784"/>
      <c r="M31" s="784"/>
      <c r="N31" s="784"/>
      <c r="O31" s="784"/>
      <c r="P31" s="812"/>
      <c r="U31" s="792" t="s">
        <v>922</v>
      </c>
      <c r="V31" s="784" t="str">
        <f>IF(U31="open",W31,X31)</f>
        <v>Open the Transitional Certificates Input Panel</v>
      </c>
      <c r="W31" s="799" t="s">
        <v>948</v>
      </c>
      <c r="X31" s="868" t="s">
        <v>949</v>
      </c>
    </row>
    <row r="32" spans="2:27" hidden="1" x14ac:dyDescent="0.25">
      <c r="D32" s="815"/>
      <c r="E32" s="805"/>
      <c r="F32" s="791"/>
      <c r="G32" s="791"/>
      <c r="H32" s="791"/>
      <c r="I32" s="791"/>
      <c r="J32" s="791"/>
      <c r="K32" s="784"/>
      <c r="L32" s="784"/>
      <c r="M32" s="784"/>
      <c r="N32" s="784"/>
      <c r="O32" s="784"/>
      <c r="P32" s="812"/>
      <c r="U32" s="869" t="s">
        <v>950</v>
      </c>
      <c r="V32" s="833"/>
      <c r="W32" s="869" t="s">
        <v>951</v>
      </c>
      <c r="X32" s="833"/>
    </row>
    <row r="33" spans="4:29" ht="14.25" hidden="1" customHeight="1" x14ac:dyDescent="0.3">
      <c r="D33" s="815"/>
      <c r="E33" s="805"/>
      <c r="F33" s="870" t="str">
        <f>"Certified Value at "&amp;text!E52&amp;" can be either "&amp;V35&amp;" (usually 'Date of Schedule Increase') or "&amp;U35&amp;" (MCC on "&amp;text!E52&amp;")"</f>
        <v>Certified Value at 01/04/23 can be either Reg 18 (usually 'Date of Schedule Increase') or Reg 16 (MCC on 01/04/23)</v>
      </c>
      <c r="G33" s="871"/>
      <c r="H33" s="871"/>
      <c r="I33" s="871"/>
      <c r="J33" s="871"/>
      <c r="K33" s="871"/>
      <c r="L33" s="871"/>
      <c r="M33" s="871"/>
      <c r="N33" s="871"/>
      <c r="O33" s="872"/>
      <c r="P33" s="812"/>
      <c r="U33" s="803" t="str">
        <f>U34&amp;" (Click to Change)"</f>
        <v>Reg 18 (Click to Change)</v>
      </c>
      <c r="V33" s="827" t="str">
        <f>W34&amp;" (Click to Change)"</f>
        <v>Reg 18 (Click to Change)</v>
      </c>
      <c r="W33" s="833"/>
      <c r="X33" s="873" t="s">
        <v>952</v>
      </c>
    </row>
    <row r="34" spans="4:29" ht="9.75" hidden="1" customHeight="1" x14ac:dyDescent="0.3">
      <c r="D34" s="815"/>
      <c r="E34" s="805"/>
      <c r="F34" s="784"/>
      <c r="G34" s="784"/>
      <c r="H34" s="784"/>
      <c r="I34" s="874"/>
      <c r="J34" s="784"/>
      <c r="K34" s="784"/>
      <c r="L34" s="784"/>
      <c r="M34" s="874"/>
      <c r="N34" s="784"/>
      <c r="O34" s="784"/>
      <c r="P34" s="812"/>
      <c r="U34" s="784" t="str">
        <f>IF(V37=TRUE,V35,U35)</f>
        <v>Reg 18</v>
      </c>
      <c r="W34" s="784" t="str">
        <f>IF(X37=TRUE,X35,W35)</f>
        <v>Reg 18</v>
      </c>
      <c r="X34" s="875" t="s">
        <v>953</v>
      </c>
      <c r="Y34" s="808"/>
    </row>
    <row r="35" spans="4:29" ht="14.25" hidden="1" customHeight="1" x14ac:dyDescent="0.3">
      <c r="D35" s="815"/>
      <c r="E35" s="805"/>
      <c r="F35" s="816"/>
      <c r="G35" s="784"/>
      <c r="H35" s="784"/>
      <c r="I35" s="860" t="s">
        <v>1341</v>
      </c>
      <c r="J35" s="784"/>
      <c r="K35" s="784"/>
      <c r="L35" s="784"/>
      <c r="M35" s="861" t="s">
        <v>1342</v>
      </c>
      <c r="N35" s="784"/>
      <c r="O35" s="784"/>
      <c r="P35" s="812"/>
      <c r="U35" s="803" t="str">
        <f>text!C58</f>
        <v>Reg 16</v>
      </c>
      <c r="V35" s="803" t="str">
        <f>text!C57</f>
        <v>Reg 18</v>
      </c>
      <c r="W35" s="803" t="str">
        <f>text!C58</f>
        <v>Reg 16</v>
      </c>
      <c r="X35" s="803" t="str">
        <f>V35</f>
        <v>Reg 18</v>
      </c>
      <c r="Y35" s="869" t="s">
        <v>954</v>
      </c>
      <c r="Z35" s="833"/>
    </row>
    <row r="36" spans="4:29" hidden="1" x14ac:dyDescent="0.25">
      <c r="D36" s="815"/>
      <c r="E36" s="805"/>
      <c r="F36" s="876" t="str">
        <f>LEFT(U33,7)&amp;" Certified Value as at "&amp;text!E52</f>
        <v>Reg 18  Certified Value as at 01/04/23</v>
      </c>
      <c r="G36" s="784"/>
      <c r="H36" s="784"/>
      <c r="I36" s="829"/>
      <c r="J36" s="784"/>
      <c r="K36" s="784"/>
      <c r="L36" s="784"/>
      <c r="M36" s="829"/>
      <c r="N36" s="784" t="str">
        <f>LEFT(V33,7)</f>
        <v xml:space="preserve">Reg 18 </v>
      </c>
      <c r="O36" s="784"/>
      <c r="P36" s="812"/>
      <c r="U36" s="799" t="s">
        <v>955</v>
      </c>
      <c r="V36" s="799" t="s">
        <v>956</v>
      </c>
      <c r="W36" s="799" t="s">
        <v>957</v>
      </c>
      <c r="X36" s="799" t="s">
        <v>956</v>
      </c>
      <c r="Y36" s="799" t="s">
        <v>65</v>
      </c>
      <c r="Z36" s="799" t="s">
        <v>66</v>
      </c>
    </row>
    <row r="37" spans="4:29" ht="13" hidden="1" x14ac:dyDescent="0.3">
      <c r="D37" s="815"/>
      <c r="E37" s="805"/>
      <c r="F37" s="784" t="s">
        <v>505</v>
      </c>
      <c r="G37" s="784"/>
      <c r="H37" s="784"/>
      <c r="I37" s="1074"/>
      <c r="J37" s="816" t="str">
        <f>IF(AND(I36&lt;&gt;"",I37=""),"&lt;","")</f>
        <v/>
      </c>
      <c r="K37" s="784"/>
      <c r="L37" s="878" t="str">
        <f>IF(AND(M36&lt;&gt;"",M37=""),"&gt;","")</f>
        <v/>
      </c>
      <c r="M37" s="877"/>
      <c r="N37" s="784"/>
      <c r="O37" s="784"/>
      <c r="P37" s="812"/>
      <c r="U37" s="813" t="b">
        <v>0</v>
      </c>
      <c r="V37" s="813" t="b">
        <v>1</v>
      </c>
      <c r="W37" s="813" t="b">
        <v>0</v>
      </c>
      <c r="X37" s="813" t="b">
        <v>1</v>
      </c>
      <c r="Y37" s="792">
        <v>9</v>
      </c>
      <c r="Z37" s="792">
        <v>7</v>
      </c>
      <c r="AA37" s="879" t="s">
        <v>958</v>
      </c>
      <c r="AB37" s="807"/>
      <c r="AC37" s="808"/>
    </row>
    <row r="38" spans="4:29" hidden="1" x14ac:dyDescent="0.25">
      <c r="D38" s="815"/>
      <c r="E38" s="805"/>
      <c r="F38" s="791"/>
      <c r="G38" s="791"/>
      <c r="H38" s="791"/>
      <c r="I38" s="791"/>
      <c r="J38" s="791"/>
      <c r="K38" s="791"/>
      <c r="L38" s="791"/>
      <c r="M38" s="791"/>
      <c r="N38" s="791"/>
      <c r="O38" s="784"/>
      <c r="P38" s="812"/>
    </row>
    <row r="39" spans="4:29" ht="13" hidden="1" x14ac:dyDescent="0.3">
      <c r="D39" s="815"/>
      <c r="E39" s="805"/>
      <c r="F39" s="880" t="str">
        <f>"Certified Value at "&amp;text!E54&amp;" is "&amp;text!C59</f>
        <v>Certified Value at 31/03/23 is Reg 19</v>
      </c>
      <c r="G39" s="881"/>
      <c r="H39" s="881"/>
      <c r="I39" s="881"/>
      <c r="J39" s="881"/>
      <c r="K39" s="881"/>
      <c r="L39" s="881"/>
      <c r="M39" s="881"/>
      <c r="N39" s="881"/>
      <c r="O39" s="882"/>
      <c r="P39" s="812"/>
      <c r="U39" s="799" t="b">
        <v>0</v>
      </c>
      <c r="V39" s="869" t="b">
        <v>1</v>
      </c>
      <c r="W39" s="832" t="b">
        <v>0</v>
      </c>
      <c r="X39" s="833" t="b">
        <v>1</v>
      </c>
      <c r="Z39" s="832"/>
      <c r="AA39" s="833"/>
    </row>
    <row r="40" spans="4:29" ht="13" hidden="1" x14ac:dyDescent="0.3">
      <c r="D40" s="815"/>
      <c r="E40" s="805"/>
      <c r="F40" s="791"/>
      <c r="G40" s="791"/>
      <c r="H40" s="791"/>
      <c r="I40" s="883" t="str">
        <f>I35</f>
        <v>Original</v>
      </c>
      <c r="J40" s="791"/>
      <c r="K40" s="791"/>
      <c r="L40" s="791"/>
      <c r="M40" s="884" t="str">
        <f>M35</f>
        <v>Revised</v>
      </c>
      <c r="N40" s="791"/>
      <c r="O40" s="791"/>
      <c r="P40" s="812"/>
    </row>
    <row r="41" spans="4:29" hidden="1" x14ac:dyDescent="0.25">
      <c r="D41" s="815"/>
      <c r="E41" s="805"/>
      <c r="F41" s="885" t="str">
        <f>"Certified Value as at "&amp;text!E54</f>
        <v>Certified Value as at 31/03/23</v>
      </c>
      <c r="G41" s="784"/>
      <c r="H41" s="784"/>
      <c r="I41" s="886"/>
      <c r="J41" s="784"/>
      <c r="K41" s="784"/>
      <c r="L41" s="784"/>
      <c r="M41" s="886"/>
      <c r="N41" s="885" t="str">
        <f>F41</f>
        <v>Certified Value as at 31/03/23</v>
      </c>
      <c r="O41" s="784"/>
      <c r="P41" s="812"/>
      <c r="U41" s="819"/>
      <c r="AB41" s="875" t="s">
        <v>959</v>
      </c>
      <c r="AC41" s="875" t="s">
        <v>960</v>
      </c>
    </row>
    <row r="42" spans="4:29" ht="13" hidden="1" x14ac:dyDescent="0.3">
      <c r="D42" s="815"/>
      <c r="E42" s="805"/>
      <c r="F42" s="885" t="str">
        <f>IF(AND(I42&lt;&gt;"",I42&lt;&gt;I45),U43,IF(AND(I42="",I45=0),"Enter the Date Certificate has Effect",U44))</f>
        <v xml:space="preserve">has effect from </v>
      </c>
      <c r="G42" s="784"/>
      <c r="H42" s="784"/>
      <c r="I42" s="877"/>
      <c r="J42" s="887" t="str">
        <f>IF(I45=0,"&lt;","")</f>
        <v/>
      </c>
      <c r="K42" s="784"/>
      <c r="L42" s="878" t="str">
        <f>IF(M45=0,"&gt;","")</f>
        <v/>
      </c>
      <c r="M42" s="877"/>
      <c r="N42" s="888" t="str">
        <f>IF(AND(M42&lt;&gt;"",M42&lt;&gt;M45),W43,IF(AND(M42="",M45=0),"Enter the Date Certificate has Effect",W44))</f>
        <v/>
      </c>
      <c r="O42" s="784"/>
      <c r="P42" s="812"/>
      <c r="U42" s="799" t="s">
        <v>961</v>
      </c>
      <c r="V42" s="833"/>
      <c r="W42" s="799" t="s">
        <v>962</v>
      </c>
      <c r="X42" s="832"/>
      <c r="Y42" s="832"/>
      <c r="Z42" s="832"/>
      <c r="AA42" s="833"/>
      <c r="AB42" s="803" t="b">
        <f>AND(I41&lt;&gt;"",OR(I45="",I45=0))</f>
        <v>0</v>
      </c>
      <c r="AC42" s="803" t="b">
        <f>AND(M41&lt;&gt;"",OR(M45="",M45=0))</f>
        <v>0</v>
      </c>
    </row>
    <row r="43" spans="4:29" hidden="1" x14ac:dyDescent="0.25">
      <c r="D43" s="815"/>
      <c r="E43" s="805"/>
      <c r="F43" s="791"/>
      <c r="G43" s="791"/>
      <c r="H43" s="791"/>
      <c r="I43" s="791"/>
      <c r="J43" s="791"/>
      <c r="K43" s="791"/>
      <c r="L43" s="791"/>
      <c r="M43" s="791"/>
      <c r="N43" s="791"/>
      <c r="O43" s="791"/>
      <c r="P43" s="812"/>
      <c r="U43" s="803" t="str">
        <f>"Mismatch "&amp;TEXT(I45,"dd/mm/yy")&amp;" will be used"</f>
        <v>Mismatch  will be used</v>
      </c>
      <c r="V43" s="833"/>
      <c r="W43" s="803" t="str">
        <f>"Mismatch "&amp;TEXT(M45,"dd/mm/yy")&amp;" will be used"</f>
        <v>Mismatch  will be used</v>
      </c>
      <c r="X43" s="832"/>
      <c r="Y43" s="832"/>
      <c r="Z43" s="832"/>
      <c r="AA43" s="833"/>
    </row>
    <row r="44" spans="4:29" hidden="1" x14ac:dyDescent="0.25">
      <c r="D44" s="815"/>
      <c r="E44" s="805"/>
      <c r="F44" s="784" t="str">
        <f>"a base liability at "&amp;text!E54&amp;" of"</f>
        <v>a base liability at 31/03/23 of</v>
      </c>
      <c r="G44" s="784"/>
      <c r="H44" s="784"/>
      <c r="I44" s="889" t="str">
        <f>IF(V13=TRUE,I13*I41/I9,IF(I41&gt;0,I41*data!C52,""))</f>
        <v/>
      </c>
      <c r="J44" s="784"/>
      <c r="K44" s="784"/>
      <c r="L44" s="784"/>
      <c r="M44" s="889" t="str">
        <f>IF(W13=TRUE,N13*M41/M9,IF(M41&gt;0,M41*data!$C$52,""))</f>
        <v/>
      </c>
      <c r="N44" s="784"/>
      <c r="O44" s="784"/>
      <c r="P44" s="812"/>
      <c r="U44" s="803" t="str">
        <f>IF(I45&gt;0,"has effect from "&amp;TEXT(I45,"dd/mm/yy"),"")</f>
        <v xml:space="preserve">has effect from </v>
      </c>
      <c r="W44" s="803" t="str">
        <f>IF(M45&lt;&gt;"","has effect from "&amp;TEXT(M45,"dd/mm/yy"),"")</f>
        <v/>
      </c>
    </row>
    <row r="45" spans="4:29" ht="13" hidden="1" x14ac:dyDescent="0.3">
      <c r="D45" s="815"/>
      <c r="E45" s="805"/>
      <c r="F45" s="784" t="str">
        <f>IF(I45=0,"Please enter required date above","will be used from")</f>
        <v>will be used from</v>
      </c>
      <c r="G45" s="784"/>
      <c r="H45" s="784"/>
      <c r="I45" s="890" t="str">
        <f>IF(I41="","",IF(I41&lt;I9,text!C52,IF(AND(I36&lt;&gt;"",V37=TRUE),I37,I42)))</f>
        <v/>
      </c>
      <c r="J45" s="859"/>
      <c r="K45" s="891"/>
      <c r="L45" s="859"/>
      <c r="M45" s="890" t="str">
        <f>IF(M41="","",IF(M41&lt;M9,text!C52,IF(AND(M36&lt;&gt;"",X37=TRUE),M37,M42)))</f>
        <v/>
      </c>
      <c r="N45" s="859" t="str">
        <f>IF(M45=0,"! Please enter required date above","")</f>
        <v/>
      </c>
      <c r="O45" s="784"/>
      <c r="P45" s="812"/>
    </row>
    <row r="46" spans="4:29" ht="13" hidden="1" x14ac:dyDescent="0.3">
      <c r="D46" s="815"/>
      <c r="E46" s="847"/>
      <c r="F46" s="892" t="str">
        <f>IF(AND(I42=H69,I41&gt;I9),"Date is unlikely to be 1/4/10, click help","")</f>
        <v/>
      </c>
      <c r="G46" s="848"/>
      <c r="H46" s="848"/>
      <c r="I46" s="848"/>
      <c r="J46" s="848"/>
      <c r="K46" s="848"/>
      <c r="L46" s="848"/>
      <c r="M46" s="893" t="str">
        <f>IF(AND(M42=M69,M41&gt;M9),"Date is unlikely to be "&amp;W6&amp;", click help","")</f>
        <v/>
      </c>
      <c r="N46" s="848"/>
      <c r="O46" s="848"/>
      <c r="P46" s="851"/>
    </row>
    <row r="47" spans="4:29" ht="5.15" hidden="1" customHeight="1" x14ac:dyDescent="0.3">
      <c r="D47" s="815"/>
      <c r="E47" s="815"/>
      <c r="F47" s="815"/>
      <c r="G47" s="894"/>
      <c r="H47" s="815"/>
      <c r="I47" s="815"/>
      <c r="J47" s="815"/>
      <c r="K47" s="815"/>
      <c r="L47" s="815"/>
      <c r="M47" s="815"/>
      <c r="N47" s="815"/>
      <c r="O47" s="815"/>
    </row>
    <row r="48" spans="4:29" ht="7.75" customHeight="1" x14ac:dyDescent="0.25"/>
    <row r="49" spans="4:41" ht="10.25" hidden="1" customHeight="1" x14ac:dyDescent="0.25">
      <c r="E49" s="2317"/>
      <c r="F49" s="2318"/>
      <c r="G49" s="2318"/>
      <c r="H49" s="2318"/>
      <c r="I49" s="2318"/>
      <c r="J49" s="2318"/>
      <c r="K49" s="2318"/>
      <c r="L49" s="2318"/>
      <c r="M49" s="2318"/>
      <c r="N49" s="2318"/>
      <c r="O49" s="2318"/>
      <c r="P49" s="2319"/>
    </row>
    <row r="50" spans="4:41" ht="21.65" hidden="1" customHeight="1" x14ac:dyDescent="0.3">
      <c r="E50" s="2303"/>
      <c r="F50" s="2306" t="s">
        <v>2829</v>
      </c>
      <c r="G50" s="2307"/>
      <c r="H50" s="2307"/>
      <c r="I50" s="2307"/>
      <c r="J50" s="2307"/>
      <c r="K50" s="2308"/>
      <c r="L50" s="2302"/>
      <c r="M50" s="2302"/>
      <c r="N50" s="2302"/>
      <c r="O50" s="2302"/>
      <c r="P50" s="2304"/>
    </row>
    <row r="51" spans="4:41" ht="11.4" hidden="1" customHeight="1" x14ac:dyDescent="0.3">
      <c r="D51" s="815"/>
      <c r="E51" s="2303"/>
      <c r="F51" s="2305"/>
      <c r="G51" s="2302"/>
      <c r="H51" s="2302"/>
      <c r="I51" s="2302"/>
      <c r="J51" s="2302"/>
      <c r="K51" s="2302"/>
      <c r="L51" s="2302"/>
      <c r="M51" s="2302"/>
      <c r="N51" s="2302"/>
      <c r="O51" s="2302"/>
      <c r="P51" s="2304"/>
      <c r="AD51" s="2336" t="s">
        <v>2859</v>
      </c>
    </row>
    <row r="52" spans="4:41" ht="15" hidden="1" customHeight="1" x14ac:dyDescent="0.35">
      <c r="D52" s="815"/>
      <c r="E52" s="2303"/>
      <c r="F52" s="2302"/>
      <c r="G52" s="2309" t="s">
        <v>1341</v>
      </c>
      <c r="H52" s="2315"/>
      <c r="I52" s="2310"/>
      <c r="J52" s="2302"/>
      <c r="K52" s="2302"/>
      <c r="L52" s="2302"/>
      <c r="M52" s="2311" t="s">
        <v>1342</v>
      </c>
      <c r="N52" s="2316"/>
      <c r="O52" s="2312"/>
      <c r="P52" s="2304"/>
      <c r="U52" s="799" t="s">
        <v>2833</v>
      </c>
      <c r="W52" s="2328"/>
      <c r="X52" s="2329" t="s">
        <v>2838</v>
      </c>
      <c r="Y52" s="2330">
        <f>reliefs!$D$21</f>
        <v>45383</v>
      </c>
      <c r="Z52" s="2328"/>
      <c r="AA52" s="2328"/>
      <c r="AB52" s="2328"/>
      <c r="AD52" s="2337">
        <f>SUM(AM54:AM58)</f>
        <v>0</v>
      </c>
      <c r="AF52" s="2328"/>
      <c r="AG52" s="2329" t="s">
        <v>2838</v>
      </c>
      <c r="AH52" s="2330">
        <f>reliefs!$D$21</f>
        <v>45383</v>
      </c>
      <c r="AI52" s="2328"/>
      <c r="AJ52" s="2328"/>
      <c r="AK52" s="2328"/>
      <c r="AN52" s="819" t="s">
        <v>2865</v>
      </c>
      <c r="AO52" s="819" t="s">
        <v>2866</v>
      </c>
    </row>
    <row r="53" spans="4:41" ht="15" hidden="1" customHeight="1" x14ac:dyDescent="0.3">
      <c r="D53" s="815"/>
      <c r="E53" s="2303"/>
      <c r="F53" s="2302"/>
      <c r="G53" s="2313" t="s">
        <v>342</v>
      </c>
      <c r="H53" s="2313" t="s">
        <v>343</v>
      </c>
      <c r="I53" s="2313" t="s">
        <v>2828</v>
      </c>
      <c r="J53" s="2302"/>
      <c r="K53" s="2302"/>
      <c r="L53" s="2302"/>
      <c r="M53" s="2314" t="s">
        <v>342</v>
      </c>
      <c r="N53" s="2314" t="s">
        <v>343</v>
      </c>
      <c r="O53" s="2314" t="s">
        <v>2856</v>
      </c>
      <c r="P53" s="2304"/>
      <c r="U53" s="2325" t="s">
        <v>922</v>
      </c>
      <c r="W53" s="799" t="s">
        <v>2840</v>
      </c>
      <c r="X53" s="799" t="s">
        <v>2841</v>
      </c>
      <c r="Y53" s="799" t="s">
        <v>2836</v>
      </c>
      <c r="Z53" s="799" t="s">
        <v>2837</v>
      </c>
      <c r="AA53" s="799" t="s">
        <v>2842</v>
      </c>
      <c r="AB53" s="799" t="s">
        <v>2843</v>
      </c>
      <c r="AC53" s="819" t="s">
        <v>418</v>
      </c>
      <c r="AD53" s="819" t="s">
        <v>2844</v>
      </c>
      <c r="AE53" s="819" t="s">
        <v>2845</v>
      </c>
      <c r="AF53" s="799" t="s">
        <v>2847</v>
      </c>
      <c r="AG53" s="799" t="s">
        <v>2848</v>
      </c>
      <c r="AH53" s="799" t="s">
        <v>2849</v>
      </c>
      <c r="AI53" s="799" t="s">
        <v>2850</v>
      </c>
      <c r="AJ53" s="799" t="s">
        <v>2851</v>
      </c>
      <c r="AK53" s="799" t="s">
        <v>2852</v>
      </c>
      <c r="AL53" s="819" t="s">
        <v>418</v>
      </c>
      <c r="AM53" s="819" t="s">
        <v>2860</v>
      </c>
      <c r="AN53" s="784" t="b">
        <f t="shared" ref="AN53:AN58" si="0">I54&gt;0</f>
        <v>0</v>
      </c>
      <c r="AO53" s="784" t="b">
        <f t="shared" ref="AO53:AO58" si="1">O54&gt;0</f>
        <v>0</v>
      </c>
    </row>
    <row r="54" spans="4:41" ht="15" hidden="1" customHeight="1" x14ac:dyDescent="0.25">
      <c r="D54" s="815"/>
      <c r="E54" s="2303"/>
      <c r="F54" s="2332" t="str">
        <f>IF(AC54=TRUE,"! &gt;","")</f>
        <v/>
      </c>
      <c r="G54" s="2349"/>
      <c r="H54" s="2349"/>
      <c r="I54" s="2327"/>
      <c r="J54" s="2302"/>
      <c r="K54" s="2302"/>
      <c r="L54" s="2332" t="str">
        <f>IF(AL54=TRUE,"! &gt;","")</f>
        <v/>
      </c>
      <c r="M54" s="2326"/>
      <c r="N54" s="2349"/>
      <c r="O54" s="2327"/>
      <c r="P54" s="2304"/>
      <c r="W54" s="826" t="b">
        <f>OR(G54="",AND($V$6&lt;=G54,G54&lt;=$V$7))</f>
        <v>1</v>
      </c>
      <c r="X54" s="826" t="b">
        <f>OR(H54="",AND($V$6&lt;=H54,H54&lt;=$V$7))</f>
        <v>1</v>
      </c>
      <c r="Y54" s="826" t="b">
        <f>OR(G54="",G54&gt;=Y52)</f>
        <v>1</v>
      </c>
      <c r="Z54" s="826" t="b">
        <f>OR(H54="",H54&gt;=Y52)</f>
        <v>1</v>
      </c>
      <c r="AA54" s="826" t="b">
        <f t="array" ref="AA54">OR(G54="",$H$70:$H$80=G54)</f>
        <v>1</v>
      </c>
      <c r="AB54" s="826" t="b">
        <f t="array" ref="AB54">OR(H54="",H54=$V$7,$H$70:$H$80=H54+1)</f>
        <v>1</v>
      </c>
      <c r="AC54" s="784" t="b">
        <f t="array" ref="AC54">OR(W54:AB54=FALSE)</f>
        <v>0</v>
      </c>
      <c r="AD54" s="784" t="b">
        <f t="array" ref="AD54">OR($W$54:$W$58=FALSE,$AF$54:$AF$58=FALSE)</f>
        <v>0</v>
      </c>
      <c r="AE54" s="784" t="str">
        <f>"! Start date must be between "&amp;TEXT($Y$52,"dd/mm/yy")&amp;" and "&amp;$W$7</f>
        <v>! Start date must be between 01/04/24 and 31/03/26</v>
      </c>
      <c r="AF54" s="826" t="b">
        <f t="shared" ref="AF54:AG58" si="2">OR(M54="",AND($V$6&lt;=M54,M54&lt;=$V$7))</f>
        <v>1</v>
      </c>
      <c r="AG54" s="826" t="b">
        <f t="shared" si="2"/>
        <v>1</v>
      </c>
      <c r="AH54" s="826" t="b">
        <f>OR(M54="",M54&gt;=AH52)</f>
        <v>1</v>
      </c>
      <c r="AI54" s="826" t="b">
        <f>OR(N54="",N54&gt;=AH52)</f>
        <v>1</v>
      </c>
      <c r="AJ54" s="826" t="b">
        <f t="array" ref="AJ54">OR(M54="",$H$70:$H$80=M54)</f>
        <v>1</v>
      </c>
      <c r="AK54" s="826" t="b">
        <f t="array" ref="AK54">OR(N54="",N54=$V$7,$H$70:$H$80=N54+1)</f>
        <v>1</v>
      </c>
      <c r="AL54" s="784" t="b">
        <f t="array" ref="AL54">OR(AF54:AK54=FALSE)</f>
        <v>0</v>
      </c>
      <c r="AM54" s="863">
        <f>AC54+AL54</f>
        <v>0</v>
      </c>
      <c r="AN54" s="784" t="b">
        <f t="shared" si="0"/>
        <v>0</v>
      </c>
      <c r="AO54" s="784" t="b">
        <f t="shared" si="1"/>
        <v>0</v>
      </c>
    </row>
    <row r="55" spans="4:41" ht="15" hidden="1" customHeight="1" x14ac:dyDescent="0.25">
      <c r="D55" s="815"/>
      <c r="E55" s="2303"/>
      <c r="F55" s="2332" t="str">
        <f>IF(AC55=TRUE,"! &gt;","")</f>
        <v/>
      </c>
      <c r="G55" s="2349"/>
      <c r="H55" s="2326"/>
      <c r="I55" s="2327"/>
      <c r="J55" s="2302"/>
      <c r="K55" s="2302"/>
      <c r="L55" s="2332" t="str">
        <f>IF(AL55=TRUE,"! &gt;","")</f>
        <v/>
      </c>
      <c r="M55" s="2326"/>
      <c r="N55" s="2326"/>
      <c r="O55" s="2327"/>
      <c r="P55" s="2304"/>
      <c r="W55" s="826" t="b">
        <f t="shared" ref="W55:X58" si="3">OR(G55="",AND($V$6&lt;=G55,G55&lt;=$V$7))</f>
        <v>1</v>
      </c>
      <c r="X55" s="826" t="b">
        <f t="shared" si="3"/>
        <v>1</v>
      </c>
      <c r="Y55" s="826" t="b">
        <f>OR(G55="",G55&gt;=G54)</f>
        <v>1</v>
      </c>
      <c r="Z55" s="826" t="b">
        <f>OR(H55="",H55&gt;=H54)</f>
        <v>1</v>
      </c>
      <c r="AA55" s="826" t="b">
        <f t="array" ref="AA55">OR(G55="",$H$70:$H$80=G55)</f>
        <v>1</v>
      </c>
      <c r="AB55" s="826" t="b">
        <f t="array" ref="AB55">OR(H55="",H55=$V$7,$H$70:$H$80=H55+1)</f>
        <v>1</v>
      </c>
      <c r="AC55" s="784" t="b">
        <f t="array" ref="AC55">OR(W55:AB55=FALSE)</f>
        <v>0</v>
      </c>
      <c r="AD55" s="784" t="b">
        <f t="array" ref="AD55">OR($X$54:$X$58=FALSE,$AG$54:$AG$58=FALSE)</f>
        <v>0</v>
      </c>
      <c r="AE55" s="784" t="str">
        <f>"! End date must be between "&amp;TEXT($Y$52,"dd/mm/yy")&amp;" and "&amp;$W$7</f>
        <v>! End date must be between 01/04/24 and 31/03/26</v>
      </c>
      <c r="AF55" s="826" t="b">
        <f t="shared" si="2"/>
        <v>1</v>
      </c>
      <c r="AG55" s="826" t="b">
        <f t="shared" si="2"/>
        <v>1</v>
      </c>
      <c r="AH55" s="826" t="b">
        <f t="shared" ref="AH55:AI58" si="4">OR(M55="",M55&gt;=M54)</f>
        <v>1</v>
      </c>
      <c r="AI55" s="826" t="b">
        <f t="shared" si="4"/>
        <v>1</v>
      </c>
      <c r="AJ55" s="826" t="b">
        <f t="array" ref="AJ55">OR(M55="",$H$70:$H$80=M55)</f>
        <v>1</v>
      </c>
      <c r="AK55" s="826" t="b">
        <f t="array" ref="AK55">OR(N55="",N55=$V$7,$H$70:$H$80=N55+1)</f>
        <v>1</v>
      </c>
      <c r="AL55" s="784" t="b">
        <f t="array" ref="AL55">OR(AF55:AK55=FALSE)</f>
        <v>0</v>
      </c>
      <c r="AM55" s="863">
        <f>AC55+AL55</f>
        <v>0</v>
      </c>
      <c r="AN55" s="784" t="b">
        <f t="shared" si="0"/>
        <v>0</v>
      </c>
      <c r="AO55" s="784" t="b">
        <f t="shared" si="1"/>
        <v>0</v>
      </c>
    </row>
    <row r="56" spans="4:41" ht="15" hidden="1" customHeight="1" x14ac:dyDescent="0.25">
      <c r="D56" s="815"/>
      <c r="E56" s="2303"/>
      <c r="F56" s="2332" t="str">
        <f>IF(AC56=TRUE,"! &gt;","")</f>
        <v/>
      </c>
      <c r="G56" s="2349"/>
      <c r="H56" s="2326"/>
      <c r="I56" s="2327"/>
      <c r="J56" s="2302"/>
      <c r="K56" s="2302"/>
      <c r="L56" s="2332" t="str">
        <f>IF(AL56=TRUE,"! &gt;","")</f>
        <v/>
      </c>
      <c r="M56" s="2326"/>
      <c r="N56" s="2326"/>
      <c r="O56" s="2327"/>
      <c r="P56" s="2304"/>
      <c r="W56" s="826" t="b">
        <f t="shared" si="3"/>
        <v>1</v>
      </c>
      <c r="X56" s="826" t="b">
        <f t="shared" si="3"/>
        <v>1</v>
      </c>
      <c r="Y56" s="826" t="b">
        <f t="shared" ref="Y56:Z58" si="5">OR(G56="",G56&gt;=G55)</f>
        <v>1</v>
      </c>
      <c r="Z56" s="826" t="b">
        <f t="shared" si="5"/>
        <v>1</v>
      </c>
      <c r="AA56" s="826" t="b">
        <f t="array" ref="AA56">OR(G56="",$H$70:$H$80=G56)</f>
        <v>1</v>
      </c>
      <c r="AB56" s="826" t="b">
        <f t="array" ref="AB56">OR(H56="",H56=$V$7,$H$70:$H$80=H56+1)</f>
        <v>1</v>
      </c>
      <c r="AC56" s="784" t="b">
        <f t="array" ref="AC56">OR(W56:AB56=FALSE)</f>
        <v>0</v>
      </c>
      <c r="AD56" s="784" t="b">
        <f t="array" ref="AD56">OR($Y$54:$Y$58=FALSE,$AH$54:$AH$58=FALSE)</f>
        <v>0</v>
      </c>
      <c r="AE56" s="819" t="str">
        <f>"! Start Dates not in sequence or before scheme start date ("&amp;TEXT(Y52,"dd/mm/yy")&amp;")"</f>
        <v>! Start Dates not in sequence or before scheme start date (01/04/24)</v>
      </c>
      <c r="AF56" s="826" t="b">
        <f t="shared" si="2"/>
        <v>1</v>
      </c>
      <c r="AG56" s="826" t="b">
        <f t="shared" si="2"/>
        <v>1</v>
      </c>
      <c r="AH56" s="826" t="b">
        <f t="shared" si="4"/>
        <v>1</v>
      </c>
      <c r="AI56" s="826" t="b">
        <f t="shared" si="4"/>
        <v>1</v>
      </c>
      <c r="AJ56" s="826" t="b">
        <f t="array" ref="AJ56">OR(M56="",$H$70:$H$80=M56)</f>
        <v>1</v>
      </c>
      <c r="AK56" s="826" t="b">
        <f t="array" ref="AK56">OR(N56="",N56=$V$7,$H$70:$H$80=N56+1)</f>
        <v>1</v>
      </c>
      <c r="AL56" s="784" t="b">
        <f t="array" ref="AL56">OR(AF56:AK56=FALSE)</f>
        <v>0</v>
      </c>
      <c r="AM56" s="863">
        <f>AC56+AL56</f>
        <v>0</v>
      </c>
      <c r="AN56" s="784" t="b">
        <f t="shared" si="0"/>
        <v>0</v>
      </c>
      <c r="AO56" s="784" t="b">
        <f t="shared" si="1"/>
        <v>0</v>
      </c>
    </row>
    <row r="57" spans="4:41" ht="15" hidden="1" customHeight="1" x14ac:dyDescent="0.25">
      <c r="D57" s="815"/>
      <c r="E57" s="2303"/>
      <c r="F57" s="2332" t="str">
        <f>IF(AC57=TRUE,"! &gt;","")</f>
        <v/>
      </c>
      <c r="G57" s="2326"/>
      <c r="H57" s="2326"/>
      <c r="I57" s="2327"/>
      <c r="J57" s="2302"/>
      <c r="K57" s="2302"/>
      <c r="L57" s="2332" t="str">
        <f>IF(AL57=TRUE,"! &gt;","")</f>
        <v/>
      </c>
      <c r="M57" s="2326"/>
      <c r="N57" s="2326"/>
      <c r="O57" s="2327"/>
      <c r="P57" s="2304"/>
      <c r="W57" s="826" t="b">
        <f t="shared" si="3"/>
        <v>1</v>
      </c>
      <c r="X57" s="826" t="b">
        <f t="shared" si="3"/>
        <v>1</v>
      </c>
      <c r="Y57" s="826" t="b">
        <f t="shared" si="5"/>
        <v>1</v>
      </c>
      <c r="Z57" s="826" t="b">
        <f t="shared" si="5"/>
        <v>1</v>
      </c>
      <c r="AA57" s="826" t="b">
        <f t="array" ref="AA57">OR(G57="",$H$70:$H$80=G57)</f>
        <v>1</v>
      </c>
      <c r="AB57" s="826" t="b">
        <f t="array" ref="AB57">OR(H57="",H57=$V$7,$H$70:$H$80=H57+1)</f>
        <v>1</v>
      </c>
      <c r="AC57" s="784" t="b">
        <f t="array" ref="AC57">OR(W57:AB57=FALSE)</f>
        <v>0</v>
      </c>
      <c r="AD57" s="784" t="b">
        <f t="array" ref="AD57">OR($Z$54:$Z$58=FALSE,$AI$54:$AI$58=FALSE)</f>
        <v>0</v>
      </c>
      <c r="AE57" s="819" t="s">
        <v>2853</v>
      </c>
      <c r="AF57" s="826" t="b">
        <f t="shared" si="2"/>
        <v>1</v>
      </c>
      <c r="AG57" s="826" t="b">
        <f t="shared" si="2"/>
        <v>1</v>
      </c>
      <c r="AH57" s="826" t="b">
        <f t="shared" si="4"/>
        <v>1</v>
      </c>
      <c r="AI57" s="826" t="b">
        <f t="shared" si="4"/>
        <v>1</v>
      </c>
      <c r="AJ57" s="826" t="b">
        <f t="array" ref="AJ57">OR(M57="",$H$70:$H$80=M57)</f>
        <v>1</v>
      </c>
      <c r="AK57" s="826" t="b">
        <f t="array" ref="AK57">OR(N57="",N57=$V$7,$H$70:$H$80=N57+1)</f>
        <v>1</v>
      </c>
      <c r="AL57" s="784" t="b">
        <f t="array" ref="AL57">OR(AF57:AK57=FALSE)</f>
        <v>0</v>
      </c>
      <c r="AM57" s="863">
        <f>AC57+AL57</f>
        <v>0</v>
      </c>
      <c r="AN57" s="784" t="b">
        <f t="shared" si="0"/>
        <v>0</v>
      </c>
      <c r="AO57" s="784" t="b">
        <f t="shared" si="1"/>
        <v>0</v>
      </c>
    </row>
    <row r="58" spans="4:41" ht="15" hidden="1" customHeight="1" x14ac:dyDescent="0.25">
      <c r="D58" s="815"/>
      <c r="E58" s="2303"/>
      <c r="F58" s="2332" t="str">
        <f>IF(AC58=TRUE,"! &gt;","")</f>
        <v/>
      </c>
      <c r="G58" s="2326"/>
      <c r="H58" s="2326"/>
      <c r="I58" s="2327"/>
      <c r="J58" s="2302"/>
      <c r="K58" s="2302"/>
      <c r="L58" s="2332" t="str">
        <f>IF(AL58=TRUE,"! &gt;","")</f>
        <v/>
      </c>
      <c r="M58" s="2326"/>
      <c r="N58" s="2326"/>
      <c r="O58" s="2327"/>
      <c r="P58" s="2304"/>
      <c r="W58" s="826" t="b">
        <f t="shared" si="3"/>
        <v>1</v>
      </c>
      <c r="X58" s="826" t="b">
        <f t="shared" si="3"/>
        <v>1</v>
      </c>
      <c r="Y58" s="826" t="b">
        <f t="shared" si="5"/>
        <v>1</v>
      </c>
      <c r="Z58" s="826" t="b">
        <f t="shared" si="5"/>
        <v>1</v>
      </c>
      <c r="AA58" s="826" t="b">
        <f t="array" ref="AA58">OR(G58="",$H$70:$H$80=G58)</f>
        <v>1</v>
      </c>
      <c r="AB58" s="826" t="b">
        <f t="array" ref="AB58">OR(H58="",H58=$V$7,$H$70:$H$80=H58+1)</f>
        <v>1</v>
      </c>
      <c r="AC58" s="784" t="b">
        <f t="array" ref="AC58">OR(W58:AB58=FALSE)</f>
        <v>0</v>
      </c>
      <c r="AD58" s="784" t="b">
        <f t="array" ref="AD58">OR($AA$54:$AA$58=FALSE,$AJ$54:$AJ$58=FALSE)</f>
        <v>0</v>
      </c>
      <c r="AE58" s="819" t="s">
        <v>2854</v>
      </c>
      <c r="AF58" s="826" t="b">
        <f t="shared" si="2"/>
        <v>1</v>
      </c>
      <c r="AG58" s="826" t="b">
        <f t="shared" si="2"/>
        <v>1</v>
      </c>
      <c r="AH58" s="826" t="b">
        <f t="shared" si="4"/>
        <v>1</v>
      </c>
      <c r="AI58" s="826" t="b">
        <f t="shared" si="4"/>
        <v>1</v>
      </c>
      <c r="AJ58" s="826" t="b">
        <f t="array" ref="AJ58">OR(M58="",$H$70:$H$80=M58)</f>
        <v>1</v>
      </c>
      <c r="AK58" s="826" t="b">
        <f t="array" ref="AK58">OR(N58="",N58=$V$7,$H$70:$H$80=N58+1)</f>
        <v>1</v>
      </c>
      <c r="AL58" s="784" t="b">
        <f t="array" ref="AL58">OR(AF58:AK58=FALSE)</f>
        <v>0</v>
      </c>
      <c r="AM58" s="863">
        <f>AC58+AL58</f>
        <v>0</v>
      </c>
      <c r="AN58" s="784" t="b">
        <f t="shared" si="0"/>
        <v>0</v>
      </c>
      <c r="AO58" s="784" t="b">
        <f t="shared" si="1"/>
        <v>0</v>
      </c>
    </row>
    <row r="59" spans="4:41" ht="15" hidden="1" customHeight="1" x14ac:dyDescent="0.25">
      <c r="D59" s="815"/>
      <c r="E59" s="2303"/>
      <c r="F59" s="2302"/>
      <c r="G59" s="2353" t="str">
        <f>VLOOKUP(TRUE,AD54:AE60,2,FALSE)</f>
        <v/>
      </c>
      <c r="H59" s="2323"/>
      <c r="I59" s="2324"/>
      <c r="J59" s="2302"/>
      <c r="K59" s="2302"/>
      <c r="L59" s="2302"/>
      <c r="M59" s="2324"/>
      <c r="N59" s="2323"/>
      <c r="O59" s="2323"/>
      <c r="P59" s="2304"/>
      <c r="AD59" s="784" t="b">
        <f t="array" ref="AD59">OR($AB$54:$AB$58=FALSE,$AK$54:$AK$58=FALSE)</f>
        <v>0</v>
      </c>
      <c r="AE59" s="819" t="s">
        <v>2855</v>
      </c>
      <c r="AN59" s="2361">
        <f>AN53+AN54+AN55+AN56+AN57+AN58</f>
        <v>0</v>
      </c>
      <c r="AO59" s="2361">
        <f>AO53+AO54+AO55+AO56+AO57+AO58</f>
        <v>0</v>
      </c>
    </row>
    <row r="60" spans="4:41" ht="15" hidden="1" customHeight="1" x14ac:dyDescent="0.25">
      <c r="D60" s="815"/>
      <c r="E60" s="2320"/>
      <c r="F60" s="2321"/>
      <c r="G60" s="2321"/>
      <c r="H60" s="2321"/>
      <c r="I60" s="2321"/>
      <c r="J60" s="2321"/>
      <c r="K60" s="2321"/>
      <c r="L60" s="2321"/>
      <c r="M60" s="2321"/>
      <c r="N60" s="2321"/>
      <c r="O60" s="2321"/>
      <c r="P60" s="2322"/>
      <c r="AD60" s="784" t="b">
        <v>1</v>
      </c>
      <c r="AE60" s="837" t="s">
        <v>836</v>
      </c>
    </row>
    <row r="61" spans="4:41" ht="7.75" hidden="1" customHeight="1" x14ac:dyDescent="0.25">
      <c r="D61" s="815"/>
      <c r="E61" s="815"/>
      <c r="F61" s="815"/>
      <c r="G61" s="815"/>
      <c r="H61" s="815"/>
      <c r="I61" s="815"/>
      <c r="J61" s="815"/>
      <c r="K61" s="815"/>
      <c r="L61" s="815"/>
      <c r="M61" s="815"/>
      <c r="N61" s="815"/>
      <c r="O61" s="815"/>
    </row>
    <row r="62" spans="4:41" ht="4.25" customHeight="1" x14ac:dyDescent="0.25"/>
    <row r="63" spans="4:41" ht="6.75" customHeight="1" x14ac:dyDescent="0.3">
      <c r="G63" s="895"/>
    </row>
    <row r="64" spans="4:41" ht="18.75" customHeight="1" x14ac:dyDescent="0.3">
      <c r="E64" s="795"/>
      <c r="F64" s="796"/>
      <c r="G64" s="2331" t="s">
        <v>2846</v>
      </c>
      <c r="H64" s="796"/>
      <c r="I64" s="796"/>
      <c r="J64" s="796"/>
      <c r="K64" s="796"/>
      <c r="L64" s="896"/>
      <c r="M64" s="796"/>
      <c r="N64" s="796"/>
      <c r="O64" s="796"/>
      <c r="P64" s="796"/>
      <c r="Q64" s="796"/>
      <c r="R64" s="798"/>
      <c r="U64" s="897" t="s">
        <v>963</v>
      </c>
      <c r="V64" s="898" t="s">
        <v>964</v>
      </c>
      <c r="W64" s="899" t="s">
        <v>207</v>
      </c>
      <c r="X64" s="869" t="s">
        <v>965</v>
      </c>
      <c r="Y64" s="832"/>
      <c r="Z64" s="833"/>
    </row>
    <row r="65" spans="2:45" ht="18.75" customHeight="1" x14ac:dyDescent="0.25">
      <c r="D65" s="815"/>
      <c r="E65" s="805"/>
      <c r="F65" s="784"/>
      <c r="G65" s="900" t="str">
        <f ca="1">IF(W103=FALSE,"There are errors to correct - see message below (in row "&amp;ROW(H66)&amp;")","In this section Enter any changes that are effective AFTER "&amp;text!E52&amp;" . Original on LEFT, Revised on RIGHT")</f>
        <v>In this section Enter any changes that are effective AFTER 01/04/23 . Original on LEFT, Revised on RIGHT</v>
      </c>
      <c r="H65" s="901"/>
      <c r="I65" s="901"/>
      <c r="J65" s="901"/>
      <c r="K65" s="901"/>
      <c r="L65" s="901"/>
      <c r="M65" s="901"/>
      <c r="N65" s="901"/>
      <c r="O65" s="901"/>
      <c r="P65" s="902"/>
      <c r="Q65" s="784"/>
      <c r="R65" s="812"/>
      <c r="U65" s="799" t="s">
        <v>966</v>
      </c>
      <c r="V65" s="803" t="b">
        <f>OR(U81=11,W64="no")</f>
        <v>1</v>
      </c>
      <c r="W65" s="803" t="b">
        <f>OR(V81=11,V85="no")</f>
        <v>1</v>
      </c>
      <c r="X65" s="869" t="s">
        <v>967</v>
      </c>
      <c r="Y65" s="832"/>
      <c r="Z65" s="833"/>
    </row>
    <row r="66" spans="2:45" ht="18.75" customHeight="1" x14ac:dyDescent="0.35">
      <c r="D66" s="815"/>
      <c r="E66" s="805"/>
      <c r="F66" s="784"/>
      <c r="G66" s="784"/>
      <c r="H66" s="903" t="e">
        <f ca="1">VLOOKUP(TRUE,W87:X101,2,FALSE)</f>
        <v>#N/A</v>
      </c>
      <c r="I66" s="904"/>
      <c r="J66" s="904"/>
      <c r="K66" s="904"/>
      <c r="L66" s="905"/>
      <c r="M66" s="904"/>
      <c r="N66" s="904"/>
      <c r="O66" s="904"/>
      <c r="P66" s="904"/>
      <c r="Q66" s="784"/>
      <c r="R66" s="812"/>
      <c r="U66" s="827"/>
      <c r="V66" s="832"/>
      <c r="W66" s="906" t="s">
        <v>972</v>
      </c>
      <c r="X66" s="827" t="str">
        <f>IF(W64="no","Date Sequence Check is OFF, Click here to restore","Click here to allow dates in any order")</f>
        <v>Click here to allow dates in any order</v>
      </c>
      <c r="Y66" s="832"/>
      <c r="Z66" s="833"/>
    </row>
    <row r="67" spans="2:45" ht="15" customHeight="1" x14ac:dyDescent="0.3">
      <c r="D67" s="815"/>
      <c r="E67" s="805"/>
      <c r="F67" s="907"/>
      <c r="G67" s="908"/>
      <c r="H67" s="909" t="s">
        <v>973</v>
      </c>
      <c r="I67" s="910"/>
      <c r="J67" s="910"/>
      <c r="K67" s="911"/>
      <c r="L67" s="784"/>
      <c r="M67" s="912" t="s">
        <v>974</v>
      </c>
      <c r="N67" s="913"/>
      <c r="O67" s="913"/>
      <c r="P67" s="913"/>
      <c r="Q67" s="914"/>
      <c r="R67" s="812"/>
      <c r="AJ67" s="863" t="str">
        <f>"col "&amp;COLUMN()</f>
        <v>col 36</v>
      </c>
      <c r="AK67" s="863" t="str">
        <f>"col "&amp;COLUMN()</f>
        <v>col 37</v>
      </c>
    </row>
    <row r="68" spans="2:45" ht="13" x14ac:dyDescent="0.3">
      <c r="D68" s="815"/>
      <c r="E68" s="805"/>
      <c r="F68" s="915"/>
      <c r="G68" s="916" t="str">
        <f>"Tick to Certify at "&amp;W6</f>
        <v>Tick to Certify at 01/04/23</v>
      </c>
      <c r="H68" s="917" t="s">
        <v>975</v>
      </c>
      <c r="I68" s="918" t="s">
        <v>272</v>
      </c>
      <c r="J68" s="919" t="s">
        <v>976</v>
      </c>
      <c r="K68" s="920" t="s">
        <v>977</v>
      </c>
      <c r="L68" s="891"/>
      <c r="M68" s="921" t="str">
        <f>H68</f>
        <v>From Date</v>
      </c>
      <c r="N68" s="922" t="s">
        <v>272</v>
      </c>
      <c r="O68" s="923" t="s">
        <v>976</v>
      </c>
      <c r="P68" s="924" t="s">
        <v>978</v>
      </c>
      <c r="Q68" s="925"/>
      <c r="R68" s="812"/>
      <c r="U68" s="805"/>
      <c r="V68" s="812"/>
      <c r="W68" s="803" t="s">
        <v>979</v>
      </c>
      <c r="X68" s="803" t="s">
        <v>980</v>
      </c>
      <c r="Y68" s="803" t="str">
        <f>W68</f>
        <v>thrsh</v>
      </c>
      <c r="Z68" s="803" t="str">
        <f>X68</f>
        <v>vac &amp; under</v>
      </c>
      <c r="AA68" s="826" t="s">
        <v>981</v>
      </c>
      <c r="AB68" s="827" t="s">
        <v>982</v>
      </c>
      <c r="AC68" s="832"/>
      <c r="AD68" s="832"/>
      <c r="AE68" s="833"/>
      <c r="AG68" s="926" t="s">
        <v>317</v>
      </c>
      <c r="AH68" s="926" t="s">
        <v>317</v>
      </c>
      <c r="AJ68" s="869" t="s">
        <v>983</v>
      </c>
      <c r="AK68" s="833"/>
      <c r="AO68" s="784" t="s">
        <v>2031</v>
      </c>
    </row>
    <row r="69" spans="2:45" ht="18" customHeight="1" x14ac:dyDescent="0.25">
      <c r="D69" s="815"/>
      <c r="E69" s="805"/>
      <c r="F69" s="927"/>
      <c r="G69" s="928"/>
      <c r="H69" s="929">
        <f>text!D1</f>
        <v>45017</v>
      </c>
      <c r="I69" s="930">
        <f>I10</f>
        <v>0</v>
      </c>
      <c r="J69" s="931">
        <f>I11</f>
        <v>1</v>
      </c>
      <c r="K69" s="932" t="str">
        <f>I12</f>
        <v>n</v>
      </c>
      <c r="L69" s="933"/>
      <c r="M69" s="934">
        <f>H69</f>
        <v>45017</v>
      </c>
      <c r="N69" s="930">
        <f>M10</f>
        <v>0</v>
      </c>
      <c r="O69" s="931">
        <f>M11</f>
        <v>1</v>
      </c>
      <c r="P69" s="932" t="str">
        <f>M12</f>
        <v>n</v>
      </c>
      <c r="Q69" s="935"/>
      <c r="R69" s="812"/>
      <c r="U69" s="936" t="s">
        <v>984</v>
      </c>
      <c r="V69" s="812" t="s">
        <v>985</v>
      </c>
      <c r="W69" s="826">
        <f t="shared" ref="W69:W80" si="6">IF(H69="","",VLOOKUP(H69,$AA$107:$AB$112,2,TRUE))</f>
        <v>2900</v>
      </c>
      <c r="X69" s="803" t="b">
        <f t="shared" ref="X69:X80" si="7">AND(K69="y",I69&lt;W69)</f>
        <v>0</v>
      </c>
      <c r="Y69" s="826">
        <f t="shared" ref="Y69:Y80" si="8">IF(M69="","",VLOOKUP(M69,$AA$107:$AB$112,2,TRUE))</f>
        <v>2900</v>
      </c>
      <c r="Z69" s="803" t="b">
        <f t="shared" ref="Z69:Z80" si="9">AND(P69="y",N69&lt;Y69)</f>
        <v>0</v>
      </c>
      <c r="AA69" s="826">
        <f t="shared" ref="AA69:AA80" si="10">X69+Z69</f>
        <v>0</v>
      </c>
      <c r="AB69" s="803" t="s">
        <v>986</v>
      </c>
      <c r="AC69" s="803" t="s">
        <v>987</v>
      </c>
      <c r="AD69" s="803" t="s">
        <v>988</v>
      </c>
      <c r="AE69" s="803" t="s">
        <v>989</v>
      </c>
      <c r="AG69" s="826" t="b">
        <f t="shared" ref="AG69:AG80" si="11">UPPER(LEFT(K69,1))="Y"</f>
        <v>0</v>
      </c>
      <c r="AH69" s="826" t="b">
        <f t="shared" ref="AH69:AH80" si="12">UPPER(LEFT(P69,1))="Y"</f>
        <v>0</v>
      </c>
      <c r="AJ69" s="827" t="s">
        <v>990</v>
      </c>
      <c r="AK69" s="833"/>
      <c r="AM69" s="799" t="s">
        <v>862</v>
      </c>
      <c r="AN69" s="799" t="s">
        <v>862</v>
      </c>
      <c r="AO69" s="2173">
        <f>V6</f>
        <v>45017</v>
      </c>
      <c r="AP69" s="784" t="str">
        <f>IF(AP81=0,"","Changes at "&amp;W6&amp;" should be entered in row 10")</f>
        <v/>
      </c>
    </row>
    <row r="70" spans="2:45" ht="18" customHeight="1" x14ac:dyDescent="0.25">
      <c r="B70" s="1075" t="str">
        <f>IF(OR(AM70=FALSE,AN70=FALSE),"Date Error &gt;&gt;","")</f>
        <v/>
      </c>
      <c r="D70" s="815"/>
      <c r="E70" s="805"/>
      <c r="F70" s="937">
        <v>1</v>
      </c>
      <c r="G70" s="938"/>
      <c r="H70" s="994"/>
      <c r="I70" s="940" t="str">
        <f t="shared" ref="I70:I80" si="13">IF(H70="","",I69)</f>
        <v/>
      </c>
      <c r="J70" s="941">
        <f t="shared" ref="J70:J80" si="14">J69</f>
        <v>1</v>
      </c>
      <c r="K70" s="862" t="str">
        <f t="shared" ref="K70:K80" si="15">K69</f>
        <v>n</v>
      </c>
      <c r="L70" s="784"/>
      <c r="M70" s="939" t="str">
        <f t="shared" ref="M70:M80" si="16">IF(H70&lt;&gt;"",H70,"")</f>
        <v/>
      </c>
      <c r="N70" s="940" t="str">
        <f t="shared" ref="N70:N80" si="17">IF(M70="","",N69)</f>
        <v/>
      </c>
      <c r="O70" s="941">
        <f t="shared" ref="O70:O80" si="18">IF(J69&lt;&gt;O69,O69,J70)</f>
        <v>1</v>
      </c>
      <c r="P70" s="994" t="str">
        <f t="shared" ref="P70:P80" si="19">K70</f>
        <v>n</v>
      </c>
      <c r="Q70" s="938"/>
      <c r="R70" s="812"/>
      <c r="U70" s="805" t="b">
        <f t="shared" ref="U70:U80" si="20">OR(H70="",H70&gt;H69)</f>
        <v>1</v>
      </c>
      <c r="V70" s="812" t="b">
        <f t="shared" ref="V70:V80" si="21">OR(M70="",M70&gt;M69)</f>
        <v>1</v>
      </c>
      <c r="W70" s="826" t="str">
        <f t="shared" si="6"/>
        <v/>
      </c>
      <c r="X70" s="803" t="b">
        <f t="shared" si="7"/>
        <v>0</v>
      </c>
      <c r="Y70" s="826" t="str">
        <f t="shared" si="8"/>
        <v/>
      </c>
      <c r="Z70" s="803" t="b">
        <f t="shared" si="9"/>
        <v>0</v>
      </c>
      <c r="AA70" s="942">
        <f t="shared" si="10"/>
        <v>0</v>
      </c>
      <c r="AB70" s="824" t="b">
        <f t="shared" ref="AB70:AB80" si="22">H69=AD70</f>
        <v>0</v>
      </c>
      <c r="AC70" s="824" t="b">
        <f t="shared" ref="AC70:AC80" si="23">M69=AE70</f>
        <v>0</v>
      </c>
      <c r="AD70" s="824">
        <f>I37</f>
        <v>0</v>
      </c>
      <c r="AE70" s="824">
        <f>M37</f>
        <v>0</v>
      </c>
      <c r="AG70" s="826" t="b">
        <f t="shared" si="11"/>
        <v>0</v>
      </c>
      <c r="AH70" s="826" t="b">
        <f t="shared" si="12"/>
        <v>0</v>
      </c>
      <c r="AJ70" s="792"/>
      <c r="AK70" s="792"/>
      <c r="AM70" s="803" t="b">
        <f>OR(H70="",AND($V$6&lt;=H70,H70&lt;=$V$7))</f>
        <v>1</v>
      </c>
      <c r="AN70" s="803" t="b">
        <f>OR(M70="",AND($V$6&lt;=M70,M70&lt;=$V$7))</f>
        <v>1</v>
      </c>
      <c r="AO70" s="784" t="b">
        <f>OR(H70=$AO$69,M70=$AO$69)</f>
        <v>0</v>
      </c>
      <c r="AP70" s="784">
        <f>AO70*1</f>
        <v>0</v>
      </c>
      <c r="AQ70" s="803" t="b">
        <f t="array" ref="AQ70">OR(AM70:AN70=FALSE)</f>
        <v>0</v>
      </c>
      <c r="AR70" s="803">
        <f>ROW()</f>
        <v>70</v>
      </c>
      <c r="AS70" s="803">
        <f>IF(AM70=FALSE,8,IF(AN70=FALSE,13,8))</f>
        <v>8</v>
      </c>
    </row>
    <row r="71" spans="2:45" ht="18" customHeight="1" x14ac:dyDescent="0.25">
      <c r="B71" s="1075" t="str">
        <f t="shared" ref="B71:B80" si="24">IF(OR(AM71=FALSE,AN71=FALSE),"Date Error &gt;&gt;","")</f>
        <v/>
      </c>
      <c r="D71" s="815"/>
      <c r="E71" s="805"/>
      <c r="F71" s="937">
        <f t="shared" ref="F71:F80" si="25">F70+1</f>
        <v>2</v>
      </c>
      <c r="G71" s="938"/>
      <c r="H71" s="994"/>
      <c r="I71" s="940" t="str">
        <f t="shared" si="13"/>
        <v/>
      </c>
      <c r="J71" s="941">
        <f t="shared" si="14"/>
        <v>1</v>
      </c>
      <c r="K71" s="862" t="str">
        <f t="shared" si="15"/>
        <v>n</v>
      </c>
      <c r="L71" s="784"/>
      <c r="M71" s="939" t="str">
        <f t="shared" si="16"/>
        <v/>
      </c>
      <c r="N71" s="940" t="str">
        <f t="shared" si="17"/>
        <v/>
      </c>
      <c r="O71" s="941">
        <f t="shared" si="18"/>
        <v>1</v>
      </c>
      <c r="P71" s="939" t="str">
        <f t="shared" si="19"/>
        <v>n</v>
      </c>
      <c r="Q71" s="938"/>
      <c r="R71" s="812"/>
      <c r="U71" s="805" t="b">
        <f t="shared" si="20"/>
        <v>1</v>
      </c>
      <c r="V71" s="812" t="b">
        <f t="shared" si="21"/>
        <v>1</v>
      </c>
      <c r="W71" s="826" t="str">
        <f t="shared" si="6"/>
        <v/>
      </c>
      <c r="X71" s="803" t="b">
        <f t="shared" si="7"/>
        <v>0</v>
      </c>
      <c r="Y71" s="826" t="str">
        <f t="shared" si="8"/>
        <v/>
      </c>
      <c r="Z71" s="803" t="b">
        <f t="shared" si="9"/>
        <v>0</v>
      </c>
      <c r="AA71" s="942">
        <f t="shared" si="10"/>
        <v>0</v>
      </c>
      <c r="AB71" s="824" t="b">
        <f t="shared" si="22"/>
        <v>1</v>
      </c>
      <c r="AC71" s="824" t="b">
        <f t="shared" si="23"/>
        <v>0</v>
      </c>
      <c r="AD71" s="824">
        <f t="shared" ref="AD71:AD80" si="26">AD70</f>
        <v>0</v>
      </c>
      <c r="AE71" s="824">
        <f t="shared" ref="AE71:AE80" si="27">AE70</f>
        <v>0</v>
      </c>
      <c r="AG71" s="826" t="b">
        <f t="shared" si="11"/>
        <v>0</v>
      </c>
      <c r="AH71" s="826" t="b">
        <f t="shared" si="12"/>
        <v>0</v>
      </c>
      <c r="AJ71" s="792"/>
      <c r="AK71" s="792"/>
      <c r="AM71" s="803" t="b">
        <f t="shared" ref="AM71:AM80" si="28">OR(H71="",AND($V$6&lt;=H71,H71&lt;=$V$7))</f>
        <v>1</v>
      </c>
      <c r="AN71" s="803" t="b">
        <f t="shared" ref="AN71:AN80" si="29">OR(M71="",AND($V$6&lt;=M71,M71&lt;=$V$7))</f>
        <v>1</v>
      </c>
      <c r="AO71" s="784" t="b">
        <f t="shared" ref="AO71:AO80" si="30">OR(H71=$AO$69,M71=$AO$69)</f>
        <v>0</v>
      </c>
      <c r="AP71" s="784">
        <f t="shared" ref="AP71:AP80" si="31">AO71*1</f>
        <v>0</v>
      </c>
      <c r="AQ71" s="803" t="b">
        <f t="array" ref="AQ71">OR(AM71:AN71=FALSE)</f>
        <v>0</v>
      </c>
      <c r="AR71" s="803">
        <f>ROW()</f>
        <v>71</v>
      </c>
      <c r="AS71" s="803">
        <f t="shared" ref="AS71:AS80" si="32">IF(AM71=FALSE,8,IF(AN71=FALSE,13,8))</f>
        <v>8</v>
      </c>
    </row>
    <row r="72" spans="2:45" ht="18" customHeight="1" x14ac:dyDescent="0.25">
      <c r="B72" s="1075" t="str">
        <f t="shared" si="24"/>
        <v/>
      </c>
      <c r="D72" s="815"/>
      <c r="E72" s="805"/>
      <c r="F72" s="937">
        <f t="shared" si="25"/>
        <v>3</v>
      </c>
      <c r="G72" s="943"/>
      <c r="H72" s="994"/>
      <c r="I72" s="940" t="str">
        <f t="shared" si="13"/>
        <v/>
      </c>
      <c r="J72" s="941">
        <f t="shared" si="14"/>
        <v>1</v>
      </c>
      <c r="K72" s="862" t="str">
        <f t="shared" si="15"/>
        <v>n</v>
      </c>
      <c r="L72" s="784"/>
      <c r="M72" s="939" t="str">
        <f t="shared" si="16"/>
        <v/>
      </c>
      <c r="N72" s="940" t="str">
        <f t="shared" si="17"/>
        <v/>
      </c>
      <c r="O72" s="941">
        <f t="shared" si="18"/>
        <v>1</v>
      </c>
      <c r="P72" s="939" t="str">
        <f t="shared" si="19"/>
        <v>n</v>
      </c>
      <c r="Q72" s="938"/>
      <c r="R72" s="812"/>
      <c r="U72" s="805" t="b">
        <f t="shared" si="20"/>
        <v>1</v>
      </c>
      <c r="V72" s="812" t="b">
        <f t="shared" si="21"/>
        <v>1</v>
      </c>
      <c r="W72" s="826" t="str">
        <f t="shared" si="6"/>
        <v/>
      </c>
      <c r="X72" s="803" t="b">
        <f t="shared" si="7"/>
        <v>0</v>
      </c>
      <c r="Y72" s="826" t="str">
        <f t="shared" si="8"/>
        <v/>
      </c>
      <c r="Z72" s="803" t="b">
        <f t="shared" si="9"/>
        <v>0</v>
      </c>
      <c r="AA72" s="942">
        <f t="shared" si="10"/>
        <v>0</v>
      </c>
      <c r="AB72" s="824" t="b">
        <f t="shared" si="22"/>
        <v>1</v>
      </c>
      <c r="AC72" s="824" t="b">
        <f t="shared" si="23"/>
        <v>0</v>
      </c>
      <c r="AD72" s="824">
        <f t="shared" si="26"/>
        <v>0</v>
      </c>
      <c r="AE72" s="824">
        <f t="shared" si="27"/>
        <v>0</v>
      </c>
      <c r="AG72" s="826" t="b">
        <f t="shared" si="11"/>
        <v>0</v>
      </c>
      <c r="AH72" s="826" t="b">
        <f t="shared" si="12"/>
        <v>0</v>
      </c>
      <c r="AJ72" s="792"/>
      <c r="AK72" s="792"/>
      <c r="AM72" s="803" t="b">
        <f t="shared" si="28"/>
        <v>1</v>
      </c>
      <c r="AN72" s="803" t="b">
        <f t="shared" si="29"/>
        <v>1</v>
      </c>
      <c r="AO72" s="784" t="b">
        <f t="shared" si="30"/>
        <v>0</v>
      </c>
      <c r="AP72" s="784">
        <f t="shared" si="31"/>
        <v>0</v>
      </c>
      <c r="AQ72" s="803" t="b">
        <f t="array" ref="AQ72">OR(AM72:AN72=FALSE)</f>
        <v>0</v>
      </c>
      <c r="AR72" s="803">
        <f>ROW()</f>
        <v>72</v>
      </c>
      <c r="AS72" s="803">
        <f t="shared" si="32"/>
        <v>8</v>
      </c>
    </row>
    <row r="73" spans="2:45" ht="18" customHeight="1" x14ac:dyDescent="0.25">
      <c r="B73" s="1075" t="str">
        <f t="shared" si="24"/>
        <v/>
      </c>
      <c r="D73" s="815"/>
      <c r="E73" s="805"/>
      <c r="F73" s="937">
        <f t="shared" si="25"/>
        <v>4</v>
      </c>
      <c r="G73" s="943"/>
      <c r="H73" s="994"/>
      <c r="I73" s="940" t="str">
        <f t="shared" si="13"/>
        <v/>
      </c>
      <c r="J73" s="941">
        <f t="shared" si="14"/>
        <v>1</v>
      </c>
      <c r="K73" s="862" t="str">
        <f t="shared" si="15"/>
        <v>n</v>
      </c>
      <c r="L73" s="784"/>
      <c r="M73" s="939" t="str">
        <f t="shared" si="16"/>
        <v/>
      </c>
      <c r="N73" s="940" t="str">
        <f t="shared" si="17"/>
        <v/>
      </c>
      <c r="O73" s="941">
        <f t="shared" si="18"/>
        <v>1</v>
      </c>
      <c r="P73" s="939" t="str">
        <f t="shared" si="19"/>
        <v>n</v>
      </c>
      <c r="Q73" s="938"/>
      <c r="R73" s="812"/>
      <c r="U73" s="805" t="b">
        <f t="shared" si="20"/>
        <v>1</v>
      </c>
      <c r="V73" s="812" t="b">
        <f t="shared" si="21"/>
        <v>1</v>
      </c>
      <c r="W73" s="826" t="str">
        <f t="shared" si="6"/>
        <v/>
      </c>
      <c r="X73" s="803" t="b">
        <f t="shared" si="7"/>
        <v>0</v>
      </c>
      <c r="Y73" s="826" t="str">
        <f t="shared" si="8"/>
        <v/>
      </c>
      <c r="Z73" s="803" t="b">
        <f t="shared" si="9"/>
        <v>0</v>
      </c>
      <c r="AA73" s="942">
        <f t="shared" si="10"/>
        <v>0</v>
      </c>
      <c r="AB73" s="824" t="b">
        <f t="shared" si="22"/>
        <v>1</v>
      </c>
      <c r="AC73" s="824" t="b">
        <f t="shared" si="23"/>
        <v>0</v>
      </c>
      <c r="AD73" s="824">
        <f t="shared" si="26"/>
        <v>0</v>
      </c>
      <c r="AE73" s="824">
        <f t="shared" si="27"/>
        <v>0</v>
      </c>
      <c r="AG73" s="826" t="b">
        <f t="shared" si="11"/>
        <v>0</v>
      </c>
      <c r="AH73" s="826" t="b">
        <f t="shared" si="12"/>
        <v>0</v>
      </c>
      <c r="AJ73" s="792"/>
      <c r="AK73" s="792"/>
      <c r="AM73" s="803" t="b">
        <f t="shared" si="28"/>
        <v>1</v>
      </c>
      <c r="AN73" s="803" t="b">
        <f t="shared" si="29"/>
        <v>1</v>
      </c>
      <c r="AO73" s="784" t="b">
        <f t="shared" si="30"/>
        <v>0</v>
      </c>
      <c r="AP73" s="784">
        <f t="shared" si="31"/>
        <v>0</v>
      </c>
      <c r="AQ73" s="803" t="b">
        <f t="array" ref="AQ73">OR(AM73:AN73=FALSE)</f>
        <v>0</v>
      </c>
      <c r="AR73" s="803">
        <f>ROW()</f>
        <v>73</v>
      </c>
      <c r="AS73" s="803">
        <f t="shared" si="32"/>
        <v>8</v>
      </c>
    </row>
    <row r="74" spans="2:45" ht="18" customHeight="1" x14ac:dyDescent="0.25">
      <c r="B74" s="1075" t="str">
        <f t="shared" si="24"/>
        <v/>
      </c>
      <c r="D74" s="815"/>
      <c r="E74" s="805"/>
      <c r="F74" s="937">
        <f t="shared" si="25"/>
        <v>5</v>
      </c>
      <c r="G74" s="943"/>
      <c r="H74" s="994"/>
      <c r="I74" s="940" t="str">
        <f t="shared" si="13"/>
        <v/>
      </c>
      <c r="J74" s="941">
        <f t="shared" si="14"/>
        <v>1</v>
      </c>
      <c r="K74" s="842" t="str">
        <f t="shared" si="15"/>
        <v>n</v>
      </c>
      <c r="L74" s="784"/>
      <c r="M74" s="939" t="str">
        <f t="shared" si="16"/>
        <v/>
      </c>
      <c r="N74" s="940" t="str">
        <f t="shared" si="17"/>
        <v/>
      </c>
      <c r="O74" s="941">
        <f t="shared" si="18"/>
        <v>1</v>
      </c>
      <c r="P74" s="939" t="str">
        <f t="shared" si="19"/>
        <v>n</v>
      </c>
      <c r="Q74" s="938"/>
      <c r="R74" s="812"/>
      <c r="U74" s="805" t="b">
        <f t="shared" si="20"/>
        <v>1</v>
      </c>
      <c r="V74" s="812" t="b">
        <f t="shared" si="21"/>
        <v>1</v>
      </c>
      <c r="W74" s="826" t="str">
        <f t="shared" si="6"/>
        <v/>
      </c>
      <c r="X74" s="803" t="b">
        <f t="shared" si="7"/>
        <v>0</v>
      </c>
      <c r="Y74" s="826" t="str">
        <f t="shared" si="8"/>
        <v/>
      </c>
      <c r="Z74" s="803" t="b">
        <f t="shared" si="9"/>
        <v>0</v>
      </c>
      <c r="AA74" s="942">
        <f t="shared" si="10"/>
        <v>0</v>
      </c>
      <c r="AB74" s="824" t="b">
        <f t="shared" si="22"/>
        <v>1</v>
      </c>
      <c r="AC74" s="824" t="b">
        <f t="shared" si="23"/>
        <v>0</v>
      </c>
      <c r="AD74" s="824">
        <f t="shared" si="26"/>
        <v>0</v>
      </c>
      <c r="AE74" s="824">
        <f t="shared" si="27"/>
        <v>0</v>
      </c>
      <c r="AG74" s="826" t="b">
        <f t="shared" si="11"/>
        <v>0</v>
      </c>
      <c r="AH74" s="826" t="b">
        <f t="shared" si="12"/>
        <v>0</v>
      </c>
      <c r="AJ74" s="792"/>
      <c r="AK74" s="792"/>
      <c r="AM74" s="803" t="b">
        <f t="shared" si="28"/>
        <v>1</v>
      </c>
      <c r="AN74" s="803" t="b">
        <f t="shared" si="29"/>
        <v>1</v>
      </c>
      <c r="AO74" s="784" t="b">
        <f t="shared" si="30"/>
        <v>0</v>
      </c>
      <c r="AP74" s="784">
        <f t="shared" si="31"/>
        <v>0</v>
      </c>
      <c r="AQ74" s="803" t="b">
        <f t="array" ref="AQ74">OR(AM74:AN74=FALSE)</f>
        <v>0</v>
      </c>
      <c r="AR74" s="803">
        <f>ROW()</f>
        <v>74</v>
      </c>
      <c r="AS74" s="803">
        <f t="shared" si="32"/>
        <v>8</v>
      </c>
    </row>
    <row r="75" spans="2:45" ht="18" customHeight="1" x14ac:dyDescent="0.25">
      <c r="B75" s="1075" t="str">
        <f t="shared" si="24"/>
        <v/>
      </c>
      <c r="D75" s="815"/>
      <c r="E75" s="805"/>
      <c r="F75" s="937">
        <f t="shared" si="25"/>
        <v>6</v>
      </c>
      <c r="G75" s="943"/>
      <c r="H75" s="994"/>
      <c r="I75" s="940" t="str">
        <f t="shared" si="13"/>
        <v/>
      </c>
      <c r="J75" s="941">
        <f t="shared" si="14"/>
        <v>1</v>
      </c>
      <c r="K75" s="842" t="str">
        <f t="shared" si="15"/>
        <v>n</v>
      </c>
      <c r="L75" s="784"/>
      <c r="M75" s="939" t="str">
        <f t="shared" si="16"/>
        <v/>
      </c>
      <c r="N75" s="940" t="str">
        <f t="shared" si="17"/>
        <v/>
      </c>
      <c r="O75" s="941">
        <f t="shared" si="18"/>
        <v>1</v>
      </c>
      <c r="P75" s="939" t="str">
        <f t="shared" si="19"/>
        <v>n</v>
      </c>
      <c r="Q75" s="938"/>
      <c r="R75" s="812"/>
      <c r="U75" s="805" t="b">
        <f t="shared" si="20"/>
        <v>1</v>
      </c>
      <c r="V75" s="812" t="b">
        <f t="shared" si="21"/>
        <v>1</v>
      </c>
      <c r="W75" s="826" t="str">
        <f t="shared" si="6"/>
        <v/>
      </c>
      <c r="X75" s="803" t="b">
        <f t="shared" si="7"/>
        <v>0</v>
      </c>
      <c r="Y75" s="826" t="str">
        <f t="shared" si="8"/>
        <v/>
      </c>
      <c r="Z75" s="803" t="b">
        <f t="shared" si="9"/>
        <v>0</v>
      </c>
      <c r="AA75" s="942">
        <f t="shared" si="10"/>
        <v>0</v>
      </c>
      <c r="AB75" s="824" t="b">
        <f t="shared" si="22"/>
        <v>1</v>
      </c>
      <c r="AC75" s="824" t="b">
        <f t="shared" si="23"/>
        <v>0</v>
      </c>
      <c r="AD75" s="824">
        <f t="shared" si="26"/>
        <v>0</v>
      </c>
      <c r="AE75" s="824">
        <f t="shared" si="27"/>
        <v>0</v>
      </c>
      <c r="AG75" s="826" t="b">
        <f t="shared" si="11"/>
        <v>0</v>
      </c>
      <c r="AH75" s="826" t="b">
        <f t="shared" si="12"/>
        <v>0</v>
      </c>
      <c r="AJ75" s="792"/>
      <c r="AK75" s="792"/>
      <c r="AM75" s="803" t="b">
        <f t="shared" si="28"/>
        <v>1</v>
      </c>
      <c r="AN75" s="803" t="b">
        <f t="shared" si="29"/>
        <v>1</v>
      </c>
      <c r="AO75" s="784" t="b">
        <f t="shared" si="30"/>
        <v>0</v>
      </c>
      <c r="AP75" s="784">
        <f t="shared" si="31"/>
        <v>0</v>
      </c>
      <c r="AQ75" s="803" t="b">
        <f t="array" ref="AQ75">OR(AM75:AN75=FALSE)</f>
        <v>0</v>
      </c>
      <c r="AR75" s="803">
        <f>ROW()</f>
        <v>75</v>
      </c>
      <c r="AS75" s="803">
        <f t="shared" si="32"/>
        <v>8</v>
      </c>
    </row>
    <row r="76" spans="2:45" ht="18" customHeight="1" x14ac:dyDescent="0.25">
      <c r="B76" s="1075" t="str">
        <f t="shared" si="24"/>
        <v/>
      </c>
      <c r="D76" s="815"/>
      <c r="E76" s="805"/>
      <c r="F76" s="937">
        <f t="shared" si="25"/>
        <v>7</v>
      </c>
      <c r="G76" s="943"/>
      <c r="H76" s="994"/>
      <c r="I76" s="940" t="str">
        <f t="shared" si="13"/>
        <v/>
      </c>
      <c r="J76" s="941">
        <f t="shared" si="14"/>
        <v>1</v>
      </c>
      <c r="K76" s="842" t="str">
        <f t="shared" si="15"/>
        <v>n</v>
      </c>
      <c r="L76" s="784"/>
      <c r="M76" s="939" t="str">
        <f t="shared" si="16"/>
        <v/>
      </c>
      <c r="N76" s="940" t="str">
        <f t="shared" si="17"/>
        <v/>
      </c>
      <c r="O76" s="941">
        <f t="shared" si="18"/>
        <v>1</v>
      </c>
      <c r="P76" s="939" t="str">
        <f t="shared" si="19"/>
        <v>n</v>
      </c>
      <c r="Q76" s="938"/>
      <c r="R76" s="812"/>
      <c r="U76" s="805" t="b">
        <f t="shared" si="20"/>
        <v>1</v>
      </c>
      <c r="V76" s="812" t="b">
        <f t="shared" si="21"/>
        <v>1</v>
      </c>
      <c r="W76" s="826" t="str">
        <f t="shared" si="6"/>
        <v/>
      </c>
      <c r="X76" s="803" t="b">
        <f t="shared" si="7"/>
        <v>0</v>
      </c>
      <c r="Y76" s="826" t="str">
        <f t="shared" si="8"/>
        <v/>
      </c>
      <c r="Z76" s="803" t="b">
        <f t="shared" si="9"/>
        <v>0</v>
      </c>
      <c r="AA76" s="942">
        <f t="shared" si="10"/>
        <v>0</v>
      </c>
      <c r="AB76" s="824" t="b">
        <f t="shared" si="22"/>
        <v>1</v>
      </c>
      <c r="AC76" s="824" t="b">
        <f t="shared" si="23"/>
        <v>0</v>
      </c>
      <c r="AD76" s="824">
        <f t="shared" si="26"/>
        <v>0</v>
      </c>
      <c r="AE76" s="824">
        <f t="shared" si="27"/>
        <v>0</v>
      </c>
      <c r="AG76" s="826" t="b">
        <f t="shared" si="11"/>
        <v>0</v>
      </c>
      <c r="AH76" s="826" t="b">
        <f t="shared" si="12"/>
        <v>0</v>
      </c>
      <c r="AJ76" s="792"/>
      <c r="AK76" s="792"/>
      <c r="AM76" s="803" t="b">
        <f t="shared" si="28"/>
        <v>1</v>
      </c>
      <c r="AN76" s="803" t="b">
        <f t="shared" si="29"/>
        <v>1</v>
      </c>
      <c r="AO76" s="784" t="b">
        <f t="shared" si="30"/>
        <v>0</v>
      </c>
      <c r="AP76" s="784">
        <f t="shared" si="31"/>
        <v>0</v>
      </c>
      <c r="AQ76" s="803" t="b">
        <f t="array" ref="AQ76">OR(AM76:AN76=FALSE)</f>
        <v>0</v>
      </c>
      <c r="AR76" s="803">
        <f>ROW()</f>
        <v>76</v>
      </c>
      <c r="AS76" s="803">
        <f t="shared" si="32"/>
        <v>8</v>
      </c>
    </row>
    <row r="77" spans="2:45" ht="18" customHeight="1" x14ac:dyDescent="0.25">
      <c r="B77" s="1075" t="str">
        <f t="shared" si="24"/>
        <v/>
      </c>
      <c r="D77" s="815"/>
      <c r="E77" s="805"/>
      <c r="F77" s="937">
        <f t="shared" si="25"/>
        <v>8</v>
      </c>
      <c r="G77" s="943"/>
      <c r="H77" s="994"/>
      <c r="I77" s="940" t="str">
        <f t="shared" si="13"/>
        <v/>
      </c>
      <c r="J77" s="941">
        <f t="shared" si="14"/>
        <v>1</v>
      </c>
      <c r="K77" s="842" t="str">
        <f t="shared" si="15"/>
        <v>n</v>
      </c>
      <c r="L77" s="784"/>
      <c r="M77" s="939" t="str">
        <f t="shared" si="16"/>
        <v/>
      </c>
      <c r="N77" s="940" t="str">
        <f t="shared" si="17"/>
        <v/>
      </c>
      <c r="O77" s="941">
        <f t="shared" si="18"/>
        <v>1</v>
      </c>
      <c r="P77" s="939" t="str">
        <f t="shared" si="19"/>
        <v>n</v>
      </c>
      <c r="Q77" s="938"/>
      <c r="R77" s="812"/>
      <c r="U77" s="805" t="b">
        <f t="shared" si="20"/>
        <v>1</v>
      </c>
      <c r="V77" s="812" t="b">
        <f t="shared" si="21"/>
        <v>1</v>
      </c>
      <c r="W77" s="826" t="str">
        <f t="shared" si="6"/>
        <v/>
      </c>
      <c r="X77" s="803" t="b">
        <f t="shared" si="7"/>
        <v>0</v>
      </c>
      <c r="Y77" s="826" t="str">
        <f t="shared" si="8"/>
        <v/>
      </c>
      <c r="Z77" s="803" t="b">
        <f t="shared" si="9"/>
        <v>0</v>
      </c>
      <c r="AA77" s="942">
        <f t="shared" si="10"/>
        <v>0</v>
      </c>
      <c r="AB77" s="824" t="b">
        <f t="shared" si="22"/>
        <v>1</v>
      </c>
      <c r="AC77" s="824" t="b">
        <f t="shared" si="23"/>
        <v>0</v>
      </c>
      <c r="AD77" s="824">
        <f t="shared" si="26"/>
        <v>0</v>
      </c>
      <c r="AE77" s="824">
        <f t="shared" si="27"/>
        <v>0</v>
      </c>
      <c r="AG77" s="826" t="b">
        <f t="shared" si="11"/>
        <v>0</v>
      </c>
      <c r="AH77" s="826" t="b">
        <f t="shared" si="12"/>
        <v>0</v>
      </c>
      <c r="AJ77" s="792"/>
      <c r="AK77" s="792"/>
      <c r="AM77" s="803" t="b">
        <f t="shared" si="28"/>
        <v>1</v>
      </c>
      <c r="AN77" s="803" t="b">
        <f t="shared" si="29"/>
        <v>1</v>
      </c>
      <c r="AO77" s="784" t="b">
        <f t="shared" si="30"/>
        <v>0</v>
      </c>
      <c r="AP77" s="784">
        <f t="shared" si="31"/>
        <v>0</v>
      </c>
      <c r="AQ77" s="803" t="b">
        <f t="array" ref="AQ77">OR(AM77:AN77=FALSE)</f>
        <v>0</v>
      </c>
      <c r="AR77" s="803">
        <f>ROW()</f>
        <v>77</v>
      </c>
      <c r="AS77" s="803">
        <f t="shared" si="32"/>
        <v>8</v>
      </c>
    </row>
    <row r="78" spans="2:45" ht="18" customHeight="1" x14ac:dyDescent="0.25">
      <c r="B78" s="1075" t="str">
        <f t="shared" si="24"/>
        <v/>
      </c>
      <c r="D78" s="815"/>
      <c r="E78" s="805"/>
      <c r="F78" s="937">
        <f t="shared" si="25"/>
        <v>9</v>
      </c>
      <c r="G78" s="943"/>
      <c r="H78" s="994"/>
      <c r="I78" s="940" t="str">
        <f t="shared" si="13"/>
        <v/>
      </c>
      <c r="J78" s="941">
        <f t="shared" si="14"/>
        <v>1</v>
      </c>
      <c r="K78" s="842" t="str">
        <f t="shared" si="15"/>
        <v>n</v>
      </c>
      <c r="L78" s="784"/>
      <c r="M78" s="939" t="str">
        <f t="shared" si="16"/>
        <v/>
      </c>
      <c r="N78" s="940" t="str">
        <f t="shared" si="17"/>
        <v/>
      </c>
      <c r="O78" s="941">
        <f t="shared" si="18"/>
        <v>1</v>
      </c>
      <c r="P78" s="939" t="str">
        <f t="shared" si="19"/>
        <v>n</v>
      </c>
      <c r="Q78" s="938"/>
      <c r="R78" s="812"/>
      <c r="U78" s="805" t="b">
        <f t="shared" si="20"/>
        <v>1</v>
      </c>
      <c r="V78" s="812" t="b">
        <f t="shared" si="21"/>
        <v>1</v>
      </c>
      <c r="W78" s="826" t="str">
        <f t="shared" si="6"/>
        <v/>
      </c>
      <c r="X78" s="803" t="b">
        <f t="shared" si="7"/>
        <v>0</v>
      </c>
      <c r="Y78" s="826" t="str">
        <f t="shared" si="8"/>
        <v/>
      </c>
      <c r="Z78" s="803" t="b">
        <f t="shared" si="9"/>
        <v>0</v>
      </c>
      <c r="AA78" s="942">
        <f t="shared" si="10"/>
        <v>0</v>
      </c>
      <c r="AB78" s="824" t="b">
        <f t="shared" si="22"/>
        <v>1</v>
      </c>
      <c r="AC78" s="824" t="b">
        <f t="shared" si="23"/>
        <v>0</v>
      </c>
      <c r="AD78" s="824">
        <f t="shared" si="26"/>
        <v>0</v>
      </c>
      <c r="AE78" s="824">
        <f t="shared" si="27"/>
        <v>0</v>
      </c>
      <c r="AG78" s="826" t="b">
        <f t="shared" si="11"/>
        <v>0</v>
      </c>
      <c r="AH78" s="826" t="b">
        <f t="shared" si="12"/>
        <v>0</v>
      </c>
      <c r="AJ78" s="792"/>
      <c r="AK78" s="792"/>
      <c r="AM78" s="803" t="b">
        <f t="shared" si="28"/>
        <v>1</v>
      </c>
      <c r="AN78" s="803" t="b">
        <f t="shared" si="29"/>
        <v>1</v>
      </c>
      <c r="AO78" s="784" t="b">
        <f t="shared" si="30"/>
        <v>0</v>
      </c>
      <c r="AP78" s="784">
        <f t="shared" si="31"/>
        <v>0</v>
      </c>
      <c r="AQ78" s="803" t="b">
        <f t="array" ref="AQ78">OR(AM78:AN78=FALSE)</f>
        <v>0</v>
      </c>
      <c r="AR78" s="803">
        <f>ROW()</f>
        <v>78</v>
      </c>
      <c r="AS78" s="803">
        <f t="shared" si="32"/>
        <v>8</v>
      </c>
    </row>
    <row r="79" spans="2:45" ht="18" customHeight="1" x14ac:dyDescent="0.25">
      <c r="B79" s="1075" t="str">
        <f t="shared" si="24"/>
        <v/>
      </c>
      <c r="D79" s="815"/>
      <c r="E79" s="805"/>
      <c r="F79" s="937">
        <f t="shared" si="25"/>
        <v>10</v>
      </c>
      <c r="G79" s="943"/>
      <c r="H79" s="994"/>
      <c r="I79" s="940" t="str">
        <f t="shared" si="13"/>
        <v/>
      </c>
      <c r="J79" s="941">
        <f t="shared" si="14"/>
        <v>1</v>
      </c>
      <c r="K79" s="842" t="str">
        <f t="shared" si="15"/>
        <v>n</v>
      </c>
      <c r="L79" s="784"/>
      <c r="M79" s="939" t="str">
        <f t="shared" si="16"/>
        <v/>
      </c>
      <c r="N79" s="940" t="str">
        <f t="shared" si="17"/>
        <v/>
      </c>
      <c r="O79" s="941">
        <f t="shared" si="18"/>
        <v>1</v>
      </c>
      <c r="P79" s="939" t="str">
        <f t="shared" si="19"/>
        <v>n</v>
      </c>
      <c r="Q79" s="938"/>
      <c r="R79" s="812"/>
      <c r="U79" s="805" t="b">
        <f t="shared" si="20"/>
        <v>1</v>
      </c>
      <c r="V79" s="812" t="b">
        <f t="shared" si="21"/>
        <v>1</v>
      </c>
      <c r="W79" s="826" t="str">
        <f t="shared" si="6"/>
        <v/>
      </c>
      <c r="X79" s="803" t="b">
        <f t="shared" si="7"/>
        <v>0</v>
      </c>
      <c r="Y79" s="826" t="str">
        <f t="shared" si="8"/>
        <v/>
      </c>
      <c r="Z79" s="803" t="b">
        <f t="shared" si="9"/>
        <v>0</v>
      </c>
      <c r="AA79" s="942">
        <f t="shared" si="10"/>
        <v>0</v>
      </c>
      <c r="AB79" s="824" t="b">
        <f t="shared" si="22"/>
        <v>1</v>
      </c>
      <c r="AC79" s="824" t="b">
        <f t="shared" si="23"/>
        <v>0</v>
      </c>
      <c r="AD79" s="824">
        <f t="shared" si="26"/>
        <v>0</v>
      </c>
      <c r="AE79" s="824">
        <f t="shared" si="27"/>
        <v>0</v>
      </c>
      <c r="AG79" s="826" t="b">
        <f t="shared" si="11"/>
        <v>0</v>
      </c>
      <c r="AH79" s="826" t="b">
        <f t="shared" si="12"/>
        <v>0</v>
      </c>
      <c r="AJ79" s="792"/>
      <c r="AK79" s="792"/>
      <c r="AM79" s="803" t="b">
        <f t="shared" si="28"/>
        <v>1</v>
      </c>
      <c r="AN79" s="803" t="b">
        <f t="shared" si="29"/>
        <v>1</v>
      </c>
      <c r="AO79" s="784" t="b">
        <f t="shared" si="30"/>
        <v>0</v>
      </c>
      <c r="AP79" s="784">
        <f t="shared" si="31"/>
        <v>0</v>
      </c>
      <c r="AQ79" s="803" t="b">
        <f t="array" ref="AQ79">OR(AM79:AN79=FALSE)</f>
        <v>0</v>
      </c>
      <c r="AR79" s="803">
        <f>ROW()</f>
        <v>79</v>
      </c>
      <c r="AS79" s="803">
        <f t="shared" si="32"/>
        <v>8</v>
      </c>
    </row>
    <row r="80" spans="2:45" ht="18" customHeight="1" x14ac:dyDescent="0.25">
      <c r="B80" s="1075" t="str">
        <f t="shared" si="24"/>
        <v/>
      </c>
      <c r="D80" s="815"/>
      <c r="E80" s="805"/>
      <c r="F80" s="937">
        <f t="shared" si="25"/>
        <v>11</v>
      </c>
      <c r="G80" s="943"/>
      <c r="H80" s="994"/>
      <c r="I80" s="940" t="str">
        <f t="shared" si="13"/>
        <v/>
      </c>
      <c r="J80" s="941">
        <f t="shared" si="14"/>
        <v>1</v>
      </c>
      <c r="K80" s="842" t="str">
        <f t="shared" si="15"/>
        <v>n</v>
      </c>
      <c r="L80" s="784"/>
      <c r="M80" s="939" t="str">
        <f t="shared" si="16"/>
        <v/>
      </c>
      <c r="N80" s="940" t="str">
        <f t="shared" si="17"/>
        <v/>
      </c>
      <c r="O80" s="941">
        <f t="shared" si="18"/>
        <v>1</v>
      </c>
      <c r="P80" s="939" t="str">
        <f t="shared" si="19"/>
        <v>n</v>
      </c>
      <c r="Q80" s="938"/>
      <c r="R80" s="812"/>
      <c r="U80" s="805" t="b">
        <f t="shared" si="20"/>
        <v>1</v>
      </c>
      <c r="V80" s="812" t="b">
        <f t="shared" si="21"/>
        <v>1</v>
      </c>
      <c r="W80" s="826" t="str">
        <f t="shared" si="6"/>
        <v/>
      </c>
      <c r="X80" s="803" t="b">
        <f t="shared" si="7"/>
        <v>0</v>
      </c>
      <c r="Y80" s="826" t="str">
        <f t="shared" si="8"/>
        <v/>
      </c>
      <c r="Z80" s="803" t="b">
        <f t="shared" si="9"/>
        <v>0</v>
      </c>
      <c r="AA80" s="942">
        <f t="shared" si="10"/>
        <v>0</v>
      </c>
      <c r="AB80" s="824" t="b">
        <f t="shared" si="22"/>
        <v>1</v>
      </c>
      <c r="AC80" s="824" t="b">
        <f t="shared" si="23"/>
        <v>0</v>
      </c>
      <c r="AD80" s="824">
        <f t="shared" si="26"/>
        <v>0</v>
      </c>
      <c r="AE80" s="824">
        <f t="shared" si="27"/>
        <v>0</v>
      </c>
      <c r="AG80" s="826" t="b">
        <f t="shared" si="11"/>
        <v>0</v>
      </c>
      <c r="AH80" s="826" t="b">
        <f t="shared" si="12"/>
        <v>0</v>
      </c>
      <c r="AJ80" s="792"/>
      <c r="AK80" s="792"/>
      <c r="AM80" s="803" t="b">
        <f t="shared" si="28"/>
        <v>1</v>
      </c>
      <c r="AN80" s="803" t="b">
        <f t="shared" si="29"/>
        <v>1</v>
      </c>
      <c r="AO80" s="784" t="b">
        <f t="shared" si="30"/>
        <v>0</v>
      </c>
      <c r="AP80" s="784">
        <f t="shared" si="31"/>
        <v>0</v>
      </c>
      <c r="AQ80" s="803" t="b">
        <f t="array" ref="AQ80">OR(AM80:AN80=FALSE)</f>
        <v>0</v>
      </c>
      <c r="AR80" s="803">
        <f>ROW()</f>
        <v>80</v>
      </c>
      <c r="AS80" s="803">
        <f t="shared" si="32"/>
        <v>8</v>
      </c>
    </row>
    <row r="81" spans="1:42" ht="18" customHeight="1" x14ac:dyDescent="0.25">
      <c r="D81" s="815"/>
      <c r="E81" s="847"/>
      <c r="F81" s="848"/>
      <c r="G81" s="848"/>
      <c r="H81" s="848"/>
      <c r="I81" s="848"/>
      <c r="J81" s="848"/>
      <c r="K81" s="848"/>
      <c r="L81" s="848"/>
      <c r="M81" s="848"/>
      <c r="N81" s="848"/>
      <c r="O81" s="848"/>
      <c r="P81" s="848"/>
      <c r="Q81" s="848"/>
      <c r="R81" s="851"/>
      <c r="U81" s="944">
        <f>U80+U79+U78+U77+U76+U75+U74+U73+U72+U71+U70</f>
        <v>11</v>
      </c>
      <c r="V81" s="945">
        <f>V80+V79+V78+V77+V76+V75+V74+V73+V72+V71+V70</f>
        <v>11</v>
      </c>
      <c r="W81" s="827"/>
      <c r="X81" s="832"/>
      <c r="Y81" s="832"/>
      <c r="Z81" s="833"/>
      <c r="AA81" s="942">
        <f>SUM(AA69:AA80)</f>
        <v>0</v>
      </c>
      <c r="AC81" s="863"/>
      <c r="AD81" s="824"/>
      <c r="AE81" s="824"/>
      <c r="AG81" s="784" t="b">
        <f>AG69+AG70+AG71+AG72+AG73+AG74+AG75+AG76+AG77+AG78+AG79+AG80&gt;0</f>
        <v>0</v>
      </c>
      <c r="AH81" s="784" t="b">
        <f>AH69+AH70+AH71+AH72+AH73+AH74+AH75+AH76+AH77+AH78+AH79+AH80&gt;0</f>
        <v>0</v>
      </c>
      <c r="AJ81" s="792"/>
      <c r="AK81" s="792"/>
      <c r="AM81" s="2338" t="b">
        <f t="array" ref="AM81">OR(AM70:AM80=FALSE)</f>
        <v>0</v>
      </c>
      <c r="AN81" s="2338" t="b">
        <f t="array" ref="AN81">OR(AN70:AN80=FALSE)</f>
        <v>0</v>
      </c>
      <c r="AP81" s="784">
        <f>SUM(AP70:AP80)</f>
        <v>0</v>
      </c>
    </row>
    <row r="82" spans="1:42" ht="5.15" customHeight="1" x14ac:dyDescent="0.25">
      <c r="D82" s="815"/>
      <c r="E82" s="815"/>
      <c r="F82" s="815"/>
      <c r="G82" s="815"/>
      <c r="H82" s="815"/>
      <c r="I82" s="815"/>
      <c r="J82" s="815"/>
      <c r="K82" s="815"/>
      <c r="L82" s="815"/>
      <c r="M82" s="815"/>
      <c r="N82" s="815"/>
      <c r="O82" s="815"/>
      <c r="P82" s="815"/>
      <c r="Q82" s="815"/>
      <c r="U82" s="944"/>
      <c r="V82" s="945"/>
      <c r="W82" s="863"/>
      <c r="X82" s="863"/>
      <c r="AC82" s="863"/>
      <c r="AD82" s="824"/>
      <c r="AE82" s="824"/>
      <c r="AF82" s="824"/>
      <c r="AG82" s="824"/>
      <c r="AJ82" s="792"/>
      <c r="AK82" s="792"/>
      <c r="AL82" s="858"/>
    </row>
    <row r="83" spans="1:42" ht="6" customHeight="1" x14ac:dyDescent="0.25">
      <c r="U83" s="944"/>
      <c r="V83" s="945"/>
      <c r="W83" s="863"/>
      <c r="X83" s="863"/>
      <c r="AC83" s="863"/>
      <c r="AD83" s="824"/>
      <c r="AE83" s="824"/>
      <c r="AF83" s="824"/>
      <c r="AG83" s="824"/>
      <c r="AJ83" s="792"/>
      <c r="AK83" s="792"/>
      <c r="AL83" s="858"/>
    </row>
    <row r="84" spans="1:42" ht="14.25" customHeight="1" x14ac:dyDescent="0.25">
      <c r="E84" s="795"/>
      <c r="F84" s="796"/>
      <c r="G84" s="796"/>
      <c r="H84" s="796" t="str">
        <f>IF(AA81&gt;0,text!B71,"")</f>
        <v/>
      </c>
      <c r="I84" s="796"/>
      <c r="J84" s="796"/>
      <c r="K84" s="796"/>
      <c r="L84" s="796"/>
      <c r="M84" s="796"/>
      <c r="N84" s="796"/>
      <c r="O84" s="796"/>
      <c r="P84" s="796"/>
      <c r="Q84" s="796"/>
      <c r="R84" s="798"/>
      <c r="U84" s="944"/>
      <c r="V84" s="945"/>
      <c r="W84" s="863"/>
      <c r="X84" s="863"/>
      <c r="AD84" s="824" t="b">
        <f>H80=AF85</f>
        <v>1</v>
      </c>
      <c r="AE84" s="824" t="b">
        <f>M80=AG85</f>
        <v>0</v>
      </c>
      <c r="AF84" s="824"/>
      <c r="AG84" s="824"/>
      <c r="AL84" s="858"/>
    </row>
    <row r="85" spans="1:42" ht="18" customHeight="1" x14ac:dyDescent="0.25">
      <c r="D85" s="815"/>
      <c r="E85" s="805"/>
      <c r="F85" s="784"/>
      <c r="G85" s="819" t="str">
        <f ca="1">IF(AB3=FALSE,"Licence Expired or Basic Only",IF(W103=FALSE,"Values will not be displayed - There are errors to correct or input to complete - see message on Row "&amp;ROW(H66),""))</f>
        <v/>
      </c>
      <c r="H85" s="784"/>
      <c r="I85" s="784"/>
      <c r="J85" s="784"/>
      <c r="K85" s="784"/>
      <c r="L85" s="784"/>
      <c r="M85" s="784"/>
      <c r="N85" s="784"/>
      <c r="O85" s="784"/>
      <c r="P85" s="784"/>
      <c r="Q85" s="784"/>
      <c r="R85" s="812"/>
      <c r="V85" s="800" t="str">
        <f>W64</f>
        <v>yes</v>
      </c>
      <c r="X85" s="784" t="s">
        <v>991</v>
      </c>
      <c r="AD85" s="826">
        <f>AB70+AB71+AB72+AB73+AB74+AB75+AB76+AB77+AB78+AB79+AB80+AD84</f>
        <v>11</v>
      </c>
      <c r="AE85" s="826">
        <f>AC70+AC71+AC72+AC73+AC74+AC75+AC76+AC77+AC78+AC79+AC80+AE84</f>
        <v>0</v>
      </c>
      <c r="AF85" s="824">
        <f>AD80</f>
        <v>0</v>
      </c>
      <c r="AG85" s="824">
        <f>AE80</f>
        <v>0</v>
      </c>
      <c r="AL85" s="858"/>
    </row>
    <row r="86" spans="1:42" ht="19.5" customHeight="1" x14ac:dyDescent="0.3">
      <c r="D86" s="815"/>
      <c r="E86" s="805"/>
      <c r="F86" s="816"/>
      <c r="G86" s="946" t="s">
        <v>992</v>
      </c>
      <c r="H86" s="947" t="s">
        <v>993</v>
      </c>
      <c r="I86" s="948" t="s">
        <v>994</v>
      </c>
      <c r="J86" s="948"/>
      <c r="K86" s="949"/>
      <c r="L86" s="848"/>
      <c r="M86" s="950" t="str">
        <f>H86</f>
        <v>phased/true</v>
      </c>
      <c r="N86" s="951" t="s">
        <v>995</v>
      </c>
      <c r="O86" s="952"/>
      <c r="P86" s="953"/>
      <c r="Q86" s="954" t="s">
        <v>839</v>
      </c>
      <c r="R86" s="812"/>
      <c r="W86" s="955" t="s">
        <v>996</v>
      </c>
      <c r="X86" s="955" t="s">
        <v>419</v>
      </c>
      <c r="Y86" s="955" t="s">
        <v>997</v>
      </c>
      <c r="Z86" s="955" t="s">
        <v>998</v>
      </c>
      <c r="AF86" s="803" t="b">
        <f>OR(I37="",AD85&gt;0)</f>
        <v>1</v>
      </c>
      <c r="AG86" s="803" t="b">
        <f>OR(M37="",AE85&gt;0)</f>
        <v>1</v>
      </c>
    </row>
    <row r="87" spans="1:42" ht="13.5" customHeight="1" x14ac:dyDescent="0.35">
      <c r="D87" s="815"/>
      <c r="E87" s="805"/>
      <c r="F87" s="956"/>
      <c r="G87" s="859" t="str">
        <f ca="1">J16</f>
        <v/>
      </c>
      <c r="H87" s="784"/>
      <c r="I87" s="784"/>
      <c r="J87" s="784"/>
      <c r="K87" s="784"/>
      <c r="L87" s="784"/>
      <c r="M87" s="859" t="str">
        <f ca="1">L16</f>
        <v/>
      </c>
      <c r="N87" s="784"/>
      <c r="O87" s="784"/>
      <c r="P87" s="784"/>
      <c r="Q87" s="784"/>
      <c r="R87" s="812"/>
      <c r="U87" s="863" t="s">
        <v>999</v>
      </c>
      <c r="W87" s="803" t="b">
        <f>OR(V65=FALSE,W65=FALSE)</f>
        <v>0</v>
      </c>
      <c r="X87" s="803" t="str">
        <f>"Dates are out of sequence"&amp;". "&amp;AP69</f>
        <v xml:space="preserve">Dates are out of sequence. </v>
      </c>
      <c r="Y87" s="826">
        <v>55</v>
      </c>
      <c r="Z87" s="826">
        <v>6</v>
      </c>
      <c r="AC87" s="1057"/>
      <c r="AD87" s="1057"/>
      <c r="AE87" s="1057"/>
      <c r="AF87" s="1057"/>
    </row>
    <row r="88" spans="1:42" ht="22.5" customHeight="1" x14ac:dyDescent="0.35">
      <c r="D88" s="815"/>
      <c r="E88" s="805"/>
      <c r="F88" s="956" t="str">
        <f>IF(AC88=TRUE,"Local Disc","")</f>
        <v/>
      </c>
      <c r="G88" s="784" t="str">
        <f>text!F9</f>
        <v xml:space="preserve">2023/24 </v>
      </c>
      <c r="H88" s="957" t="str">
        <f>"  "&amp;workings1!AK15</f>
        <v xml:space="preserve">  True</v>
      </c>
      <c r="I88" s="958">
        <f ca="1">workings1!T15*W103</f>
        <v>0</v>
      </c>
      <c r="J88" s="841" t="str">
        <f>workings1!AN15</f>
        <v/>
      </c>
      <c r="K88" s="784"/>
      <c r="L88" s="885" t="str">
        <f>IF(AF88=TRUE,"LD","")</f>
        <v/>
      </c>
      <c r="M88" s="784" t="str">
        <f>workings2!AK15</f>
        <v>True</v>
      </c>
      <c r="N88" s="958">
        <f ca="1">workings2!T15*W103</f>
        <v>0</v>
      </c>
      <c r="O88" s="841" t="str">
        <f>workings2!AN15</f>
        <v/>
      </c>
      <c r="P88" s="784"/>
      <c r="Q88" s="959">
        <f ca="1">I88-N88</f>
        <v>0</v>
      </c>
      <c r="R88" s="812"/>
      <c r="U88" s="784" t="b">
        <f ca="1">Q88&lt;0</f>
        <v>0</v>
      </c>
      <c r="W88" s="803" t="b">
        <f t="array" ref="W88">OR(AM81:AN81=TRUE)</f>
        <v>0</v>
      </c>
      <c r="X88" s="799" t="str">
        <f>"Date must be between "&amp;W6&amp;" and "&amp;W7</f>
        <v>Date must be between 01/04/23 and 31/03/26</v>
      </c>
      <c r="Y88" s="826" t="e">
        <f>VLOOKUP(TRUE,AQ70:AS80,2,FALSE)</f>
        <v>#N/A</v>
      </c>
      <c r="Z88" s="826" t="e">
        <f>VLOOKUP(TRUE,AQ70:AS80,3,FALSE)</f>
        <v>#N/A</v>
      </c>
      <c r="AC88" s="1057"/>
      <c r="AD88" s="1057"/>
      <c r="AE88" s="1057"/>
      <c r="AF88" s="1057"/>
    </row>
    <row r="89" spans="1:42" ht="18" customHeight="1" x14ac:dyDescent="0.35">
      <c r="D89" s="815"/>
      <c r="E89" s="805"/>
      <c r="F89" s="956" t="str">
        <f>IF(AC89=TRUE,"Local Disc","")</f>
        <v/>
      </c>
      <c r="G89" s="784" t="str">
        <f>text!F10</f>
        <v xml:space="preserve">2024/25 </v>
      </c>
      <c r="H89" s="957" t="str">
        <f ca="1">"  "&amp;workings1!AK28</f>
        <v xml:space="preserve">  True</v>
      </c>
      <c r="I89" s="958">
        <f ca="1">workings1!T28*W103</f>
        <v>0</v>
      </c>
      <c r="J89" s="841" t="str">
        <f ca="1">workings1!AN28</f>
        <v/>
      </c>
      <c r="K89" s="784"/>
      <c r="L89" s="885" t="str">
        <f>IF(AF89=TRUE,"LD","")</f>
        <v/>
      </c>
      <c r="M89" s="784" t="str">
        <f ca="1">workings2!AK28</f>
        <v>True</v>
      </c>
      <c r="N89" s="958">
        <f ca="1">workings2!T28*W103</f>
        <v>0</v>
      </c>
      <c r="O89" s="841" t="str">
        <f ca="1">workings2!AN28</f>
        <v/>
      </c>
      <c r="P89" s="784"/>
      <c r="Q89" s="959">
        <f ca="1">I89-N89</f>
        <v>0</v>
      </c>
      <c r="R89" s="812"/>
      <c r="U89" s="784" t="b">
        <f ca="1">Q89&lt;0</f>
        <v>0</v>
      </c>
      <c r="W89" s="803" t="b">
        <f ca="1">AB3=FALSE</f>
        <v>0</v>
      </c>
      <c r="X89" s="803" t="s">
        <v>971</v>
      </c>
      <c r="Y89" s="826">
        <v>9</v>
      </c>
      <c r="Z89" s="826">
        <v>7</v>
      </c>
      <c r="AC89" s="1057"/>
      <c r="AD89" s="1057"/>
      <c r="AE89" s="1057"/>
      <c r="AF89" s="1057"/>
    </row>
    <row r="90" spans="1:42" ht="18" customHeight="1" x14ac:dyDescent="0.35">
      <c r="D90" s="815"/>
      <c r="E90" s="805"/>
      <c r="F90" s="956" t="str">
        <f>IF(AC90=TRUE,"Local Disc","")</f>
        <v/>
      </c>
      <c r="G90" s="784" t="str">
        <f>text!F11</f>
        <v xml:space="preserve">2025/26 </v>
      </c>
      <c r="H90" s="957" t="str">
        <f ca="1">"  "&amp;workings1!AK41</f>
        <v xml:space="preserve">  True</v>
      </c>
      <c r="I90" s="958">
        <f ca="1">workings1!T41*W103</f>
        <v>0</v>
      </c>
      <c r="J90" s="841" t="str">
        <f ca="1">workings1!AN41</f>
        <v/>
      </c>
      <c r="K90" s="784"/>
      <c r="L90" s="885" t="str">
        <f>IF(AF90=TRUE,"LD","")</f>
        <v/>
      </c>
      <c r="M90" s="784" t="str">
        <f ca="1">workings2!AK41</f>
        <v>True</v>
      </c>
      <c r="N90" s="958">
        <f ca="1">workings2!T41*W103</f>
        <v>0</v>
      </c>
      <c r="O90" s="841" t="str">
        <f ca="1">workings2!AN41</f>
        <v/>
      </c>
      <c r="P90" s="784"/>
      <c r="Q90" s="959">
        <f ca="1">I90-N90</f>
        <v>0</v>
      </c>
      <c r="R90" s="812"/>
      <c r="U90" s="784" t="b">
        <f ca="1">Q90&lt;0</f>
        <v>0</v>
      </c>
      <c r="W90" s="803" t="b">
        <f>M15=0</f>
        <v>0</v>
      </c>
      <c r="X90" s="803" t="s">
        <v>1091</v>
      </c>
      <c r="Y90" s="826">
        <v>15</v>
      </c>
      <c r="Z90" s="826">
        <v>4</v>
      </c>
      <c r="AC90" s="1057"/>
      <c r="AD90" s="1057"/>
      <c r="AE90" s="1057"/>
      <c r="AF90" s="1057"/>
    </row>
    <row r="91" spans="1:42" ht="18" hidden="1" customHeight="1" x14ac:dyDescent="0.35">
      <c r="A91" s="2338"/>
      <c r="B91" s="2338"/>
      <c r="D91" s="815"/>
      <c r="E91" s="805"/>
      <c r="F91" s="956"/>
      <c r="G91" s="784"/>
      <c r="H91" s="957"/>
      <c r="I91" s="958"/>
      <c r="J91" s="841"/>
      <c r="K91" s="784"/>
      <c r="L91" s="885"/>
      <c r="M91" s="784"/>
      <c r="N91" s="958"/>
      <c r="O91" s="841"/>
      <c r="P91" s="784"/>
      <c r="Q91" s="959"/>
      <c r="R91" s="812"/>
      <c r="U91" s="784" t="b">
        <f>Q91&lt;0</f>
        <v>0</v>
      </c>
      <c r="W91" s="960" t="b">
        <v>0</v>
      </c>
      <c r="X91" s="960"/>
      <c r="Y91" s="826"/>
      <c r="Z91" s="826"/>
      <c r="AC91" s="1057"/>
      <c r="AD91" s="1057"/>
      <c r="AE91" s="1057"/>
      <c r="AF91" s="1057"/>
    </row>
    <row r="92" spans="1:42" ht="18" hidden="1" customHeight="1" x14ac:dyDescent="0.35">
      <c r="A92" s="2338"/>
      <c r="B92" s="2338"/>
      <c r="D92" s="815"/>
      <c r="E92" s="805"/>
      <c r="F92" s="956"/>
      <c r="G92" s="784"/>
      <c r="H92" s="957"/>
      <c r="I92" s="958"/>
      <c r="J92" s="841"/>
      <c r="K92" s="784"/>
      <c r="L92" s="784"/>
      <c r="M92" s="784"/>
      <c r="N92" s="958"/>
      <c r="O92" s="841"/>
      <c r="P92" s="784"/>
      <c r="Q92" s="959"/>
      <c r="R92" s="812"/>
      <c r="U92" s="784" t="b">
        <f>Q92&lt;0</f>
        <v>0</v>
      </c>
      <c r="W92" s="803">
        <f>W12</f>
        <v>0</v>
      </c>
      <c r="X92" s="803"/>
      <c r="Y92" s="826">
        <v>10</v>
      </c>
      <c r="Z92" s="826">
        <v>11</v>
      </c>
      <c r="AC92" s="1057"/>
      <c r="AD92" s="1057"/>
      <c r="AE92" s="1057"/>
      <c r="AF92" s="1057"/>
    </row>
    <row r="93" spans="1:42" ht="8.25" customHeight="1" x14ac:dyDescent="0.25">
      <c r="D93" s="815"/>
      <c r="E93" s="805"/>
      <c r="F93" s="961"/>
      <c r="G93" s="784"/>
      <c r="H93" s="784"/>
      <c r="I93" s="958"/>
      <c r="J93" s="784"/>
      <c r="K93" s="784"/>
      <c r="L93" s="784"/>
      <c r="M93" s="784"/>
      <c r="N93" s="958"/>
      <c r="O93" s="784"/>
      <c r="P93" s="784"/>
      <c r="Q93" s="962"/>
      <c r="R93" s="812"/>
      <c r="U93" s="863">
        <f ca="1">U88+U89+U90+U91+U92</f>
        <v>0</v>
      </c>
      <c r="W93" s="803" t="b">
        <f ca="1">Z14</f>
        <v>0</v>
      </c>
      <c r="X93" s="799" t="s">
        <v>3035</v>
      </c>
      <c r="Y93" s="826">
        <v>11</v>
      </c>
      <c r="Z93" s="826">
        <v>8</v>
      </c>
      <c r="AD93" s="791"/>
      <c r="AE93" s="791"/>
    </row>
    <row r="94" spans="1:42" ht="16.5" customHeight="1" thickBot="1" x14ac:dyDescent="0.35">
      <c r="D94" s="815"/>
      <c r="E94" s="805"/>
      <c r="F94" s="956"/>
      <c r="G94" s="963"/>
      <c r="H94" s="963"/>
      <c r="I94" s="964">
        <f ca="1">SUM(I88:I93)</f>
        <v>0</v>
      </c>
      <c r="J94" s="963"/>
      <c r="K94" s="963"/>
      <c r="L94" s="963"/>
      <c r="M94" s="963"/>
      <c r="N94" s="964">
        <f ca="1">SUM(N88:N93)</f>
        <v>0</v>
      </c>
      <c r="O94" s="963"/>
      <c r="P94" s="963"/>
      <c r="Q94" s="965">
        <f ca="1">SUM(Q88:Q93)</f>
        <v>0</v>
      </c>
      <c r="R94" s="812"/>
      <c r="W94" s="803" t="b">
        <f ca="1">AA14</f>
        <v>0</v>
      </c>
      <c r="X94" s="799" t="s">
        <v>3036</v>
      </c>
      <c r="Y94" s="826">
        <v>11</v>
      </c>
      <c r="Z94" s="826">
        <v>12</v>
      </c>
      <c r="AD94" s="791"/>
      <c r="AE94" s="791"/>
    </row>
    <row r="95" spans="1:42" ht="18" customHeight="1" thickTop="1" x14ac:dyDescent="0.25">
      <c r="D95" s="815"/>
      <c r="E95" s="805"/>
      <c r="F95" s="966"/>
      <c r="G95" s="967" t="str">
        <f ca="1">IF(W112&gt;0,"SBRR in years: "&amp;X105&amp;X106&amp;X107&amp;X108&amp;X109&amp;X110&amp;X111,"")</f>
        <v/>
      </c>
      <c r="H95" s="784"/>
      <c r="I95" s="784"/>
      <c r="J95" s="784"/>
      <c r="K95" s="784"/>
      <c r="L95" s="784"/>
      <c r="M95" s="967" t="str">
        <f ca="1">IF(W120&gt;0,"SBRR in years: "&amp;X113&amp;X114&amp;X115&amp;X116&amp;X117&amp;X118&amp;X119,"")</f>
        <v/>
      </c>
      <c r="N95" s="784"/>
      <c r="O95" s="784"/>
      <c r="P95" s="784"/>
      <c r="Q95" s="968" t="str">
        <f ca="1">IF(U93&lt;&gt;0,"Increase is shown in brackets","")</f>
        <v/>
      </c>
      <c r="R95" s="812"/>
      <c r="W95" s="803" t="b">
        <f>OR(AF86=FALSE,AG86=FALSE)</f>
        <v>0</v>
      </c>
      <c r="X95" s="803" t="s">
        <v>1092</v>
      </c>
      <c r="Y95" s="826">
        <v>37</v>
      </c>
      <c r="Z95" s="826">
        <v>7</v>
      </c>
      <c r="AD95" s="791"/>
      <c r="AE95" s="791"/>
    </row>
    <row r="96" spans="1:42" ht="13" x14ac:dyDescent="0.3">
      <c r="D96" s="815"/>
      <c r="E96" s="805"/>
      <c r="F96" s="784"/>
      <c r="G96" s="816" t="str">
        <f>basic!D22</f>
        <v>England</v>
      </c>
      <c r="H96" s="784"/>
      <c r="I96" s="784"/>
      <c r="J96" s="784"/>
      <c r="K96" s="784"/>
      <c r="L96" s="784"/>
      <c r="M96" s="784"/>
      <c r="N96" s="784"/>
      <c r="O96" s="784"/>
      <c r="P96" s="784"/>
      <c r="Q96" s="784"/>
      <c r="R96" s="812"/>
      <c r="U96" s="791"/>
      <c r="V96" s="791"/>
      <c r="W96" s="803" t="b">
        <f>AB42</f>
        <v>0</v>
      </c>
      <c r="X96" s="799" t="s">
        <v>1093</v>
      </c>
      <c r="Y96" s="826">
        <v>42</v>
      </c>
      <c r="Z96" s="826">
        <v>7</v>
      </c>
    </row>
    <row r="97" spans="4:29" ht="13" x14ac:dyDescent="0.3">
      <c r="D97" s="815"/>
      <c r="E97" s="805"/>
      <c r="F97" s="784"/>
      <c r="G97" s="194" t="str">
        <f>IF(global!G14=1,"","BRS Levying Authority: "&amp;global!H14)</f>
        <v/>
      </c>
      <c r="H97" s="784"/>
      <c r="I97" s="784"/>
      <c r="J97" s="784"/>
      <c r="K97" s="784"/>
      <c r="L97" s="784"/>
      <c r="M97" s="784"/>
      <c r="N97" s="784"/>
      <c r="O97" s="784"/>
      <c r="P97" s="784"/>
      <c r="Q97" s="784"/>
      <c r="R97" s="812"/>
      <c r="U97" s="791"/>
      <c r="V97" s="791"/>
      <c r="W97" s="803" t="b">
        <f>AC42</f>
        <v>0</v>
      </c>
      <c r="X97" s="799" t="s">
        <v>1094</v>
      </c>
      <c r="Y97" s="826">
        <v>42</v>
      </c>
      <c r="Z97" s="826">
        <v>11</v>
      </c>
    </row>
    <row r="98" spans="4:29" ht="13" x14ac:dyDescent="0.3">
      <c r="D98" s="815"/>
      <c r="E98" s="805"/>
      <c r="F98" s="784"/>
      <c r="G98" s="816" t="str">
        <f>'basic output'!C53</f>
        <v xml:space="preserve"> </v>
      </c>
      <c r="H98" s="784"/>
      <c r="I98" s="784"/>
      <c r="J98" s="784"/>
      <c r="K98" s="784"/>
      <c r="L98" s="784"/>
      <c r="M98" s="784"/>
      <c r="N98" s="784"/>
      <c r="O98" s="784"/>
      <c r="P98" s="784"/>
      <c r="Q98" s="784"/>
      <c r="R98" s="812"/>
      <c r="W98" s="803">
        <f>AB8</f>
        <v>0</v>
      </c>
      <c r="X98" s="803" t="s">
        <v>1095</v>
      </c>
      <c r="Y98" s="826">
        <v>14</v>
      </c>
      <c r="Z98" s="826">
        <v>7</v>
      </c>
    </row>
    <row r="99" spans="4:29" ht="24.65" customHeight="1" x14ac:dyDescent="0.25">
      <c r="D99" s="815"/>
      <c r="E99" s="847"/>
      <c r="F99" s="848"/>
      <c r="G99" s="848"/>
      <c r="H99" s="848"/>
      <c r="I99" s="848"/>
      <c r="J99" s="848"/>
      <c r="K99" s="848"/>
      <c r="L99" s="848"/>
      <c r="M99" s="848"/>
      <c r="N99" s="848"/>
      <c r="O99" s="848"/>
      <c r="P99" s="848"/>
      <c r="Q99" s="848"/>
      <c r="R99" s="851"/>
      <c r="U99" s="791"/>
      <c r="V99" s="791"/>
      <c r="W99" s="803" t="b">
        <f>AND(V1=TRUE,V15=TRUE)</f>
        <v>0</v>
      </c>
      <c r="X99" s="803" t="s">
        <v>1096</v>
      </c>
      <c r="Y99" s="826"/>
      <c r="Z99" s="826"/>
    </row>
    <row r="100" spans="4:29" ht="6.65" customHeight="1" x14ac:dyDescent="0.25">
      <c r="D100" s="815"/>
      <c r="E100" s="815"/>
      <c r="F100" s="815" t="str">
        <f>IF(AA81&gt;0,"* "&amp;text!C72,"")</f>
        <v/>
      </c>
      <c r="G100" s="815"/>
      <c r="H100" s="815"/>
      <c r="I100" s="815"/>
      <c r="J100" s="815"/>
      <c r="K100" s="815"/>
      <c r="L100" s="815"/>
      <c r="M100" s="815"/>
      <c r="N100" s="815"/>
      <c r="O100" s="815"/>
      <c r="P100" s="815"/>
      <c r="Q100" s="815"/>
      <c r="U100" s="791"/>
      <c r="V100" s="791"/>
      <c r="W100" s="803" t="b">
        <f>AND(W1=TRUE,W15=TRUE)</f>
        <v>0</v>
      </c>
      <c r="X100" s="799" t="s">
        <v>1103</v>
      </c>
      <c r="Y100" s="826"/>
      <c r="Z100" s="826"/>
    </row>
    <row r="101" spans="4:29" ht="9" customHeight="1" x14ac:dyDescent="0.25">
      <c r="U101" s="791"/>
      <c r="V101" s="791"/>
      <c r="W101" s="803" t="b">
        <f>AD52&gt;0</f>
        <v>0</v>
      </c>
      <c r="X101" s="799" t="str">
        <f>"Improvement Relief: "&amp;G59</f>
        <v xml:space="preserve">Improvement Relief: </v>
      </c>
      <c r="Y101" s="826">
        <v>54</v>
      </c>
      <c r="Z101" s="826">
        <v>7</v>
      </c>
    </row>
    <row r="102" spans="4:29" x14ac:dyDescent="0.25">
      <c r="S102" s="969"/>
      <c r="U102" s="791"/>
      <c r="V102" s="791"/>
      <c r="W102" s="803">
        <f ca="1">W87+W88+W89+W90+W91+W92+W93+W94+W95+W96+W97+W98+W99+W100+W101</f>
        <v>0</v>
      </c>
      <c r="X102" s="803" t="s">
        <v>1104</v>
      </c>
      <c r="Y102" s="826"/>
      <c r="Z102" s="826"/>
    </row>
    <row r="103" spans="4:29" x14ac:dyDescent="0.25">
      <c r="W103" s="803" t="b">
        <f ca="1">W102=0</f>
        <v>1</v>
      </c>
      <c r="X103" s="803" t="s">
        <v>1105</v>
      </c>
      <c r="Y103" s="826" t="e">
        <f ca="1">VLOOKUP(TRUE,$W$87:$Z$102,3,FALSE)</f>
        <v>#N/A</v>
      </c>
      <c r="Z103" s="826" t="e">
        <f ca="1">VLOOKUP(TRUE,$W$87:$Z$102,4,FALSE)</f>
        <v>#N/A</v>
      </c>
      <c r="AA103" s="791"/>
      <c r="AB103" s="791"/>
      <c r="AC103" s="791"/>
    </row>
    <row r="104" spans="4:29" ht="13" x14ac:dyDescent="0.3">
      <c r="M104" s="970" t="str">
        <f>IF(memorysetup!W23=TRUE,"","")</f>
        <v/>
      </c>
      <c r="AA104" s="791"/>
      <c r="AB104" s="791"/>
      <c r="AC104" s="791"/>
    </row>
    <row r="105" spans="4:29" x14ac:dyDescent="0.25">
      <c r="U105" s="784" t="s">
        <v>1106</v>
      </c>
      <c r="V105" s="803" t="s">
        <v>1107</v>
      </c>
      <c r="W105" s="803">
        <f>workings1!$U$15</f>
        <v>0</v>
      </c>
      <c r="X105" s="803" t="str">
        <f>IF(W105&gt;0,"1, ","")</f>
        <v/>
      </c>
      <c r="AC105" s="791"/>
    </row>
    <row r="106" spans="4:29" x14ac:dyDescent="0.25">
      <c r="V106" s="803" t="s">
        <v>1108</v>
      </c>
      <c r="W106" s="803">
        <f ca="1">workings1!$U$28</f>
        <v>0</v>
      </c>
      <c r="X106" s="803" t="str">
        <f ca="1">IF(W106&gt;0,"2, ","")</f>
        <v/>
      </c>
      <c r="AA106" s="803" t="s">
        <v>660</v>
      </c>
      <c r="AB106" s="803" t="s">
        <v>1109</v>
      </c>
      <c r="AC106" s="791"/>
    </row>
    <row r="107" spans="4:29" x14ac:dyDescent="0.25">
      <c r="V107" s="803" t="s">
        <v>1110</v>
      </c>
      <c r="W107" s="803">
        <f ca="1">workings1!$U$41</f>
        <v>0</v>
      </c>
      <c r="X107" s="803" t="str">
        <f ca="1">IF(W107&gt;0,"3, ","")</f>
        <v/>
      </c>
      <c r="AA107" s="824">
        <f>data!B43</f>
        <v>45017</v>
      </c>
      <c r="AB107" s="971">
        <f>data!C43</f>
        <v>2900</v>
      </c>
      <c r="AC107" s="791"/>
    </row>
    <row r="108" spans="4:29" x14ac:dyDescent="0.25">
      <c r="V108" s="803" t="s">
        <v>1111</v>
      </c>
      <c r="W108" s="803">
        <f ca="1">workings1!$U$54</f>
        <v>0</v>
      </c>
      <c r="X108" s="803" t="str">
        <f ca="1">IF(W108&gt;0,"4, ","")</f>
        <v/>
      </c>
      <c r="AA108" s="824">
        <f>data!B44</f>
        <v>45383</v>
      </c>
      <c r="AB108" s="971">
        <f>data!C44</f>
        <v>2900</v>
      </c>
      <c r="AC108" s="791"/>
    </row>
    <row r="109" spans="4:29" x14ac:dyDescent="0.25">
      <c r="V109" s="803"/>
      <c r="W109" s="803"/>
      <c r="X109" s="803"/>
      <c r="AA109" s="824">
        <f>data!B45</f>
        <v>45748</v>
      </c>
      <c r="AB109" s="971">
        <f>data!C45</f>
        <v>2900</v>
      </c>
      <c r="AC109" s="791"/>
    </row>
    <row r="110" spans="4:29" x14ac:dyDescent="0.25">
      <c r="V110" s="803"/>
      <c r="W110" s="803"/>
      <c r="X110" s="803"/>
      <c r="AA110" s="824">
        <f>data!B46</f>
        <v>46113</v>
      </c>
      <c r="AB110" s="971">
        <f>data!C46</f>
        <v>2900</v>
      </c>
      <c r="AC110" s="791"/>
    </row>
    <row r="111" spans="4:29" x14ac:dyDescent="0.25">
      <c r="V111" s="803"/>
      <c r="W111" s="803"/>
      <c r="X111" s="803"/>
      <c r="AA111" s="824">
        <f>data!B47</f>
        <v>46478</v>
      </c>
      <c r="AB111" s="971">
        <f>data!C47</f>
        <v>2900</v>
      </c>
      <c r="AC111" s="791"/>
    </row>
    <row r="112" spans="4:29" x14ac:dyDescent="0.25">
      <c r="W112" s="784">
        <f ca="1">SUM(W105:W111)</f>
        <v>0</v>
      </c>
      <c r="AA112" s="824">
        <f>data!B48</f>
        <v>46844</v>
      </c>
      <c r="AB112" s="971">
        <f>data!C48</f>
        <v>2900</v>
      </c>
      <c r="AC112" s="791"/>
    </row>
    <row r="113" spans="21:42" x14ac:dyDescent="0.25">
      <c r="U113" s="784" t="s">
        <v>929</v>
      </c>
      <c r="V113" s="803" t="str">
        <f>V105</f>
        <v>sbrr yr 1?</v>
      </c>
      <c r="W113" s="803">
        <f>workings2!$U$15</f>
        <v>0</v>
      </c>
      <c r="X113" s="803" t="str">
        <f>IF(W113&gt;0,"1, ","")</f>
        <v/>
      </c>
      <c r="AA113" s="824"/>
      <c r="AB113" s="971"/>
      <c r="AC113" s="791"/>
    </row>
    <row r="114" spans="21:42" x14ac:dyDescent="0.25">
      <c r="V114" s="803" t="str">
        <f>V106</f>
        <v>sbrr yr 2?</v>
      </c>
      <c r="W114" s="803">
        <f ca="1">workings2!$U$28</f>
        <v>0</v>
      </c>
      <c r="X114" s="803" t="str">
        <f ca="1">IF(W114&gt;0,"2, ","")</f>
        <v/>
      </c>
      <c r="AA114" s="824"/>
      <c r="AB114" s="971"/>
      <c r="AC114" s="791"/>
      <c r="AN114" s="972" t="s">
        <v>2068</v>
      </c>
      <c r="AO114" s="972" t="s">
        <v>1112</v>
      </c>
      <c r="AP114" s="972" t="s">
        <v>1113</v>
      </c>
    </row>
    <row r="115" spans="21:42" x14ac:dyDescent="0.25">
      <c r="V115" s="803" t="str">
        <f>V107</f>
        <v>sbrr yr 3?</v>
      </c>
      <c r="W115" s="803">
        <f ca="1">workings2!$U$41</f>
        <v>0</v>
      </c>
      <c r="X115" s="803" t="str">
        <f ca="1">IF(W115&gt;0,"3, ","")</f>
        <v/>
      </c>
      <c r="AA115" s="791"/>
      <c r="AC115" s="791"/>
      <c r="AN115" s="972" t="s">
        <v>1114</v>
      </c>
      <c r="AO115" s="863" t="b">
        <f>V4</f>
        <v>0</v>
      </c>
      <c r="AP115" s="863">
        <v>35</v>
      </c>
    </row>
    <row r="116" spans="21:42" x14ac:dyDescent="0.25">
      <c r="V116" s="803" t="str">
        <f>V108</f>
        <v>sbrr yr 4?</v>
      </c>
      <c r="W116" s="803">
        <f ca="1">workings2!$U$54</f>
        <v>0</v>
      </c>
      <c r="X116" s="803" t="str">
        <f ca="1">IF(W116&gt;0,"4, ","")</f>
        <v/>
      </c>
      <c r="AA116" s="791"/>
      <c r="AB116" s="791"/>
      <c r="AC116" s="791"/>
      <c r="AN116" s="972" t="s">
        <v>1115</v>
      </c>
      <c r="AO116" s="863">
        <f>V3</f>
        <v>0</v>
      </c>
      <c r="AP116" s="863">
        <v>36</v>
      </c>
    </row>
    <row r="117" spans="21:42" x14ac:dyDescent="0.25">
      <c r="V117" s="803"/>
      <c r="W117" s="803"/>
      <c r="X117" s="803"/>
      <c r="AN117" s="972" t="s">
        <v>273</v>
      </c>
      <c r="AO117" s="863">
        <f>global!D4</f>
        <v>3</v>
      </c>
      <c r="AP117" s="863">
        <v>12</v>
      </c>
    </row>
    <row r="118" spans="21:42" x14ac:dyDescent="0.25">
      <c r="V118" s="803"/>
      <c r="W118" s="803"/>
      <c r="X118" s="803"/>
      <c r="AN118" s="972" t="s">
        <v>1367</v>
      </c>
      <c r="AO118" s="863">
        <f>global!G14</f>
        <v>1</v>
      </c>
      <c r="AP118" s="863">
        <v>13</v>
      </c>
    </row>
    <row r="119" spans="21:42" x14ac:dyDescent="0.25">
      <c r="V119" s="803"/>
      <c r="W119" s="803"/>
      <c r="X119" s="803"/>
      <c r="AN119" s="972" t="s">
        <v>438</v>
      </c>
      <c r="AO119" s="973">
        <f>I9</f>
        <v>0</v>
      </c>
      <c r="AP119" s="863">
        <v>14</v>
      </c>
    </row>
    <row r="120" spans="21:42" x14ac:dyDescent="0.25">
      <c r="W120" s="784">
        <f ca="1">SUM(W113:W119)</f>
        <v>0</v>
      </c>
      <c r="AN120" s="972" t="s">
        <v>439</v>
      </c>
      <c r="AO120" s="973">
        <f>M9</f>
        <v>0</v>
      </c>
      <c r="AP120" s="863">
        <v>15</v>
      </c>
    </row>
    <row r="121" spans="21:42" x14ac:dyDescent="0.25">
      <c r="AN121" s="972" t="s">
        <v>440</v>
      </c>
      <c r="AO121" s="973">
        <f>I10</f>
        <v>0</v>
      </c>
      <c r="AP121" s="863">
        <v>16</v>
      </c>
    </row>
    <row r="122" spans="21:42" x14ac:dyDescent="0.25">
      <c r="AN122" s="972" t="s">
        <v>441</v>
      </c>
      <c r="AO122" s="973">
        <f>M10</f>
        <v>0</v>
      </c>
      <c r="AP122" s="863">
        <v>17</v>
      </c>
    </row>
    <row r="123" spans="21:42" x14ac:dyDescent="0.25">
      <c r="AN123" s="972" t="s">
        <v>1116</v>
      </c>
      <c r="AO123" s="974">
        <f>I11</f>
        <v>1</v>
      </c>
      <c r="AP123" s="863">
        <v>37</v>
      </c>
    </row>
    <row r="124" spans="21:42" x14ac:dyDescent="0.25">
      <c r="AN124" s="972" t="s">
        <v>1117</v>
      </c>
      <c r="AO124" s="974">
        <f>M11</f>
        <v>1</v>
      </c>
      <c r="AP124" s="863">
        <v>38</v>
      </c>
    </row>
    <row r="125" spans="21:42" x14ac:dyDescent="0.25">
      <c r="AN125" s="972" t="s">
        <v>1120</v>
      </c>
      <c r="AO125" s="863" t="str">
        <f>I12</f>
        <v>n</v>
      </c>
      <c r="AP125" s="863">
        <v>39</v>
      </c>
    </row>
    <row r="126" spans="21:42" x14ac:dyDescent="0.25">
      <c r="AN126" s="972" t="s">
        <v>1121</v>
      </c>
      <c r="AO126" s="863" t="str">
        <f>M12</f>
        <v>n</v>
      </c>
      <c r="AP126" s="863">
        <v>40</v>
      </c>
    </row>
    <row r="127" spans="21:42" x14ac:dyDescent="0.25">
      <c r="AN127" s="926" t="s">
        <v>885</v>
      </c>
      <c r="AO127" s="863" t="b">
        <f t="shared" ref="AO127:AO132" si="33">AJ4</f>
        <v>0</v>
      </c>
      <c r="AP127" s="863">
        <v>41</v>
      </c>
    </row>
    <row r="128" spans="21:42" x14ac:dyDescent="0.25">
      <c r="AN128" s="926" t="s">
        <v>889</v>
      </c>
      <c r="AO128" s="863" t="b">
        <f t="shared" si="33"/>
        <v>0</v>
      </c>
      <c r="AP128" s="863">
        <v>42</v>
      </c>
    </row>
    <row r="129" spans="40:42" x14ac:dyDescent="0.25">
      <c r="AN129" s="926" t="s">
        <v>1122</v>
      </c>
      <c r="AO129" s="863" t="b">
        <f t="shared" si="33"/>
        <v>0</v>
      </c>
      <c r="AP129" s="863">
        <v>43</v>
      </c>
    </row>
    <row r="130" spans="40:42" x14ac:dyDescent="0.25">
      <c r="AN130" s="926" t="s">
        <v>895</v>
      </c>
      <c r="AO130" s="863" t="b">
        <f t="shared" si="33"/>
        <v>0</v>
      </c>
      <c r="AP130" s="863">
        <v>44</v>
      </c>
    </row>
    <row r="131" spans="40:42" x14ac:dyDescent="0.25">
      <c r="AN131" s="926" t="s">
        <v>379</v>
      </c>
      <c r="AO131" s="863" t="b">
        <f t="shared" si="33"/>
        <v>0</v>
      </c>
      <c r="AP131" s="863">
        <v>45</v>
      </c>
    </row>
    <row r="132" spans="40:42" x14ac:dyDescent="0.25">
      <c r="AN132" s="926" t="s">
        <v>931</v>
      </c>
      <c r="AO132" s="863" t="b">
        <f t="shared" si="33"/>
        <v>0</v>
      </c>
      <c r="AP132" s="863">
        <v>46</v>
      </c>
    </row>
    <row r="133" spans="40:42" x14ac:dyDescent="0.25">
      <c r="AN133" s="926" t="s">
        <v>885</v>
      </c>
      <c r="AO133" s="863" t="b">
        <f t="shared" ref="AO133:AO138" si="34">AK4</f>
        <v>0</v>
      </c>
      <c r="AP133" s="863">
        <v>47</v>
      </c>
    </row>
    <row r="134" spans="40:42" x14ac:dyDescent="0.25">
      <c r="AN134" s="926" t="s">
        <v>889</v>
      </c>
      <c r="AO134" s="863" t="b">
        <f t="shared" si="34"/>
        <v>0</v>
      </c>
      <c r="AP134" s="863">
        <v>48</v>
      </c>
    </row>
    <row r="135" spans="40:42" x14ac:dyDescent="0.25">
      <c r="AN135" s="926" t="s">
        <v>1123</v>
      </c>
      <c r="AO135" s="863" t="b">
        <f t="shared" si="34"/>
        <v>0</v>
      </c>
      <c r="AP135" s="863">
        <v>49</v>
      </c>
    </row>
    <row r="136" spans="40:42" x14ac:dyDescent="0.25">
      <c r="AN136" s="926" t="s">
        <v>895</v>
      </c>
      <c r="AO136" s="863" t="b">
        <f t="shared" si="34"/>
        <v>0</v>
      </c>
      <c r="AP136" s="863">
        <v>50</v>
      </c>
    </row>
    <row r="137" spans="40:42" x14ac:dyDescent="0.25">
      <c r="AN137" s="926" t="s">
        <v>379</v>
      </c>
      <c r="AO137" s="863" t="b">
        <f t="shared" si="34"/>
        <v>0</v>
      </c>
      <c r="AP137" s="863">
        <v>51</v>
      </c>
    </row>
    <row r="138" spans="40:42" x14ac:dyDescent="0.25">
      <c r="AN138" s="926" t="s">
        <v>931</v>
      </c>
      <c r="AO138" s="863" t="b">
        <f t="shared" si="34"/>
        <v>0</v>
      </c>
      <c r="AP138" s="863">
        <v>52</v>
      </c>
    </row>
    <row r="139" spans="40:42" x14ac:dyDescent="0.25">
      <c r="AN139" s="972" t="s">
        <v>1124</v>
      </c>
      <c r="AO139" s="863" t="str">
        <f>$U$20</f>
        <v>closed</v>
      </c>
      <c r="AP139" s="863">
        <v>53</v>
      </c>
    </row>
    <row r="140" spans="40:42" x14ac:dyDescent="0.25">
      <c r="AN140" s="972" t="s">
        <v>1125</v>
      </c>
      <c r="AO140" s="863" t="str">
        <f>$U$31</f>
        <v>closed</v>
      </c>
      <c r="AP140" s="863">
        <v>54</v>
      </c>
    </row>
    <row r="141" spans="40:42" x14ac:dyDescent="0.25">
      <c r="AN141" s="972" t="s">
        <v>1126</v>
      </c>
      <c r="AO141" s="863" t="str">
        <f>I22</f>
        <v>n</v>
      </c>
      <c r="AP141" s="863">
        <v>55</v>
      </c>
    </row>
    <row r="142" spans="40:42" x14ac:dyDescent="0.25">
      <c r="AN142" s="972" t="s">
        <v>1127</v>
      </c>
      <c r="AO142" s="863" t="str">
        <f>I23</f>
        <v>n</v>
      </c>
      <c r="AP142" s="863">
        <v>56</v>
      </c>
    </row>
    <row r="143" spans="40:42" x14ac:dyDescent="0.25">
      <c r="AN143" s="972" t="s">
        <v>1128</v>
      </c>
      <c r="AO143" s="863" t="str">
        <f>I24</f>
        <v>n</v>
      </c>
      <c r="AP143" s="863">
        <v>57</v>
      </c>
    </row>
    <row r="144" spans="40:42" x14ac:dyDescent="0.25">
      <c r="AN144" s="972" t="s">
        <v>1129</v>
      </c>
      <c r="AO144" s="863">
        <f>I25</f>
        <v>0</v>
      </c>
      <c r="AP144" s="863">
        <v>58</v>
      </c>
    </row>
    <row r="145" spans="40:42" x14ac:dyDescent="0.25">
      <c r="AN145" s="972" t="s">
        <v>1126</v>
      </c>
      <c r="AO145" s="863" t="str">
        <f>M22</f>
        <v>n</v>
      </c>
      <c r="AP145" s="863">
        <v>59</v>
      </c>
    </row>
    <row r="146" spans="40:42" x14ac:dyDescent="0.25">
      <c r="AN146" s="972" t="s">
        <v>1127</v>
      </c>
      <c r="AO146" s="863" t="str">
        <f>M23</f>
        <v>n</v>
      </c>
      <c r="AP146" s="863">
        <v>60</v>
      </c>
    </row>
    <row r="147" spans="40:42" x14ac:dyDescent="0.25">
      <c r="AN147" s="972" t="s">
        <v>1128</v>
      </c>
      <c r="AO147" s="863" t="str">
        <f>M24</f>
        <v>n</v>
      </c>
      <c r="AP147" s="863">
        <v>61</v>
      </c>
    </row>
    <row r="148" spans="40:42" x14ac:dyDescent="0.25">
      <c r="AN148" s="972" t="s">
        <v>1129</v>
      </c>
      <c r="AO148" s="863">
        <f>M25</f>
        <v>0</v>
      </c>
      <c r="AP148" s="863">
        <v>62</v>
      </c>
    </row>
    <row r="149" spans="40:42" x14ac:dyDescent="0.25">
      <c r="AN149" s="972" t="s">
        <v>1130</v>
      </c>
      <c r="AO149" s="973" t="str">
        <f>IF(I36="","",I36)</f>
        <v/>
      </c>
      <c r="AP149" s="863">
        <v>63</v>
      </c>
    </row>
    <row r="150" spans="40:42" x14ac:dyDescent="0.25">
      <c r="AN150" s="972" t="s">
        <v>1131</v>
      </c>
      <c r="AO150" s="973" t="str">
        <f>IF(I37="","",I37)</f>
        <v/>
      </c>
      <c r="AP150" s="863">
        <v>64</v>
      </c>
    </row>
    <row r="151" spans="40:42" x14ac:dyDescent="0.25">
      <c r="AN151" s="972" t="s">
        <v>1132</v>
      </c>
      <c r="AO151" s="973" t="str">
        <f>IF(M36="","",M36)</f>
        <v/>
      </c>
      <c r="AP151" s="863">
        <v>65</v>
      </c>
    </row>
    <row r="152" spans="40:42" x14ac:dyDescent="0.25">
      <c r="AN152" s="972" t="s">
        <v>1131</v>
      </c>
      <c r="AO152" s="973" t="str">
        <f>IF(M37="","",M37)</f>
        <v/>
      </c>
      <c r="AP152" s="863">
        <v>66</v>
      </c>
    </row>
    <row r="153" spans="40:42" x14ac:dyDescent="0.25">
      <c r="AN153" s="972" t="s">
        <v>1133</v>
      </c>
      <c r="AO153" s="973" t="str">
        <f>IF(I41="","",I41)</f>
        <v/>
      </c>
      <c r="AP153" s="863">
        <v>67</v>
      </c>
    </row>
    <row r="154" spans="40:42" x14ac:dyDescent="0.25">
      <c r="AN154" s="863" t="s">
        <v>1134</v>
      </c>
      <c r="AO154" s="973" t="str">
        <f>IF(I45="","",I45)</f>
        <v/>
      </c>
      <c r="AP154" s="863">
        <v>68</v>
      </c>
    </row>
    <row r="155" spans="40:42" x14ac:dyDescent="0.25">
      <c r="AN155" s="863" t="s">
        <v>1135</v>
      </c>
      <c r="AO155" s="973" t="str">
        <f>IF(M41="","",M41)</f>
        <v/>
      </c>
      <c r="AP155" s="863">
        <v>69</v>
      </c>
    </row>
    <row r="156" spans="40:42" x14ac:dyDescent="0.25">
      <c r="AN156" s="863" t="s">
        <v>1134</v>
      </c>
      <c r="AO156" s="973" t="str">
        <f>IF(M45="","",M45)</f>
        <v/>
      </c>
      <c r="AP156" s="863">
        <v>70</v>
      </c>
    </row>
    <row r="157" spans="40:42" x14ac:dyDescent="0.25">
      <c r="AN157" s="972" t="s">
        <v>1136</v>
      </c>
      <c r="AO157" s="863" t="str">
        <f t="shared" ref="AO157:AO167" si="35">IF(AJ70="","",AJ70)</f>
        <v/>
      </c>
      <c r="AP157" s="863">
        <v>71</v>
      </c>
    </row>
    <row r="158" spans="40:42" x14ac:dyDescent="0.25">
      <c r="AN158" s="972" t="s">
        <v>1137</v>
      </c>
      <c r="AO158" s="863" t="str">
        <f t="shared" si="35"/>
        <v/>
      </c>
      <c r="AP158" s="863">
        <v>72</v>
      </c>
    </row>
    <row r="159" spans="40:42" x14ac:dyDescent="0.25">
      <c r="AN159" s="972" t="s">
        <v>1138</v>
      </c>
      <c r="AO159" s="863" t="str">
        <f t="shared" si="35"/>
        <v/>
      </c>
      <c r="AP159" s="863">
        <v>73</v>
      </c>
    </row>
    <row r="160" spans="40:42" x14ac:dyDescent="0.25">
      <c r="AN160" s="972" t="s">
        <v>1139</v>
      </c>
      <c r="AO160" s="863" t="str">
        <f t="shared" si="35"/>
        <v/>
      </c>
      <c r="AP160" s="863">
        <v>74</v>
      </c>
    </row>
    <row r="161" spans="40:42" x14ac:dyDescent="0.25">
      <c r="AN161" s="972" t="s">
        <v>1140</v>
      </c>
      <c r="AO161" s="863" t="str">
        <f t="shared" si="35"/>
        <v/>
      </c>
      <c r="AP161" s="863">
        <v>75</v>
      </c>
    </row>
    <row r="162" spans="40:42" x14ac:dyDescent="0.25">
      <c r="AN162" s="972" t="s">
        <v>1141</v>
      </c>
      <c r="AO162" s="863" t="str">
        <f t="shared" si="35"/>
        <v/>
      </c>
      <c r="AP162" s="863">
        <v>76</v>
      </c>
    </row>
    <row r="163" spans="40:42" x14ac:dyDescent="0.25">
      <c r="AN163" s="972" t="s">
        <v>1142</v>
      </c>
      <c r="AO163" s="863" t="str">
        <f t="shared" si="35"/>
        <v/>
      </c>
      <c r="AP163" s="863">
        <v>77</v>
      </c>
    </row>
    <row r="164" spans="40:42" x14ac:dyDescent="0.25">
      <c r="AN164" s="972" t="s">
        <v>1143</v>
      </c>
      <c r="AO164" s="863" t="str">
        <f t="shared" si="35"/>
        <v/>
      </c>
      <c r="AP164" s="863">
        <v>78</v>
      </c>
    </row>
    <row r="165" spans="40:42" x14ac:dyDescent="0.25">
      <c r="AN165" s="972" t="s">
        <v>1144</v>
      </c>
      <c r="AO165" s="863" t="str">
        <f t="shared" si="35"/>
        <v/>
      </c>
      <c r="AP165" s="863">
        <v>79</v>
      </c>
    </row>
    <row r="166" spans="40:42" x14ac:dyDescent="0.25">
      <c r="AN166" s="972" t="s">
        <v>1145</v>
      </c>
      <c r="AO166" s="863" t="str">
        <f t="shared" si="35"/>
        <v/>
      </c>
      <c r="AP166" s="863">
        <v>80</v>
      </c>
    </row>
    <row r="167" spans="40:42" x14ac:dyDescent="0.25">
      <c r="AN167" s="972" t="s">
        <v>1146</v>
      </c>
      <c r="AO167" s="863" t="str">
        <f t="shared" si="35"/>
        <v/>
      </c>
      <c r="AP167" s="863">
        <v>81</v>
      </c>
    </row>
    <row r="168" spans="40:42" x14ac:dyDescent="0.25">
      <c r="AN168" s="972" t="s">
        <v>1147</v>
      </c>
      <c r="AO168" s="863" t="str">
        <f t="shared" ref="AO168:AO178" si="36">IF(AK70="","",AK70)</f>
        <v/>
      </c>
      <c r="AP168" s="863">
        <v>82</v>
      </c>
    </row>
    <row r="169" spans="40:42" x14ac:dyDescent="0.25">
      <c r="AN169" s="972" t="s">
        <v>1148</v>
      </c>
      <c r="AO169" s="863" t="str">
        <f t="shared" si="36"/>
        <v/>
      </c>
      <c r="AP169" s="863">
        <v>83</v>
      </c>
    </row>
    <row r="170" spans="40:42" x14ac:dyDescent="0.25">
      <c r="AN170" s="972" t="s">
        <v>1149</v>
      </c>
      <c r="AO170" s="863" t="str">
        <f t="shared" si="36"/>
        <v/>
      </c>
      <c r="AP170" s="863">
        <v>84</v>
      </c>
    </row>
    <row r="171" spans="40:42" x14ac:dyDescent="0.25">
      <c r="AN171" s="972" t="s">
        <v>1150</v>
      </c>
      <c r="AO171" s="863" t="str">
        <f t="shared" si="36"/>
        <v/>
      </c>
      <c r="AP171" s="863">
        <v>85</v>
      </c>
    </row>
    <row r="172" spans="40:42" x14ac:dyDescent="0.25">
      <c r="AN172" s="972" t="s">
        <v>1151</v>
      </c>
      <c r="AO172" s="863" t="str">
        <f t="shared" si="36"/>
        <v/>
      </c>
      <c r="AP172" s="863">
        <v>86</v>
      </c>
    </row>
    <row r="173" spans="40:42" x14ac:dyDescent="0.25">
      <c r="AN173" s="972" t="s">
        <v>1152</v>
      </c>
      <c r="AO173" s="863" t="str">
        <f t="shared" si="36"/>
        <v/>
      </c>
      <c r="AP173" s="863">
        <v>87</v>
      </c>
    </row>
    <row r="174" spans="40:42" x14ac:dyDescent="0.25">
      <c r="AN174" s="972" t="s">
        <v>1153</v>
      </c>
      <c r="AO174" s="863" t="str">
        <f t="shared" si="36"/>
        <v/>
      </c>
      <c r="AP174" s="863">
        <v>88</v>
      </c>
    </row>
    <row r="175" spans="40:42" x14ac:dyDescent="0.25">
      <c r="AN175" s="972" t="s">
        <v>1154</v>
      </c>
      <c r="AO175" s="863" t="str">
        <f t="shared" si="36"/>
        <v/>
      </c>
      <c r="AP175" s="863">
        <v>89</v>
      </c>
    </row>
    <row r="176" spans="40:42" x14ac:dyDescent="0.25">
      <c r="AN176" s="972" t="s">
        <v>1155</v>
      </c>
      <c r="AO176" s="863" t="str">
        <f t="shared" si="36"/>
        <v/>
      </c>
      <c r="AP176" s="863">
        <v>90</v>
      </c>
    </row>
    <row r="177" spans="40:42" x14ac:dyDescent="0.25">
      <c r="AN177" s="972" t="s">
        <v>1156</v>
      </c>
      <c r="AO177" s="863" t="str">
        <f t="shared" si="36"/>
        <v/>
      </c>
      <c r="AP177" s="863">
        <v>91</v>
      </c>
    </row>
    <row r="178" spans="40:42" x14ac:dyDescent="0.25">
      <c r="AN178" s="972" t="s">
        <v>1157</v>
      </c>
      <c r="AO178" s="863" t="str">
        <f t="shared" si="36"/>
        <v/>
      </c>
      <c r="AP178" s="863">
        <v>92</v>
      </c>
    </row>
    <row r="179" spans="40:42" x14ac:dyDescent="0.25">
      <c r="AN179" s="972" t="s">
        <v>1369</v>
      </c>
      <c r="AO179" s="975" t="str">
        <f t="shared" ref="AO179:AO189" si="37">IF(H70="","",H70)</f>
        <v/>
      </c>
      <c r="AP179" s="863">
        <v>93</v>
      </c>
    </row>
    <row r="180" spans="40:42" x14ac:dyDescent="0.25">
      <c r="AN180" s="972" t="s">
        <v>1370</v>
      </c>
      <c r="AO180" s="975" t="str">
        <f t="shared" si="37"/>
        <v/>
      </c>
      <c r="AP180" s="863">
        <v>94</v>
      </c>
    </row>
    <row r="181" spans="40:42" x14ac:dyDescent="0.25">
      <c r="AN181" s="972" t="s">
        <v>1158</v>
      </c>
      <c r="AO181" s="975" t="str">
        <f t="shared" si="37"/>
        <v/>
      </c>
      <c r="AP181" s="863">
        <v>95</v>
      </c>
    </row>
    <row r="182" spans="40:42" x14ac:dyDescent="0.25">
      <c r="AN182" s="972" t="s">
        <v>1159</v>
      </c>
      <c r="AO182" s="975" t="str">
        <f t="shared" si="37"/>
        <v/>
      </c>
      <c r="AP182" s="863">
        <v>96</v>
      </c>
    </row>
    <row r="183" spans="40:42" x14ac:dyDescent="0.25">
      <c r="AN183" s="972" t="s">
        <v>1160</v>
      </c>
      <c r="AO183" s="975" t="str">
        <f t="shared" si="37"/>
        <v/>
      </c>
      <c r="AP183" s="863">
        <v>97</v>
      </c>
    </row>
    <row r="184" spans="40:42" x14ac:dyDescent="0.25">
      <c r="AN184" s="972" t="s">
        <v>1161</v>
      </c>
      <c r="AO184" s="975" t="str">
        <f t="shared" si="37"/>
        <v/>
      </c>
      <c r="AP184" s="863">
        <v>98</v>
      </c>
    </row>
    <row r="185" spans="40:42" x14ac:dyDescent="0.25">
      <c r="AN185" s="972" t="s">
        <v>1162</v>
      </c>
      <c r="AO185" s="975" t="str">
        <f t="shared" si="37"/>
        <v/>
      </c>
      <c r="AP185" s="863">
        <v>99</v>
      </c>
    </row>
    <row r="186" spans="40:42" x14ac:dyDescent="0.25">
      <c r="AN186" s="972" t="s">
        <v>1163</v>
      </c>
      <c r="AO186" s="975" t="str">
        <f t="shared" si="37"/>
        <v/>
      </c>
      <c r="AP186" s="863">
        <v>100</v>
      </c>
    </row>
    <row r="187" spans="40:42" x14ac:dyDescent="0.25">
      <c r="AN187" s="972" t="s">
        <v>1164</v>
      </c>
      <c r="AO187" s="975" t="str">
        <f t="shared" si="37"/>
        <v/>
      </c>
      <c r="AP187" s="863">
        <v>101</v>
      </c>
    </row>
    <row r="188" spans="40:42" x14ac:dyDescent="0.25">
      <c r="AN188" s="972" t="s">
        <v>1165</v>
      </c>
      <c r="AO188" s="975" t="str">
        <f t="shared" si="37"/>
        <v/>
      </c>
      <c r="AP188" s="863">
        <v>102</v>
      </c>
    </row>
    <row r="189" spans="40:42" x14ac:dyDescent="0.25">
      <c r="AN189" s="972" t="s">
        <v>1166</v>
      </c>
      <c r="AO189" s="975" t="str">
        <f t="shared" si="37"/>
        <v/>
      </c>
      <c r="AP189" s="863">
        <v>103</v>
      </c>
    </row>
    <row r="190" spans="40:42" x14ac:dyDescent="0.25">
      <c r="AN190" s="972" t="s">
        <v>1167</v>
      </c>
      <c r="AO190" s="976" t="str">
        <f t="shared" ref="AO190:AO200" si="38">IF(I70="","",I70)</f>
        <v/>
      </c>
      <c r="AP190" s="863">
        <v>104</v>
      </c>
    </row>
    <row r="191" spans="40:42" x14ac:dyDescent="0.25">
      <c r="AN191" s="972" t="s">
        <v>1168</v>
      </c>
      <c r="AO191" s="976" t="str">
        <f t="shared" si="38"/>
        <v/>
      </c>
      <c r="AP191" s="863">
        <v>105</v>
      </c>
    </row>
    <row r="192" spans="40:42" x14ac:dyDescent="0.25">
      <c r="AN192" s="972" t="s">
        <v>1169</v>
      </c>
      <c r="AO192" s="976" t="str">
        <f t="shared" si="38"/>
        <v/>
      </c>
      <c r="AP192" s="863">
        <v>106</v>
      </c>
    </row>
    <row r="193" spans="40:42" x14ac:dyDescent="0.25">
      <c r="AN193" s="972" t="s">
        <v>1170</v>
      </c>
      <c r="AO193" s="976" t="str">
        <f t="shared" si="38"/>
        <v/>
      </c>
      <c r="AP193" s="863">
        <v>107</v>
      </c>
    </row>
    <row r="194" spans="40:42" x14ac:dyDescent="0.25">
      <c r="AN194" s="972" t="s">
        <v>1171</v>
      </c>
      <c r="AO194" s="976" t="str">
        <f t="shared" si="38"/>
        <v/>
      </c>
      <c r="AP194" s="863">
        <v>108</v>
      </c>
    </row>
    <row r="195" spans="40:42" x14ac:dyDescent="0.25">
      <c r="AN195" s="972" t="s">
        <v>1172</v>
      </c>
      <c r="AO195" s="976" t="str">
        <f t="shared" si="38"/>
        <v/>
      </c>
      <c r="AP195" s="863">
        <v>109</v>
      </c>
    </row>
    <row r="196" spans="40:42" x14ac:dyDescent="0.25">
      <c r="AN196" s="972" t="s">
        <v>1173</v>
      </c>
      <c r="AO196" s="976" t="str">
        <f t="shared" si="38"/>
        <v/>
      </c>
      <c r="AP196" s="863">
        <v>110</v>
      </c>
    </row>
    <row r="197" spans="40:42" x14ac:dyDescent="0.25">
      <c r="AN197" s="972" t="s">
        <v>1174</v>
      </c>
      <c r="AO197" s="976" t="str">
        <f t="shared" si="38"/>
        <v/>
      </c>
      <c r="AP197" s="863">
        <v>111</v>
      </c>
    </row>
    <row r="198" spans="40:42" x14ac:dyDescent="0.25">
      <c r="AN198" s="972" t="s">
        <v>1175</v>
      </c>
      <c r="AO198" s="976" t="str">
        <f t="shared" si="38"/>
        <v/>
      </c>
      <c r="AP198" s="863">
        <v>112</v>
      </c>
    </row>
    <row r="199" spans="40:42" x14ac:dyDescent="0.25">
      <c r="AN199" s="972" t="s">
        <v>1176</v>
      </c>
      <c r="AO199" s="976" t="str">
        <f t="shared" si="38"/>
        <v/>
      </c>
      <c r="AP199" s="863">
        <v>113</v>
      </c>
    </row>
    <row r="200" spans="40:42" x14ac:dyDescent="0.25">
      <c r="AN200" s="972" t="s">
        <v>1177</v>
      </c>
      <c r="AO200" s="976" t="str">
        <f t="shared" si="38"/>
        <v/>
      </c>
      <c r="AP200" s="863">
        <v>114</v>
      </c>
    </row>
    <row r="201" spans="40:42" x14ac:dyDescent="0.25">
      <c r="AN201" s="972" t="s">
        <v>1178</v>
      </c>
      <c r="AO201" s="977">
        <f t="shared" ref="AO201:AO211" si="39">IF(J70="","",J70)</f>
        <v>1</v>
      </c>
      <c r="AP201" s="863">
        <v>115</v>
      </c>
    </row>
    <row r="202" spans="40:42" x14ac:dyDescent="0.25">
      <c r="AN202" s="972" t="s">
        <v>1179</v>
      </c>
      <c r="AO202" s="977">
        <f t="shared" si="39"/>
        <v>1</v>
      </c>
      <c r="AP202" s="863">
        <v>116</v>
      </c>
    </row>
    <row r="203" spans="40:42" x14ac:dyDescent="0.25">
      <c r="AN203" s="972" t="s">
        <v>1180</v>
      </c>
      <c r="AO203" s="977">
        <f t="shared" si="39"/>
        <v>1</v>
      </c>
      <c r="AP203" s="863">
        <v>117</v>
      </c>
    </row>
    <row r="204" spans="40:42" x14ac:dyDescent="0.25">
      <c r="AN204" s="972" t="s">
        <v>1181</v>
      </c>
      <c r="AO204" s="977">
        <f t="shared" si="39"/>
        <v>1</v>
      </c>
      <c r="AP204" s="863">
        <v>118</v>
      </c>
    </row>
    <row r="205" spans="40:42" x14ac:dyDescent="0.25">
      <c r="AN205" s="972" t="s">
        <v>1182</v>
      </c>
      <c r="AO205" s="977">
        <f t="shared" si="39"/>
        <v>1</v>
      </c>
      <c r="AP205" s="863">
        <v>119</v>
      </c>
    </row>
    <row r="206" spans="40:42" x14ac:dyDescent="0.25">
      <c r="AN206" s="972" t="s">
        <v>1183</v>
      </c>
      <c r="AO206" s="977">
        <f t="shared" si="39"/>
        <v>1</v>
      </c>
      <c r="AP206" s="863">
        <v>120</v>
      </c>
    </row>
    <row r="207" spans="40:42" x14ac:dyDescent="0.25">
      <c r="AN207" s="972" t="s">
        <v>1184</v>
      </c>
      <c r="AO207" s="977">
        <f t="shared" si="39"/>
        <v>1</v>
      </c>
      <c r="AP207" s="863">
        <v>121</v>
      </c>
    </row>
    <row r="208" spans="40:42" x14ac:dyDescent="0.25">
      <c r="AN208" s="972" t="s">
        <v>1185</v>
      </c>
      <c r="AO208" s="977">
        <f t="shared" si="39"/>
        <v>1</v>
      </c>
      <c r="AP208" s="863">
        <v>122</v>
      </c>
    </row>
    <row r="209" spans="40:42" x14ac:dyDescent="0.25">
      <c r="AN209" s="972" t="s">
        <v>1186</v>
      </c>
      <c r="AO209" s="977">
        <f t="shared" si="39"/>
        <v>1</v>
      </c>
      <c r="AP209" s="863">
        <v>123</v>
      </c>
    </row>
    <row r="210" spans="40:42" x14ac:dyDescent="0.25">
      <c r="AN210" s="972" t="s">
        <v>1187</v>
      </c>
      <c r="AO210" s="977">
        <f t="shared" si="39"/>
        <v>1</v>
      </c>
      <c r="AP210" s="863">
        <v>124</v>
      </c>
    </row>
    <row r="211" spans="40:42" x14ac:dyDescent="0.25">
      <c r="AN211" s="972" t="s">
        <v>1188</v>
      </c>
      <c r="AO211" s="977">
        <f t="shared" si="39"/>
        <v>1</v>
      </c>
      <c r="AP211" s="863">
        <v>125</v>
      </c>
    </row>
    <row r="212" spans="40:42" x14ac:dyDescent="0.25">
      <c r="AN212" s="972" t="s">
        <v>1189</v>
      </c>
      <c r="AO212" s="863" t="str">
        <f t="shared" ref="AO212:AO222" si="40">K70</f>
        <v>n</v>
      </c>
      <c r="AP212" s="863">
        <v>126</v>
      </c>
    </row>
    <row r="213" spans="40:42" x14ac:dyDescent="0.25">
      <c r="AN213" s="972" t="s">
        <v>1190</v>
      </c>
      <c r="AO213" s="863" t="str">
        <f t="shared" si="40"/>
        <v>n</v>
      </c>
      <c r="AP213" s="863">
        <v>127</v>
      </c>
    </row>
    <row r="214" spans="40:42" x14ac:dyDescent="0.25">
      <c r="AN214" s="972" t="s">
        <v>1191</v>
      </c>
      <c r="AO214" s="863" t="str">
        <f t="shared" si="40"/>
        <v>n</v>
      </c>
      <c r="AP214" s="863">
        <v>128</v>
      </c>
    </row>
    <row r="215" spans="40:42" x14ac:dyDescent="0.25">
      <c r="AN215" s="972" t="s">
        <v>1192</v>
      </c>
      <c r="AO215" s="863" t="str">
        <f t="shared" si="40"/>
        <v>n</v>
      </c>
      <c r="AP215" s="863">
        <v>129</v>
      </c>
    </row>
    <row r="216" spans="40:42" x14ac:dyDescent="0.25">
      <c r="AN216" s="972" t="s">
        <v>1193</v>
      </c>
      <c r="AO216" s="863" t="str">
        <f t="shared" si="40"/>
        <v>n</v>
      </c>
      <c r="AP216" s="863">
        <v>130</v>
      </c>
    </row>
    <row r="217" spans="40:42" x14ac:dyDescent="0.25">
      <c r="AN217" s="972" t="s">
        <v>1194</v>
      </c>
      <c r="AO217" s="863" t="str">
        <f t="shared" si="40"/>
        <v>n</v>
      </c>
      <c r="AP217" s="863">
        <v>131</v>
      </c>
    </row>
    <row r="218" spans="40:42" x14ac:dyDescent="0.25">
      <c r="AN218" s="972" t="s">
        <v>1195</v>
      </c>
      <c r="AO218" s="863" t="str">
        <f t="shared" si="40"/>
        <v>n</v>
      </c>
      <c r="AP218" s="863">
        <v>132</v>
      </c>
    </row>
    <row r="219" spans="40:42" x14ac:dyDescent="0.25">
      <c r="AN219" s="972" t="s">
        <v>1196</v>
      </c>
      <c r="AO219" s="863" t="str">
        <f t="shared" si="40"/>
        <v>n</v>
      </c>
      <c r="AP219" s="863">
        <v>133</v>
      </c>
    </row>
    <row r="220" spans="40:42" x14ac:dyDescent="0.25">
      <c r="AN220" s="972" t="s">
        <v>1197</v>
      </c>
      <c r="AO220" s="863" t="str">
        <f t="shared" si="40"/>
        <v>n</v>
      </c>
      <c r="AP220" s="863">
        <v>134</v>
      </c>
    </row>
    <row r="221" spans="40:42" x14ac:dyDescent="0.25">
      <c r="AN221" s="972" t="s">
        <v>1198</v>
      </c>
      <c r="AO221" s="863" t="str">
        <f t="shared" si="40"/>
        <v>n</v>
      </c>
      <c r="AP221" s="863">
        <v>135</v>
      </c>
    </row>
    <row r="222" spans="40:42" x14ac:dyDescent="0.25">
      <c r="AN222" s="972" t="s">
        <v>1199</v>
      </c>
      <c r="AO222" s="863" t="str">
        <f t="shared" si="40"/>
        <v>n</v>
      </c>
      <c r="AP222" s="863">
        <v>136</v>
      </c>
    </row>
    <row r="223" spans="40:42" x14ac:dyDescent="0.25">
      <c r="AN223" s="972" t="s">
        <v>1369</v>
      </c>
      <c r="AO223" s="975" t="str">
        <f t="shared" ref="AO223:AO233" si="41">IF(M70="","",M70)</f>
        <v/>
      </c>
      <c r="AP223" s="863">
        <v>137</v>
      </c>
    </row>
    <row r="224" spans="40:42" x14ac:dyDescent="0.25">
      <c r="AN224" s="972" t="s">
        <v>1370</v>
      </c>
      <c r="AO224" s="975" t="str">
        <f t="shared" si="41"/>
        <v/>
      </c>
      <c r="AP224" s="863">
        <v>138</v>
      </c>
    </row>
    <row r="225" spans="40:42" x14ac:dyDescent="0.25">
      <c r="AN225" s="972" t="s">
        <v>1158</v>
      </c>
      <c r="AO225" s="975" t="str">
        <f t="shared" si="41"/>
        <v/>
      </c>
      <c r="AP225" s="863">
        <v>139</v>
      </c>
    </row>
    <row r="226" spans="40:42" x14ac:dyDescent="0.25">
      <c r="AN226" s="972" t="s">
        <v>1159</v>
      </c>
      <c r="AO226" s="975" t="str">
        <f t="shared" si="41"/>
        <v/>
      </c>
      <c r="AP226" s="863">
        <v>140</v>
      </c>
    </row>
    <row r="227" spans="40:42" x14ac:dyDescent="0.25">
      <c r="AN227" s="972" t="s">
        <v>1160</v>
      </c>
      <c r="AO227" s="975" t="str">
        <f t="shared" si="41"/>
        <v/>
      </c>
      <c r="AP227" s="863">
        <v>141</v>
      </c>
    </row>
    <row r="228" spans="40:42" x14ac:dyDescent="0.25">
      <c r="AN228" s="972" t="s">
        <v>1161</v>
      </c>
      <c r="AO228" s="975" t="str">
        <f t="shared" si="41"/>
        <v/>
      </c>
      <c r="AP228" s="863">
        <v>142</v>
      </c>
    </row>
    <row r="229" spans="40:42" x14ac:dyDescent="0.25">
      <c r="AN229" s="972" t="s">
        <v>1162</v>
      </c>
      <c r="AO229" s="975" t="str">
        <f t="shared" si="41"/>
        <v/>
      </c>
      <c r="AP229" s="863">
        <v>143</v>
      </c>
    </row>
    <row r="230" spans="40:42" x14ac:dyDescent="0.25">
      <c r="AN230" s="972" t="s">
        <v>1163</v>
      </c>
      <c r="AO230" s="975" t="str">
        <f t="shared" si="41"/>
        <v/>
      </c>
      <c r="AP230" s="863">
        <v>144</v>
      </c>
    </row>
    <row r="231" spans="40:42" x14ac:dyDescent="0.25">
      <c r="AN231" s="972" t="s">
        <v>1164</v>
      </c>
      <c r="AO231" s="975" t="str">
        <f t="shared" si="41"/>
        <v/>
      </c>
      <c r="AP231" s="863">
        <v>145</v>
      </c>
    </row>
    <row r="232" spans="40:42" x14ac:dyDescent="0.25">
      <c r="AN232" s="972" t="s">
        <v>1165</v>
      </c>
      <c r="AO232" s="975" t="str">
        <f t="shared" si="41"/>
        <v/>
      </c>
      <c r="AP232" s="863">
        <v>146</v>
      </c>
    </row>
    <row r="233" spans="40:42" x14ac:dyDescent="0.25">
      <c r="AN233" s="972" t="s">
        <v>1166</v>
      </c>
      <c r="AO233" s="975" t="str">
        <f t="shared" si="41"/>
        <v/>
      </c>
      <c r="AP233" s="863">
        <v>147</v>
      </c>
    </row>
    <row r="234" spans="40:42" x14ac:dyDescent="0.25">
      <c r="AN234" s="972" t="s">
        <v>1167</v>
      </c>
      <c r="AO234" s="975" t="str">
        <f t="shared" ref="AO234:AO244" si="42">IF(N70="","",N70)</f>
        <v/>
      </c>
      <c r="AP234" s="863">
        <v>148</v>
      </c>
    </row>
    <row r="235" spans="40:42" x14ac:dyDescent="0.25">
      <c r="AN235" s="972" t="s">
        <v>1168</v>
      </c>
      <c r="AO235" s="975" t="str">
        <f t="shared" si="42"/>
        <v/>
      </c>
      <c r="AP235" s="863">
        <v>149</v>
      </c>
    </row>
    <row r="236" spans="40:42" x14ac:dyDescent="0.25">
      <c r="AN236" s="972" t="s">
        <v>1169</v>
      </c>
      <c r="AO236" s="975" t="str">
        <f t="shared" si="42"/>
        <v/>
      </c>
      <c r="AP236" s="863">
        <v>150</v>
      </c>
    </row>
    <row r="237" spans="40:42" x14ac:dyDescent="0.25">
      <c r="AN237" s="972" t="s">
        <v>1170</v>
      </c>
      <c r="AO237" s="975" t="str">
        <f t="shared" si="42"/>
        <v/>
      </c>
      <c r="AP237" s="863">
        <v>151</v>
      </c>
    </row>
    <row r="238" spans="40:42" x14ac:dyDescent="0.25">
      <c r="AN238" s="972" t="s">
        <v>1171</v>
      </c>
      <c r="AO238" s="975" t="str">
        <f t="shared" si="42"/>
        <v/>
      </c>
      <c r="AP238" s="863">
        <v>152</v>
      </c>
    </row>
    <row r="239" spans="40:42" x14ac:dyDescent="0.25">
      <c r="AN239" s="972" t="s">
        <v>1172</v>
      </c>
      <c r="AO239" s="975" t="str">
        <f t="shared" si="42"/>
        <v/>
      </c>
      <c r="AP239" s="863">
        <v>153</v>
      </c>
    </row>
    <row r="240" spans="40:42" x14ac:dyDescent="0.25">
      <c r="AN240" s="972" t="s">
        <v>1173</v>
      </c>
      <c r="AO240" s="975" t="str">
        <f t="shared" si="42"/>
        <v/>
      </c>
      <c r="AP240" s="863">
        <v>154</v>
      </c>
    </row>
    <row r="241" spans="40:42" x14ac:dyDescent="0.25">
      <c r="AN241" s="972" t="s">
        <v>1174</v>
      </c>
      <c r="AO241" s="975" t="str">
        <f t="shared" si="42"/>
        <v/>
      </c>
      <c r="AP241" s="863">
        <v>155</v>
      </c>
    </row>
    <row r="242" spans="40:42" x14ac:dyDescent="0.25">
      <c r="AN242" s="972" t="s">
        <v>1175</v>
      </c>
      <c r="AO242" s="975" t="str">
        <f t="shared" si="42"/>
        <v/>
      </c>
      <c r="AP242" s="863">
        <v>156</v>
      </c>
    </row>
    <row r="243" spans="40:42" x14ac:dyDescent="0.25">
      <c r="AN243" s="972" t="s">
        <v>1176</v>
      </c>
      <c r="AO243" s="975" t="str">
        <f t="shared" si="42"/>
        <v/>
      </c>
      <c r="AP243" s="863">
        <v>157</v>
      </c>
    </row>
    <row r="244" spans="40:42" x14ac:dyDescent="0.25">
      <c r="AN244" s="972" t="s">
        <v>1177</v>
      </c>
      <c r="AO244" s="975" t="str">
        <f t="shared" si="42"/>
        <v/>
      </c>
      <c r="AP244" s="863">
        <v>158</v>
      </c>
    </row>
    <row r="245" spans="40:42" x14ac:dyDescent="0.25">
      <c r="AN245" s="972" t="s">
        <v>1178</v>
      </c>
      <c r="AO245" s="977">
        <f t="shared" ref="AO245:AO255" si="43">O70</f>
        <v>1</v>
      </c>
      <c r="AP245" s="863">
        <v>159</v>
      </c>
    </row>
    <row r="246" spans="40:42" x14ac:dyDescent="0.25">
      <c r="AN246" s="972" t="s">
        <v>1179</v>
      </c>
      <c r="AO246" s="977">
        <f t="shared" si="43"/>
        <v>1</v>
      </c>
      <c r="AP246" s="863">
        <v>160</v>
      </c>
    </row>
    <row r="247" spans="40:42" x14ac:dyDescent="0.25">
      <c r="AN247" s="972" t="s">
        <v>1180</v>
      </c>
      <c r="AO247" s="977">
        <f t="shared" si="43"/>
        <v>1</v>
      </c>
      <c r="AP247" s="863">
        <v>161</v>
      </c>
    </row>
    <row r="248" spans="40:42" x14ac:dyDescent="0.25">
      <c r="AN248" s="972" t="s">
        <v>1181</v>
      </c>
      <c r="AO248" s="977">
        <f t="shared" si="43"/>
        <v>1</v>
      </c>
      <c r="AP248" s="863">
        <v>162</v>
      </c>
    </row>
    <row r="249" spans="40:42" x14ac:dyDescent="0.25">
      <c r="AN249" s="972" t="s">
        <v>1182</v>
      </c>
      <c r="AO249" s="977">
        <f t="shared" si="43"/>
        <v>1</v>
      </c>
      <c r="AP249" s="863">
        <v>163</v>
      </c>
    </row>
    <row r="250" spans="40:42" x14ac:dyDescent="0.25">
      <c r="AN250" s="972" t="s">
        <v>1183</v>
      </c>
      <c r="AO250" s="977">
        <f t="shared" si="43"/>
        <v>1</v>
      </c>
      <c r="AP250" s="863">
        <v>164</v>
      </c>
    </row>
    <row r="251" spans="40:42" x14ac:dyDescent="0.25">
      <c r="AN251" s="972" t="s">
        <v>1184</v>
      </c>
      <c r="AO251" s="977">
        <f t="shared" si="43"/>
        <v>1</v>
      </c>
      <c r="AP251" s="863">
        <v>165</v>
      </c>
    </row>
    <row r="252" spans="40:42" x14ac:dyDescent="0.25">
      <c r="AN252" s="972" t="s">
        <v>1185</v>
      </c>
      <c r="AO252" s="977">
        <f t="shared" si="43"/>
        <v>1</v>
      </c>
      <c r="AP252" s="863">
        <v>166</v>
      </c>
    </row>
    <row r="253" spans="40:42" x14ac:dyDescent="0.25">
      <c r="AN253" s="972" t="s">
        <v>1186</v>
      </c>
      <c r="AO253" s="977">
        <f t="shared" si="43"/>
        <v>1</v>
      </c>
      <c r="AP253" s="863">
        <v>167</v>
      </c>
    </row>
    <row r="254" spans="40:42" x14ac:dyDescent="0.25">
      <c r="AN254" s="972" t="s">
        <v>1187</v>
      </c>
      <c r="AO254" s="977">
        <f t="shared" si="43"/>
        <v>1</v>
      </c>
      <c r="AP254" s="863">
        <v>168</v>
      </c>
    </row>
    <row r="255" spans="40:42" x14ac:dyDescent="0.25">
      <c r="AN255" s="972" t="s">
        <v>1188</v>
      </c>
      <c r="AO255" s="977">
        <f t="shared" si="43"/>
        <v>1</v>
      </c>
      <c r="AP255" s="863">
        <v>169</v>
      </c>
    </row>
    <row r="256" spans="40:42" x14ac:dyDescent="0.25">
      <c r="AN256" s="972" t="s">
        <v>1189</v>
      </c>
      <c r="AO256" s="975" t="str">
        <f t="shared" ref="AO256:AO266" si="44">P70</f>
        <v>n</v>
      </c>
      <c r="AP256" s="863">
        <v>170</v>
      </c>
    </row>
    <row r="257" spans="40:42" x14ac:dyDescent="0.25">
      <c r="AN257" s="972" t="s">
        <v>1190</v>
      </c>
      <c r="AO257" s="975" t="str">
        <f t="shared" si="44"/>
        <v>n</v>
      </c>
      <c r="AP257" s="863">
        <v>171</v>
      </c>
    </row>
    <row r="258" spans="40:42" x14ac:dyDescent="0.25">
      <c r="AN258" s="972" t="s">
        <v>1191</v>
      </c>
      <c r="AO258" s="975" t="str">
        <f t="shared" si="44"/>
        <v>n</v>
      </c>
      <c r="AP258" s="863">
        <v>172</v>
      </c>
    </row>
    <row r="259" spans="40:42" x14ac:dyDescent="0.25">
      <c r="AN259" s="972" t="s">
        <v>1192</v>
      </c>
      <c r="AO259" s="975" t="str">
        <f t="shared" si="44"/>
        <v>n</v>
      </c>
      <c r="AP259" s="863">
        <v>173</v>
      </c>
    </row>
    <row r="260" spans="40:42" x14ac:dyDescent="0.25">
      <c r="AN260" s="972" t="s">
        <v>1193</v>
      </c>
      <c r="AO260" s="975" t="str">
        <f t="shared" si="44"/>
        <v>n</v>
      </c>
      <c r="AP260" s="863">
        <v>174</v>
      </c>
    </row>
    <row r="261" spans="40:42" x14ac:dyDescent="0.25">
      <c r="AN261" s="972" t="s">
        <v>1194</v>
      </c>
      <c r="AO261" s="975" t="str">
        <f t="shared" si="44"/>
        <v>n</v>
      </c>
      <c r="AP261" s="863">
        <v>175</v>
      </c>
    </row>
    <row r="262" spans="40:42" x14ac:dyDescent="0.25">
      <c r="AN262" s="972" t="s">
        <v>1195</v>
      </c>
      <c r="AO262" s="975" t="str">
        <f t="shared" si="44"/>
        <v>n</v>
      </c>
      <c r="AP262" s="863">
        <v>176</v>
      </c>
    </row>
    <row r="263" spans="40:42" x14ac:dyDescent="0.25">
      <c r="AN263" s="972" t="s">
        <v>1196</v>
      </c>
      <c r="AO263" s="975" t="str">
        <f t="shared" si="44"/>
        <v>n</v>
      </c>
      <c r="AP263" s="863">
        <v>177</v>
      </c>
    </row>
    <row r="264" spans="40:42" x14ac:dyDescent="0.25">
      <c r="AN264" s="972" t="s">
        <v>1197</v>
      </c>
      <c r="AO264" s="975" t="str">
        <f t="shared" si="44"/>
        <v>n</v>
      </c>
      <c r="AP264" s="863">
        <v>178</v>
      </c>
    </row>
    <row r="265" spans="40:42" x14ac:dyDescent="0.25">
      <c r="AN265" s="972" t="s">
        <v>1198</v>
      </c>
      <c r="AO265" s="975" t="str">
        <f t="shared" si="44"/>
        <v>n</v>
      </c>
      <c r="AP265" s="863">
        <v>179</v>
      </c>
    </row>
    <row r="266" spans="40:42" x14ac:dyDescent="0.25">
      <c r="AN266" s="972" t="s">
        <v>1199</v>
      </c>
      <c r="AO266" s="975" t="str">
        <f t="shared" si="44"/>
        <v>n</v>
      </c>
      <c r="AP266" s="863">
        <v>180</v>
      </c>
    </row>
    <row r="267" spans="40:42" x14ac:dyDescent="0.25">
      <c r="AN267" s="972" t="s">
        <v>1200</v>
      </c>
      <c r="AO267" s="863" t="str">
        <f>W64</f>
        <v>yes</v>
      </c>
      <c r="AP267" s="863">
        <v>181</v>
      </c>
    </row>
    <row r="268" spans="40:42" x14ac:dyDescent="0.25">
      <c r="AN268" s="978" t="s">
        <v>1201</v>
      </c>
      <c r="AO268" s="864" t="str">
        <f>IF(AD88="","",AD88)</f>
        <v/>
      </c>
      <c r="AP268" s="863">
        <v>182</v>
      </c>
    </row>
    <row r="269" spans="40:42" x14ac:dyDescent="0.25">
      <c r="AN269" s="978" t="s">
        <v>1202</v>
      </c>
      <c r="AO269" s="864" t="str">
        <f>IF(AD89="","",AD89)</f>
        <v/>
      </c>
      <c r="AP269" s="863">
        <v>183</v>
      </c>
    </row>
    <row r="270" spans="40:42" x14ac:dyDescent="0.25">
      <c r="AN270" s="978" t="s">
        <v>1203</v>
      </c>
      <c r="AO270" s="864" t="str">
        <f>IF(AD90="","",AD90)</f>
        <v/>
      </c>
      <c r="AP270" s="863">
        <v>184</v>
      </c>
    </row>
    <row r="271" spans="40:42" x14ac:dyDescent="0.25">
      <c r="AN271" s="978" t="s">
        <v>1204</v>
      </c>
      <c r="AO271" s="864" t="str">
        <f>IF(AD91="","",AD91)</f>
        <v/>
      </c>
      <c r="AP271" s="863">
        <v>185</v>
      </c>
    </row>
    <row r="272" spans="40:42" x14ac:dyDescent="0.25">
      <c r="AN272" s="978" t="s">
        <v>1206</v>
      </c>
      <c r="AO272" s="864" t="str">
        <f>IF(AE88="","",AE88)</f>
        <v/>
      </c>
      <c r="AP272" s="863">
        <v>186</v>
      </c>
    </row>
    <row r="273" spans="40:42" x14ac:dyDescent="0.25">
      <c r="AN273" s="978" t="s">
        <v>1207</v>
      </c>
      <c r="AO273" s="864" t="str">
        <f>IF(AE89="","",AE89)</f>
        <v/>
      </c>
      <c r="AP273" s="863">
        <v>187</v>
      </c>
    </row>
    <row r="274" spans="40:42" x14ac:dyDescent="0.25">
      <c r="AN274" s="978" t="s">
        <v>1208</v>
      </c>
      <c r="AO274" s="864" t="str">
        <f>IF(AE90="","",AE90)</f>
        <v/>
      </c>
      <c r="AP274" s="863">
        <v>188</v>
      </c>
    </row>
    <row r="275" spans="40:42" x14ac:dyDescent="0.25">
      <c r="AN275" s="978" t="s">
        <v>1209</v>
      </c>
      <c r="AO275" s="864" t="str">
        <f>IF(AE91="","",AE91)</f>
        <v/>
      </c>
      <c r="AP275" s="863">
        <v>189</v>
      </c>
    </row>
    <row r="276" spans="40:42" x14ac:dyDescent="0.25">
      <c r="AN276" s="978" t="s">
        <v>1210</v>
      </c>
      <c r="AO276" s="791" t="str">
        <f>IF(details!D7="","",details!D7)</f>
        <v/>
      </c>
      <c r="AP276" s="863">
        <v>4</v>
      </c>
    </row>
    <row r="277" spans="40:42" x14ac:dyDescent="0.25">
      <c r="AN277" s="978" t="s">
        <v>1211</v>
      </c>
      <c r="AO277" s="791" t="str">
        <f>IF(details!D6="","",details!D6)</f>
        <v/>
      </c>
      <c r="AP277" s="863">
        <v>5</v>
      </c>
    </row>
    <row r="278" spans="40:42" x14ac:dyDescent="0.25">
      <c r="AN278" s="978" t="s">
        <v>1212</v>
      </c>
      <c r="AO278" s="791" t="str">
        <f>IF(details!D8="","",details!D8)</f>
        <v/>
      </c>
      <c r="AP278" s="863">
        <v>6</v>
      </c>
    </row>
    <row r="279" spans="40:42" x14ac:dyDescent="0.25">
      <c r="AN279" s="978" t="s">
        <v>1213</v>
      </c>
      <c r="AO279" s="791" t="str">
        <f>IF(details!D9="","",details!D9)</f>
        <v/>
      </c>
      <c r="AP279" s="863">
        <v>7</v>
      </c>
    </row>
    <row r="280" spans="40:42" x14ac:dyDescent="0.25">
      <c r="AN280" s="978" t="s">
        <v>1214</v>
      </c>
      <c r="AO280" s="791" t="str">
        <f>IF(details!D10="","",details!D10)</f>
        <v/>
      </c>
      <c r="AP280" s="863">
        <v>8</v>
      </c>
    </row>
    <row r="281" spans="40:42" x14ac:dyDescent="0.25">
      <c r="AN281" s="978" t="s">
        <v>1215</v>
      </c>
      <c r="AO281" s="791" t="str">
        <f>text!D29</f>
        <v>England7.xlsm</v>
      </c>
      <c r="AP281" s="863">
        <v>11</v>
      </c>
    </row>
    <row r="282" spans="40:42" x14ac:dyDescent="0.25">
      <c r="AN282" s="972" t="s">
        <v>1216</v>
      </c>
      <c r="AO282" s="791" t="s">
        <v>691</v>
      </c>
      <c r="AP282" s="863">
        <v>10</v>
      </c>
    </row>
  </sheetData>
  <sheetProtection algorithmName="SHA-512" hashValue="G00lsfMoUlcGvwmkwy1lB5gvHyMFW8POgpMyk3fyvVn9ZgpvC1knlTYSLMiAVa3ZXazIZV9Cn8B0Vcv09RBFOg==" saltValue="eH5SRjPdtNmR/YQCFtOs9g==" spinCount="100000" sheet="1" objects="1" scenarios="1"/>
  <phoneticPr fontId="27" type="noConversion"/>
  <conditionalFormatting sqref="L70:L79">
    <cfRule type="expression" dxfId="159" priority="20" stopIfTrue="1">
      <formula>$V70=FALSE</formula>
    </cfRule>
  </conditionalFormatting>
  <conditionalFormatting sqref="G72:G79 F70:F79">
    <cfRule type="expression" dxfId="158" priority="21" stopIfTrue="1">
      <formula>$U70=FALSE</formula>
    </cfRule>
  </conditionalFormatting>
  <conditionalFormatting sqref="J9 F9:H9">
    <cfRule type="expression" dxfId="157" priority="22" stopIfTrue="1">
      <formula>$I$9=""</formula>
    </cfRule>
  </conditionalFormatting>
  <conditionalFormatting sqref="L9">
    <cfRule type="expression" dxfId="156" priority="23" stopIfTrue="1">
      <formula>$M$9=""</formula>
    </cfRule>
  </conditionalFormatting>
  <conditionalFormatting sqref="F37:H37 J37">
    <cfRule type="expression" dxfId="155" priority="24" stopIfTrue="1">
      <formula>AND($I$36&lt;&gt;"",$I$37="")</formula>
    </cfRule>
  </conditionalFormatting>
  <conditionalFormatting sqref="L37 N37">
    <cfRule type="expression" dxfId="154" priority="25" stopIfTrue="1">
      <formula>AND($M$36&lt;&gt;"",$M$37="")</formula>
    </cfRule>
  </conditionalFormatting>
  <conditionalFormatting sqref="H84:Q84 F100:R100">
    <cfRule type="expression" dxfId="153" priority="26" stopIfTrue="1">
      <formula>$AA$81&gt;0</formula>
    </cfRule>
  </conditionalFormatting>
  <conditionalFormatting sqref="L10">
    <cfRule type="expression" dxfId="152" priority="27" stopIfTrue="1">
      <formula>OR(AB115=TRUE,$M$10="")</formula>
    </cfRule>
  </conditionalFormatting>
  <conditionalFormatting sqref="K90">
    <cfRule type="expression" dxfId="151" priority="30" stopIfTrue="1">
      <formula>$V$99=TRUE</formula>
    </cfRule>
  </conditionalFormatting>
  <conditionalFormatting sqref="F46:I46">
    <cfRule type="expression" dxfId="150" priority="34" stopIfTrue="1">
      <formula>$F$46&lt;&gt;""</formula>
    </cfRule>
  </conditionalFormatting>
  <conditionalFormatting sqref="K46:N46">
    <cfRule type="expression" dxfId="149" priority="35" stopIfTrue="1">
      <formula>$M$46&lt;&gt;""</formula>
    </cfRule>
  </conditionalFormatting>
  <conditionalFormatting sqref="F45:H45">
    <cfRule type="expression" dxfId="148" priority="36" stopIfTrue="1">
      <formula>$I$45=0</formula>
    </cfRule>
  </conditionalFormatting>
  <conditionalFormatting sqref="K42:L42">
    <cfRule type="expression" dxfId="147" priority="37" stopIfTrue="1">
      <formula>$M$45=0</formula>
    </cfRule>
  </conditionalFormatting>
  <conditionalFormatting sqref="I42">
    <cfRule type="expression" dxfId="146" priority="38" stopIfTrue="1">
      <formula>$I$45&lt;&gt;0</formula>
    </cfRule>
  </conditionalFormatting>
  <conditionalFormatting sqref="M42">
    <cfRule type="expression" dxfId="145" priority="39" stopIfTrue="1">
      <formula>$M$45&lt;&gt;0</formula>
    </cfRule>
  </conditionalFormatting>
  <conditionalFormatting sqref="J42 F42:H42">
    <cfRule type="expression" dxfId="144" priority="40" stopIfTrue="1">
      <formula>$I$45=0</formula>
    </cfRule>
  </conditionalFormatting>
  <conditionalFormatting sqref="N10">
    <cfRule type="expression" dxfId="143" priority="42" stopIfTrue="1">
      <formula>OR(AB115=TRUE,$V$12=TRUE)</formula>
    </cfRule>
  </conditionalFormatting>
  <conditionalFormatting sqref="N42:Q42">
    <cfRule type="expression" dxfId="142" priority="43" stopIfTrue="1">
      <formula>$M$45=0</formula>
    </cfRule>
  </conditionalFormatting>
  <conditionalFormatting sqref="N45:Q45">
    <cfRule type="expression" dxfId="141" priority="44" stopIfTrue="1">
      <formula>$M$45=0</formula>
    </cfRule>
  </conditionalFormatting>
  <conditionalFormatting sqref="H66:P66">
    <cfRule type="expression" dxfId="140" priority="46" stopIfTrue="1">
      <formula>OR($W$103=FALSE,$AB$115=TRUE)</formula>
    </cfRule>
  </conditionalFormatting>
  <conditionalFormatting sqref="S78:S81">
    <cfRule type="expression" dxfId="139" priority="47" stopIfTrue="1">
      <formula>$W$64="no"</formula>
    </cfRule>
  </conditionalFormatting>
  <conditionalFormatting sqref="G85:Q85">
    <cfRule type="expression" dxfId="138" priority="48" stopIfTrue="1">
      <formula>$W$103=FALSE</formula>
    </cfRule>
  </conditionalFormatting>
  <conditionalFormatting sqref="G65">
    <cfRule type="expression" dxfId="137" priority="49" stopIfTrue="1">
      <formula>$W$103=FALSE</formula>
    </cfRule>
  </conditionalFormatting>
  <conditionalFormatting sqref="B9:C9">
    <cfRule type="expression" dxfId="136" priority="50" stopIfTrue="1">
      <formula>$I$9=""</formula>
    </cfRule>
  </conditionalFormatting>
  <conditionalFormatting sqref="G87:Q87">
    <cfRule type="expression" dxfId="135" priority="51" stopIfTrue="1">
      <formula>$W$103=FALSE</formula>
    </cfRule>
  </conditionalFormatting>
  <conditionalFormatting sqref="F10:H10 J10">
    <cfRule type="expression" dxfId="134" priority="52" stopIfTrue="1">
      <formula>AND($I$9&lt;&gt;"",$I$10="")</formula>
    </cfRule>
  </conditionalFormatting>
  <conditionalFormatting sqref="S102">
    <cfRule type="cellIs" dxfId="133" priority="53" stopIfTrue="1" operator="notEqual">
      <formula>""</formula>
    </cfRule>
  </conditionalFormatting>
  <conditionalFormatting sqref="N13">
    <cfRule type="expression" dxfId="132" priority="87" stopIfTrue="1">
      <formula>W13=TRUE</formula>
    </cfRule>
  </conditionalFormatting>
  <conditionalFormatting sqref="H70:H80">
    <cfRule type="expression" dxfId="131" priority="19" stopIfTrue="1">
      <formula>$AM70=FALSE</formula>
    </cfRule>
  </conditionalFormatting>
  <conditionalFormatting sqref="M70:M80">
    <cfRule type="expression" dxfId="130" priority="18" stopIfTrue="1">
      <formula>$AN70=FALSE</formula>
    </cfRule>
  </conditionalFormatting>
  <conditionalFormatting sqref="B70:B80">
    <cfRule type="cellIs" dxfId="129" priority="17" stopIfTrue="1" operator="notEqual">
      <formula>""</formula>
    </cfRule>
  </conditionalFormatting>
  <conditionalFormatting sqref="F54:F58">
    <cfRule type="cellIs" dxfId="128" priority="16" stopIfTrue="1" operator="notEqual">
      <formula>""</formula>
    </cfRule>
  </conditionalFormatting>
  <conditionalFormatting sqref="L54:L58">
    <cfRule type="cellIs" dxfId="127" priority="15" stopIfTrue="1" operator="notEqual">
      <formula>""</formula>
    </cfRule>
  </conditionalFormatting>
  <conditionalFormatting sqref="G59:O59">
    <cfRule type="expression" dxfId="126" priority="13" stopIfTrue="1">
      <formula>$G$59&lt;&gt;""</formula>
    </cfRule>
  </conditionalFormatting>
  <conditionalFormatting sqref="I15">
    <cfRule type="expression" dxfId="125" priority="11" stopIfTrue="1">
      <formula>$AN$13="y"</formula>
    </cfRule>
    <cfRule type="expression" dxfId="124" priority="12" stopIfTrue="1">
      <formula>$AN$11=TRUE</formula>
    </cfRule>
  </conditionalFormatting>
  <conditionalFormatting sqref="F15:H15">
    <cfRule type="expression" dxfId="123" priority="10" stopIfTrue="1">
      <formula>$AN$11=TRUE</formula>
    </cfRule>
  </conditionalFormatting>
  <conditionalFormatting sqref="F14:H14">
    <cfRule type="expression" dxfId="122" priority="9" stopIfTrue="1">
      <formula>$AN$11=TRUE</formula>
    </cfRule>
  </conditionalFormatting>
  <conditionalFormatting sqref="N14:O14">
    <cfRule type="expression" dxfId="121" priority="8" stopIfTrue="1">
      <formula>$AO$11=TRUE</formula>
    </cfRule>
  </conditionalFormatting>
  <conditionalFormatting sqref="N15:O15">
    <cfRule type="expression" dxfId="120" priority="7" stopIfTrue="1">
      <formula>$AO$11=TRUE</formula>
    </cfRule>
  </conditionalFormatting>
  <conditionalFormatting sqref="M15">
    <cfRule type="expression" dxfId="119" priority="5" stopIfTrue="1">
      <formula>$AO$13="y"</formula>
    </cfRule>
    <cfRule type="expression" dxfId="118" priority="6" stopIfTrue="1">
      <formula>$AO$11=TRUE</formula>
    </cfRule>
  </conditionalFormatting>
  <conditionalFormatting sqref="I14">
    <cfRule type="expression" dxfId="117" priority="4" stopIfTrue="1">
      <formula>AN11=TRUE</formula>
    </cfRule>
  </conditionalFormatting>
  <conditionalFormatting sqref="M14">
    <cfRule type="expression" dxfId="116" priority="3" stopIfTrue="1">
      <formula>AO11=TRUE</formula>
    </cfRule>
  </conditionalFormatting>
  <conditionalFormatting sqref="H13">
    <cfRule type="expression" dxfId="115" priority="2" stopIfTrue="1">
      <formula>AJ5=TRUE</formula>
    </cfRule>
  </conditionalFormatting>
  <conditionalFormatting sqref="O13">
    <cfRule type="expression" dxfId="114" priority="1" stopIfTrue="1">
      <formula>AK5=TRUE</formula>
    </cfRule>
  </conditionalFormatting>
  <dataValidations disablePrompts="1" count="2">
    <dataValidation allowBlank="1" showInputMessage="1" showErrorMessage="1" promptTitle="This Line Can't be Changed" prompt="This line shows the details entered in the Top Section" sqref="H69:K69 M69:P69" xr:uid="{81D8AB0B-42B8-4CBC-A544-797FC8C2EE48}"/>
    <dataValidation type="date" allowBlank="1" showInputMessage="1" showErrorMessage="1" errorTitle="Date Error" error="Must be within this Rating List" sqref="M42" xr:uid="{71302063-A188-4181-A531-173EA3FD627B}">
      <formula1>V6</formula1>
      <formula2>V7</formula2>
    </dataValidation>
  </dataValidations>
  <pageMargins left="0.75" right="0.75" top="1" bottom="1" header="0.5" footer="0.5"/>
  <pageSetup paperSize="9" scale="67" orientation="portrait" blackAndWhite="1" r:id="rId1"/>
  <headerFooter alignWithMargins="0">
    <oddFooter>&amp;R&amp;"Arial,Italic"&amp;8Created with Calcurate Business Rates Software</oddFooter>
  </headerFooter>
  <drawing r:id="rId2"/>
  <legacyDrawing r:id="rId3"/>
  <picture r:id="rId4"/>
  <mc:AlternateContent xmlns:mc="http://schemas.openxmlformats.org/markup-compatibility/2006">
    <mc:Choice Requires="x14">
      <controls>
        <mc:AlternateContent xmlns:mc="http://schemas.openxmlformats.org/markup-compatibility/2006">
          <mc:Choice Requires="x14">
            <control shapeId="56321" r:id="rId5" name="Drop Down 1">
              <controlPr defaultSize="0" print="0" autoLine="0" autoPict="0">
                <anchor moveWithCells="1">
                  <from>
                    <xdr:col>7</xdr:col>
                    <xdr:colOff>755650</xdr:colOff>
                    <xdr:row>6</xdr:row>
                    <xdr:rowOff>88900</xdr:rowOff>
                  </from>
                  <to>
                    <xdr:col>9</xdr:col>
                    <xdr:colOff>228600</xdr:colOff>
                    <xdr:row>7</xdr:row>
                    <xdr:rowOff>127000</xdr:rowOff>
                  </to>
                </anchor>
              </controlPr>
            </control>
          </mc:Choice>
        </mc:AlternateContent>
        <mc:AlternateContent xmlns:mc="http://schemas.openxmlformats.org/markup-compatibility/2006">
          <mc:Choice Requires="x14">
            <control shapeId="56323" r:id="rId6" name="Button 3">
              <controlPr defaultSize="0" print="0" autoFill="0" autoPict="0" macro="[0]!goto_home">
                <anchor moveWithCells="1" sizeWithCells="1">
                  <from>
                    <xdr:col>1</xdr:col>
                    <xdr:colOff>768350</xdr:colOff>
                    <xdr:row>1</xdr:row>
                    <xdr:rowOff>38100</xdr:rowOff>
                  </from>
                  <to>
                    <xdr:col>5</xdr:col>
                    <xdr:colOff>196850</xdr:colOff>
                    <xdr:row>1</xdr:row>
                    <xdr:rowOff>406400</xdr:rowOff>
                  </to>
                </anchor>
              </controlPr>
            </control>
          </mc:Choice>
        </mc:AlternateContent>
        <mc:AlternateContent xmlns:mc="http://schemas.openxmlformats.org/markup-compatibility/2006">
          <mc:Choice Requires="x14">
            <control shapeId="56324" r:id="rId7" name="cert_help_button2">
              <controlPr defaultSize="0" print="0" autoFill="0" autoPict="0" macro="[0]!help_tc_advanced">
                <anchor moveWithCells="1" sizeWithCells="1">
                  <from>
                    <xdr:col>9</xdr:col>
                    <xdr:colOff>177800</xdr:colOff>
                    <xdr:row>40</xdr:row>
                    <xdr:rowOff>120650</xdr:rowOff>
                  </from>
                  <to>
                    <xdr:col>11</xdr:col>
                    <xdr:colOff>31750</xdr:colOff>
                    <xdr:row>43</xdr:row>
                    <xdr:rowOff>6350</xdr:rowOff>
                  </to>
                </anchor>
              </controlPr>
            </control>
          </mc:Choice>
        </mc:AlternateContent>
        <mc:AlternateContent xmlns:mc="http://schemas.openxmlformats.org/markup-compatibility/2006">
          <mc:Choice Requires="x14">
            <control shapeId="56325" r:id="rId8" name="Spinner 5">
              <controlPr defaultSize="0" autoPict="0">
                <anchor moveWithCells="1" sizeWithCells="1">
                  <from>
                    <xdr:col>13</xdr:col>
                    <xdr:colOff>844550</xdr:colOff>
                    <xdr:row>1</xdr:row>
                    <xdr:rowOff>82550</xdr:rowOff>
                  </from>
                  <to>
                    <xdr:col>14</xdr:col>
                    <xdr:colOff>463550</xdr:colOff>
                    <xdr:row>1</xdr:row>
                    <xdr:rowOff>387350</xdr:rowOff>
                  </to>
                </anchor>
              </controlPr>
            </control>
          </mc:Choice>
        </mc:AlternateContent>
        <mc:AlternateContent xmlns:mc="http://schemas.openxmlformats.org/markup-compatibility/2006">
          <mc:Choice Requires="x14">
            <control shapeId="56326" r:id="rId9" name="Check Box 6">
              <controlPr defaultSize="0" autoFill="0" autoLine="0" autoPict="0">
                <anchor moveWithCells="1">
                  <from>
                    <xdr:col>10</xdr:col>
                    <xdr:colOff>342900</xdr:colOff>
                    <xdr:row>1</xdr:row>
                    <xdr:rowOff>139700</xdr:rowOff>
                  </from>
                  <to>
                    <xdr:col>11</xdr:col>
                    <xdr:colOff>44450</xdr:colOff>
                    <xdr:row>1</xdr:row>
                    <xdr:rowOff>311150</xdr:rowOff>
                  </to>
                </anchor>
              </controlPr>
            </control>
          </mc:Choice>
        </mc:AlternateContent>
        <mc:AlternateContent xmlns:mc="http://schemas.openxmlformats.org/markup-compatibility/2006">
          <mc:Choice Requires="x14">
            <control shapeId="56327" r:id="rId10" name="clear_adv_top_button">
              <controlPr defaultSize="0" print="0" autoFill="0" autoPict="0" macro="[0]!reset_adv_top">
                <anchor moveWithCells="1" sizeWithCells="1">
                  <from>
                    <xdr:col>14</xdr:col>
                    <xdr:colOff>165100</xdr:colOff>
                    <xdr:row>4</xdr:row>
                    <xdr:rowOff>88900</xdr:rowOff>
                  </from>
                  <to>
                    <xdr:col>16</xdr:col>
                    <xdr:colOff>234950</xdr:colOff>
                    <xdr:row>6</xdr:row>
                    <xdr:rowOff>127000</xdr:rowOff>
                  </to>
                </anchor>
              </controlPr>
            </control>
          </mc:Choice>
        </mc:AlternateContent>
        <mc:AlternateContent xmlns:mc="http://schemas.openxmlformats.org/markup-compatibility/2006">
          <mc:Choice Requires="x14">
            <control shapeId="56328" r:id="rId11" name="reset_adv_sbrr_button">
              <controlPr defaultSize="0" print="0" autoFill="0" autoPict="0" macro="[0]!reset_adv_sbrr">
                <anchor>
                  <from>
                    <xdr:col>13</xdr:col>
                    <xdr:colOff>101600</xdr:colOff>
                    <xdr:row>64</xdr:row>
                    <xdr:rowOff>196850</xdr:rowOff>
                  </from>
                  <to>
                    <xdr:col>14</xdr:col>
                    <xdr:colOff>139700</xdr:colOff>
                    <xdr:row>65</xdr:row>
                    <xdr:rowOff>203200</xdr:rowOff>
                  </to>
                </anchor>
              </controlPr>
            </control>
          </mc:Choice>
        </mc:AlternateContent>
        <mc:AlternateContent xmlns:mc="http://schemas.openxmlformats.org/markup-compatibility/2006">
          <mc:Choice Requires="x14">
            <control shapeId="56329" r:id="rId12" name="clear_keep_open">
              <controlPr defaultSize="0" print="0" autoFill="0" autoPict="0" macro="[0]!show_tr">
                <anchor moveWithCells="1" sizeWithCells="1">
                  <from>
                    <xdr:col>16</xdr:col>
                    <xdr:colOff>101600</xdr:colOff>
                    <xdr:row>33</xdr:row>
                    <xdr:rowOff>38100</xdr:rowOff>
                  </from>
                  <to>
                    <xdr:col>18</xdr:col>
                    <xdr:colOff>469900</xdr:colOff>
                    <xdr:row>35</xdr:row>
                    <xdr:rowOff>69850</xdr:rowOff>
                  </to>
                </anchor>
              </controlPr>
            </control>
          </mc:Choice>
        </mc:AlternateContent>
        <mc:AlternateContent xmlns:mc="http://schemas.openxmlformats.org/markup-compatibility/2006">
          <mc:Choice Requires="x14">
            <control shapeId="56330" r:id="rId13" name="reset_adv_dates_button">
              <controlPr defaultSize="0" print="0" autoFill="0" autoPict="0" macro="[0]!reset_adv_dates">
                <anchor moveWithCells="1" sizeWithCells="1">
                  <from>
                    <xdr:col>4</xdr:col>
                    <xdr:colOff>69850</xdr:colOff>
                    <xdr:row>63</xdr:row>
                    <xdr:rowOff>69850</xdr:rowOff>
                  </from>
                  <to>
                    <xdr:col>5</xdr:col>
                    <xdr:colOff>609600</xdr:colOff>
                    <xdr:row>65</xdr:row>
                    <xdr:rowOff>146050</xdr:rowOff>
                  </to>
                </anchor>
              </controlPr>
            </control>
          </mc:Choice>
        </mc:AlternateContent>
        <mc:AlternateContent xmlns:mc="http://schemas.openxmlformats.org/markup-compatibility/2006">
          <mc:Choice Requires="x14">
            <control shapeId="56331" r:id="rId14" name="sbrrbutton">
              <controlPr defaultSize="0" print="0" autoFill="0" autoPict="0" macro="[0]!show_sbrr">
                <anchor moveWithCells="1" sizeWithCells="1">
                  <from>
                    <xdr:col>17</xdr:col>
                    <xdr:colOff>63500</xdr:colOff>
                    <xdr:row>11</xdr:row>
                    <xdr:rowOff>6350</xdr:rowOff>
                  </from>
                  <to>
                    <xdr:col>18</xdr:col>
                    <xdr:colOff>831850</xdr:colOff>
                    <xdr:row>14</xdr:row>
                    <xdr:rowOff>234950</xdr:rowOff>
                  </to>
                </anchor>
              </controlPr>
            </control>
          </mc:Choice>
        </mc:AlternateContent>
        <mc:AlternateContent xmlns:mc="http://schemas.openxmlformats.org/markup-compatibility/2006">
          <mc:Choice Requires="x14">
            <control shapeId="56332" r:id="rId15" name="certbutton">
              <controlPr defaultSize="0" print="0" autoFill="0" autoPict="0" macro="[0]!show_tr">
                <anchor moveWithCells="1" sizeWithCells="1">
                  <from>
                    <xdr:col>18</xdr:col>
                    <xdr:colOff>838200</xdr:colOff>
                    <xdr:row>11</xdr:row>
                    <xdr:rowOff>6350</xdr:rowOff>
                  </from>
                  <to>
                    <xdr:col>18</xdr:col>
                    <xdr:colOff>1784350</xdr:colOff>
                    <xdr:row>14</xdr:row>
                    <xdr:rowOff>234950</xdr:rowOff>
                  </to>
                </anchor>
              </controlPr>
            </control>
          </mc:Choice>
        </mc:AlternateContent>
        <mc:AlternateContent xmlns:mc="http://schemas.openxmlformats.org/markup-compatibility/2006">
          <mc:Choice Requires="x14">
            <control shapeId="56334" r:id="rId16" name="Button 14">
              <controlPr defaultSize="0" print="0" autoFill="0" autoPict="0" macro="[0]!goto_advanced_report">
                <anchor moveWithCells="1" sizeWithCells="1">
                  <from>
                    <xdr:col>17</xdr:col>
                    <xdr:colOff>44450</xdr:colOff>
                    <xdr:row>5</xdr:row>
                    <xdr:rowOff>31750</xdr:rowOff>
                  </from>
                  <to>
                    <xdr:col>18</xdr:col>
                    <xdr:colOff>1790700</xdr:colOff>
                    <xdr:row>6</xdr:row>
                    <xdr:rowOff>120650</xdr:rowOff>
                  </to>
                </anchor>
              </controlPr>
            </control>
          </mc:Choice>
        </mc:AlternateContent>
        <mc:AlternateContent xmlns:mc="http://schemas.openxmlformats.org/markup-compatibility/2006">
          <mc:Choice Requires="x14">
            <control shapeId="56335" r:id="rId17" name="Button 15">
              <controlPr defaultSize="0" print="0" autoFill="0" autoPict="0" macro="[0]!goto_advanced_report">
                <anchor moveWithCells="1" sizeWithCells="1">
                  <from>
                    <xdr:col>16</xdr:col>
                    <xdr:colOff>127000</xdr:colOff>
                    <xdr:row>95</xdr:row>
                    <xdr:rowOff>76200</xdr:rowOff>
                  </from>
                  <to>
                    <xdr:col>17</xdr:col>
                    <xdr:colOff>31750</xdr:colOff>
                    <xdr:row>97</xdr:row>
                    <xdr:rowOff>38100</xdr:rowOff>
                  </to>
                </anchor>
              </controlPr>
            </control>
          </mc:Choice>
        </mc:AlternateContent>
        <mc:AlternateContent xmlns:mc="http://schemas.openxmlformats.org/markup-compatibility/2006">
          <mc:Choice Requires="x14">
            <control shapeId="56336" r:id="rId18" name="advanced_clear_button">
              <controlPr defaultSize="0" print="0" autoFill="0" autoPict="0" macro="[0]!clear_advanced_all">
                <anchor moveWithCells="1" sizeWithCells="1">
                  <from>
                    <xdr:col>7</xdr:col>
                    <xdr:colOff>273050</xdr:colOff>
                    <xdr:row>1</xdr:row>
                    <xdr:rowOff>44450</xdr:rowOff>
                  </from>
                  <to>
                    <xdr:col>8</xdr:col>
                    <xdr:colOff>647700</xdr:colOff>
                    <xdr:row>1</xdr:row>
                    <xdr:rowOff>387350</xdr:rowOff>
                  </to>
                </anchor>
              </controlPr>
            </control>
          </mc:Choice>
        </mc:AlternateContent>
        <mc:AlternateContent xmlns:mc="http://schemas.openxmlformats.org/markup-compatibility/2006">
          <mc:Choice Requires="x14">
            <control shapeId="56337" r:id="rId19" name="Button 17">
              <controlPr defaultSize="0" print="0" autoFill="0" autoPict="0" macro="[0]!goto_advanced_detail">
                <anchor moveWithCells="1" sizeWithCells="1">
                  <from>
                    <xdr:col>16</xdr:col>
                    <xdr:colOff>127000</xdr:colOff>
                    <xdr:row>97</xdr:row>
                    <xdr:rowOff>44450</xdr:rowOff>
                  </from>
                  <to>
                    <xdr:col>17</xdr:col>
                    <xdr:colOff>31750</xdr:colOff>
                    <xdr:row>98</xdr:row>
                    <xdr:rowOff>139700</xdr:rowOff>
                  </to>
                </anchor>
              </controlPr>
            </control>
          </mc:Choice>
        </mc:AlternateContent>
        <mc:AlternateContent xmlns:mc="http://schemas.openxmlformats.org/markup-compatibility/2006">
          <mc:Choice Requires="x14">
            <control shapeId="56338" r:id="rId20" name="Button 18">
              <controlPr defaultSize="0" print="0" autoFill="0" autoPict="0" macro="[0]!get_instalments">
                <anchor moveWithCells="1" sizeWithCells="1">
                  <from>
                    <xdr:col>18</xdr:col>
                    <xdr:colOff>63500</xdr:colOff>
                    <xdr:row>94</xdr:row>
                    <xdr:rowOff>222250</xdr:rowOff>
                  </from>
                  <to>
                    <xdr:col>18</xdr:col>
                    <xdr:colOff>939800</xdr:colOff>
                    <xdr:row>96</xdr:row>
                    <xdr:rowOff>139700</xdr:rowOff>
                  </to>
                </anchor>
              </controlPr>
            </control>
          </mc:Choice>
        </mc:AlternateContent>
        <mc:AlternateContent xmlns:mc="http://schemas.openxmlformats.org/markup-compatibility/2006">
          <mc:Choice Requires="x14">
            <control shapeId="56340" r:id="rId21" name="Button 20">
              <controlPr defaultSize="0" print="0" autoFill="0" autoPict="0" macro="[0]!goto_details">
                <anchor moveWithCells="1" sizeWithCells="1">
                  <from>
                    <xdr:col>5</xdr:col>
                    <xdr:colOff>25400</xdr:colOff>
                    <xdr:row>5</xdr:row>
                    <xdr:rowOff>25400</xdr:rowOff>
                  </from>
                  <to>
                    <xdr:col>7</xdr:col>
                    <xdr:colOff>596900</xdr:colOff>
                    <xdr:row>6</xdr:row>
                    <xdr:rowOff>6350</xdr:rowOff>
                  </to>
                </anchor>
              </controlPr>
            </control>
          </mc:Choice>
        </mc:AlternateContent>
        <mc:AlternateContent xmlns:mc="http://schemas.openxmlformats.org/markup-compatibility/2006">
          <mc:Choice Requires="x14">
            <control shapeId="56341" r:id="rId22" name="Button 21">
              <controlPr defaultSize="0" print="0" autoFill="0" autoPict="0" macro="[0]!goto_advanced_report">
                <anchor moveWithCells="1" sizeWithCells="1">
                  <from>
                    <xdr:col>18</xdr:col>
                    <xdr:colOff>76200</xdr:colOff>
                    <xdr:row>84</xdr:row>
                    <xdr:rowOff>6350</xdr:rowOff>
                  </from>
                  <to>
                    <xdr:col>18</xdr:col>
                    <xdr:colOff>1212850</xdr:colOff>
                    <xdr:row>85</xdr:row>
                    <xdr:rowOff>139700</xdr:rowOff>
                  </to>
                </anchor>
              </controlPr>
            </control>
          </mc:Choice>
        </mc:AlternateContent>
        <mc:AlternateContent xmlns:mc="http://schemas.openxmlformats.org/markup-compatibility/2006">
          <mc:Choice Requires="x14">
            <control shapeId="56342" r:id="rId23" name="advancedpayments">
              <controlPr defaultSize="0" print="0" autoFill="0" autoPict="0" macro="[0]!globalgoto">
                <anchor moveWithCells="1" sizeWithCells="1">
                  <from>
                    <xdr:col>18</xdr:col>
                    <xdr:colOff>69850</xdr:colOff>
                    <xdr:row>97</xdr:row>
                    <xdr:rowOff>6350</xdr:rowOff>
                  </from>
                  <to>
                    <xdr:col>18</xdr:col>
                    <xdr:colOff>946150</xdr:colOff>
                    <xdr:row>99</xdr:row>
                    <xdr:rowOff>38100</xdr:rowOff>
                  </to>
                </anchor>
              </controlPr>
            </control>
          </mc:Choice>
        </mc:AlternateContent>
        <mc:AlternateContent xmlns:mc="http://schemas.openxmlformats.org/markup-compatibility/2006">
          <mc:Choice Requires="x14">
            <control shapeId="56343" r:id="rId24" name="Button 23">
              <controlPr defaultSize="0" print="0" autoFill="0" autoPict="0" macro="[0]!helpadvanceddates">
                <anchor moveWithCells="1" sizeWithCells="1">
                  <from>
                    <xdr:col>16</xdr:col>
                    <xdr:colOff>215900</xdr:colOff>
                    <xdr:row>63</xdr:row>
                    <xdr:rowOff>222250</xdr:rowOff>
                  </from>
                  <to>
                    <xdr:col>16</xdr:col>
                    <xdr:colOff>958850</xdr:colOff>
                    <xdr:row>65</xdr:row>
                    <xdr:rowOff>31750</xdr:rowOff>
                  </to>
                </anchor>
              </controlPr>
            </control>
          </mc:Choice>
        </mc:AlternateContent>
        <mc:AlternateContent xmlns:mc="http://schemas.openxmlformats.org/markup-compatibility/2006">
          <mc:Choice Requires="x14">
            <control shapeId="56344" r:id="rId25" name="copypaste_button">
              <controlPr defaultSize="0" print="0" autoFill="0" autoPict="0" macro="[0]!copypaste">
                <anchor moveWithCells="1" sizeWithCells="1">
                  <from>
                    <xdr:col>18</xdr:col>
                    <xdr:colOff>63500</xdr:colOff>
                    <xdr:row>93</xdr:row>
                    <xdr:rowOff>0</xdr:rowOff>
                  </from>
                  <to>
                    <xdr:col>18</xdr:col>
                    <xdr:colOff>882650</xdr:colOff>
                    <xdr:row>94</xdr:row>
                    <xdr:rowOff>177800</xdr:rowOff>
                  </to>
                </anchor>
              </controlPr>
            </control>
          </mc:Choice>
        </mc:AlternateContent>
        <mc:AlternateContent xmlns:mc="http://schemas.openxmlformats.org/markup-compatibility/2006">
          <mc:Choice Requires="x14">
            <control shapeId="56345" r:id="rId26" name="Button 25">
              <controlPr defaultSize="0" print="0" autoFill="0" autoPict="0" macro="[0]!helpnewinlist">
                <anchor moveWithCells="1" sizeWithCells="1">
                  <from>
                    <xdr:col>9</xdr:col>
                    <xdr:colOff>450850</xdr:colOff>
                    <xdr:row>7</xdr:row>
                    <xdr:rowOff>107950</xdr:rowOff>
                  </from>
                  <to>
                    <xdr:col>10</xdr:col>
                    <xdr:colOff>444500</xdr:colOff>
                    <xdr:row>9</xdr:row>
                    <xdr:rowOff>114300</xdr:rowOff>
                  </to>
                </anchor>
              </controlPr>
            </control>
          </mc:Choice>
        </mc:AlternateContent>
        <mc:AlternateContent xmlns:mc="http://schemas.openxmlformats.org/markup-compatibility/2006">
          <mc:Choice Requires="x14">
            <control shapeId="56346" r:id="rId27" name="help_gl_button">
              <controlPr defaultSize="0" print="0" autoFill="0" autoPict="0" macro="[0]!goto_gllist">
                <anchor moveWithCells="1" sizeWithCells="1">
                  <from>
                    <xdr:col>5</xdr:col>
                    <xdr:colOff>596900</xdr:colOff>
                    <xdr:row>6</xdr:row>
                    <xdr:rowOff>120650</xdr:rowOff>
                  </from>
                  <to>
                    <xdr:col>7</xdr:col>
                    <xdr:colOff>723900</xdr:colOff>
                    <xdr:row>7</xdr:row>
                    <xdr:rowOff>146050</xdr:rowOff>
                  </to>
                </anchor>
              </controlPr>
            </control>
          </mc:Choice>
        </mc:AlternateContent>
        <mc:AlternateContent xmlns:mc="http://schemas.openxmlformats.org/markup-compatibility/2006">
          <mc:Choice Requires="x14">
            <control shapeId="56347" r:id="rId28" name="Check Box 27">
              <controlPr defaultSize="0" autoFill="0" autoLine="0" autoPict="0" macro="[0]!advancedcharityoriginal">
                <anchor moveWithCells="1">
                  <from>
                    <xdr:col>9</xdr:col>
                    <xdr:colOff>6350</xdr:colOff>
                    <xdr:row>9</xdr:row>
                    <xdr:rowOff>127000</xdr:rowOff>
                  </from>
                  <to>
                    <xdr:col>9</xdr:col>
                    <xdr:colOff>654050</xdr:colOff>
                    <xdr:row>11</xdr:row>
                    <xdr:rowOff>6350</xdr:rowOff>
                  </to>
                </anchor>
              </controlPr>
            </control>
          </mc:Choice>
        </mc:AlternateContent>
        <mc:AlternateContent xmlns:mc="http://schemas.openxmlformats.org/markup-compatibility/2006">
          <mc:Choice Requires="x14">
            <control shapeId="56348" r:id="rId29" name="Check Box 28">
              <controlPr defaultSize="0" autoFill="0" autoLine="0" autoPict="0" macro="[0]!advancedcharityrevised">
                <anchor moveWithCells="1">
                  <from>
                    <xdr:col>13</xdr:col>
                    <xdr:colOff>0</xdr:colOff>
                    <xdr:row>9</xdr:row>
                    <xdr:rowOff>127000</xdr:rowOff>
                  </from>
                  <to>
                    <xdr:col>13</xdr:col>
                    <xdr:colOff>679450</xdr:colOff>
                    <xdr:row>11</xdr:row>
                    <xdr:rowOff>6350</xdr:rowOff>
                  </to>
                </anchor>
              </controlPr>
            </control>
          </mc:Choice>
        </mc:AlternateContent>
        <mc:AlternateContent xmlns:mc="http://schemas.openxmlformats.org/markup-compatibility/2006">
          <mc:Choice Requires="x14">
            <control shapeId="56349" r:id="rId30" name="Button 29">
              <controlPr defaultSize="0" print="0" autoFill="0" autoPict="0" macro="[0]!whatisanalyse">
                <anchor moveWithCells="1" sizeWithCells="1">
                  <from>
                    <xdr:col>6</xdr:col>
                    <xdr:colOff>412750</xdr:colOff>
                    <xdr:row>1</xdr:row>
                    <xdr:rowOff>38100</xdr:rowOff>
                  </from>
                  <to>
                    <xdr:col>7</xdr:col>
                    <xdr:colOff>69850</xdr:colOff>
                    <xdr:row>1</xdr:row>
                    <xdr:rowOff>387350</xdr:rowOff>
                  </to>
                </anchor>
              </controlPr>
            </control>
          </mc:Choice>
        </mc:AlternateContent>
        <mc:AlternateContent xmlns:mc="http://schemas.openxmlformats.org/markup-compatibility/2006">
          <mc:Choice Requires="x14">
            <control shapeId="56350" r:id="rId31" name="Button 30">
              <controlPr defaultSize="0" print="0" autoFill="0" autoPict="0" macro="[0]!helpcert">
                <anchor moveWithCells="1" sizeWithCells="1">
                  <from>
                    <xdr:col>16</xdr:col>
                    <xdr:colOff>546100</xdr:colOff>
                    <xdr:row>68</xdr:row>
                    <xdr:rowOff>38100</xdr:rowOff>
                  </from>
                  <to>
                    <xdr:col>16</xdr:col>
                    <xdr:colOff>774700</xdr:colOff>
                    <xdr:row>68</xdr:row>
                    <xdr:rowOff>215900</xdr:rowOff>
                  </to>
                </anchor>
              </controlPr>
            </control>
          </mc:Choice>
        </mc:AlternateContent>
        <mc:AlternateContent xmlns:mc="http://schemas.openxmlformats.org/markup-compatibility/2006">
          <mc:Choice Requires="x14">
            <control shapeId="56351" r:id="rId32" name="ticko1">
              <controlPr defaultSize="0" autoFill="0" autoLine="0" autoPict="0" macro="[0]!certify_o">
                <anchor moveWithCells="1">
                  <from>
                    <xdr:col>6</xdr:col>
                    <xdr:colOff>69850</xdr:colOff>
                    <xdr:row>69</xdr:row>
                    <xdr:rowOff>12700</xdr:rowOff>
                  </from>
                  <to>
                    <xdr:col>6</xdr:col>
                    <xdr:colOff>381000</xdr:colOff>
                    <xdr:row>70</xdr:row>
                    <xdr:rowOff>6350</xdr:rowOff>
                  </to>
                </anchor>
              </controlPr>
            </control>
          </mc:Choice>
        </mc:AlternateContent>
        <mc:AlternateContent xmlns:mc="http://schemas.openxmlformats.org/markup-compatibility/2006">
          <mc:Choice Requires="x14">
            <control shapeId="56352" r:id="rId33" name="ticko2">
              <controlPr defaultSize="0" autoFill="0" autoLine="0" autoPict="0" macro="[0]!certify_o">
                <anchor moveWithCells="1">
                  <from>
                    <xdr:col>6</xdr:col>
                    <xdr:colOff>69850</xdr:colOff>
                    <xdr:row>70</xdr:row>
                    <xdr:rowOff>12700</xdr:rowOff>
                  </from>
                  <to>
                    <xdr:col>6</xdr:col>
                    <xdr:colOff>381000</xdr:colOff>
                    <xdr:row>71</xdr:row>
                    <xdr:rowOff>6350</xdr:rowOff>
                  </to>
                </anchor>
              </controlPr>
            </control>
          </mc:Choice>
        </mc:AlternateContent>
        <mc:AlternateContent xmlns:mc="http://schemas.openxmlformats.org/markup-compatibility/2006">
          <mc:Choice Requires="x14">
            <control shapeId="56353" r:id="rId34" name="ticko3">
              <controlPr defaultSize="0" autoFill="0" autoLine="0" autoPict="0" macro="[0]!certify_o">
                <anchor moveWithCells="1">
                  <from>
                    <xdr:col>6</xdr:col>
                    <xdr:colOff>69850</xdr:colOff>
                    <xdr:row>71</xdr:row>
                    <xdr:rowOff>6350</xdr:rowOff>
                  </from>
                  <to>
                    <xdr:col>6</xdr:col>
                    <xdr:colOff>381000</xdr:colOff>
                    <xdr:row>72</xdr:row>
                    <xdr:rowOff>0</xdr:rowOff>
                  </to>
                </anchor>
              </controlPr>
            </control>
          </mc:Choice>
        </mc:AlternateContent>
        <mc:AlternateContent xmlns:mc="http://schemas.openxmlformats.org/markup-compatibility/2006">
          <mc:Choice Requires="x14">
            <control shapeId="56354" r:id="rId35" name="ticko4">
              <controlPr defaultSize="0" autoFill="0" autoLine="0" autoPict="0" macro="[0]!certify_o">
                <anchor moveWithCells="1">
                  <from>
                    <xdr:col>6</xdr:col>
                    <xdr:colOff>69850</xdr:colOff>
                    <xdr:row>72</xdr:row>
                    <xdr:rowOff>6350</xdr:rowOff>
                  </from>
                  <to>
                    <xdr:col>6</xdr:col>
                    <xdr:colOff>381000</xdr:colOff>
                    <xdr:row>73</xdr:row>
                    <xdr:rowOff>0</xdr:rowOff>
                  </to>
                </anchor>
              </controlPr>
            </control>
          </mc:Choice>
        </mc:AlternateContent>
        <mc:AlternateContent xmlns:mc="http://schemas.openxmlformats.org/markup-compatibility/2006">
          <mc:Choice Requires="x14">
            <control shapeId="56355" r:id="rId36" name="ticko5">
              <controlPr defaultSize="0" autoFill="0" autoLine="0" autoPict="0" macro="[0]!certify_o">
                <anchor moveWithCells="1">
                  <from>
                    <xdr:col>6</xdr:col>
                    <xdr:colOff>69850</xdr:colOff>
                    <xdr:row>73</xdr:row>
                    <xdr:rowOff>6350</xdr:rowOff>
                  </from>
                  <to>
                    <xdr:col>6</xdr:col>
                    <xdr:colOff>381000</xdr:colOff>
                    <xdr:row>74</xdr:row>
                    <xdr:rowOff>0</xdr:rowOff>
                  </to>
                </anchor>
              </controlPr>
            </control>
          </mc:Choice>
        </mc:AlternateContent>
        <mc:AlternateContent xmlns:mc="http://schemas.openxmlformats.org/markup-compatibility/2006">
          <mc:Choice Requires="x14">
            <control shapeId="56356" r:id="rId37" name="ticko6">
              <controlPr defaultSize="0" autoFill="0" autoLine="0" autoPict="0" macro="[0]!certify_o">
                <anchor moveWithCells="1">
                  <from>
                    <xdr:col>6</xdr:col>
                    <xdr:colOff>69850</xdr:colOff>
                    <xdr:row>74</xdr:row>
                    <xdr:rowOff>6350</xdr:rowOff>
                  </from>
                  <to>
                    <xdr:col>6</xdr:col>
                    <xdr:colOff>381000</xdr:colOff>
                    <xdr:row>75</xdr:row>
                    <xdr:rowOff>0</xdr:rowOff>
                  </to>
                </anchor>
              </controlPr>
            </control>
          </mc:Choice>
        </mc:AlternateContent>
        <mc:AlternateContent xmlns:mc="http://schemas.openxmlformats.org/markup-compatibility/2006">
          <mc:Choice Requires="x14">
            <control shapeId="56357" r:id="rId38" name="ticko7">
              <controlPr defaultSize="0" autoFill="0" autoLine="0" autoPict="0" macro="[0]!certify_o">
                <anchor moveWithCells="1">
                  <from>
                    <xdr:col>6</xdr:col>
                    <xdr:colOff>69850</xdr:colOff>
                    <xdr:row>75</xdr:row>
                    <xdr:rowOff>6350</xdr:rowOff>
                  </from>
                  <to>
                    <xdr:col>6</xdr:col>
                    <xdr:colOff>381000</xdr:colOff>
                    <xdr:row>76</xdr:row>
                    <xdr:rowOff>0</xdr:rowOff>
                  </to>
                </anchor>
              </controlPr>
            </control>
          </mc:Choice>
        </mc:AlternateContent>
        <mc:AlternateContent xmlns:mc="http://schemas.openxmlformats.org/markup-compatibility/2006">
          <mc:Choice Requires="x14">
            <control shapeId="56358" r:id="rId39" name="ticko8">
              <controlPr defaultSize="0" autoFill="0" autoLine="0" autoPict="0" macro="[0]!certify_o">
                <anchor moveWithCells="1">
                  <from>
                    <xdr:col>6</xdr:col>
                    <xdr:colOff>69850</xdr:colOff>
                    <xdr:row>76</xdr:row>
                    <xdr:rowOff>6350</xdr:rowOff>
                  </from>
                  <to>
                    <xdr:col>6</xdr:col>
                    <xdr:colOff>381000</xdr:colOff>
                    <xdr:row>77</xdr:row>
                    <xdr:rowOff>0</xdr:rowOff>
                  </to>
                </anchor>
              </controlPr>
            </control>
          </mc:Choice>
        </mc:AlternateContent>
        <mc:AlternateContent xmlns:mc="http://schemas.openxmlformats.org/markup-compatibility/2006">
          <mc:Choice Requires="x14">
            <control shapeId="56359" r:id="rId40" name="ticko9">
              <controlPr defaultSize="0" autoFill="0" autoLine="0" autoPict="0" macro="[0]!certify_o">
                <anchor moveWithCells="1">
                  <from>
                    <xdr:col>6</xdr:col>
                    <xdr:colOff>69850</xdr:colOff>
                    <xdr:row>77</xdr:row>
                    <xdr:rowOff>6350</xdr:rowOff>
                  </from>
                  <to>
                    <xdr:col>6</xdr:col>
                    <xdr:colOff>381000</xdr:colOff>
                    <xdr:row>78</xdr:row>
                    <xdr:rowOff>0</xdr:rowOff>
                  </to>
                </anchor>
              </controlPr>
            </control>
          </mc:Choice>
        </mc:AlternateContent>
        <mc:AlternateContent xmlns:mc="http://schemas.openxmlformats.org/markup-compatibility/2006">
          <mc:Choice Requires="x14">
            <control shapeId="56360" r:id="rId41" name="ticko10">
              <controlPr defaultSize="0" autoFill="0" autoLine="0" autoPict="0" macro="[0]!certify_o">
                <anchor moveWithCells="1">
                  <from>
                    <xdr:col>6</xdr:col>
                    <xdr:colOff>69850</xdr:colOff>
                    <xdr:row>78</xdr:row>
                    <xdr:rowOff>6350</xdr:rowOff>
                  </from>
                  <to>
                    <xdr:col>6</xdr:col>
                    <xdr:colOff>381000</xdr:colOff>
                    <xdr:row>79</xdr:row>
                    <xdr:rowOff>0</xdr:rowOff>
                  </to>
                </anchor>
              </controlPr>
            </control>
          </mc:Choice>
        </mc:AlternateContent>
        <mc:AlternateContent xmlns:mc="http://schemas.openxmlformats.org/markup-compatibility/2006">
          <mc:Choice Requires="x14">
            <control shapeId="56361" r:id="rId42" name="ticko11">
              <controlPr defaultSize="0" autoFill="0" autoLine="0" autoPict="0" macro="[0]!certify_o">
                <anchor moveWithCells="1">
                  <from>
                    <xdr:col>6</xdr:col>
                    <xdr:colOff>69850</xdr:colOff>
                    <xdr:row>79</xdr:row>
                    <xdr:rowOff>6350</xdr:rowOff>
                  </from>
                  <to>
                    <xdr:col>6</xdr:col>
                    <xdr:colOff>381000</xdr:colOff>
                    <xdr:row>80</xdr:row>
                    <xdr:rowOff>0</xdr:rowOff>
                  </to>
                </anchor>
              </controlPr>
            </control>
          </mc:Choice>
        </mc:AlternateContent>
        <mc:AlternateContent xmlns:mc="http://schemas.openxmlformats.org/markup-compatibility/2006">
          <mc:Choice Requires="x14">
            <control shapeId="56362" r:id="rId43" name="tickr1">
              <controlPr defaultSize="0" autoFill="0" autoLine="0" autoPict="0" macro="[0]!certify_r">
                <anchor moveWithCells="1">
                  <from>
                    <xdr:col>16</xdr:col>
                    <xdr:colOff>565150</xdr:colOff>
                    <xdr:row>69</xdr:row>
                    <xdr:rowOff>6350</xdr:rowOff>
                  </from>
                  <to>
                    <xdr:col>16</xdr:col>
                    <xdr:colOff>876300</xdr:colOff>
                    <xdr:row>70</xdr:row>
                    <xdr:rowOff>0</xdr:rowOff>
                  </to>
                </anchor>
              </controlPr>
            </control>
          </mc:Choice>
        </mc:AlternateContent>
        <mc:AlternateContent xmlns:mc="http://schemas.openxmlformats.org/markup-compatibility/2006">
          <mc:Choice Requires="x14">
            <control shapeId="56363" r:id="rId44" name="tickr2">
              <controlPr defaultSize="0" autoFill="0" autoLine="0" autoPict="0" macro="[0]!certify_r">
                <anchor moveWithCells="1">
                  <from>
                    <xdr:col>16</xdr:col>
                    <xdr:colOff>565150</xdr:colOff>
                    <xdr:row>70</xdr:row>
                    <xdr:rowOff>6350</xdr:rowOff>
                  </from>
                  <to>
                    <xdr:col>16</xdr:col>
                    <xdr:colOff>876300</xdr:colOff>
                    <xdr:row>71</xdr:row>
                    <xdr:rowOff>0</xdr:rowOff>
                  </to>
                </anchor>
              </controlPr>
            </control>
          </mc:Choice>
        </mc:AlternateContent>
        <mc:AlternateContent xmlns:mc="http://schemas.openxmlformats.org/markup-compatibility/2006">
          <mc:Choice Requires="x14">
            <control shapeId="56364" r:id="rId45" name="tickr3">
              <controlPr defaultSize="0" autoFill="0" autoLine="0" autoPict="0" macro="[0]!certify_r">
                <anchor moveWithCells="1">
                  <from>
                    <xdr:col>16</xdr:col>
                    <xdr:colOff>565150</xdr:colOff>
                    <xdr:row>71</xdr:row>
                    <xdr:rowOff>6350</xdr:rowOff>
                  </from>
                  <to>
                    <xdr:col>16</xdr:col>
                    <xdr:colOff>876300</xdr:colOff>
                    <xdr:row>72</xdr:row>
                    <xdr:rowOff>0</xdr:rowOff>
                  </to>
                </anchor>
              </controlPr>
            </control>
          </mc:Choice>
        </mc:AlternateContent>
        <mc:AlternateContent xmlns:mc="http://schemas.openxmlformats.org/markup-compatibility/2006">
          <mc:Choice Requires="x14">
            <control shapeId="56365" r:id="rId46" name="tickr4">
              <controlPr defaultSize="0" autoFill="0" autoLine="0" autoPict="0" macro="[0]!certify_r">
                <anchor moveWithCells="1">
                  <from>
                    <xdr:col>16</xdr:col>
                    <xdr:colOff>565150</xdr:colOff>
                    <xdr:row>72</xdr:row>
                    <xdr:rowOff>6350</xdr:rowOff>
                  </from>
                  <to>
                    <xdr:col>16</xdr:col>
                    <xdr:colOff>876300</xdr:colOff>
                    <xdr:row>73</xdr:row>
                    <xdr:rowOff>0</xdr:rowOff>
                  </to>
                </anchor>
              </controlPr>
            </control>
          </mc:Choice>
        </mc:AlternateContent>
        <mc:AlternateContent xmlns:mc="http://schemas.openxmlformats.org/markup-compatibility/2006">
          <mc:Choice Requires="x14">
            <control shapeId="56366" r:id="rId47" name="tickr5">
              <controlPr defaultSize="0" autoFill="0" autoLine="0" autoPict="0" macro="[0]!certify_r">
                <anchor moveWithCells="1">
                  <from>
                    <xdr:col>16</xdr:col>
                    <xdr:colOff>565150</xdr:colOff>
                    <xdr:row>73</xdr:row>
                    <xdr:rowOff>6350</xdr:rowOff>
                  </from>
                  <to>
                    <xdr:col>16</xdr:col>
                    <xdr:colOff>876300</xdr:colOff>
                    <xdr:row>74</xdr:row>
                    <xdr:rowOff>0</xdr:rowOff>
                  </to>
                </anchor>
              </controlPr>
            </control>
          </mc:Choice>
        </mc:AlternateContent>
        <mc:AlternateContent xmlns:mc="http://schemas.openxmlformats.org/markup-compatibility/2006">
          <mc:Choice Requires="x14">
            <control shapeId="56367" r:id="rId48" name="tickr6">
              <controlPr defaultSize="0" autoFill="0" autoLine="0" autoPict="0" macro="[0]!certify_r">
                <anchor moveWithCells="1">
                  <from>
                    <xdr:col>16</xdr:col>
                    <xdr:colOff>565150</xdr:colOff>
                    <xdr:row>74</xdr:row>
                    <xdr:rowOff>6350</xdr:rowOff>
                  </from>
                  <to>
                    <xdr:col>16</xdr:col>
                    <xdr:colOff>876300</xdr:colOff>
                    <xdr:row>75</xdr:row>
                    <xdr:rowOff>0</xdr:rowOff>
                  </to>
                </anchor>
              </controlPr>
            </control>
          </mc:Choice>
        </mc:AlternateContent>
        <mc:AlternateContent xmlns:mc="http://schemas.openxmlformats.org/markup-compatibility/2006">
          <mc:Choice Requires="x14">
            <control shapeId="56368" r:id="rId49" name="tickr7">
              <controlPr defaultSize="0" autoFill="0" autoLine="0" autoPict="0" macro="[0]!certify_r">
                <anchor moveWithCells="1">
                  <from>
                    <xdr:col>16</xdr:col>
                    <xdr:colOff>565150</xdr:colOff>
                    <xdr:row>75</xdr:row>
                    <xdr:rowOff>6350</xdr:rowOff>
                  </from>
                  <to>
                    <xdr:col>16</xdr:col>
                    <xdr:colOff>876300</xdr:colOff>
                    <xdr:row>76</xdr:row>
                    <xdr:rowOff>0</xdr:rowOff>
                  </to>
                </anchor>
              </controlPr>
            </control>
          </mc:Choice>
        </mc:AlternateContent>
        <mc:AlternateContent xmlns:mc="http://schemas.openxmlformats.org/markup-compatibility/2006">
          <mc:Choice Requires="x14">
            <control shapeId="56369" r:id="rId50" name="tickr8">
              <controlPr defaultSize="0" autoFill="0" autoLine="0" autoPict="0" macro="[0]!certify_r">
                <anchor moveWithCells="1">
                  <from>
                    <xdr:col>16</xdr:col>
                    <xdr:colOff>565150</xdr:colOff>
                    <xdr:row>76</xdr:row>
                    <xdr:rowOff>6350</xdr:rowOff>
                  </from>
                  <to>
                    <xdr:col>16</xdr:col>
                    <xdr:colOff>876300</xdr:colOff>
                    <xdr:row>77</xdr:row>
                    <xdr:rowOff>0</xdr:rowOff>
                  </to>
                </anchor>
              </controlPr>
            </control>
          </mc:Choice>
        </mc:AlternateContent>
        <mc:AlternateContent xmlns:mc="http://schemas.openxmlformats.org/markup-compatibility/2006">
          <mc:Choice Requires="x14">
            <control shapeId="56370" r:id="rId51" name="tickr9">
              <controlPr defaultSize="0" autoFill="0" autoLine="0" autoPict="0" macro="[0]!certify_r">
                <anchor moveWithCells="1">
                  <from>
                    <xdr:col>16</xdr:col>
                    <xdr:colOff>546100</xdr:colOff>
                    <xdr:row>77</xdr:row>
                    <xdr:rowOff>6350</xdr:rowOff>
                  </from>
                  <to>
                    <xdr:col>16</xdr:col>
                    <xdr:colOff>869950</xdr:colOff>
                    <xdr:row>78</xdr:row>
                    <xdr:rowOff>0</xdr:rowOff>
                  </to>
                </anchor>
              </controlPr>
            </control>
          </mc:Choice>
        </mc:AlternateContent>
        <mc:AlternateContent xmlns:mc="http://schemas.openxmlformats.org/markup-compatibility/2006">
          <mc:Choice Requires="x14">
            <control shapeId="56371" r:id="rId52" name="tickr10">
              <controlPr defaultSize="0" autoFill="0" autoLine="0" autoPict="0" macro="[0]!certify_r">
                <anchor moveWithCells="1">
                  <from>
                    <xdr:col>16</xdr:col>
                    <xdr:colOff>546100</xdr:colOff>
                    <xdr:row>78</xdr:row>
                    <xdr:rowOff>6350</xdr:rowOff>
                  </from>
                  <to>
                    <xdr:col>16</xdr:col>
                    <xdr:colOff>869950</xdr:colOff>
                    <xdr:row>79</xdr:row>
                    <xdr:rowOff>0</xdr:rowOff>
                  </to>
                </anchor>
              </controlPr>
            </control>
          </mc:Choice>
        </mc:AlternateContent>
        <mc:AlternateContent xmlns:mc="http://schemas.openxmlformats.org/markup-compatibility/2006">
          <mc:Choice Requires="x14">
            <control shapeId="56372" r:id="rId53" name="tickr11">
              <controlPr defaultSize="0" autoFill="0" autoLine="0" autoPict="0" macro="[0]!certify_r">
                <anchor moveWithCells="1">
                  <from>
                    <xdr:col>16</xdr:col>
                    <xdr:colOff>546100</xdr:colOff>
                    <xdr:row>79</xdr:row>
                    <xdr:rowOff>6350</xdr:rowOff>
                  </from>
                  <to>
                    <xdr:col>16</xdr:col>
                    <xdr:colOff>869950</xdr:colOff>
                    <xdr:row>80</xdr:row>
                    <xdr:rowOff>0</xdr:rowOff>
                  </to>
                </anchor>
              </controlPr>
            </control>
          </mc:Choice>
        </mc:AlternateContent>
        <mc:AlternateContent xmlns:mc="http://schemas.openxmlformats.org/markup-compatibility/2006">
          <mc:Choice Requires="x14">
            <control shapeId="56373" r:id="rId54" name="Button 53">
              <controlPr defaultSize="0" print="0" autoFill="0" autoPict="0" macro="[0]!switch_off_sequence_check">
                <anchor moveWithCells="1" sizeWithCells="1">
                  <from>
                    <xdr:col>18</xdr:col>
                    <xdr:colOff>82550</xdr:colOff>
                    <xdr:row>77</xdr:row>
                    <xdr:rowOff>152400</xdr:rowOff>
                  </from>
                  <to>
                    <xdr:col>18</xdr:col>
                    <xdr:colOff>1333500</xdr:colOff>
                    <xdr:row>80</xdr:row>
                    <xdr:rowOff>0</xdr:rowOff>
                  </to>
                </anchor>
              </controlPr>
            </control>
          </mc:Choice>
        </mc:AlternateContent>
        <mc:AlternateContent xmlns:mc="http://schemas.openxmlformats.org/markup-compatibility/2006">
          <mc:Choice Requires="x14">
            <control shapeId="56374" r:id="rId55" name="change_reg_button_o">
              <controlPr defaultSize="0" print="0" autoFill="0" autoPict="0" macro="[0]!change_reg_original">
                <anchor moveWithCells="1" sizeWithCells="1">
                  <from>
                    <xdr:col>5</xdr:col>
                    <xdr:colOff>31750</xdr:colOff>
                    <xdr:row>33</xdr:row>
                    <xdr:rowOff>38100</xdr:rowOff>
                  </from>
                  <to>
                    <xdr:col>7</xdr:col>
                    <xdr:colOff>184150</xdr:colOff>
                    <xdr:row>34</xdr:row>
                    <xdr:rowOff>146050</xdr:rowOff>
                  </to>
                </anchor>
              </controlPr>
            </control>
          </mc:Choice>
        </mc:AlternateContent>
        <mc:AlternateContent xmlns:mc="http://schemas.openxmlformats.org/markup-compatibility/2006">
          <mc:Choice Requires="x14">
            <control shapeId="56375" r:id="rId56" name="change_reg_button_r">
              <controlPr defaultSize="0" print="0" autoFill="0" autoPict="0" macro="[0]!change_reg_revised">
                <anchor moveWithCells="1" sizeWithCells="1">
                  <from>
                    <xdr:col>13</xdr:col>
                    <xdr:colOff>63500</xdr:colOff>
                    <xdr:row>33</xdr:row>
                    <xdr:rowOff>38100</xdr:rowOff>
                  </from>
                  <to>
                    <xdr:col>15</xdr:col>
                    <xdr:colOff>25400</xdr:colOff>
                    <xdr:row>34</xdr:row>
                    <xdr:rowOff>146050</xdr:rowOff>
                  </to>
                </anchor>
              </controlPr>
            </control>
          </mc:Choice>
        </mc:AlternateContent>
        <mc:AlternateContent xmlns:mc="http://schemas.openxmlformats.org/markup-compatibility/2006">
          <mc:Choice Requires="x14">
            <control shapeId="56376" r:id="rId57" name="Button 56">
              <controlPr defaultSize="0" print="0" autoFill="0" autoPict="0" macro="[0]!help_advanced_page">
                <anchor moveWithCells="1" sizeWithCells="1">
                  <from>
                    <xdr:col>9</xdr:col>
                    <xdr:colOff>387350</xdr:colOff>
                    <xdr:row>4</xdr:row>
                    <xdr:rowOff>196850</xdr:rowOff>
                  </from>
                  <to>
                    <xdr:col>10</xdr:col>
                    <xdr:colOff>533400</xdr:colOff>
                    <xdr:row>6</xdr:row>
                    <xdr:rowOff>6350</xdr:rowOff>
                  </to>
                </anchor>
              </controlPr>
            </control>
          </mc:Choice>
        </mc:AlternateContent>
        <mc:AlternateContent xmlns:mc="http://schemas.openxmlformats.org/markup-compatibility/2006">
          <mc:Choice Requires="x14">
            <control shapeId="56377" r:id="rId58" name="help_sbrr_button">
              <controlPr defaultSize="0" print="0" autoFill="0" autoPict="0" macro="[0]!help_sbrr">
                <anchor>
                  <from>
                    <xdr:col>9</xdr:col>
                    <xdr:colOff>317500</xdr:colOff>
                    <xdr:row>64</xdr:row>
                    <xdr:rowOff>196850</xdr:rowOff>
                  </from>
                  <to>
                    <xdr:col>10</xdr:col>
                    <xdr:colOff>311150</xdr:colOff>
                    <xdr:row>66</xdr:row>
                    <xdr:rowOff>0</xdr:rowOff>
                  </to>
                </anchor>
              </controlPr>
            </control>
          </mc:Choice>
        </mc:AlternateContent>
        <mc:AlternateContent xmlns:mc="http://schemas.openxmlformats.org/markup-compatibility/2006">
          <mc:Choice Requires="x14">
            <control shapeId="56378" r:id="rId59" name="Button 58">
              <controlPr defaultSize="0" print="0" autoFill="0" autoPict="0" macro="[0]!reset_hypo_and_calcno">
                <anchor moveWithCells="1" sizeWithCells="1">
                  <from>
                    <xdr:col>15</xdr:col>
                    <xdr:colOff>31750</xdr:colOff>
                    <xdr:row>1</xdr:row>
                    <xdr:rowOff>6350</xdr:rowOff>
                  </from>
                  <to>
                    <xdr:col>16</xdr:col>
                    <xdr:colOff>768350</xdr:colOff>
                    <xdr:row>2</xdr:row>
                    <xdr:rowOff>0</xdr:rowOff>
                  </to>
                </anchor>
              </controlPr>
            </control>
          </mc:Choice>
        </mc:AlternateContent>
        <mc:AlternateContent xmlns:mc="http://schemas.openxmlformats.org/markup-compatibility/2006">
          <mc:Choice Requires="x14">
            <control shapeId="56379" r:id="rId60" name="Button 59">
              <controlPr defaultSize="0" print="0" autoFill="0" autoPict="0" macro="[0]!goto_advanced_client_report">
                <anchor moveWithCells="1" sizeWithCells="1">
                  <from>
                    <xdr:col>17</xdr:col>
                    <xdr:colOff>44450</xdr:colOff>
                    <xdr:row>6</xdr:row>
                    <xdr:rowOff>127000</xdr:rowOff>
                  </from>
                  <to>
                    <xdr:col>18</xdr:col>
                    <xdr:colOff>1790700</xdr:colOff>
                    <xdr:row>9</xdr:row>
                    <xdr:rowOff>6350</xdr:rowOff>
                  </to>
                </anchor>
              </controlPr>
            </control>
          </mc:Choice>
        </mc:AlternateContent>
        <mc:AlternateContent xmlns:mc="http://schemas.openxmlformats.org/markup-compatibility/2006">
          <mc:Choice Requires="x14">
            <control shapeId="56381" r:id="rId61" name="cert_help_button1">
              <controlPr defaultSize="0" print="0" autoFill="0" autoPict="0" macro="[0]!help_tc_advanced">
                <anchor moveWithCells="1" sizeWithCells="1">
                  <from>
                    <xdr:col>9</xdr:col>
                    <xdr:colOff>165100</xdr:colOff>
                    <xdr:row>34</xdr:row>
                    <xdr:rowOff>146050</xdr:rowOff>
                  </from>
                  <to>
                    <xdr:col>11</xdr:col>
                    <xdr:colOff>25400</xdr:colOff>
                    <xdr:row>36</xdr:row>
                    <xdr:rowOff>107950</xdr:rowOff>
                  </to>
                </anchor>
              </controlPr>
            </control>
          </mc:Choice>
        </mc:AlternateContent>
        <mc:AlternateContent xmlns:mc="http://schemas.openxmlformats.org/markup-compatibility/2006">
          <mc:Choice Requires="x14">
            <control shapeId="56382" r:id="rId62" name="Button 62">
              <controlPr defaultSize="0" print="0" autoFill="0" autoPict="0" macro="[0]!helpcert">
                <anchor moveWithCells="1" sizeWithCells="1">
                  <from>
                    <xdr:col>6</xdr:col>
                    <xdr:colOff>63500</xdr:colOff>
                    <xdr:row>68</xdr:row>
                    <xdr:rowOff>38100</xdr:rowOff>
                  </from>
                  <to>
                    <xdr:col>6</xdr:col>
                    <xdr:colOff>292100</xdr:colOff>
                    <xdr:row>68</xdr:row>
                    <xdr:rowOff>215900</xdr:rowOff>
                  </to>
                </anchor>
              </controlPr>
            </control>
          </mc:Choice>
        </mc:AlternateContent>
        <mc:AlternateContent xmlns:mc="http://schemas.openxmlformats.org/markup-compatibility/2006">
          <mc:Choice Requires="x14">
            <control shapeId="56384" r:id="rId63" name="Button 64">
              <controlPr defaultSize="0" print="0" autoFill="0" autoPict="0" macro="[0]!helptruephased">
                <anchor moveWithCells="1" sizeWithCells="1">
                  <from>
                    <xdr:col>5</xdr:col>
                    <xdr:colOff>349250</xdr:colOff>
                    <xdr:row>85</xdr:row>
                    <xdr:rowOff>0</xdr:rowOff>
                  </from>
                  <to>
                    <xdr:col>5</xdr:col>
                    <xdr:colOff>635000</xdr:colOff>
                    <xdr:row>86</xdr:row>
                    <xdr:rowOff>6350</xdr:rowOff>
                  </to>
                </anchor>
              </controlPr>
            </control>
          </mc:Choice>
        </mc:AlternateContent>
        <mc:AlternateContent xmlns:mc="http://schemas.openxmlformats.org/markup-compatibility/2006">
          <mc:Choice Requires="x14">
            <control shapeId="56385" r:id="rId64" name="Button 65">
              <controlPr defaultSize="0" print="0" autoFill="0" autoPict="0" macro="[0]!reserved">
                <anchor moveWithCells="1" sizeWithCells="1">
                  <from>
                    <xdr:col>16</xdr:col>
                    <xdr:colOff>0</xdr:colOff>
                    <xdr:row>84</xdr:row>
                    <xdr:rowOff>6350</xdr:rowOff>
                  </from>
                  <to>
                    <xdr:col>17</xdr:col>
                    <xdr:colOff>0</xdr:colOff>
                    <xdr:row>84</xdr:row>
                    <xdr:rowOff>222250</xdr:rowOff>
                  </to>
                </anchor>
              </controlPr>
            </control>
          </mc:Choice>
        </mc:AlternateContent>
        <mc:AlternateContent xmlns:mc="http://schemas.openxmlformats.org/markup-compatibility/2006">
          <mc:Choice Requires="x14">
            <control shapeId="56392" r:id="rId65" name="Button 72">
              <controlPr defaultSize="0" print="0" autoFill="0" autoPict="0" macro="[0]!help_search">
                <anchor moveWithCells="1" sizeWithCells="1">
                  <from>
                    <xdr:col>1</xdr:col>
                    <xdr:colOff>184150</xdr:colOff>
                    <xdr:row>5</xdr:row>
                    <xdr:rowOff>120650</xdr:rowOff>
                  </from>
                  <to>
                    <xdr:col>1</xdr:col>
                    <xdr:colOff>444500</xdr:colOff>
                    <xdr:row>6</xdr:row>
                    <xdr:rowOff>127000</xdr:rowOff>
                  </to>
                </anchor>
              </controlPr>
            </control>
          </mc:Choice>
        </mc:AlternateContent>
        <mc:AlternateContent xmlns:mc="http://schemas.openxmlformats.org/markup-compatibility/2006">
          <mc:Choice Requires="x14">
            <control shapeId="56393" r:id="rId66" name="Button 73">
              <controlPr defaultSize="0" print="0" autoFill="0" autoPict="0" macro="[0]!help_search">
                <anchor moveWithCells="1" sizeWithCells="1">
                  <from>
                    <xdr:col>1</xdr:col>
                    <xdr:colOff>654050</xdr:colOff>
                    <xdr:row>5</xdr:row>
                    <xdr:rowOff>120650</xdr:rowOff>
                  </from>
                  <to>
                    <xdr:col>1</xdr:col>
                    <xdr:colOff>908050</xdr:colOff>
                    <xdr:row>6</xdr:row>
                    <xdr:rowOff>127000</xdr:rowOff>
                  </to>
                </anchor>
              </controlPr>
            </control>
          </mc:Choice>
        </mc:AlternateContent>
        <mc:AlternateContent xmlns:mc="http://schemas.openxmlformats.org/markup-compatibility/2006">
          <mc:Choice Requires="x14">
            <control shapeId="56394" r:id="rId67" name="Check Box 74">
              <controlPr defaultSize="0" autoFill="0" autoLine="0" autoPict="0">
                <anchor moveWithCells="1">
                  <from>
                    <xdr:col>17</xdr:col>
                    <xdr:colOff>31750</xdr:colOff>
                    <xdr:row>14</xdr:row>
                    <xdr:rowOff>260350</xdr:rowOff>
                  </from>
                  <to>
                    <xdr:col>18</xdr:col>
                    <xdr:colOff>793750</xdr:colOff>
                    <xdr:row>16</xdr:row>
                    <xdr:rowOff>6350</xdr:rowOff>
                  </to>
                </anchor>
              </controlPr>
            </control>
          </mc:Choice>
        </mc:AlternateContent>
        <mc:AlternateContent xmlns:mc="http://schemas.openxmlformats.org/markup-compatibility/2006">
          <mc:Choice Requires="x14">
            <control shapeId="56395" r:id="rId68" name="Check Box 75">
              <controlPr defaultSize="0" autoFill="0" autoLine="0" autoPict="0">
                <anchor moveWithCells="1">
                  <from>
                    <xdr:col>18</xdr:col>
                    <xdr:colOff>850900</xdr:colOff>
                    <xdr:row>14</xdr:row>
                    <xdr:rowOff>260350</xdr:rowOff>
                  </from>
                  <to>
                    <xdr:col>18</xdr:col>
                    <xdr:colOff>1803400</xdr:colOff>
                    <xdr:row>16</xdr:row>
                    <xdr:rowOff>6350</xdr:rowOff>
                  </to>
                </anchor>
              </controlPr>
            </control>
          </mc:Choice>
        </mc:AlternateContent>
        <mc:AlternateContent xmlns:mc="http://schemas.openxmlformats.org/markup-compatibility/2006">
          <mc:Choice Requires="x14">
            <control shapeId="56396" r:id="rId69" name="Check Box 76">
              <controlPr defaultSize="0" autoFill="0" autoLine="0" autoPict="0" macro="[0]!check_adv_retail_orig">
                <anchor moveWithCells="1">
                  <from>
                    <xdr:col>9</xdr:col>
                    <xdr:colOff>654050</xdr:colOff>
                    <xdr:row>9</xdr:row>
                    <xdr:rowOff>127000</xdr:rowOff>
                  </from>
                  <to>
                    <xdr:col>11</xdr:col>
                    <xdr:colOff>158750</xdr:colOff>
                    <xdr:row>11</xdr:row>
                    <xdr:rowOff>6350</xdr:rowOff>
                  </to>
                </anchor>
              </controlPr>
            </control>
          </mc:Choice>
        </mc:AlternateContent>
        <mc:AlternateContent xmlns:mc="http://schemas.openxmlformats.org/markup-compatibility/2006">
          <mc:Choice Requires="x14">
            <control shapeId="56397" r:id="rId70" name="Check Box 77">
              <controlPr defaultSize="0" autoFill="0" autoLine="0" autoPict="0" macro="[0]!check_adv_retail_rev">
                <anchor moveWithCells="1">
                  <from>
                    <xdr:col>13</xdr:col>
                    <xdr:colOff>685800</xdr:colOff>
                    <xdr:row>9</xdr:row>
                    <xdr:rowOff>127000</xdr:rowOff>
                  </from>
                  <to>
                    <xdr:col>14</xdr:col>
                    <xdr:colOff>755650</xdr:colOff>
                    <xdr:row>11</xdr:row>
                    <xdr:rowOff>6350</xdr:rowOff>
                  </to>
                </anchor>
              </controlPr>
            </control>
          </mc:Choice>
        </mc:AlternateContent>
        <mc:AlternateContent xmlns:mc="http://schemas.openxmlformats.org/markup-compatibility/2006">
          <mc:Choice Requires="x14">
            <control shapeId="56398" r:id="rId71" name="reliefbutton">
              <controlPr defaultSize="0" print="0" autoFill="0" autoPict="0" macro="[0]!show_sbrr">
                <anchor moveWithCells="1" sizeWithCells="1">
                  <from>
                    <xdr:col>9</xdr:col>
                    <xdr:colOff>495300</xdr:colOff>
                    <xdr:row>11</xdr:row>
                    <xdr:rowOff>82550</xdr:rowOff>
                  </from>
                  <to>
                    <xdr:col>10</xdr:col>
                    <xdr:colOff>273050</xdr:colOff>
                    <xdr:row>12</xdr:row>
                    <xdr:rowOff>139700</xdr:rowOff>
                  </to>
                </anchor>
              </controlPr>
            </control>
          </mc:Choice>
        </mc:AlternateContent>
        <mc:AlternateContent xmlns:mc="http://schemas.openxmlformats.org/markup-compatibility/2006">
          <mc:Choice Requires="x14">
            <control shapeId="56399" r:id="rId72" name="advdetailgen">
              <controlPr defaultSize="0" print="0" autoFill="0" autoPict="0" macro="[0]!goto_original_advdetail1">
                <anchor moveWithCells="1" sizeWithCells="1">
                  <from>
                    <xdr:col>18</xdr:col>
                    <xdr:colOff>38100</xdr:colOff>
                    <xdr:row>86</xdr:row>
                    <xdr:rowOff>12700</xdr:rowOff>
                  </from>
                  <to>
                    <xdr:col>18</xdr:col>
                    <xdr:colOff>869950</xdr:colOff>
                    <xdr:row>89</xdr:row>
                    <xdr:rowOff>120650</xdr:rowOff>
                  </to>
                </anchor>
              </controlPr>
            </control>
          </mc:Choice>
        </mc:AlternateContent>
        <mc:AlternateContent xmlns:mc="http://schemas.openxmlformats.org/markup-compatibility/2006">
          <mc:Choice Requires="x14">
            <control shapeId="56400" r:id="rId73" name="advdetail1">
              <controlPr defaultSize="0" print="0" autoFill="0" autoPict="0" macro="[0]!goto_original_advdetail1">
                <anchor moveWithCells="1" sizeWithCells="1">
                  <from>
                    <xdr:col>18</xdr:col>
                    <xdr:colOff>882650</xdr:colOff>
                    <xdr:row>86</xdr:row>
                    <xdr:rowOff>31750</xdr:rowOff>
                  </from>
                  <to>
                    <xdr:col>18</xdr:col>
                    <xdr:colOff>1384300</xdr:colOff>
                    <xdr:row>87</xdr:row>
                    <xdr:rowOff>114300</xdr:rowOff>
                  </to>
                </anchor>
              </controlPr>
            </control>
          </mc:Choice>
        </mc:AlternateContent>
        <mc:AlternateContent xmlns:mc="http://schemas.openxmlformats.org/markup-compatibility/2006">
          <mc:Choice Requires="x14">
            <control shapeId="56401" r:id="rId74" name="advdetail2">
              <controlPr defaultSize="0" print="0" autoFill="0" autoPict="0" macro="[0]!goto_original_advdetail1">
                <anchor moveWithCells="1" sizeWithCells="1">
                  <from>
                    <xdr:col>18</xdr:col>
                    <xdr:colOff>882650</xdr:colOff>
                    <xdr:row>87</xdr:row>
                    <xdr:rowOff>120650</xdr:rowOff>
                  </from>
                  <to>
                    <xdr:col>18</xdr:col>
                    <xdr:colOff>1384300</xdr:colOff>
                    <xdr:row>88</xdr:row>
                    <xdr:rowOff>82550</xdr:rowOff>
                  </to>
                </anchor>
              </controlPr>
            </control>
          </mc:Choice>
        </mc:AlternateContent>
        <mc:AlternateContent xmlns:mc="http://schemas.openxmlformats.org/markup-compatibility/2006">
          <mc:Choice Requires="x14">
            <control shapeId="56402" r:id="rId75" name="advdetail3">
              <controlPr defaultSize="0" print="0" autoFill="0" autoPict="0" macro="[0]!goto_original_advdetail1">
                <anchor moveWithCells="1" sizeWithCells="1">
                  <from>
                    <xdr:col>18</xdr:col>
                    <xdr:colOff>882650</xdr:colOff>
                    <xdr:row>88</xdr:row>
                    <xdr:rowOff>101600</xdr:rowOff>
                  </from>
                  <to>
                    <xdr:col>18</xdr:col>
                    <xdr:colOff>1384300</xdr:colOff>
                    <xdr:row>89</xdr:row>
                    <xdr:rowOff>120650</xdr:rowOff>
                  </to>
                </anchor>
              </controlPr>
            </control>
          </mc:Choice>
        </mc:AlternateContent>
        <mc:AlternateContent xmlns:mc="http://schemas.openxmlformats.org/markup-compatibility/2006">
          <mc:Choice Requires="x14">
            <control shapeId="56413" r:id="rId76" name="Button 93">
              <controlPr defaultSize="0" print="0" autoFill="0" autoPict="0" macro="[0]!goto_basic">
                <anchor moveWithCells="1" sizeWithCells="1">
                  <from>
                    <xdr:col>0</xdr:col>
                    <xdr:colOff>165100</xdr:colOff>
                    <xdr:row>1</xdr:row>
                    <xdr:rowOff>38100</xdr:rowOff>
                  </from>
                  <to>
                    <xdr:col>1</xdr:col>
                    <xdr:colOff>692150</xdr:colOff>
                    <xdr:row>1</xdr:row>
                    <xdr:rowOff>406400</xdr:rowOff>
                  </to>
                </anchor>
              </controlPr>
            </control>
          </mc:Choice>
        </mc:AlternateContent>
        <mc:AlternateContent xmlns:mc="http://schemas.openxmlformats.org/markup-compatibility/2006">
          <mc:Choice Requires="x14">
            <control shapeId="56786" r:id="rId77" name="add_to_mem_button">
              <controlPr defaultSize="0" print="0" autoFill="0" autoPict="0" macro="[0]!nya">
                <anchor moveWithCells="1" sizeWithCells="1">
                  <from>
                    <xdr:col>14</xdr:col>
                    <xdr:colOff>641350</xdr:colOff>
                    <xdr:row>100</xdr:row>
                    <xdr:rowOff>88900</xdr:rowOff>
                  </from>
                  <to>
                    <xdr:col>17</xdr:col>
                    <xdr:colOff>114300</xdr:colOff>
                    <xdr:row>102</xdr:row>
                    <xdr:rowOff>127000</xdr:rowOff>
                  </to>
                </anchor>
              </controlPr>
            </control>
          </mc:Choice>
        </mc:AlternateContent>
        <mc:AlternateContent xmlns:mc="http://schemas.openxmlformats.org/markup-compatibility/2006">
          <mc:Choice Requires="x14">
            <control shapeId="56787" r:id="rId78" name="recall_a_mem_button">
              <controlPr defaultSize="0" print="0" autoFill="0" autoPict="0" macro="[0]!nya">
                <anchor moveWithCells="1" sizeWithCells="1">
                  <from>
                    <xdr:col>13</xdr:col>
                    <xdr:colOff>165100</xdr:colOff>
                    <xdr:row>100</xdr:row>
                    <xdr:rowOff>88900</xdr:rowOff>
                  </from>
                  <to>
                    <xdr:col>14</xdr:col>
                    <xdr:colOff>635000</xdr:colOff>
                    <xdr:row>102</xdr:row>
                    <xdr:rowOff>127000</xdr:rowOff>
                  </to>
                </anchor>
              </controlPr>
            </control>
          </mc:Choice>
        </mc:AlternateContent>
        <mc:AlternateContent xmlns:mc="http://schemas.openxmlformats.org/markup-compatibility/2006">
          <mc:Choice Requires="x14">
            <control shapeId="56788" r:id="rId79" name="select_a_mem_button">
              <controlPr defaultSize="0" print="0" autoFill="0" autoPict="0" macro="[0]!nya">
                <anchor moveWithCells="1" sizeWithCells="1">
                  <from>
                    <xdr:col>10</xdr:col>
                    <xdr:colOff>425450</xdr:colOff>
                    <xdr:row>100</xdr:row>
                    <xdr:rowOff>88900</xdr:rowOff>
                  </from>
                  <to>
                    <xdr:col>13</xdr:col>
                    <xdr:colOff>177800</xdr:colOff>
                    <xdr:row>102</xdr:row>
                    <xdr:rowOff>127000</xdr:rowOff>
                  </to>
                </anchor>
              </controlPr>
            </control>
          </mc:Choice>
        </mc:AlternateContent>
        <mc:AlternateContent xmlns:mc="http://schemas.openxmlformats.org/markup-compatibility/2006">
          <mc:Choice Requires="x14">
            <control shapeId="56789" r:id="rId80" name="help_mem_button">
              <controlPr defaultSize="0" print="0" autoFill="0" autoPict="0" macro="[0]!nya">
                <anchor moveWithCells="1" sizeWithCells="1">
                  <from>
                    <xdr:col>9</xdr:col>
                    <xdr:colOff>882650</xdr:colOff>
                    <xdr:row>100</xdr:row>
                    <xdr:rowOff>88900</xdr:rowOff>
                  </from>
                  <to>
                    <xdr:col>10</xdr:col>
                    <xdr:colOff>406400</xdr:colOff>
                    <xdr:row>102</xdr:row>
                    <xdr:rowOff>127000</xdr:rowOff>
                  </to>
                </anchor>
              </controlPr>
            </control>
          </mc:Choice>
        </mc:AlternateContent>
        <mc:AlternateContent xmlns:mc="http://schemas.openxmlformats.org/markup-compatibility/2006">
          <mc:Choice Requires="x14">
            <control shapeId="56981" r:id="rId81" name="cancelcopy_button">
              <controlPr defaultSize="0" print="0" autoFill="0" autoPict="0" macro="[0]!cancelcopypaste">
                <anchor moveWithCells="1" sizeWithCells="1">
                  <from>
                    <xdr:col>18</xdr:col>
                    <xdr:colOff>882650</xdr:colOff>
                    <xdr:row>93</xdr:row>
                    <xdr:rowOff>0</xdr:rowOff>
                  </from>
                  <to>
                    <xdr:col>18</xdr:col>
                    <xdr:colOff>1460500</xdr:colOff>
                    <xdr:row>94</xdr:row>
                    <xdr:rowOff>177800</xdr:rowOff>
                  </to>
                </anchor>
              </controlPr>
            </control>
          </mc:Choice>
        </mc:AlternateContent>
        <mc:AlternateContent xmlns:mc="http://schemas.openxmlformats.org/markup-compatibility/2006">
          <mc:Choice Requires="x14">
            <control shapeId="57064" r:id="rId82" name="help_copy_button">
              <controlPr defaultSize="0" print="0" autoFill="0" autoPict="0" macro="[0]!help_copypaste">
                <anchor moveWithCells="1" sizeWithCells="1">
                  <from>
                    <xdr:col>18</xdr:col>
                    <xdr:colOff>1460500</xdr:colOff>
                    <xdr:row>93</xdr:row>
                    <xdr:rowOff>0</xdr:rowOff>
                  </from>
                  <to>
                    <xdr:col>18</xdr:col>
                    <xdr:colOff>1790700</xdr:colOff>
                    <xdr:row>94</xdr:row>
                    <xdr:rowOff>177800</xdr:rowOff>
                  </to>
                </anchor>
              </controlPr>
            </control>
          </mc:Choice>
        </mc:AlternateContent>
        <mc:AlternateContent xmlns:mc="http://schemas.openxmlformats.org/markup-compatibility/2006">
          <mc:Choice Requires="x14">
            <control shapeId="57203" r:id="rId83" name="help_bl_button">
              <controlPr defaultSize="0" print="0" autoFill="0" autoPict="0" macro="[0]!help_rhl">
                <anchor moveWithCells="1" sizeWithCells="1">
                  <from>
                    <xdr:col>16</xdr:col>
                    <xdr:colOff>692150</xdr:colOff>
                    <xdr:row>14</xdr:row>
                    <xdr:rowOff>260350</xdr:rowOff>
                  </from>
                  <to>
                    <xdr:col>16</xdr:col>
                    <xdr:colOff>965200</xdr:colOff>
                    <xdr:row>16</xdr:row>
                    <xdr:rowOff>6350</xdr:rowOff>
                  </to>
                </anchor>
              </controlPr>
            </control>
          </mc:Choice>
        </mc:AlternateContent>
        <mc:AlternateContent xmlns:mc="http://schemas.openxmlformats.org/markup-compatibility/2006">
          <mc:Choice Requires="x14">
            <control shapeId="57310" r:id="rId84" name="clear_and_close_button">
              <controlPr defaultSize="0" print="0" autoFill="0" autoPict="0" macro="[0]!show_tr">
                <anchor moveWithCells="1" sizeWithCells="1">
                  <from>
                    <xdr:col>16</xdr:col>
                    <xdr:colOff>107950</xdr:colOff>
                    <xdr:row>36</xdr:row>
                    <xdr:rowOff>38100</xdr:rowOff>
                  </from>
                  <to>
                    <xdr:col>18</xdr:col>
                    <xdr:colOff>482600</xdr:colOff>
                    <xdr:row>38</xdr:row>
                    <xdr:rowOff>107950</xdr:rowOff>
                  </to>
                </anchor>
              </controlPr>
            </control>
          </mc:Choice>
        </mc:AlternateContent>
        <mc:AlternateContent xmlns:mc="http://schemas.openxmlformats.org/markup-compatibility/2006">
          <mc:Choice Requires="x14">
            <control shapeId="63681" r:id="rId85" name="Button 1217">
              <controlPr defaultSize="0" print="0" autoFill="0" autoPict="0" macro="[0]!goto_interest">
                <anchor moveWithCells="1" sizeWithCells="1">
                  <from>
                    <xdr:col>18</xdr:col>
                    <xdr:colOff>76200</xdr:colOff>
                    <xdr:row>80</xdr:row>
                    <xdr:rowOff>127000</xdr:rowOff>
                  </from>
                  <to>
                    <xdr:col>18</xdr:col>
                    <xdr:colOff>1193800</xdr:colOff>
                    <xdr:row>83</xdr:row>
                    <xdr:rowOff>120650</xdr:rowOff>
                  </to>
                </anchor>
              </controlPr>
            </control>
          </mc:Choice>
        </mc:AlternateContent>
        <mc:AlternateContent xmlns:mc="http://schemas.openxmlformats.org/markup-compatibility/2006">
          <mc:Choice Requires="x14">
            <control shapeId="63874" r:id="rId86" name="improvementbutton1">
              <controlPr defaultSize="0" print="0" autoFill="0" autoPict="0" macro="[0]!show_improvement">
                <anchor moveWithCells="1" sizeWithCells="1">
                  <from>
                    <xdr:col>9</xdr:col>
                    <xdr:colOff>292100</xdr:colOff>
                    <xdr:row>12</xdr:row>
                    <xdr:rowOff>139700</xdr:rowOff>
                  </from>
                  <to>
                    <xdr:col>10</xdr:col>
                    <xdr:colOff>520700</xdr:colOff>
                    <xdr:row>13</xdr:row>
                    <xdr:rowOff>165100</xdr:rowOff>
                  </to>
                </anchor>
              </controlPr>
            </control>
          </mc:Choice>
        </mc:AlternateContent>
        <mc:AlternateContent xmlns:mc="http://schemas.openxmlformats.org/markup-compatibility/2006">
          <mc:Choice Requires="x14">
            <control shapeId="63968" r:id="rId87" name="improvementhelpbutton">
              <controlPr defaultSize="0" print="0" autoFill="0" autoPict="0" macro="[0]!help_imp_relief">
                <anchor moveWithCells="1" sizeWithCells="1">
                  <from>
                    <xdr:col>9</xdr:col>
                    <xdr:colOff>431800</xdr:colOff>
                    <xdr:row>50</xdr:row>
                    <xdr:rowOff>120650</xdr:rowOff>
                  </from>
                  <to>
                    <xdr:col>10</xdr:col>
                    <xdr:colOff>425450</xdr:colOff>
                    <xdr:row>52</xdr:row>
                    <xdr:rowOff>158750</xdr:rowOff>
                  </to>
                </anchor>
              </controlPr>
            </control>
          </mc:Choice>
        </mc:AlternateContent>
        <mc:AlternateContent xmlns:mc="http://schemas.openxmlformats.org/markup-compatibility/2006">
          <mc:Choice Requires="x14">
            <control shapeId="63972" r:id="rId88" name="imp_clear_and_keep_open">
              <controlPr defaultSize="0" print="0" autoFill="0" autoPict="0" macro="[0]!show_improvement">
                <anchor moveWithCells="1" sizeWithCells="1">
                  <from>
                    <xdr:col>16</xdr:col>
                    <xdr:colOff>152400</xdr:colOff>
                    <xdr:row>49</xdr:row>
                    <xdr:rowOff>127000</xdr:rowOff>
                  </from>
                  <to>
                    <xdr:col>18</xdr:col>
                    <xdr:colOff>527050</xdr:colOff>
                    <xdr:row>51</xdr:row>
                    <xdr:rowOff>82550</xdr:rowOff>
                  </to>
                </anchor>
              </controlPr>
            </control>
          </mc:Choice>
        </mc:AlternateContent>
        <mc:AlternateContent xmlns:mc="http://schemas.openxmlformats.org/markup-compatibility/2006">
          <mc:Choice Requires="x14">
            <control shapeId="63973" r:id="rId89" name="imp_clear_and_close">
              <controlPr defaultSize="0" print="0" autoFill="0" autoPict="0" macro="[0]!show_improvement">
                <anchor moveWithCells="1" sizeWithCells="1">
                  <from>
                    <xdr:col>16</xdr:col>
                    <xdr:colOff>158750</xdr:colOff>
                    <xdr:row>51</xdr:row>
                    <xdr:rowOff>146050</xdr:rowOff>
                  </from>
                  <to>
                    <xdr:col>18</xdr:col>
                    <xdr:colOff>533400</xdr:colOff>
                    <xdr:row>53</xdr:row>
                    <xdr:rowOff>139700</xdr:rowOff>
                  </to>
                </anchor>
              </controlPr>
            </control>
          </mc:Choice>
        </mc:AlternateContent>
        <mc:AlternateContent xmlns:mc="http://schemas.openxmlformats.org/markup-compatibility/2006">
          <mc:Choice Requires="x14">
            <control shapeId="115762" r:id="rId90" name="Button 2098">
              <controlPr defaultSize="0" print="0" autoFill="0" autoPict="0" macro="[0]!help_rhlthreeyear_advorig">
                <anchor moveWithCells="1" sizeWithCells="1">
                  <from>
                    <xdr:col>9</xdr:col>
                    <xdr:colOff>6350</xdr:colOff>
                    <xdr:row>13</xdr:row>
                    <xdr:rowOff>203200</xdr:rowOff>
                  </from>
                  <to>
                    <xdr:col>9</xdr:col>
                    <xdr:colOff>812800</xdr:colOff>
                    <xdr:row>15</xdr:row>
                    <xdr:rowOff>0</xdr:rowOff>
                  </to>
                </anchor>
              </controlPr>
            </control>
          </mc:Choice>
        </mc:AlternateContent>
        <mc:AlternateContent xmlns:mc="http://schemas.openxmlformats.org/markup-compatibility/2006">
          <mc:Choice Requires="x14">
            <control shapeId="115769" r:id="rId91" name="Button 2105">
              <controlPr defaultSize="0" print="0" autoFill="0" autoPict="0" macro="[0]!help_rhlthreeyear_advrevised">
                <anchor moveWithCells="1" sizeWithCells="1">
                  <from>
                    <xdr:col>9</xdr:col>
                    <xdr:colOff>825500</xdr:colOff>
                    <xdr:row>13</xdr:row>
                    <xdr:rowOff>203200</xdr:rowOff>
                  </from>
                  <to>
                    <xdr:col>11</xdr:col>
                    <xdr:colOff>228600</xdr:colOff>
                    <xdr:row>14</xdr:row>
                    <xdr:rowOff>292100</xdr:rowOff>
                  </to>
                </anchor>
              </controlPr>
            </control>
          </mc:Choice>
        </mc:AlternateContent>
        <mc:AlternateContent xmlns:mc="http://schemas.openxmlformats.org/markup-compatibility/2006">
          <mc:Choice Requires="x14">
            <control shapeId="115986" r:id="rId92" name="Check Box 2322">
              <controlPr defaultSize="0" autoFill="0" autoLine="0" autoPict="0">
                <anchor moveWithCells="1">
                  <from>
                    <xdr:col>9</xdr:col>
                    <xdr:colOff>6350</xdr:colOff>
                    <xdr:row>11</xdr:row>
                    <xdr:rowOff>139700</xdr:rowOff>
                  </from>
                  <to>
                    <xdr:col>9</xdr:col>
                    <xdr:colOff>482600</xdr:colOff>
                    <xdr:row>13</xdr:row>
                    <xdr:rowOff>0</xdr:rowOff>
                  </to>
                </anchor>
              </controlPr>
            </control>
          </mc:Choice>
        </mc:AlternateContent>
        <mc:AlternateContent xmlns:mc="http://schemas.openxmlformats.org/markup-compatibility/2006">
          <mc:Choice Requires="x14">
            <control shapeId="115987" r:id="rId93" name="Check Box 2323">
              <controlPr defaultSize="0" autoFill="0" autoLine="0" autoPict="0">
                <anchor moveWithCells="1">
                  <from>
                    <xdr:col>12</xdr:col>
                    <xdr:colOff>901700</xdr:colOff>
                    <xdr:row>11</xdr:row>
                    <xdr:rowOff>146050</xdr:rowOff>
                  </from>
                  <to>
                    <xdr:col>13</xdr:col>
                    <xdr:colOff>469900</xdr:colOff>
                    <xdr:row>13</xdr:row>
                    <xdr:rowOff>6350</xdr:rowOff>
                  </to>
                </anchor>
              </controlPr>
            </control>
          </mc:Choice>
        </mc:AlternateContent>
        <mc:AlternateContent xmlns:mc="http://schemas.openxmlformats.org/markup-compatibility/2006">
          <mc:Choice Requires="x14">
            <control shapeId="116069" r:id="rId94" name="Check Box 2405">
              <controlPr defaultSize="0" autoFill="0" autoLine="0" autoPict="0">
                <anchor moveWithCells="1">
                  <from>
                    <xdr:col>6</xdr:col>
                    <xdr:colOff>603250</xdr:colOff>
                    <xdr:row>12</xdr:row>
                    <xdr:rowOff>0</xdr:rowOff>
                  </from>
                  <to>
                    <xdr:col>7</xdr:col>
                    <xdr:colOff>609600</xdr:colOff>
                    <xdr:row>13</xdr:row>
                    <xdr:rowOff>0</xdr:rowOff>
                  </to>
                </anchor>
              </controlPr>
            </control>
          </mc:Choice>
        </mc:AlternateContent>
        <mc:AlternateContent xmlns:mc="http://schemas.openxmlformats.org/markup-compatibility/2006">
          <mc:Choice Requires="x14">
            <control shapeId="116070" r:id="rId95" name="Check Box 2406">
              <controlPr defaultSize="0" autoFill="0" autoLine="0" autoPict="0">
                <anchor moveWithCells="1">
                  <from>
                    <xdr:col>13</xdr:col>
                    <xdr:colOff>692150</xdr:colOff>
                    <xdr:row>11</xdr:row>
                    <xdr:rowOff>152400</xdr:rowOff>
                  </from>
                  <to>
                    <xdr:col>15</xdr:col>
                    <xdr:colOff>25400</xdr:colOff>
                    <xdr:row>13</xdr:row>
                    <xdr:rowOff>0</xdr:rowOff>
                  </to>
                </anchor>
              </controlPr>
            </control>
          </mc:Choice>
        </mc:AlternateContent>
        <mc:AlternateContent xmlns:mc="http://schemas.openxmlformats.org/markup-compatibility/2006">
          <mc:Choice Requires="x14">
            <control shapeId="116071" r:id="rId96" name="Button 2407">
              <controlPr defaultSize="0" print="0" autoFill="0" autoPict="0" macro="[0]!help_ssbr">
                <anchor moveWithCells="1" sizeWithCells="1">
                  <from>
                    <xdr:col>14</xdr:col>
                    <xdr:colOff>641350</xdr:colOff>
                    <xdr:row>12</xdr:row>
                    <xdr:rowOff>0</xdr:rowOff>
                  </from>
                  <to>
                    <xdr:col>15</xdr:col>
                    <xdr:colOff>44450</xdr:colOff>
                    <xdr:row>13</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DD69-BF30-46C7-B412-2CAB9C312EDD}">
  <sheetPr codeName="Sheet104"/>
  <dimension ref="A1:AZ146"/>
  <sheetViews>
    <sheetView showGridLines="0" workbookViewId="0">
      <selection activeCell="F9" sqref="F9"/>
    </sheetView>
  </sheetViews>
  <sheetFormatPr defaultColWidth="9.08984375" defaultRowHeight="12.5" x14ac:dyDescent="0.25"/>
  <cols>
    <col min="1" max="1" width="23.6328125" style="1966" customWidth="1"/>
    <col min="2" max="2" width="0.6328125" style="1966" customWidth="1"/>
    <col min="3" max="3" width="1.453125" style="1966" customWidth="1"/>
    <col min="4" max="4" width="11.90625" style="1966" customWidth="1"/>
    <col min="5" max="5" width="26.08984375" style="1966" customWidth="1"/>
    <col min="6" max="6" width="15.453125" style="1966" customWidth="1"/>
    <col min="7" max="7" width="9.08984375" style="1966"/>
    <col min="8" max="8" width="32.36328125" style="1966" customWidth="1"/>
    <col min="9" max="9" width="0.6328125" style="1966" customWidth="1"/>
    <col min="10" max="10" width="35.453125" style="1966" customWidth="1"/>
    <col min="11" max="11" width="0" style="1966" hidden="1" customWidth="1"/>
    <col min="12" max="12" width="12.54296875" style="1966" hidden="1" customWidth="1"/>
    <col min="13" max="13" width="11.453125" style="1966" hidden="1" customWidth="1"/>
    <col min="14" max="14" width="13.08984375" style="1966" hidden="1" customWidth="1"/>
    <col min="15" max="23" width="0" style="1966" hidden="1" customWidth="1"/>
    <col min="24" max="24" width="43.6328125" style="1966" hidden="1" customWidth="1"/>
    <col min="25" max="26" width="0" style="1966" hidden="1" customWidth="1"/>
    <col min="27" max="16384" width="9.08984375" style="1966"/>
  </cols>
  <sheetData>
    <row r="1" spans="1:52" ht="37.5" customHeight="1" x14ac:dyDescent="0.25">
      <c r="A1" s="2174"/>
      <c r="B1" s="2174"/>
      <c r="C1" s="2174"/>
      <c r="D1" s="2174"/>
      <c r="E1" s="2174"/>
      <c r="F1" s="2174"/>
      <c r="G1" s="2174"/>
      <c r="H1" s="2174"/>
      <c r="I1" s="2174"/>
      <c r="J1" s="2174"/>
      <c r="AA1" s="2174"/>
      <c r="AB1" s="2174"/>
      <c r="AC1" s="2174"/>
      <c r="AD1" s="2174"/>
      <c r="AE1" s="2174"/>
      <c r="AF1" s="2174"/>
      <c r="AG1" s="2174"/>
      <c r="AH1" s="2174"/>
      <c r="AI1" s="2174"/>
      <c r="AJ1" s="2174"/>
      <c r="AK1" s="2174"/>
      <c r="AL1" s="2174"/>
      <c r="AM1" s="2174"/>
      <c r="AN1" s="2174"/>
      <c r="AO1" s="2174"/>
      <c r="AP1" s="2174"/>
      <c r="AQ1" s="2174"/>
      <c r="AR1" s="2174"/>
      <c r="AS1" s="2174"/>
      <c r="AT1" s="2174"/>
      <c r="AU1" s="2174"/>
      <c r="AV1" s="2174"/>
      <c r="AW1" s="2174"/>
      <c r="AX1" s="2174"/>
      <c r="AY1" s="2174"/>
      <c r="AZ1" s="2174"/>
    </row>
    <row r="2" spans="1:52" x14ac:dyDescent="0.25">
      <c r="A2" s="2174"/>
      <c r="J2" s="2174"/>
      <c r="T2" s="2175" t="s">
        <v>2372</v>
      </c>
      <c r="AA2" s="2174"/>
      <c r="AB2" s="2174"/>
      <c r="AC2" s="2174"/>
      <c r="AD2" s="2174"/>
      <c r="AE2" s="2174"/>
      <c r="AF2" s="2174"/>
      <c r="AG2" s="2174"/>
      <c r="AH2" s="2174"/>
      <c r="AI2" s="2174"/>
      <c r="AJ2" s="2174"/>
      <c r="AK2" s="2174"/>
      <c r="AL2" s="2174"/>
      <c r="AM2" s="2174"/>
      <c r="AN2" s="2174"/>
      <c r="AO2" s="2174"/>
      <c r="AP2" s="2174"/>
      <c r="AQ2" s="2174"/>
      <c r="AR2" s="2174"/>
      <c r="AS2" s="2174"/>
      <c r="AT2" s="2174"/>
      <c r="AU2" s="2174"/>
      <c r="AV2" s="2174"/>
      <c r="AW2" s="2174"/>
      <c r="AX2" s="2174"/>
      <c r="AY2" s="2174"/>
      <c r="AZ2" s="2174"/>
    </row>
    <row r="3" spans="1:52" ht="15.5" x14ac:dyDescent="0.35">
      <c r="A3" s="2174"/>
      <c r="C3" s="2038"/>
      <c r="D3" s="2176" t="s">
        <v>2373</v>
      </c>
      <c r="E3" s="1972"/>
      <c r="F3" s="1972"/>
      <c r="G3" s="1972"/>
      <c r="H3" s="2177" t="str">
        <f>IF(details!D6="","",details!D6)</f>
        <v/>
      </c>
      <c r="J3" s="2174"/>
      <c r="T3" s="2178"/>
      <c r="AA3" s="2174"/>
      <c r="AB3" s="2174"/>
      <c r="AC3" s="2174"/>
      <c r="AD3" s="2174"/>
      <c r="AE3" s="2174"/>
      <c r="AF3" s="2174"/>
      <c r="AG3" s="2174"/>
      <c r="AH3" s="2174"/>
      <c r="AI3" s="2174"/>
      <c r="AJ3" s="2174"/>
      <c r="AK3" s="2174"/>
      <c r="AL3" s="2174"/>
      <c r="AM3" s="2174"/>
      <c r="AN3" s="2174"/>
      <c r="AO3" s="2174"/>
      <c r="AP3" s="2174"/>
      <c r="AQ3" s="2174"/>
      <c r="AR3" s="2174"/>
      <c r="AS3" s="2174"/>
      <c r="AT3" s="2174"/>
      <c r="AU3" s="2174"/>
      <c r="AV3" s="2174"/>
      <c r="AW3" s="2174"/>
      <c r="AX3" s="2174"/>
      <c r="AY3" s="2174"/>
      <c r="AZ3" s="2174"/>
    </row>
    <row r="4" spans="1:52" ht="22.5" customHeight="1" x14ac:dyDescent="0.3">
      <c r="A4" s="2174"/>
      <c r="C4" s="2038"/>
      <c r="D4" s="2179" t="str">
        <f>IF(details!D7="","Please Complete the Details Page",details!D7)</f>
        <v>Please Complete the Details Page</v>
      </c>
      <c r="J4" s="2174"/>
      <c r="T4" s="2178"/>
      <c r="AA4" s="2174"/>
      <c r="AB4" s="2174"/>
      <c r="AC4" s="2174"/>
      <c r="AD4" s="2174"/>
      <c r="AE4" s="2174"/>
      <c r="AF4" s="2174"/>
      <c r="AG4" s="2174"/>
      <c r="AH4" s="2174"/>
      <c r="AI4" s="2174"/>
      <c r="AJ4" s="2174"/>
      <c r="AK4" s="2174"/>
      <c r="AL4" s="2174"/>
      <c r="AM4" s="2174"/>
      <c r="AN4" s="2174"/>
      <c r="AO4" s="2174"/>
      <c r="AP4" s="2174"/>
      <c r="AQ4" s="2174"/>
      <c r="AR4" s="2174"/>
      <c r="AS4" s="2174"/>
      <c r="AT4" s="2174"/>
      <c r="AU4" s="2174"/>
      <c r="AV4" s="2174"/>
      <c r="AW4" s="2174"/>
      <c r="AX4" s="2174"/>
      <c r="AY4" s="2174"/>
      <c r="AZ4" s="2174"/>
    </row>
    <row r="5" spans="1:52" ht="13" x14ac:dyDescent="0.3">
      <c r="A5" s="2174"/>
      <c r="C5" s="2038"/>
      <c r="D5" s="2179" t="str">
        <f>IF(details!D8="","Please Complete the Details Page",details!D8)</f>
        <v>Please Complete the Details Page</v>
      </c>
      <c r="J5" s="2174"/>
      <c r="T5" s="2178"/>
      <c r="AA5" s="2174"/>
      <c r="AB5" s="2174"/>
      <c r="AC5" s="2174"/>
      <c r="AD5" s="2174"/>
      <c r="AE5" s="2174"/>
      <c r="AF5" s="2174"/>
      <c r="AG5" s="2174"/>
      <c r="AH5" s="2174"/>
      <c r="AI5" s="2174"/>
      <c r="AJ5" s="2174"/>
      <c r="AK5" s="2174"/>
      <c r="AL5" s="2174"/>
      <c r="AM5" s="2174"/>
      <c r="AN5" s="2174"/>
      <c r="AO5" s="2174"/>
      <c r="AP5" s="2174"/>
      <c r="AQ5" s="2174"/>
      <c r="AR5" s="2174"/>
      <c r="AS5" s="2174"/>
      <c r="AT5" s="2174"/>
      <c r="AU5" s="2174"/>
      <c r="AV5" s="2174"/>
      <c r="AW5" s="2174"/>
      <c r="AX5" s="2174"/>
      <c r="AY5" s="2174"/>
      <c r="AZ5" s="2174"/>
    </row>
    <row r="6" spans="1:52" ht="13" x14ac:dyDescent="0.3">
      <c r="A6" s="2174"/>
      <c r="C6" s="2038"/>
      <c r="D6" s="2179" t="str">
        <f>IF(details!D9="","Please Complete the Details Page",details!D9&amp;", "&amp;details!D10)</f>
        <v>Please Complete the Details Page</v>
      </c>
      <c r="J6" s="2174"/>
      <c r="T6" s="2178"/>
      <c r="AA6" s="2174"/>
      <c r="AB6" s="2174"/>
      <c r="AC6" s="2174"/>
      <c r="AD6" s="2174"/>
      <c r="AE6" s="2174"/>
      <c r="AF6" s="2174"/>
      <c r="AG6" s="2174"/>
      <c r="AH6" s="2174"/>
      <c r="AI6" s="2174"/>
      <c r="AJ6" s="2174"/>
      <c r="AK6" s="2174"/>
      <c r="AL6" s="2174"/>
      <c r="AM6" s="2174"/>
      <c r="AN6" s="2174"/>
      <c r="AO6" s="2174"/>
      <c r="AP6" s="2174"/>
      <c r="AQ6" s="2174"/>
      <c r="AR6" s="2174"/>
      <c r="AS6" s="2174"/>
      <c r="AT6" s="2174"/>
      <c r="AU6" s="2174"/>
      <c r="AV6" s="2174"/>
      <c r="AW6" s="2174"/>
      <c r="AX6" s="2174"/>
      <c r="AY6" s="2174"/>
      <c r="AZ6" s="2174"/>
    </row>
    <row r="7" spans="1:52" ht="13" x14ac:dyDescent="0.3">
      <c r="A7" s="2174"/>
      <c r="C7" s="2038"/>
      <c r="D7" s="2180"/>
      <c r="E7" s="1972"/>
      <c r="F7" s="1972"/>
      <c r="G7" s="1972"/>
      <c r="H7" s="1972"/>
      <c r="J7" s="2174"/>
      <c r="T7" s="2178"/>
      <c r="AA7" s="2174"/>
      <c r="AB7" s="2174"/>
      <c r="AC7" s="2174"/>
      <c r="AD7" s="2174"/>
      <c r="AE7" s="2174"/>
      <c r="AF7" s="2174"/>
      <c r="AG7" s="2174"/>
      <c r="AH7" s="2174"/>
      <c r="AI7" s="2174"/>
      <c r="AJ7" s="2174"/>
      <c r="AK7" s="2174"/>
      <c r="AL7" s="2174"/>
      <c r="AM7" s="2174"/>
      <c r="AN7" s="2174"/>
      <c r="AO7" s="2174"/>
      <c r="AP7" s="2174"/>
      <c r="AQ7" s="2174"/>
      <c r="AR7" s="2174"/>
      <c r="AS7" s="2174"/>
      <c r="AT7" s="2174"/>
      <c r="AU7" s="2174"/>
      <c r="AV7" s="2174"/>
      <c r="AW7" s="2174"/>
      <c r="AX7" s="2174"/>
      <c r="AY7" s="2174"/>
      <c r="AZ7" s="2174"/>
    </row>
    <row r="8" spans="1:52" ht="13" x14ac:dyDescent="0.3">
      <c r="A8" s="2174"/>
      <c r="C8" s="2038"/>
      <c r="D8" s="2179"/>
      <c r="J8" s="2174"/>
      <c r="T8" s="2178"/>
      <c r="AA8" s="2174"/>
      <c r="AB8" s="2174"/>
      <c r="AC8" s="2174"/>
      <c r="AD8" s="2174"/>
      <c r="AE8" s="2174"/>
      <c r="AF8" s="2174"/>
      <c r="AG8" s="2174"/>
      <c r="AH8" s="2174"/>
      <c r="AI8" s="2174"/>
      <c r="AJ8" s="2174"/>
      <c r="AK8" s="2174"/>
      <c r="AL8" s="2174"/>
      <c r="AM8" s="2174"/>
      <c r="AN8" s="2174"/>
      <c r="AO8" s="2174"/>
      <c r="AP8" s="2174"/>
      <c r="AQ8" s="2174"/>
      <c r="AR8" s="2174"/>
      <c r="AS8" s="2174"/>
      <c r="AT8" s="2174"/>
      <c r="AU8" s="2174"/>
      <c r="AV8" s="2174"/>
      <c r="AW8" s="2174"/>
      <c r="AX8" s="2174"/>
      <c r="AY8" s="2174"/>
      <c r="AZ8" s="2174"/>
    </row>
    <row r="9" spans="1:52" ht="20.25" customHeight="1" x14ac:dyDescent="0.25">
      <c r="A9" s="2174"/>
      <c r="C9" s="2038"/>
      <c r="D9" s="1966" t="str">
        <f>advanced!$F$9</f>
        <v>Prior List RV or zero if none</v>
      </c>
      <c r="F9" s="2181"/>
      <c r="G9" s="1966" t="str">
        <f>IF(F9="","&lt; Enter the RV as at "&amp;TEXT(M12,"dd/mm/yy")&amp;" or zero if none","")</f>
        <v>&lt; Enter the RV as at 31/03/23 or zero if none</v>
      </c>
      <c r="J9" s="2174"/>
      <c r="L9" s="2200" t="s">
        <v>849</v>
      </c>
      <c r="M9" s="2200" t="s">
        <v>850</v>
      </c>
      <c r="T9" s="2175"/>
      <c r="U9" s="1966">
        <f t="shared" ref="U9:U20" si="0">(F9=T9)*1</f>
        <v>1</v>
      </c>
      <c r="W9" s="2182" t="b">
        <f>AND(F9&lt;&gt;"",F9&gt;=0)</f>
        <v>0</v>
      </c>
      <c r="X9" s="2183" t="s">
        <v>2374</v>
      </c>
      <c r="Y9" s="2182"/>
      <c r="AA9" s="2174"/>
      <c r="AB9" s="2174"/>
      <c r="AC9" s="2174"/>
      <c r="AD9" s="2174"/>
      <c r="AE9" s="2174"/>
      <c r="AF9" s="2174"/>
      <c r="AG9" s="2174"/>
      <c r="AH9" s="2174"/>
      <c r="AI9" s="2174"/>
      <c r="AJ9" s="2174"/>
      <c r="AK9" s="2174"/>
      <c r="AL9" s="2174"/>
      <c r="AM9" s="2174"/>
      <c r="AN9" s="2174"/>
      <c r="AO9" s="2174"/>
      <c r="AP9" s="2174"/>
      <c r="AQ9" s="2174"/>
      <c r="AR9" s="2174"/>
      <c r="AS9" s="2174"/>
      <c r="AT9" s="2174"/>
      <c r="AU9" s="2174"/>
      <c r="AV9" s="2174"/>
      <c r="AW9" s="2174"/>
      <c r="AX9" s="2174"/>
      <c r="AY9" s="2174"/>
      <c r="AZ9" s="2174"/>
    </row>
    <row r="10" spans="1:52" ht="21.75" customHeight="1" x14ac:dyDescent="0.25">
      <c r="A10" s="2174"/>
      <c r="D10" s="2184" t="str">
        <f>advanced!$F$10</f>
        <v>RV as at 01/04/23 or a zero if none</v>
      </c>
      <c r="F10" s="2181"/>
      <c r="G10" s="1966" t="str">
        <f>IF(AND(F10="",F9&lt;&gt;""),"&lt; Enter the RV as at "&amp;TEXT(L13,"dd/mm/yy")&amp;" or zero if none","")</f>
        <v/>
      </c>
      <c r="J10" s="2174"/>
      <c r="L10" s="2192">
        <f>L13</f>
        <v>45017</v>
      </c>
      <c r="M10" s="2192">
        <f>text!C53</f>
        <v>46112</v>
      </c>
      <c r="T10" s="2178"/>
      <c r="U10" s="1966">
        <f t="shared" si="0"/>
        <v>1</v>
      </c>
      <c r="W10" s="2182" t="b">
        <f>AND(F10&lt;&gt;"",F10&gt;=0)</f>
        <v>0</v>
      </c>
      <c r="X10" s="2183" t="s">
        <v>2374</v>
      </c>
      <c r="Y10" s="2182"/>
      <c r="AA10" s="2174"/>
      <c r="AB10" s="2174"/>
      <c r="AC10" s="2174"/>
      <c r="AD10" s="2174"/>
      <c r="AE10" s="2174"/>
      <c r="AF10" s="2174"/>
      <c r="AG10" s="2174"/>
      <c r="AH10" s="2174"/>
      <c r="AI10" s="2174"/>
      <c r="AJ10" s="2174"/>
      <c r="AK10" s="2174"/>
      <c r="AL10" s="2174"/>
      <c r="AM10" s="2174"/>
      <c r="AN10" s="2174"/>
      <c r="AO10" s="2174"/>
      <c r="AP10" s="2174"/>
      <c r="AQ10" s="2174"/>
      <c r="AR10" s="2174"/>
      <c r="AS10" s="2174"/>
      <c r="AT10" s="2174"/>
      <c r="AU10" s="2174"/>
      <c r="AV10" s="2174"/>
      <c r="AW10" s="2174"/>
      <c r="AX10" s="2174"/>
      <c r="AY10" s="2174"/>
      <c r="AZ10" s="2174"/>
    </row>
    <row r="11" spans="1:52" ht="18.75" customHeight="1" x14ac:dyDescent="0.25">
      <c r="A11" s="2174"/>
      <c r="C11" s="2038"/>
      <c r="D11" s="1966" t="s">
        <v>830</v>
      </c>
      <c r="F11" s="1966" t="str">
        <f>global!E8</f>
        <v>e</v>
      </c>
      <c r="J11" s="2174"/>
      <c r="K11" s="2044">
        <f>global!D4</f>
        <v>3</v>
      </c>
      <c r="T11" s="2178" t="s">
        <v>274</v>
      </c>
      <c r="U11" s="1966">
        <f t="shared" si="0"/>
        <v>1</v>
      </c>
      <c r="W11" s="2182" t="b">
        <f>AND(F9&gt;0,F10&gt;0)</f>
        <v>0</v>
      </c>
      <c r="X11" s="2183" t="s">
        <v>2375</v>
      </c>
      <c r="Y11" s="2182"/>
      <c r="AA11" s="2174"/>
      <c r="AB11" s="2174"/>
      <c r="AC11" s="2174"/>
      <c r="AD11" s="2174"/>
      <c r="AE11" s="2174"/>
      <c r="AF11" s="2174"/>
      <c r="AG11" s="2174"/>
      <c r="AH11" s="2174"/>
      <c r="AI11" s="2174"/>
      <c r="AJ11" s="2174"/>
      <c r="AK11" s="2174"/>
      <c r="AL11" s="2174"/>
      <c r="AM11" s="2174"/>
      <c r="AN11" s="2174"/>
      <c r="AO11" s="2174"/>
      <c r="AP11" s="2174"/>
      <c r="AQ11" s="2174"/>
      <c r="AR11" s="2174"/>
      <c r="AS11" s="2174"/>
      <c r="AT11" s="2174"/>
      <c r="AU11" s="2174"/>
      <c r="AV11" s="2174"/>
      <c r="AW11" s="2174"/>
      <c r="AX11" s="2174"/>
      <c r="AY11" s="2174"/>
      <c r="AZ11" s="2174"/>
    </row>
    <row r="12" spans="1:52" x14ac:dyDescent="0.25">
      <c r="A12" s="2174"/>
      <c r="C12" s="2038"/>
      <c r="F12" s="2185"/>
      <c r="J12" s="2174"/>
      <c r="M12" s="2186">
        <f>text!C8</f>
        <v>45016</v>
      </c>
      <c r="T12" s="2178"/>
      <c r="U12" s="1966">
        <f t="shared" si="0"/>
        <v>1</v>
      </c>
      <c r="W12" s="2182"/>
      <c r="X12" s="2182"/>
      <c r="Y12" s="2182"/>
      <c r="AA12" s="2174"/>
      <c r="AB12" s="2174"/>
      <c r="AC12" s="2174"/>
      <c r="AD12" s="2174"/>
      <c r="AE12" s="2174"/>
      <c r="AF12" s="2174"/>
      <c r="AG12" s="2174"/>
      <c r="AH12" s="2174"/>
      <c r="AI12" s="2174"/>
      <c r="AJ12" s="2174"/>
      <c r="AK12" s="2174"/>
      <c r="AL12" s="2174"/>
      <c r="AM12" s="2174"/>
      <c r="AN12" s="2174"/>
      <c r="AO12" s="2174"/>
      <c r="AP12" s="2174"/>
      <c r="AQ12" s="2174"/>
      <c r="AR12" s="2174"/>
      <c r="AS12" s="2174"/>
      <c r="AT12" s="2174"/>
      <c r="AU12" s="2174"/>
      <c r="AV12" s="2174"/>
      <c r="AW12" s="2174"/>
      <c r="AX12" s="2174"/>
      <c r="AY12" s="2174"/>
      <c r="AZ12" s="2174"/>
    </row>
    <row r="13" spans="1:52" x14ac:dyDescent="0.25">
      <c r="A13" s="2174"/>
      <c r="C13" s="2038"/>
      <c r="D13" s="1966" t="s">
        <v>2376</v>
      </c>
      <c r="F13" s="2187" t="s">
        <v>426</v>
      </c>
      <c r="J13" s="2174"/>
      <c r="K13" s="1966">
        <f>IF(F13="y",6,3)</f>
        <v>3</v>
      </c>
      <c r="L13" s="2186">
        <f>text!B9</f>
        <v>45017</v>
      </c>
      <c r="M13" s="2186">
        <f>text!C9</f>
        <v>45382</v>
      </c>
      <c r="N13" s="1966">
        <f t="shared" ref="N13:N19" si="1">(M13-L13+1)</f>
        <v>366</v>
      </c>
      <c r="O13" s="1966">
        <v>1</v>
      </c>
      <c r="P13" s="1966">
        <f>data!E33</f>
        <v>51000</v>
      </c>
      <c r="Q13" s="1966">
        <f>data!C53</f>
        <v>0.499</v>
      </c>
      <c r="R13" s="1966">
        <f>data!F33</f>
        <v>1.2999999999999999E-2</v>
      </c>
      <c r="S13" s="1966">
        <f>data!F53</f>
        <v>0.02</v>
      </c>
      <c r="T13" s="2178" t="s">
        <v>426</v>
      </c>
      <c r="U13" s="1966">
        <f t="shared" si="0"/>
        <v>1</v>
      </c>
      <c r="W13" s="2182"/>
      <c r="X13" s="2182"/>
      <c r="Y13" s="2182"/>
      <c r="AA13" s="2174"/>
      <c r="AB13" s="2174"/>
      <c r="AC13" s="2174"/>
      <c r="AD13" s="2174"/>
      <c r="AE13" s="2174"/>
      <c r="AF13" s="2174"/>
      <c r="AG13" s="2174"/>
      <c r="AH13" s="2174"/>
      <c r="AI13" s="2174"/>
      <c r="AJ13" s="2174"/>
      <c r="AK13" s="2174"/>
      <c r="AL13" s="2174"/>
      <c r="AM13" s="2174"/>
      <c r="AN13" s="2174"/>
      <c r="AO13" s="2174"/>
      <c r="AP13" s="2174"/>
      <c r="AQ13" s="2174"/>
      <c r="AR13" s="2174"/>
      <c r="AS13" s="2174"/>
      <c r="AT13" s="2174"/>
      <c r="AU13" s="2174"/>
      <c r="AV13" s="2174"/>
      <c r="AW13" s="2174"/>
      <c r="AX13" s="2174"/>
      <c r="AY13" s="2174"/>
      <c r="AZ13" s="2174"/>
    </row>
    <row r="14" spans="1:52" x14ac:dyDescent="0.25">
      <c r="A14" s="2174"/>
      <c r="J14" s="2174"/>
      <c r="L14" s="2186">
        <f>text!B10</f>
        <v>45383</v>
      </c>
      <c r="M14" s="2186">
        <f>text!C10</f>
        <v>45747</v>
      </c>
      <c r="N14" s="1966">
        <f t="shared" si="1"/>
        <v>365</v>
      </c>
      <c r="O14" s="1966">
        <v>2</v>
      </c>
      <c r="P14" s="1966">
        <f>data!E34</f>
        <v>51000</v>
      </c>
      <c r="Q14" s="1966">
        <f>data!C54</f>
        <v>0.499</v>
      </c>
      <c r="R14" s="1966">
        <f>data!F34</f>
        <v>4.7000000000000042E-2</v>
      </c>
      <c r="S14" s="1966">
        <f>data!F54</f>
        <v>0.02</v>
      </c>
      <c r="T14" s="2178"/>
      <c r="U14" s="1966">
        <f t="shared" si="0"/>
        <v>1</v>
      </c>
      <c r="W14" s="2182"/>
      <c r="X14" s="2182"/>
      <c r="Y14" s="2182"/>
      <c r="AA14" s="2174"/>
      <c r="AB14" s="2174"/>
      <c r="AC14" s="2174"/>
      <c r="AD14" s="2174"/>
      <c r="AE14" s="2174"/>
      <c r="AF14" s="2174"/>
      <c r="AG14" s="2174"/>
      <c r="AH14" s="2174"/>
      <c r="AI14" s="2174"/>
      <c r="AJ14" s="2174"/>
      <c r="AK14" s="2174"/>
      <c r="AL14" s="2174"/>
      <c r="AM14" s="2174"/>
      <c r="AN14" s="2174"/>
      <c r="AO14" s="2174"/>
      <c r="AP14" s="2174"/>
      <c r="AQ14" s="2174"/>
      <c r="AR14" s="2174"/>
      <c r="AS14" s="2174"/>
      <c r="AT14" s="2174"/>
      <c r="AU14" s="2174"/>
      <c r="AV14" s="2174"/>
      <c r="AW14" s="2174"/>
      <c r="AX14" s="2174"/>
      <c r="AY14" s="2174"/>
      <c r="AZ14" s="2174"/>
    </row>
    <row r="15" spans="1:52" ht="18" customHeight="1" x14ac:dyDescent="0.25">
      <c r="A15" s="2174"/>
      <c r="D15" s="1966" t="s">
        <v>2377</v>
      </c>
      <c r="F15" s="2188">
        <f>F10</f>
        <v>0</v>
      </c>
      <c r="G15" s="1966" t="str">
        <f>IF(AND(OR(F15="",F15=0),F10&lt;&gt;""),"&lt; Enter the Actual RV on the day of the s44a","")</f>
        <v/>
      </c>
      <c r="J15" s="2174"/>
      <c r="L15" s="2186">
        <f>text!B11</f>
        <v>45748</v>
      </c>
      <c r="M15" s="2186">
        <f>text!C11</f>
        <v>46112</v>
      </c>
      <c r="N15" s="1966">
        <f t="shared" si="1"/>
        <v>365</v>
      </c>
      <c r="O15" s="1966">
        <v>3</v>
      </c>
      <c r="P15" s="1966">
        <f>data!E35</f>
        <v>51000</v>
      </c>
      <c r="Q15" s="1966">
        <f>data!C55</f>
        <v>0.499</v>
      </c>
      <c r="R15" s="1966">
        <f>data!F35</f>
        <v>5.600000000000005E-2</v>
      </c>
      <c r="S15" s="1966">
        <f>data!F55</f>
        <v>0.02</v>
      </c>
      <c r="T15" s="2178">
        <v>0</v>
      </c>
      <c r="U15" s="1966">
        <f t="shared" si="0"/>
        <v>1</v>
      </c>
      <c r="W15" s="2182" t="b">
        <f>AND(F15&lt;&gt;"",F15&gt;=0)</f>
        <v>1</v>
      </c>
      <c r="X15" s="2183" t="s">
        <v>2374</v>
      </c>
      <c r="Y15" s="2182"/>
      <c r="AA15" s="2174"/>
      <c r="AB15" s="2174"/>
      <c r="AC15" s="2174"/>
      <c r="AD15" s="2174"/>
      <c r="AE15" s="2174"/>
      <c r="AF15" s="2174"/>
      <c r="AG15" s="2174"/>
      <c r="AH15" s="2174"/>
      <c r="AI15" s="2174"/>
      <c r="AJ15" s="2174"/>
      <c r="AK15" s="2174"/>
      <c r="AL15" s="2174"/>
      <c r="AM15" s="2174"/>
      <c r="AN15" s="2174"/>
      <c r="AO15" s="2174"/>
      <c r="AP15" s="2174"/>
      <c r="AQ15" s="2174"/>
      <c r="AR15" s="2174"/>
      <c r="AS15" s="2174"/>
      <c r="AT15" s="2174"/>
      <c r="AU15" s="2174"/>
      <c r="AV15" s="2174"/>
      <c r="AW15" s="2174"/>
      <c r="AX15" s="2174"/>
      <c r="AY15" s="2174"/>
      <c r="AZ15" s="2174"/>
    </row>
    <row r="16" spans="1:52" ht="18" customHeight="1" x14ac:dyDescent="0.3">
      <c r="A16" s="2174"/>
      <c r="D16" s="2038" t="s">
        <v>2393</v>
      </c>
      <c r="F16" s="2181"/>
      <c r="G16" s="1966" t="str">
        <f>IF(AND(OR(F16="",F16=0),F15&lt;&gt;"",F9&lt;&gt;"",F10&lt;&gt;""),"&lt; Enter the OCCUPIED value on the day of the s44a","")</f>
        <v/>
      </c>
      <c r="J16" s="2174"/>
      <c r="L16" s="2186">
        <f>text!B12</f>
        <v>46113</v>
      </c>
      <c r="M16" s="2186">
        <f>text!C12</f>
        <v>46477</v>
      </c>
      <c r="N16" s="1966">
        <f t="shared" si="1"/>
        <v>365</v>
      </c>
      <c r="O16" s="1966">
        <v>4</v>
      </c>
      <c r="P16" s="1966">
        <f>data!E36</f>
        <v>51000</v>
      </c>
      <c r="Q16" s="1966">
        <f>data!C56</f>
        <v>0.51900000000000002</v>
      </c>
      <c r="R16" s="1966">
        <f>data!F36</f>
        <v>5.600000000000005E-2</v>
      </c>
      <c r="S16" s="1966">
        <f>data!F56</f>
        <v>0.02</v>
      </c>
      <c r="T16" s="2178"/>
      <c r="U16" s="1966">
        <f t="shared" si="0"/>
        <v>1</v>
      </c>
      <c r="W16" s="2182" t="b">
        <f>AND(F16&lt;&gt;"",F16&gt;=0)</f>
        <v>0</v>
      </c>
      <c r="X16" s="2183" t="s">
        <v>2374</v>
      </c>
      <c r="Y16" s="2182"/>
      <c r="AA16" s="2174"/>
      <c r="AB16" s="2174"/>
      <c r="AC16" s="2174"/>
      <c r="AD16" s="2174"/>
      <c r="AE16" s="2174"/>
      <c r="AF16" s="2174"/>
      <c r="AG16" s="2174"/>
      <c r="AH16" s="2174"/>
      <c r="AI16" s="2174"/>
      <c r="AJ16" s="2174"/>
      <c r="AK16" s="2174"/>
      <c r="AL16" s="2174"/>
      <c r="AM16" s="2174"/>
      <c r="AN16" s="2174"/>
      <c r="AO16" s="2174"/>
      <c r="AP16" s="2174"/>
      <c r="AQ16" s="2174"/>
      <c r="AR16" s="2174"/>
      <c r="AS16" s="2174"/>
      <c r="AT16" s="2174"/>
      <c r="AU16" s="2174"/>
      <c r="AV16" s="2174"/>
      <c r="AW16" s="2174"/>
      <c r="AX16" s="2174"/>
      <c r="AY16" s="2174"/>
      <c r="AZ16" s="2174"/>
    </row>
    <row r="17" spans="1:52" ht="18" customHeight="1" x14ac:dyDescent="0.25">
      <c r="A17" s="2174"/>
      <c r="D17" s="1966" t="s">
        <v>2378</v>
      </c>
      <c r="F17" s="1649">
        <f>F15-F16</f>
        <v>0</v>
      </c>
      <c r="G17" s="1966" t="str">
        <f>IF(AND(F17&lt;=0,F16&lt;&gt;""),"Please Check the Occupied Value","")</f>
        <v/>
      </c>
      <c r="J17" s="2174"/>
      <c r="L17" s="2186">
        <f>text!B13</f>
        <v>46478</v>
      </c>
      <c r="M17" s="2186">
        <f>text!C13</f>
        <v>46843</v>
      </c>
      <c r="N17" s="1966">
        <f t="shared" si="1"/>
        <v>366</v>
      </c>
      <c r="O17" s="1966">
        <v>5</v>
      </c>
      <c r="P17" s="1966">
        <f>data!E37</f>
        <v>51000</v>
      </c>
      <c r="Q17" s="1966">
        <f>data!C57</f>
        <v>0.54</v>
      </c>
      <c r="R17" s="1966">
        <f>data!F37</f>
        <v>5.600000000000005E-2</v>
      </c>
      <c r="S17" s="1966">
        <f>data!F57</f>
        <v>0.02</v>
      </c>
      <c r="T17" s="2178">
        <v>0</v>
      </c>
      <c r="U17" s="1966">
        <f t="shared" si="0"/>
        <v>1</v>
      </c>
      <c r="W17" s="2182" t="b">
        <f>F17&gt;0</f>
        <v>0</v>
      </c>
      <c r="X17" s="2183" t="s">
        <v>2374</v>
      </c>
      <c r="Y17" s="2182"/>
      <c r="AA17" s="2174"/>
      <c r="AB17" s="2174"/>
      <c r="AC17" s="2174"/>
      <c r="AD17" s="2174"/>
      <c r="AE17" s="2174"/>
      <c r="AF17" s="2174"/>
      <c r="AG17" s="2174"/>
      <c r="AH17" s="2174"/>
      <c r="AI17" s="2174"/>
      <c r="AJ17" s="2174"/>
      <c r="AK17" s="2174"/>
      <c r="AL17" s="2174"/>
      <c r="AM17" s="2174"/>
      <c r="AN17" s="2174"/>
      <c r="AO17" s="2174"/>
      <c r="AP17" s="2174"/>
      <c r="AQ17" s="2174"/>
      <c r="AR17" s="2174"/>
      <c r="AS17" s="2174"/>
      <c r="AT17" s="2174"/>
      <c r="AU17" s="2174"/>
      <c r="AV17" s="2174"/>
      <c r="AW17" s="2174"/>
      <c r="AX17" s="2174"/>
      <c r="AY17" s="2174"/>
      <c r="AZ17" s="2174"/>
    </row>
    <row r="18" spans="1:52" x14ac:dyDescent="0.25">
      <c r="A18" s="2174"/>
      <c r="J18" s="2174"/>
      <c r="L18" s="2186">
        <f>text!B14</f>
        <v>46844</v>
      </c>
      <c r="M18" s="2186">
        <f>text!C14</f>
        <v>47208</v>
      </c>
      <c r="N18" s="1966">
        <f t="shared" si="1"/>
        <v>365</v>
      </c>
      <c r="O18" s="1966">
        <v>6</v>
      </c>
      <c r="P18" s="1966">
        <f>data!E38</f>
        <v>51000</v>
      </c>
      <c r="Q18" s="1966">
        <f>data!C58</f>
        <v>0.56200000000000006</v>
      </c>
      <c r="R18" s="1966">
        <f>data!F38</f>
        <v>5.600000000000005E-2</v>
      </c>
      <c r="S18" s="1966">
        <f>data!F58</f>
        <v>0.02</v>
      </c>
      <c r="T18" s="2178"/>
      <c r="U18" s="1966">
        <f t="shared" si="0"/>
        <v>1</v>
      </c>
      <c r="W18" s="2182" t="b">
        <f>AND(L13&lt;=F19,F19&lt;=M18)</f>
        <v>0</v>
      </c>
      <c r="X18" s="2183" t="s">
        <v>2379</v>
      </c>
      <c r="Y18" s="2182"/>
      <c r="AA18" s="2174"/>
      <c r="AB18" s="2174"/>
      <c r="AC18" s="2174"/>
      <c r="AD18" s="2174"/>
      <c r="AE18" s="2174"/>
      <c r="AF18" s="2174"/>
      <c r="AG18" s="2174"/>
      <c r="AH18" s="2174"/>
      <c r="AI18" s="2174"/>
      <c r="AJ18" s="2174"/>
      <c r="AK18" s="2174"/>
      <c r="AL18" s="2174"/>
      <c r="AM18" s="2174"/>
      <c r="AN18" s="2174"/>
      <c r="AO18" s="2174"/>
      <c r="AP18" s="2174"/>
      <c r="AQ18" s="2174"/>
      <c r="AR18" s="2174"/>
      <c r="AS18" s="2174"/>
      <c r="AT18" s="2174"/>
      <c r="AU18" s="2174"/>
      <c r="AV18" s="2174"/>
      <c r="AW18" s="2174"/>
      <c r="AX18" s="2174"/>
      <c r="AY18" s="2174"/>
      <c r="AZ18" s="2174"/>
    </row>
    <row r="19" spans="1:52" ht="20.25" customHeight="1" x14ac:dyDescent="0.25">
      <c r="A19" s="2174"/>
      <c r="C19" s="2189"/>
      <c r="D19" s="1966" t="s">
        <v>2380</v>
      </c>
      <c r="F19" s="2190"/>
      <c r="G19" s="1966" t="str">
        <f>IF(AND(OR(F19="",F19=0),F16&lt;&gt;""),"&lt; Enter the first date of the s44a","")</f>
        <v/>
      </c>
      <c r="J19" s="2174"/>
      <c r="L19" s="2186">
        <f>text!B15</f>
        <v>47209</v>
      </c>
      <c r="M19" s="2186">
        <f>text!C15</f>
        <v>47573</v>
      </c>
      <c r="N19" s="1966">
        <f t="shared" si="1"/>
        <v>365</v>
      </c>
      <c r="O19" s="1966">
        <v>7</v>
      </c>
      <c r="P19" s="1966">
        <f>data!E39</f>
        <v>51000</v>
      </c>
      <c r="Q19" s="1966">
        <f>data!C59</f>
        <v>0.58499999999999996</v>
      </c>
      <c r="R19" s="1966">
        <f>data!F39</f>
        <v>5.600000000000005E-2</v>
      </c>
      <c r="S19" s="1966">
        <f>data!F59</f>
        <v>0.02</v>
      </c>
      <c r="T19" s="2178"/>
      <c r="U19" s="1966">
        <f t="shared" si="0"/>
        <v>1</v>
      </c>
      <c r="W19" s="2182"/>
      <c r="X19" s="2183"/>
      <c r="Y19" s="2182"/>
      <c r="AA19" s="2174"/>
      <c r="AB19" s="2174"/>
      <c r="AC19" s="2174"/>
      <c r="AD19" s="2174"/>
      <c r="AE19" s="2174"/>
      <c r="AF19" s="2174"/>
      <c r="AG19" s="2174"/>
      <c r="AH19" s="2174"/>
      <c r="AI19" s="2174"/>
      <c r="AJ19" s="2174"/>
      <c r="AK19" s="2174"/>
      <c r="AL19" s="2174"/>
      <c r="AM19" s="2174"/>
      <c r="AN19" s="2174"/>
      <c r="AO19" s="2174"/>
      <c r="AP19" s="2174"/>
      <c r="AQ19" s="2174"/>
      <c r="AR19" s="2174"/>
      <c r="AS19" s="2174"/>
      <c r="AT19" s="2174"/>
      <c r="AU19" s="2174"/>
      <c r="AV19" s="2174"/>
      <c r="AW19" s="2174"/>
      <c r="AX19" s="2174"/>
      <c r="AY19" s="2174"/>
      <c r="AZ19" s="2174"/>
    </row>
    <row r="20" spans="1:52" ht="17.25" customHeight="1" x14ac:dyDescent="0.25">
      <c r="A20" s="2174"/>
      <c r="D20" s="1966" t="s">
        <v>2381</v>
      </c>
      <c r="F20" s="2191" t="str">
        <f>IF(F19="","",DATE(YEAR(F19), MONTH(F19)+K13, DAY(F19))-1)</f>
        <v/>
      </c>
      <c r="G20" s="1966" t="str">
        <f>IF(F19="","",(F20-F19+1)&amp;" Days")</f>
        <v/>
      </c>
      <c r="J20" s="2174"/>
      <c r="L20" s="2038" t="e">
        <f>(F20-F19+1)</f>
        <v>#VALUE!</v>
      </c>
      <c r="T20" s="2178" t="s">
        <v>836</v>
      </c>
      <c r="U20" s="1966">
        <f t="shared" si="0"/>
        <v>1</v>
      </c>
      <c r="W20" s="2183" t="s">
        <v>936</v>
      </c>
      <c r="X20" s="2182"/>
      <c r="Y20" s="2183" t="s">
        <v>2382</v>
      </c>
      <c r="AA20" s="2174"/>
      <c r="AB20" s="2174"/>
      <c r="AC20" s="2174"/>
      <c r="AD20" s="2174"/>
      <c r="AE20" s="2174"/>
      <c r="AF20" s="2174"/>
      <c r="AG20" s="2174"/>
      <c r="AH20" s="2174"/>
      <c r="AI20" s="2174"/>
      <c r="AJ20" s="2174"/>
      <c r="AK20" s="2174"/>
      <c r="AL20" s="2174"/>
      <c r="AM20" s="2174"/>
      <c r="AN20" s="2174"/>
      <c r="AO20" s="2174"/>
      <c r="AP20" s="2174"/>
      <c r="AQ20" s="2174"/>
      <c r="AR20" s="2174"/>
      <c r="AS20" s="2174"/>
      <c r="AT20" s="2174"/>
      <c r="AU20" s="2174"/>
      <c r="AV20" s="2174"/>
      <c r="AW20" s="2174"/>
      <c r="AX20" s="2174"/>
      <c r="AY20" s="2174"/>
      <c r="AZ20" s="2174"/>
    </row>
    <row r="21" spans="1:52" ht="19.5" customHeight="1" x14ac:dyDescent="0.25">
      <c r="A21" s="2174"/>
      <c r="D21" s="1966" t="str">
        <f>"(max "&amp;K13&amp;" months or end of year)"</f>
        <v>(max 3 months or end of year)</v>
      </c>
      <c r="E21" s="2186"/>
      <c r="F21" s="2192" t="str">
        <f>IF(F19="","",MIN(N24:N26))</f>
        <v/>
      </c>
      <c r="G21" s="1966" t="str">
        <f>IF(F19="","",(F21-F19+1)&amp;" Days")</f>
        <v/>
      </c>
      <c r="H21" s="1966" t="str">
        <f>IF(F19="","","Maximum Exemption Period")</f>
        <v/>
      </c>
      <c r="J21" s="2174"/>
      <c r="L21" s="1966" t="e">
        <f>(F21-F19+1)</f>
        <v>#VALUE!</v>
      </c>
      <c r="M21" s="1966" t="e">
        <f>VLOOKUP(F19,L13:N19,3,TRUE)</f>
        <v>#N/A</v>
      </c>
      <c r="N21" s="1966" t="e">
        <f>VLOOKUP(F19,L13:O19,4,TRUE)</f>
        <v>#N/A</v>
      </c>
      <c r="O21" s="1966" t="e">
        <f>VLOOKUP(F19,L13:P19,5,TRUE)</f>
        <v>#N/A</v>
      </c>
      <c r="P21" s="1966" t="e">
        <f>VLOOKUP(F19,L13:R19,6,TRUE)</f>
        <v>#N/A</v>
      </c>
      <c r="Q21" s="1966" t="e">
        <f>VLOOKUP(F19,L13:R19,7,TRUE)</f>
        <v>#N/A</v>
      </c>
      <c r="R21" s="1966" t="e">
        <f>VLOOKUP(F19,L13:S19,8,TRUE)</f>
        <v>#N/A</v>
      </c>
      <c r="S21" s="2185">
        <f>data!G53</f>
        <v>75000</v>
      </c>
      <c r="T21" s="2178" t="s">
        <v>836</v>
      </c>
      <c r="U21" s="1966">
        <f>SUM(U9:U20)</f>
        <v>12</v>
      </c>
      <c r="W21" s="2182" t="b">
        <f>AND(F9&gt;0,OR(F10="",F10=0))</f>
        <v>0</v>
      </c>
      <c r="X21" s="2182" t="str">
        <f>"If there is an RV at "&amp;TEXT(M12,"dd/mm/yy")&amp;" there must be an RV at "&amp;TEXT(L13,"dd/mm/yy")</f>
        <v>If there is an RV at 31/03/23 there must be an RV at 01/04/23</v>
      </c>
      <c r="Y21" s="2182">
        <v>10</v>
      </c>
      <c r="AA21" s="2174"/>
      <c r="AB21" s="2174"/>
      <c r="AC21" s="2174"/>
      <c r="AD21" s="2174"/>
      <c r="AE21" s="2174"/>
      <c r="AF21" s="2174"/>
      <c r="AG21" s="2174"/>
      <c r="AH21" s="2174"/>
      <c r="AI21" s="2174"/>
      <c r="AJ21" s="2174"/>
      <c r="AK21" s="2174"/>
      <c r="AL21" s="2174"/>
      <c r="AM21" s="2174"/>
      <c r="AN21" s="2174"/>
      <c r="AO21" s="2174"/>
      <c r="AP21" s="2174"/>
      <c r="AQ21" s="2174"/>
      <c r="AR21" s="2174"/>
      <c r="AS21" s="2174"/>
      <c r="AT21" s="2174"/>
      <c r="AU21" s="2174"/>
      <c r="AV21" s="2174"/>
      <c r="AW21" s="2174"/>
      <c r="AX21" s="2174"/>
      <c r="AY21" s="2174"/>
      <c r="AZ21" s="2174"/>
    </row>
    <row r="22" spans="1:52" x14ac:dyDescent="0.25">
      <c r="A22" s="2174"/>
      <c r="J22" s="2174"/>
      <c r="T22" s="2178"/>
      <c r="W22" s="2182" t="b">
        <f>W9=FALSE</f>
        <v>1</v>
      </c>
      <c r="X22" s="2183" t="s">
        <v>2383</v>
      </c>
      <c r="Y22" s="2182">
        <v>9</v>
      </c>
      <c r="AA22" s="2174"/>
      <c r="AB22" s="2174"/>
      <c r="AC22" s="2174"/>
      <c r="AD22" s="2174"/>
      <c r="AE22" s="2174"/>
      <c r="AF22" s="2174"/>
      <c r="AG22" s="2174"/>
      <c r="AH22" s="2174"/>
      <c r="AI22" s="2174"/>
      <c r="AJ22" s="2174"/>
      <c r="AK22" s="2174"/>
      <c r="AL22" s="2174"/>
      <c r="AM22" s="2174"/>
      <c r="AN22" s="2174"/>
      <c r="AO22" s="2174"/>
      <c r="AP22" s="2174"/>
      <c r="AQ22" s="2174"/>
      <c r="AR22" s="2174"/>
      <c r="AS22" s="2174"/>
      <c r="AT22" s="2174"/>
      <c r="AU22" s="2174"/>
      <c r="AV22" s="2174"/>
      <c r="AW22" s="2174"/>
      <c r="AX22" s="2174"/>
      <c r="AY22" s="2174"/>
      <c r="AZ22" s="2174"/>
    </row>
    <row r="23" spans="1:52" ht="13" x14ac:dyDescent="0.3">
      <c r="A23" s="2174"/>
      <c r="H23" s="1976" t="str">
        <f>IF(U21&lt;&gt;12,"Click button when input complete","")</f>
        <v/>
      </c>
      <c r="J23" s="2174"/>
      <c r="T23" s="2178"/>
      <c r="W23" s="2182" t="b">
        <f>W10=FALSE</f>
        <v>1</v>
      </c>
      <c r="X23" s="2183" t="s">
        <v>2383</v>
      </c>
      <c r="Y23" s="2182">
        <v>10</v>
      </c>
      <c r="AA23" s="2174"/>
      <c r="AB23" s="2174"/>
      <c r="AC23" s="2174"/>
      <c r="AD23" s="2174"/>
      <c r="AE23" s="2174"/>
      <c r="AF23" s="2174"/>
      <c r="AG23" s="2174"/>
      <c r="AH23" s="2174"/>
      <c r="AI23" s="2174"/>
      <c r="AJ23" s="2174"/>
      <c r="AK23" s="2174"/>
      <c r="AL23" s="2174"/>
      <c r="AM23" s="2174"/>
      <c r="AN23" s="2174"/>
      <c r="AO23" s="2174"/>
      <c r="AP23" s="2174"/>
      <c r="AQ23" s="2174"/>
      <c r="AR23" s="2174"/>
      <c r="AS23" s="2174"/>
      <c r="AT23" s="2174"/>
      <c r="AU23" s="2174"/>
      <c r="AV23" s="2174"/>
      <c r="AW23" s="2174"/>
      <c r="AX23" s="2174"/>
      <c r="AY23" s="2174"/>
      <c r="AZ23" s="2174"/>
    </row>
    <row r="24" spans="1:52" x14ac:dyDescent="0.25">
      <c r="A24" s="2174"/>
      <c r="D24" s="1966" t="str">
        <f>"Charge on RV " &amp; TEXT(F15,"#,###")</f>
        <v xml:space="preserve">Charge on RV </v>
      </c>
      <c r="F24" s="2193">
        <f>T24*U24</f>
        <v>0</v>
      </c>
      <c r="J24" s="2174"/>
      <c r="L24" s="2038" t="s">
        <v>2384</v>
      </c>
      <c r="N24" s="2186">
        <f>DATE(YEAR(F19), MONTH(F19)+K13, DAY(F19))-1</f>
        <v>90</v>
      </c>
      <c r="T24" s="2178">
        <v>0</v>
      </c>
      <c r="U24" s="1966" t="b">
        <f t="shared" ref="U24:U33" si="2">$U$21=12</f>
        <v>1</v>
      </c>
      <c r="W24" s="2182" t="b">
        <f>W15=FALSE</f>
        <v>0</v>
      </c>
      <c r="X24" s="2183" t="s">
        <v>2385</v>
      </c>
      <c r="Y24" s="2182">
        <v>15</v>
      </c>
      <c r="AA24" s="2174"/>
      <c r="AB24" s="2174"/>
      <c r="AC24" s="2174"/>
      <c r="AD24" s="2174"/>
      <c r="AE24" s="2174"/>
      <c r="AF24" s="2174"/>
      <c r="AG24" s="2174"/>
      <c r="AH24" s="2174"/>
      <c r="AI24" s="2174"/>
      <c r="AJ24" s="2174"/>
      <c r="AK24" s="2174"/>
      <c r="AL24" s="2174"/>
      <c r="AM24" s="2174"/>
      <c r="AN24" s="2174"/>
      <c r="AO24" s="2174"/>
      <c r="AP24" s="2174"/>
      <c r="AQ24" s="2174"/>
      <c r="AR24" s="2174"/>
      <c r="AS24" s="2174"/>
      <c r="AT24" s="2174"/>
      <c r="AU24" s="2174"/>
      <c r="AV24" s="2174"/>
      <c r="AW24" s="2174"/>
      <c r="AX24" s="2174"/>
      <c r="AY24" s="2174"/>
      <c r="AZ24" s="2174"/>
    </row>
    <row r="25" spans="1:52" x14ac:dyDescent="0.25">
      <c r="A25" s="2174"/>
      <c r="D25" s="2038" t="s">
        <v>2386</v>
      </c>
      <c r="F25" s="2193">
        <f>T25*U25</f>
        <v>0</v>
      </c>
      <c r="J25" s="2174"/>
      <c r="L25" s="1966" t="s">
        <v>2387</v>
      </c>
      <c r="N25" s="2186" t="e">
        <f>VLOOKUP(F19,L13:M19,2,TRUE)</f>
        <v>#N/A</v>
      </c>
      <c r="T25" s="2178">
        <v>0</v>
      </c>
      <c r="U25" s="1966" t="b">
        <f t="shared" si="2"/>
        <v>1</v>
      </c>
      <c r="W25" s="2182" t="b">
        <f>W16=FALSE</f>
        <v>1</v>
      </c>
      <c r="X25" s="2183" t="s">
        <v>2385</v>
      </c>
      <c r="Y25" s="2182">
        <v>16</v>
      </c>
      <c r="AA25" s="2174"/>
      <c r="AB25" s="2174"/>
      <c r="AC25" s="2174"/>
      <c r="AD25" s="2174"/>
      <c r="AE25" s="2174"/>
      <c r="AF25" s="2174"/>
      <c r="AG25" s="2174"/>
      <c r="AH25" s="2174"/>
      <c r="AI25" s="2174"/>
      <c r="AJ25" s="2174"/>
      <c r="AK25" s="2174"/>
      <c r="AL25" s="2174"/>
      <c r="AM25" s="2174"/>
      <c r="AN25" s="2174"/>
      <c r="AO25" s="2174"/>
      <c r="AP25" s="2174"/>
      <c r="AQ25" s="2174"/>
      <c r="AR25" s="2174"/>
      <c r="AS25" s="2174"/>
      <c r="AT25" s="2174"/>
      <c r="AU25" s="2174"/>
      <c r="AV25" s="2174"/>
      <c r="AW25" s="2174"/>
      <c r="AX25" s="2174"/>
      <c r="AY25" s="2174"/>
      <c r="AZ25" s="2174"/>
    </row>
    <row r="26" spans="1:52" x14ac:dyDescent="0.25">
      <c r="A26" s="2174"/>
      <c r="D26" s="2038" t="s">
        <v>2409</v>
      </c>
      <c r="F26" s="2194">
        <f>SUM(F24:F25)</f>
        <v>0</v>
      </c>
      <c r="J26" s="2174"/>
      <c r="L26" s="2038" t="s">
        <v>2388</v>
      </c>
      <c r="N26" s="2186" t="str">
        <f>F20</f>
        <v/>
      </c>
      <c r="T26" s="2178">
        <v>0</v>
      </c>
      <c r="U26" s="1966" t="b">
        <f t="shared" si="2"/>
        <v>1</v>
      </c>
      <c r="W26" s="2182" t="b">
        <f>W17=FALSE</f>
        <v>1</v>
      </c>
      <c r="X26" s="2183" t="s">
        <v>2389</v>
      </c>
      <c r="Y26" s="2182">
        <v>16</v>
      </c>
      <c r="AA26" s="2174"/>
      <c r="AB26" s="2174"/>
      <c r="AC26" s="2174"/>
      <c r="AD26" s="2174"/>
      <c r="AE26" s="2174"/>
      <c r="AF26" s="2174"/>
      <c r="AG26" s="2174"/>
      <c r="AH26" s="2174"/>
      <c r="AI26" s="2174"/>
      <c r="AJ26" s="2174"/>
      <c r="AK26" s="2174"/>
      <c r="AL26" s="2174"/>
      <c r="AM26" s="2174"/>
      <c r="AN26" s="2174"/>
      <c r="AO26" s="2174"/>
      <c r="AP26" s="2174"/>
      <c r="AQ26" s="2174"/>
      <c r="AR26" s="2174"/>
      <c r="AS26" s="2174"/>
      <c r="AT26" s="2174"/>
      <c r="AU26" s="2174"/>
      <c r="AV26" s="2174"/>
      <c r="AW26" s="2174"/>
      <c r="AX26" s="2174"/>
      <c r="AY26" s="2174"/>
      <c r="AZ26" s="2174"/>
    </row>
    <row r="27" spans="1:52" x14ac:dyDescent="0.25">
      <c r="A27" s="2174"/>
      <c r="F27" s="2011"/>
      <c r="J27" s="2174"/>
      <c r="T27" s="2178"/>
      <c r="U27" s="1966" t="b">
        <f t="shared" si="2"/>
        <v>1</v>
      </c>
      <c r="W27" s="2182" t="b">
        <f>W18=FALSE</f>
        <v>1</v>
      </c>
      <c r="X27" s="2183" t="str">
        <f>"Please enter a date between " &amp; TEXT(L13,"dd/mm/yy")&amp;" and " &amp; TEXT(M10,"dd/mm/yy")</f>
        <v>Please enter a date between 01/04/23 and 31/03/26</v>
      </c>
      <c r="Y27" s="2182">
        <v>19</v>
      </c>
      <c r="AA27" s="2174"/>
      <c r="AB27" s="2174"/>
      <c r="AC27" s="2174"/>
      <c r="AD27" s="2174"/>
      <c r="AE27" s="2174"/>
      <c r="AF27" s="2174"/>
      <c r="AG27" s="2174"/>
      <c r="AH27" s="2174"/>
      <c r="AI27" s="2174"/>
      <c r="AJ27" s="2174"/>
      <c r="AK27" s="2174"/>
      <c r="AL27" s="2174"/>
      <c r="AM27" s="2174"/>
      <c r="AN27" s="2174"/>
      <c r="AO27" s="2174"/>
      <c r="AP27" s="2174"/>
      <c r="AQ27" s="2174"/>
      <c r="AR27" s="2174"/>
      <c r="AS27" s="2174"/>
      <c r="AT27" s="2174"/>
      <c r="AU27" s="2174"/>
      <c r="AV27" s="2174"/>
      <c r="AW27" s="2174"/>
      <c r="AX27" s="2174"/>
      <c r="AY27" s="2174"/>
      <c r="AZ27" s="2174"/>
    </row>
    <row r="28" spans="1:52" x14ac:dyDescent="0.25">
      <c r="A28" s="2174"/>
      <c r="D28" s="1966" t="str">
        <f>"Charge on Occupied Value of " &amp; TEXT(F16,"#,###")</f>
        <v xml:space="preserve">Charge on Occupied Value of </v>
      </c>
      <c r="F28" s="2193">
        <f>T28*U28</f>
        <v>0</v>
      </c>
      <c r="J28" s="2174"/>
      <c r="K28" s="2038" t="s">
        <v>65</v>
      </c>
      <c r="L28" s="2038" t="s">
        <v>2390</v>
      </c>
      <c r="T28" s="2178">
        <v>0</v>
      </c>
      <c r="U28" s="1966" t="b">
        <f t="shared" si="2"/>
        <v>1</v>
      </c>
      <c r="W28" s="2182"/>
      <c r="X28" s="2182"/>
      <c r="Y28" s="2182"/>
      <c r="AA28" s="2174"/>
      <c r="AB28" s="2174"/>
      <c r="AC28" s="2174"/>
      <c r="AD28" s="2174"/>
      <c r="AE28" s="2174"/>
      <c r="AF28" s="2174"/>
      <c r="AG28" s="2174"/>
      <c r="AH28" s="2174"/>
      <c r="AI28" s="2174"/>
      <c r="AJ28" s="2174"/>
      <c r="AK28" s="2174"/>
      <c r="AL28" s="2174"/>
      <c r="AM28" s="2174"/>
      <c r="AN28" s="2174"/>
      <c r="AO28" s="2174"/>
      <c r="AP28" s="2174"/>
      <c r="AQ28" s="2174"/>
      <c r="AR28" s="2174"/>
      <c r="AS28" s="2174"/>
      <c r="AT28" s="2174"/>
      <c r="AU28" s="2174"/>
      <c r="AV28" s="2174"/>
      <c r="AW28" s="2174"/>
      <c r="AX28" s="2174"/>
      <c r="AY28" s="2174"/>
      <c r="AZ28" s="2174"/>
    </row>
    <row r="29" spans="1:52" x14ac:dyDescent="0.25">
      <c r="A29" s="2174"/>
      <c r="D29" s="2038" t="s">
        <v>2386</v>
      </c>
      <c r="F29" s="2193">
        <f>T29*U29</f>
        <v>0</v>
      </c>
      <c r="J29" s="2174"/>
      <c r="K29" s="1966">
        <v>9</v>
      </c>
      <c r="L29" s="2038" t="b">
        <f>LEFT(G9,1)="&lt;"</f>
        <v>1</v>
      </c>
      <c r="T29" s="2178">
        <v>0</v>
      </c>
      <c r="U29" s="1966" t="b">
        <f t="shared" si="2"/>
        <v>1</v>
      </c>
      <c r="W29" s="2183" t="b">
        <f>W21+W22+W23+W24+W25+W26+W27&gt;0</f>
        <v>1</v>
      </c>
      <c r="X29" s="2182" t="str">
        <f>VLOOKUP(TRUE,W21:Y27,2,FALSE)</f>
        <v>Please enter the RV or a zero</v>
      </c>
      <c r="Y29" s="2182">
        <f>VLOOKUP(TRUE,W21:Y27,3,FALSE)</f>
        <v>9</v>
      </c>
      <c r="AA29" s="2174"/>
      <c r="AB29" s="2174"/>
      <c r="AC29" s="2174"/>
      <c r="AD29" s="2174"/>
      <c r="AE29" s="2174"/>
      <c r="AF29" s="2174"/>
      <c r="AG29" s="2174"/>
      <c r="AH29" s="2174"/>
      <c r="AI29" s="2174"/>
      <c r="AJ29" s="2174"/>
      <c r="AK29" s="2174"/>
      <c r="AL29" s="2174"/>
      <c r="AM29" s="2174"/>
      <c r="AN29" s="2174"/>
      <c r="AO29" s="2174"/>
      <c r="AP29" s="2174"/>
      <c r="AQ29" s="2174"/>
      <c r="AR29" s="2174"/>
      <c r="AS29" s="2174"/>
      <c r="AT29" s="2174"/>
      <c r="AU29" s="2174"/>
      <c r="AV29" s="2174"/>
      <c r="AW29" s="2174"/>
      <c r="AX29" s="2174"/>
      <c r="AY29" s="2174"/>
      <c r="AZ29" s="2174"/>
    </row>
    <row r="30" spans="1:52" x14ac:dyDescent="0.25">
      <c r="A30" s="2174"/>
      <c r="D30" s="2038" t="s">
        <v>2409</v>
      </c>
      <c r="F30" s="2194">
        <f>SUM(F28:F29)</f>
        <v>0</v>
      </c>
      <c r="J30" s="2174"/>
      <c r="K30" s="1966">
        <v>10</v>
      </c>
      <c r="L30" s="2038" t="b">
        <f>LEFT(G10,1)="&lt;"</f>
        <v>0</v>
      </c>
      <c r="T30" s="2178">
        <v>0</v>
      </c>
      <c r="U30" s="1966" t="b">
        <f t="shared" si="2"/>
        <v>1</v>
      </c>
      <c r="W30" s="2182"/>
      <c r="X30" s="2182"/>
      <c r="Y30" s="2182"/>
      <c r="AA30" s="2174"/>
      <c r="AB30" s="2174"/>
      <c r="AC30" s="2174"/>
      <c r="AD30" s="2174"/>
      <c r="AE30" s="2174"/>
      <c r="AF30" s="2174"/>
      <c r="AG30" s="2174"/>
      <c r="AH30" s="2174"/>
      <c r="AI30" s="2174"/>
      <c r="AJ30" s="2174"/>
      <c r="AK30" s="2174"/>
      <c r="AL30" s="2174"/>
      <c r="AM30" s="2174"/>
      <c r="AN30" s="2174"/>
      <c r="AO30" s="2174"/>
      <c r="AP30" s="2174"/>
      <c r="AQ30" s="2174"/>
      <c r="AR30" s="2174"/>
      <c r="AS30" s="2174"/>
      <c r="AT30" s="2174"/>
      <c r="AU30" s="2174"/>
      <c r="AV30" s="2174"/>
      <c r="AW30" s="2174"/>
      <c r="AX30" s="2174"/>
      <c r="AY30" s="2174"/>
      <c r="AZ30" s="2174"/>
    </row>
    <row r="31" spans="1:52" x14ac:dyDescent="0.25">
      <c r="A31" s="2174"/>
      <c r="D31" s="1972"/>
      <c r="E31" s="1972"/>
      <c r="F31" s="2195"/>
      <c r="G31" s="1972"/>
      <c r="H31" s="1972"/>
      <c r="J31" s="2174"/>
      <c r="K31" s="1966">
        <v>15</v>
      </c>
      <c r="L31" s="2038" t="b">
        <f>LEFT(G15,1)="&lt;"</f>
        <v>0</v>
      </c>
      <c r="T31" s="2178"/>
      <c r="U31" s="1966" t="b">
        <f t="shared" si="2"/>
        <v>1</v>
      </c>
      <c r="AA31" s="2174"/>
      <c r="AB31" s="2174"/>
      <c r="AC31" s="2174"/>
      <c r="AD31" s="2174"/>
      <c r="AE31" s="2174"/>
      <c r="AF31" s="2174"/>
      <c r="AG31" s="2174"/>
      <c r="AH31" s="2174"/>
      <c r="AI31" s="2174"/>
      <c r="AJ31" s="2174"/>
      <c r="AK31" s="2174"/>
      <c r="AL31" s="2174"/>
      <c r="AM31" s="2174"/>
      <c r="AN31" s="2174"/>
      <c r="AO31" s="2174"/>
      <c r="AP31" s="2174"/>
      <c r="AQ31" s="2174"/>
      <c r="AR31" s="2174"/>
      <c r="AS31" s="2174"/>
      <c r="AT31" s="2174"/>
      <c r="AU31" s="2174"/>
      <c r="AV31" s="2174"/>
      <c r="AW31" s="2174"/>
      <c r="AX31" s="2174"/>
      <c r="AY31" s="2174"/>
      <c r="AZ31" s="2174"/>
    </row>
    <row r="32" spans="1:52" ht="25.5" customHeight="1" x14ac:dyDescent="0.25">
      <c r="A32" s="2174"/>
      <c r="D32" s="2038" t="s">
        <v>2391</v>
      </c>
      <c r="F32" s="2193">
        <f>F24-F28</f>
        <v>0</v>
      </c>
      <c r="J32" s="2174"/>
      <c r="K32" s="1966">
        <v>16</v>
      </c>
      <c r="L32" s="2038" t="b">
        <f>LEFT(G16,1)="&lt;"</f>
        <v>0</v>
      </c>
      <c r="T32" s="2178">
        <v>0</v>
      </c>
      <c r="U32" s="1966" t="b">
        <f t="shared" si="2"/>
        <v>1</v>
      </c>
      <c r="AA32" s="2174"/>
      <c r="AB32" s="2174"/>
      <c r="AC32" s="2174"/>
      <c r="AD32" s="2174"/>
      <c r="AE32" s="2174"/>
      <c r="AF32" s="2174"/>
      <c r="AG32" s="2174"/>
      <c r="AH32" s="2174"/>
      <c r="AI32" s="2174"/>
      <c r="AJ32" s="2174"/>
      <c r="AK32" s="2174"/>
      <c r="AL32" s="2174"/>
      <c r="AM32" s="2174"/>
      <c r="AN32" s="2174"/>
      <c r="AO32" s="2174"/>
      <c r="AP32" s="2174"/>
      <c r="AQ32" s="2174"/>
      <c r="AR32" s="2174"/>
      <c r="AS32" s="2174"/>
      <c r="AT32" s="2174"/>
      <c r="AU32" s="2174"/>
      <c r="AV32" s="2174"/>
      <c r="AW32" s="2174"/>
      <c r="AX32" s="2174"/>
      <c r="AY32" s="2174"/>
      <c r="AZ32" s="2174"/>
    </row>
    <row r="33" spans="1:52" ht="16.5" customHeight="1" x14ac:dyDescent="0.25">
      <c r="A33" s="2174"/>
      <c r="D33" s="1966" t="s">
        <v>2392</v>
      </c>
      <c r="F33" s="2193">
        <f>F25-F29</f>
        <v>0</v>
      </c>
      <c r="J33" s="2174"/>
      <c r="K33" s="1966">
        <v>19</v>
      </c>
      <c r="L33" s="2038" t="b">
        <f>LEFT(G19,1)="&lt;"</f>
        <v>0</v>
      </c>
      <c r="T33" s="2178">
        <v>0</v>
      </c>
      <c r="U33" s="1966" t="b">
        <f t="shared" si="2"/>
        <v>1</v>
      </c>
      <c r="AA33" s="2174"/>
      <c r="AB33" s="2174"/>
      <c r="AC33" s="2174"/>
      <c r="AD33" s="2174"/>
      <c r="AE33" s="2174"/>
      <c r="AF33" s="2174"/>
      <c r="AG33" s="2174"/>
      <c r="AH33" s="2174"/>
      <c r="AI33" s="2174"/>
      <c r="AJ33" s="2174"/>
      <c r="AK33" s="2174"/>
      <c r="AL33" s="2174"/>
      <c r="AM33" s="2174"/>
      <c r="AN33" s="2174"/>
      <c r="AO33" s="2174"/>
      <c r="AP33" s="2174"/>
      <c r="AQ33" s="2174"/>
      <c r="AR33" s="2174"/>
      <c r="AS33" s="2174"/>
      <c r="AT33" s="2174"/>
      <c r="AU33" s="2174"/>
      <c r="AV33" s="2174"/>
      <c r="AW33" s="2174"/>
      <c r="AX33" s="2174"/>
      <c r="AY33" s="2174"/>
      <c r="AZ33" s="2174"/>
    </row>
    <row r="34" spans="1:52" ht="19.5" customHeight="1" thickBot="1" x14ac:dyDescent="0.4">
      <c r="A34" s="2174"/>
      <c r="D34" s="2196" t="s">
        <v>1019</v>
      </c>
      <c r="E34" s="2196"/>
      <c r="F34" s="2197">
        <f>F26-F30</f>
        <v>0</v>
      </c>
      <c r="J34" s="2174"/>
      <c r="L34" s="2038"/>
      <c r="T34" s="2178">
        <v>0</v>
      </c>
      <c r="AA34" s="2174"/>
      <c r="AB34" s="2174"/>
      <c r="AC34" s="2174"/>
      <c r="AD34" s="2174"/>
      <c r="AE34" s="2174"/>
      <c r="AF34" s="2174"/>
      <c r="AG34" s="2174"/>
      <c r="AH34" s="2174"/>
      <c r="AI34" s="2174"/>
      <c r="AJ34" s="2174"/>
      <c r="AK34" s="2174"/>
      <c r="AL34" s="2174"/>
      <c r="AM34" s="2174"/>
      <c r="AN34" s="2174"/>
      <c r="AO34" s="2174"/>
      <c r="AP34" s="2174"/>
      <c r="AQ34" s="2174"/>
      <c r="AR34" s="2174"/>
      <c r="AS34" s="2174"/>
      <c r="AT34" s="2174"/>
      <c r="AU34" s="2174"/>
      <c r="AV34" s="2174"/>
      <c r="AW34" s="2174"/>
      <c r="AX34" s="2174"/>
      <c r="AY34" s="2174"/>
      <c r="AZ34" s="2174"/>
    </row>
    <row r="35" spans="1:52" ht="13" thickTop="1" x14ac:dyDescent="0.25">
      <c r="A35" s="2174"/>
      <c r="J35" s="2174"/>
      <c r="L35" s="2038"/>
      <c r="T35" s="2178"/>
      <c r="AA35" s="2174"/>
      <c r="AB35" s="2174"/>
      <c r="AC35" s="2174"/>
      <c r="AD35" s="2174"/>
      <c r="AE35" s="2174"/>
      <c r="AF35" s="2174"/>
      <c r="AG35" s="2174"/>
      <c r="AH35" s="2174"/>
      <c r="AI35" s="2174"/>
      <c r="AJ35" s="2174"/>
      <c r="AK35" s="2174"/>
      <c r="AL35" s="2174"/>
      <c r="AM35" s="2174"/>
      <c r="AN35" s="2174"/>
      <c r="AO35" s="2174"/>
      <c r="AP35" s="2174"/>
      <c r="AQ35" s="2174"/>
      <c r="AR35" s="2174"/>
      <c r="AS35" s="2174"/>
      <c r="AT35" s="2174"/>
      <c r="AU35" s="2174"/>
      <c r="AV35" s="2174"/>
      <c r="AW35" s="2174"/>
      <c r="AX35" s="2174"/>
      <c r="AY35" s="2174"/>
      <c r="AZ35" s="2174"/>
    </row>
    <row r="36" spans="1:52" x14ac:dyDescent="0.25">
      <c r="A36" s="2174"/>
      <c r="J36" s="2174"/>
      <c r="L36" s="2038"/>
      <c r="T36" s="2178"/>
      <c r="AA36" s="2174"/>
      <c r="AB36" s="2174"/>
      <c r="AC36" s="2174"/>
      <c r="AD36" s="2174"/>
      <c r="AE36" s="2174"/>
      <c r="AF36" s="2174"/>
      <c r="AG36" s="2174"/>
      <c r="AH36" s="2174"/>
      <c r="AI36" s="2174"/>
      <c r="AJ36" s="2174"/>
      <c r="AK36" s="2174"/>
      <c r="AL36" s="2174"/>
      <c r="AM36" s="2174"/>
      <c r="AN36" s="2174"/>
      <c r="AO36" s="2174"/>
      <c r="AP36" s="2174"/>
      <c r="AQ36" s="2174"/>
      <c r="AR36" s="2174"/>
      <c r="AS36" s="2174"/>
      <c r="AT36" s="2174"/>
      <c r="AU36" s="2174"/>
      <c r="AV36" s="2174"/>
      <c r="AW36" s="2174"/>
      <c r="AX36" s="2174"/>
      <c r="AY36" s="2174"/>
      <c r="AZ36" s="2174"/>
    </row>
    <row r="37" spans="1:52" x14ac:dyDescent="0.25">
      <c r="A37" s="2174"/>
      <c r="C37" s="1972"/>
      <c r="D37" s="1972"/>
      <c r="E37" s="1972"/>
      <c r="F37" s="1972"/>
      <c r="G37" s="1972"/>
      <c r="H37" s="1972"/>
      <c r="J37" s="2174"/>
      <c r="L37" s="2038"/>
      <c r="T37" s="2178"/>
      <c r="AA37" s="2174"/>
      <c r="AB37" s="2174"/>
      <c r="AC37" s="2174"/>
      <c r="AD37" s="2174"/>
      <c r="AE37" s="2174"/>
      <c r="AF37" s="2174"/>
      <c r="AG37" s="2174"/>
      <c r="AH37" s="2174"/>
      <c r="AI37" s="2174"/>
      <c r="AJ37" s="2174"/>
      <c r="AK37" s="2174"/>
      <c r="AL37" s="2174"/>
      <c r="AM37" s="2174"/>
      <c r="AN37" s="2174"/>
      <c r="AO37" s="2174"/>
      <c r="AP37" s="2174"/>
      <c r="AQ37" s="2174"/>
      <c r="AR37" s="2174"/>
      <c r="AS37" s="2174"/>
      <c r="AT37" s="2174"/>
      <c r="AU37" s="2174"/>
      <c r="AV37" s="2174"/>
      <c r="AW37" s="2174"/>
      <c r="AX37" s="2174"/>
      <c r="AY37" s="2174"/>
      <c r="AZ37" s="2174"/>
    </row>
    <row r="38" spans="1:52" ht="21.75" customHeight="1" x14ac:dyDescent="0.3">
      <c r="A38" s="2174"/>
      <c r="D38" s="2015" t="str">
        <f>'split report'!C41</f>
        <v>prepared by</v>
      </c>
      <c r="E38" s="2198" t="str">
        <f>codes!F4</f>
        <v>CBRE</v>
      </c>
      <c r="H38" s="2199">
        <f ca="1">TODAY()</f>
        <v>46155</v>
      </c>
      <c r="J38" s="2174"/>
      <c r="L38" s="2038"/>
      <c r="T38" s="2178"/>
      <c r="AA38" s="2174"/>
      <c r="AB38" s="2174"/>
      <c r="AC38" s="2174"/>
      <c r="AD38" s="2174"/>
      <c r="AE38" s="2174"/>
      <c r="AF38" s="2174"/>
      <c r="AG38" s="2174"/>
      <c r="AH38" s="2174"/>
      <c r="AI38" s="2174"/>
      <c r="AJ38" s="2174"/>
      <c r="AK38" s="2174"/>
      <c r="AL38" s="2174"/>
      <c r="AM38" s="2174"/>
      <c r="AN38" s="2174"/>
      <c r="AO38" s="2174"/>
      <c r="AP38" s="2174"/>
      <c r="AQ38" s="2174"/>
      <c r="AR38" s="2174"/>
      <c r="AS38" s="2174"/>
      <c r="AT38" s="2174"/>
      <c r="AU38" s="2174"/>
      <c r="AV38" s="2174"/>
      <c r="AW38" s="2174"/>
      <c r="AX38" s="2174"/>
      <c r="AY38" s="2174"/>
      <c r="AZ38" s="2174"/>
    </row>
    <row r="39" spans="1:52" x14ac:dyDescent="0.25">
      <c r="A39" s="2174"/>
      <c r="J39" s="2174"/>
      <c r="L39" s="2038"/>
      <c r="T39" s="2178"/>
      <c r="AA39" s="2174"/>
      <c r="AB39" s="2174"/>
      <c r="AC39" s="2174"/>
      <c r="AD39" s="2174"/>
      <c r="AE39" s="2174"/>
      <c r="AF39" s="2174"/>
      <c r="AG39" s="2174"/>
      <c r="AH39" s="2174"/>
      <c r="AI39" s="2174"/>
      <c r="AJ39" s="2174"/>
      <c r="AK39" s="2174"/>
      <c r="AL39" s="2174"/>
      <c r="AM39" s="2174"/>
      <c r="AN39" s="2174"/>
      <c r="AO39" s="2174"/>
      <c r="AP39" s="2174"/>
      <c r="AQ39" s="2174"/>
      <c r="AR39" s="2174"/>
      <c r="AS39" s="2174"/>
      <c r="AT39" s="2174"/>
      <c r="AU39" s="2174"/>
      <c r="AV39" s="2174"/>
      <c r="AW39" s="2174"/>
      <c r="AX39" s="2174"/>
      <c r="AY39" s="2174"/>
      <c r="AZ39" s="2174"/>
    </row>
    <row r="40" spans="1:52" x14ac:dyDescent="0.25">
      <c r="A40" s="2174"/>
      <c r="D40" s="1972"/>
      <c r="E40" s="1972"/>
      <c r="F40" s="1972"/>
      <c r="G40" s="1972"/>
      <c r="H40" s="1972"/>
      <c r="J40" s="2174"/>
      <c r="L40" s="2038"/>
      <c r="AA40" s="2174"/>
      <c r="AB40" s="2174"/>
      <c r="AC40" s="2174"/>
      <c r="AD40" s="2174"/>
      <c r="AE40" s="2174"/>
      <c r="AF40" s="2174"/>
      <c r="AG40" s="2174"/>
      <c r="AH40" s="2174"/>
      <c r="AI40" s="2174"/>
      <c r="AJ40" s="2174"/>
      <c r="AK40" s="2174"/>
      <c r="AL40" s="2174"/>
      <c r="AM40" s="2174"/>
      <c r="AN40" s="2174"/>
      <c r="AO40" s="2174"/>
      <c r="AP40" s="2174"/>
      <c r="AQ40" s="2174"/>
      <c r="AR40" s="2174"/>
      <c r="AS40" s="2174"/>
      <c r="AT40" s="2174"/>
      <c r="AU40" s="2174"/>
      <c r="AV40" s="2174"/>
      <c r="AW40" s="2174"/>
      <c r="AX40" s="2174"/>
      <c r="AY40" s="2174"/>
      <c r="AZ40" s="2174"/>
    </row>
    <row r="41" spans="1:52" x14ac:dyDescent="0.25">
      <c r="A41" s="2174"/>
      <c r="J41" s="2174"/>
      <c r="L41" s="2038"/>
      <c r="AA41" s="2174"/>
      <c r="AB41" s="2174"/>
      <c r="AC41" s="2174"/>
      <c r="AD41" s="2174"/>
      <c r="AE41" s="2174"/>
      <c r="AF41" s="2174"/>
      <c r="AG41" s="2174"/>
      <c r="AH41" s="2174"/>
      <c r="AI41" s="2174"/>
      <c r="AJ41" s="2174"/>
      <c r="AK41" s="2174"/>
      <c r="AL41" s="2174"/>
      <c r="AM41" s="2174"/>
      <c r="AN41" s="2174"/>
      <c r="AO41" s="2174"/>
      <c r="AP41" s="2174"/>
      <c r="AQ41" s="2174"/>
      <c r="AR41" s="2174"/>
      <c r="AS41" s="2174"/>
      <c r="AT41" s="2174"/>
      <c r="AU41" s="2174"/>
      <c r="AV41" s="2174"/>
      <c r="AW41" s="2174"/>
      <c r="AX41" s="2174"/>
      <c r="AY41" s="2174"/>
      <c r="AZ41" s="2174"/>
    </row>
    <row r="42" spans="1:52" x14ac:dyDescent="0.25">
      <c r="A42" s="2174"/>
      <c r="J42" s="2174"/>
      <c r="AA42" s="2174"/>
      <c r="AB42" s="2174"/>
      <c r="AC42" s="2174"/>
      <c r="AD42" s="2174"/>
      <c r="AE42" s="2174"/>
      <c r="AF42" s="2174"/>
      <c r="AG42" s="2174"/>
      <c r="AH42" s="2174"/>
      <c r="AI42" s="2174"/>
      <c r="AJ42" s="2174"/>
      <c r="AK42" s="2174"/>
      <c r="AL42" s="2174"/>
      <c r="AM42" s="2174"/>
      <c r="AN42" s="2174"/>
      <c r="AO42" s="2174"/>
      <c r="AP42" s="2174"/>
      <c r="AQ42" s="2174"/>
      <c r="AR42" s="2174"/>
      <c r="AS42" s="2174"/>
      <c r="AT42" s="2174"/>
      <c r="AU42" s="2174"/>
      <c r="AV42" s="2174"/>
      <c r="AW42" s="2174"/>
      <c r="AX42" s="2174"/>
      <c r="AY42" s="2174"/>
      <c r="AZ42" s="2174"/>
    </row>
    <row r="43" spans="1:52" x14ac:dyDescent="0.25">
      <c r="A43" s="2174"/>
      <c r="J43" s="2174"/>
      <c r="AA43" s="2174"/>
      <c r="AB43" s="2174"/>
      <c r="AC43" s="2174"/>
      <c r="AD43" s="2174"/>
      <c r="AE43" s="2174"/>
      <c r="AF43" s="2174"/>
      <c r="AG43" s="2174"/>
      <c r="AH43" s="2174"/>
      <c r="AI43" s="2174"/>
      <c r="AJ43" s="2174"/>
      <c r="AK43" s="2174"/>
      <c r="AL43" s="2174"/>
      <c r="AM43" s="2174"/>
      <c r="AN43" s="2174"/>
      <c r="AO43" s="2174"/>
      <c r="AP43" s="2174"/>
      <c r="AQ43" s="2174"/>
      <c r="AR43" s="2174"/>
      <c r="AS43" s="2174"/>
      <c r="AT43" s="2174"/>
      <c r="AU43" s="2174"/>
      <c r="AV43" s="2174"/>
      <c r="AW43" s="2174"/>
      <c r="AX43" s="2174"/>
      <c r="AY43" s="2174"/>
      <c r="AZ43" s="2174"/>
    </row>
    <row r="44" spans="1:52" x14ac:dyDescent="0.25">
      <c r="A44" s="2174"/>
      <c r="B44" s="2174"/>
      <c r="C44" s="2174"/>
      <c r="D44" s="2174"/>
      <c r="E44" s="2174"/>
      <c r="F44" s="2174"/>
      <c r="G44" s="2174"/>
      <c r="H44" s="2174"/>
      <c r="I44" s="2174"/>
      <c r="J44" s="2174"/>
      <c r="AA44" s="2174"/>
      <c r="AB44" s="2174"/>
      <c r="AC44" s="2174"/>
      <c r="AD44" s="2174"/>
      <c r="AE44" s="2174"/>
      <c r="AF44" s="2174"/>
      <c r="AG44" s="2174"/>
      <c r="AH44" s="2174"/>
      <c r="AI44" s="2174"/>
      <c r="AJ44" s="2174"/>
      <c r="AK44" s="2174"/>
      <c r="AL44" s="2174"/>
      <c r="AM44" s="2174"/>
      <c r="AN44" s="2174"/>
      <c r="AO44" s="2174"/>
      <c r="AP44" s="2174"/>
      <c r="AQ44" s="2174"/>
      <c r="AR44" s="2174"/>
      <c r="AS44" s="2174"/>
      <c r="AT44" s="2174"/>
      <c r="AU44" s="2174"/>
      <c r="AV44" s="2174"/>
      <c r="AW44" s="2174"/>
      <c r="AX44" s="2174"/>
      <c r="AY44" s="2174"/>
      <c r="AZ44" s="2174"/>
    </row>
    <row r="45" spans="1:52" x14ac:dyDescent="0.25">
      <c r="A45" s="2174"/>
      <c r="B45" s="2174"/>
      <c r="C45" s="2174"/>
      <c r="D45" s="2174"/>
      <c r="E45" s="2174"/>
      <c r="F45" s="2174"/>
      <c r="G45" s="2174"/>
      <c r="H45" s="2174"/>
      <c r="I45" s="2174"/>
      <c r="J45" s="2174"/>
      <c r="AA45" s="2174"/>
      <c r="AB45" s="2174"/>
      <c r="AC45" s="2174"/>
      <c r="AD45" s="2174"/>
      <c r="AE45" s="2174"/>
      <c r="AF45" s="2174"/>
      <c r="AG45" s="2174"/>
      <c r="AH45" s="2174"/>
      <c r="AI45" s="2174"/>
      <c r="AJ45" s="2174"/>
      <c r="AK45" s="2174"/>
      <c r="AL45" s="2174"/>
      <c r="AM45" s="2174"/>
      <c r="AN45" s="2174"/>
      <c r="AO45" s="2174"/>
      <c r="AP45" s="2174"/>
      <c r="AQ45" s="2174"/>
      <c r="AR45" s="2174"/>
      <c r="AS45" s="2174"/>
      <c r="AT45" s="2174"/>
      <c r="AU45" s="2174"/>
      <c r="AV45" s="2174"/>
      <c r="AW45" s="2174"/>
      <c r="AX45" s="2174"/>
      <c r="AY45" s="2174"/>
      <c r="AZ45" s="2174"/>
    </row>
    <row r="46" spans="1:52" x14ac:dyDescent="0.25">
      <c r="A46" s="2174"/>
      <c r="B46" s="2174"/>
      <c r="C46" s="2174"/>
      <c r="D46" s="2174"/>
      <c r="E46" s="2174"/>
      <c r="F46" s="2174"/>
      <c r="G46" s="2174"/>
      <c r="H46" s="2174"/>
      <c r="I46" s="2174"/>
      <c r="J46" s="2174"/>
      <c r="AA46" s="2174"/>
      <c r="AB46" s="2174"/>
      <c r="AC46" s="2174"/>
      <c r="AD46" s="2174"/>
      <c r="AE46" s="2174"/>
      <c r="AF46" s="2174"/>
      <c r="AG46" s="2174"/>
      <c r="AH46" s="2174"/>
      <c r="AI46" s="2174"/>
      <c r="AJ46" s="2174"/>
      <c r="AK46" s="2174"/>
      <c r="AL46" s="2174"/>
      <c r="AM46" s="2174"/>
      <c r="AN46" s="2174"/>
      <c r="AO46" s="2174"/>
      <c r="AP46" s="2174"/>
      <c r="AQ46" s="2174"/>
      <c r="AR46" s="2174"/>
      <c r="AS46" s="2174"/>
      <c r="AT46" s="2174"/>
      <c r="AU46" s="2174"/>
      <c r="AV46" s="2174"/>
      <c r="AW46" s="2174"/>
      <c r="AX46" s="2174"/>
      <c r="AY46" s="2174"/>
      <c r="AZ46" s="2174"/>
    </row>
    <row r="47" spans="1:52" x14ac:dyDescent="0.25">
      <c r="A47" s="2174"/>
      <c r="B47" s="2174"/>
      <c r="C47" s="2174"/>
      <c r="D47" s="2174"/>
      <c r="E47" s="2174"/>
      <c r="F47" s="2174"/>
      <c r="G47" s="2174"/>
      <c r="H47" s="2174"/>
      <c r="I47" s="2174"/>
      <c r="J47" s="2174"/>
      <c r="AA47" s="2174"/>
      <c r="AB47" s="2174"/>
      <c r="AC47" s="2174"/>
      <c r="AD47" s="2174"/>
      <c r="AE47" s="2174"/>
      <c r="AF47" s="2174"/>
      <c r="AG47" s="2174"/>
      <c r="AH47" s="2174"/>
      <c r="AI47" s="2174"/>
      <c r="AJ47" s="2174"/>
      <c r="AK47" s="2174"/>
      <c r="AL47" s="2174"/>
      <c r="AM47" s="2174"/>
      <c r="AN47" s="2174"/>
      <c r="AO47" s="2174"/>
      <c r="AP47" s="2174"/>
      <c r="AQ47" s="2174"/>
      <c r="AR47" s="2174"/>
      <c r="AS47" s="2174"/>
      <c r="AT47" s="2174"/>
      <c r="AU47" s="2174"/>
      <c r="AV47" s="2174"/>
      <c r="AW47" s="2174"/>
      <c r="AX47" s="2174"/>
      <c r="AY47" s="2174"/>
      <c r="AZ47" s="2174"/>
    </row>
    <row r="48" spans="1:52" x14ac:dyDescent="0.25">
      <c r="A48" s="2174"/>
      <c r="B48" s="2174"/>
      <c r="C48" s="2174"/>
      <c r="D48" s="2174"/>
      <c r="E48" s="2174"/>
      <c r="F48" s="2174"/>
      <c r="G48" s="2174"/>
      <c r="H48" s="2174"/>
      <c r="I48" s="2174"/>
      <c r="J48" s="2174"/>
      <c r="AA48" s="2174"/>
      <c r="AB48" s="2174"/>
      <c r="AC48" s="2174"/>
      <c r="AD48" s="2174"/>
      <c r="AE48" s="2174"/>
      <c r="AF48" s="2174"/>
      <c r="AG48" s="2174"/>
      <c r="AH48" s="2174"/>
      <c r="AI48" s="2174"/>
      <c r="AJ48" s="2174"/>
      <c r="AK48" s="2174"/>
      <c r="AL48" s="2174"/>
      <c r="AM48" s="2174"/>
      <c r="AN48" s="2174"/>
      <c r="AO48" s="2174"/>
      <c r="AP48" s="2174"/>
      <c r="AQ48" s="2174"/>
      <c r="AR48" s="2174"/>
      <c r="AS48" s="2174"/>
      <c r="AT48" s="2174"/>
      <c r="AU48" s="2174"/>
      <c r="AV48" s="2174"/>
      <c r="AW48" s="2174"/>
      <c r="AX48" s="2174"/>
      <c r="AY48" s="2174"/>
      <c r="AZ48" s="2174"/>
    </row>
    <row r="49" spans="1:52" x14ac:dyDescent="0.25">
      <c r="A49" s="2174"/>
      <c r="B49" s="2174"/>
      <c r="C49" s="2174"/>
      <c r="D49" s="2174"/>
      <c r="E49" s="2174"/>
      <c r="F49" s="2174"/>
      <c r="G49" s="2174"/>
      <c r="H49" s="2174"/>
      <c r="I49" s="2174"/>
      <c r="J49" s="2174"/>
      <c r="AA49" s="2174"/>
      <c r="AB49" s="2174"/>
      <c r="AC49" s="2174"/>
      <c r="AD49" s="2174"/>
      <c r="AE49" s="2174"/>
      <c r="AF49" s="2174"/>
      <c r="AG49" s="2174"/>
      <c r="AH49" s="2174"/>
      <c r="AI49" s="2174"/>
      <c r="AJ49" s="2174"/>
      <c r="AK49" s="2174"/>
      <c r="AL49" s="2174"/>
      <c r="AM49" s="2174"/>
      <c r="AN49" s="2174"/>
      <c r="AO49" s="2174"/>
      <c r="AP49" s="2174"/>
      <c r="AQ49" s="2174"/>
      <c r="AR49" s="2174"/>
      <c r="AS49" s="2174"/>
      <c r="AT49" s="2174"/>
      <c r="AU49" s="2174"/>
      <c r="AV49" s="2174"/>
      <c r="AW49" s="2174"/>
      <c r="AX49" s="2174"/>
      <c r="AY49" s="2174"/>
      <c r="AZ49" s="2174"/>
    </row>
    <row r="50" spans="1:52" x14ac:dyDescent="0.25">
      <c r="A50" s="2174"/>
      <c r="B50" s="2174"/>
      <c r="C50" s="2174"/>
      <c r="D50" s="2174"/>
      <c r="E50" s="2174"/>
      <c r="F50" s="2174"/>
      <c r="G50" s="2174"/>
      <c r="H50" s="2174"/>
      <c r="I50" s="2174"/>
      <c r="J50" s="2174"/>
      <c r="AA50" s="2174"/>
      <c r="AB50" s="2174"/>
      <c r="AC50" s="2174"/>
      <c r="AD50" s="2174"/>
      <c r="AE50" s="2174"/>
      <c r="AF50" s="2174"/>
      <c r="AG50" s="2174"/>
      <c r="AH50" s="2174"/>
      <c r="AI50" s="2174"/>
      <c r="AJ50" s="2174"/>
      <c r="AK50" s="2174"/>
      <c r="AL50" s="2174"/>
      <c r="AM50" s="2174"/>
      <c r="AN50" s="2174"/>
      <c r="AO50" s="2174"/>
      <c r="AP50" s="2174"/>
      <c r="AQ50" s="2174"/>
      <c r="AR50" s="2174"/>
      <c r="AS50" s="2174"/>
      <c r="AT50" s="2174"/>
      <c r="AU50" s="2174"/>
      <c r="AV50" s="2174"/>
      <c r="AW50" s="2174"/>
      <c r="AX50" s="2174"/>
      <c r="AY50" s="2174"/>
      <c r="AZ50" s="2174"/>
    </row>
    <row r="51" spans="1:52" x14ac:dyDescent="0.25">
      <c r="A51" s="2174"/>
      <c r="B51" s="2174"/>
      <c r="C51" s="2174"/>
      <c r="D51" s="2174"/>
      <c r="E51" s="2174"/>
      <c r="F51" s="2174"/>
      <c r="G51" s="2174"/>
      <c r="H51" s="2174"/>
      <c r="I51" s="2174"/>
      <c r="J51" s="2174"/>
      <c r="AA51" s="2174"/>
      <c r="AB51" s="2174"/>
      <c r="AC51" s="2174"/>
      <c r="AD51" s="2174"/>
      <c r="AE51" s="2174"/>
      <c r="AF51" s="2174"/>
      <c r="AG51" s="2174"/>
      <c r="AH51" s="2174"/>
      <c r="AI51" s="2174"/>
      <c r="AJ51" s="2174"/>
      <c r="AK51" s="2174"/>
      <c r="AL51" s="2174"/>
      <c r="AM51" s="2174"/>
      <c r="AN51" s="2174"/>
      <c r="AO51" s="2174"/>
      <c r="AP51" s="2174"/>
      <c r="AQ51" s="2174"/>
      <c r="AR51" s="2174"/>
      <c r="AS51" s="2174"/>
      <c r="AT51" s="2174"/>
      <c r="AU51" s="2174"/>
      <c r="AV51" s="2174"/>
      <c r="AW51" s="2174"/>
      <c r="AX51" s="2174"/>
      <c r="AY51" s="2174"/>
      <c r="AZ51" s="2174"/>
    </row>
    <row r="52" spans="1:52" x14ac:dyDescent="0.25">
      <c r="A52" s="2174"/>
      <c r="B52" s="2174"/>
      <c r="C52" s="2174"/>
      <c r="D52" s="2174"/>
      <c r="E52" s="2174"/>
      <c r="F52" s="2174"/>
      <c r="G52" s="2174"/>
      <c r="H52" s="2174"/>
      <c r="I52" s="2174"/>
      <c r="J52" s="2174"/>
      <c r="AA52" s="2174"/>
      <c r="AB52" s="2174"/>
      <c r="AC52" s="2174"/>
      <c r="AD52" s="2174"/>
      <c r="AE52" s="2174"/>
      <c r="AF52" s="2174"/>
      <c r="AG52" s="2174"/>
      <c r="AH52" s="2174"/>
      <c r="AI52" s="2174"/>
      <c r="AJ52" s="2174"/>
      <c r="AK52" s="2174"/>
      <c r="AL52" s="2174"/>
      <c r="AM52" s="2174"/>
      <c r="AN52" s="2174"/>
      <c r="AO52" s="2174"/>
      <c r="AP52" s="2174"/>
      <c r="AQ52" s="2174"/>
      <c r="AR52" s="2174"/>
      <c r="AS52" s="2174"/>
      <c r="AT52" s="2174"/>
      <c r="AU52" s="2174"/>
      <c r="AV52" s="2174"/>
      <c r="AW52" s="2174"/>
      <c r="AX52" s="2174"/>
      <c r="AY52" s="2174"/>
      <c r="AZ52" s="2174"/>
    </row>
    <row r="53" spans="1:52" x14ac:dyDescent="0.25">
      <c r="A53" s="2174"/>
      <c r="B53" s="2174"/>
      <c r="C53" s="2174"/>
      <c r="D53" s="2174"/>
      <c r="E53" s="2174"/>
      <c r="F53" s="2174"/>
      <c r="G53" s="2174"/>
      <c r="H53" s="2174"/>
      <c r="I53" s="2174"/>
      <c r="J53" s="2174"/>
      <c r="AA53" s="2174"/>
      <c r="AB53" s="2174"/>
      <c r="AC53" s="2174"/>
      <c r="AD53" s="2174"/>
      <c r="AE53" s="2174"/>
      <c r="AF53" s="2174"/>
      <c r="AG53" s="2174"/>
      <c r="AH53" s="2174"/>
      <c r="AI53" s="2174"/>
      <c r="AJ53" s="2174"/>
      <c r="AK53" s="2174"/>
      <c r="AL53" s="2174"/>
      <c r="AM53" s="2174"/>
      <c r="AN53" s="2174"/>
      <c r="AO53" s="2174"/>
      <c r="AP53" s="2174"/>
      <c r="AQ53" s="2174"/>
      <c r="AR53" s="2174"/>
      <c r="AS53" s="2174"/>
      <c r="AT53" s="2174"/>
      <c r="AU53" s="2174"/>
      <c r="AV53" s="2174"/>
      <c r="AW53" s="2174"/>
      <c r="AX53" s="2174"/>
      <c r="AY53" s="2174"/>
      <c r="AZ53" s="2174"/>
    </row>
    <row r="54" spans="1:52" x14ac:dyDescent="0.25">
      <c r="A54" s="2174"/>
      <c r="B54" s="2174"/>
      <c r="C54" s="2174"/>
      <c r="D54" s="2174"/>
      <c r="E54" s="2174"/>
      <c r="F54" s="2174"/>
      <c r="G54" s="2174"/>
      <c r="H54" s="2174"/>
      <c r="I54" s="2174"/>
      <c r="J54" s="2174"/>
      <c r="AA54" s="2174"/>
      <c r="AB54" s="2174"/>
      <c r="AC54" s="2174"/>
      <c r="AD54" s="2174"/>
      <c r="AE54" s="2174"/>
      <c r="AF54" s="2174"/>
      <c r="AG54" s="2174"/>
      <c r="AH54" s="2174"/>
      <c r="AI54" s="2174"/>
      <c r="AJ54" s="2174"/>
      <c r="AK54" s="2174"/>
      <c r="AL54" s="2174"/>
      <c r="AM54" s="2174"/>
      <c r="AN54" s="2174"/>
      <c r="AO54" s="2174"/>
      <c r="AP54" s="2174"/>
      <c r="AQ54" s="2174"/>
      <c r="AR54" s="2174"/>
      <c r="AS54" s="2174"/>
      <c r="AT54" s="2174"/>
      <c r="AU54" s="2174"/>
      <c r="AV54" s="2174"/>
      <c r="AW54" s="2174"/>
      <c r="AX54" s="2174"/>
      <c r="AY54" s="2174"/>
      <c r="AZ54" s="2174"/>
    </row>
    <row r="55" spans="1:52" x14ac:dyDescent="0.25">
      <c r="A55" s="2174"/>
      <c r="B55" s="2174"/>
      <c r="C55" s="2174"/>
      <c r="D55" s="2174"/>
      <c r="E55" s="2174"/>
      <c r="F55" s="2174"/>
      <c r="G55" s="2174"/>
      <c r="H55" s="2174"/>
      <c r="I55" s="2174"/>
      <c r="J55" s="2174"/>
      <c r="AA55" s="2174"/>
      <c r="AB55" s="2174"/>
      <c r="AC55" s="2174"/>
      <c r="AD55" s="2174"/>
      <c r="AE55" s="2174"/>
      <c r="AF55" s="2174"/>
      <c r="AG55" s="2174"/>
      <c r="AH55" s="2174"/>
      <c r="AI55" s="2174"/>
      <c r="AJ55" s="2174"/>
      <c r="AK55" s="2174"/>
      <c r="AL55" s="2174"/>
      <c r="AM55" s="2174"/>
      <c r="AN55" s="2174"/>
      <c r="AO55" s="2174"/>
      <c r="AP55" s="2174"/>
      <c r="AQ55" s="2174"/>
      <c r="AR55" s="2174"/>
      <c r="AS55" s="2174"/>
      <c r="AT55" s="2174"/>
      <c r="AU55" s="2174"/>
      <c r="AV55" s="2174"/>
      <c r="AW55" s="2174"/>
      <c r="AX55" s="2174"/>
      <c r="AY55" s="2174"/>
      <c r="AZ55" s="2174"/>
    </row>
    <row r="56" spans="1:52" x14ac:dyDescent="0.25">
      <c r="A56" s="2174"/>
      <c r="B56" s="2174"/>
      <c r="C56" s="2174"/>
      <c r="D56" s="2174"/>
      <c r="E56" s="2174"/>
      <c r="F56" s="2174"/>
      <c r="G56" s="2174"/>
      <c r="H56" s="2174"/>
      <c r="I56" s="2174"/>
      <c r="J56" s="2174"/>
      <c r="AA56" s="2174"/>
      <c r="AB56" s="2174"/>
      <c r="AC56" s="2174"/>
      <c r="AD56" s="2174"/>
      <c r="AE56" s="2174"/>
      <c r="AF56" s="2174"/>
      <c r="AG56" s="2174"/>
      <c r="AH56" s="2174"/>
      <c r="AI56" s="2174"/>
      <c r="AJ56" s="2174"/>
      <c r="AK56" s="2174"/>
      <c r="AL56" s="2174"/>
      <c r="AM56" s="2174"/>
      <c r="AN56" s="2174"/>
      <c r="AO56" s="2174"/>
      <c r="AP56" s="2174"/>
      <c r="AQ56" s="2174"/>
      <c r="AR56" s="2174"/>
      <c r="AS56" s="2174"/>
      <c r="AT56" s="2174"/>
      <c r="AU56" s="2174"/>
      <c r="AV56" s="2174"/>
      <c r="AW56" s="2174"/>
      <c r="AX56" s="2174"/>
      <c r="AY56" s="2174"/>
      <c r="AZ56" s="2174"/>
    </row>
    <row r="57" spans="1:52" x14ac:dyDescent="0.25">
      <c r="A57" s="2174"/>
      <c r="B57" s="2174"/>
      <c r="C57" s="2174"/>
      <c r="D57" s="2174"/>
      <c r="E57" s="2174"/>
      <c r="F57" s="2174"/>
      <c r="G57" s="2174"/>
      <c r="H57" s="2174"/>
      <c r="I57" s="2174"/>
      <c r="J57" s="2174"/>
      <c r="AA57" s="2174"/>
      <c r="AB57" s="2174"/>
      <c r="AC57" s="2174"/>
      <c r="AD57" s="2174"/>
      <c r="AE57" s="2174"/>
      <c r="AF57" s="2174"/>
      <c r="AG57" s="2174"/>
      <c r="AH57" s="2174"/>
      <c r="AI57" s="2174"/>
      <c r="AJ57" s="2174"/>
      <c r="AK57" s="2174"/>
      <c r="AL57" s="2174"/>
      <c r="AM57" s="2174"/>
      <c r="AN57" s="2174"/>
      <c r="AO57" s="2174"/>
      <c r="AP57" s="2174"/>
      <c r="AQ57" s="2174"/>
      <c r="AR57" s="2174"/>
      <c r="AS57" s="2174"/>
      <c r="AT57" s="2174"/>
      <c r="AU57" s="2174"/>
      <c r="AV57" s="2174"/>
      <c r="AW57" s="2174"/>
      <c r="AX57" s="2174"/>
      <c r="AY57" s="2174"/>
      <c r="AZ57" s="2174"/>
    </row>
    <row r="58" spans="1:52" x14ac:dyDescent="0.25">
      <c r="A58" s="2174"/>
      <c r="B58" s="2174"/>
      <c r="C58" s="2174"/>
      <c r="D58" s="2174"/>
      <c r="E58" s="2174"/>
      <c r="F58" s="2174"/>
      <c r="G58" s="2174"/>
      <c r="H58" s="2174"/>
      <c r="I58" s="2174"/>
      <c r="J58" s="2174"/>
      <c r="AA58" s="2174"/>
      <c r="AB58" s="2174"/>
      <c r="AC58" s="2174"/>
      <c r="AD58" s="2174"/>
      <c r="AE58" s="2174"/>
      <c r="AF58" s="2174"/>
      <c r="AG58" s="2174"/>
      <c r="AH58" s="2174"/>
      <c r="AI58" s="2174"/>
      <c r="AJ58" s="2174"/>
      <c r="AK58" s="2174"/>
      <c r="AL58" s="2174"/>
      <c r="AM58" s="2174"/>
      <c r="AN58" s="2174"/>
      <c r="AO58" s="2174"/>
      <c r="AP58" s="2174"/>
      <c r="AQ58" s="2174"/>
      <c r="AR58" s="2174"/>
      <c r="AS58" s="2174"/>
      <c r="AT58" s="2174"/>
      <c r="AU58" s="2174"/>
      <c r="AV58" s="2174"/>
      <c r="AW58" s="2174"/>
      <c r="AX58" s="2174"/>
      <c r="AY58" s="2174"/>
      <c r="AZ58" s="2174"/>
    </row>
    <row r="59" spans="1:52" x14ac:dyDescent="0.25">
      <c r="A59" s="2174"/>
      <c r="B59" s="2174"/>
      <c r="C59" s="2174"/>
      <c r="D59" s="2174"/>
      <c r="E59" s="2174"/>
      <c r="F59" s="2174"/>
      <c r="G59" s="2174"/>
      <c r="H59" s="2174"/>
      <c r="I59" s="2174"/>
      <c r="J59" s="2174"/>
      <c r="AA59" s="2174"/>
      <c r="AB59" s="2174"/>
      <c r="AC59" s="2174"/>
      <c r="AD59" s="2174"/>
      <c r="AE59" s="2174"/>
      <c r="AF59" s="2174"/>
      <c r="AG59" s="2174"/>
      <c r="AH59" s="2174"/>
      <c r="AI59" s="2174"/>
      <c r="AJ59" s="2174"/>
      <c r="AK59" s="2174"/>
      <c r="AL59" s="2174"/>
      <c r="AM59" s="2174"/>
      <c r="AN59" s="2174"/>
      <c r="AO59" s="2174"/>
      <c r="AP59" s="2174"/>
      <c r="AQ59" s="2174"/>
      <c r="AR59" s="2174"/>
      <c r="AS59" s="2174"/>
      <c r="AT59" s="2174"/>
      <c r="AU59" s="2174"/>
      <c r="AV59" s="2174"/>
      <c r="AW59" s="2174"/>
      <c r="AX59" s="2174"/>
      <c r="AY59" s="2174"/>
      <c r="AZ59" s="2174"/>
    </row>
    <row r="60" spans="1:52" x14ac:dyDescent="0.25">
      <c r="A60" s="2174"/>
      <c r="B60" s="2174"/>
      <c r="C60" s="2174"/>
      <c r="D60" s="2174"/>
      <c r="E60" s="2174"/>
      <c r="F60" s="2174"/>
      <c r="G60" s="2174"/>
      <c r="H60" s="2174"/>
      <c r="I60" s="2174"/>
      <c r="J60" s="2174"/>
      <c r="AA60" s="2174"/>
      <c r="AB60" s="2174"/>
      <c r="AC60" s="2174"/>
      <c r="AD60" s="2174"/>
      <c r="AE60" s="2174"/>
      <c r="AF60" s="2174"/>
      <c r="AG60" s="2174"/>
      <c r="AH60" s="2174"/>
      <c r="AI60" s="2174"/>
      <c r="AJ60" s="2174"/>
      <c r="AK60" s="2174"/>
      <c r="AL60" s="2174"/>
      <c r="AM60" s="2174"/>
      <c r="AN60" s="2174"/>
      <c r="AO60" s="2174"/>
      <c r="AP60" s="2174"/>
      <c r="AQ60" s="2174"/>
      <c r="AR60" s="2174"/>
      <c r="AS60" s="2174"/>
      <c r="AT60" s="2174"/>
      <c r="AU60" s="2174"/>
      <c r="AV60" s="2174"/>
      <c r="AW60" s="2174"/>
      <c r="AX60" s="2174"/>
      <c r="AY60" s="2174"/>
      <c r="AZ60" s="2174"/>
    </row>
    <row r="61" spans="1:52" x14ac:dyDescent="0.25">
      <c r="A61" s="2174"/>
      <c r="B61" s="2174"/>
      <c r="C61" s="2174"/>
      <c r="D61" s="2174"/>
      <c r="E61" s="2174"/>
      <c r="F61" s="2174"/>
      <c r="G61" s="2174"/>
      <c r="H61" s="2174"/>
      <c r="I61" s="2174"/>
      <c r="J61" s="2174"/>
      <c r="AA61" s="2174"/>
      <c r="AB61" s="2174"/>
      <c r="AC61" s="2174"/>
      <c r="AD61" s="2174"/>
      <c r="AE61" s="2174"/>
      <c r="AF61" s="2174"/>
      <c r="AG61" s="2174"/>
      <c r="AH61" s="2174"/>
      <c r="AI61" s="2174"/>
      <c r="AJ61" s="2174"/>
      <c r="AK61" s="2174"/>
      <c r="AL61" s="2174"/>
      <c r="AM61" s="2174"/>
      <c r="AN61" s="2174"/>
      <c r="AO61" s="2174"/>
      <c r="AP61" s="2174"/>
      <c r="AQ61" s="2174"/>
      <c r="AR61" s="2174"/>
      <c r="AS61" s="2174"/>
      <c r="AT61" s="2174"/>
      <c r="AU61" s="2174"/>
      <c r="AV61" s="2174"/>
      <c r="AW61" s="2174"/>
      <c r="AX61" s="2174"/>
      <c r="AY61" s="2174"/>
      <c r="AZ61" s="2174"/>
    </row>
    <row r="62" spans="1:52" x14ac:dyDescent="0.25">
      <c r="A62" s="2174"/>
      <c r="B62" s="2174"/>
      <c r="C62" s="2174"/>
      <c r="D62" s="2174"/>
      <c r="E62" s="2174"/>
      <c r="F62" s="2174"/>
      <c r="G62" s="2174"/>
      <c r="H62" s="2174"/>
      <c r="I62" s="2174"/>
      <c r="J62" s="2174"/>
      <c r="AA62" s="2174"/>
      <c r="AB62" s="2174"/>
      <c r="AC62" s="2174"/>
      <c r="AD62" s="2174"/>
      <c r="AE62" s="2174"/>
      <c r="AF62" s="2174"/>
      <c r="AG62" s="2174"/>
      <c r="AH62" s="2174"/>
      <c r="AI62" s="2174"/>
      <c r="AJ62" s="2174"/>
      <c r="AK62" s="2174"/>
      <c r="AL62" s="2174"/>
      <c r="AM62" s="2174"/>
      <c r="AN62" s="2174"/>
      <c r="AO62" s="2174"/>
      <c r="AP62" s="2174"/>
      <c r="AQ62" s="2174"/>
      <c r="AR62" s="2174"/>
      <c r="AS62" s="2174"/>
      <c r="AT62" s="2174"/>
      <c r="AU62" s="2174"/>
      <c r="AV62" s="2174"/>
      <c r="AW62" s="2174"/>
      <c r="AX62" s="2174"/>
      <c r="AY62" s="2174"/>
      <c r="AZ62" s="2174"/>
    </row>
    <row r="63" spans="1:52" x14ac:dyDescent="0.25">
      <c r="A63" s="2174"/>
      <c r="B63" s="2174"/>
      <c r="C63" s="2174"/>
      <c r="D63" s="2174"/>
      <c r="E63" s="2174"/>
      <c r="F63" s="2174"/>
      <c r="G63" s="2174"/>
      <c r="H63" s="2174"/>
      <c r="I63" s="2174"/>
      <c r="J63" s="2174"/>
      <c r="AA63" s="2174"/>
      <c r="AB63" s="2174"/>
      <c r="AC63" s="2174"/>
      <c r="AD63" s="2174"/>
      <c r="AE63" s="2174"/>
      <c r="AF63" s="2174"/>
      <c r="AG63" s="2174"/>
      <c r="AH63" s="2174"/>
      <c r="AI63" s="2174"/>
      <c r="AJ63" s="2174"/>
      <c r="AK63" s="2174"/>
      <c r="AL63" s="2174"/>
      <c r="AM63" s="2174"/>
      <c r="AN63" s="2174"/>
      <c r="AO63" s="2174"/>
      <c r="AP63" s="2174"/>
      <c r="AQ63" s="2174"/>
      <c r="AR63" s="2174"/>
      <c r="AS63" s="2174"/>
      <c r="AT63" s="2174"/>
      <c r="AU63" s="2174"/>
      <c r="AV63" s="2174"/>
      <c r="AW63" s="2174"/>
      <c r="AX63" s="2174"/>
      <c r="AY63" s="2174"/>
      <c r="AZ63" s="2174"/>
    </row>
    <row r="64" spans="1:52" x14ac:dyDescent="0.25">
      <c r="A64" s="2174"/>
      <c r="B64" s="2174"/>
      <c r="C64" s="2174"/>
      <c r="D64" s="2174"/>
      <c r="E64" s="2174"/>
      <c r="F64" s="2174"/>
      <c r="G64" s="2174"/>
      <c r="H64" s="2174"/>
      <c r="I64" s="2174"/>
      <c r="J64" s="2174"/>
      <c r="AA64" s="2174"/>
      <c r="AB64" s="2174"/>
      <c r="AC64" s="2174"/>
      <c r="AD64" s="2174"/>
      <c r="AE64" s="2174"/>
      <c r="AF64" s="2174"/>
      <c r="AG64" s="2174"/>
      <c r="AH64" s="2174"/>
      <c r="AI64" s="2174"/>
      <c r="AJ64" s="2174"/>
      <c r="AK64" s="2174"/>
      <c r="AL64" s="2174"/>
      <c r="AM64" s="2174"/>
      <c r="AN64" s="2174"/>
      <c r="AO64" s="2174"/>
      <c r="AP64" s="2174"/>
      <c r="AQ64" s="2174"/>
      <c r="AR64" s="2174"/>
      <c r="AS64" s="2174"/>
      <c r="AT64" s="2174"/>
      <c r="AU64" s="2174"/>
      <c r="AV64" s="2174"/>
      <c r="AW64" s="2174"/>
      <c r="AX64" s="2174"/>
      <c r="AY64" s="2174"/>
      <c r="AZ64" s="2174"/>
    </row>
    <row r="65" spans="1:52" x14ac:dyDescent="0.25">
      <c r="A65" s="2174"/>
      <c r="B65" s="2174"/>
      <c r="C65" s="2174"/>
      <c r="D65" s="2174"/>
      <c r="E65" s="2174"/>
      <c r="F65" s="2174"/>
      <c r="G65" s="2174"/>
      <c r="H65" s="2174"/>
      <c r="I65" s="2174"/>
      <c r="J65" s="2174"/>
      <c r="AA65" s="2174"/>
      <c r="AB65" s="2174"/>
      <c r="AC65" s="2174"/>
      <c r="AD65" s="2174"/>
      <c r="AE65" s="2174"/>
      <c r="AF65" s="2174"/>
      <c r="AG65" s="2174"/>
      <c r="AH65" s="2174"/>
      <c r="AI65" s="2174"/>
      <c r="AJ65" s="2174"/>
      <c r="AK65" s="2174"/>
      <c r="AL65" s="2174"/>
      <c r="AM65" s="2174"/>
      <c r="AN65" s="2174"/>
      <c r="AO65" s="2174"/>
      <c r="AP65" s="2174"/>
      <c r="AQ65" s="2174"/>
      <c r="AR65" s="2174"/>
      <c r="AS65" s="2174"/>
      <c r="AT65" s="2174"/>
      <c r="AU65" s="2174"/>
      <c r="AV65" s="2174"/>
      <c r="AW65" s="2174"/>
      <c r="AX65" s="2174"/>
      <c r="AY65" s="2174"/>
      <c r="AZ65" s="2174"/>
    </row>
    <row r="66" spans="1:52" x14ac:dyDescent="0.25">
      <c r="A66" s="2174"/>
      <c r="B66" s="2174"/>
      <c r="C66" s="2174"/>
      <c r="D66" s="2174"/>
      <c r="E66" s="2174"/>
      <c r="F66" s="2174"/>
      <c r="G66" s="2174"/>
      <c r="H66" s="2174"/>
      <c r="I66" s="2174"/>
      <c r="J66" s="2174"/>
      <c r="AA66" s="2174"/>
      <c r="AB66" s="2174"/>
      <c r="AC66" s="2174"/>
      <c r="AD66" s="2174"/>
      <c r="AE66" s="2174"/>
      <c r="AF66" s="2174"/>
      <c r="AG66" s="2174"/>
      <c r="AH66" s="2174"/>
      <c r="AI66" s="2174"/>
      <c r="AJ66" s="2174"/>
      <c r="AK66" s="2174"/>
      <c r="AL66" s="2174"/>
      <c r="AM66" s="2174"/>
      <c r="AN66" s="2174"/>
      <c r="AO66" s="2174"/>
      <c r="AP66" s="2174"/>
      <c r="AQ66" s="2174"/>
      <c r="AR66" s="2174"/>
      <c r="AS66" s="2174"/>
      <c r="AT66" s="2174"/>
      <c r="AU66" s="2174"/>
      <c r="AV66" s="2174"/>
      <c r="AW66" s="2174"/>
      <c r="AX66" s="2174"/>
      <c r="AY66" s="2174"/>
      <c r="AZ66" s="2174"/>
    </row>
    <row r="67" spans="1:52" x14ac:dyDescent="0.25">
      <c r="A67" s="2174"/>
      <c r="B67" s="2174"/>
      <c r="C67" s="2174"/>
      <c r="D67" s="2174"/>
      <c r="E67" s="2174"/>
      <c r="F67" s="2174"/>
      <c r="G67" s="2174"/>
      <c r="H67" s="2174"/>
      <c r="I67" s="2174"/>
      <c r="J67" s="2174"/>
      <c r="AA67" s="2174"/>
      <c r="AB67" s="2174"/>
      <c r="AC67" s="2174"/>
      <c r="AD67" s="2174"/>
      <c r="AE67" s="2174"/>
      <c r="AF67" s="2174"/>
      <c r="AG67" s="2174"/>
      <c r="AH67" s="2174"/>
      <c r="AI67" s="2174"/>
      <c r="AJ67" s="2174"/>
      <c r="AK67" s="2174"/>
      <c r="AL67" s="2174"/>
      <c r="AM67" s="2174"/>
      <c r="AN67" s="2174"/>
      <c r="AO67" s="2174"/>
      <c r="AP67" s="2174"/>
      <c r="AQ67" s="2174"/>
      <c r="AR67" s="2174"/>
      <c r="AS67" s="2174"/>
      <c r="AT67" s="2174"/>
      <c r="AU67" s="2174"/>
      <c r="AV67" s="2174"/>
      <c r="AW67" s="2174"/>
      <c r="AX67" s="2174"/>
      <c r="AY67" s="2174"/>
      <c r="AZ67" s="2174"/>
    </row>
    <row r="68" spans="1:52" x14ac:dyDescent="0.25">
      <c r="A68" s="2174"/>
      <c r="B68" s="2174"/>
      <c r="C68" s="2174"/>
      <c r="D68" s="2174"/>
      <c r="E68" s="2174"/>
      <c r="F68" s="2174"/>
      <c r="G68" s="2174"/>
      <c r="H68" s="2174"/>
      <c r="I68" s="2174"/>
      <c r="J68" s="2174"/>
      <c r="AA68" s="2174"/>
      <c r="AB68" s="2174"/>
      <c r="AC68" s="2174"/>
      <c r="AD68" s="2174"/>
      <c r="AE68" s="2174"/>
      <c r="AF68" s="2174"/>
      <c r="AG68" s="2174"/>
      <c r="AH68" s="2174"/>
      <c r="AI68" s="2174"/>
      <c r="AJ68" s="2174"/>
      <c r="AK68" s="2174"/>
      <c r="AL68" s="2174"/>
      <c r="AM68" s="2174"/>
      <c r="AN68" s="2174"/>
      <c r="AO68" s="2174"/>
      <c r="AP68" s="2174"/>
      <c r="AQ68" s="2174"/>
      <c r="AR68" s="2174"/>
      <c r="AS68" s="2174"/>
      <c r="AT68" s="2174"/>
      <c r="AU68" s="2174"/>
      <c r="AV68" s="2174"/>
      <c r="AW68" s="2174"/>
      <c r="AX68" s="2174"/>
      <c r="AY68" s="2174"/>
      <c r="AZ68" s="2174"/>
    </row>
    <row r="69" spans="1:52" x14ac:dyDescent="0.25">
      <c r="A69" s="2174"/>
      <c r="B69" s="2174"/>
      <c r="C69" s="2174"/>
      <c r="D69" s="2174"/>
      <c r="E69" s="2174"/>
      <c r="F69" s="2174"/>
      <c r="G69" s="2174"/>
      <c r="H69" s="2174"/>
      <c r="I69" s="2174"/>
      <c r="J69" s="2174"/>
      <c r="AA69" s="2174"/>
      <c r="AB69" s="2174"/>
      <c r="AC69" s="2174"/>
      <c r="AD69" s="2174"/>
      <c r="AE69" s="2174"/>
      <c r="AF69" s="2174"/>
      <c r="AG69" s="2174"/>
      <c r="AH69" s="2174"/>
      <c r="AI69" s="2174"/>
      <c r="AJ69" s="2174"/>
      <c r="AK69" s="2174"/>
      <c r="AL69" s="2174"/>
      <c r="AM69" s="2174"/>
      <c r="AN69" s="2174"/>
      <c r="AO69" s="2174"/>
      <c r="AP69" s="2174"/>
      <c r="AQ69" s="2174"/>
      <c r="AR69" s="2174"/>
      <c r="AS69" s="2174"/>
      <c r="AT69" s="2174"/>
      <c r="AU69" s="2174"/>
      <c r="AV69" s="2174"/>
      <c r="AW69" s="2174"/>
      <c r="AX69" s="2174"/>
      <c r="AY69" s="2174"/>
      <c r="AZ69" s="2174"/>
    </row>
    <row r="70" spans="1:52" x14ac:dyDescent="0.25">
      <c r="A70" s="2174"/>
      <c r="B70" s="2174"/>
      <c r="C70" s="2174"/>
      <c r="D70" s="2174"/>
      <c r="E70" s="2174"/>
      <c r="F70" s="2174"/>
      <c r="G70" s="2174"/>
      <c r="H70" s="2174"/>
      <c r="I70" s="2174"/>
      <c r="J70" s="2174"/>
      <c r="AA70" s="2174"/>
      <c r="AB70" s="2174"/>
      <c r="AC70" s="2174"/>
      <c r="AD70" s="2174"/>
      <c r="AE70" s="2174"/>
      <c r="AF70" s="2174"/>
      <c r="AG70" s="2174"/>
      <c r="AH70" s="2174"/>
      <c r="AI70" s="2174"/>
      <c r="AJ70" s="2174"/>
      <c r="AK70" s="2174"/>
      <c r="AL70" s="2174"/>
      <c r="AM70" s="2174"/>
      <c r="AN70" s="2174"/>
      <c r="AO70" s="2174"/>
      <c r="AP70" s="2174"/>
      <c r="AQ70" s="2174"/>
      <c r="AR70" s="2174"/>
      <c r="AS70" s="2174"/>
      <c r="AT70" s="2174"/>
      <c r="AU70" s="2174"/>
      <c r="AV70" s="2174"/>
      <c r="AW70" s="2174"/>
      <c r="AX70" s="2174"/>
      <c r="AY70" s="2174"/>
      <c r="AZ70" s="2174"/>
    </row>
    <row r="71" spans="1:52" x14ac:dyDescent="0.25">
      <c r="A71" s="2174"/>
      <c r="B71" s="2174"/>
      <c r="C71" s="2174"/>
      <c r="D71" s="2174"/>
      <c r="E71" s="2174"/>
      <c r="F71" s="2174"/>
      <c r="G71" s="2174"/>
      <c r="H71" s="2174"/>
      <c r="I71" s="2174"/>
      <c r="J71" s="2174"/>
      <c r="AA71" s="2174"/>
      <c r="AB71" s="2174"/>
      <c r="AC71" s="2174"/>
      <c r="AD71" s="2174"/>
      <c r="AE71" s="2174"/>
      <c r="AF71" s="2174"/>
      <c r="AG71" s="2174"/>
      <c r="AH71" s="2174"/>
      <c r="AI71" s="2174"/>
      <c r="AJ71" s="2174"/>
      <c r="AK71" s="2174"/>
      <c r="AL71" s="2174"/>
      <c r="AM71" s="2174"/>
      <c r="AN71" s="2174"/>
      <c r="AO71" s="2174"/>
      <c r="AP71" s="2174"/>
      <c r="AQ71" s="2174"/>
      <c r="AR71" s="2174"/>
      <c r="AS71" s="2174"/>
      <c r="AT71" s="2174"/>
      <c r="AU71" s="2174"/>
      <c r="AV71" s="2174"/>
      <c r="AW71" s="2174"/>
      <c r="AX71" s="2174"/>
      <c r="AY71" s="2174"/>
      <c r="AZ71" s="2174"/>
    </row>
    <row r="72" spans="1:52" x14ac:dyDescent="0.25">
      <c r="A72" s="2174"/>
      <c r="B72" s="2174"/>
      <c r="C72" s="2174"/>
      <c r="D72" s="2174"/>
      <c r="E72" s="2174"/>
      <c r="F72" s="2174"/>
      <c r="G72" s="2174"/>
      <c r="H72" s="2174"/>
      <c r="I72" s="2174"/>
      <c r="J72" s="2174"/>
      <c r="AA72" s="2174"/>
      <c r="AB72" s="2174"/>
      <c r="AC72" s="2174"/>
      <c r="AD72" s="2174"/>
      <c r="AE72" s="2174"/>
      <c r="AF72" s="2174"/>
      <c r="AG72" s="2174"/>
      <c r="AH72" s="2174"/>
      <c r="AI72" s="2174"/>
      <c r="AJ72" s="2174"/>
      <c r="AK72" s="2174"/>
      <c r="AL72" s="2174"/>
      <c r="AM72" s="2174"/>
      <c r="AN72" s="2174"/>
      <c r="AO72" s="2174"/>
      <c r="AP72" s="2174"/>
      <c r="AQ72" s="2174"/>
      <c r="AR72" s="2174"/>
      <c r="AS72" s="2174"/>
      <c r="AT72" s="2174"/>
      <c r="AU72" s="2174"/>
      <c r="AV72" s="2174"/>
      <c r="AW72" s="2174"/>
      <c r="AX72" s="2174"/>
      <c r="AY72" s="2174"/>
      <c r="AZ72" s="2174"/>
    </row>
    <row r="73" spans="1:52" x14ac:dyDescent="0.25">
      <c r="A73" s="2174"/>
      <c r="B73" s="2174"/>
      <c r="C73" s="2174"/>
      <c r="D73" s="2174"/>
      <c r="E73" s="2174"/>
      <c r="F73" s="2174"/>
      <c r="G73" s="2174"/>
      <c r="H73" s="2174"/>
      <c r="I73" s="2174"/>
      <c r="J73" s="2174"/>
      <c r="AA73" s="2174"/>
      <c r="AB73" s="2174"/>
      <c r="AC73" s="2174"/>
      <c r="AD73" s="2174"/>
      <c r="AE73" s="2174"/>
      <c r="AF73" s="2174"/>
      <c r="AG73" s="2174"/>
      <c r="AH73" s="2174"/>
      <c r="AI73" s="2174"/>
      <c r="AJ73" s="2174"/>
      <c r="AK73" s="2174"/>
      <c r="AL73" s="2174"/>
      <c r="AM73" s="2174"/>
      <c r="AN73" s="2174"/>
      <c r="AO73" s="2174"/>
      <c r="AP73" s="2174"/>
      <c r="AQ73" s="2174"/>
      <c r="AR73" s="2174"/>
      <c r="AS73" s="2174"/>
      <c r="AT73" s="2174"/>
      <c r="AU73" s="2174"/>
      <c r="AV73" s="2174"/>
      <c r="AW73" s="2174"/>
      <c r="AX73" s="2174"/>
      <c r="AY73" s="2174"/>
      <c r="AZ73" s="2174"/>
    </row>
    <row r="74" spans="1:52" x14ac:dyDescent="0.25">
      <c r="A74" s="2174"/>
      <c r="B74" s="2174"/>
      <c r="C74" s="2174"/>
      <c r="D74" s="2174"/>
      <c r="E74" s="2174"/>
      <c r="F74" s="2174"/>
      <c r="G74" s="2174"/>
      <c r="H74" s="2174"/>
      <c r="I74" s="2174"/>
      <c r="J74" s="2174"/>
      <c r="AA74" s="2174"/>
      <c r="AB74" s="2174"/>
      <c r="AC74" s="2174"/>
      <c r="AD74" s="2174"/>
      <c r="AE74" s="2174"/>
      <c r="AF74" s="2174"/>
      <c r="AG74" s="2174"/>
      <c r="AH74" s="2174"/>
      <c r="AI74" s="2174"/>
      <c r="AJ74" s="2174"/>
      <c r="AK74" s="2174"/>
      <c r="AL74" s="2174"/>
      <c r="AM74" s="2174"/>
      <c r="AN74" s="2174"/>
      <c r="AO74" s="2174"/>
      <c r="AP74" s="2174"/>
      <c r="AQ74" s="2174"/>
      <c r="AR74" s="2174"/>
      <c r="AS74" s="2174"/>
      <c r="AT74" s="2174"/>
      <c r="AU74" s="2174"/>
      <c r="AV74" s="2174"/>
      <c r="AW74" s="2174"/>
      <c r="AX74" s="2174"/>
      <c r="AY74" s="2174"/>
      <c r="AZ74" s="2174"/>
    </row>
    <row r="75" spans="1:52" x14ac:dyDescent="0.25">
      <c r="A75" s="2174"/>
      <c r="B75" s="2174"/>
      <c r="C75" s="2174"/>
      <c r="D75" s="2174"/>
      <c r="E75" s="2174"/>
      <c r="F75" s="2174"/>
      <c r="G75" s="2174"/>
      <c r="H75" s="2174"/>
      <c r="I75" s="2174"/>
      <c r="J75" s="2174"/>
      <c r="AA75" s="2174"/>
      <c r="AB75" s="2174"/>
      <c r="AC75" s="2174"/>
      <c r="AD75" s="2174"/>
      <c r="AE75" s="2174"/>
      <c r="AF75" s="2174"/>
      <c r="AG75" s="2174"/>
      <c r="AH75" s="2174"/>
      <c r="AI75" s="2174"/>
      <c r="AJ75" s="2174"/>
      <c r="AK75" s="2174"/>
      <c r="AL75" s="2174"/>
      <c r="AM75" s="2174"/>
      <c r="AN75" s="2174"/>
      <c r="AO75" s="2174"/>
      <c r="AP75" s="2174"/>
      <c r="AQ75" s="2174"/>
      <c r="AR75" s="2174"/>
      <c r="AS75" s="2174"/>
      <c r="AT75" s="2174"/>
      <c r="AU75" s="2174"/>
      <c r="AV75" s="2174"/>
      <c r="AW75" s="2174"/>
      <c r="AX75" s="2174"/>
      <c r="AY75" s="2174"/>
      <c r="AZ75" s="2174"/>
    </row>
    <row r="76" spans="1:52" x14ac:dyDescent="0.25">
      <c r="A76" s="2174"/>
      <c r="B76" s="2174"/>
      <c r="C76" s="2174"/>
      <c r="D76" s="2174"/>
      <c r="E76" s="2174"/>
      <c r="F76" s="2174"/>
      <c r="G76" s="2174"/>
      <c r="H76" s="2174"/>
      <c r="I76" s="2174"/>
      <c r="J76" s="2174"/>
      <c r="AA76" s="2174"/>
      <c r="AB76" s="2174"/>
      <c r="AC76" s="2174"/>
      <c r="AD76" s="2174"/>
      <c r="AE76" s="2174"/>
      <c r="AF76" s="2174"/>
      <c r="AG76" s="2174"/>
      <c r="AH76" s="2174"/>
      <c r="AI76" s="2174"/>
      <c r="AJ76" s="2174"/>
      <c r="AK76" s="2174"/>
      <c r="AL76" s="2174"/>
      <c r="AM76" s="2174"/>
      <c r="AN76" s="2174"/>
      <c r="AO76" s="2174"/>
      <c r="AP76" s="2174"/>
      <c r="AQ76" s="2174"/>
      <c r="AR76" s="2174"/>
      <c r="AS76" s="2174"/>
      <c r="AT76" s="2174"/>
      <c r="AU76" s="2174"/>
      <c r="AV76" s="2174"/>
      <c r="AW76" s="2174"/>
      <c r="AX76" s="2174"/>
      <c r="AY76" s="2174"/>
      <c r="AZ76" s="2174"/>
    </row>
    <row r="77" spans="1:52" x14ac:dyDescent="0.25">
      <c r="A77" s="2174"/>
      <c r="B77" s="2174"/>
      <c r="C77" s="2174"/>
      <c r="D77" s="2174"/>
      <c r="E77" s="2174"/>
      <c r="F77" s="2174"/>
      <c r="G77" s="2174"/>
      <c r="H77" s="2174"/>
      <c r="I77" s="2174"/>
      <c r="J77" s="2174"/>
      <c r="AA77" s="2174"/>
      <c r="AB77" s="2174"/>
      <c r="AC77" s="2174"/>
      <c r="AD77" s="2174"/>
      <c r="AE77" s="2174"/>
      <c r="AF77" s="2174"/>
      <c r="AG77" s="2174"/>
      <c r="AH77" s="2174"/>
      <c r="AI77" s="2174"/>
      <c r="AJ77" s="2174"/>
      <c r="AK77" s="2174"/>
      <c r="AL77" s="2174"/>
      <c r="AM77" s="2174"/>
      <c r="AN77" s="2174"/>
      <c r="AO77" s="2174"/>
      <c r="AP77" s="2174"/>
      <c r="AQ77" s="2174"/>
      <c r="AR77" s="2174"/>
      <c r="AS77" s="2174"/>
      <c r="AT77" s="2174"/>
      <c r="AU77" s="2174"/>
      <c r="AV77" s="2174"/>
      <c r="AW77" s="2174"/>
      <c r="AX77" s="2174"/>
      <c r="AY77" s="2174"/>
      <c r="AZ77" s="2174"/>
    </row>
    <row r="78" spans="1:52" x14ac:dyDescent="0.25">
      <c r="A78" s="2174"/>
      <c r="B78" s="2174"/>
      <c r="C78" s="2174"/>
      <c r="D78" s="2174"/>
      <c r="E78" s="2174"/>
      <c r="F78" s="2174"/>
      <c r="G78" s="2174"/>
      <c r="H78" s="2174"/>
      <c r="I78" s="2174"/>
      <c r="J78" s="2174"/>
      <c r="AA78" s="2174"/>
      <c r="AB78" s="2174"/>
      <c r="AC78" s="2174"/>
      <c r="AD78" s="2174"/>
      <c r="AE78" s="2174"/>
      <c r="AF78" s="2174"/>
      <c r="AG78" s="2174"/>
      <c r="AH78" s="2174"/>
      <c r="AI78" s="2174"/>
      <c r="AJ78" s="2174"/>
      <c r="AK78" s="2174"/>
      <c r="AL78" s="2174"/>
      <c r="AM78" s="2174"/>
      <c r="AN78" s="2174"/>
      <c r="AO78" s="2174"/>
      <c r="AP78" s="2174"/>
      <c r="AQ78" s="2174"/>
      <c r="AR78" s="2174"/>
      <c r="AS78" s="2174"/>
      <c r="AT78" s="2174"/>
      <c r="AU78" s="2174"/>
      <c r="AV78" s="2174"/>
      <c r="AW78" s="2174"/>
      <c r="AX78" s="2174"/>
      <c r="AY78" s="2174"/>
      <c r="AZ78" s="2174"/>
    </row>
    <row r="79" spans="1:52" x14ac:dyDescent="0.25">
      <c r="A79" s="2174"/>
      <c r="B79" s="2174"/>
      <c r="C79" s="2174"/>
      <c r="D79" s="2174"/>
      <c r="E79" s="2174"/>
      <c r="F79" s="2174"/>
      <c r="G79" s="2174"/>
      <c r="H79" s="2174"/>
      <c r="I79" s="2174"/>
      <c r="J79" s="2174"/>
      <c r="AA79" s="2174"/>
      <c r="AB79" s="2174"/>
      <c r="AC79" s="2174"/>
      <c r="AD79" s="2174"/>
      <c r="AE79" s="2174"/>
      <c r="AF79" s="2174"/>
      <c r="AG79" s="2174"/>
      <c r="AH79" s="2174"/>
      <c r="AI79" s="2174"/>
      <c r="AJ79" s="2174"/>
      <c r="AK79" s="2174"/>
      <c r="AL79" s="2174"/>
      <c r="AM79" s="2174"/>
      <c r="AN79" s="2174"/>
      <c r="AO79" s="2174"/>
      <c r="AP79" s="2174"/>
      <c r="AQ79" s="2174"/>
      <c r="AR79" s="2174"/>
      <c r="AS79" s="2174"/>
      <c r="AT79" s="2174"/>
      <c r="AU79" s="2174"/>
      <c r="AV79" s="2174"/>
      <c r="AW79" s="2174"/>
      <c r="AX79" s="2174"/>
      <c r="AY79" s="2174"/>
      <c r="AZ79" s="2174"/>
    </row>
    <row r="80" spans="1:52" x14ac:dyDescent="0.25">
      <c r="A80" s="2174"/>
      <c r="B80" s="2174"/>
      <c r="C80" s="2174"/>
      <c r="D80" s="2174"/>
      <c r="E80" s="2174"/>
      <c r="F80" s="2174"/>
      <c r="G80" s="2174"/>
      <c r="H80" s="2174"/>
      <c r="I80" s="2174"/>
      <c r="J80" s="2174"/>
      <c r="AA80" s="2174"/>
      <c r="AB80" s="2174"/>
      <c r="AC80" s="2174"/>
      <c r="AD80" s="2174"/>
      <c r="AE80" s="2174"/>
      <c r="AF80" s="2174"/>
      <c r="AG80" s="2174"/>
      <c r="AH80" s="2174"/>
      <c r="AI80" s="2174"/>
      <c r="AJ80" s="2174"/>
      <c r="AK80" s="2174"/>
      <c r="AL80" s="2174"/>
      <c r="AM80" s="2174"/>
      <c r="AN80" s="2174"/>
      <c r="AO80" s="2174"/>
      <c r="AP80" s="2174"/>
      <c r="AQ80" s="2174"/>
      <c r="AR80" s="2174"/>
      <c r="AS80" s="2174"/>
      <c r="AT80" s="2174"/>
      <c r="AU80" s="2174"/>
      <c r="AV80" s="2174"/>
      <c r="AW80" s="2174"/>
      <c r="AX80" s="2174"/>
      <c r="AY80" s="2174"/>
      <c r="AZ80" s="2174"/>
    </row>
    <row r="81" spans="1:52" x14ac:dyDescent="0.25">
      <c r="A81" s="2174"/>
      <c r="B81" s="2174"/>
      <c r="C81" s="2174"/>
      <c r="D81" s="2174"/>
      <c r="E81" s="2174"/>
      <c r="F81" s="2174"/>
      <c r="G81" s="2174"/>
      <c r="H81" s="2174"/>
      <c r="I81" s="2174"/>
      <c r="J81" s="2174"/>
      <c r="AA81" s="2174"/>
      <c r="AB81" s="2174"/>
      <c r="AC81" s="2174"/>
      <c r="AD81" s="2174"/>
      <c r="AE81" s="2174"/>
      <c r="AF81" s="2174"/>
      <c r="AG81" s="2174"/>
      <c r="AH81" s="2174"/>
      <c r="AI81" s="2174"/>
      <c r="AJ81" s="2174"/>
      <c r="AK81" s="2174"/>
      <c r="AL81" s="2174"/>
      <c r="AM81" s="2174"/>
      <c r="AN81" s="2174"/>
      <c r="AO81" s="2174"/>
      <c r="AP81" s="2174"/>
      <c r="AQ81" s="2174"/>
      <c r="AR81" s="2174"/>
      <c r="AS81" s="2174"/>
      <c r="AT81" s="2174"/>
      <c r="AU81" s="2174"/>
      <c r="AV81" s="2174"/>
      <c r="AW81" s="2174"/>
      <c r="AX81" s="2174"/>
      <c r="AY81" s="2174"/>
      <c r="AZ81" s="2174"/>
    </row>
    <row r="82" spans="1:52" x14ac:dyDescent="0.25">
      <c r="A82" s="2174"/>
      <c r="B82" s="2174"/>
      <c r="C82" s="2174"/>
      <c r="D82" s="2174"/>
      <c r="E82" s="2174"/>
      <c r="F82" s="2174"/>
      <c r="G82" s="2174"/>
      <c r="H82" s="2174"/>
      <c r="I82" s="2174"/>
      <c r="J82" s="2174"/>
      <c r="AA82" s="2174"/>
      <c r="AB82" s="2174"/>
      <c r="AC82" s="2174"/>
      <c r="AD82" s="2174"/>
      <c r="AE82" s="2174"/>
      <c r="AF82" s="2174"/>
      <c r="AG82" s="2174"/>
      <c r="AH82" s="2174"/>
      <c r="AI82" s="2174"/>
      <c r="AJ82" s="2174"/>
      <c r="AK82" s="2174"/>
      <c r="AL82" s="2174"/>
      <c r="AM82" s="2174"/>
      <c r="AN82" s="2174"/>
      <c r="AO82" s="2174"/>
      <c r="AP82" s="2174"/>
      <c r="AQ82" s="2174"/>
      <c r="AR82" s="2174"/>
      <c r="AS82" s="2174"/>
      <c r="AT82" s="2174"/>
      <c r="AU82" s="2174"/>
      <c r="AV82" s="2174"/>
      <c r="AW82" s="2174"/>
      <c r="AX82" s="2174"/>
      <c r="AY82" s="2174"/>
      <c r="AZ82" s="2174"/>
    </row>
    <row r="83" spans="1:52" x14ac:dyDescent="0.25">
      <c r="A83" s="2174"/>
      <c r="B83" s="2174"/>
      <c r="C83" s="2174"/>
      <c r="D83" s="2174"/>
      <c r="E83" s="2174"/>
      <c r="F83" s="2174"/>
      <c r="G83" s="2174"/>
      <c r="H83" s="2174"/>
      <c r="I83" s="2174"/>
      <c r="J83" s="2174"/>
      <c r="AA83" s="2174"/>
      <c r="AB83" s="2174"/>
      <c r="AC83" s="2174"/>
      <c r="AD83" s="2174"/>
      <c r="AE83" s="2174"/>
      <c r="AF83" s="2174"/>
      <c r="AG83" s="2174"/>
      <c r="AH83" s="2174"/>
      <c r="AI83" s="2174"/>
      <c r="AJ83" s="2174"/>
      <c r="AK83" s="2174"/>
      <c r="AL83" s="2174"/>
      <c r="AM83" s="2174"/>
      <c r="AN83" s="2174"/>
      <c r="AO83" s="2174"/>
      <c r="AP83" s="2174"/>
      <c r="AQ83" s="2174"/>
      <c r="AR83" s="2174"/>
      <c r="AS83" s="2174"/>
      <c r="AT83" s="2174"/>
      <c r="AU83" s="2174"/>
      <c r="AV83" s="2174"/>
      <c r="AW83" s="2174"/>
      <c r="AX83" s="2174"/>
      <c r="AY83" s="2174"/>
      <c r="AZ83" s="2174"/>
    </row>
    <row r="84" spans="1:52" x14ac:dyDescent="0.25">
      <c r="A84" s="2174"/>
      <c r="B84" s="2174"/>
      <c r="C84" s="2174"/>
      <c r="D84" s="2174"/>
      <c r="E84" s="2174"/>
      <c r="F84" s="2174"/>
      <c r="G84" s="2174"/>
      <c r="H84" s="2174"/>
      <c r="I84" s="2174"/>
      <c r="J84" s="2174"/>
      <c r="AA84" s="2174"/>
      <c r="AB84" s="2174"/>
      <c r="AC84" s="2174"/>
      <c r="AD84" s="2174"/>
      <c r="AE84" s="2174"/>
      <c r="AF84" s="2174"/>
      <c r="AG84" s="2174"/>
      <c r="AH84" s="2174"/>
      <c r="AI84" s="2174"/>
      <c r="AJ84" s="2174"/>
      <c r="AK84" s="2174"/>
      <c r="AL84" s="2174"/>
      <c r="AM84" s="2174"/>
      <c r="AN84" s="2174"/>
      <c r="AO84" s="2174"/>
      <c r="AP84" s="2174"/>
      <c r="AQ84" s="2174"/>
      <c r="AR84" s="2174"/>
      <c r="AS84" s="2174"/>
      <c r="AT84" s="2174"/>
      <c r="AU84" s="2174"/>
      <c r="AV84" s="2174"/>
      <c r="AW84" s="2174"/>
      <c r="AX84" s="2174"/>
      <c r="AY84" s="2174"/>
      <c r="AZ84" s="2174"/>
    </row>
    <row r="85" spans="1:52" x14ac:dyDescent="0.25">
      <c r="A85" s="2174"/>
      <c r="B85" s="2174"/>
      <c r="C85" s="2174"/>
      <c r="D85" s="2174"/>
      <c r="E85" s="2174"/>
      <c r="F85" s="2174"/>
      <c r="G85" s="2174"/>
      <c r="H85" s="2174"/>
      <c r="I85" s="2174"/>
      <c r="J85" s="2174"/>
      <c r="AA85" s="2174"/>
      <c r="AB85" s="2174"/>
      <c r="AC85" s="2174"/>
      <c r="AD85" s="2174"/>
      <c r="AE85" s="2174"/>
      <c r="AF85" s="2174"/>
      <c r="AG85" s="2174"/>
      <c r="AH85" s="2174"/>
      <c r="AI85" s="2174"/>
      <c r="AJ85" s="2174"/>
      <c r="AK85" s="2174"/>
      <c r="AL85" s="2174"/>
      <c r="AM85" s="2174"/>
      <c r="AN85" s="2174"/>
      <c r="AO85" s="2174"/>
      <c r="AP85" s="2174"/>
      <c r="AQ85" s="2174"/>
      <c r="AR85" s="2174"/>
      <c r="AS85" s="2174"/>
      <c r="AT85" s="2174"/>
      <c r="AU85" s="2174"/>
      <c r="AV85" s="2174"/>
      <c r="AW85" s="2174"/>
      <c r="AX85" s="2174"/>
      <c r="AY85" s="2174"/>
      <c r="AZ85" s="2174"/>
    </row>
    <row r="86" spans="1:52" x14ac:dyDescent="0.25">
      <c r="A86" s="2174"/>
      <c r="B86" s="2174"/>
      <c r="C86" s="2174"/>
      <c r="D86" s="2174"/>
      <c r="E86" s="2174"/>
      <c r="F86" s="2174"/>
      <c r="G86" s="2174"/>
      <c r="H86" s="2174"/>
      <c r="I86" s="2174"/>
      <c r="J86" s="2174"/>
      <c r="AA86" s="2174"/>
      <c r="AB86" s="2174"/>
      <c r="AC86" s="2174"/>
      <c r="AD86" s="2174"/>
      <c r="AE86" s="2174"/>
      <c r="AF86" s="2174"/>
      <c r="AG86" s="2174"/>
      <c r="AH86" s="2174"/>
      <c r="AI86" s="2174"/>
      <c r="AJ86" s="2174"/>
      <c r="AK86" s="2174"/>
      <c r="AL86" s="2174"/>
      <c r="AM86" s="2174"/>
      <c r="AN86" s="2174"/>
      <c r="AO86" s="2174"/>
      <c r="AP86" s="2174"/>
      <c r="AQ86" s="2174"/>
      <c r="AR86" s="2174"/>
      <c r="AS86" s="2174"/>
      <c r="AT86" s="2174"/>
      <c r="AU86" s="2174"/>
      <c r="AV86" s="2174"/>
      <c r="AW86" s="2174"/>
      <c r="AX86" s="2174"/>
      <c r="AY86" s="2174"/>
      <c r="AZ86" s="2174"/>
    </row>
    <row r="87" spans="1:52" x14ac:dyDescent="0.25">
      <c r="A87" s="2174"/>
      <c r="B87" s="2174"/>
      <c r="C87" s="2174"/>
      <c r="D87" s="2174"/>
      <c r="E87" s="2174"/>
      <c r="F87" s="2174"/>
      <c r="G87" s="2174"/>
      <c r="H87" s="2174"/>
      <c r="I87" s="2174"/>
      <c r="J87" s="2174"/>
      <c r="AA87" s="2174"/>
      <c r="AB87" s="2174"/>
      <c r="AC87" s="2174"/>
      <c r="AD87" s="2174"/>
      <c r="AE87" s="2174"/>
      <c r="AF87" s="2174"/>
      <c r="AG87" s="2174"/>
      <c r="AH87" s="2174"/>
      <c r="AI87" s="2174"/>
      <c r="AJ87" s="2174"/>
      <c r="AK87" s="2174"/>
      <c r="AL87" s="2174"/>
      <c r="AM87" s="2174"/>
      <c r="AN87" s="2174"/>
      <c r="AO87" s="2174"/>
      <c r="AP87" s="2174"/>
      <c r="AQ87" s="2174"/>
      <c r="AR87" s="2174"/>
      <c r="AS87" s="2174"/>
      <c r="AT87" s="2174"/>
      <c r="AU87" s="2174"/>
      <c r="AV87" s="2174"/>
      <c r="AW87" s="2174"/>
      <c r="AX87" s="2174"/>
      <c r="AY87" s="2174"/>
      <c r="AZ87" s="2174"/>
    </row>
    <row r="88" spans="1:52" x14ac:dyDescent="0.25">
      <c r="A88" s="2174"/>
      <c r="B88" s="2174"/>
      <c r="C88" s="2174"/>
      <c r="D88" s="2174"/>
      <c r="E88" s="2174"/>
      <c r="F88" s="2174"/>
      <c r="G88" s="2174"/>
      <c r="H88" s="2174"/>
      <c r="I88" s="2174"/>
      <c r="J88" s="2174"/>
      <c r="AA88" s="2174"/>
      <c r="AB88" s="2174"/>
      <c r="AC88" s="2174"/>
      <c r="AD88" s="2174"/>
      <c r="AE88" s="2174"/>
      <c r="AF88" s="2174"/>
      <c r="AG88" s="2174"/>
      <c r="AH88" s="2174"/>
      <c r="AI88" s="2174"/>
      <c r="AJ88" s="2174"/>
      <c r="AK88" s="2174"/>
      <c r="AL88" s="2174"/>
      <c r="AM88" s="2174"/>
      <c r="AN88" s="2174"/>
      <c r="AO88" s="2174"/>
      <c r="AP88" s="2174"/>
      <c r="AQ88" s="2174"/>
      <c r="AR88" s="2174"/>
      <c r="AS88" s="2174"/>
      <c r="AT88" s="2174"/>
      <c r="AU88" s="2174"/>
      <c r="AV88" s="2174"/>
      <c r="AW88" s="2174"/>
      <c r="AX88" s="2174"/>
      <c r="AY88" s="2174"/>
      <c r="AZ88" s="2174"/>
    </row>
    <row r="89" spans="1:52" x14ac:dyDescent="0.25">
      <c r="A89" s="2174"/>
      <c r="B89" s="2174"/>
      <c r="C89" s="2174"/>
      <c r="D89" s="2174"/>
      <c r="E89" s="2174"/>
      <c r="F89" s="2174"/>
      <c r="G89" s="2174"/>
      <c r="H89" s="2174"/>
      <c r="I89" s="2174"/>
      <c r="J89" s="2174"/>
      <c r="AA89" s="2174"/>
      <c r="AB89" s="2174"/>
      <c r="AC89" s="2174"/>
      <c r="AD89" s="2174"/>
      <c r="AE89" s="2174"/>
      <c r="AF89" s="2174"/>
      <c r="AG89" s="2174"/>
      <c r="AH89" s="2174"/>
      <c r="AI89" s="2174"/>
      <c r="AJ89" s="2174"/>
      <c r="AK89" s="2174"/>
      <c r="AL89" s="2174"/>
      <c r="AM89" s="2174"/>
      <c r="AN89" s="2174"/>
      <c r="AO89" s="2174"/>
      <c r="AP89" s="2174"/>
      <c r="AQ89" s="2174"/>
      <c r="AR89" s="2174"/>
      <c r="AS89" s="2174"/>
      <c r="AT89" s="2174"/>
      <c r="AU89" s="2174"/>
      <c r="AV89" s="2174"/>
      <c r="AW89" s="2174"/>
      <c r="AX89" s="2174"/>
      <c r="AY89" s="2174"/>
      <c r="AZ89" s="2174"/>
    </row>
    <row r="90" spans="1:52" x14ac:dyDescent="0.25">
      <c r="A90" s="2174"/>
      <c r="B90" s="2174"/>
      <c r="C90" s="2174"/>
      <c r="D90" s="2174"/>
      <c r="E90" s="2174"/>
      <c r="F90" s="2174"/>
      <c r="G90" s="2174"/>
      <c r="H90" s="2174"/>
      <c r="I90" s="2174"/>
      <c r="J90" s="2174"/>
      <c r="AA90" s="2174"/>
      <c r="AB90" s="2174"/>
      <c r="AC90" s="2174"/>
      <c r="AD90" s="2174"/>
      <c r="AE90" s="2174"/>
      <c r="AF90" s="2174"/>
      <c r="AG90" s="2174"/>
      <c r="AH90" s="2174"/>
      <c r="AI90" s="2174"/>
      <c r="AJ90" s="2174"/>
      <c r="AK90" s="2174"/>
      <c r="AL90" s="2174"/>
      <c r="AM90" s="2174"/>
      <c r="AN90" s="2174"/>
      <c r="AO90" s="2174"/>
      <c r="AP90" s="2174"/>
      <c r="AQ90" s="2174"/>
      <c r="AR90" s="2174"/>
      <c r="AS90" s="2174"/>
      <c r="AT90" s="2174"/>
      <c r="AU90" s="2174"/>
      <c r="AV90" s="2174"/>
      <c r="AW90" s="2174"/>
      <c r="AX90" s="2174"/>
      <c r="AY90" s="2174"/>
      <c r="AZ90" s="2174"/>
    </row>
    <row r="91" spans="1:52" x14ac:dyDescent="0.25">
      <c r="A91" s="2174"/>
      <c r="B91" s="2174"/>
      <c r="C91" s="2174"/>
      <c r="D91" s="2174"/>
      <c r="E91" s="2174"/>
      <c r="F91" s="2174"/>
      <c r="G91" s="2174"/>
      <c r="H91" s="2174"/>
      <c r="I91" s="2174"/>
      <c r="J91" s="2174"/>
      <c r="AA91" s="2174"/>
      <c r="AB91" s="2174"/>
      <c r="AC91" s="2174"/>
      <c r="AD91" s="2174"/>
      <c r="AE91" s="2174"/>
      <c r="AF91" s="2174"/>
      <c r="AG91" s="2174"/>
      <c r="AH91" s="2174"/>
      <c r="AI91" s="2174"/>
      <c r="AJ91" s="2174"/>
      <c r="AK91" s="2174"/>
      <c r="AL91" s="2174"/>
      <c r="AM91" s="2174"/>
      <c r="AN91" s="2174"/>
      <c r="AO91" s="2174"/>
      <c r="AP91" s="2174"/>
      <c r="AQ91" s="2174"/>
      <c r="AR91" s="2174"/>
      <c r="AS91" s="2174"/>
      <c r="AT91" s="2174"/>
      <c r="AU91" s="2174"/>
      <c r="AV91" s="2174"/>
      <c r="AW91" s="2174"/>
      <c r="AX91" s="2174"/>
      <c r="AY91" s="2174"/>
      <c r="AZ91" s="2174"/>
    </row>
    <row r="92" spans="1:52" x14ac:dyDescent="0.25">
      <c r="A92" s="2174"/>
      <c r="B92" s="2174"/>
      <c r="C92" s="2174"/>
      <c r="D92" s="2174"/>
      <c r="E92" s="2174"/>
      <c r="F92" s="2174"/>
      <c r="G92" s="2174"/>
      <c r="H92" s="2174"/>
      <c r="I92" s="2174"/>
      <c r="J92" s="2174"/>
      <c r="AA92" s="2174"/>
      <c r="AB92" s="2174"/>
      <c r="AC92" s="2174"/>
      <c r="AD92" s="2174"/>
      <c r="AE92" s="2174"/>
      <c r="AF92" s="2174"/>
      <c r="AG92" s="2174"/>
      <c r="AH92" s="2174"/>
      <c r="AI92" s="2174"/>
      <c r="AJ92" s="2174"/>
      <c r="AK92" s="2174"/>
      <c r="AL92" s="2174"/>
      <c r="AM92" s="2174"/>
      <c r="AN92" s="2174"/>
      <c r="AO92" s="2174"/>
      <c r="AP92" s="2174"/>
      <c r="AQ92" s="2174"/>
      <c r="AR92" s="2174"/>
      <c r="AS92" s="2174"/>
      <c r="AT92" s="2174"/>
      <c r="AU92" s="2174"/>
      <c r="AV92" s="2174"/>
      <c r="AW92" s="2174"/>
      <c r="AX92" s="2174"/>
      <c r="AY92" s="2174"/>
      <c r="AZ92" s="2174"/>
    </row>
    <row r="93" spans="1:52" x14ac:dyDescent="0.25">
      <c r="A93" s="2174"/>
      <c r="B93" s="2174"/>
      <c r="C93" s="2174"/>
      <c r="D93" s="2174"/>
      <c r="E93" s="2174"/>
      <c r="F93" s="2174"/>
      <c r="G93" s="2174"/>
      <c r="H93" s="2174"/>
      <c r="I93" s="2174"/>
      <c r="J93" s="2174"/>
      <c r="AA93" s="2174"/>
      <c r="AB93" s="2174"/>
      <c r="AC93" s="2174"/>
      <c r="AD93" s="2174"/>
      <c r="AE93" s="2174"/>
      <c r="AF93" s="2174"/>
      <c r="AG93" s="2174"/>
      <c r="AH93" s="2174"/>
      <c r="AI93" s="2174"/>
      <c r="AJ93" s="2174"/>
      <c r="AK93" s="2174"/>
      <c r="AL93" s="2174"/>
      <c r="AM93" s="2174"/>
      <c r="AN93" s="2174"/>
      <c r="AO93" s="2174"/>
      <c r="AP93" s="2174"/>
      <c r="AQ93" s="2174"/>
      <c r="AR93" s="2174"/>
      <c r="AS93" s="2174"/>
      <c r="AT93" s="2174"/>
      <c r="AU93" s="2174"/>
      <c r="AV93" s="2174"/>
      <c r="AW93" s="2174"/>
      <c r="AX93" s="2174"/>
      <c r="AY93" s="2174"/>
      <c r="AZ93" s="2174"/>
    </row>
    <row r="94" spans="1:52" x14ac:dyDescent="0.25">
      <c r="A94" s="2174"/>
      <c r="B94" s="2174"/>
      <c r="C94" s="2174"/>
      <c r="D94" s="2174"/>
      <c r="E94" s="2174"/>
      <c r="F94" s="2174"/>
      <c r="G94" s="2174"/>
      <c r="H94" s="2174"/>
      <c r="I94" s="2174"/>
      <c r="J94" s="2174"/>
      <c r="AA94" s="2174"/>
      <c r="AB94" s="2174"/>
      <c r="AC94" s="2174"/>
      <c r="AD94" s="2174"/>
      <c r="AE94" s="2174"/>
      <c r="AF94" s="2174"/>
      <c r="AG94" s="2174"/>
      <c r="AH94" s="2174"/>
      <c r="AI94" s="2174"/>
      <c r="AJ94" s="2174"/>
      <c r="AK94" s="2174"/>
      <c r="AL94" s="2174"/>
      <c r="AM94" s="2174"/>
      <c r="AN94" s="2174"/>
      <c r="AO94" s="2174"/>
      <c r="AP94" s="2174"/>
      <c r="AQ94" s="2174"/>
      <c r="AR94" s="2174"/>
      <c r="AS94" s="2174"/>
      <c r="AT94" s="2174"/>
      <c r="AU94" s="2174"/>
      <c r="AV94" s="2174"/>
      <c r="AW94" s="2174"/>
      <c r="AX94" s="2174"/>
      <c r="AY94" s="2174"/>
      <c r="AZ94" s="2174"/>
    </row>
    <row r="95" spans="1:52" x14ac:dyDescent="0.25">
      <c r="A95" s="2174"/>
      <c r="B95" s="2174"/>
      <c r="C95" s="2174"/>
      <c r="D95" s="2174"/>
      <c r="E95" s="2174"/>
      <c r="F95" s="2174"/>
      <c r="G95" s="2174"/>
      <c r="H95" s="2174"/>
      <c r="I95" s="2174"/>
      <c r="J95" s="2174"/>
      <c r="AA95" s="2174"/>
      <c r="AB95" s="2174"/>
      <c r="AC95" s="2174"/>
      <c r="AD95" s="2174"/>
      <c r="AE95" s="2174"/>
      <c r="AF95" s="2174"/>
      <c r="AG95" s="2174"/>
      <c r="AH95" s="2174"/>
      <c r="AI95" s="2174"/>
      <c r="AJ95" s="2174"/>
      <c r="AK95" s="2174"/>
      <c r="AL95" s="2174"/>
      <c r="AM95" s="2174"/>
      <c r="AN95" s="2174"/>
      <c r="AO95" s="2174"/>
      <c r="AP95" s="2174"/>
      <c r="AQ95" s="2174"/>
      <c r="AR95" s="2174"/>
      <c r="AS95" s="2174"/>
      <c r="AT95" s="2174"/>
      <c r="AU95" s="2174"/>
      <c r="AV95" s="2174"/>
      <c r="AW95" s="2174"/>
      <c r="AX95" s="2174"/>
      <c r="AY95" s="2174"/>
      <c r="AZ95" s="2174"/>
    </row>
    <row r="96" spans="1:52" x14ac:dyDescent="0.25">
      <c r="A96" s="2174"/>
      <c r="B96" s="2174"/>
      <c r="C96" s="2174"/>
      <c r="D96" s="2174"/>
      <c r="E96" s="2174"/>
      <c r="F96" s="2174"/>
      <c r="G96" s="2174"/>
      <c r="H96" s="2174"/>
      <c r="I96" s="2174"/>
      <c r="J96" s="2174"/>
      <c r="AA96" s="2174"/>
      <c r="AB96" s="2174"/>
      <c r="AC96" s="2174"/>
      <c r="AD96" s="2174"/>
      <c r="AE96" s="2174"/>
      <c r="AF96" s="2174"/>
      <c r="AG96" s="2174"/>
      <c r="AH96" s="2174"/>
      <c r="AI96" s="2174"/>
      <c r="AJ96" s="2174"/>
      <c r="AK96" s="2174"/>
      <c r="AL96" s="2174"/>
      <c r="AM96" s="2174"/>
      <c r="AN96" s="2174"/>
      <c r="AO96" s="2174"/>
      <c r="AP96" s="2174"/>
      <c r="AQ96" s="2174"/>
      <c r="AR96" s="2174"/>
      <c r="AS96" s="2174"/>
      <c r="AT96" s="2174"/>
      <c r="AU96" s="2174"/>
      <c r="AV96" s="2174"/>
      <c r="AW96" s="2174"/>
      <c r="AX96" s="2174"/>
      <c r="AY96" s="2174"/>
      <c r="AZ96" s="2174"/>
    </row>
    <row r="97" spans="1:52" x14ac:dyDescent="0.25">
      <c r="A97" s="2174"/>
      <c r="B97" s="2174"/>
      <c r="C97" s="2174"/>
      <c r="D97" s="2174"/>
      <c r="E97" s="2174"/>
      <c r="F97" s="2174"/>
      <c r="G97" s="2174"/>
      <c r="H97" s="2174"/>
      <c r="I97" s="2174"/>
      <c r="J97" s="2174"/>
      <c r="AA97" s="2174"/>
      <c r="AB97" s="2174"/>
      <c r="AC97" s="2174"/>
      <c r="AD97" s="2174"/>
      <c r="AE97" s="2174"/>
      <c r="AF97" s="2174"/>
      <c r="AG97" s="2174"/>
      <c r="AH97" s="2174"/>
      <c r="AI97" s="2174"/>
      <c r="AJ97" s="2174"/>
      <c r="AK97" s="2174"/>
      <c r="AL97" s="2174"/>
      <c r="AM97" s="2174"/>
      <c r="AN97" s="2174"/>
      <c r="AO97" s="2174"/>
      <c r="AP97" s="2174"/>
      <c r="AQ97" s="2174"/>
      <c r="AR97" s="2174"/>
      <c r="AS97" s="2174"/>
      <c r="AT97" s="2174"/>
      <c r="AU97" s="2174"/>
      <c r="AV97" s="2174"/>
      <c r="AW97" s="2174"/>
      <c r="AX97" s="2174"/>
      <c r="AY97" s="2174"/>
      <c r="AZ97" s="2174"/>
    </row>
    <row r="98" spans="1:52" x14ac:dyDescent="0.25">
      <c r="A98" s="2174"/>
      <c r="B98" s="2174"/>
      <c r="C98" s="2174"/>
      <c r="D98" s="2174"/>
      <c r="E98" s="2174"/>
      <c r="F98" s="2174"/>
      <c r="G98" s="2174"/>
      <c r="H98" s="2174"/>
      <c r="I98" s="2174"/>
      <c r="J98" s="2174"/>
      <c r="AA98" s="2174"/>
      <c r="AB98" s="2174"/>
      <c r="AC98" s="2174"/>
      <c r="AD98" s="2174"/>
      <c r="AE98" s="2174"/>
      <c r="AF98" s="2174"/>
      <c r="AG98" s="2174"/>
      <c r="AH98" s="2174"/>
      <c r="AI98" s="2174"/>
      <c r="AJ98" s="2174"/>
      <c r="AK98" s="2174"/>
      <c r="AL98" s="2174"/>
      <c r="AM98" s="2174"/>
      <c r="AN98" s="2174"/>
      <c r="AO98" s="2174"/>
      <c r="AP98" s="2174"/>
      <c r="AQ98" s="2174"/>
      <c r="AR98" s="2174"/>
      <c r="AS98" s="2174"/>
      <c r="AT98" s="2174"/>
      <c r="AU98" s="2174"/>
      <c r="AV98" s="2174"/>
      <c r="AW98" s="2174"/>
      <c r="AX98" s="2174"/>
      <c r="AY98" s="2174"/>
      <c r="AZ98" s="2174"/>
    </row>
    <row r="99" spans="1:52" x14ac:dyDescent="0.25">
      <c r="A99" s="2174"/>
      <c r="B99" s="2174"/>
      <c r="C99" s="2174"/>
      <c r="D99" s="2174"/>
      <c r="E99" s="2174"/>
      <c r="F99" s="2174"/>
      <c r="G99" s="2174"/>
      <c r="H99" s="2174"/>
      <c r="I99" s="2174"/>
      <c r="J99" s="2174"/>
      <c r="AA99" s="2174"/>
      <c r="AB99" s="2174"/>
      <c r="AC99" s="2174"/>
      <c r="AD99" s="2174"/>
      <c r="AE99" s="2174"/>
      <c r="AF99" s="2174"/>
      <c r="AG99" s="2174"/>
      <c r="AH99" s="2174"/>
      <c r="AI99" s="2174"/>
      <c r="AJ99" s="2174"/>
      <c r="AK99" s="2174"/>
      <c r="AL99" s="2174"/>
      <c r="AM99" s="2174"/>
      <c r="AN99" s="2174"/>
      <c r="AO99" s="2174"/>
      <c r="AP99" s="2174"/>
      <c r="AQ99" s="2174"/>
      <c r="AR99" s="2174"/>
      <c r="AS99" s="2174"/>
      <c r="AT99" s="2174"/>
      <c r="AU99" s="2174"/>
      <c r="AV99" s="2174"/>
      <c r="AW99" s="2174"/>
      <c r="AX99" s="2174"/>
      <c r="AY99" s="2174"/>
      <c r="AZ99" s="2174"/>
    </row>
    <row r="100" spans="1:52" x14ac:dyDescent="0.25">
      <c r="A100" s="2174"/>
      <c r="B100" s="2174"/>
      <c r="C100" s="2174"/>
      <c r="D100" s="2174"/>
      <c r="E100" s="2174"/>
      <c r="F100" s="2174"/>
      <c r="G100" s="2174"/>
      <c r="H100" s="2174"/>
      <c r="I100" s="2174"/>
      <c r="J100" s="2174"/>
      <c r="AA100" s="2174"/>
      <c r="AB100" s="2174"/>
      <c r="AC100" s="2174"/>
      <c r="AD100" s="2174"/>
      <c r="AE100" s="2174"/>
      <c r="AF100" s="2174"/>
      <c r="AG100" s="2174"/>
      <c r="AH100" s="2174"/>
      <c r="AI100" s="2174"/>
      <c r="AJ100" s="2174"/>
      <c r="AK100" s="2174"/>
      <c r="AL100" s="2174"/>
      <c r="AM100" s="2174"/>
      <c r="AN100" s="2174"/>
      <c r="AO100" s="2174"/>
      <c r="AP100" s="2174"/>
      <c r="AQ100" s="2174"/>
      <c r="AR100" s="2174"/>
      <c r="AS100" s="2174"/>
      <c r="AT100" s="2174"/>
      <c r="AU100" s="2174"/>
      <c r="AV100" s="2174"/>
      <c r="AW100" s="2174"/>
      <c r="AX100" s="2174"/>
      <c r="AY100" s="2174"/>
      <c r="AZ100" s="2174"/>
    </row>
    <row r="101" spans="1:52" x14ac:dyDescent="0.25">
      <c r="A101" s="2174"/>
      <c r="B101" s="2174"/>
      <c r="C101" s="2174"/>
      <c r="D101" s="2174"/>
      <c r="E101" s="2174"/>
      <c r="F101" s="2174"/>
      <c r="G101" s="2174"/>
      <c r="H101" s="2174"/>
      <c r="I101" s="2174"/>
      <c r="J101" s="2174"/>
      <c r="AA101" s="2174"/>
      <c r="AB101" s="2174"/>
      <c r="AC101" s="2174"/>
      <c r="AD101" s="2174"/>
      <c r="AE101" s="2174"/>
      <c r="AF101" s="2174"/>
      <c r="AG101" s="2174"/>
      <c r="AH101" s="2174"/>
      <c r="AI101" s="2174"/>
      <c r="AJ101" s="2174"/>
      <c r="AK101" s="2174"/>
      <c r="AL101" s="2174"/>
      <c r="AM101" s="2174"/>
      <c r="AN101" s="2174"/>
      <c r="AO101" s="2174"/>
      <c r="AP101" s="2174"/>
      <c r="AQ101" s="2174"/>
      <c r="AR101" s="2174"/>
      <c r="AS101" s="2174"/>
      <c r="AT101" s="2174"/>
      <c r="AU101" s="2174"/>
      <c r="AV101" s="2174"/>
      <c r="AW101" s="2174"/>
      <c r="AX101" s="2174"/>
      <c r="AY101" s="2174"/>
      <c r="AZ101" s="2174"/>
    </row>
    <row r="102" spans="1:52" x14ac:dyDescent="0.25">
      <c r="A102" s="2174"/>
      <c r="B102" s="2174"/>
      <c r="C102" s="2174"/>
      <c r="D102" s="2174"/>
      <c r="E102" s="2174"/>
      <c r="F102" s="2174"/>
      <c r="G102" s="2174"/>
      <c r="H102" s="2174"/>
      <c r="I102" s="2174"/>
      <c r="J102" s="2174"/>
      <c r="AA102" s="2174"/>
      <c r="AB102" s="2174"/>
      <c r="AC102" s="2174"/>
      <c r="AD102" s="2174"/>
      <c r="AE102" s="2174"/>
      <c r="AF102" s="2174"/>
      <c r="AG102" s="2174"/>
      <c r="AH102" s="2174"/>
      <c r="AI102" s="2174"/>
      <c r="AJ102" s="2174"/>
      <c r="AK102" s="2174"/>
      <c r="AL102" s="2174"/>
      <c r="AM102" s="2174"/>
      <c r="AN102" s="2174"/>
      <c r="AO102" s="2174"/>
      <c r="AP102" s="2174"/>
      <c r="AQ102" s="2174"/>
      <c r="AR102" s="2174"/>
      <c r="AS102" s="2174"/>
      <c r="AT102" s="2174"/>
      <c r="AU102" s="2174"/>
      <c r="AV102" s="2174"/>
      <c r="AW102" s="2174"/>
      <c r="AX102" s="2174"/>
      <c r="AY102" s="2174"/>
      <c r="AZ102" s="2174"/>
    </row>
    <row r="103" spans="1:52" x14ac:dyDescent="0.25">
      <c r="A103" s="2174"/>
      <c r="B103" s="2174"/>
      <c r="C103" s="2174"/>
      <c r="D103" s="2174"/>
      <c r="E103" s="2174"/>
      <c r="F103" s="2174"/>
      <c r="G103" s="2174"/>
      <c r="H103" s="2174"/>
      <c r="I103" s="2174"/>
      <c r="J103" s="2174"/>
      <c r="AA103" s="2174"/>
      <c r="AB103" s="2174"/>
      <c r="AC103" s="2174"/>
      <c r="AD103" s="2174"/>
      <c r="AE103" s="2174"/>
      <c r="AF103" s="2174"/>
      <c r="AG103" s="2174"/>
      <c r="AH103" s="2174"/>
      <c r="AI103" s="2174"/>
      <c r="AJ103" s="2174"/>
      <c r="AK103" s="2174"/>
      <c r="AL103" s="2174"/>
      <c r="AM103" s="2174"/>
      <c r="AN103" s="2174"/>
      <c r="AO103" s="2174"/>
      <c r="AP103" s="2174"/>
      <c r="AQ103" s="2174"/>
      <c r="AR103" s="2174"/>
      <c r="AS103" s="2174"/>
      <c r="AT103" s="2174"/>
      <c r="AU103" s="2174"/>
      <c r="AV103" s="2174"/>
      <c r="AW103" s="2174"/>
      <c r="AX103" s="2174"/>
      <c r="AY103" s="2174"/>
      <c r="AZ103" s="2174"/>
    </row>
    <row r="104" spans="1:52" x14ac:dyDescent="0.25">
      <c r="A104" s="2174"/>
      <c r="B104" s="2174"/>
      <c r="C104" s="2174"/>
      <c r="D104" s="2174"/>
      <c r="E104" s="2174"/>
      <c r="F104" s="2174"/>
      <c r="G104" s="2174"/>
      <c r="H104" s="2174"/>
      <c r="I104" s="2174"/>
      <c r="J104" s="2174"/>
      <c r="AA104" s="2174"/>
      <c r="AB104" s="2174"/>
      <c r="AC104" s="2174"/>
      <c r="AD104" s="2174"/>
      <c r="AE104" s="2174"/>
      <c r="AF104" s="2174"/>
      <c r="AG104" s="2174"/>
      <c r="AH104" s="2174"/>
      <c r="AI104" s="2174"/>
      <c r="AJ104" s="2174"/>
      <c r="AK104" s="2174"/>
      <c r="AL104" s="2174"/>
      <c r="AM104" s="2174"/>
      <c r="AN104" s="2174"/>
      <c r="AO104" s="2174"/>
      <c r="AP104" s="2174"/>
      <c r="AQ104" s="2174"/>
      <c r="AR104" s="2174"/>
      <c r="AS104" s="2174"/>
      <c r="AT104" s="2174"/>
      <c r="AU104" s="2174"/>
      <c r="AV104" s="2174"/>
      <c r="AW104" s="2174"/>
      <c r="AX104" s="2174"/>
      <c r="AY104" s="2174"/>
      <c r="AZ104" s="2174"/>
    </row>
    <row r="105" spans="1:52" x14ac:dyDescent="0.25">
      <c r="A105" s="2174"/>
      <c r="B105" s="2174"/>
      <c r="C105" s="2174"/>
      <c r="D105" s="2174"/>
      <c r="E105" s="2174"/>
      <c r="F105" s="2174"/>
      <c r="G105" s="2174"/>
      <c r="H105" s="2174"/>
      <c r="I105" s="2174"/>
      <c r="J105" s="2174"/>
      <c r="AA105" s="2174"/>
      <c r="AB105" s="2174"/>
      <c r="AC105" s="2174"/>
      <c r="AD105" s="2174"/>
      <c r="AE105" s="2174"/>
      <c r="AF105" s="2174"/>
      <c r="AG105" s="2174"/>
      <c r="AH105" s="2174"/>
      <c r="AI105" s="2174"/>
      <c r="AJ105" s="2174"/>
      <c r="AK105" s="2174"/>
      <c r="AL105" s="2174"/>
      <c r="AM105" s="2174"/>
      <c r="AN105" s="2174"/>
      <c r="AO105" s="2174"/>
      <c r="AP105" s="2174"/>
      <c r="AQ105" s="2174"/>
      <c r="AR105" s="2174"/>
      <c r="AS105" s="2174"/>
      <c r="AT105" s="2174"/>
      <c r="AU105" s="2174"/>
      <c r="AV105" s="2174"/>
      <c r="AW105" s="2174"/>
      <c r="AX105" s="2174"/>
      <c r="AY105" s="2174"/>
      <c r="AZ105" s="2174"/>
    </row>
    <row r="106" spans="1:52" x14ac:dyDescent="0.25">
      <c r="A106" s="2174"/>
      <c r="B106" s="2174"/>
      <c r="C106" s="2174"/>
      <c r="D106" s="2174"/>
      <c r="E106" s="2174"/>
      <c r="F106" s="2174"/>
      <c r="G106" s="2174"/>
      <c r="H106" s="2174"/>
      <c r="I106" s="2174"/>
      <c r="J106" s="2174"/>
      <c r="AA106" s="2174"/>
      <c r="AB106" s="2174"/>
      <c r="AC106" s="2174"/>
      <c r="AD106" s="2174"/>
      <c r="AE106" s="2174"/>
      <c r="AF106" s="2174"/>
      <c r="AG106" s="2174"/>
      <c r="AH106" s="2174"/>
      <c r="AI106" s="2174"/>
      <c r="AJ106" s="2174"/>
      <c r="AK106" s="2174"/>
      <c r="AL106" s="2174"/>
      <c r="AM106" s="2174"/>
      <c r="AN106" s="2174"/>
      <c r="AO106" s="2174"/>
      <c r="AP106" s="2174"/>
      <c r="AQ106" s="2174"/>
      <c r="AR106" s="2174"/>
      <c r="AS106" s="2174"/>
      <c r="AT106" s="2174"/>
      <c r="AU106" s="2174"/>
      <c r="AV106" s="2174"/>
      <c r="AW106" s="2174"/>
      <c r="AX106" s="2174"/>
      <c r="AY106" s="2174"/>
      <c r="AZ106" s="2174"/>
    </row>
    <row r="107" spans="1:52" x14ac:dyDescent="0.25">
      <c r="A107" s="2174"/>
      <c r="B107" s="2174"/>
      <c r="C107" s="2174"/>
      <c r="D107" s="2174"/>
      <c r="E107" s="2174"/>
      <c r="F107" s="2174"/>
      <c r="G107" s="2174"/>
      <c r="H107" s="2174"/>
      <c r="I107" s="2174"/>
      <c r="J107" s="2174"/>
      <c r="AA107" s="2174"/>
      <c r="AB107" s="2174"/>
      <c r="AC107" s="2174"/>
      <c r="AD107" s="2174"/>
      <c r="AE107" s="2174"/>
      <c r="AF107" s="2174"/>
      <c r="AG107" s="2174"/>
      <c r="AH107" s="2174"/>
      <c r="AI107" s="2174"/>
      <c r="AJ107" s="2174"/>
      <c r="AK107" s="2174"/>
      <c r="AL107" s="2174"/>
      <c r="AM107" s="2174"/>
      <c r="AN107" s="2174"/>
      <c r="AO107" s="2174"/>
      <c r="AP107" s="2174"/>
      <c r="AQ107" s="2174"/>
      <c r="AR107" s="2174"/>
      <c r="AS107" s="2174"/>
      <c r="AT107" s="2174"/>
      <c r="AU107" s="2174"/>
      <c r="AV107" s="2174"/>
      <c r="AW107" s="2174"/>
      <c r="AX107" s="2174"/>
      <c r="AY107" s="2174"/>
      <c r="AZ107" s="2174"/>
    </row>
    <row r="108" spans="1:52" x14ac:dyDescent="0.25">
      <c r="A108" s="2174"/>
      <c r="B108" s="2174"/>
      <c r="C108" s="2174"/>
      <c r="D108" s="2174"/>
      <c r="E108" s="2174"/>
      <c r="F108" s="2174"/>
      <c r="G108" s="2174"/>
      <c r="H108" s="2174"/>
      <c r="I108" s="2174"/>
      <c r="J108" s="2174"/>
      <c r="AA108" s="2174"/>
      <c r="AB108" s="2174"/>
      <c r="AC108" s="2174"/>
      <c r="AD108" s="2174"/>
      <c r="AE108" s="2174"/>
      <c r="AF108" s="2174"/>
      <c r="AG108" s="2174"/>
      <c r="AH108" s="2174"/>
      <c r="AI108" s="2174"/>
      <c r="AJ108" s="2174"/>
      <c r="AK108" s="2174"/>
      <c r="AL108" s="2174"/>
      <c r="AM108" s="2174"/>
      <c r="AN108" s="2174"/>
      <c r="AO108" s="2174"/>
      <c r="AP108" s="2174"/>
      <c r="AQ108" s="2174"/>
      <c r="AR108" s="2174"/>
      <c r="AS108" s="2174"/>
      <c r="AT108" s="2174"/>
      <c r="AU108" s="2174"/>
      <c r="AV108" s="2174"/>
      <c r="AW108" s="2174"/>
      <c r="AX108" s="2174"/>
      <c r="AY108" s="2174"/>
      <c r="AZ108" s="2174"/>
    </row>
    <row r="109" spans="1:52" x14ac:dyDescent="0.25">
      <c r="A109" s="2174"/>
      <c r="B109" s="2174"/>
      <c r="C109" s="2174"/>
      <c r="D109" s="2174"/>
      <c r="E109" s="2174"/>
      <c r="F109" s="2174"/>
      <c r="G109" s="2174"/>
      <c r="H109" s="2174"/>
      <c r="I109" s="2174"/>
      <c r="J109" s="2174"/>
      <c r="AA109" s="2174"/>
      <c r="AB109" s="2174"/>
      <c r="AC109" s="2174"/>
      <c r="AD109" s="2174"/>
      <c r="AE109" s="2174"/>
      <c r="AF109" s="2174"/>
      <c r="AG109" s="2174"/>
      <c r="AH109" s="2174"/>
      <c r="AI109" s="2174"/>
      <c r="AJ109" s="2174"/>
      <c r="AK109" s="2174"/>
      <c r="AL109" s="2174"/>
      <c r="AM109" s="2174"/>
      <c r="AN109" s="2174"/>
      <c r="AO109" s="2174"/>
      <c r="AP109" s="2174"/>
      <c r="AQ109" s="2174"/>
      <c r="AR109" s="2174"/>
      <c r="AS109" s="2174"/>
      <c r="AT109" s="2174"/>
      <c r="AU109" s="2174"/>
      <c r="AV109" s="2174"/>
      <c r="AW109" s="2174"/>
      <c r="AX109" s="2174"/>
      <c r="AY109" s="2174"/>
      <c r="AZ109" s="2174"/>
    </row>
    <row r="110" spans="1:52" x14ac:dyDescent="0.25">
      <c r="A110" s="2174"/>
      <c r="B110" s="2174"/>
      <c r="C110" s="2174"/>
      <c r="D110" s="2174"/>
      <c r="E110" s="2174"/>
      <c r="F110" s="2174"/>
      <c r="G110" s="2174"/>
      <c r="H110" s="2174"/>
      <c r="I110" s="2174"/>
      <c r="J110" s="2174"/>
      <c r="AA110" s="2174"/>
      <c r="AB110" s="2174"/>
      <c r="AC110" s="2174"/>
      <c r="AD110" s="2174"/>
      <c r="AE110" s="2174"/>
      <c r="AF110" s="2174"/>
      <c r="AG110" s="2174"/>
      <c r="AH110" s="2174"/>
      <c r="AI110" s="2174"/>
      <c r="AJ110" s="2174"/>
      <c r="AK110" s="2174"/>
      <c r="AL110" s="2174"/>
      <c r="AM110" s="2174"/>
      <c r="AN110" s="2174"/>
      <c r="AO110" s="2174"/>
      <c r="AP110" s="2174"/>
      <c r="AQ110" s="2174"/>
      <c r="AR110" s="2174"/>
      <c r="AS110" s="2174"/>
      <c r="AT110" s="2174"/>
      <c r="AU110" s="2174"/>
      <c r="AV110" s="2174"/>
      <c r="AW110" s="2174"/>
      <c r="AX110" s="2174"/>
      <c r="AY110" s="2174"/>
      <c r="AZ110" s="2174"/>
    </row>
    <row r="111" spans="1:52" x14ac:dyDescent="0.25">
      <c r="A111" s="2174"/>
      <c r="B111" s="2174"/>
      <c r="C111" s="2174"/>
      <c r="D111" s="2174"/>
      <c r="E111" s="2174"/>
      <c r="F111" s="2174"/>
      <c r="G111" s="2174"/>
      <c r="H111" s="2174"/>
      <c r="I111" s="2174"/>
      <c r="J111" s="2174"/>
      <c r="AA111" s="2174"/>
      <c r="AB111" s="2174"/>
      <c r="AC111" s="2174"/>
      <c r="AD111" s="2174"/>
      <c r="AE111" s="2174"/>
      <c r="AF111" s="2174"/>
      <c r="AG111" s="2174"/>
      <c r="AH111" s="2174"/>
      <c r="AI111" s="2174"/>
      <c r="AJ111" s="2174"/>
      <c r="AK111" s="2174"/>
      <c r="AL111" s="2174"/>
      <c r="AM111" s="2174"/>
      <c r="AN111" s="2174"/>
      <c r="AO111" s="2174"/>
      <c r="AP111" s="2174"/>
      <c r="AQ111" s="2174"/>
      <c r="AR111" s="2174"/>
      <c r="AS111" s="2174"/>
      <c r="AT111" s="2174"/>
      <c r="AU111" s="2174"/>
      <c r="AV111" s="2174"/>
      <c r="AW111" s="2174"/>
      <c r="AX111" s="2174"/>
      <c r="AY111" s="2174"/>
      <c r="AZ111" s="2174"/>
    </row>
    <row r="112" spans="1:52" x14ac:dyDescent="0.25">
      <c r="A112" s="2174"/>
      <c r="B112" s="2174"/>
      <c r="C112" s="2174"/>
      <c r="D112" s="2174"/>
      <c r="E112" s="2174"/>
      <c r="F112" s="2174"/>
      <c r="G112" s="2174"/>
      <c r="H112" s="2174"/>
      <c r="I112" s="2174"/>
      <c r="J112" s="2174"/>
      <c r="AA112" s="2174"/>
      <c r="AB112" s="2174"/>
      <c r="AC112" s="2174"/>
      <c r="AD112" s="2174"/>
      <c r="AE112" s="2174"/>
      <c r="AF112" s="2174"/>
      <c r="AG112" s="2174"/>
      <c r="AH112" s="2174"/>
      <c r="AI112" s="2174"/>
      <c r="AJ112" s="2174"/>
      <c r="AK112" s="2174"/>
      <c r="AL112" s="2174"/>
      <c r="AM112" s="2174"/>
      <c r="AN112" s="2174"/>
      <c r="AO112" s="2174"/>
      <c r="AP112" s="2174"/>
      <c r="AQ112" s="2174"/>
      <c r="AR112" s="2174"/>
      <c r="AS112" s="2174"/>
      <c r="AT112" s="2174"/>
      <c r="AU112" s="2174"/>
      <c r="AV112" s="2174"/>
      <c r="AW112" s="2174"/>
      <c r="AX112" s="2174"/>
      <c r="AY112" s="2174"/>
      <c r="AZ112" s="2174"/>
    </row>
    <row r="113" spans="1:52" x14ac:dyDescent="0.25">
      <c r="A113" s="2174"/>
      <c r="B113" s="2174"/>
      <c r="C113" s="2174"/>
      <c r="D113" s="2174"/>
      <c r="E113" s="2174"/>
      <c r="F113" s="2174"/>
      <c r="G113" s="2174"/>
      <c r="H113" s="2174"/>
      <c r="I113" s="2174"/>
      <c r="J113" s="2174"/>
      <c r="AA113" s="2174"/>
      <c r="AB113" s="2174"/>
      <c r="AC113" s="2174"/>
      <c r="AD113" s="2174"/>
      <c r="AE113" s="2174"/>
      <c r="AF113" s="2174"/>
      <c r="AG113" s="2174"/>
      <c r="AH113" s="2174"/>
      <c r="AI113" s="2174"/>
      <c r="AJ113" s="2174"/>
      <c r="AK113" s="2174"/>
      <c r="AL113" s="2174"/>
      <c r="AM113" s="2174"/>
      <c r="AN113" s="2174"/>
      <c r="AO113" s="2174"/>
      <c r="AP113" s="2174"/>
      <c r="AQ113" s="2174"/>
      <c r="AR113" s="2174"/>
      <c r="AS113" s="2174"/>
      <c r="AT113" s="2174"/>
      <c r="AU113" s="2174"/>
      <c r="AV113" s="2174"/>
      <c r="AW113" s="2174"/>
      <c r="AX113" s="2174"/>
      <c r="AY113" s="2174"/>
      <c r="AZ113" s="2174"/>
    </row>
    <row r="114" spans="1:52" x14ac:dyDescent="0.25">
      <c r="A114" s="2174"/>
      <c r="B114" s="2174"/>
      <c r="C114" s="2174"/>
      <c r="D114" s="2174"/>
      <c r="E114" s="2174"/>
      <c r="F114" s="2174"/>
      <c r="G114" s="2174"/>
      <c r="H114" s="2174"/>
      <c r="I114" s="2174"/>
      <c r="J114" s="2174"/>
      <c r="AA114" s="2174"/>
      <c r="AB114" s="2174"/>
      <c r="AC114" s="2174"/>
      <c r="AD114" s="2174"/>
      <c r="AE114" s="2174"/>
      <c r="AF114" s="2174"/>
      <c r="AG114" s="2174"/>
      <c r="AH114" s="2174"/>
      <c r="AI114" s="2174"/>
      <c r="AJ114" s="2174"/>
      <c r="AK114" s="2174"/>
      <c r="AL114" s="2174"/>
      <c r="AM114" s="2174"/>
      <c r="AN114" s="2174"/>
      <c r="AO114" s="2174"/>
      <c r="AP114" s="2174"/>
      <c r="AQ114" s="2174"/>
      <c r="AR114" s="2174"/>
      <c r="AS114" s="2174"/>
      <c r="AT114" s="2174"/>
      <c r="AU114" s="2174"/>
      <c r="AV114" s="2174"/>
      <c r="AW114" s="2174"/>
      <c r="AX114" s="2174"/>
      <c r="AY114" s="2174"/>
      <c r="AZ114" s="2174"/>
    </row>
    <row r="115" spans="1:52" x14ac:dyDescent="0.25">
      <c r="A115" s="2174"/>
      <c r="B115" s="2174"/>
      <c r="C115" s="2174"/>
      <c r="D115" s="2174"/>
      <c r="E115" s="2174"/>
      <c r="F115" s="2174"/>
      <c r="G115" s="2174"/>
      <c r="H115" s="2174"/>
      <c r="I115" s="2174"/>
      <c r="J115" s="2174"/>
      <c r="AA115" s="2174"/>
      <c r="AB115" s="2174"/>
      <c r="AC115" s="2174"/>
      <c r="AD115" s="2174"/>
      <c r="AE115" s="2174"/>
      <c r="AF115" s="2174"/>
      <c r="AG115" s="2174"/>
      <c r="AH115" s="2174"/>
      <c r="AI115" s="2174"/>
      <c r="AJ115" s="2174"/>
      <c r="AK115" s="2174"/>
      <c r="AL115" s="2174"/>
      <c r="AM115" s="2174"/>
      <c r="AN115" s="2174"/>
      <c r="AO115" s="2174"/>
      <c r="AP115" s="2174"/>
      <c r="AQ115" s="2174"/>
      <c r="AR115" s="2174"/>
      <c r="AS115" s="2174"/>
      <c r="AT115" s="2174"/>
      <c r="AU115" s="2174"/>
      <c r="AV115" s="2174"/>
      <c r="AW115" s="2174"/>
      <c r="AX115" s="2174"/>
      <c r="AY115" s="2174"/>
      <c r="AZ115" s="2174"/>
    </row>
    <row r="116" spans="1:52" x14ac:dyDescent="0.25">
      <c r="A116" s="2174"/>
      <c r="B116" s="2174"/>
      <c r="C116" s="2174"/>
      <c r="D116" s="2174"/>
      <c r="E116" s="2174"/>
      <c r="F116" s="2174"/>
      <c r="G116" s="2174"/>
      <c r="H116" s="2174"/>
      <c r="I116" s="2174"/>
      <c r="J116" s="2174"/>
      <c r="AA116" s="2174"/>
      <c r="AB116" s="2174"/>
      <c r="AC116" s="2174"/>
      <c r="AD116" s="2174"/>
      <c r="AE116" s="2174"/>
      <c r="AF116" s="2174"/>
      <c r="AG116" s="2174"/>
      <c r="AH116" s="2174"/>
      <c r="AI116" s="2174"/>
      <c r="AJ116" s="2174"/>
      <c r="AK116" s="2174"/>
      <c r="AL116" s="2174"/>
      <c r="AM116" s="2174"/>
      <c r="AN116" s="2174"/>
      <c r="AO116" s="2174"/>
      <c r="AP116" s="2174"/>
      <c r="AQ116" s="2174"/>
      <c r="AR116" s="2174"/>
      <c r="AS116" s="2174"/>
      <c r="AT116" s="2174"/>
      <c r="AU116" s="2174"/>
      <c r="AV116" s="2174"/>
      <c r="AW116" s="2174"/>
      <c r="AX116" s="2174"/>
      <c r="AY116" s="2174"/>
      <c r="AZ116" s="2174"/>
    </row>
    <row r="117" spans="1:52" x14ac:dyDescent="0.25">
      <c r="A117" s="2174"/>
      <c r="B117" s="2174"/>
      <c r="C117" s="2174"/>
      <c r="D117" s="2174"/>
      <c r="E117" s="2174"/>
      <c r="F117" s="2174"/>
      <c r="G117" s="2174"/>
      <c r="H117" s="2174"/>
      <c r="I117" s="2174"/>
      <c r="J117" s="2174"/>
      <c r="AA117" s="2174"/>
      <c r="AB117" s="2174"/>
      <c r="AC117" s="2174"/>
      <c r="AD117" s="2174"/>
      <c r="AE117" s="2174"/>
      <c r="AF117" s="2174"/>
      <c r="AG117" s="2174"/>
      <c r="AH117" s="2174"/>
      <c r="AI117" s="2174"/>
      <c r="AJ117" s="2174"/>
      <c r="AK117" s="2174"/>
      <c r="AL117" s="2174"/>
      <c r="AM117" s="2174"/>
      <c r="AN117" s="2174"/>
      <c r="AO117" s="2174"/>
      <c r="AP117" s="2174"/>
      <c r="AQ117" s="2174"/>
      <c r="AR117" s="2174"/>
      <c r="AS117" s="2174"/>
      <c r="AT117" s="2174"/>
      <c r="AU117" s="2174"/>
      <c r="AV117" s="2174"/>
      <c r="AW117" s="2174"/>
      <c r="AX117" s="2174"/>
      <c r="AY117" s="2174"/>
      <c r="AZ117" s="2174"/>
    </row>
    <row r="118" spans="1:52" x14ac:dyDescent="0.25">
      <c r="A118" s="2174"/>
      <c r="B118" s="2174"/>
      <c r="C118" s="2174"/>
      <c r="D118" s="2174"/>
      <c r="E118" s="2174"/>
      <c r="F118" s="2174"/>
      <c r="G118" s="2174"/>
      <c r="H118" s="2174"/>
      <c r="I118" s="2174"/>
      <c r="J118" s="2174"/>
      <c r="AA118" s="2174"/>
      <c r="AB118" s="2174"/>
      <c r="AC118" s="2174"/>
      <c r="AD118" s="2174"/>
      <c r="AE118" s="2174"/>
      <c r="AF118" s="2174"/>
      <c r="AG118" s="2174"/>
      <c r="AH118" s="2174"/>
      <c r="AI118" s="2174"/>
      <c r="AJ118" s="2174"/>
      <c r="AK118" s="2174"/>
      <c r="AL118" s="2174"/>
      <c r="AM118" s="2174"/>
      <c r="AN118" s="2174"/>
      <c r="AO118" s="2174"/>
      <c r="AP118" s="2174"/>
      <c r="AQ118" s="2174"/>
      <c r="AR118" s="2174"/>
      <c r="AS118" s="2174"/>
      <c r="AT118" s="2174"/>
      <c r="AU118" s="2174"/>
      <c r="AV118" s="2174"/>
      <c r="AW118" s="2174"/>
      <c r="AX118" s="2174"/>
      <c r="AY118" s="2174"/>
      <c r="AZ118" s="2174"/>
    </row>
    <row r="119" spans="1:52" x14ac:dyDescent="0.25">
      <c r="A119" s="2174"/>
      <c r="B119" s="2174"/>
      <c r="C119" s="2174"/>
      <c r="D119" s="2174"/>
      <c r="E119" s="2174"/>
      <c r="F119" s="2174"/>
      <c r="G119" s="2174"/>
      <c r="H119" s="2174"/>
      <c r="I119" s="2174"/>
      <c r="J119" s="2174"/>
      <c r="AA119" s="2174"/>
      <c r="AB119" s="2174"/>
      <c r="AC119" s="2174"/>
      <c r="AD119" s="2174"/>
      <c r="AE119" s="2174"/>
      <c r="AF119" s="2174"/>
      <c r="AG119" s="2174"/>
      <c r="AH119" s="2174"/>
      <c r="AI119" s="2174"/>
      <c r="AJ119" s="2174"/>
      <c r="AK119" s="2174"/>
      <c r="AL119" s="2174"/>
      <c r="AM119" s="2174"/>
      <c r="AN119" s="2174"/>
      <c r="AO119" s="2174"/>
      <c r="AP119" s="2174"/>
      <c r="AQ119" s="2174"/>
      <c r="AR119" s="2174"/>
      <c r="AS119" s="2174"/>
      <c r="AT119" s="2174"/>
      <c r="AU119" s="2174"/>
      <c r="AV119" s="2174"/>
      <c r="AW119" s="2174"/>
      <c r="AX119" s="2174"/>
      <c r="AY119" s="2174"/>
      <c r="AZ119" s="2174"/>
    </row>
    <row r="120" spans="1:52" x14ac:dyDescent="0.25">
      <c r="A120" s="2174"/>
      <c r="B120" s="2174"/>
      <c r="C120" s="2174"/>
      <c r="D120" s="2174"/>
      <c r="E120" s="2174"/>
      <c r="F120" s="2174"/>
      <c r="G120" s="2174"/>
      <c r="H120" s="2174"/>
      <c r="I120" s="2174"/>
      <c r="J120" s="2174"/>
      <c r="AA120" s="2174"/>
      <c r="AB120" s="2174"/>
      <c r="AC120" s="2174"/>
      <c r="AD120" s="2174"/>
      <c r="AE120" s="2174"/>
      <c r="AF120" s="2174"/>
      <c r="AG120" s="2174"/>
      <c r="AH120" s="2174"/>
      <c r="AI120" s="2174"/>
      <c r="AJ120" s="2174"/>
      <c r="AK120" s="2174"/>
      <c r="AL120" s="2174"/>
      <c r="AM120" s="2174"/>
      <c r="AN120" s="2174"/>
      <c r="AO120" s="2174"/>
      <c r="AP120" s="2174"/>
      <c r="AQ120" s="2174"/>
      <c r="AR120" s="2174"/>
      <c r="AS120" s="2174"/>
      <c r="AT120" s="2174"/>
      <c r="AU120" s="2174"/>
      <c r="AV120" s="2174"/>
      <c r="AW120" s="2174"/>
      <c r="AX120" s="2174"/>
      <c r="AY120" s="2174"/>
      <c r="AZ120" s="2174"/>
    </row>
    <row r="121" spans="1:52" x14ac:dyDescent="0.25">
      <c r="A121" s="2174"/>
      <c r="B121" s="2174"/>
      <c r="C121" s="2174"/>
      <c r="D121" s="2174"/>
      <c r="E121" s="2174"/>
      <c r="F121" s="2174"/>
      <c r="G121" s="2174"/>
      <c r="H121" s="2174"/>
      <c r="I121" s="2174"/>
      <c r="J121" s="2174"/>
      <c r="AA121" s="2174"/>
      <c r="AB121" s="2174"/>
      <c r="AC121" s="2174"/>
      <c r="AD121" s="2174"/>
      <c r="AE121" s="2174"/>
      <c r="AF121" s="2174"/>
      <c r="AG121" s="2174"/>
      <c r="AH121" s="2174"/>
      <c r="AI121" s="2174"/>
      <c r="AJ121" s="2174"/>
      <c r="AK121" s="2174"/>
      <c r="AL121" s="2174"/>
      <c r="AM121" s="2174"/>
      <c r="AN121" s="2174"/>
      <c r="AO121" s="2174"/>
      <c r="AP121" s="2174"/>
      <c r="AQ121" s="2174"/>
      <c r="AR121" s="2174"/>
      <c r="AS121" s="2174"/>
      <c r="AT121" s="2174"/>
      <c r="AU121" s="2174"/>
      <c r="AV121" s="2174"/>
      <c r="AW121" s="2174"/>
      <c r="AX121" s="2174"/>
      <c r="AY121" s="2174"/>
      <c r="AZ121" s="2174"/>
    </row>
    <row r="122" spans="1:52" x14ac:dyDescent="0.25">
      <c r="A122" s="2174"/>
      <c r="B122" s="2174"/>
      <c r="C122" s="2174"/>
      <c r="D122" s="2174"/>
      <c r="E122" s="2174"/>
      <c r="F122" s="2174"/>
      <c r="G122" s="2174"/>
      <c r="H122" s="2174"/>
      <c r="I122" s="2174"/>
      <c r="J122" s="2174"/>
      <c r="AA122" s="2174"/>
      <c r="AB122" s="2174"/>
      <c r="AC122" s="2174"/>
      <c r="AD122" s="2174"/>
      <c r="AE122" s="2174"/>
      <c r="AF122" s="2174"/>
      <c r="AG122" s="2174"/>
      <c r="AH122" s="2174"/>
      <c r="AI122" s="2174"/>
      <c r="AJ122" s="2174"/>
      <c r="AK122" s="2174"/>
      <c r="AL122" s="2174"/>
      <c r="AM122" s="2174"/>
      <c r="AN122" s="2174"/>
      <c r="AO122" s="2174"/>
      <c r="AP122" s="2174"/>
      <c r="AQ122" s="2174"/>
      <c r="AR122" s="2174"/>
      <c r="AS122" s="2174"/>
      <c r="AT122" s="2174"/>
      <c r="AU122" s="2174"/>
      <c r="AV122" s="2174"/>
      <c r="AW122" s="2174"/>
      <c r="AX122" s="2174"/>
      <c r="AY122" s="2174"/>
      <c r="AZ122" s="2174"/>
    </row>
    <row r="123" spans="1:52" x14ac:dyDescent="0.25">
      <c r="A123" s="2174"/>
      <c r="B123" s="2174"/>
      <c r="C123" s="2174"/>
      <c r="D123" s="2174"/>
      <c r="E123" s="2174"/>
      <c r="F123" s="2174"/>
      <c r="G123" s="2174"/>
      <c r="H123" s="2174"/>
      <c r="I123" s="2174"/>
      <c r="J123" s="2174"/>
      <c r="AA123" s="2174"/>
      <c r="AB123" s="2174"/>
      <c r="AC123" s="2174"/>
      <c r="AD123" s="2174"/>
      <c r="AE123" s="2174"/>
      <c r="AF123" s="2174"/>
      <c r="AG123" s="2174"/>
      <c r="AH123" s="2174"/>
      <c r="AI123" s="2174"/>
      <c r="AJ123" s="2174"/>
      <c r="AK123" s="2174"/>
      <c r="AL123" s="2174"/>
      <c r="AM123" s="2174"/>
      <c r="AN123" s="2174"/>
      <c r="AO123" s="2174"/>
      <c r="AP123" s="2174"/>
      <c r="AQ123" s="2174"/>
      <c r="AR123" s="2174"/>
      <c r="AS123" s="2174"/>
      <c r="AT123" s="2174"/>
      <c r="AU123" s="2174"/>
      <c r="AV123" s="2174"/>
      <c r="AW123" s="2174"/>
      <c r="AX123" s="2174"/>
      <c r="AY123" s="2174"/>
      <c r="AZ123" s="2174"/>
    </row>
    <row r="124" spans="1:52" x14ac:dyDescent="0.25">
      <c r="A124" s="2174"/>
      <c r="B124" s="2174"/>
      <c r="C124" s="2174"/>
      <c r="D124" s="2174"/>
      <c r="E124" s="2174"/>
      <c r="F124" s="2174"/>
      <c r="G124" s="2174"/>
      <c r="H124" s="2174"/>
      <c r="I124" s="2174"/>
      <c r="J124" s="2174"/>
      <c r="AA124" s="2174"/>
      <c r="AB124" s="2174"/>
      <c r="AC124" s="2174"/>
      <c r="AD124" s="2174"/>
      <c r="AE124" s="2174"/>
      <c r="AF124" s="2174"/>
      <c r="AG124" s="2174"/>
      <c r="AH124" s="2174"/>
      <c r="AI124" s="2174"/>
      <c r="AJ124" s="2174"/>
      <c r="AK124" s="2174"/>
      <c r="AL124" s="2174"/>
      <c r="AM124" s="2174"/>
      <c r="AN124" s="2174"/>
      <c r="AO124" s="2174"/>
      <c r="AP124" s="2174"/>
      <c r="AQ124" s="2174"/>
      <c r="AR124" s="2174"/>
      <c r="AS124" s="2174"/>
      <c r="AT124" s="2174"/>
      <c r="AU124" s="2174"/>
      <c r="AV124" s="2174"/>
      <c r="AW124" s="2174"/>
      <c r="AX124" s="2174"/>
      <c r="AY124" s="2174"/>
      <c r="AZ124" s="2174"/>
    </row>
    <row r="125" spans="1:52" x14ac:dyDescent="0.25">
      <c r="A125" s="2174"/>
      <c r="B125" s="2174"/>
      <c r="C125" s="2174"/>
      <c r="D125" s="2174"/>
      <c r="E125" s="2174"/>
      <c r="F125" s="2174"/>
      <c r="G125" s="2174"/>
      <c r="H125" s="2174"/>
      <c r="I125" s="2174"/>
      <c r="J125" s="2174"/>
      <c r="AA125" s="2174"/>
      <c r="AB125" s="2174"/>
      <c r="AC125" s="2174"/>
      <c r="AD125" s="2174"/>
      <c r="AE125" s="2174"/>
      <c r="AF125" s="2174"/>
      <c r="AG125" s="2174"/>
      <c r="AH125" s="2174"/>
      <c r="AI125" s="2174"/>
      <c r="AJ125" s="2174"/>
      <c r="AK125" s="2174"/>
      <c r="AL125" s="2174"/>
      <c r="AM125" s="2174"/>
      <c r="AN125" s="2174"/>
      <c r="AO125" s="2174"/>
      <c r="AP125" s="2174"/>
      <c r="AQ125" s="2174"/>
      <c r="AR125" s="2174"/>
      <c r="AS125" s="2174"/>
      <c r="AT125" s="2174"/>
      <c r="AU125" s="2174"/>
      <c r="AV125" s="2174"/>
      <c r="AW125" s="2174"/>
      <c r="AX125" s="2174"/>
      <c r="AY125" s="2174"/>
      <c r="AZ125" s="2174"/>
    </row>
    <row r="126" spans="1:52" x14ac:dyDescent="0.25">
      <c r="A126" s="2174"/>
      <c r="B126" s="2174"/>
      <c r="C126" s="2174"/>
      <c r="D126" s="2174"/>
      <c r="E126" s="2174"/>
      <c r="F126" s="2174"/>
      <c r="G126" s="2174"/>
      <c r="H126" s="2174"/>
      <c r="I126" s="2174"/>
      <c r="J126" s="2174"/>
      <c r="AA126" s="2174"/>
      <c r="AB126" s="2174"/>
      <c r="AC126" s="2174"/>
      <c r="AD126" s="2174"/>
      <c r="AE126" s="2174"/>
      <c r="AF126" s="2174"/>
      <c r="AG126" s="2174"/>
      <c r="AH126" s="2174"/>
      <c r="AI126" s="2174"/>
      <c r="AJ126" s="2174"/>
      <c r="AK126" s="2174"/>
      <c r="AL126" s="2174"/>
      <c r="AM126" s="2174"/>
      <c r="AN126" s="2174"/>
      <c r="AO126" s="2174"/>
      <c r="AP126" s="2174"/>
      <c r="AQ126" s="2174"/>
      <c r="AR126" s="2174"/>
      <c r="AS126" s="2174"/>
      <c r="AT126" s="2174"/>
      <c r="AU126" s="2174"/>
      <c r="AV126" s="2174"/>
      <c r="AW126" s="2174"/>
      <c r="AX126" s="2174"/>
      <c r="AY126" s="2174"/>
      <c r="AZ126" s="2174"/>
    </row>
    <row r="127" spans="1:52" x14ac:dyDescent="0.25">
      <c r="A127" s="2174"/>
      <c r="B127" s="2174"/>
      <c r="C127" s="2174"/>
      <c r="D127" s="2174"/>
      <c r="E127" s="2174"/>
      <c r="F127" s="2174"/>
      <c r="G127" s="2174"/>
      <c r="H127" s="2174"/>
      <c r="I127" s="2174"/>
      <c r="J127" s="2174"/>
      <c r="AA127" s="2174"/>
      <c r="AB127" s="2174"/>
      <c r="AC127" s="2174"/>
      <c r="AD127" s="2174"/>
      <c r="AE127" s="2174"/>
      <c r="AF127" s="2174"/>
      <c r="AG127" s="2174"/>
      <c r="AH127" s="2174"/>
      <c r="AI127" s="2174"/>
      <c r="AJ127" s="2174"/>
      <c r="AK127" s="2174"/>
      <c r="AL127" s="2174"/>
      <c r="AM127" s="2174"/>
      <c r="AN127" s="2174"/>
      <c r="AO127" s="2174"/>
      <c r="AP127" s="2174"/>
      <c r="AQ127" s="2174"/>
      <c r="AR127" s="2174"/>
      <c r="AS127" s="2174"/>
      <c r="AT127" s="2174"/>
      <c r="AU127" s="2174"/>
      <c r="AV127" s="2174"/>
      <c r="AW127" s="2174"/>
      <c r="AX127" s="2174"/>
      <c r="AY127" s="2174"/>
      <c r="AZ127" s="2174"/>
    </row>
    <row r="128" spans="1:52" x14ac:dyDescent="0.25">
      <c r="A128" s="2174"/>
      <c r="B128" s="2174"/>
      <c r="C128" s="2174"/>
      <c r="D128" s="2174"/>
      <c r="E128" s="2174"/>
      <c r="F128" s="2174"/>
      <c r="G128" s="2174"/>
      <c r="H128" s="2174"/>
      <c r="I128" s="2174"/>
      <c r="J128" s="2174"/>
      <c r="AA128" s="2174"/>
      <c r="AB128" s="2174"/>
      <c r="AC128" s="2174"/>
      <c r="AD128" s="2174"/>
      <c r="AE128" s="2174"/>
      <c r="AF128" s="2174"/>
      <c r="AG128" s="2174"/>
      <c r="AH128" s="2174"/>
      <c r="AI128" s="2174"/>
      <c r="AJ128" s="2174"/>
      <c r="AK128" s="2174"/>
      <c r="AL128" s="2174"/>
      <c r="AM128" s="2174"/>
      <c r="AN128" s="2174"/>
      <c r="AO128" s="2174"/>
      <c r="AP128" s="2174"/>
      <c r="AQ128" s="2174"/>
      <c r="AR128" s="2174"/>
      <c r="AS128" s="2174"/>
      <c r="AT128" s="2174"/>
      <c r="AU128" s="2174"/>
      <c r="AV128" s="2174"/>
      <c r="AW128" s="2174"/>
      <c r="AX128" s="2174"/>
      <c r="AY128" s="2174"/>
      <c r="AZ128" s="2174"/>
    </row>
    <row r="129" spans="1:52" x14ac:dyDescent="0.25">
      <c r="A129" s="2174"/>
      <c r="B129" s="2174"/>
      <c r="C129" s="2174"/>
      <c r="D129" s="2174"/>
      <c r="E129" s="2174"/>
      <c r="F129" s="2174"/>
      <c r="G129" s="2174"/>
      <c r="H129" s="2174"/>
      <c r="I129" s="2174"/>
      <c r="J129" s="2174"/>
      <c r="AA129" s="2174"/>
      <c r="AB129" s="2174"/>
      <c r="AC129" s="2174"/>
      <c r="AD129" s="2174"/>
      <c r="AE129" s="2174"/>
      <c r="AF129" s="2174"/>
      <c r="AG129" s="2174"/>
      <c r="AH129" s="2174"/>
      <c r="AI129" s="2174"/>
      <c r="AJ129" s="2174"/>
      <c r="AK129" s="2174"/>
      <c r="AL129" s="2174"/>
      <c r="AM129" s="2174"/>
      <c r="AN129" s="2174"/>
      <c r="AO129" s="2174"/>
      <c r="AP129" s="2174"/>
      <c r="AQ129" s="2174"/>
      <c r="AR129" s="2174"/>
      <c r="AS129" s="2174"/>
      <c r="AT129" s="2174"/>
      <c r="AU129" s="2174"/>
      <c r="AV129" s="2174"/>
      <c r="AW129" s="2174"/>
      <c r="AX129" s="2174"/>
      <c r="AY129" s="2174"/>
      <c r="AZ129" s="2174"/>
    </row>
    <row r="130" spans="1:52" x14ac:dyDescent="0.25">
      <c r="A130" s="2174"/>
      <c r="B130" s="2174"/>
      <c r="C130" s="2174"/>
      <c r="D130" s="2174"/>
      <c r="E130" s="2174"/>
      <c r="F130" s="2174"/>
      <c r="G130" s="2174"/>
      <c r="H130" s="2174"/>
      <c r="I130" s="2174"/>
      <c r="J130" s="2174"/>
      <c r="AA130" s="2174"/>
      <c r="AB130" s="2174"/>
      <c r="AC130" s="2174"/>
      <c r="AD130" s="2174"/>
      <c r="AE130" s="2174"/>
      <c r="AF130" s="2174"/>
      <c r="AG130" s="2174"/>
      <c r="AH130" s="2174"/>
      <c r="AI130" s="2174"/>
      <c r="AJ130" s="2174"/>
      <c r="AK130" s="2174"/>
      <c r="AL130" s="2174"/>
      <c r="AM130" s="2174"/>
      <c r="AN130" s="2174"/>
      <c r="AO130" s="2174"/>
      <c r="AP130" s="2174"/>
      <c r="AQ130" s="2174"/>
      <c r="AR130" s="2174"/>
      <c r="AS130" s="2174"/>
      <c r="AT130" s="2174"/>
      <c r="AU130" s="2174"/>
      <c r="AV130" s="2174"/>
      <c r="AW130" s="2174"/>
      <c r="AX130" s="2174"/>
      <c r="AY130" s="2174"/>
      <c r="AZ130" s="2174"/>
    </row>
    <row r="131" spans="1:52" x14ac:dyDescent="0.25">
      <c r="A131" s="2174"/>
      <c r="B131" s="2174"/>
      <c r="C131" s="2174"/>
      <c r="D131" s="2174"/>
      <c r="E131" s="2174"/>
      <c r="F131" s="2174"/>
      <c r="G131" s="2174"/>
      <c r="H131" s="2174"/>
      <c r="I131" s="2174"/>
      <c r="J131" s="2174"/>
      <c r="AA131" s="2174"/>
      <c r="AB131" s="2174"/>
      <c r="AC131" s="2174"/>
      <c r="AD131" s="2174"/>
      <c r="AE131" s="2174"/>
      <c r="AF131" s="2174"/>
      <c r="AG131" s="2174"/>
      <c r="AH131" s="2174"/>
      <c r="AI131" s="2174"/>
      <c r="AJ131" s="2174"/>
      <c r="AK131" s="2174"/>
      <c r="AL131" s="2174"/>
      <c r="AM131" s="2174"/>
      <c r="AN131" s="2174"/>
      <c r="AO131" s="2174"/>
      <c r="AP131" s="2174"/>
      <c r="AQ131" s="2174"/>
      <c r="AR131" s="2174"/>
      <c r="AS131" s="2174"/>
      <c r="AT131" s="2174"/>
      <c r="AU131" s="2174"/>
      <c r="AV131" s="2174"/>
      <c r="AW131" s="2174"/>
      <c r="AX131" s="2174"/>
      <c r="AY131" s="2174"/>
      <c r="AZ131" s="2174"/>
    </row>
    <row r="132" spans="1:52" x14ac:dyDescent="0.25">
      <c r="A132" s="2174"/>
      <c r="B132" s="2174"/>
      <c r="C132" s="2174"/>
      <c r="D132" s="2174"/>
      <c r="E132" s="2174"/>
      <c r="F132" s="2174"/>
      <c r="G132" s="2174"/>
      <c r="H132" s="2174"/>
      <c r="I132" s="2174"/>
      <c r="J132" s="2174"/>
      <c r="AA132" s="2174"/>
      <c r="AB132" s="2174"/>
      <c r="AC132" s="2174"/>
      <c r="AD132" s="2174"/>
      <c r="AE132" s="2174"/>
      <c r="AF132" s="2174"/>
      <c r="AG132" s="2174"/>
      <c r="AH132" s="2174"/>
      <c r="AI132" s="2174"/>
      <c r="AJ132" s="2174"/>
      <c r="AK132" s="2174"/>
      <c r="AL132" s="2174"/>
      <c r="AM132" s="2174"/>
      <c r="AN132" s="2174"/>
      <c r="AO132" s="2174"/>
      <c r="AP132" s="2174"/>
      <c r="AQ132" s="2174"/>
      <c r="AR132" s="2174"/>
      <c r="AS132" s="2174"/>
      <c r="AT132" s="2174"/>
      <c r="AU132" s="2174"/>
      <c r="AV132" s="2174"/>
      <c r="AW132" s="2174"/>
      <c r="AX132" s="2174"/>
      <c r="AY132" s="2174"/>
      <c r="AZ132" s="2174"/>
    </row>
    <row r="133" spans="1:52" x14ac:dyDescent="0.25">
      <c r="A133" s="2174"/>
      <c r="B133" s="2174"/>
      <c r="C133" s="2174"/>
      <c r="D133" s="2174"/>
      <c r="E133" s="2174"/>
      <c r="F133" s="2174"/>
      <c r="G133" s="2174"/>
      <c r="H133" s="2174"/>
      <c r="I133" s="2174"/>
      <c r="J133" s="2174"/>
      <c r="AA133" s="2174"/>
      <c r="AB133" s="2174"/>
      <c r="AC133" s="2174"/>
      <c r="AD133" s="2174"/>
      <c r="AE133" s="2174"/>
      <c r="AF133" s="2174"/>
      <c r="AG133" s="2174"/>
      <c r="AH133" s="2174"/>
      <c r="AI133" s="2174"/>
      <c r="AJ133" s="2174"/>
      <c r="AK133" s="2174"/>
      <c r="AL133" s="2174"/>
      <c r="AM133" s="2174"/>
      <c r="AN133" s="2174"/>
      <c r="AO133" s="2174"/>
      <c r="AP133" s="2174"/>
      <c r="AQ133" s="2174"/>
      <c r="AR133" s="2174"/>
      <c r="AS133" s="2174"/>
      <c r="AT133" s="2174"/>
      <c r="AU133" s="2174"/>
      <c r="AV133" s="2174"/>
      <c r="AW133" s="2174"/>
      <c r="AX133" s="2174"/>
      <c r="AY133" s="2174"/>
      <c r="AZ133" s="2174"/>
    </row>
    <row r="134" spans="1:52" x14ac:dyDescent="0.25">
      <c r="A134" s="2174"/>
      <c r="B134" s="2174"/>
      <c r="C134" s="2174"/>
      <c r="D134" s="2174"/>
      <c r="E134" s="2174"/>
      <c r="F134" s="2174"/>
      <c r="G134" s="2174"/>
      <c r="H134" s="2174"/>
      <c r="I134" s="2174"/>
      <c r="J134" s="2174"/>
      <c r="AA134" s="2174"/>
      <c r="AB134" s="2174"/>
      <c r="AC134" s="2174"/>
      <c r="AD134" s="2174"/>
      <c r="AE134" s="2174"/>
      <c r="AF134" s="2174"/>
      <c r="AG134" s="2174"/>
      <c r="AH134" s="2174"/>
      <c r="AI134" s="2174"/>
      <c r="AJ134" s="2174"/>
      <c r="AK134" s="2174"/>
      <c r="AL134" s="2174"/>
      <c r="AM134" s="2174"/>
      <c r="AN134" s="2174"/>
      <c r="AO134" s="2174"/>
      <c r="AP134" s="2174"/>
      <c r="AQ134" s="2174"/>
      <c r="AR134" s="2174"/>
      <c r="AS134" s="2174"/>
      <c r="AT134" s="2174"/>
      <c r="AU134" s="2174"/>
      <c r="AV134" s="2174"/>
      <c r="AW134" s="2174"/>
      <c r="AX134" s="2174"/>
      <c r="AY134" s="2174"/>
      <c r="AZ134" s="2174"/>
    </row>
    <row r="135" spans="1:52" x14ac:dyDescent="0.25">
      <c r="A135" s="2174"/>
      <c r="B135" s="2174"/>
      <c r="C135" s="2174"/>
      <c r="D135" s="2174"/>
      <c r="E135" s="2174"/>
      <c r="F135" s="2174"/>
      <c r="G135" s="2174"/>
      <c r="H135" s="2174"/>
      <c r="I135" s="2174"/>
      <c r="J135" s="2174"/>
      <c r="AA135" s="2174"/>
      <c r="AB135" s="2174"/>
      <c r="AC135" s="2174"/>
      <c r="AD135" s="2174"/>
      <c r="AE135" s="2174"/>
      <c r="AF135" s="2174"/>
      <c r="AG135" s="2174"/>
      <c r="AH135" s="2174"/>
      <c r="AI135" s="2174"/>
      <c r="AJ135" s="2174"/>
      <c r="AK135" s="2174"/>
      <c r="AL135" s="2174"/>
      <c r="AM135" s="2174"/>
      <c r="AN135" s="2174"/>
      <c r="AO135" s="2174"/>
      <c r="AP135" s="2174"/>
      <c r="AQ135" s="2174"/>
      <c r="AR135" s="2174"/>
      <c r="AS135" s="2174"/>
      <c r="AT135" s="2174"/>
      <c r="AU135" s="2174"/>
      <c r="AV135" s="2174"/>
      <c r="AW135" s="2174"/>
      <c r="AX135" s="2174"/>
      <c r="AY135" s="2174"/>
      <c r="AZ135" s="2174"/>
    </row>
    <row r="136" spans="1:52" x14ac:dyDescent="0.25">
      <c r="A136" s="2174"/>
      <c r="B136" s="2174"/>
      <c r="C136" s="2174"/>
      <c r="D136" s="2174"/>
      <c r="E136" s="2174"/>
      <c r="F136" s="2174"/>
      <c r="G136" s="2174"/>
      <c r="H136" s="2174"/>
      <c r="I136" s="2174"/>
      <c r="J136" s="2174"/>
      <c r="AA136" s="2174"/>
      <c r="AB136" s="2174"/>
      <c r="AC136" s="2174"/>
      <c r="AD136" s="2174"/>
      <c r="AE136" s="2174"/>
      <c r="AF136" s="2174"/>
      <c r="AG136" s="2174"/>
      <c r="AH136" s="2174"/>
      <c r="AI136" s="2174"/>
      <c r="AJ136" s="2174"/>
      <c r="AK136" s="2174"/>
      <c r="AL136" s="2174"/>
      <c r="AM136" s="2174"/>
      <c r="AN136" s="2174"/>
      <c r="AO136" s="2174"/>
      <c r="AP136" s="2174"/>
      <c r="AQ136" s="2174"/>
      <c r="AR136" s="2174"/>
      <c r="AS136" s="2174"/>
      <c r="AT136" s="2174"/>
      <c r="AU136" s="2174"/>
      <c r="AV136" s="2174"/>
      <c r="AW136" s="2174"/>
      <c r="AX136" s="2174"/>
      <c r="AY136" s="2174"/>
      <c r="AZ136" s="2174"/>
    </row>
    <row r="137" spans="1:52" x14ac:dyDescent="0.25">
      <c r="A137" s="2174"/>
      <c r="B137" s="2174"/>
      <c r="C137" s="2174"/>
      <c r="D137" s="2174"/>
      <c r="E137" s="2174"/>
      <c r="F137" s="2174"/>
      <c r="G137" s="2174"/>
      <c r="H137" s="2174"/>
      <c r="I137" s="2174"/>
      <c r="J137" s="2174"/>
      <c r="AA137" s="2174"/>
      <c r="AB137" s="2174"/>
      <c r="AC137" s="2174"/>
      <c r="AD137" s="2174"/>
      <c r="AE137" s="2174"/>
      <c r="AF137" s="2174"/>
      <c r="AG137" s="2174"/>
      <c r="AH137" s="2174"/>
      <c r="AI137" s="2174"/>
      <c r="AJ137" s="2174"/>
      <c r="AK137" s="2174"/>
      <c r="AL137" s="2174"/>
      <c r="AM137" s="2174"/>
      <c r="AN137" s="2174"/>
      <c r="AO137" s="2174"/>
      <c r="AP137" s="2174"/>
      <c r="AQ137" s="2174"/>
      <c r="AR137" s="2174"/>
      <c r="AS137" s="2174"/>
      <c r="AT137" s="2174"/>
      <c r="AU137" s="2174"/>
      <c r="AV137" s="2174"/>
      <c r="AW137" s="2174"/>
      <c r="AX137" s="2174"/>
      <c r="AY137" s="2174"/>
      <c r="AZ137" s="2174"/>
    </row>
    <row r="138" spans="1:52" x14ac:dyDescent="0.25">
      <c r="A138" s="2174"/>
      <c r="B138" s="2174"/>
      <c r="C138" s="2174"/>
      <c r="D138" s="2174"/>
      <c r="E138" s="2174"/>
      <c r="F138" s="2174"/>
      <c r="G138" s="2174"/>
      <c r="H138" s="2174"/>
      <c r="I138" s="2174"/>
      <c r="J138" s="2174"/>
      <c r="AA138" s="2174"/>
      <c r="AB138" s="2174"/>
      <c r="AC138" s="2174"/>
      <c r="AD138" s="2174"/>
      <c r="AE138" s="2174"/>
      <c r="AF138" s="2174"/>
      <c r="AG138" s="2174"/>
      <c r="AH138" s="2174"/>
      <c r="AI138" s="2174"/>
      <c r="AJ138" s="2174"/>
      <c r="AK138" s="2174"/>
      <c r="AL138" s="2174"/>
      <c r="AM138" s="2174"/>
      <c r="AN138" s="2174"/>
      <c r="AO138" s="2174"/>
      <c r="AP138" s="2174"/>
      <c r="AQ138" s="2174"/>
      <c r="AR138" s="2174"/>
      <c r="AS138" s="2174"/>
      <c r="AT138" s="2174"/>
      <c r="AU138" s="2174"/>
      <c r="AV138" s="2174"/>
      <c r="AW138" s="2174"/>
      <c r="AX138" s="2174"/>
      <c r="AY138" s="2174"/>
      <c r="AZ138" s="2174"/>
    </row>
    <row r="139" spans="1:52" x14ac:dyDescent="0.25">
      <c r="A139" s="2174"/>
      <c r="B139" s="2174"/>
      <c r="C139" s="2174"/>
      <c r="D139" s="2174"/>
      <c r="E139" s="2174"/>
      <c r="F139" s="2174"/>
      <c r="G139" s="2174"/>
      <c r="H139" s="2174"/>
      <c r="I139" s="2174"/>
      <c r="J139" s="2174"/>
      <c r="AA139" s="2174"/>
      <c r="AB139" s="2174"/>
      <c r="AC139" s="2174"/>
      <c r="AD139" s="2174"/>
      <c r="AE139" s="2174"/>
      <c r="AF139" s="2174"/>
      <c r="AG139" s="2174"/>
      <c r="AH139" s="2174"/>
      <c r="AI139" s="2174"/>
      <c r="AJ139" s="2174"/>
      <c r="AK139" s="2174"/>
      <c r="AL139" s="2174"/>
      <c r="AM139" s="2174"/>
      <c r="AN139" s="2174"/>
      <c r="AO139" s="2174"/>
      <c r="AP139" s="2174"/>
      <c r="AQ139" s="2174"/>
      <c r="AR139" s="2174"/>
      <c r="AS139" s="2174"/>
      <c r="AT139" s="2174"/>
      <c r="AU139" s="2174"/>
      <c r="AV139" s="2174"/>
      <c r="AW139" s="2174"/>
      <c r="AX139" s="2174"/>
      <c r="AY139" s="2174"/>
      <c r="AZ139" s="2174"/>
    </row>
    <row r="140" spans="1:52" x14ac:dyDescent="0.25">
      <c r="A140" s="2174"/>
      <c r="B140" s="2174"/>
      <c r="C140" s="2174"/>
      <c r="D140" s="2174"/>
      <c r="E140" s="2174"/>
      <c r="F140" s="2174"/>
      <c r="G140" s="2174"/>
      <c r="H140" s="2174"/>
      <c r="I140" s="2174"/>
      <c r="J140" s="2174"/>
      <c r="AA140" s="2174"/>
      <c r="AB140" s="2174"/>
      <c r="AC140" s="2174"/>
      <c r="AD140" s="2174"/>
      <c r="AE140" s="2174"/>
      <c r="AF140" s="2174"/>
      <c r="AG140" s="2174"/>
      <c r="AH140" s="2174"/>
      <c r="AI140" s="2174"/>
      <c r="AJ140" s="2174"/>
      <c r="AK140" s="2174"/>
      <c r="AL140" s="2174"/>
      <c r="AM140" s="2174"/>
      <c r="AN140" s="2174"/>
      <c r="AO140" s="2174"/>
      <c r="AP140" s="2174"/>
      <c r="AQ140" s="2174"/>
      <c r="AR140" s="2174"/>
      <c r="AS140" s="2174"/>
      <c r="AT140" s="2174"/>
      <c r="AU140" s="2174"/>
      <c r="AV140" s="2174"/>
      <c r="AW140" s="2174"/>
      <c r="AX140" s="2174"/>
      <c r="AY140" s="2174"/>
      <c r="AZ140" s="2174"/>
    </row>
    <row r="141" spans="1:52" x14ac:dyDescent="0.25">
      <c r="A141" s="2174"/>
      <c r="B141" s="2174"/>
      <c r="C141" s="2174"/>
      <c r="D141" s="2174"/>
      <c r="E141" s="2174"/>
      <c r="F141" s="2174"/>
      <c r="G141" s="2174"/>
      <c r="H141" s="2174"/>
      <c r="I141" s="2174"/>
      <c r="J141" s="2174"/>
      <c r="AA141" s="2174"/>
      <c r="AB141" s="2174"/>
      <c r="AC141" s="2174"/>
      <c r="AD141" s="2174"/>
      <c r="AE141" s="2174"/>
      <c r="AF141" s="2174"/>
      <c r="AG141" s="2174"/>
      <c r="AH141" s="2174"/>
      <c r="AI141" s="2174"/>
      <c r="AJ141" s="2174"/>
      <c r="AK141" s="2174"/>
      <c r="AL141" s="2174"/>
      <c r="AM141" s="2174"/>
      <c r="AN141" s="2174"/>
      <c r="AO141" s="2174"/>
      <c r="AP141" s="2174"/>
      <c r="AQ141" s="2174"/>
      <c r="AR141" s="2174"/>
      <c r="AS141" s="2174"/>
      <c r="AT141" s="2174"/>
      <c r="AU141" s="2174"/>
      <c r="AV141" s="2174"/>
      <c r="AW141" s="2174"/>
      <c r="AX141" s="2174"/>
      <c r="AY141" s="2174"/>
      <c r="AZ141" s="2174"/>
    </row>
    <row r="142" spans="1:52" x14ac:dyDescent="0.25">
      <c r="A142" s="2174"/>
      <c r="B142" s="2174"/>
      <c r="C142" s="2174"/>
      <c r="D142" s="2174"/>
      <c r="E142" s="2174"/>
      <c r="F142" s="2174"/>
      <c r="G142" s="2174"/>
      <c r="H142" s="2174"/>
      <c r="I142" s="2174"/>
      <c r="J142" s="2174"/>
      <c r="AA142" s="2174"/>
      <c r="AB142" s="2174"/>
      <c r="AC142" s="2174"/>
      <c r="AD142" s="2174"/>
      <c r="AE142" s="2174"/>
      <c r="AF142" s="2174"/>
      <c r="AG142" s="2174"/>
      <c r="AH142" s="2174"/>
      <c r="AI142" s="2174"/>
      <c r="AJ142" s="2174"/>
      <c r="AK142" s="2174"/>
      <c r="AL142" s="2174"/>
      <c r="AM142" s="2174"/>
      <c r="AN142" s="2174"/>
      <c r="AO142" s="2174"/>
      <c r="AP142" s="2174"/>
      <c r="AQ142" s="2174"/>
      <c r="AR142" s="2174"/>
      <c r="AS142" s="2174"/>
      <c r="AT142" s="2174"/>
      <c r="AU142" s="2174"/>
      <c r="AV142" s="2174"/>
      <c r="AW142" s="2174"/>
      <c r="AX142" s="2174"/>
      <c r="AY142" s="2174"/>
      <c r="AZ142" s="2174"/>
    </row>
    <row r="143" spans="1:52" x14ac:dyDescent="0.25">
      <c r="A143" s="2174"/>
      <c r="B143" s="2174"/>
      <c r="C143" s="2174"/>
      <c r="D143" s="2174"/>
      <c r="E143" s="2174"/>
      <c r="F143" s="2174"/>
      <c r="G143" s="2174"/>
      <c r="H143" s="2174"/>
      <c r="I143" s="2174"/>
      <c r="J143" s="2174"/>
      <c r="AA143" s="2174"/>
      <c r="AB143" s="2174"/>
      <c r="AC143" s="2174"/>
      <c r="AD143" s="2174"/>
      <c r="AE143" s="2174"/>
      <c r="AF143" s="2174"/>
      <c r="AG143" s="2174"/>
      <c r="AH143" s="2174"/>
      <c r="AI143" s="2174"/>
      <c r="AJ143" s="2174"/>
      <c r="AK143" s="2174"/>
      <c r="AL143" s="2174"/>
      <c r="AM143" s="2174"/>
      <c r="AN143" s="2174"/>
      <c r="AO143" s="2174"/>
      <c r="AP143" s="2174"/>
      <c r="AQ143" s="2174"/>
      <c r="AR143" s="2174"/>
      <c r="AS143" s="2174"/>
      <c r="AT143" s="2174"/>
      <c r="AU143" s="2174"/>
      <c r="AV143" s="2174"/>
      <c r="AW143" s="2174"/>
      <c r="AX143" s="2174"/>
      <c r="AY143" s="2174"/>
      <c r="AZ143" s="2174"/>
    </row>
    <row r="144" spans="1:52" x14ac:dyDescent="0.25">
      <c r="A144" s="2174"/>
      <c r="B144" s="2174"/>
      <c r="C144" s="2174"/>
      <c r="D144" s="2174"/>
      <c r="E144" s="2174"/>
      <c r="F144" s="2174"/>
      <c r="G144" s="2174"/>
      <c r="H144" s="2174"/>
      <c r="I144" s="2174"/>
      <c r="J144" s="2174"/>
      <c r="AA144" s="2174"/>
      <c r="AB144" s="2174"/>
      <c r="AC144" s="2174"/>
      <c r="AD144" s="2174"/>
      <c r="AE144" s="2174"/>
      <c r="AF144" s="2174"/>
      <c r="AG144" s="2174"/>
      <c r="AH144" s="2174"/>
      <c r="AI144" s="2174"/>
      <c r="AJ144" s="2174"/>
      <c r="AK144" s="2174"/>
      <c r="AL144" s="2174"/>
      <c r="AM144" s="2174"/>
      <c r="AN144" s="2174"/>
      <c r="AO144" s="2174"/>
      <c r="AP144" s="2174"/>
      <c r="AQ144" s="2174"/>
      <c r="AR144" s="2174"/>
      <c r="AS144" s="2174"/>
      <c r="AT144" s="2174"/>
      <c r="AU144" s="2174"/>
      <c r="AV144" s="2174"/>
      <c r="AW144" s="2174"/>
      <c r="AX144" s="2174"/>
      <c r="AY144" s="2174"/>
      <c r="AZ144" s="2174"/>
    </row>
    <row r="145" spans="1:52" x14ac:dyDescent="0.25">
      <c r="A145" s="2174"/>
      <c r="B145" s="2174"/>
      <c r="C145" s="2174"/>
      <c r="D145" s="2174"/>
      <c r="E145" s="2174"/>
      <c r="F145" s="2174"/>
      <c r="G145" s="2174"/>
      <c r="H145" s="2174"/>
      <c r="I145" s="2174"/>
      <c r="J145" s="2174"/>
      <c r="AA145" s="2174"/>
      <c r="AB145" s="2174"/>
      <c r="AC145" s="2174"/>
      <c r="AD145" s="2174"/>
      <c r="AE145" s="2174"/>
      <c r="AF145" s="2174"/>
      <c r="AG145" s="2174"/>
      <c r="AH145" s="2174"/>
      <c r="AI145" s="2174"/>
      <c r="AJ145" s="2174"/>
      <c r="AK145" s="2174"/>
      <c r="AL145" s="2174"/>
      <c r="AM145" s="2174"/>
      <c r="AN145" s="2174"/>
      <c r="AO145" s="2174"/>
      <c r="AP145" s="2174"/>
      <c r="AQ145" s="2174"/>
      <c r="AR145" s="2174"/>
      <c r="AS145" s="2174"/>
      <c r="AT145" s="2174"/>
      <c r="AU145" s="2174"/>
      <c r="AV145" s="2174"/>
      <c r="AW145" s="2174"/>
      <c r="AX145" s="2174"/>
      <c r="AY145" s="2174"/>
      <c r="AZ145" s="2174"/>
    </row>
    <row r="146" spans="1:52" x14ac:dyDescent="0.25">
      <c r="A146" s="2174"/>
      <c r="B146" s="2174"/>
      <c r="C146" s="2174"/>
      <c r="D146" s="2174"/>
      <c r="E146" s="2174"/>
      <c r="F146" s="2174"/>
      <c r="G146" s="2174"/>
      <c r="H146" s="2174"/>
      <c r="I146" s="2174"/>
      <c r="J146" s="2174"/>
      <c r="AA146" s="2174"/>
      <c r="AB146" s="2174"/>
      <c r="AC146" s="2174"/>
      <c r="AD146" s="2174"/>
      <c r="AE146" s="2174"/>
      <c r="AF146" s="2174"/>
      <c r="AG146" s="2174"/>
      <c r="AH146" s="2174"/>
      <c r="AI146" s="2174"/>
      <c r="AJ146" s="2174"/>
      <c r="AK146" s="2174"/>
      <c r="AL146" s="2174"/>
      <c r="AM146" s="2174"/>
      <c r="AN146" s="2174"/>
      <c r="AO146" s="2174"/>
      <c r="AP146" s="2174"/>
      <c r="AQ146" s="2174"/>
      <c r="AR146" s="2174"/>
      <c r="AS146" s="2174"/>
      <c r="AT146" s="2174"/>
      <c r="AU146" s="2174"/>
      <c r="AV146" s="2174"/>
      <c r="AW146" s="2174"/>
      <c r="AX146" s="2174"/>
      <c r="AY146" s="2174"/>
      <c r="AZ146" s="2174"/>
    </row>
  </sheetData>
  <sheetProtection password="BCD8" sheet="1" objects="1" scenarios="1"/>
  <phoneticPr fontId="124" type="noConversion"/>
  <conditionalFormatting sqref="G21:H21">
    <cfRule type="expression" dxfId="113" priority="1" stopIfTrue="1">
      <formula>$L$20&gt;$L$21</formula>
    </cfRule>
  </conditionalFormatting>
  <conditionalFormatting sqref="G9:H9">
    <cfRule type="expression" dxfId="112" priority="2" stopIfTrue="1">
      <formula>$L$29=TRUE</formula>
    </cfRule>
  </conditionalFormatting>
  <conditionalFormatting sqref="G10:H10">
    <cfRule type="expression" dxfId="111" priority="3" stopIfTrue="1">
      <formula>$L$30=TRUE</formula>
    </cfRule>
  </conditionalFormatting>
  <conditionalFormatting sqref="G15:H15">
    <cfRule type="expression" dxfId="110" priority="4" stopIfTrue="1">
      <formula>$L$31=TRUE</formula>
    </cfRule>
  </conditionalFormatting>
  <conditionalFormatting sqref="G16:H16">
    <cfRule type="expression" dxfId="109" priority="5" stopIfTrue="1">
      <formula>$L$32=TRUE</formula>
    </cfRule>
  </conditionalFormatting>
  <conditionalFormatting sqref="G19:H19">
    <cfRule type="expression" dxfId="108" priority="6" stopIfTrue="1">
      <formula>$L$33=TRUE</formula>
    </cfRule>
  </conditionalFormatting>
  <conditionalFormatting sqref="H23">
    <cfRule type="expression" dxfId="107" priority="7" stopIfTrue="1">
      <formula>U21&lt;&gt;12</formula>
    </cfRule>
  </conditionalFormatting>
  <dataValidations disablePrompts="1" count="1">
    <dataValidation type="date" allowBlank="1" showInputMessage="1" showErrorMessage="1" errorTitle="Date Error" error="must be within this revaluation period" sqref="F19" xr:uid="{744B6C41-A5BC-4314-9E4B-50BEB53000D1}">
      <formula1>L10</formula1>
      <formula2>M10</formula2>
    </dataValidation>
  </dataValidations>
  <pageMargins left="0.23622047244094491" right="0.23622047244094491" top="0.74803149606299213" bottom="0.74803149606299213" header="0.31496062992125984" footer="0.31496062992125984"/>
  <pageSetup paperSize="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home">
              <controlPr defaultSize="0" print="0" autoFill="0" autoPict="0" macro="[0]!globalgoto">
                <anchor moveWithCells="1" sizeWithCells="1">
                  <from>
                    <xdr:col>0</xdr:col>
                    <xdr:colOff>127000</xdr:colOff>
                    <xdr:row>0</xdr:row>
                    <xdr:rowOff>234950</xdr:rowOff>
                  </from>
                  <to>
                    <xdr:col>0</xdr:col>
                    <xdr:colOff>996950</xdr:colOff>
                    <xdr:row>1</xdr:row>
                    <xdr:rowOff>127000</xdr:rowOff>
                  </to>
                </anchor>
              </controlPr>
            </control>
          </mc:Choice>
        </mc:AlternateContent>
        <mc:AlternateContent xmlns:mc="http://schemas.openxmlformats.org/markup-compatibility/2006">
          <mc:Choice Requires="x14">
            <control shapeId="91139" r:id="rId5" name="s44a">
              <controlPr defaultSize="0" print="0" autoFill="0" autoPict="0" macro="[0]!section44a">
                <anchor moveWithCells="1" sizeWithCells="1">
                  <from>
                    <xdr:col>6</xdr:col>
                    <xdr:colOff>615950</xdr:colOff>
                    <xdr:row>23</xdr:row>
                    <xdr:rowOff>31750</xdr:rowOff>
                  </from>
                  <to>
                    <xdr:col>7</xdr:col>
                    <xdr:colOff>1682750</xdr:colOff>
                    <xdr:row>25</xdr:row>
                    <xdr:rowOff>88900</xdr:rowOff>
                  </to>
                </anchor>
              </controlPr>
            </control>
          </mc:Choice>
        </mc:AlternateContent>
        <mc:AlternateContent xmlns:mc="http://schemas.openxmlformats.org/markup-compatibility/2006">
          <mc:Choice Requires="x14">
            <control shapeId="91144" r:id="rId6" name="Button 8">
              <controlPr defaultSize="0" print="0" autoFill="0" autoPict="0" macro="[0]!clears44a">
                <anchor moveWithCells="1" sizeWithCells="1">
                  <from>
                    <xdr:col>6</xdr:col>
                    <xdr:colOff>615950</xdr:colOff>
                    <xdr:row>25</xdr:row>
                    <xdr:rowOff>120650</xdr:rowOff>
                  </from>
                  <to>
                    <xdr:col>7</xdr:col>
                    <xdr:colOff>1682750</xdr:colOff>
                    <xdr:row>28</xdr:row>
                    <xdr:rowOff>6350</xdr:rowOff>
                  </to>
                </anchor>
              </controlPr>
            </control>
          </mc:Choice>
        </mc:AlternateContent>
        <mc:AlternateContent xmlns:mc="http://schemas.openxmlformats.org/markup-compatibility/2006">
          <mc:Choice Requires="x14">
            <control shapeId="91145" r:id="rId7" name="Button 9">
              <controlPr defaultSize="0" print="0" autoFill="0" autoPict="0" macro="[0]!helps44adate">
                <anchor moveWithCells="1" sizeWithCells="1">
                  <from>
                    <xdr:col>4</xdr:col>
                    <xdr:colOff>1422400</xdr:colOff>
                    <xdr:row>19</xdr:row>
                    <xdr:rowOff>6350</xdr:rowOff>
                  </from>
                  <to>
                    <xdr:col>4</xdr:col>
                    <xdr:colOff>1752600</xdr:colOff>
                    <xdr:row>20</xdr:row>
                    <xdr:rowOff>6350</xdr:rowOff>
                  </to>
                </anchor>
              </controlPr>
            </control>
          </mc:Choice>
        </mc:AlternateContent>
        <mc:AlternateContent xmlns:mc="http://schemas.openxmlformats.org/markup-compatibility/2006">
          <mc:Choice Requires="x14">
            <control shapeId="91146" r:id="rId8" name="Button 10">
              <controlPr defaultSize="0" print="0" autoFill="0" autoPict="0" macro="[0]!help_s44_gen">
                <anchor moveWithCells="1" sizeWithCells="1">
                  <from>
                    <xdr:col>6</xdr:col>
                    <xdr:colOff>615950</xdr:colOff>
                    <xdr:row>28</xdr:row>
                    <xdr:rowOff>31750</xdr:rowOff>
                  </from>
                  <to>
                    <xdr:col>7</xdr:col>
                    <xdr:colOff>1682750</xdr:colOff>
                    <xdr:row>30</xdr:row>
                    <xdr:rowOff>88900</xdr:rowOff>
                  </to>
                </anchor>
              </controlPr>
            </control>
          </mc:Choice>
        </mc:AlternateContent>
        <mc:AlternateContent xmlns:mc="http://schemas.openxmlformats.org/markup-compatibility/2006">
          <mc:Choice Requires="x14">
            <control shapeId="91147" r:id="rId9" name="Button 11">
              <controlPr defaultSize="0" print="0" autoFill="0" autoPict="0" macro="[0]!goto_details">
                <anchor moveWithCells="1" sizeWithCells="1">
                  <from>
                    <xdr:col>0</xdr:col>
                    <xdr:colOff>127000</xdr:colOff>
                    <xdr:row>3</xdr:row>
                    <xdr:rowOff>50800</xdr:rowOff>
                  </from>
                  <to>
                    <xdr:col>0</xdr:col>
                    <xdr:colOff>996950</xdr:colOff>
                    <xdr:row>6</xdr:row>
                    <xdr:rowOff>69850</xdr:rowOff>
                  </to>
                </anchor>
              </controlPr>
            </control>
          </mc:Choice>
        </mc:AlternateContent>
        <mc:AlternateContent xmlns:mc="http://schemas.openxmlformats.org/markup-compatibility/2006">
          <mc:Choice Requires="x14">
            <control shapeId="91148" r:id="rId10" name="Button 12">
              <controlPr defaultSize="0" print="0" autoFill="0" autoPict="0" macro="[0]!copy_as_excel">
                <anchor moveWithCells="1" sizeWithCells="1">
                  <from>
                    <xdr:col>7</xdr:col>
                    <xdr:colOff>101600</xdr:colOff>
                    <xdr:row>0</xdr:row>
                    <xdr:rowOff>76200</xdr:rowOff>
                  </from>
                  <to>
                    <xdr:col>7</xdr:col>
                    <xdr:colOff>787400</xdr:colOff>
                    <xdr:row>0</xdr:row>
                    <xdr:rowOff>463550</xdr:rowOff>
                  </to>
                </anchor>
              </controlPr>
            </control>
          </mc:Choice>
        </mc:AlternateContent>
        <mc:AlternateContent xmlns:mc="http://schemas.openxmlformats.org/markup-compatibility/2006">
          <mc:Choice Requires="x14">
            <control shapeId="91149" r:id="rId11" name="Button 13">
              <controlPr defaultSize="0" print="0" autoFill="0" autoPict="0" macro="[0]!pdflauncher">
                <anchor moveWithCells="1" sizeWithCells="1">
                  <from>
                    <xdr:col>7</xdr:col>
                    <xdr:colOff>793750</xdr:colOff>
                    <xdr:row>0</xdr:row>
                    <xdr:rowOff>76200</xdr:rowOff>
                  </from>
                  <to>
                    <xdr:col>7</xdr:col>
                    <xdr:colOff>1479550</xdr:colOff>
                    <xdr:row>0</xdr:row>
                    <xdr:rowOff>463550</xdr:rowOff>
                  </to>
                </anchor>
              </controlPr>
            </control>
          </mc:Choice>
        </mc:AlternateContent>
        <mc:AlternateContent xmlns:mc="http://schemas.openxmlformats.org/markup-compatibility/2006">
          <mc:Choice Requires="x14">
            <control shapeId="91150" r:id="rId12" name="Button 14">
              <controlPr defaultSize="0" print="0" autoFill="0" autoPict="0" macro="[0]!openfolder">
                <anchor moveWithCells="1" sizeWithCells="1">
                  <from>
                    <xdr:col>7</xdr:col>
                    <xdr:colOff>1492250</xdr:colOff>
                    <xdr:row>0</xdr:row>
                    <xdr:rowOff>76200</xdr:rowOff>
                  </from>
                  <to>
                    <xdr:col>7</xdr:col>
                    <xdr:colOff>2025650</xdr:colOff>
                    <xdr:row>0</xdr:row>
                    <xdr:rowOff>463550</xdr:rowOff>
                  </to>
                </anchor>
              </controlPr>
            </control>
          </mc:Choice>
        </mc:AlternateContent>
        <mc:AlternateContent xmlns:mc="http://schemas.openxmlformats.org/markup-compatibility/2006">
          <mc:Choice Requires="x14">
            <control shapeId="91151" r:id="rId13" name="Button 15">
              <controlPr defaultSize="0" print="0" autoFill="0" autoPict="0" macro="[0]!goto_folder_settings">
                <anchor moveWithCells="1" sizeWithCells="1">
                  <from>
                    <xdr:col>7</xdr:col>
                    <xdr:colOff>2032000</xdr:colOff>
                    <xdr:row>0</xdr:row>
                    <xdr:rowOff>76200</xdr:rowOff>
                  </from>
                  <to>
                    <xdr:col>9</xdr:col>
                    <xdr:colOff>203200</xdr:colOff>
                    <xdr:row>0</xdr:row>
                    <xdr:rowOff>463550</xdr:rowOff>
                  </to>
                </anchor>
              </controlPr>
            </control>
          </mc:Choice>
        </mc:AlternateContent>
        <mc:AlternateContent xmlns:mc="http://schemas.openxmlformats.org/markup-compatibility/2006">
          <mc:Choice Requires="x14">
            <control shapeId="91152" r:id="rId14" name="Drop Down 16">
              <controlPr defaultSize="0" print="0" autoLine="0" autoPict="0">
                <anchor moveWithCells="1">
                  <from>
                    <xdr:col>5</xdr:col>
                    <xdr:colOff>0</xdr:colOff>
                    <xdr:row>10</xdr:row>
                    <xdr:rowOff>76200</xdr:rowOff>
                  </from>
                  <to>
                    <xdr:col>6</xdr:col>
                    <xdr:colOff>107950</xdr:colOff>
                    <xdr:row>11</xdr:row>
                    <xdr:rowOff>38100</xdr:rowOff>
                  </to>
                </anchor>
              </controlPr>
            </control>
          </mc:Choice>
        </mc:AlternateContent>
        <mc:AlternateContent xmlns:mc="http://schemas.openxmlformats.org/markup-compatibility/2006">
          <mc:Choice Requires="x14">
            <control shapeId="91153" r:id="rId15" name="globalbacktobutton">
              <controlPr defaultSize="0" print="0" autoFill="0" autoPict="0" macro="[0]!backto">
                <anchor moveWithCells="1" sizeWithCells="1">
                  <from>
                    <xdr:col>9</xdr:col>
                    <xdr:colOff>444500</xdr:colOff>
                    <xdr:row>0</xdr:row>
                    <xdr:rowOff>215900</xdr:rowOff>
                  </from>
                  <to>
                    <xdr:col>9</xdr:col>
                    <xdr:colOff>1066800</xdr:colOff>
                    <xdr:row>2</xdr:row>
                    <xdr:rowOff>12700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6ACC2-92C8-4F7C-B50D-F7300598B25D}">
  <sheetPr codeName="Sheet48">
    <pageSetUpPr fitToPage="1"/>
  </sheetPr>
  <dimension ref="A1:AO94"/>
  <sheetViews>
    <sheetView showGridLines="0" workbookViewId="0">
      <selection activeCell="K7" sqref="K7"/>
    </sheetView>
  </sheetViews>
  <sheetFormatPr defaultColWidth="9.08984375" defaultRowHeight="12.5" x14ac:dyDescent="0.25"/>
  <cols>
    <col min="1" max="1" width="15.36328125" style="1084" customWidth="1"/>
    <col min="2" max="2" width="1.08984375" style="1084" customWidth="1"/>
    <col min="3" max="3" width="8.36328125" style="1084" customWidth="1"/>
    <col min="4" max="4" width="2" style="1084" customWidth="1"/>
    <col min="5" max="5" width="11.90625" style="1084" customWidth="1"/>
    <col min="6" max="6" width="13.453125" style="1084" customWidth="1"/>
    <col min="7" max="7" width="7.453125" style="1084" customWidth="1"/>
    <col min="8" max="8" width="0.6328125" style="1084" customWidth="1"/>
    <col min="9" max="9" width="12.90625" style="1084" customWidth="1"/>
    <col min="10" max="10" width="13.453125" style="1084" customWidth="1"/>
    <col min="11" max="11" width="10.453125" style="1084" customWidth="1"/>
    <col min="12" max="12" width="13.6328125" style="1084" customWidth="1"/>
    <col min="13" max="13" width="1.08984375" style="1084" customWidth="1"/>
    <col min="14" max="14" width="11.453125" style="1084" customWidth="1"/>
    <col min="15" max="15" width="9.08984375" style="1084"/>
    <col min="16" max="16" width="52.453125" style="1084" customWidth="1"/>
    <col min="17" max="17" width="11.453125" style="1084" hidden="1" customWidth="1"/>
    <col min="18" max="19" width="9.08984375" style="1084" hidden="1" customWidth="1"/>
    <col min="20" max="24" width="9.08984375" style="1084"/>
    <col min="25" max="29" width="12.6328125" style="1084" customWidth="1"/>
    <col min="30" max="34" width="15.6328125" style="1084" customWidth="1"/>
    <col min="35" max="35" width="9.08984375" style="1084"/>
    <col min="36" max="40" width="0" style="1084" hidden="1" customWidth="1"/>
    <col min="41" max="41" width="46" style="1084" customWidth="1"/>
    <col min="42" max="16384" width="9.08984375" style="1084"/>
  </cols>
  <sheetData>
    <row r="1" spans="1:41" x14ac:dyDescent="0.25">
      <c r="A1" s="1079"/>
      <c r="B1" s="1080"/>
      <c r="C1" s="1080"/>
      <c r="D1" s="1081"/>
      <c r="E1" s="1081"/>
      <c r="F1" s="1081"/>
      <c r="G1" s="1081"/>
      <c r="H1" s="1081"/>
      <c r="I1" s="1081"/>
      <c r="J1" s="1082"/>
      <c r="K1" s="1083"/>
      <c r="L1" s="1081"/>
      <c r="M1" s="1081"/>
      <c r="N1" s="1081"/>
      <c r="O1" s="1081"/>
      <c r="P1" s="1081"/>
      <c r="T1" s="1081"/>
      <c r="U1" s="1081"/>
      <c r="V1" s="1081"/>
      <c r="W1" s="1081"/>
      <c r="X1" s="1081"/>
      <c r="Y1" s="1081"/>
      <c r="Z1" s="1081"/>
      <c r="AA1" s="1081"/>
      <c r="AB1" s="1081"/>
      <c r="AC1" s="1081"/>
      <c r="AD1" s="1081"/>
      <c r="AE1" s="1081"/>
      <c r="AF1" s="1081"/>
      <c r="AG1" s="1081"/>
      <c r="AH1" s="1081"/>
      <c r="AI1" s="1081"/>
      <c r="AO1" s="1081"/>
    </row>
    <row r="2" spans="1:41" x14ac:dyDescent="0.25">
      <c r="A2" s="1080"/>
      <c r="B2" s="1081"/>
      <c r="C2" s="1081"/>
      <c r="D2" s="1081"/>
      <c r="E2" s="1081"/>
      <c r="F2" s="1081"/>
      <c r="G2" s="1081"/>
      <c r="H2" s="1081"/>
      <c r="I2" s="1081"/>
      <c r="J2" s="1081"/>
      <c r="K2" s="1085"/>
      <c r="L2" s="1081"/>
      <c r="M2" s="1081"/>
      <c r="N2" s="1081"/>
      <c r="O2" s="1081"/>
      <c r="P2" s="1081"/>
      <c r="T2" s="1081"/>
      <c r="U2" s="1081"/>
      <c r="V2" s="1081"/>
      <c r="W2" s="1081"/>
      <c r="X2" s="1081"/>
      <c r="Y2" s="1081"/>
      <c r="Z2" s="1081"/>
      <c r="AA2" s="1081"/>
      <c r="AB2" s="1081"/>
      <c r="AC2" s="1081"/>
      <c r="AD2" s="1081"/>
      <c r="AE2" s="1081"/>
      <c r="AF2" s="1081"/>
      <c r="AG2" s="1081"/>
      <c r="AH2" s="1081"/>
      <c r="AI2" s="1081"/>
      <c r="AO2" s="1081"/>
    </row>
    <row r="3" spans="1:41" ht="13" x14ac:dyDescent="0.3">
      <c r="A3" s="1080"/>
      <c r="B3" s="1086"/>
      <c r="C3" s="1087"/>
      <c r="D3" s="1087"/>
      <c r="E3" s="1087"/>
      <c r="F3" s="1087"/>
      <c r="G3" s="1087"/>
      <c r="H3" s="1087"/>
      <c r="I3" s="1087"/>
      <c r="J3" s="1088" t="str">
        <f>advanced!M4</f>
        <v/>
      </c>
      <c r="K3" s="1088" t="str">
        <f>advanced!N4</f>
        <v/>
      </c>
      <c r="L3" s="1089"/>
      <c r="M3" s="1090"/>
      <c r="N3" s="1081"/>
      <c r="O3" s="1081"/>
      <c r="P3" s="1081"/>
      <c r="T3" s="1081"/>
      <c r="U3" s="1081"/>
      <c r="V3" s="1081"/>
      <c r="W3" s="1081"/>
      <c r="X3" s="1081"/>
      <c r="Y3" s="1081"/>
      <c r="Z3" s="1081"/>
      <c r="AA3" s="1081"/>
      <c r="AB3" s="1081"/>
      <c r="AC3" s="1081"/>
      <c r="AD3" s="1081"/>
      <c r="AE3" s="1081"/>
      <c r="AF3" s="1081"/>
      <c r="AG3" s="1081"/>
      <c r="AH3" s="1081"/>
      <c r="AI3" s="1081"/>
      <c r="AO3" s="1081"/>
    </row>
    <row r="4" spans="1:41" ht="20" x14ac:dyDescent="0.4">
      <c r="A4" s="1091"/>
      <c r="B4" s="1092"/>
      <c r="C4" s="1093" t="str">
        <f>basic!$B$1</f>
        <v>Business Rates Liability and Savings 2023 List (England)</v>
      </c>
      <c r="D4" s="1094"/>
      <c r="E4" s="1094"/>
      <c r="F4" s="1094"/>
      <c r="G4" s="1094"/>
      <c r="H4" s="1094"/>
      <c r="I4" s="1094"/>
      <c r="J4" s="1094"/>
      <c r="K4" s="1094"/>
      <c r="L4" s="1094"/>
      <c r="M4" s="1095"/>
      <c r="N4" s="1081"/>
      <c r="O4" s="1081"/>
      <c r="P4" s="1081"/>
      <c r="Q4" s="1096" t="s">
        <v>1017</v>
      </c>
      <c r="T4" s="1081"/>
      <c r="U4" s="1081"/>
      <c r="V4" s="1081"/>
      <c r="W4" s="1081"/>
      <c r="X4" s="1081"/>
      <c r="Y4" s="1081"/>
      <c r="Z4" s="1081"/>
      <c r="AA4" s="1081"/>
      <c r="AB4" s="1081"/>
      <c r="AC4" s="1081"/>
      <c r="AD4" s="1081"/>
      <c r="AE4" s="1081"/>
      <c r="AF4" s="1081"/>
      <c r="AG4" s="1081"/>
      <c r="AH4" s="1081"/>
      <c r="AI4" s="1081"/>
      <c r="AO4" s="1081"/>
    </row>
    <row r="5" spans="1:41" ht="26.25" customHeight="1" x14ac:dyDescent="0.3">
      <c r="A5" s="1080"/>
      <c r="B5" s="1092"/>
      <c r="C5" s="1097"/>
      <c r="D5" s="1094"/>
      <c r="E5" s="1094"/>
      <c r="F5" s="1094"/>
      <c r="G5" s="1094"/>
      <c r="H5" s="1094"/>
      <c r="I5" s="1094"/>
      <c r="J5" s="1094"/>
      <c r="K5" s="1094"/>
      <c r="L5" s="1094"/>
      <c r="M5" s="1095"/>
      <c r="N5" s="1098"/>
      <c r="O5" s="1081"/>
      <c r="P5" s="1081"/>
      <c r="Q5" s="1084" t="str">
        <f>IF(Q4="open","^ Hide the TC Details","&lt; Show the TC Details")</f>
        <v>&lt; Show the TC Details</v>
      </c>
      <c r="T5" s="1081"/>
      <c r="U5" s="1081"/>
      <c r="V5" s="1081"/>
      <c r="W5" s="1081"/>
      <c r="X5" s="1081"/>
      <c r="Y5" s="1081"/>
      <c r="Z5" s="1081"/>
      <c r="AA5" s="1081"/>
      <c r="AB5" s="1081"/>
      <c r="AC5" s="1081"/>
      <c r="AD5" s="1081"/>
      <c r="AE5" s="1081"/>
      <c r="AF5" s="1081"/>
      <c r="AG5" s="1081"/>
      <c r="AH5" s="1081"/>
      <c r="AI5" s="1081"/>
      <c r="AO5" s="1081"/>
    </row>
    <row r="6" spans="1:41" ht="13" x14ac:dyDescent="0.3">
      <c r="A6" s="1080"/>
      <c r="B6" s="1092"/>
      <c r="C6" s="1099" t="s">
        <v>910</v>
      </c>
      <c r="D6" s="1094"/>
      <c r="E6" s="1094" t="str">
        <f>IF(details!D4="","Please Complete the Details Page",details!D4)</f>
        <v>Please Complete the Details Page</v>
      </c>
      <c r="F6" s="1094"/>
      <c r="G6" s="1094"/>
      <c r="H6" s="1094"/>
      <c r="I6" s="1094"/>
      <c r="J6" s="1100" t="s">
        <v>911</v>
      </c>
      <c r="K6" s="1101" t="str">
        <f>IF(details!D6="","Complete the Details Page",details!D6)</f>
        <v>Complete the Details Page</v>
      </c>
      <c r="L6" s="1094"/>
      <c r="M6" s="1095"/>
      <c r="N6" s="1098"/>
      <c r="O6" s="1081"/>
      <c r="P6" s="1081"/>
      <c r="Q6" s="2358" t="s">
        <v>922</v>
      </c>
      <c r="T6" s="1081"/>
      <c r="U6" s="1081"/>
      <c r="V6" s="1081"/>
      <c r="W6" s="1081"/>
      <c r="X6" s="1081"/>
      <c r="Y6" s="1081"/>
      <c r="Z6" s="1081"/>
      <c r="AA6" s="1081"/>
      <c r="AB6" s="1081"/>
      <c r="AC6" s="1081"/>
      <c r="AD6" s="1081"/>
      <c r="AE6" s="1081"/>
      <c r="AF6" s="1081"/>
      <c r="AG6" s="1081"/>
      <c r="AH6" s="1081"/>
      <c r="AI6" s="1081"/>
      <c r="AO6" s="1081"/>
    </row>
    <row r="7" spans="1:41" ht="13" x14ac:dyDescent="0.3">
      <c r="A7" s="1091"/>
      <c r="B7" s="1092"/>
      <c r="C7" s="1099"/>
      <c r="D7" s="1094"/>
      <c r="E7" s="1094"/>
      <c r="F7" s="1094"/>
      <c r="G7" s="1094"/>
      <c r="H7" s="1094"/>
      <c r="I7" s="1094"/>
      <c r="J7" s="1100" t="s">
        <v>912</v>
      </c>
      <c r="K7" s="1102"/>
      <c r="L7" s="1094"/>
      <c r="M7" s="1095"/>
      <c r="N7" s="1081"/>
      <c r="O7" s="1081"/>
      <c r="P7" s="1081"/>
      <c r="Q7" s="1084" t="str">
        <f>IF(Q6="open","^ Hide the Improvement Certs","&lt; Show the Improvement Certs")</f>
        <v>&lt; Show the Improvement Certs</v>
      </c>
      <c r="T7" s="1081"/>
      <c r="U7" s="1081"/>
      <c r="V7" s="1081"/>
      <c r="W7" s="1081"/>
      <c r="X7" s="1081"/>
      <c r="Y7" s="1081"/>
      <c r="Z7" s="1081"/>
      <c r="AA7" s="1081"/>
      <c r="AB7" s="1081"/>
      <c r="AC7" s="1081"/>
      <c r="AD7" s="1081"/>
      <c r="AE7" s="1081"/>
      <c r="AF7" s="1081"/>
      <c r="AG7" s="1081"/>
      <c r="AH7" s="1081"/>
      <c r="AI7" s="1081"/>
      <c r="AO7" s="1081"/>
    </row>
    <row r="8" spans="1:41" ht="13" x14ac:dyDescent="0.3">
      <c r="A8" s="1080"/>
      <c r="B8" s="1092"/>
      <c r="C8" s="1100" t="s">
        <v>913</v>
      </c>
      <c r="D8" s="1094"/>
      <c r="E8" s="1094" t="str">
        <f>IF(details!D5="","Please Complete the Details Page",details!D5)</f>
        <v>Please Complete the Details Page</v>
      </c>
      <c r="F8" s="1094"/>
      <c r="G8" s="1094"/>
      <c r="H8" s="1094"/>
      <c r="I8" s="1094"/>
      <c r="J8" s="1100" t="s">
        <v>1275</v>
      </c>
      <c r="K8" s="1103">
        <f ca="1">TODAY()</f>
        <v>46155</v>
      </c>
      <c r="L8" s="1094"/>
      <c r="M8" s="1095"/>
      <c r="N8" s="1081"/>
      <c r="O8" s="1081"/>
      <c r="P8" s="1081"/>
      <c r="T8" s="1081"/>
      <c r="U8" s="1081"/>
      <c r="V8" s="1081"/>
      <c r="W8" s="1081"/>
      <c r="X8" s="1081"/>
      <c r="Y8" s="1081"/>
      <c r="Z8" s="1081"/>
      <c r="AA8" s="1081"/>
      <c r="AB8" s="1081"/>
      <c r="AC8" s="1081"/>
      <c r="AD8" s="1081"/>
      <c r="AE8" s="1081"/>
      <c r="AF8" s="1081"/>
      <c r="AG8" s="1081"/>
      <c r="AH8" s="1081"/>
      <c r="AI8" s="1081"/>
      <c r="AO8" s="1081"/>
    </row>
    <row r="9" spans="1:41" x14ac:dyDescent="0.25">
      <c r="A9" s="1080"/>
      <c r="B9" s="1092"/>
      <c r="C9" s="1104"/>
      <c r="D9" s="1105"/>
      <c r="E9" s="1105"/>
      <c r="F9" s="1105"/>
      <c r="G9" s="1105"/>
      <c r="H9" s="1105"/>
      <c r="I9" s="1105"/>
      <c r="J9" s="1105"/>
      <c r="K9" s="1105"/>
      <c r="L9" s="1105"/>
      <c r="M9" s="1095"/>
      <c r="N9" s="1081"/>
      <c r="O9" s="1081"/>
      <c r="P9" s="1081"/>
      <c r="T9" s="1081"/>
      <c r="U9" s="1081"/>
      <c r="V9" s="1081"/>
      <c r="W9" s="1081"/>
      <c r="X9" s="1081"/>
      <c r="Y9" s="1081"/>
      <c r="Z9" s="1081"/>
      <c r="AA9" s="1081"/>
      <c r="AB9" s="1081"/>
      <c r="AC9" s="1081"/>
      <c r="AD9" s="1081"/>
      <c r="AE9" s="1081"/>
      <c r="AF9" s="1081"/>
      <c r="AG9" s="1081"/>
      <c r="AH9" s="1081"/>
      <c r="AI9" s="1081"/>
      <c r="AO9" s="1081"/>
    </row>
    <row r="10" spans="1:41" ht="13" x14ac:dyDescent="0.3">
      <c r="A10" s="1080"/>
      <c r="B10" s="1092"/>
      <c r="C10" s="1106" t="str">
        <f>IF(details!D7="","Please Complete the Details Page",details!D7)</f>
        <v>Please Complete the Details Page</v>
      </c>
      <c r="D10" s="1094"/>
      <c r="E10" s="1094"/>
      <c r="F10" s="1094"/>
      <c r="G10" s="1094"/>
      <c r="H10" s="1094"/>
      <c r="I10" s="1094"/>
      <c r="J10" s="1094"/>
      <c r="K10" s="1094"/>
      <c r="L10" s="1094"/>
      <c r="M10" s="1095"/>
      <c r="N10" s="1081"/>
      <c r="O10" s="1081"/>
      <c r="P10" s="1081"/>
      <c r="T10" s="1081"/>
      <c r="U10" s="1081"/>
      <c r="V10" s="1081"/>
      <c r="W10" s="1081"/>
      <c r="X10" s="1081"/>
      <c r="Y10" s="1081"/>
      <c r="Z10" s="1081"/>
      <c r="AA10" s="1081"/>
      <c r="AB10" s="1081"/>
      <c r="AC10" s="1081"/>
      <c r="AD10" s="1081"/>
      <c r="AE10" s="1081"/>
      <c r="AF10" s="1081"/>
      <c r="AG10" s="1081"/>
      <c r="AH10" s="1081"/>
      <c r="AI10" s="1081"/>
      <c r="AO10" s="1081"/>
    </row>
    <row r="11" spans="1:41" ht="13" x14ac:dyDescent="0.3">
      <c r="A11" s="1080"/>
      <c r="B11" s="1092"/>
      <c r="C11" s="1106" t="str">
        <f>IF(details!D8="","Please Complete the Details Page",details!D8)</f>
        <v>Please Complete the Details Page</v>
      </c>
      <c r="D11" s="1094"/>
      <c r="E11" s="1094"/>
      <c r="F11" s="1094"/>
      <c r="G11" s="1094"/>
      <c r="H11" s="1094"/>
      <c r="I11" s="1094"/>
      <c r="J11" s="1094"/>
      <c r="K11" s="1094"/>
      <c r="L11" s="1094"/>
      <c r="M11" s="1095"/>
      <c r="N11" s="1081"/>
      <c r="O11" s="1081"/>
      <c r="P11" s="1081"/>
      <c r="T11" s="1081"/>
      <c r="U11" s="1081"/>
      <c r="V11" s="1081"/>
      <c r="W11" s="1081"/>
      <c r="X11" s="1081"/>
      <c r="Y11" s="1081"/>
      <c r="Z11" s="1081"/>
      <c r="AA11" s="1081"/>
      <c r="AB11" s="1081"/>
      <c r="AC11" s="1081"/>
      <c r="AD11" s="1081"/>
      <c r="AE11" s="1081"/>
      <c r="AF11" s="1081"/>
      <c r="AG11" s="1081"/>
      <c r="AH11" s="1081"/>
      <c r="AI11" s="1081"/>
      <c r="AO11" s="1081"/>
    </row>
    <row r="12" spans="1:41" ht="13" x14ac:dyDescent="0.3">
      <c r="A12" s="1107"/>
      <c r="B12" s="1092"/>
      <c r="C12" s="1108" t="str">
        <f>IF(details!D9="","Please Complete the Details Page",details!D9&amp;", "&amp;details!D10)</f>
        <v>Please Complete the Details Page</v>
      </c>
      <c r="D12" s="1105"/>
      <c r="E12" s="1105"/>
      <c r="F12" s="1105"/>
      <c r="G12" s="1105"/>
      <c r="H12" s="1105"/>
      <c r="I12" s="1105"/>
      <c r="J12" s="1105"/>
      <c r="K12" s="1105"/>
      <c r="L12" s="1105"/>
      <c r="M12" s="1095"/>
      <c r="N12" s="1081"/>
      <c r="O12" s="1081"/>
      <c r="P12" s="1081"/>
      <c r="S12" s="1197" t="str">
        <f>IF(C5="","","clear &gt;")</f>
        <v/>
      </c>
      <c r="T12" s="1081"/>
      <c r="U12" s="1081"/>
      <c r="V12" s="1081"/>
      <c r="W12" s="1081"/>
      <c r="X12" s="1081"/>
      <c r="Y12" s="1081"/>
      <c r="Z12" s="1081"/>
      <c r="AA12" s="1081"/>
      <c r="AB12" s="1081"/>
      <c r="AC12" s="1081"/>
      <c r="AD12" s="1081"/>
      <c r="AE12" s="1081"/>
      <c r="AF12" s="1081"/>
      <c r="AG12" s="1081"/>
      <c r="AH12" s="1081"/>
      <c r="AI12" s="1081"/>
      <c r="AO12" s="1081"/>
    </row>
    <row r="13" spans="1:41" ht="13" x14ac:dyDescent="0.3">
      <c r="A13" s="1107"/>
      <c r="B13" s="1092"/>
      <c r="C13" s="1106"/>
      <c r="D13" s="1094"/>
      <c r="E13" s="1094"/>
      <c r="F13" s="1094"/>
      <c r="G13" s="1094"/>
      <c r="H13" s="1094"/>
      <c r="I13" s="1094"/>
      <c r="J13" s="1094"/>
      <c r="K13" s="1094"/>
      <c r="L13" s="1094"/>
      <c r="M13" s="1095"/>
      <c r="N13" s="1081"/>
      <c r="O13" s="1081"/>
      <c r="P13" s="1081"/>
      <c r="S13" s="1109"/>
      <c r="T13" s="1081"/>
      <c r="U13" s="1081"/>
      <c r="V13" s="1081"/>
      <c r="W13" s="1081"/>
      <c r="X13" s="1081"/>
      <c r="Y13" s="1081"/>
      <c r="Z13" s="1081"/>
      <c r="AA13" s="1081"/>
      <c r="AB13" s="1081"/>
      <c r="AC13" s="1081"/>
      <c r="AD13" s="1081"/>
      <c r="AE13" s="1081"/>
      <c r="AF13" s="1081"/>
      <c r="AG13" s="1081"/>
      <c r="AH13" s="1081"/>
      <c r="AI13" s="1081"/>
      <c r="AO13" s="1081"/>
    </row>
    <row r="14" spans="1:41" hidden="1" x14ac:dyDescent="0.25">
      <c r="A14" s="1110"/>
      <c r="B14" s="1092"/>
      <c r="C14" s="1111"/>
      <c r="D14" s="1112"/>
      <c r="E14" s="1113" t="str">
        <f>IF(advanced!I41&lt;&gt;"",text!E54&amp;" cert","")</f>
        <v/>
      </c>
      <c r="F14" s="1114" t="str">
        <f>IF(advanced!I41&lt;&gt;"",advanced!I41,"")</f>
        <v/>
      </c>
      <c r="H14" s="1115"/>
      <c r="I14" s="1116" t="str">
        <f>IF(advanced!M41&lt;&gt;"",text!E54&amp;" cert","")</f>
        <v/>
      </c>
      <c r="J14" s="1117" t="str">
        <f>IF(advanced!M41&lt;&gt;"",advanced!M41,"")</f>
        <v/>
      </c>
      <c r="L14" s="1094"/>
      <c r="M14" s="1095"/>
      <c r="N14" s="1118"/>
      <c r="O14" s="1118"/>
      <c r="P14" s="1081"/>
      <c r="T14" s="1081"/>
      <c r="U14" s="1081"/>
      <c r="V14" s="1081"/>
      <c r="W14" s="1081"/>
      <c r="X14" s="1081"/>
      <c r="Y14" s="1081"/>
      <c r="Z14" s="1081"/>
      <c r="AA14" s="1081"/>
      <c r="AB14" s="1081"/>
      <c r="AC14" s="1081"/>
      <c r="AD14" s="1081"/>
      <c r="AE14" s="1081"/>
      <c r="AF14" s="1081"/>
      <c r="AG14" s="1081"/>
      <c r="AH14" s="1081"/>
      <c r="AI14" s="1081"/>
      <c r="AO14" s="1081"/>
    </row>
    <row r="15" spans="1:41" hidden="1" x14ac:dyDescent="0.25">
      <c r="A15" s="1110"/>
      <c r="B15" s="1092"/>
      <c r="C15" s="1111"/>
      <c r="D15" s="1112"/>
      <c r="E15" s="1113" t="str">
        <f>IF(F15&lt;&gt;"","has effect","")</f>
        <v/>
      </c>
      <c r="F15" s="1119" t="str">
        <f>IF(advanced!I41&lt;&gt;"",advanced!I45,"")</f>
        <v/>
      </c>
      <c r="G15" s="1120"/>
      <c r="H15" s="1115"/>
      <c r="I15" s="1116" t="str">
        <f>IF(J15&lt;&gt;"","has effect","")</f>
        <v/>
      </c>
      <c r="J15" s="1121" t="str">
        <f>IF(advanced!M41&lt;&gt;"",advanced!M45,"")</f>
        <v/>
      </c>
      <c r="K15" s="1122"/>
      <c r="L15" s="1094"/>
      <c r="M15" s="1095"/>
      <c r="N15" s="1118"/>
      <c r="O15" s="1118"/>
      <c r="P15" s="1081"/>
      <c r="T15" s="1081"/>
      <c r="U15" s="1081"/>
      <c r="V15" s="1081"/>
      <c r="W15" s="1081"/>
      <c r="X15" s="1081"/>
      <c r="Y15" s="1081"/>
      <c r="Z15" s="1081"/>
      <c r="AA15" s="1081"/>
      <c r="AB15" s="1081"/>
      <c r="AC15" s="1081"/>
      <c r="AD15" s="1081"/>
      <c r="AE15" s="1081"/>
      <c r="AF15" s="1081"/>
      <c r="AG15" s="1081"/>
      <c r="AH15" s="1081"/>
      <c r="AI15" s="1081"/>
      <c r="AO15" s="1081"/>
    </row>
    <row r="16" spans="1:41" hidden="1" x14ac:dyDescent="0.25">
      <c r="A16" s="1110"/>
      <c r="B16" s="1092"/>
      <c r="C16" s="1111"/>
      <c r="D16" s="1112"/>
      <c r="E16" s="1113" t="str">
        <f>IF(advanced!I36&lt;&gt;"",text!E52&amp;" cert","")</f>
        <v/>
      </c>
      <c r="F16" s="1123" t="str">
        <f>IF(advanced!I36&lt;&gt;"",advanced!I36,"")</f>
        <v/>
      </c>
      <c r="G16" s="1120"/>
      <c r="H16" s="1115"/>
      <c r="I16" s="1113" t="str">
        <f>IF(advanced!M36&lt;&gt;"",text!E52&amp;" cert","")</f>
        <v/>
      </c>
      <c r="J16" s="1124" t="str">
        <f>IF(advanced!M36&lt;&gt;"",advanced!M36,"")</f>
        <v/>
      </c>
      <c r="K16" s="1122"/>
      <c r="L16" s="1094"/>
      <c r="M16" s="1095"/>
      <c r="N16" s="1118"/>
      <c r="O16" s="1118"/>
      <c r="P16" s="1081"/>
      <c r="T16" s="1081"/>
      <c r="U16" s="1081"/>
      <c r="V16" s="1081"/>
      <c r="W16" s="1081"/>
      <c r="X16" s="1081"/>
      <c r="Y16" s="1081"/>
      <c r="Z16" s="1081"/>
      <c r="AA16" s="1081"/>
      <c r="AB16" s="1081"/>
      <c r="AC16" s="1081"/>
      <c r="AD16" s="1081"/>
      <c r="AE16" s="1081"/>
      <c r="AF16" s="1081"/>
      <c r="AG16" s="1081"/>
      <c r="AH16" s="1081"/>
      <c r="AI16" s="1081"/>
      <c r="AO16" s="1081"/>
    </row>
    <row r="17" spans="1:41" hidden="1" x14ac:dyDescent="0.25">
      <c r="A17" s="1110"/>
      <c r="B17" s="1092"/>
      <c r="C17" s="1111"/>
      <c r="D17" s="1112"/>
      <c r="E17" s="1113" t="str">
        <f>IF(F17&lt;&gt;"","has effect","")</f>
        <v/>
      </c>
      <c r="F17" s="1125" t="str">
        <f>IF(advanced!I36&lt;&gt;"",advanced!I37,"")</f>
        <v/>
      </c>
      <c r="G17" s="1120"/>
      <c r="H17" s="1115"/>
      <c r="I17" s="1116" t="str">
        <f>IF(J17&lt;&gt;"","has effect","")</f>
        <v/>
      </c>
      <c r="J17" s="1126" t="str">
        <f>IF(advanced!M36&lt;&gt;"",advanced!M37,"")</f>
        <v/>
      </c>
      <c r="K17" s="1122"/>
      <c r="L17" s="1094"/>
      <c r="M17" s="1095"/>
      <c r="N17" s="1118"/>
      <c r="O17" s="1118"/>
      <c r="P17" s="1081"/>
      <c r="T17" s="1081"/>
      <c r="U17" s="1081"/>
      <c r="V17" s="1081"/>
      <c r="W17" s="1081"/>
      <c r="X17" s="1081"/>
      <c r="Y17" s="1081"/>
      <c r="Z17" s="1081"/>
      <c r="AA17" s="1081"/>
      <c r="AB17" s="1081"/>
      <c r="AC17" s="1081"/>
      <c r="AD17" s="1081"/>
      <c r="AE17" s="1081"/>
      <c r="AF17" s="1081"/>
      <c r="AG17" s="1081"/>
      <c r="AH17" s="1081"/>
      <c r="AI17" s="1081"/>
      <c r="AO17" s="1081"/>
    </row>
    <row r="18" spans="1:41" ht="13" x14ac:dyDescent="0.3">
      <c r="A18" s="1127"/>
      <c r="B18" s="1092"/>
      <c r="C18" s="1111"/>
      <c r="D18" s="1112"/>
      <c r="E18" s="1113"/>
      <c r="F18" s="1128"/>
      <c r="G18" s="1120"/>
      <c r="H18" s="1115"/>
      <c r="I18" s="1129"/>
      <c r="J18" s="1130"/>
      <c r="K18" s="1122"/>
      <c r="L18" s="1094"/>
      <c r="M18" s="1095"/>
      <c r="N18" s="1081"/>
      <c r="O18" s="1081"/>
      <c r="P18" s="1081"/>
      <c r="T18" s="1081"/>
      <c r="U18" s="1081"/>
      <c r="V18" s="1081"/>
      <c r="W18" s="1081"/>
      <c r="X18" s="1081"/>
      <c r="Y18" s="1081"/>
      <c r="Z18" s="1081"/>
      <c r="AA18" s="1081"/>
      <c r="AB18" s="1081"/>
      <c r="AC18" s="1081"/>
      <c r="AD18" s="1081"/>
      <c r="AE18" s="1081"/>
      <c r="AF18" s="1081"/>
      <c r="AG18" s="1081"/>
      <c r="AH18" s="1081"/>
      <c r="AI18" s="1081"/>
      <c r="AO18" s="1081"/>
    </row>
    <row r="19" spans="1:41" x14ac:dyDescent="0.25">
      <c r="A19" s="1131"/>
      <c r="B19" s="1092"/>
      <c r="C19" s="1094"/>
      <c r="D19" s="1094"/>
      <c r="E19" s="1132" t="str">
        <f>"RV "&amp;text!E54</f>
        <v>RV 31/03/23</v>
      </c>
      <c r="F19" s="1133">
        <f>advanced!I9</f>
        <v>0</v>
      </c>
      <c r="G19" s="1134"/>
      <c r="H19" s="1135"/>
      <c r="I19" s="1132" t="str">
        <f>E19</f>
        <v>RV 31/03/23</v>
      </c>
      <c r="J19" s="1133">
        <f>advanced!M9</f>
        <v>0</v>
      </c>
      <c r="K19" s="1136"/>
      <c r="L19" s="1094"/>
      <c r="M19" s="1095"/>
      <c r="N19" s="1081"/>
      <c r="O19" s="1081"/>
      <c r="P19" s="1081"/>
      <c r="T19" s="1081"/>
      <c r="U19" s="1081"/>
      <c r="V19" s="1081"/>
      <c r="W19" s="1081"/>
      <c r="X19" s="1081"/>
      <c r="Y19" s="1081"/>
      <c r="Z19" s="1081"/>
      <c r="AA19" s="1081"/>
      <c r="AB19" s="1081"/>
      <c r="AC19" s="1081"/>
      <c r="AD19" s="1081"/>
      <c r="AE19" s="1081"/>
      <c r="AF19" s="1081"/>
      <c r="AG19" s="1081"/>
      <c r="AH19" s="1081"/>
      <c r="AI19" s="1081"/>
      <c r="AO19" s="1081"/>
    </row>
    <row r="20" spans="1:41" x14ac:dyDescent="0.25">
      <c r="A20" s="1131"/>
      <c r="B20" s="1092"/>
      <c r="C20" s="1094"/>
      <c r="D20" s="1094"/>
      <c r="E20" s="1094" t="s">
        <v>914</v>
      </c>
      <c r="F20" s="1137">
        <f>advanced!I13</f>
        <v>0</v>
      </c>
      <c r="G20" s="1094"/>
      <c r="H20" s="1135"/>
      <c r="I20" s="1094" t="str">
        <f>E20</f>
        <v>BL</v>
      </c>
      <c r="J20" s="1137">
        <f>advanced!M13</f>
        <v>0</v>
      </c>
      <c r="K20" s="1094"/>
      <c r="L20" s="1094"/>
      <c r="M20" s="1095"/>
      <c r="N20" s="1081"/>
      <c r="O20" s="1081"/>
      <c r="P20" s="1081"/>
      <c r="T20" s="1081"/>
      <c r="U20" s="1081"/>
      <c r="V20" s="1081"/>
      <c r="W20" s="1081"/>
      <c r="X20" s="1081"/>
      <c r="Y20" s="1081"/>
      <c r="Z20" s="1081"/>
      <c r="AA20" s="1081"/>
      <c r="AB20" s="1081"/>
      <c r="AC20" s="1081"/>
      <c r="AD20" s="1081"/>
      <c r="AE20" s="1081"/>
      <c r="AF20" s="1081"/>
      <c r="AG20" s="1081"/>
      <c r="AH20" s="1081"/>
      <c r="AI20" s="1081"/>
      <c r="AO20" s="1081"/>
    </row>
    <row r="21" spans="1:41" ht="13" x14ac:dyDescent="0.3">
      <c r="A21" s="1138"/>
      <c r="B21" s="1092"/>
      <c r="C21" s="1139"/>
      <c r="D21" s="1094"/>
      <c r="E21" s="1094" t="s">
        <v>272</v>
      </c>
      <c r="F21" s="1140">
        <f>advanced!I10</f>
        <v>0</v>
      </c>
      <c r="G21" s="1094"/>
      <c r="H21" s="1135"/>
      <c r="I21" s="1094" t="str">
        <f>E21</f>
        <v>RV</v>
      </c>
      <c r="J21" s="1140">
        <f>advanced!M10</f>
        <v>0</v>
      </c>
      <c r="K21" s="1141"/>
      <c r="L21" s="1094"/>
      <c r="M21" s="1095"/>
      <c r="N21" s="1081"/>
      <c r="O21" s="1081"/>
      <c r="P21" s="1081"/>
      <c r="T21" s="1081"/>
      <c r="U21" s="1081"/>
      <c r="V21" s="1081"/>
      <c r="W21" s="1081"/>
      <c r="X21" s="1081"/>
      <c r="Y21" s="1081"/>
      <c r="Z21" s="1081"/>
      <c r="AA21" s="1081"/>
      <c r="AB21" s="1081"/>
      <c r="AC21" s="1081"/>
      <c r="AD21" s="1081"/>
      <c r="AE21" s="1081"/>
      <c r="AF21" s="1081"/>
      <c r="AG21" s="1081"/>
      <c r="AH21" s="1081"/>
      <c r="AI21" s="1081"/>
      <c r="AO21" s="1081"/>
    </row>
    <row r="22" spans="1:41" x14ac:dyDescent="0.25">
      <c r="A22" s="1142"/>
      <c r="B22" s="1092"/>
      <c r="C22" s="1094"/>
      <c r="D22" s="1094"/>
      <c r="E22" s="1094" t="s">
        <v>915</v>
      </c>
      <c r="F22" s="1143">
        <f>advanced!I11</f>
        <v>1</v>
      </c>
      <c r="G22" s="1144"/>
      <c r="H22" s="1135"/>
      <c r="I22" s="1145" t="str">
        <f>E22</f>
        <v>% Payable</v>
      </c>
      <c r="J22" s="1143">
        <f>advanced!M11</f>
        <v>1</v>
      </c>
      <c r="K22" s="1144"/>
      <c r="L22" s="1094"/>
      <c r="M22" s="1095"/>
      <c r="N22" s="1081"/>
      <c r="O22" s="1081"/>
      <c r="P22" s="1081"/>
      <c r="T22" s="1081"/>
      <c r="U22" s="1081"/>
      <c r="V22" s="1081"/>
      <c r="W22" s="1081"/>
      <c r="X22" s="1081"/>
      <c r="Y22" s="1081"/>
      <c r="Z22" s="1081"/>
      <c r="AA22" s="1081"/>
      <c r="AB22" s="1081"/>
      <c r="AC22" s="1081"/>
      <c r="AD22" s="1081"/>
      <c r="AE22" s="1081"/>
      <c r="AF22" s="1081"/>
      <c r="AG22" s="1081"/>
      <c r="AH22" s="1081"/>
      <c r="AI22" s="1081"/>
      <c r="AO22" s="1081"/>
    </row>
    <row r="23" spans="1:41" x14ac:dyDescent="0.25">
      <c r="A23" s="1142"/>
      <c r="B23" s="1092"/>
      <c r="C23" s="1146"/>
      <c r="D23" s="1147"/>
      <c r="E23" s="1147"/>
      <c r="F23" s="1148"/>
      <c r="G23" s="1149"/>
      <c r="H23" s="1150"/>
      <c r="I23" s="1151"/>
      <c r="J23" s="1152"/>
      <c r="K23" s="1153"/>
      <c r="L23" s="1154"/>
      <c r="M23" s="1095"/>
      <c r="N23" s="1081"/>
      <c r="O23" s="1081"/>
      <c r="P23" s="1081"/>
      <c r="T23" s="1081"/>
      <c r="U23" s="1081"/>
      <c r="V23" s="1081"/>
      <c r="W23" s="1081"/>
      <c r="X23" s="1081"/>
      <c r="Y23" s="1081"/>
      <c r="Z23" s="1081"/>
      <c r="AA23" s="1081"/>
      <c r="AB23" s="1081"/>
      <c r="AC23" s="1081"/>
      <c r="AD23" s="1081"/>
      <c r="AE23" s="1081"/>
      <c r="AF23" s="1081"/>
      <c r="AG23" s="1081"/>
      <c r="AH23" s="1081"/>
      <c r="AI23" s="1081"/>
      <c r="AO23" s="1081"/>
    </row>
    <row r="24" spans="1:41" ht="13" hidden="1" x14ac:dyDescent="0.3">
      <c r="A24" s="1142"/>
      <c r="B24" s="1092"/>
      <c r="C24" s="1139" t="str">
        <f>advanced!F50</f>
        <v>Improvement Relief Certificates</v>
      </c>
      <c r="D24" s="1112"/>
      <c r="E24" s="1112"/>
      <c r="F24" s="2339"/>
      <c r="G24" s="2340"/>
      <c r="H24" s="1115"/>
      <c r="I24" s="1139" t="str">
        <f>C24</f>
        <v>Improvement Relief Certificates</v>
      </c>
      <c r="J24" s="2341"/>
      <c r="K24" s="2342"/>
      <c r="L24" s="2343"/>
      <c r="M24" s="1095"/>
      <c r="N24" s="1118"/>
      <c r="O24" s="1118"/>
      <c r="P24" s="1081"/>
      <c r="T24" s="1081"/>
      <c r="U24" s="1081"/>
      <c r="V24" s="1081"/>
      <c r="W24" s="1081"/>
      <c r="X24" s="1081"/>
      <c r="Y24" s="1081"/>
      <c r="Z24" s="1081"/>
      <c r="AA24" s="1081"/>
      <c r="AB24" s="1081"/>
      <c r="AC24" s="1081"/>
      <c r="AD24" s="1081"/>
      <c r="AE24" s="1081"/>
      <c r="AF24" s="1081"/>
      <c r="AG24" s="1081"/>
      <c r="AH24" s="1081"/>
      <c r="AI24" s="1081"/>
      <c r="AO24" s="1081"/>
    </row>
    <row r="25" spans="1:41" ht="6.65" hidden="1" customHeight="1" x14ac:dyDescent="0.25">
      <c r="A25" s="1142"/>
      <c r="B25" s="1092"/>
      <c r="C25" s="1111"/>
      <c r="D25" s="1112"/>
      <c r="E25" s="1112"/>
      <c r="F25" s="2339"/>
      <c r="G25" s="2340"/>
      <c r="H25" s="1115"/>
      <c r="I25" s="1129"/>
      <c r="J25" s="2341"/>
      <c r="K25" s="2342"/>
      <c r="L25" s="2343"/>
      <c r="M25" s="1095"/>
      <c r="N25" s="1118"/>
      <c r="O25" s="1118"/>
      <c r="P25" s="1081"/>
      <c r="T25" s="1081"/>
      <c r="U25" s="1081"/>
      <c r="V25" s="1081"/>
      <c r="W25" s="1081"/>
      <c r="X25" s="1081"/>
      <c r="Y25" s="1081"/>
      <c r="Z25" s="1081"/>
      <c r="AA25" s="1081"/>
      <c r="AB25" s="1081"/>
      <c r="AC25" s="1081"/>
      <c r="AD25" s="1081"/>
      <c r="AE25" s="1081"/>
      <c r="AF25" s="1081"/>
      <c r="AG25" s="1081"/>
      <c r="AH25" s="1081"/>
      <c r="AI25" s="1081"/>
      <c r="AO25" s="1081"/>
    </row>
    <row r="26" spans="1:41" ht="15" hidden="1" customHeight="1" x14ac:dyDescent="0.3">
      <c r="A26" s="1142"/>
      <c r="B26" s="1092"/>
      <c r="C26" s="2352" t="s">
        <v>342</v>
      </c>
      <c r="D26" s="1176"/>
      <c r="E26" s="2351" t="s">
        <v>343</v>
      </c>
      <c r="F26" s="2350" t="s">
        <v>2861</v>
      </c>
      <c r="G26" s="2348"/>
      <c r="H26" s="2346"/>
      <c r="I26" s="2352" t="s">
        <v>342</v>
      </c>
      <c r="J26" s="2351" t="s">
        <v>343</v>
      </c>
      <c r="K26" s="2350" t="s">
        <v>2861</v>
      </c>
      <c r="M26" s="1095"/>
      <c r="N26" s="1118"/>
      <c r="O26" s="1118"/>
      <c r="P26" s="1081"/>
      <c r="T26" s="1081"/>
      <c r="U26" s="1081"/>
      <c r="V26" s="1081"/>
      <c r="W26" s="1081"/>
      <c r="X26" s="1081"/>
      <c r="Y26" s="1081"/>
      <c r="Z26" s="1081"/>
      <c r="AA26" s="1081"/>
      <c r="AB26" s="1081"/>
      <c r="AC26" s="1081"/>
      <c r="AD26" s="1081"/>
      <c r="AE26" s="1081"/>
      <c r="AF26" s="1081"/>
      <c r="AG26" s="1081"/>
      <c r="AH26" s="1081"/>
      <c r="AI26" s="1081"/>
      <c r="AO26" s="1081"/>
    </row>
    <row r="27" spans="1:41" ht="15" hidden="1" customHeight="1" x14ac:dyDescent="0.25">
      <c r="A27" s="1142"/>
      <c r="B27" s="1092"/>
      <c r="C27" s="2356" t="str">
        <f>IF(advanced!G54="","",TEXT(advanced!G54,"dd/mm/yyyy"))</f>
        <v/>
      </c>
      <c r="D27" s="2357"/>
      <c r="E27" s="2355" t="str">
        <f>IF(advanced!H54="","",advanced!H54)</f>
        <v/>
      </c>
      <c r="F27" s="1133" t="str">
        <f>IF(advanced!I54="","",advanced!I54)</f>
        <v/>
      </c>
      <c r="G27" s="2348"/>
      <c r="H27" s="2346"/>
      <c r="I27" s="2354" t="str">
        <f>IF(advanced!M54="","",TEXT(advanced!M54,"dd/mm/yyyy"))</f>
        <v/>
      </c>
      <c r="J27" s="2355" t="str">
        <f>IF(advanced!N54="","",advanced!N54)</f>
        <v/>
      </c>
      <c r="K27" s="1133" t="str">
        <f>IF(advanced!O54="","",advanced!O54)</f>
        <v/>
      </c>
      <c r="M27" s="1095"/>
      <c r="N27" s="1118"/>
      <c r="O27" s="1118"/>
      <c r="P27" s="1081"/>
      <c r="T27" s="1081"/>
      <c r="U27" s="1081"/>
      <c r="V27" s="1081"/>
      <c r="W27" s="1081"/>
      <c r="X27" s="1081"/>
      <c r="Y27" s="1081"/>
      <c r="Z27" s="1081"/>
      <c r="AA27" s="1081"/>
      <c r="AB27" s="1081"/>
      <c r="AC27" s="1081"/>
      <c r="AD27" s="1081"/>
      <c r="AE27" s="1081"/>
      <c r="AF27" s="1081"/>
      <c r="AG27" s="1081"/>
      <c r="AH27" s="1081"/>
      <c r="AI27" s="1081"/>
      <c r="AO27" s="1081"/>
    </row>
    <row r="28" spans="1:41" ht="15" hidden="1" customHeight="1" x14ac:dyDescent="0.25">
      <c r="A28" s="1142"/>
      <c r="B28" s="1092"/>
      <c r="C28" s="2356" t="str">
        <f>IF(advanced!G55="","",TEXT(advanced!G55,"dd/mm/yyyy"))</f>
        <v/>
      </c>
      <c r="D28" s="2357"/>
      <c r="E28" s="2355" t="str">
        <f>IF(advanced!H55="","",advanced!H55)</f>
        <v/>
      </c>
      <c r="F28" s="1133" t="str">
        <f>IF(advanced!I55="","",advanced!I55)</f>
        <v/>
      </c>
      <c r="G28" s="2348"/>
      <c r="H28" s="2346"/>
      <c r="I28" s="2354" t="str">
        <f>IF(advanced!M55="","",TEXT(advanced!M55,"dd/mm/yyyy"))</f>
        <v/>
      </c>
      <c r="J28" s="2355" t="str">
        <f>IF(advanced!N55="","",advanced!N55)</f>
        <v/>
      </c>
      <c r="K28" s="1133" t="str">
        <f>IF(advanced!O55="","",advanced!O55)</f>
        <v/>
      </c>
      <c r="L28" s="2347" t="str">
        <f>IF(advanced!O55="","",advanced!O55)</f>
        <v/>
      </c>
      <c r="M28" s="1095"/>
      <c r="N28" s="1118"/>
      <c r="O28" s="1118"/>
      <c r="P28" s="1081"/>
      <c r="T28" s="1081"/>
      <c r="U28" s="1081"/>
      <c r="V28" s="1081"/>
      <c r="W28" s="1081"/>
      <c r="X28" s="1081"/>
      <c r="Y28" s="1081"/>
      <c r="Z28" s="1081"/>
      <c r="AA28" s="1081"/>
      <c r="AB28" s="1081"/>
      <c r="AC28" s="1081"/>
      <c r="AD28" s="1081"/>
      <c r="AE28" s="1081"/>
      <c r="AF28" s="1081"/>
      <c r="AG28" s="1081"/>
      <c r="AH28" s="1081"/>
      <c r="AI28" s="1081"/>
      <c r="AO28" s="1081"/>
    </row>
    <row r="29" spans="1:41" ht="15" hidden="1" customHeight="1" x14ac:dyDescent="0.25">
      <c r="A29" s="1142"/>
      <c r="B29" s="1092"/>
      <c r="C29" s="2356" t="str">
        <f>IF(advanced!G56="","",TEXT(advanced!G56,"dd/mm/yyyy"))</f>
        <v/>
      </c>
      <c r="D29" s="2357"/>
      <c r="E29" s="2355" t="str">
        <f>IF(advanced!H56="","",advanced!H56)</f>
        <v/>
      </c>
      <c r="F29" s="1133" t="str">
        <f>IF(advanced!I56="","",advanced!I56)</f>
        <v/>
      </c>
      <c r="G29" s="2348"/>
      <c r="H29" s="2346"/>
      <c r="I29" s="2354" t="str">
        <f>IF(advanced!M56="","",TEXT(advanced!M56,"dd/mm/yyyy"))</f>
        <v/>
      </c>
      <c r="J29" s="2355" t="str">
        <f>IF(advanced!N56="","",advanced!N56)</f>
        <v/>
      </c>
      <c r="K29" s="1133" t="str">
        <f>IF(advanced!O56="","",advanced!O56)</f>
        <v/>
      </c>
      <c r="L29" s="2347" t="str">
        <f>IF(advanced!O56="","",advanced!O56)</f>
        <v/>
      </c>
      <c r="M29" s="1095"/>
      <c r="N29" s="1118"/>
      <c r="O29" s="1118"/>
      <c r="P29" s="1081"/>
      <c r="T29" s="1081"/>
      <c r="U29" s="1081"/>
      <c r="V29" s="1081"/>
      <c r="W29" s="1081"/>
      <c r="X29" s="1081"/>
      <c r="Y29" s="1081"/>
      <c r="Z29" s="1081"/>
      <c r="AA29" s="1081"/>
      <c r="AB29" s="1081"/>
      <c r="AC29" s="1081"/>
      <c r="AD29" s="1081"/>
      <c r="AE29" s="1081"/>
      <c r="AF29" s="1081"/>
      <c r="AG29" s="1081"/>
      <c r="AH29" s="1081"/>
      <c r="AI29" s="1081"/>
      <c r="AO29" s="1081"/>
    </row>
    <row r="30" spans="1:41" ht="15" hidden="1" customHeight="1" x14ac:dyDescent="0.25">
      <c r="A30" s="1142"/>
      <c r="B30" s="1092"/>
      <c r="C30" s="2356" t="str">
        <f>IF(advanced!G57="","",TEXT(advanced!G57,"dd/mm/yyyy"))</f>
        <v/>
      </c>
      <c r="D30" s="2357"/>
      <c r="E30" s="2355" t="str">
        <f>IF(advanced!H57="","",advanced!H57)</f>
        <v/>
      </c>
      <c r="F30" s="1133" t="str">
        <f>IF(advanced!I57="","",advanced!I57)</f>
        <v/>
      </c>
      <c r="G30" s="2348"/>
      <c r="H30" s="2346"/>
      <c r="I30" s="2354" t="str">
        <f>IF(advanced!M57="","",TEXT(advanced!M57,"dd/mm/yyyy"))</f>
        <v/>
      </c>
      <c r="J30" s="2355" t="str">
        <f>IF(advanced!N57="","",advanced!N57)</f>
        <v/>
      </c>
      <c r="K30" s="1133" t="str">
        <f>IF(advanced!O57="","",advanced!O57)</f>
        <v/>
      </c>
      <c r="L30" s="2347" t="str">
        <f>IF(advanced!O57="","",advanced!O57)</f>
        <v/>
      </c>
      <c r="M30" s="1095"/>
      <c r="N30" s="1118"/>
      <c r="O30" s="1118"/>
      <c r="P30" s="1081"/>
      <c r="T30" s="1081"/>
      <c r="U30" s="1081"/>
      <c r="V30" s="1081"/>
      <c r="W30" s="1081"/>
      <c r="X30" s="1081"/>
      <c r="Y30" s="1081"/>
      <c r="Z30" s="1081"/>
      <c r="AA30" s="1081"/>
      <c r="AB30" s="1081"/>
      <c r="AC30" s="1081"/>
      <c r="AD30" s="1081"/>
      <c r="AE30" s="1081"/>
      <c r="AF30" s="1081"/>
      <c r="AG30" s="1081"/>
      <c r="AH30" s="1081"/>
      <c r="AI30" s="1081"/>
      <c r="AO30" s="1081"/>
    </row>
    <row r="31" spans="1:41" ht="15" hidden="1" customHeight="1" x14ac:dyDescent="0.25">
      <c r="A31" s="1142"/>
      <c r="B31" s="1092"/>
      <c r="C31" s="2356" t="str">
        <f>IF(advanced!G58="","",TEXT(advanced!G58,"dd/mm/yyyy"))</f>
        <v/>
      </c>
      <c r="D31" s="2357"/>
      <c r="E31" s="2355" t="str">
        <f>IF(advanced!H58="","",advanced!H58)</f>
        <v/>
      </c>
      <c r="F31" s="1133" t="str">
        <f>IF(advanced!I58="","",advanced!I58)</f>
        <v/>
      </c>
      <c r="G31" s="2348"/>
      <c r="H31" s="2346"/>
      <c r="I31" s="2354" t="str">
        <f>IF(advanced!M58="","",TEXT(advanced!M58,"dd/mm/yyyy"))</f>
        <v/>
      </c>
      <c r="J31" s="2355" t="str">
        <f>IF(advanced!N58="","",advanced!N58)</f>
        <v/>
      </c>
      <c r="K31" s="1133" t="str">
        <f>IF(advanced!O58="","",advanced!O58)</f>
        <v/>
      </c>
      <c r="L31" s="2347" t="str">
        <f>IF(advanced!O58="","",advanced!O58)</f>
        <v/>
      </c>
      <c r="M31" s="1095"/>
      <c r="N31" s="1118"/>
      <c r="O31" s="1118"/>
      <c r="P31" s="1081"/>
      <c r="T31" s="1081"/>
      <c r="U31" s="1081"/>
      <c r="V31" s="1081"/>
      <c r="W31" s="1081"/>
      <c r="X31" s="1081"/>
      <c r="Y31" s="1081"/>
      <c r="Z31" s="1081"/>
      <c r="AA31" s="1081"/>
      <c r="AB31" s="1081"/>
      <c r="AC31" s="1081"/>
      <c r="AD31" s="1081"/>
      <c r="AE31" s="1081"/>
      <c r="AF31" s="1081"/>
      <c r="AG31" s="1081"/>
      <c r="AH31" s="1081"/>
      <c r="AI31" s="1081"/>
      <c r="AO31" s="1081"/>
    </row>
    <row r="32" spans="1:41" ht="15" hidden="1" customHeight="1" x14ac:dyDescent="0.25">
      <c r="A32" s="1142"/>
      <c r="B32" s="1092"/>
      <c r="C32" s="1146"/>
      <c r="D32" s="1147"/>
      <c r="E32" s="1147"/>
      <c r="F32" s="2344"/>
      <c r="G32" s="1149"/>
      <c r="H32" s="1150"/>
      <c r="I32" s="1151"/>
      <c r="J32" s="2345"/>
      <c r="K32" s="1153"/>
      <c r="L32" s="1154"/>
      <c r="M32" s="1095"/>
      <c r="N32" s="1118"/>
      <c r="O32" s="1118"/>
      <c r="P32" s="1081"/>
      <c r="T32" s="1081"/>
      <c r="U32" s="1081"/>
      <c r="V32" s="1081"/>
      <c r="W32" s="1081"/>
      <c r="X32" s="1081"/>
      <c r="Y32" s="1081"/>
      <c r="Z32" s="1081"/>
      <c r="AA32" s="1081"/>
      <c r="AB32" s="1081"/>
      <c r="AC32" s="1081"/>
      <c r="AD32" s="1081"/>
      <c r="AE32" s="1081"/>
      <c r="AF32" s="1081"/>
      <c r="AG32" s="1081"/>
      <c r="AH32" s="1081"/>
      <c r="AI32" s="1081"/>
      <c r="AO32" s="1081"/>
    </row>
    <row r="33" spans="1:41" ht="13" x14ac:dyDescent="0.25">
      <c r="A33" s="1155"/>
      <c r="B33" s="1092"/>
      <c r="C33" s="1156" t="str">
        <f>"Alterations effective after "&amp;text!E52&amp;", MCC's or change in % liability basis"</f>
        <v>Alterations effective after 01/04/23, MCC's or change in % liability basis</v>
      </c>
      <c r="D33" s="1094"/>
      <c r="E33" s="1145"/>
      <c r="F33" s="1157"/>
      <c r="G33" s="1094"/>
      <c r="H33" s="1094"/>
      <c r="I33" s="1094"/>
      <c r="J33" s="1145"/>
      <c r="K33" s="1157"/>
      <c r="L33" s="1094"/>
      <c r="M33" s="1095"/>
      <c r="N33" s="1081"/>
      <c r="O33" s="1081"/>
      <c r="P33" s="1081"/>
      <c r="T33" s="1081"/>
      <c r="U33" s="1081"/>
      <c r="V33" s="1081"/>
      <c r="W33" s="1081"/>
      <c r="X33" s="1081"/>
      <c r="Y33" s="1081"/>
      <c r="Z33" s="1081"/>
      <c r="AA33" s="1081"/>
      <c r="AB33" s="1081"/>
      <c r="AC33" s="1081"/>
      <c r="AD33" s="1081"/>
      <c r="AE33" s="1081"/>
      <c r="AF33" s="1081"/>
      <c r="AG33" s="1081"/>
      <c r="AH33" s="1081"/>
      <c r="AI33" s="1081"/>
      <c r="AO33" s="1081"/>
    </row>
    <row r="34" spans="1:41" ht="27.75" customHeight="1" x14ac:dyDescent="0.25">
      <c r="A34" s="1158"/>
      <c r="B34" s="1092"/>
      <c r="C34" s="1159" t="s">
        <v>1341</v>
      </c>
      <c r="D34" s="1094"/>
      <c r="E34" s="1160" t="s">
        <v>656</v>
      </c>
      <c r="F34" s="1160" t="s">
        <v>272</v>
      </c>
      <c r="G34" s="1161" t="s">
        <v>916</v>
      </c>
      <c r="H34" s="1094"/>
      <c r="I34" s="1159" t="s">
        <v>1342</v>
      </c>
      <c r="J34" s="1160" t="s">
        <v>656</v>
      </c>
      <c r="K34" s="1160" t="s">
        <v>272</v>
      </c>
      <c r="L34" s="1161" t="s">
        <v>916</v>
      </c>
      <c r="M34" s="1095"/>
      <c r="N34" s="1158"/>
      <c r="O34" s="1081"/>
      <c r="P34" s="1081"/>
      <c r="Q34" s="1084" t="s">
        <v>917</v>
      </c>
      <c r="R34" s="1084" t="s">
        <v>918</v>
      </c>
      <c r="T34" s="1081"/>
      <c r="U34" s="1081"/>
      <c r="V34" s="1081"/>
      <c r="W34" s="1081"/>
      <c r="X34" s="1081"/>
      <c r="Y34" s="1081"/>
      <c r="Z34" s="1081"/>
      <c r="AA34" s="1081"/>
      <c r="AB34" s="1081"/>
      <c r="AC34" s="1081"/>
      <c r="AD34" s="1081"/>
      <c r="AE34" s="1081"/>
      <c r="AF34" s="1081"/>
      <c r="AG34" s="1081"/>
      <c r="AH34" s="1081"/>
      <c r="AI34" s="1081"/>
      <c r="AO34" s="1081"/>
    </row>
    <row r="35" spans="1:41" ht="15.9" customHeight="1" x14ac:dyDescent="0.3">
      <c r="A35" s="1081"/>
      <c r="B35" s="1162"/>
      <c r="C35" s="1163" t="str">
        <f>Q35</f>
        <v>Occ</v>
      </c>
      <c r="D35" s="1163"/>
      <c r="E35" s="1164">
        <f>IF(AND(advanced!H69&gt;0,advanced!H69&lt;&gt;""),advanced!H69,"")</f>
        <v>45017</v>
      </c>
      <c r="F35" s="1140">
        <f>IF(advanced!I69&lt;&gt;"",advanced!I69,"")</f>
        <v>0</v>
      </c>
      <c r="G35" s="1143">
        <f>advanced!J69</f>
        <v>1</v>
      </c>
      <c r="H35" s="1094"/>
      <c r="I35" s="1165" t="str">
        <f>"   "&amp;R35</f>
        <v xml:space="preserve">   Occ</v>
      </c>
      <c r="J35" s="1164">
        <f>IF(AND(advanced!M69&gt;0,advanced!M69&lt;&gt;""),advanced!M69,"")</f>
        <v>45017</v>
      </c>
      <c r="K35" s="1140">
        <f>IF(advanced!N69&lt;&gt;"",advanced!N69,"")</f>
        <v>0</v>
      </c>
      <c r="L35" s="1143">
        <f>advanced!O69</f>
        <v>1</v>
      </c>
      <c r="M35" s="1166"/>
      <c r="N35" s="1081"/>
      <c r="O35" s="1081"/>
      <c r="P35" s="1081"/>
      <c r="Q35" s="1084" t="str">
        <f>IF(advanced!K69="n","Occ","Vac")</f>
        <v>Occ</v>
      </c>
      <c r="R35" s="1167" t="str">
        <f>IF(advanced!P69="n","Occ","Vac")</f>
        <v>Occ</v>
      </c>
      <c r="S35" s="1167" t="str">
        <f>IF(AND($K$23&lt;&gt;"",J35=$K$23)," certified","")</f>
        <v/>
      </c>
      <c r="T35" s="1081"/>
      <c r="U35" s="1081"/>
      <c r="V35" s="1081"/>
      <c r="W35" s="1081"/>
      <c r="X35" s="1081"/>
      <c r="Y35" s="1081"/>
      <c r="Z35" s="1081"/>
      <c r="AA35" s="1081"/>
      <c r="AB35" s="1081"/>
      <c r="AC35" s="1081"/>
      <c r="AD35" s="1081"/>
      <c r="AE35" s="1081"/>
      <c r="AF35" s="1081"/>
      <c r="AG35" s="1081"/>
      <c r="AH35" s="1081"/>
      <c r="AI35" s="1081"/>
      <c r="AO35" s="1081"/>
    </row>
    <row r="36" spans="1:41" ht="15.9" customHeight="1" x14ac:dyDescent="0.3">
      <c r="A36" s="1081"/>
      <c r="B36" s="1162"/>
      <c r="C36" s="1163" t="str">
        <f t="shared" ref="C36:C46" si="0">Q36</f>
        <v>Occ</v>
      </c>
      <c r="D36" s="1165" t="str">
        <f>IF(advanced!AJ70=TRUE,"c","")</f>
        <v/>
      </c>
      <c r="E36" s="1164" t="str">
        <f>IF(AND(advanced!H70&gt;0,advanced!H70&lt;&gt;""),advanced!H70,"")</f>
        <v/>
      </c>
      <c r="F36" s="1140" t="str">
        <f>IF(advanced!I70&lt;&gt;"",advanced!I70,"")</f>
        <v/>
      </c>
      <c r="G36" s="1143">
        <f>advanced!J70</f>
        <v>1</v>
      </c>
      <c r="H36" s="1094"/>
      <c r="I36" s="1165" t="str">
        <f>IF(advanced!AK70=TRUE,"   "&amp;R36&amp;"  c","   "&amp;R36)</f>
        <v xml:space="preserve">   Occ</v>
      </c>
      <c r="J36" s="1164" t="str">
        <f>IF(AND(advanced!M70&gt;0,advanced!M70&lt;&gt;""),advanced!M70,"")</f>
        <v/>
      </c>
      <c r="K36" s="1140" t="str">
        <f>IF(advanced!N70&lt;&gt;"",advanced!N70,"")</f>
        <v/>
      </c>
      <c r="L36" s="1143">
        <f>advanced!O70</f>
        <v>1</v>
      </c>
      <c r="M36" s="1166"/>
      <c r="N36" s="1081"/>
      <c r="O36" s="1081"/>
      <c r="P36" s="1081"/>
      <c r="Q36" s="1084" t="str">
        <f>IF(advanced!K70="n","Occ","Vac")</f>
        <v>Occ</v>
      </c>
      <c r="R36" s="1167" t="str">
        <f>IF(advanced!P70="n","Occ","Vac")</f>
        <v>Occ</v>
      </c>
      <c r="S36" s="1167" t="str">
        <f t="shared" ref="S36:S43" si="1">IF(AND($K$23&lt;&gt;"",J36=$K$23)," certified","")</f>
        <v/>
      </c>
      <c r="T36" s="1081"/>
      <c r="U36" s="1081"/>
      <c r="V36" s="1081"/>
      <c r="W36" s="1081"/>
      <c r="X36" s="1081"/>
      <c r="Y36" s="1081"/>
      <c r="Z36" s="1081"/>
      <c r="AA36" s="1081"/>
      <c r="AB36" s="1081"/>
      <c r="AC36" s="1081"/>
      <c r="AD36" s="1081"/>
      <c r="AE36" s="1081"/>
      <c r="AF36" s="1081"/>
      <c r="AG36" s="1081"/>
      <c r="AH36" s="1081"/>
      <c r="AI36" s="1081"/>
      <c r="AO36" s="1081"/>
    </row>
    <row r="37" spans="1:41" ht="15.9" customHeight="1" x14ac:dyDescent="0.3">
      <c r="A37" s="1081"/>
      <c r="B37" s="1162"/>
      <c r="C37" s="1163" t="str">
        <f t="shared" si="0"/>
        <v>Occ</v>
      </c>
      <c r="D37" s="1165" t="str">
        <f>IF(advanced!AJ71=TRUE,"c","")</f>
        <v/>
      </c>
      <c r="E37" s="1164" t="str">
        <f>IF(AND(advanced!H71&gt;0,advanced!H71&lt;&gt;""),advanced!H71,"")</f>
        <v/>
      </c>
      <c r="F37" s="1140" t="str">
        <f>IF(advanced!I71&lt;&gt;"",advanced!I71,"")</f>
        <v/>
      </c>
      <c r="G37" s="1143">
        <f>advanced!J71</f>
        <v>1</v>
      </c>
      <c r="H37" s="1094"/>
      <c r="I37" s="1165" t="str">
        <f>IF(advanced!AK71=TRUE,"   "&amp;R37&amp;"  c","   "&amp;R37)</f>
        <v xml:space="preserve">   Occ</v>
      </c>
      <c r="J37" s="1164" t="str">
        <f>IF(AND(advanced!M71&gt;0,advanced!M71&lt;&gt;""),advanced!M71,"")</f>
        <v/>
      </c>
      <c r="K37" s="1140" t="str">
        <f>IF(advanced!N71&lt;&gt;"",advanced!N71,"")</f>
        <v/>
      </c>
      <c r="L37" s="1143">
        <f>advanced!O71</f>
        <v>1</v>
      </c>
      <c r="M37" s="1166"/>
      <c r="N37" s="1081"/>
      <c r="O37" s="1081"/>
      <c r="P37" s="1081"/>
      <c r="Q37" s="1084" t="str">
        <f>IF(advanced!K71="n","Occ","Vac")</f>
        <v>Occ</v>
      </c>
      <c r="R37" s="1167" t="str">
        <f>IF(advanced!P71="n","Occ","Vac")</f>
        <v>Occ</v>
      </c>
      <c r="S37" s="1167" t="str">
        <f t="shared" si="1"/>
        <v/>
      </c>
      <c r="T37" s="1081"/>
      <c r="U37" s="1081"/>
      <c r="V37" s="1081"/>
      <c r="W37" s="1081"/>
      <c r="X37" s="1081"/>
      <c r="Y37" s="1081"/>
      <c r="Z37" s="1081"/>
      <c r="AA37" s="1081"/>
      <c r="AB37" s="1081"/>
      <c r="AC37" s="1081"/>
      <c r="AD37" s="1081"/>
      <c r="AE37" s="1081"/>
      <c r="AF37" s="1081"/>
      <c r="AG37" s="1081"/>
      <c r="AH37" s="1081"/>
      <c r="AI37" s="1081"/>
      <c r="AO37" s="1081"/>
    </row>
    <row r="38" spans="1:41" ht="15.9" customHeight="1" x14ac:dyDescent="0.3">
      <c r="A38" s="1081"/>
      <c r="B38" s="1162"/>
      <c r="C38" s="1163" t="str">
        <f t="shared" si="0"/>
        <v>Occ</v>
      </c>
      <c r="D38" s="1165" t="str">
        <f>IF(advanced!AJ72=TRUE,"c","")</f>
        <v/>
      </c>
      <c r="E38" s="1164" t="str">
        <f>IF(AND(advanced!H72&gt;0,advanced!H72&lt;&gt;""),advanced!H72,"")</f>
        <v/>
      </c>
      <c r="F38" s="1140" t="str">
        <f>IF(advanced!I72&lt;&gt;"",advanced!I72,"")</f>
        <v/>
      </c>
      <c r="G38" s="1143">
        <f>advanced!J72</f>
        <v>1</v>
      </c>
      <c r="H38" s="1094"/>
      <c r="I38" s="1165" t="str">
        <f>IF(advanced!AK72=TRUE,"   "&amp;R38&amp;"  c","   "&amp;R38)</f>
        <v xml:space="preserve">   Occ</v>
      </c>
      <c r="J38" s="1164" t="str">
        <f>IF(AND(advanced!M72&gt;0,advanced!M72&lt;&gt;""),advanced!M72,"")</f>
        <v/>
      </c>
      <c r="K38" s="1140" t="str">
        <f>IF(advanced!N72&lt;&gt;"",advanced!N72,"")</f>
        <v/>
      </c>
      <c r="L38" s="1143">
        <f>advanced!O72</f>
        <v>1</v>
      </c>
      <c r="M38" s="1166"/>
      <c r="N38" s="1081"/>
      <c r="O38" s="1081"/>
      <c r="P38" s="1081"/>
      <c r="Q38" s="1084" t="str">
        <f>IF(advanced!K72="n","Occ","Vac")</f>
        <v>Occ</v>
      </c>
      <c r="R38" s="1167" t="str">
        <f>IF(advanced!P72="n","Occ","Vac")</f>
        <v>Occ</v>
      </c>
      <c r="S38" s="1167" t="str">
        <f t="shared" si="1"/>
        <v/>
      </c>
      <c r="T38" s="1081"/>
      <c r="U38" s="1081"/>
      <c r="V38" s="1081"/>
      <c r="W38" s="1081"/>
      <c r="X38" s="1081"/>
      <c r="Y38" s="1081"/>
      <c r="Z38" s="1081"/>
      <c r="AA38" s="1081"/>
      <c r="AB38" s="1081"/>
      <c r="AC38" s="1081"/>
      <c r="AD38" s="1081"/>
      <c r="AE38" s="1081"/>
      <c r="AF38" s="1081"/>
      <c r="AG38" s="1081"/>
      <c r="AH38" s="1081"/>
      <c r="AI38" s="1081"/>
      <c r="AO38" s="1081"/>
    </row>
    <row r="39" spans="1:41" ht="15.9" customHeight="1" x14ac:dyDescent="0.3">
      <c r="A39" s="1081"/>
      <c r="B39" s="1162"/>
      <c r="C39" s="1163" t="str">
        <f t="shared" si="0"/>
        <v>Occ</v>
      </c>
      <c r="D39" s="1165" t="str">
        <f>IF(advanced!AJ73=TRUE,"c","")</f>
        <v/>
      </c>
      <c r="E39" s="1164" t="str">
        <f>IF(AND(advanced!H73&gt;0,advanced!H73&lt;&gt;""),advanced!H73,"")</f>
        <v/>
      </c>
      <c r="F39" s="1140" t="str">
        <f>IF(advanced!I73&lt;&gt;"",advanced!I73,"")</f>
        <v/>
      </c>
      <c r="G39" s="1143">
        <f>advanced!J73</f>
        <v>1</v>
      </c>
      <c r="H39" s="1094"/>
      <c r="I39" s="1165" t="str">
        <f>IF(advanced!AK73=TRUE,"   "&amp;R39&amp;"  c","   "&amp;R39)</f>
        <v xml:space="preserve">   Occ</v>
      </c>
      <c r="J39" s="1164" t="str">
        <f>IF(AND(advanced!M73&gt;0,advanced!M73&lt;&gt;""),advanced!M73,"")</f>
        <v/>
      </c>
      <c r="K39" s="1140" t="str">
        <f>IF(advanced!N73&lt;&gt;"",advanced!N73,"")</f>
        <v/>
      </c>
      <c r="L39" s="1143">
        <f>advanced!O73</f>
        <v>1</v>
      </c>
      <c r="M39" s="1166"/>
      <c r="N39" s="1081"/>
      <c r="O39" s="1081"/>
      <c r="P39" s="1081"/>
      <c r="Q39" s="1084" t="str">
        <f>IF(advanced!K73="n","Occ","Vac")</f>
        <v>Occ</v>
      </c>
      <c r="R39" s="1167" t="str">
        <f>IF(advanced!P73="n","Occ","Vac")</f>
        <v>Occ</v>
      </c>
      <c r="S39" s="1167" t="str">
        <f t="shared" si="1"/>
        <v/>
      </c>
      <c r="T39" s="1081"/>
      <c r="U39" s="1081"/>
      <c r="V39" s="1081"/>
      <c r="W39" s="1081"/>
      <c r="X39" s="1081"/>
      <c r="Y39" s="1081"/>
      <c r="Z39" s="1081"/>
      <c r="AA39" s="1081"/>
      <c r="AB39" s="1081"/>
      <c r="AC39" s="1081"/>
      <c r="AD39" s="1081"/>
      <c r="AE39" s="1081"/>
      <c r="AF39" s="1081"/>
      <c r="AG39" s="1081"/>
      <c r="AH39" s="1081"/>
      <c r="AI39" s="1081"/>
      <c r="AO39" s="1081"/>
    </row>
    <row r="40" spans="1:41" ht="15.9" customHeight="1" x14ac:dyDescent="0.3">
      <c r="A40" s="1081"/>
      <c r="B40" s="1162"/>
      <c r="C40" s="1163" t="str">
        <f t="shared" si="0"/>
        <v>Occ</v>
      </c>
      <c r="D40" s="1165" t="str">
        <f>IF(advanced!AJ74=TRUE,"c","")</f>
        <v/>
      </c>
      <c r="E40" s="1164" t="str">
        <f>IF(AND(advanced!H74&gt;0,advanced!H74&lt;&gt;""),advanced!H74,"")</f>
        <v/>
      </c>
      <c r="F40" s="1140" t="str">
        <f>IF(advanced!I74&lt;&gt;"",advanced!I74,"")</f>
        <v/>
      </c>
      <c r="G40" s="1143">
        <f>advanced!J74</f>
        <v>1</v>
      </c>
      <c r="H40" s="1094"/>
      <c r="I40" s="1165" t="str">
        <f>IF(advanced!AK74=TRUE,"   "&amp;R40&amp;"  c","   "&amp;R40)</f>
        <v xml:space="preserve">   Occ</v>
      </c>
      <c r="J40" s="1164" t="str">
        <f>IF(AND(advanced!M74&gt;0,advanced!M74&lt;&gt;""),advanced!M74,"")</f>
        <v/>
      </c>
      <c r="K40" s="1140" t="str">
        <f>IF(advanced!N74&lt;&gt;"",advanced!N74,"")</f>
        <v/>
      </c>
      <c r="L40" s="1143">
        <f>advanced!O74</f>
        <v>1</v>
      </c>
      <c r="M40" s="1166"/>
      <c r="N40" s="1081"/>
      <c r="O40" s="1081"/>
      <c r="P40" s="1081"/>
      <c r="Q40" s="1084" t="str">
        <f>IF(advanced!K74="n","Occ","Vac")</f>
        <v>Occ</v>
      </c>
      <c r="R40" s="1167" t="str">
        <f>IF(advanced!P74="n","Occ","Vac")</f>
        <v>Occ</v>
      </c>
      <c r="S40" s="1167" t="str">
        <f t="shared" si="1"/>
        <v/>
      </c>
      <c r="T40" s="1081"/>
      <c r="U40" s="1081"/>
      <c r="V40" s="1081"/>
      <c r="W40" s="1081"/>
      <c r="X40" s="1081"/>
      <c r="Y40" s="1081"/>
      <c r="Z40" s="1081"/>
      <c r="AA40" s="1081"/>
      <c r="AB40" s="1081"/>
      <c r="AC40" s="1081"/>
      <c r="AD40" s="1081"/>
      <c r="AE40" s="1081"/>
      <c r="AF40" s="1081"/>
      <c r="AG40" s="1081"/>
      <c r="AH40" s="1081"/>
      <c r="AI40" s="1081"/>
      <c r="AO40" s="1081"/>
    </row>
    <row r="41" spans="1:41" ht="15.9" customHeight="1" x14ac:dyDescent="0.3">
      <c r="A41" s="1081"/>
      <c r="B41" s="1162"/>
      <c r="C41" s="1163" t="str">
        <f t="shared" si="0"/>
        <v>Occ</v>
      </c>
      <c r="D41" s="1165" t="str">
        <f>IF(advanced!AJ75=TRUE,"c","")</f>
        <v/>
      </c>
      <c r="E41" s="1164" t="str">
        <f>IF(AND(advanced!H75&gt;0,advanced!H75&lt;&gt;""),advanced!H75,"")</f>
        <v/>
      </c>
      <c r="F41" s="1140" t="str">
        <f>IF(advanced!I75&lt;&gt;"",advanced!I75,"")</f>
        <v/>
      </c>
      <c r="G41" s="1143">
        <f>advanced!J75</f>
        <v>1</v>
      </c>
      <c r="H41" s="1094"/>
      <c r="I41" s="1165" t="str">
        <f>IF(advanced!AK75=TRUE,"   "&amp;R41&amp;"  c","   "&amp;R41)</f>
        <v xml:space="preserve">   Occ</v>
      </c>
      <c r="J41" s="1164" t="str">
        <f>IF(AND(advanced!M75&gt;0,advanced!M75&lt;&gt;""),advanced!M75,"")</f>
        <v/>
      </c>
      <c r="K41" s="1140" t="str">
        <f>IF(advanced!N75&lt;&gt;"",advanced!N75,"")</f>
        <v/>
      </c>
      <c r="L41" s="1143">
        <f>advanced!O75</f>
        <v>1</v>
      </c>
      <c r="M41" s="1166"/>
      <c r="N41" s="1081"/>
      <c r="O41" s="1081"/>
      <c r="P41" s="1081"/>
      <c r="Q41" s="1084" t="str">
        <f>IF(advanced!K75="n","Occ","Vac")</f>
        <v>Occ</v>
      </c>
      <c r="R41" s="1167" t="str">
        <f>IF(advanced!P75="n","Occ","Vac")</f>
        <v>Occ</v>
      </c>
      <c r="S41" s="1167" t="str">
        <f t="shared" si="1"/>
        <v/>
      </c>
      <c r="T41" s="1081"/>
      <c r="U41" s="1081"/>
      <c r="V41" s="1081"/>
      <c r="W41" s="1081"/>
      <c r="X41" s="1081"/>
      <c r="Y41" s="1081"/>
      <c r="Z41" s="1081"/>
      <c r="AA41" s="1081"/>
      <c r="AB41" s="1081"/>
      <c r="AC41" s="1081"/>
      <c r="AD41" s="1081"/>
      <c r="AE41" s="1081"/>
      <c r="AF41" s="1081"/>
      <c r="AG41" s="1081"/>
      <c r="AH41" s="1081"/>
      <c r="AI41" s="1081"/>
      <c r="AO41" s="1081"/>
    </row>
    <row r="42" spans="1:41" ht="15.9" customHeight="1" x14ac:dyDescent="0.3">
      <c r="A42" s="1081"/>
      <c r="B42" s="1162"/>
      <c r="C42" s="1163" t="str">
        <f t="shared" si="0"/>
        <v>Occ</v>
      </c>
      <c r="D42" s="1165" t="str">
        <f>IF(advanced!AJ76=TRUE,"c","")</f>
        <v/>
      </c>
      <c r="E42" s="1164" t="str">
        <f>IF(AND(advanced!H76&gt;0,advanced!H76&lt;&gt;""),advanced!H76,"")</f>
        <v/>
      </c>
      <c r="F42" s="1140" t="str">
        <f>IF(advanced!I76&lt;&gt;"",advanced!I76,"")</f>
        <v/>
      </c>
      <c r="G42" s="1143">
        <f>advanced!J76</f>
        <v>1</v>
      </c>
      <c r="H42" s="1094"/>
      <c r="I42" s="1165" t="str">
        <f>IF(advanced!AK76=TRUE,"   "&amp;R42&amp;"  c","   "&amp;R42)</f>
        <v xml:space="preserve">   Occ</v>
      </c>
      <c r="J42" s="1164" t="str">
        <f>IF(AND(advanced!M76&gt;0,advanced!M76&lt;&gt;""),advanced!M76,"")</f>
        <v/>
      </c>
      <c r="K42" s="1140" t="str">
        <f>IF(advanced!N76&lt;&gt;"",advanced!N76,"")</f>
        <v/>
      </c>
      <c r="L42" s="1143">
        <f>advanced!O76</f>
        <v>1</v>
      </c>
      <c r="M42" s="1166"/>
      <c r="N42" s="1081"/>
      <c r="O42" s="1081"/>
      <c r="P42" s="1081"/>
      <c r="Q42" s="1084" t="str">
        <f>IF(advanced!K76="n","Occ","Vac")</f>
        <v>Occ</v>
      </c>
      <c r="R42" s="1167" t="str">
        <f>IF(advanced!P76="n","Occ","Vac")</f>
        <v>Occ</v>
      </c>
      <c r="S42" s="1167" t="str">
        <f t="shared" si="1"/>
        <v/>
      </c>
      <c r="T42" s="1081"/>
      <c r="U42" s="1081"/>
      <c r="V42" s="1081"/>
      <c r="W42" s="1081"/>
      <c r="X42" s="1081"/>
      <c r="Y42" s="1081"/>
      <c r="Z42" s="1081"/>
      <c r="AA42" s="1081"/>
      <c r="AB42" s="1081"/>
      <c r="AC42" s="1081"/>
      <c r="AD42" s="1081"/>
      <c r="AE42" s="1081"/>
      <c r="AF42" s="1081"/>
      <c r="AG42" s="1081"/>
      <c r="AH42" s="1081"/>
      <c r="AI42" s="1081"/>
      <c r="AO42" s="1081"/>
    </row>
    <row r="43" spans="1:41" ht="15.9" customHeight="1" x14ac:dyDescent="0.3">
      <c r="A43" s="1081"/>
      <c r="B43" s="1162"/>
      <c r="C43" s="1163" t="str">
        <f t="shared" si="0"/>
        <v>Occ</v>
      </c>
      <c r="D43" s="1165" t="str">
        <f>IF(advanced!AJ77=TRUE,"c","")</f>
        <v/>
      </c>
      <c r="E43" s="1164" t="str">
        <f>IF(AND(advanced!H77&gt;0,advanced!H77&lt;&gt;""),advanced!H77,"")</f>
        <v/>
      </c>
      <c r="F43" s="1140" t="str">
        <f>IF(advanced!I77&lt;&gt;"",advanced!I77,"")</f>
        <v/>
      </c>
      <c r="G43" s="1143">
        <f>advanced!J77</f>
        <v>1</v>
      </c>
      <c r="H43" s="1094"/>
      <c r="I43" s="1165" t="str">
        <f>IF(advanced!AK77=TRUE,"   "&amp;R43&amp;"  c","   "&amp;R43)</f>
        <v xml:space="preserve">   Occ</v>
      </c>
      <c r="J43" s="1164" t="str">
        <f>IF(AND(advanced!M77&gt;0,advanced!M77&lt;&gt;""),advanced!M77,"")</f>
        <v/>
      </c>
      <c r="K43" s="1140" t="str">
        <f>IF(advanced!N77&lt;&gt;"",advanced!N77,"")</f>
        <v/>
      </c>
      <c r="L43" s="1143">
        <f>advanced!O77</f>
        <v>1</v>
      </c>
      <c r="M43" s="1166"/>
      <c r="N43" s="1081"/>
      <c r="O43" s="1081"/>
      <c r="P43" s="1081"/>
      <c r="Q43" s="1084" t="str">
        <f>IF(advanced!K77="n","Occ","Vac")</f>
        <v>Occ</v>
      </c>
      <c r="R43" s="1167" t="str">
        <f>IF(advanced!P77="n","Occ","Vac")</f>
        <v>Occ</v>
      </c>
      <c r="S43" s="1167" t="str">
        <f t="shared" si="1"/>
        <v/>
      </c>
      <c r="T43" s="1081"/>
      <c r="U43" s="1081"/>
      <c r="V43" s="1081"/>
      <c r="W43" s="1081"/>
      <c r="X43" s="1081"/>
      <c r="Y43" s="1081"/>
      <c r="Z43" s="1081"/>
      <c r="AA43" s="1081"/>
      <c r="AB43" s="1081"/>
      <c r="AC43" s="1081"/>
      <c r="AD43" s="1081"/>
      <c r="AE43" s="1081"/>
      <c r="AF43" s="1081"/>
      <c r="AG43" s="1081"/>
      <c r="AH43" s="1081"/>
      <c r="AI43" s="1081"/>
      <c r="AO43" s="1081"/>
    </row>
    <row r="44" spans="1:41" ht="15.9" customHeight="1" x14ac:dyDescent="0.3">
      <c r="A44" s="1081"/>
      <c r="B44" s="1162"/>
      <c r="C44" s="1163" t="str">
        <f t="shared" si="0"/>
        <v>Occ</v>
      </c>
      <c r="D44" s="1165" t="str">
        <f>IF(advanced!AJ78=TRUE,"c","")</f>
        <v/>
      </c>
      <c r="E44" s="1164" t="str">
        <f>IF(AND(advanced!H78&gt;0,advanced!H78&lt;&gt;""),advanced!H78,"")</f>
        <v/>
      </c>
      <c r="F44" s="1140" t="str">
        <f>IF(advanced!I78&lt;&gt;"",advanced!I78,"")</f>
        <v/>
      </c>
      <c r="G44" s="1143">
        <f>advanced!J78</f>
        <v>1</v>
      </c>
      <c r="H44" s="1094"/>
      <c r="I44" s="1165" t="str">
        <f>IF(advanced!AK78=TRUE,"   "&amp;R44&amp;"  c","   "&amp;R44)</f>
        <v xml:space="preserve">   Occ</v>
      </c>
      <c r="J44" s="1164" t="str">
        <f>IF(AND(advanced!M78&gt;0,advanced!M78&lt;&gt;""),advanced!M78,"")</f>
        <v/>
      </c>
      <c r="K44" s="1140" t="str">
        <f>IF(advanced!N78&lt;&gt;"",advanced!N78,"")</f>
        <v/>
      </c>
      <c r="L44" s="1143">
        <f>advanced!O78</f>
        <v>1</v>
      </c>
      <c r="M44" s="1166"/>
      <c r="N44" s="1081"/>
      <c r="O44" s="1081"/>
      <c r="P44" s="1081"/>
      <c r="Q44" s="1084" t="str">
        <f>IF(advanced!K78="n","Occ","Vac")</f>
        <v>Occ</v>
      </c>
      <c r="R44" s="1167" t="str">
        <f>IF(advanced!P78="n","Occ","Vac")</f>
        <v>Occ</v>
      </c>
      <c r="S44" s="1167"/>
      <c r="T44" s="1081"/>
      <c r="U44" s="1081"/>
      <c r="V44" s="1081"/>
      <c r="W44" s="1081"/>
      <c r="X44" s="1081"/>
      <c r="Y44" s="1081"/>
      <c r="Z44" s="1081"/>
      <c r="AA44" s="1081"/>
      <c r="AB44" s="1081"/>
      <c r="AC44" s="1081"/>
      <c r="AD44" s="1081"/>
      <c r="AE44" s="1081"/>
      <c r="AF44" s="1081"/>
      <c r="AG44" s="1081"/>
      <c r="AH44" s="1081"/>
      <c r="AI44" s="1081"/>
      <c r="AO44" s="1081"/>
    </row>
    <row r="45" spans="1:41" ht="15.9" customHeight="1" x14ac:dyDescent="0.3">
      <c r="A45" s="1081"/>
      <c r="B45" s="1162"/>
      <c r="C45" s="1163" t="str">
        <f t="shared" si="0"/>
        <v>Occ</v>
      </c>
      <c r="D45" s="1165" t="str">
        <f>IF(advanced!AJ79=TRUE,"c","")</f>
        <v/>
      </c>
      <c r="E45" s="1164" t="str">
        <f>IF(AND(advanced!H79&gt;0,advanced!H79&lt;&gt;""),advanced!H79,"")</f>
        <v/>
      </c>
      <c r="F45" s="1140" t="str">
        <f>IF(advanced!I79&lt;&gt;"",advanced!I79,"")</f>
        <v/>
      </c>
      <c r="G45" s="1143">
        <f>advanced!J79</f>
        <v>1</v>
      </c>
      <c r="H45" s="1094"/>
      <c r="I45" s="1165" t="str">
        <f>IF(advanced!AK79=TRUE,"   "&amp;R45&amp;"  c","   "&amp;R45)</f>
        <v xml:space="preserve">   Occ</v>
      </c>
      <c r="J45" s="1164" t="str">
        <f>IF(AND(advanced!M79&gt;0,advanced!M79&lt;&gt;""),advanced!M79,"")</f>
        <v/>
      </c>
      <c r="K45" s="1140" t="str">
        <f>IF(advanced!N79&lt;&gt;"",advanced!N79,"")</f>
        <v/>
      </c>
      <c r="L45" s="1143">
        <f>advanced!O79</f>
        <v>1</v>
      </c>
      <c r="M45" s="1166"/>
      <c r="N45" s="1081"/>
      <c r="O45" s="1081"/>
      <c r="P45" s="1081"/>
      <c r="Q45" s="1084" t="str">
        <f>IF(advanced!K79="n","Occ","Vac")</f>
        <v>Occ</v>
      </c>
      <c r="R45" s="1167" t="str">
        <f>IF(advanced!P79="n","Occ","Vac")</f>
        <v>Occ</v>
      </c>
      <c r="S45" s="1167"/>
      <c r="T45" s="1081"/>
      <c r="U45" s="1081"/>
      <c r="V45" s="1081"/>
      <c r="W45" s="1081"/>
      <c r="X45" s="1081"/>
      <c r="Y45" s="1081"/>
      <c r="Z45" s="1081"/>
      <c r="AA45" s="1081"/>
      <c r="AB45" s="1081"/>
      <c r="AC45" s="1081"/>
      <c r="AD45" s="1081"/>
      <c r="AE45" s="1081"/>
      <c r="AF45" s="1081"/>
      <c r="AG45" s="1081"/>
      <c r="AH45" s="1081"/>
      <c r="AI45" s="1081"/>
      <c r="AO45" s="1081"/>
    </row>
    <row r="46" spans="1:41" ht="15.9" customHeight="1" x14ac:dyDescent="0.3">
      <c r="A46" s="1081"/>
      <c r="B46" s="1162"/>
      <c r="C46" s="1163" t="str">
        <f t="shared" si="0"/>
        <v>Occ</v>
      </c>
      <c r="D46" s="1165" t="str">
        <f>IF(advanced!AJ80=TRUE,"c","")</f>
        <v/>
      </c>
      <c r="E46" s="1164" t="str">
        <f>IF(AND(advanced!H80&gt;0,advanced!H80&lt;&gt;""),advanced!H80,"")</f>
        <v/>
      </c>
      <c r="F46" s="1140" t="str">
        <f>IF(advanced!I80&lt;&gt;"",advanced!I80,"")</f>
        <v/>
      </c>
      <c r="G46" s="1143">
        <f>advanced!J80</f>
        <v>1</v>
      </c>
      <c r="H46" s="1094"/>
      <c r="I46" s="1165" t="str">
        <f>IF(advanced!AK80=TRUE,"   "&amp;R46&amp;"  c","   "&amp;R46)</f>
        <v xml:space="preserve">   Occ</v>
      </c>
      <c r="J46" s="1164" t="str">
        <f>IF(AND(advanced!M80&gt;0,advanced!M80&lt;&gt;""),advanced!M80,"")</f>
        <v/>
      </c>
      <c r="K46" s="1140" t="str">
        <f>IF(advanced!N80&lt;&gt;"",advanced!N80,"")</f>
        <v/>
      </c>
      <c r="L46" s="1143">
        <f>advanced!O80</f>
        <v>1</v>
      </c>
      <c r="M46" s="1166"/>
      <c r="N46" s="1081"/>
      <c r="O46" s="1081"/>
      <c r="P46" s="1081"/>
      <c r="Q46" s="1084" t="str">
        <f>IF(advanced!K80="n","Occ","Vac")</f>
        <v>Occ</v>
      </c>
      <c r="R46" s="1167" t="str">
        <f>IF(advanced!P80="n","Occ","Vac")</f>
        <v>Occ</v>
      </c>
      <c r="S46" s="1167"/>
      <c r="T46" s="1081"/>
      <c r="U46" s="1081"/>
      <c r="V46" s="1081"/>
      <c r="W46" s="1081"/>
      <c r="X46" s="1081"/>
      <c r="Y46" s="1081"/>
      <c r="Z46" s="1081"/>
      <c r="AA46" s="1081"/>
      <c r="AB46" s="1081"/>
      <c r="AC46" s="1081"/>
      <c r="AD46" s="1081"/>
      <c r="AE46" s="1081"/>
      <c r="AF46" s="1081"/>
      <c r="AG46" s="1081"/>
      <c r="AH46" s="1081"/>
      <c r="AI46" s="1081"/>
      <c r="AO46" s="1081"/>
    </row>
    <row r="47" spans="1:41" x14ac:dyDescent="0.25">
      <c r="A47" s="1081"/>
      <c r="B47" s="1168"/>
      <c r="C47" s="1104"/>
      <c r="D47" s="1105"/>
      <c r="E47" s="1105"/>
      <c r="F47" s="1105"/>
      <c r="G47" s="1105"/>
      <c r="H47" s="1105"/>
      <c r="I47" s="1105"/>
      <c r="J47" s="1105"/>
      <c r="K47" s="1169"/>
      <c r="L47" s="1170"/>
      <c r="M47" s="1171"/>
      <c r="N47" s="1081"/>
      <c r="O47" s="1081"/>
      <c r="P47" s="1081"/>
      <c r="T47" s="1081"/>
      <c r="U47" s="1081"/>
      <c r="V47" s="1081"/>
      <c r="W47" s="1081"/>
      <c r="X47" s="1081"/>
      <c r="Y47" s="1081"/>
      <c r="Z47" s="1081"/>
      <c r="AA47" s="1081"/>
      <c r="AB47" s="1081"/>
      <c r="AC47" s="1081"/>
      <c r="AD47" s="1081"/>
      <c r="AE47" s="1081"/>
      <c r="AF47" s="1081"/>
      <c r="AG47" s="1081"/>
      <c r="AH47" s="1081"/>
      <c r="AI47" s="1081"/>
      <c r="AO47" s="1081"/>
    </row>
    <row r="48" spans="1:41" ht="10.5" customHeight="1" x14ac:dyDescent="0.25">
      <c r="A48" s="1172"/>
      <c r="B48" s="1173"/>
      <c r="C48" s="1173"/>
      <c r="D48" s="1173"/>
      <c r="E48" s="1173"/>
      <c r="F48" s="1173"/>
      <c r="G48" s="1173"/>
      <c r="H48" s="1173"/>
      <c r="I48" s="1173"/>
      <c r="J48" s="1173"/>
      <c r="K48" s="1173"/>
      <c r="L48" s="1173"/>
      <c r="M48" s="1173"/>
      <c r="N48" s="1172"/>
      <c r="O48" s="1081"/>
      <c r="P48" s="1081"/>
      <c r="T48" s="1081"/>
      <c r="U48" s="1081"/>
      <c r="V48" s="1081"/>
      <c r="W48" s="1081"/>
      <c r="X48" s="1081"/>
      <c r="Y48" s="1081"/>
      <c r="Z48" s="1081"/>
      <c r="AA48" s="1081"/>
      <c r="AB48" s="1081"/>
      <c r="AC48" s="1081"/>
      <c r="AD48" s="1081"/>
      <c r="AE48" s="1081"/>
      <c r="AF48" s="1081"/>
      <c r="AG48" s="1081"/>
      <c r="AH48" s="1081"/>
      <c r="AI48" s="1081"/>
      <c r="AO48" s="1081"/>
    </row>
    <row r="49" spans="1:41" x14ac:dyDescent="0.25">
      <c r="A49" s="1082"/>
      <c r="B49" s="1086"/>
      <c r="C49" s="1174" t="str">
        <f>advanced!$H$84</f>
        <v/>
      </c>
      <c r="D49" s="1087"/>
      <c r="E49" s="1087"/>
      <c r="F49" s="1087"/>
      <c r="G49" s="1087"/>
      <c r="H49" s="1087"/>
      <c r="I49" s="1087"/>
      <c r="J49" s="1087"/>
      <c r="K49" s="1087"/>
      <c r="L49" s="1087"/>
      <c r="M49" s="1090"/>
      <c r="N49" s="1082"/>
      <c r="O49" s="1081"/>
      <c r="P49" s="1081"/>
      <c r="T49" s="1081"/>
      <c r="U49" s="1081"/>
      <c r="V49" s="1081"/>
      <c r="W49" s="1081"/>
      <c r="X49" s="1081"/>
      <c r="Y49" s="1081"/>
      <c r="Z49" s="1081"/>
      <c r="AA49" s="1081"/>
      <c r="AB49" s="1081"/>
      <c r="AC49" s="1081"/>
      <c r="AD49" s="1081"/>
      <c r="AE49" s="1081"/>
      <c r="AF49" s="1081"/>
      <c r="AG49" s="1081"/>
      <c r="AH49" s="1081"/>
      <c r="AI49" s="1081"/>
      <c r="AO49" s="1081"/>
    </row>
    <row r="50" spans="1:41" ht="13" x14ac:dyDescent="0.3">
      <c r="A50" s="1175"/>
      <c r="B50" s="1092"/>
      <c r="C50" s="1100" t="s">
        <v>831</v>
      </c>
      <c r="D50" s="1094"/>
      <c r="E50" s="1112" t="s">
        <v>919</v>
      </c>
      <c r="F50" s="1176" t="str">
        <f>C34</f>
        <v>Original</v>
      </c>
      <c r="G50" s="1177"/>
      <c r="H50" s="1176"/>
      <c r="I50" s="1112" t="str">
        <f>E50</f>
        <v>phased / true</v>
      </c>
      <c r="J50" s="1176" t="str">
        <f>I34</f>
        <v>Revised</v>
      </c>
      <c r="K50" s="1177"/>
      <c r="L50" s="1176" t="s">
        <v>839</v>
      </c>
      <c r="M50" s="1095"/>
      <c r="N50" s="1081"/>
      <c r="O50" s="1081"/>
      <c r="P50" s="1081"/>
      <c r="T50" s="1081"/>
      <c r="U50" s="1081"/>
      <c r="V50" s="1081"/>
      <c r="W50" s="1081"/>
      <c r="X50" s="1081"/>
      <c r="Y50" s="1081"/>
      <c r="Z50" s="1081"/>
      <c r="AA50" s="1081"/>
      <c r="AB50" s="1081"/>
      <c r="AC50" s="1081"/>
      <c r="AD50" s="1081"/>
      <c r="AE50" s="1081"/>
      <c r="AF50" s="1081"/>
      <c r="AG50" s="1081"/>
      <c r="AH50" s="1081"/>
      <c r="AI50" s="1081"/>
      <c r="AO50" s="1081"/>
    </row>
    <row r="51" spans="1:41" ht="13" x14ac:dyDescent="0.3">
      <c r="A51" s="1178"/>
      <c r="B51" s="1092"/>
      <c r="C51" s="1179"/>
      <c r="D51" s="1094"/>
      <c r="E51" s="1180" t="str">
        <f ca="1">advanced!G95</f>
        <v/>
      </c>
      <c r="F51" s="1094"/>
      <c r="G51" s="1095"/>
      <c r="H51" s="1094"/>
      <c r="I51" s="1181" t="str">
        <f ca="1">advanced!M95</f>
        <v/>
      </c>
      <c r="J51" s="1094"/>
      <c r="K51" s="1095"/>
      <c r="L51" s="1094"/>
      <c r="M51" s="1095"/>
      <c r="N51" s="1081"/>
      <c r="O51" s="1081"/>
      <c r="P51" s="1081"/>
      <c r="T51" s="1081"/>
      <c r="U51" s="1081"/>
      <c r="V51" s="1081"/>
      <c r="W51" s="1081"/>
      <c r="X51" s="1081"/>
      <c r="Y51" s="1081"/>
      <c r="Z51" s="1081"/>
      <c r="AA51" s="1081"/>
      <c r="AB51" s="1081"/>
      <c r="AC51" s="1081"/>
      <c r="AD51" s="1081"/>
      <c r="AE51" s="1081"/>
      <c r="AF51" s="1081"/>
      <c r="AG51" s="1081"/>
      <c r="AH51" s="1081"/>
      <c r="AI51" s="1081"/>
      <c r="AO51" s="1081"/>
    </row>
    <row r="52" spans="1:41" ht="15" customHeight="1" x14ac:dyDescent="0.3">
      <c r="A52" s="1081"/>
      <c r="B52" s="1092"/>
      <c r="C52" s="1094" t="str">
        <f>text!D9</f>
        <v>2023/24</v>
      </c>
      <c r="D52" s="1094" t="str">
        <f>RIGHT(text!F9,1)</f>
        <v xml:space="preserve"> </v>
      </c>
      <c r="E52" s="1182" t="str">
        <f>advanced!H88</f>
        <v xml:space="preserve">  True</v>
      </c>
      <c r="F52" s="1183">
        <f ca="1">advanced!I88</f>
        <v>0</v>
      </c>
      <c r="G52" s="1184" t="str">
        <f>advanced!J88</f>
        <v/>
      </c>
      <c r="H52" s="1094"/>
      <c r="I52" s="1182" t="str">
        <f>advanced!M88</f>
        <v>True</v>
      </c>
      <c r="J52" s="1183">
        <f ca="1">advanced!N88</f>
        <v>0</v>
      </c>
      <c r="K52" s="1184" t="str">
        <f>advanced!O88</f>
        <v/>
      </c>
      <c r="L52" s="1185">
        <f ca="1">advanced!Q88</f>
        <v>0</v>
      </c>
      <c r="M52" s="1095"/>
      <c r="N52" s="1081"/>
      <c r="O52" s="1081"/>
      <c r="P52" s="1081"/>
      <c r="T52" s="1081"/>
      <c r="U52" s="1081"/>
      <c r="V52" s="1081"/>
      <c r="W52" s="1081"/>
      <c r="X52" s="1081"/>
      <c r="Y52" s="1081"/>
      <c r="Z52" s="1081"/>
      <c r="AA52" s="1081"/>
      <c r="AB52" s="1081"/>
      <c r="AC52" s="1081"/>
      <c r="AD52" s="1081"/>
      <c r="AE52" s="1081"/>
      <c r="AF52" s="1081"/>
      <c r="AG52" s="1081"/>
      <c r="AH52" s="1081"/>
      <c r="AI52" s="1081"/>
      <c r="AO52" s="1081"/>
    </row>
    <row r="53" spans="1:41" ht="15" customHeight="1" x14ac:dyDescent="0.3">
      <c r="A53" s="1081"/>
      <c r="B53" s="1092"/>
      <c r="C53" s="1094" t="str">
        <f>text!D10</f>
        <v>2024/25</v>
      </c>
      <c r="D53" s="1094" t="str">
        <f>RIGHT(text!F10,1)</f>
        <v xml:space="preserve"> </v>
      </c>
      <c r="E53" s="1182" t="str">
        <f ca="1">advanced!H89</f>
        <v xml:space="preserve">  True</v>
      </c>
      <c r="F53" s="1183">
        <f ca="1">advanced!I89</f>
        <v>0</v>
      </c>
      <c r="G53" s="1184" t="str">
        <f ca="1">advanced!J89</f>
        <v/>
      </c>
      <c r="H53" s="1094"/>
      <c r="I53" s="1182" t="str">
        <f ca="1">advanced!M89</f>
        <v>True</v>
      </c>
      <c r="J53" s="1183">
        <f ca="1">advanced!N89</f>
        <v>0</v>
      </c>
      <c r="K53" s="1184" t="str">
        <f ca="1">advanced!O89</f>
        <v/>
      </c>
      <c r="L53" s="1185">
        <f ca="1">advanced!Q89</f>
        <v>0</v>
      </c>
      <c r="M53" s="1095"/>
      <c r="N53" s="1081"/>
      <c r="O53" s="1081"/>
      <c r="P53" s="1081"/>
      <c r="T53" s="1081"/>
      <c r="U53" s="1081"/>
      <c r="V53" s="1081"/>
      <c r="W53" s="1081"/>
      <c r="X53" s="1081"/>
      <c r="Y53" s="1081"/>
      <c r="Z53" s="1081"/>
      <c r="AA53" s="1081"/>
      <c r="AB53" s="1081"/>
      <c r="AC53" s="1081"/>
      <c r="AD53" s="1081"/>
      <c r="AE53" s="1081"/>
      <c r="AF53" s="1081"/>
      <c r="AG53" s="1081"/>
      <c r="AH53" s="1081"/>
      <c r="AI53" s="1081"/>
      <c r="AO53" s="1081"/>
    </row>
    <row r="54" spans="1:41" ht="15" customHeight="1" x14ac:dyDescent="0.3">
      <c r="A54" s="1081"/>
      <c r="B54" s="1092"/>
      <c r="C54" s="1094" t="str">
        <f>text!D11</f>
        <v>2025/26</v>
      </c>
      <c r="D54" s="1094" t="str">
        <f>RIGHT(text!F11,1)</f>
        <v xml:space="preserve"> </v>
      </c>
      <c r="E54" s="1182" t="str">
        <f ca="1">advanced!H90</f>
        <v xml:space="preserve">  True</v>
      </c>
      <c r="F54" s="1183">
        <f ca="1">advanced!I90</f>
        <v>0</v>
      </c>
      <c r="G54" s="1184" t="str">
        <f ca="1">advanced!J90</f>
        <v/>
      </c>
      <c r="H54" s="1094"/>
      <c r="I54" s="1182" t="str">
        <f ca="1">advanced!M90</f>
        <v>True</v>
      </c>
      <c r="J54" s="1183">
        <f ca="1">advanced!N90</f>
        <v>0</v>
      </c>
      <c r="K54" s="1184" t="str">
        <f ca="1">advanced!O90</f>
        <v/>
      </c>
      <c r="L54" s="1185">
        <f ca="1">advanced!Q90</f>
        <v>0</v>
      </c>
      <c r="M54" s="1095"/>
      <c r="N54" s="1081"/>
      <c r="O54" s="1081"/>
      <c r="P54" s="1081"/>
      <c r="T54" s="1081"/>
      <c r="U54" s="1081"/>
      <c r="V54" s="1081"/>
      <c r="W54" s="1081"/>
      <c r="X54" s="1081"/>
      <c r="Y54" s="1081"/>
      <c r="Z54" s="1081"/>
      <c r="AA54" s="1081"/>
      <c r="AB54" s="1081"/>
      <c r="AC54" s="1081"/>
      <c r="AD54" s="1081"/>
      <c r="AE54" s="1081"/>
      <c r="AF54" s="1081"/>
      <c r="AG54" s="1081"/>
      <c r="AH54" s="1081"/>
      <c r="AI54" s="1081"/>
      <c r="AO54" s="1081"/>
    </row>
    <row r="55" spans="1:41" ht="15" customHeight="1" x14ac:dyDescent="0.3">
      <c r="A55" s="1081"/>
      <c r="B55" s="1092"/>
      <c r="C55" s="1094"/>
      <c r="D55" s="1094"/>
      <c r="E55" s="1182"/>
      <c r="F55" s="1183"/>
      <c r="G55" s="1184"/>
      <c r="H55" s="1094"/>
      <c r="I55" s="1182"/>
      <c r="J55" s="1183"/>
      <c r="K55" s="1184"/>
      <c r="L55" s="1185"/>
      <c r="M55" s="1095"/>
      <c r="N55" s="1081"/>
      <c r="O55" s="1081"/>
      <c r="P55" s="1081"/>
      <c r="T55" s="1081"/>
      <c r="U55" s="1081"/>
      <c r="V55" s="1081"/>
      <c r="W55" s="1081"/>
      <c r="X55" s="1081"/>
      <c r="Y55" s="1081"/>
      <c r="Z55" s="1081"/>
      <c r="AA55" s="1081"/>
      <c r="AB55" s="1081"/>
      <c r="AC55" s="1081"/>
      <c r="AD55" s="1081"/>
      <c r="AE55" s="1081"/>
      <c r="AF55" s="1081"/>
      <c r="AG55" s="1081"/>
      <c r="AH55" s="1081"/>
      <c r="AI55" s="1081"/>
      <c r="AO55" s="1081"/>
    </row>
    <row r="56" spans="1:41" ht="6.75" customHeight="1" x14ac:dyDescent="0.3">
      <c r="A56" s="1081"/>
      <c r="B56" s="1092"/>
      <c r="C56" s="1094"/>
      <c r="D56" s="1094"/>
      <c r="E56" s="1182"/>
      <c r="F56" s="1183"/>
      <c r="G56" s="1184"/>
      <c r="H56" s="1094"/>
      <c r="I56" s="1182"/>
      <c r="J56" s="1183"/>
      <c r="K56" s="1184"/>
      <c r="L56" s="1185"/>
      <c r="M56" s="1095"/>
      <c r="N56" s="1081"/>
      <c r="O56" s="1081"/>
      <c r="P56" s="1081"/>
      <c r="T56" s="1081"/>
      <c r="U56" s="1081"/>
      <c r="V56" s="1081"/>
      <c r="W56" s="1081"/>
      <c r="X56" s="1081"/>
      <c r="Y56" s="1081"/>
      <c r="Z56" s="1081"/>
      <c r="AA56" s="1081"/>
      <c r="AB56" s="1081"/>
      <c r="AC56" s="1081"/>
      <c r="AD56" s="1081"/>
      <c r="AE56" s="1081"/>
      <c r="AF56" s="1081"/>
      <c r="AG56" s="1081"/>
      <c r="AH56" s="1081"/>
      <c r="AI56" s="1081"/>
      <c r="AO56" s="1081"/>
    </row>
    <row r="57" spans="1:41" ht="6" customHeight="1" x14ac:dyDescent="0.25">
      <c r="A57" s="1081"/>
      <c r="B57" s="1092"/>
      <c r="C57" s="1094"/>
      <c r="D57" s="1094"/>
      <c r="E57" s="1094"/>
      <c r="F57" s="1183"/>
      <c r="G57" s="1094"/>
      <c r="H57" s="1094"/>
      <c r="I57" s="1094"/>
      <c r="J57" s="1094"/>
      <c r="K57" s="1094"/>
      <c r="L57" s="1185"/>
      <c r="M57" s="1095"/>
      <c r="N57" s="1081"/>
      <c r="O57" s="1081"/>
      <c r="P57" s="1081"/>
      <c r="T57" s="1081"/>
      <c r="U57" s="1081"/>
      <c r="V57" s="1081"/>
      <c r="W57" s="1081"/>
      <c r="X57" s="1081"/>
      <c r="Y57" s="1081"/>
      <c r="Z57" s="1081"/>
      <c r="AA57" s="1081"/>
      <c r="AB57" s="1081"/>
      <c r="AC57" s="1081"/>
      <c r="AD57" s="1081"/>
      <c r="AE57" s="1081"/>
      <c r="AF57" s="1081"/>
      <c r="AG57" s="1081"/>
      <c r="AH57" s="1081"/>
      <c r="AI57" s="1081"/>
      <c r="AO57" s="1081"/>
    </row>
    <row r="58" spans="1:41" ht="16.5" customHeight="1" thickBot="1" x14ac:dyDescent="0.35">
      <c r="A58" s="1081"/>
      <c r="B58" s="1092"/>
      <c r="C58" s="1186"/>
      <c r="D58" s="1186"/>
      <c r="E58" s="1186"/>
      <c r="F58" s="1187">
        <f ca="1">advanced!I94</f>
        <v>0</v>
      </c>
      <c r="G58" s="1188"/>
      <c r="H58" s="1188"/>
      <c r="I58" s="1188"/>
      <c r="J58" s="1187">
        <f ca="1">advanced!N94</f>
        <v>0</v>
      </c>
      <c r="K58" s="1188"/>
      <c r="L58" s="1189">
        <f ca="1">advanced!Q94</f>
        <v>0</v>
      </c>
      <c r="M58" s="1095"/>
      <c r="N58" s="1081"/>
      <c r="O58" s="1081"/>
      <c r="P58" s="1081"/>
      <c r="T58" s="1081"/>
      <c r="U58" s="1081"/>
      <c r="V58" s="1081"/>
      <c r="W58" s="1081"/>
      <c r="X58" s="1081"/>
      <c r="Y58" s="1081"/>
      <c r="Z58" s="1081"/>
      <c r="AA58" s="1081"/>
      <c r="AB58" s="1081"/>
      <c r="AC58" s="1081"/>
      <c r="AD58" s="1081"/>
      <c r="AE58" s="1081"/>
      <c r="AF58" s="1081"/>
      <c r="AG58" s="1081"/>
      <c r="AH58" s="1081"/>
      <c r="AI58" s="1081"/>
      <c r="AO58" s="1081"/>
    </row>
    <row r="59" spans="1:41" ht="13.5" thickTop="1" x14ac:dyDescent="0.3">
      <c r="A59" s="1081"/>
      <c r="B59" s="1092"/>
      <c r="C59" s="1190" t="str">
        <f>advanced!G96</f>
        <v>England</v>
      </c>
      <c r="D59" s="1094"/>
      <c r="E59" s="1094"/>
      <c r="F59" s="1094"/>
      <c r="G59" s="1094"/>
      <c r="H59" s="1094"/>
      <c r="I59" s="1094"/>
      <c r="J59" s="1094"/>
      <c r="K59" s="1094"/>
      <c r="L59" s="1191" t="str">
        <f ca="1">advanced!Q95</f>
        <v/>
      </c>
      <c r="M59" s="1095"/>
      <c r="N59" s="1081"/>
      <c r="O59" s="1081"/>
      <c r="P59" s="1081"/>
      <c r="T59" s="1081"/>
      <c r="U59" s="1081"/>
      <c r="V59" s="1081"/>
      <c r="W59" s="1081"/>
      <c r="X59" s="1081"/>
      <c r="Y59" s="1081"/>
      <c r="Z59" s="1081"/>
      <c r="AA59" s="1081"/>
      <c r="AB59" s="1081"/>
      <c r="AC59" s="1081"/>
      <c r="AD59" s="1081"/>
      <c r="AE59" s="1081"/>
      <c r="AF59" s="1081"/>
      <c r="AG59" s="1081"/>
      <c r="AH59" s="1081"/>
      <c r="AI59" s="1081"/>
      <c r="AO59" s="1081"/>
    </row>
    <row r="60" spans="1:41" ht="13" x14ac:dyDescent="0.3">
      <c r="A60" s="1081"/>
      <c r="B60" s="1092"/>
      <c r="C60" s="1192" t="str">
        <f>advanced!G97</f>
        <v/>
      </c>
      <c r="D60" s="1094"/>
      <c r="E60" s="1094"/>
      <c r="F60" s="1094"/>
      <c r="G60" s="1094"/>
      <c r="H60" s="1094"/>
      <c r="I60" s="1094"/>
      <c r="J60" s="1094"/>
      <c r="K60" s="1094"/>
      <c r="L60" s="1094"/>
      <c r="M60" s="1095"/>
      <c r="N60" s="1081"/>
      <c r="O60" s="1081"/>
      <c r="P60" s="1081"/>
      <c r="T60" s="1081"/>
      <c r="U60" s="1081"/>
      <c r="V60" s="1081"/>
      <c r="W60" s="1081"/>
      <c r="X60" s="1081"/>
      <c r="Y60" s="1081"/>
      <c r="Z60" s="1081"/>
      <c r="AA60" s="1081"/>
      <c r="AB60" s="1081"/>
      <c r="AC60" s="1081"/>
      <c r="AD60" s="1081"/>
      <c r="AE60" s="1081"/>
      <c r="AF60" s="1081"/>
      <c r="AG60" s="1081"/>
      <c r="AH60" s="1081"/>
      <c r="AI60" s="1081"/>
      <c r="AO60" s="1081"/>
    </row>
    <row r="61" spans="1:41" ht="13" x14ac:dyDescent="0.3">
      <c r="A61" s="1081"/>
      <c r="B61" s="1092"/>
      <c r="C61" s="2362" t="str">
        <f ca="1">advanced!G87</f>
        <v/>
      </c>
      <c r="D61" s="2362"/>
      <c r="E61" s="2362"/>
      <c r="F61" s="2362"/>
      <c r="G61" s="2362"/>
      <c r="H61" s="2362"/>
      <c r="I61" s="2362" t="str">
        <f ca="1">advanced!M87</f>
        <v/>
      </c>
      <c r="J61" s="2362"/>
      <c r="K61" s="2362"/>
      <c r="L61" s="2362"/>
      <c r="M61" s="1095"/>
      <c r="N61" s="1081"/>
      <c r="O61" s="1081"/>
      <c r="P61" s="1081"/>
      <c r="T61" s="1081"/>
      <c r="U61" s="1081"/>
      <c r="V61" s="1081"/>
      <c r="W61" s="1081"/>
      <c r="X61" s="1081"/>
      <c r="Y61" s="1081"/>
      <c r="Z61" s="1081"/>
      <c r="AA61" s="1081"/>
      <c r="AB61" s="1081"/>
      <c r="AC61" s="1081"/>
      <c r="AD61" s="1081"/>
      <c r="AE61" s="1081"/>
      <c r="AF61" s="1081"/>
      <c r="AG61" s="1081"/>
      <c r="AH61" s="1081"/>
      <c r="AI61" s="1081"/>
      <c r="AO61" s="1081"/>
    </row>
    <row r="62" spans="1:41" x14ac:dyDescent="0.25">
      <c r="A62" s="1081"/>
      <c r="B62" s="1092"/>
      <c r="C62" s="1112" t="str">
        <f>advanced!G98</f>
        <v xml:space="preserve"> </v>
      </c>
      <c r="D62" s="1094"/>
      <c r="E62" s="1094"/>
      <c r="F62" s="1094"/>
      <c r="G62" s="1094"/>
      <c r="H62" s="1094"/>
      <c r="I62" s="1094"/>
      <c r="J62" s="1094"/>
      <c r="K62" s="1094"/>
      <c r="L62" s="1094"/>
      <c r="M62" s="1095"/>
      <c r="N62" s="1081"/>
      <c r="O62" s="1081"/>
      <c r="P62" s="1081"/>
      <c r="T62" s="1081"/>
      <c r="U62" s="1081"/>
      <c r="V62" s="1081"/>
      <c r="W62" s="1081"/>
      <c r="X62" s="1081"/>
      <c r="Y62" s="1081"/>
      <c r="Z62" s="1081"/>
      <c r="AA62" s="1081"/>
      <c r="AB62" s="1081"/>
      <c r="AC62" s="1081"/>
      <c r="AD62" s="1081"/>
      <c r="AE62" s="1081"/>
      <c r="AF62" s="1081"/>
      <c r="AG62" s="1081"/>
      <c r="AH62" s="1081"/>
      <c r="AI62" s="1081"/>
      <c r="AO62" s="1081"/>
    </row>
    <row r="63" spans="1:41" x14ac:dyDescent="0.25">
      <c r="A63" s="1081"/>
      <c r="B63" s="1168"/>
      <c r="C63" s="1147" t="str">
        <f>advanced!F100</f>
        <v/>
      </c>
      <c r="D63" s="1105"/>
      <c r="E63" s="1105"/>
      <c r="F63" s="1105"/>
      <c r="G63" s="1105"/>
      <c r="H63" s="1105"/>
      <c r="I63" s="1105"/>
      <c r="J63" s="1105"/>
      <c r="K63" s="1105"/>
      <c r="L63" s="1105"/>
      <c r="M63" s="1171"/>
      <c r="N63" s="1081"/>
      <c r="O63" s="1081"/>
      <c r="P63" s="1081"/>
      <c r="T63" s="1081"/>
      <c r="U63" s="1081"/>
      <c r="V63" s="1081"/>
      <c r="W63" s="1081"/>
      <c r="X63" s="1081"/>
      <c r="Y63" s="1081"/>
      <c r="Z63" s="1081"/>
      <c r="AA63" s="1081"/>
      <c r="AB63" s="1081"/>
      <c r="AC63" s="1081"/>
      <c r="AD63" s="1081"/>
      <c r="AE63" s="1081"/>
      <c r="AF63" s="1081"/>
      <c r="AG63" s="1081"/>
      <c r="AH63" s="1081"/>
      <c r="AI63" s="1081"/>
      <c r="AO63" s="1081"/>
    </row>
    <row r="64" spans="1:41" x14ac:dyDescent="0.25">
      <c r="A64" s="1081"/>
      <c r="B64" s="1173"/>
      <c r="C64" s="1173"/>
      <c r="D64" s="1173"/>
      <c r="E64" s="1173"/>
      <c r="F64" s="1173"/>
      <c r="G64" s="1173"/>
      <c r="H64" s="1173"/>
      <c r="I64" s="1173"/>
      <c r="J64" s="1173"/>
      <c r="K64" s="1173"/>
      <c r="L64" s="1173"/>
      <c r="M64" s="1173"/>
      <c r="N64" s="1081"/>
      <c r="O64" s="1081"/>
      <c r="P64" s="1081"/>
      <c r="T64" s="1081"/>
      <c r="U64" s="1081"/>
      <c r="V64" s="1081"/>
      <c r="W64" s="1081"/>
      <c r="X64" s="1081"/>
      <c r="Y64" s="1081"/>
      <c r="Z64" s="1081"/>
      <c r="AA64" s="1081"/>
      <c r="AB64" s="1081"/>
      <c r="AC64" s="1081"/>
      <c r="AD64" s="1081"/>
      <c r="AE64" s="1081"/>
      <c r="AF64" s="1081"/>
      <c r="AG64" s="1081"/>
      <c r="AH64" s="1081"/>
      <c r="AI64" s="1081"/>
      <c r="AO64" s="1081"/>
    </row>
    <row r="65" spans="1:41" x14ac:dyDescent="0.25">
      <c r="A65" s="1081"/>
      <c r="B65" s="1086"/>
      <c r="C65" s="1087"/>
      <c r="D65" s="1087"/>
      <c r="E65" s="1087"/>
      <c r="F65" s="1087"/>
      <c r="G65" s="1087"/>
      <c r="H65" s="1087"/>
      <c r="I65" s="1087"/>
      <c r="J65" s="1087"/>
      <c r="K65" s="1087"/>
      <c r="L65" s="1087"/>
      <c r="M65" s="1090"/>
      <c r="N65" s="1081"/>
      <c r="O65" s="1081"/>
      <c r="P65" s="1081"/>
      <c r="T65" s="1081"/>
      <c r="U65" s="1081"/>
      <c r="V65" s="1081"/>
      <c r="W65" s="1081"/>
      <c r="X65" s="1081"/>
      <c r="Y65" s="1081"/>
      <c r="Z65" s="1081"/>
      <c r="AA65" s="1081"/>
      <c r="AB65" s="1081"/>
      <c r="AC65" s="1081"/>
      <c r="AD65" s="1081"/>
      <c r="AE65" s="1081"/>
      <c r="AF65" s="1081"/>
      <c r="AG65" s="1081"/>
      <c r="AH65" s="1081"/>
      <c r="AI65" s="1081"/>
      <c r="AO65" s="1081"/>
    </row>
    <row r="66" spans="1:41" ht="15.5" x14ac:dyDescent="0.35">
      <c r="A66" s="1081"/>
      <c r="B66" s="1168"/>
      <c r="C66" s="1193" t="s">
        <v>920</v>
      </c>
      <c r="D66" s="1194"/>
      <c r="E66" s="1195" t="str">
        <f>codes!F4</f>
        <v>CBRE</v>
      </c>
      <c r="F66" s="1105"/>
      <c r="G66" s="1105"/>
      <c r="H66" s="1105"/>
      <c r="I66" s="1105"/>
      <c r="J66" s="1105"/>
      <c r="K66" s="1105"/>
      <c r="L66" s="1196">
        <f ca="1">K8</f>
        <v>46155</v>
      </c>
      <c r="M66" s="1171"/>
      <c r="N66" s="1081"/>
      <c r="O66" s="1081"/>
      <c r="P66" s="1081"/>
      <c r="T66" s="1081"/>
      <c r="U66" s="1081"/>
      <c r="V66" s="1081"/>
      <c r="W66" s="1081"/>
      <c r="X66" s="1081"/>
      <c r="Y66" s="1081"/>
      <c r="Z66" s="1081"/>
      <c r="AA66" s="1081"/>
      <c r="AB66" s="1081"/>
      <c r="AC66" s="1081"/>
      <c r="AD66" s="1081"/>
      <c r="AE66" s="1081"/>
      <c r="AF66" s="1081"/>
      <c r="AG66" s="1081"/>
      <c r="AH66" s="1081"/>
      <c r="AI66" s="1081"/>
      <c r="AO66" s="1081"/>
    </row>
    <row r="67" spans="1:41" x14ac:dyDescent="0.25">
      <c r="A67" s="1080"/>
      <c r="B67" s="1081"/>
      <c r="C67" s="1081"/>
      <c r="D67" s="1081"/>
      <c r="E67" s="1081"/>
      <c r="F67" s="1081"/>
      <c r="G67" s="1081"/>
      <c r="H67" s="1081"/>
      <c r="I67" s="1081"/>
      <c r="J67" s="1081"/>
      <c r="K67" s="1081"/>
      <c r="L67" s="1081"/>
      <c r="M67" s="1081"/>
      <c r="N67" s="1081"/>
      <c r="O67" s="1081"/>
      <c r="P67" s="1081"/>
      <c r="T67" s="1081"/>
      <c r="U67" s="1081"/>
      <c r="V67" s="1081"/>
      <c r="W67" s="1081"/>
      <c r="X67" s="1081"/>
      <c r="Y67" s="1081"/>
      <c r="Z67" s="1081"/>
      <c r="AA67" s="1081"/>
      <c r="AB67" s="1081"/>
      <c r="AC67" s="1081"/>
      <c r="AD67" s="1081"/>
      <c r="AE67" s="1081"/>
      <c r="AF67" s="1081"/>
      <c r="AG67" s="1081"/>
      <c r="AH67" s="1081"/>
      <c r="AI67" s="1081"/>
      <c r="AO67" s="1081"/>
    </row>
    <row r="68" spans="1:41" x14ac:dyDescent="0.25">
      <c r="A68" s="1081"/>
      <c r="B68" s="1081"/>
      <c r="C68" s="1081"/>
      <c r="D68" s="1081"/>
      <c r="E68" s="1081"/>
      <c r="F68" s="1081"/>
      <c r="G68" s="1081"/>
      <c r="H68" s="1081"/>
      <c r="I68" s="1081"/>
      <c r="J68" s="1081"/>
      <c r="K68" s="1081"/>
      <c r="L68" s="1081"/>
      <c r="M68" s="1081"/>
      <c r="N68" s="1081"/>
      <c r="O68" s="1081"/>
      <c r="P68" s="1081"/>
      <c r="T68" s="1081"/>
      <c r="U68" s="1081"/>
      <c r="V68" s="1081"/>
      <c r="W68" s="1081"/>
      <c r="X68" s="1081"/>
      <c r="Y68" s="1081"/>
      <c r="Z68" s="1081"/>
      <c r="AA68" s="1081"/>
      <c r="AB68" s="1081"/>
      <c r="AC68" s="1081"/>
      <c r="AD68" s="1081"/>
      <c r="AE68" s="1081"/>
      <c r="AF68" s="1081"/>
      <c r="AG68" s="1081"/>
      <c r="AH68" s="1081"/>
      <c r="AI68" s="1081"/>
      <c r="AO68" s="1081"/>
    </row>
    <row r="69" spans="1:41" x14ac:dyDescent="0.25">
      <c r="A69" s="1081"/>
      <c r="B69" s="1081"/>
      <c r="C69" s="1081"/>
      <c r="D69" s="1081"/>
      <c r="E69" s="1081"/>
      <c r="F69" s="1081"/>
      <c r="G69" s="1081"/>
      <c r="H69" s="1081"/>
      <c r="I69" s="1081"/>
      <c r="J69" s="1081"/>
      <c r="K69" s="1081"/>
      <c r="L69" s="1081"/>
      <c r="M69" s="1081"/>
      <c r="N69" s="1081"/>
      <c r="O69" s="1081"/>
      <c r="P69" s="1081"/>
      <c r="T69" s="1081"/>
      <c r="U69" s="1081"/>
      <c r="V69" s="1081"/>
      <c r="W69" s="1081"/>
      <c r="X69" s="1081"/>
      <c r="Y69" s="1081"/>
      <c r="Z69" s="1081"/>
      <c r="AA69" s="1081"/>
      <c r="AB69" s="1081"/>
      <c r="AC69" s="1081"/>
      <c r="AD69" s="1081"/>
      <c r="AE69" s="1081"/>
      <c r="AF69" s="1081"/>
      <c r="AG69" s="1081"/>
      <c r="AH69" s="1081"/>
      <c r="AI69" s="1081"/>
      <c r="AO69" s="1081"/>
    </row>
    <row r="70" spans="1:41" x14ac:dyDescent="0.25">
      <c r="A70" s="1081"/>
      <c r="B70" s="1081"/>
      <c r="C70" s="1081"/>
      <c r="D70" s="1081"/>
      <c r="E70" s="1081"/>
      <c r="F70" s="1081"/>
      <c r="G70" s="1081"/>
      <c r="H70" s="1081"/>
      <c r="I70" s="1081"/>
      <c r="J70" s="1081"/>
      <c r="K70" s="1081"/>
      <c r="L70" s="1081"/>
      <c r="M70" s="1081"/>
      <c r="N70" s="1081"/>
      <c r="O70" s="1081"/>
      <c r="P70" s="1081"/>
      <c r="T70" s="1081"/>
      <c r="U70" s="1081"/>
      <c r="V70" s="1081"/>
      <c r="W70" s="1081"/>
      <c r="X70" s="1081"/>
      <c r="Y70" s="1081"/>
      <c r="Z70" s="1081"/>
      <c r="AA70" s="1081"/>
      <c r="AB70" s="1081"/>
      <c r="AC70" s="1081"/>
      <c r="AD70" s="1081"/>
      <c r="AE70" s="1081"/>
      <c r="AF70" s="1081"/>
      <c r="AG70" s="1081"/>
      <c r="AH70" s="1081"/>
      <c r="AI70" s="1081"/>
      <c r="AO70" s="1081"/>
    </row>
    <row r="71" spans="1:41" x14ac:dyDescent="0.25">
      <c r="A71" s="1081"/>
      <c r="B71" s="1081"/>
      <c r="C71" s="1081"/>
      <c r="D71" s="1081"/>
      <c r="E71" s="1081"/>
      <c r="F71" s="1081"/>
      <c r="G71" s="1081"/>
      <c r="H71" s="1081"/>
      <c r="I71" s="1081"/>
      <c r="J71" s="1081"/>
      <c r="K71" s="1081"/>
      <c r="L71" s="1081"/>
      <c r="M71" s="1081"/>
      <c r="N71" s="1081"/>
      <c r="O71" s="1081"/>
      <c r="P71" s="1081"/>
      <c r="T71" s="1081"/>
      <c r="U71" s="1081"/>
      <c r="V71" s="1081"/>
      <c r="W71" s="1081"/>
      <c r="X71" s="1081"/>
      <c r="Y71" s="1081"/>
      <c r="Z71" s="1081"/>
      <c r="AA71" s="1081"/>
      <c r="AB71" s="1081"/>
      <c r="AC71" s="1081"/>
      <c r="AD71" s="1081"/>
      <c r="AE71" s="1081"/>
      <c r="AF71" s="1081"/>
      <c r="AG71" s="1081"/>
      <c r="AH71" s="1081"/>
      <c r="AI71" s="1081"/>
      <c r="AO71" s="1081"/>
    </row>
    <row r="72" spans="1:41" x14ac:dyDescent="0.25">
      <c r="A72" s="1081"/>
      <c r="B72" s="1081"/>
      <c r="C72" s="1081"/>
      <c r="D72" s="1081"/>
      <c r="E72" s="1081"/>
      <c r="F72" s="1081"/>
      <c r="G72" s="1081"/>
      <c r="H72" s="1081"/>
      <c r="I72" s="1081"/>
      <c r="J72" s="1081"/>
      <c r="K72" s="1081"/>
      <c r="L72" s="1081"/>
      <c r="M72" s="1081"/>
      <c r="N72" s="1081"/>
      <c r="O72" s="1081"/>
      <c r="P72" s="1081"/>
      <c r="T72" s="1081"/>
      <c r="U72" s="1081"/>
      <c r="V72" s="1081"/>
      <c r="W72" s="1081"/>
      <c r="X72" s="1081"/>
      <c r="Y72" s="1081"/>
      <c r="Z72" s="1081"/>
      <c r="AA72" s="1081"/>
      <c r="AB72" s="1081"/>
      <c r="AC72" s="1081"/>
      <c r="AD72" s="1081"/>
      <c r="AE72" s="1081"/>
      <c r="AF72" s="1081"/>
      <c r="AG72" s="1081"/>
      <c r="AH72" s="1081"/>
      <c r="AI72" s="1081"/>
      <c r="AO72" s="1081"/>
    </row>
    <row r="73" spans="1:41" x14ac:dyDescent="0.25">
      <c r="A73" s="1081"/>
      <c r="B73" s="1081"/>
      <c r="C73" s="1081"/>
      <c r="D73" s="1081"/>
      <c r="E73" s="1081"/>
      <c r="F73" s="1081"/>
      <c r="G73" s="1081"/>
      <c r="H73" s="1081"/>
      <c r="I73" s="1081"/>
      <c r="J73" s="1081"/>
      <c r="K73" s="1081"/>
      <c r="L73" s="1081"/>
      <c r="M73" s="1081"/>
      <c r="N73" s="1081"/>
      <c r="O73" s="1081"/>
      <c r="P73" s="1081"/>
      <c r="T73" s="1081"/>
      <c r="U73" s="1081"/>
      <c r="V73" s="1081"/>
      <c r="W73" s="1081"/>
      <c r="X73" s="1081"/>
      <c r="Y73" s="1081"/>
      <c r="Z73" s="1081"/>
      <c r="AA73" s="1081"/>
      <c r="AB73" s="1081"/>
      <c r="AC73" s="1081"/>
      <c r="AD73" s="1081"/>
      <c r="AE73" s="1081"/>
      <c r="AF73" s="1081"/>
      <c r="AG73" s="1081"/>
      <c r="AH73" s="1081"/>
      <c r="AI73" s="1081"/>
      <c r="AO73" s="1081"/>
    </row>
    <row r="74" spans="1:41" x14ac:dyDescent="0.25">
      <c r="A74" s="1081"/>
      <c r="B74" s="1081"/>
      <c r="C74" s="1081"/>
      <c r="D74" s="1081"/>
      <c r="E74" s="1081"/>
      <c r="F74" s="1081"/>
      <c r="G74" s="1081"/>
      <c r="H74" s="1081"/>
      <c r="I74" s="1081"/>
      <c r="J74" s="1081"/>
      <c r="K74" s="1081"/>
      <c r="L74" s="1081"/>
      <c r="M74" s="1081"/>
      <c r="N74" s="1081"/>
      <c r="O74" s="1081"/>
      <c r="P74" s="1081"/>
      <c r="T74" s="1081"/>
      <c r="U74" s="1081"/>
      <c r="V74" s="1081"/>
      <c r="W74" s="1081"/>
      <c r="X74" s="1081"/>
      <c r="Y74" s="1081"/>
      <c r="Z74" s="1081"/>
      <c r="AA74" s="1081"/>
      <c r="AB74" s="1081"/>
      <c r="AC74" s="1081"/>
      <c r="AD74" s="1081"/>
      <c r="AE74" s="1081"/>
      <c r="AF74" s="1081"/>
      <c r="AG74" s="1081"/>
      <c r="AH74" s="1081"/>
      <c r="AI74" s="1081"/>
      <c r="AO74" s="1081"/>
    </row>
    <row r="75" spans="1:41" x14ac:dyDescent="0.25">
      <c r="A75" s="1081"/>
      <c r="B75" s="1081"/>
      <c r="C75" s="1081"/>
      <c r="D75" s="1081"/>
      <c r="E75" s="1081"/>
      <c r="F75" s="1081"/>
      <c r="G75" s="1081"/>
      <c r="H75" s="1081"/>
      <c r="I75" s="1081"/>
      <c r="J75" s="1081"/>
      <c r="K75" s="1081"/>
      <c r="L75" s="1081"/>
      <c r="M75" s="1081"/>
      <c r="N75" s="1081"/>
      <c r="O75" s="1081"/>
      <c r="P75" s="1081"/>
      <c r="T75" s="1081"/>
      <c r="U75" s="1081"/>
      <c r="V75" s="1081"/>
      <c r="W75" s="1081"/>
      <c r="X75" s="1081"/>
      <c r="Y75" s="1081"/>
      <c r="Z75" s="1081"/>
      <c r="AA75" s="1081"/>
      <c r="AB75" s="1081"/>
      <c r="AC75" s="1081"/>
      <c r="AD75" s="1081"/>
      <c r="AE75" s="1081"/>
      <c r="AF75" s="1081"/>
      <c r="AG75" s="1081"/>
      <c r="AH75" s="1081"/>
      <c r="AI75" s="1081"/>
      <c r="AO75" s="1081"/>
    </row>
    <row r="76" spans="1:41" x14ac:dyDescent="0.25">
      <c r="A76" s="1081"/>
      <c r="B76" s="1081"/>
      <c r="C76" s="1081"/>
      <c r="D76" s="1081"/>
      <c r="E76" s="1081"/>
      <c r="F76" s="1081"/>
      <c r="G76" s="1081"/>
      <c r="H76" s="1081"/>
      <c r="I76" s="1081"/>
      <c r="J76" s="1081"/>
      <c r="K76" s="1081"/>
      <c r="L76" s="1081"/>
      <c r="M76" s="1081"/>
      <c r="N76" s="1081"/>
      <c r="O76" s="1081"/>
      <c r="P76" s="1081"/>
      <c r="T76" s="1081"/>
      <c r="U76" s="1081"/>
      <c r="V76" s="1081"/>
      <c r="W76" s="1081"/>
      <c r="X76" s="1081"/>
      <c r="Y76" s="1081"/>
      <c r="Z76" s="1081"/>
      <c r="AA76" s="1081"/>
      <c r="AB76" s="1081"/>
      <c r="AC76" s="1081"/>
      <c r="AD76" s="1081"/>
      <c r="AE76" s="1081"/>
      <c r="AF76" s="1081"/>
      <c r="AG76" s="1081"/>
      <c r="AH76" s="1081"/>
      <c r="AI76" s="1081"/>
      <c r="AO76" s="1081"/>
    </row>
    <row r="77" spans="1:41" x14ac:dyDescent="0.25">
      <c r="A77" s="1081"/>
      <c r="B77" s="1081"/>
      <c r="C77" s="1081"/>
      <c r="D77" s="1081"/>
      <c r="E77" s="1081"/>
      <c r="F77" s="1081"/>
      <c r="G77" s="1081"/>
      <c r="H77" s="1081"/>
      <c r="I77" s="1081"/>
      <c r="J77" s="1081"/>
      <c r="K77" s="1081"/>
      <c r="L77" s="1081"/>
      <c r="M77" s="1081"/>
      <c r="N77" s="1081"/>
      <c r="O77" s="1081"/>
      <c r="P77" s="1081"/>
      <c r="T77" s="1081"/>
      <c r="U77" s="1081"/>
      <c r="V77" s="1081"/>
      <c r="W77" s="1081"/>
      <c r="X77" s="1081"/>
      <c r="Y77" s="1081"/>
      <c r="Z77" s="1081"/>
      <c r="AA77" s="1081"/>
      <c r="AB77" s="1081"/>
      <c r="AC77" s="1081"/>
      <c r="AD77" s="1081"/>
      <c r="AE77" s="1081"/>
      <c r="AF77" s="1081"/>
      <c r="AG77" s="1081"/>
      <c r="AH77" s="1081"/>
      <c r="AI77" s="1081"/>
      <c r="AO77" s="1081"/>
    </row>
    <row r="78" spans="1:41" x14ac:dyDescent="0.25">
      <c r="A78" s="1081"/>
      <c r="B78" s="1081"/>
      <c r="C78" s="1081"/>
      <c r="D78" s="1081"/>
      <c r="E78" s="1081"/>
      <c r="F78" s="1081"/>
      <c r="G78" s="1081"/>
      <c r="H78" s="1081"/>
      <c r="I78" s="1081"/>
      <c r="J78" s="1081"/>
      <c r="K78" s="1081"/>
      <c r="L78" s="1081"/>
      <c r="M78" s="1081"/>
      <c r="N78" s="1081"/>
      <c r="O78" s="1081"/>
      <c r="P78" s="1081"/>
      <c r="T78" s="1081"/>
      <c r="U78" s="1081"/>
      <c r="V78" s="1081"/>
      <c r="W78" s="1081"/>
      <c r="X78" s="1081"/>
      <c r="Y78" s="1081"/>
      <c r="Z78" s="1081"/>
      <c r="AA78" s="1081"/>
      <c r="AB78" s="1081"/>
      <c r="AC78" s="1081"/>
      <c r="AD78" s="1081"/>
      <c r="AE78" s="1081"/>
      <c r="AF78" s="1081"/>
      <c r="AG78" s="1081"/>
      <c r="AH78" s="1081"/>
      <c r="AI78" s="1081"/>
      <c r="AO78" s="1081"/>
    </row>
    <row r="79" spans="1:41" x14ac:dyDescent="0.25">
      <c r="A79" s="1081"/>
      <c r="B79" s="1081"/>
      <c r="C79" s="1081"/>
      <c r="D79" s="1081"/>
      <c r="E79" s="1081"/>
      <c r="F79" s="1081"/>
      <c r="G79" s="1081"/>
      <c r="H79" s="1081"/>
      <c r="I79" s="1081"/>
      <c r="J79" s="1081"/>
      <c r="K79" s="1081"/>
      <c r="L79" s="1081"/>
      <c r="M79" s="1081"/>
      <c r="N79" s="1081"/>
      <c r="O79" s="1081"/>
      <c r="P79" s="1081"/>
      <c r="T79" s="1081"/>
      <c r="U79" s="1081"/>
      <c r="V79" s="1081"/>
      <c r="W79" s="1081"/>
      <c r="X79" s="1081"/>
      <c r="Y79" s="1081"/>
      <c r="Z79" s="1081"/>
      <c r="AA79" s="1081"/>
      <c r="AB79" s="1081"/>
      <c r="AC79" s="1081"/>
      <c r="AD79" s="1081"/>
      <c r="AE79" s="1081"/>
      <c r="AF79" s="1081"/>
      <c r="AG79" s="1081"/>
      <c r="AH79" s="1081"/>
      <c r="AI79" s="1081"/>
      <c r="AO79" s="1081"/>
    </row>
    <row r="80" spans="1:41" x14ac:dyDescent="0.25">
      <c r="A80" s="1081"/>
      <c r="B80" s="1081"/>
      <c r="C80" s="1081"/>
      <c r="D80" s="1081"/>
      <c r="E80" s="1081"/>
      <c r="F80" s="1081"/>
      <c r="G80" s="1081"/>
      <c r="H80" s="1081"/>
      <c r="I80" s="1081"/>
      <c r="J80" s="1081"/>
      <c r="K80" s="1081"/>
      <c r="L80" s="1081"/>
      <c r="M80" s="1081"/>
      <c r="N80" s="1081"/>
      <c r="O80" s="1081"/>
      <c r="P80" s="1081"/>
      <c r="T80" s="1081"/>
      <c r="U80" s="1081"/>
      <c r="V80" s="1081"/>
      <c r="W80" s="1081"/>
      <c r="X80" s="1081"/>
      <c r="Y80" s="1081"/>
      <c r="Z80" s="1081"/>
      <c r="AA80" s="1081"/>
      <c r="AB80" s="1081"/>
      <c r="AC80" s="1081"/>
      <c r="AD80" s="1081"/>
      <c r="AE80" s="1081"/>
      <c r="AF80" s="1081"/>
      <c r="AG80" s="1081"/>
      <c r="AH80" s="1081"/>
      <c r="AI80" s="1081"/>
      <c r="AO80" s="1081"/>
    </row>
    <row r="81" spans="1:41" x14ac:dyDescent="0.25">
      <c r="A81" s="1081"/>
      <c r="B81" s="1081"/>
      <c r="C81" s="1081"/>
      <c r="D81" s="1081"/>
      <c r="E81" s="1081"/>
      <c r="F81" s="1081"/>
      <c r="G81" s="1081"/>
      <c r="H81" s="1081"/>
      <c r="I81" s="1081"/>
      <c r="J81" s="1081"/>
      <c r="K81" s="1081"/>
      <c r="L81" s="1081"/>
      <c r="M81" s="1081"/>
      <c r="N81" s="1081"/>
      <c r="O81" s="1081"/>
      <c r="P81" s="1081"/>
      <c r="T81" s="1081"/>
      <c r="U81" s="1081"/>
      <c r="V81" s="1081"/>
      <c r="W81" s="1081"/>
      <c r="X81" s="1081"/>
      <c r="Y81" s="1081"/>
      <c r="Z81" s="1081"/>
      <c r="AA81" s="1081"/>
      <c r="AB81" s="1081"/>
      <c r="AC81" s="1081"/>
      <c r="AD81" s="1081"/>
      <c r="AE81" s="1081"/>
      <c r="AF81" s="1081"/>
      <c r="AG81" s="1081"/>
      <c r="AH81" s="1081"/>
      <c r="AI81" s="1081"/>
      <c r="AO81" s="1081"/>
    </row>
    <row r="82" spans="1:41" x14ac:dyDescent="0.25">
      <c r="A82" s="1081"/>
      <c r="B82" s="1081"/>
      <c r="C82" s="1081"/>
      <c r="D82" s="1081"/>
      <c r="E82" s="1081"/>
      <c r="F82" s="1081"/>
      <c r="G82" s="1081"/>
      <c r="H82" s="1081"/>
      <c r="I82" s="1081"/>
      <c r="J82" s="1081"/>
      <c r="K82" s="1081"/>
      <c r="L82" s="1081"/>
      <c r="M82" s="1081"/>
      <c r="N82" s="1081"/>
      <c r="O82" s="1081"/>
      <c r="P82" s="1081"/>
      <c r="T82" s="1081"/>
      <c r="U82" s="1081"/>
      <c r="V82" s="1081"/>
      <c r="W82" s="1081"/>
      <c r="X82" s="1081"/>
      <c r="Y82" s="1081"/>
      <c r="Z82" s="1081"/>
      <c r="AA82" s="1081"/>
      <c r="AB82" s="1081"/>
      <c r="AC82" s="1081"/>
      <c r="AD82" s="1081"/>
      <c r="AE82" s="1081"/>
      <c r="AF82" s="1081"/>
      <c r="AG82" s="1081"/>
      <c r="AH82" s="1081"/>
      <c r="AI82" s="1081"/>
      <c r="AO82" s="1081"/>
    </row>
    <row r="83" spans="1:41" x14ac:dyDescent="0.25">
      <c r="A83" s="1081"/>
      <c r="B83" s="1081"/>
      <c r="C83" s="1081"/>
      <c r="D83" s="1081"/>
      <c r="E83" s="1081"/>
      <c r="F83" s="1081"/>
      <c r="G83" s="1081"/>
      <c r="H83" s="1081"/>
      <c r="I83" s="1081"/>
      <c r="J83" s="1081"/>
      <c r="K83" s="1081"/>
      <c r="L83" s="1081"/>
      <c r="M83" s="1081"/>
      <c r="N83" s="1081"/>
      <c r="O83" s="1081"/>
      <c r="P83" s="1081"/>
      <c r="T83" s="1081"/>
      <c r="U83" s="1081"/>
      <c r="V83" s="1081"/>
      <c r="W83" s="1081"/>
      <c r="X83" s="1081"/>
      <c r="Y83" s="1081"/>
      <c r="Z83" s="1081"/>
      <c r="AA83" s="1081"/>
      <c r="AB83" s="1081"/>
      <c r="AC83" s="1081"/>
      <c r="AD83" s="1081"/>
      <c r="AE83" s="1081"/>
      <c r="AF83" s="1081"/>
      <c r="AG83" s="1081"/>
      <c r="AH83" s="1081"/>
      <c r="AI83" s="1081"/>
      <c r="AO83" s="1081"/>
    </row>
    <row r="84" spans="1:41" x14ac:dyDescent="0.25">
      <c r="A84" s="1081"/>
      <c r="B84" s="1081"/>
      <c r="C84" s="1081"/>
      <c r="D84" s="1081"/>
      <c r="E84" s="1081"/>
      <c r="F84" s="1081"/>
      <c r="G84" s="1081"/>
      <c r="H84" s="1081"/>
      <c r="I84" s="1081"/>
      <c r="J84" s="1081"/>
      <c r="K84" s="1081"/>
      <c r="L84" s="1081"/>
      <c r="M84" s="1081"/>
      <c r="N84" s="1081"/>
      <c r="O84" s="1081"/>
      <c r="P84" s="1081"/>
      <c r="T84" s="1081"/>
      <c r="U84" s="1081"/>
      <c r="V84" s="1081"/>
      <c r="W84" s="1081"/>
      <c r="X84" s="1081"/>
      <c r="Y84" s="1081"/>
      <c r="Z84" s="1081"/>
      <c r="AA84" s="1081"/>
      <c r="AB84" s="1081"/>
      <c r="AC84" s="1081"/>
      <c r="AD84" s="1081"/>
      <c r="AE84" s="1081"/>
      <c r="AF84" s="1081"/>
      <c r="AG84" s="1081"/>
      <c r="AH84" s="1081"/>
      <c r="AI84" s="1081"/>
      <c r="AO84" s="1081"/>
    </row>
    <row r="85" spans="1:41" x14ac:dyDescent="0.25">
      <c r="A85" s="1081"/>
      <c r="B85" s="1081"/>
      <c r="C85" s="1081"/>
      <c r="D85" s="1081"/>
      <c r="E85" s="1081"/>
      <c r="F85" s="1081"/>
      <c r="G85" s="1081"/>
      <c r="H85" s="1081"/>
      <c r="I85" s="1081"/>
      <c r="J85" s="1081"/>
      <c r="K85" s="1081"/>
      <c r="L85" s="1081"/>
      <c r="M85" s="1081"/>
      <c r="N85" s="1081"/>
      <c r="O85" s="1081"/>
      <c r="P85" s="1081"/>
      <c r="T85" s="1081"/>
      <c r="U85" s="1081"/>
      <c r="V85" s="1081"/>
      <c r="W85" s="1081"/>
      <c r="X85" s="1081"/>
      <c r="Y85" s="1081"/>
      <c r="Z85" s="1081"/>
      <c r="AA85" s="1081"/>
      <c r="AB85" s="1081"/>
      <c r="AC85" s="1081"/>
      <c r="AD85" s="1081"/>
      <c r="AE85" s="1081"/>
      <c r="AF85" s="1081"/>
      <c r="AG85" s="1081"/>
      <c r="AH85" s="1081"/>
      <c r="AI85" s="1081"/>
      <c r="AO85" s="1081"/>
    </row>
    <row r="86" spans="1:41" x14ac:dyDescent="0.25">
      <c r="A86" s="1081"/>
      <c r="B86" s="1081"/>
      <c r="C86" s="1081"/>
      <c r="D86" s="1081"/>
      <c r="E86" s="1081"/>
      <c r="F86" s="1081"/>
      <c r="G86" s="1081"/>
      <c r="H86" s="1081"/>
      <c r="I86" s="1081"/>
      <c r="J86" s="1081"/>
      <c r="K86" s="1081"/>
      <c r="L86" s="1081"/>
      <c r="M86" s="1081"/>
      <c r="N86" s="1081"/>
      <c r="O86" s="1081"/>
      <c r="P86" s="1081"/>
      <c r="T86" s="1081"/>
      <c r="U86" s="1081"/>
      <c r="V86" s="1081"/>
      <c r="W86" s="1081"/>
      <c r="X86" s="1081"/>
      <c r="Y86" s="1081"/>
      <c r="Z86" s="1081"/>
      <c r="AA86" s="1081"/>
      <c r="AB86" s="1081"/>
      <c r="AC86" s="1081"/>
      <c r="AD86" s="1081"/>
      <c r="AE86" s="1081"/>
      <c r="AF86" s="1081"/>
      <c r="AG86" s="1081"/>
      <c r="AH86" s="1081"/>
      <c r="AI86" s="1081"/>
      <c r="AO86" s="1081"/>
    </row>
    <row r="87" spans="1:41" x14ac:dyDescent="0.25">
      <c r="A87" s="1081"/>
      <c r="B87" s="1081"/>
      <c r="C87" s="1081"/>
      <c r="D87" s="1081"/>
      <c r="E87" s="1081"/>
      <c r="F87" s="1081"/>
      <c r="G87" s="1081"/>
      <c r="H87" s="1081"/>
      <c r="I87" s="1081"/>
      <c r="J87" s="1081"/>
      <c r="K87" s="1081"/>
      <c r="L87" s="1081"/>
      <c r="M87" s="1081"/>
      <c r="N87" s="1081"/>
      <c r="O87" s="1081"/>
      <c r="P87" s="1081"/>
      <c r="T87" s="1081"/>
      <c r="U87" s="1081"/>
      <c r="V87" s="1081"/>
      <c r="W87" s="1081"/>
      <c r="X87" s="1081"/>
      <c r="Y87" s="1081"/>
      <c r="Z87" s="1081"/>
      <c r="AA87" s="1081"/>
      <c r="AB87" s="1081"/>
      <c r="AC87" s="1081"/>
      <c r="AD87" s="1081"/>
      <c r="AE87" s="1081"/>
      <c r="AF87" s="1081"/>
      <c r="AG87" s="1081"/>
      <c r="AH87" s="1081"/>
      <c r="AI87" s="1081"/>
      <c r="AO87" s="1081"/>
    </row>
    <row r="88" spans="1:41" x14ac:dyDescent="0.25">
      <c r="A88" s="1081"/>
      <c r="B88" s="1081"/>
      <c r="C88" s="1081"/>
      <c r="D88" s="1081"/>
      <c r="E88" s="1081"/>
      <c r="F88" s="1081"/>
      <c r="G88" s="1081"/>
      <c r="H88" s="1081"/>
      <c r="I88" s="1081"/>
      <c r="J88" s="1081"/>
      <c r="K88" s="1081"/>
      <c r="L88" s="1081"/>
      <c r="M88" s="1081"/>
      <c r="N88" s="1081"/>
      <c r="O88" s="1081"/>
      <c r="P88" s="1081"/>
      <c r="T88" s="1081"/>
      <c r="U88" s="1081"/>
      <c r="V88" s="1081"/>
      <c r="W88" s="1081"/>
      <c r="X88" s="1081"/>
      <c r="Y88" s="1081"/>
      <c r="Z88" s="1081"/>
      <c r="AA88" s="1081"/>
      <c r="AB88" s="1081"/>
      <c r="AC88" s="1081"/>
      <c r="AD88" s="1081"/>
      <c r="AE88" s="1081"/>
      <c r="AF88" s="1081"/>
      <c r="AG88" s="1081"/>
      <c r="AH88" s="1081"/>
      <c r="AI88" s="1081"/>
      <c r="AO88" s="1081"/>
    </row>
    <row r="89" spans="1:41" x14ac:dyDescent="0.25">
      <c r="A89" s="1081"/>
      <c r="B89" s="1081"/>
      <c r="C89" s="1081"/>
      <c r="D89" s="1081"/>
      <c r="E89" s="1081"/>
      <c r="F89" s="1081"/>
      <c r="G89" s="1081"/>
      <c r="H89" s="1081"/>
      <c r="I89" s="1081"/>
      <c r="J89" s="1081"/>
      <c r="K89" s="1081"/>
      <c r="L89" s="1081"/>
      <c r="M89" s="1081"/>
      <c r="N89" s="1081"/>
      <c r="O89" s="1081"/>
      <c r="P89" s="1081"/>
      <c r="T89" s="1081"/>
      <c r="U89" s="1081"/>
      <c r="V89" s="1081"/>
      <c r="W89" s="1081"/>
      <c r="X89" s="1081"/>
      <c r="Y89" s="1081"/>
      <c r="Z89" s="1081"/>
      <c r="AA89" s="1081"/>
      <c r="AB89" s="1081"/>
      <c r="AC89" s="1081"/>
      <c r="AD89" s="1081"/>
      <c r="AE89" s="1081"/>
      <c r="AF89" s="1081"/>
      <c r="AG89" s="1081"/>
      <c r="AH89" s="1081"/>
      <c r="AI89" s="1081"/>
      <c r="AO89" s="1081"/>
    </row>
    <row r="90" spans="1:41" x14ac:dyDescent="0.25">
      <c r="A90" s="1081"/>
      <c r="B90" s="1081"/>
      <c r="C90" s="1081"/>
      <c r="D90" s="1081"/>
      <c r="E90" s="1081"/>
      <c r="F90" s="1081"/>
      <c r="G90" s="1081"/>
      <c r="H90" s="1081"/>
      <c r="I90" s="1081"/>
      <c r="J90" s="1081"/>
      <c r="K90" s="1081"/>
      <c r="L90" s="1081"/>
      <c r="M90" s="1081"/>
      <c r="N90" s="1081"/>
      <c r="O90" s="1081"/>
      <c r="P90" s="1081"/>
      <c r="T90" s="1081"/>
      <c r="U90" s="1081"/>
      <c r="V90" s="1081"/>
      <c r="W90" s="1081"/>
      <c r="X90" s="1081"/>
      <c r="Y90" s="1081"/>
      <c r="Z90" s="1081"/>
      <c r="AA90" s="1081"/>
      <c r="AB90" s="1081"/>
      <c r="AC90" s="1081"/>
      <c r="AD90" s="1081"/>
      <c r="AE90" s="1081"/>
      <c r="AF90" s="1081"/>
      <c r="AG90" s="1081"/>
      <c r="AH90" s="1081"/>
      <c r="AI90" s="1081"/>
      <c r="AO90" s="1081"/>
    </row>
    <row r="91" spans="1:41" x14ac:dyDescent="0.25">
      <c r="A91" s="1081"/>
      <c r="B91" s="1081"/>
      <c r="C91" s="1081"/>
      <c r="D91" s="1081"/>
      <c r="E91" s="1081"/>
      <c r="F91" s="1081"/>
      <c r="G91" s="1081"/>
      <c r="H91" s="1081"/>
      <c r="I91" s="1081"/>
      <c r="J91" s="1081"/>
      <c r="K91" s="1081"/>
      <c r="L91" s="1081"/>
      <c r="M91" s="1081"/>
      <c r="N91" s="1081"/>
      <c r="O91" s="1081"/>
      <c r="P91" s="1081"/>
      <c r="T91" s="1081"/>
      <c r="U91" s="1081"/>
      <c r="V91" s="1081"/>
      <c r="W91" s="1081"/>
      <c r="X91" s="1081"/>
      <c r="Y91" s="1081"/>
      <c r="Z91" s="1081"/>
      <c r="AA91" s="1081"/>
      <c r="AB91" s="1081"/>
      <c r="AC91" s="1081"/>
      <c r="AD91" s="1081"/>
      <c r="AE91" s="1081"/>
      <c r="AF91" s="1081"/>
      <c r="AG91" s="1081"/>
      <c r="AH91" s="1081"/>
      <c r="AI91" s="1081"/>
      <c r="AO91" s="1081"/>
    </row>
    <row r="92" spans="1:41" x14ac:dyDescent="0.25">
      <c r="A92" s="1081"/>
      <c r="B92" s="1081"/>
      <c r="C92" s="1081"/>
      <c r="D92" s="1081"/>
      <c r="E92" s="1081"/>
      <c r="F92" s="1081"/>
      <c r="G92" s="1081"/>
      <c r="H92" s="1081"/>
      <c r="I92" s="1081"/>
      <c r="J92" s="1081"/>
      <c r="K92" s="1081"/>
      <c r="L92" s="1081"/>
      <c r="M92" s="1081"/>
      <c r="N92" s="1081"/>
      <c r="O92" s="1081"/>
      <c r="P92" s="1081"/>
      <c r="T92" s="1081"/>
      <c r="U92" s="1081"/>
      <c r="V92" s="1081"/>
      <c r="W92" s="1081"/>
      <c r="X92" s="1081"/>
      <c r="Y92" s="1081"/>
      <c r="Z92" s="1081"/>
      <c r="AA92" s="1081"/>
      <c r="AB92" s="1081"/>
      <c r="AC92" s="1081"/>
      <c r="AD92" s="1081"/>
      <c r="AE92" s="1081"/>
      <c r="AF92" s="1081"/>
      <c r="AG92" s="1081"/>
      <c r="AH92" s="1081"/>
      <c r="AI92" s="1081"/>
      <c r="AO92" s="1081"/>
    </row>
    <row r="93" spans="1:41" x14ac:dyDescent="0.25">
      <c r="A93" s="1081"/>
      <c r="B93" s="1081"/>
      <c r="C93" s="1081"/>
      <c r="D93" s="1081"/>
      <c r="E93" s="1081"/>
      <c r="F93" s="1081"/>
      <c r="G93" s="1081"/>
      <c r="H93" s="1081"/>
      <c r="I93" s="1081"/>
      <c r="J93" s="1081"/>
      <c r="K93" s="1081"/>
      <c r="L93" s="1081"/>
      <c r="M93" s="1081"/>
      <c r="N93" s="1081"/>
      <c r="O93" s="1081"/>
      <c r="P93" s="1081"/>
      <c r="T93" s="1081"/>
      <c r="U93" s="1081"/>
      <c r="V93" s="1081"/>
      <c r="W93" s="1081"/>
      <c r="X93" s="1081"/>
      <c r="Y93" s="1081"/>
      <c r="Z93" s="1081"/>
      <c r="AA93" s="1081"/>
      <c r="AB93" s="1081"/>
      <c r="AC93" s="1081"/>
      <c r="AD93" s="1081"/>
      <c r="AE93" s="1081"/>
      <c r="AF93" s="1081"/>
      <c r="AG93" s="1081"/>
      <c r="AH93" s="1081"/>
      <c r="AI93" s="1081"/>
      <c r="AO93" s="1081"/>
    </row>
    <row r="94" spans="1:41" x14ac:dyDescent="0.25">
      <c r="A94" s="1081"/>
      <c r="B94" s="1081"/>
      <c r="C94" s="1081"/>
      <c r="D94" s="1081"/>
      <c r="E94" s="1081"/>
      <c r="F94" s="1081"/>
      <c r="G94" s="1081"/>
      <c r="H94" s="1081"/>
      <c r="I94" s="1081"/>
      <c r="J94" s="1081"/>
      <c r="K94" s="1081"/>
      <c r="L94" s="1081"/>
      <c r="M94" s="1081"/>
      <c r="N94" s="1081"/>
      <c r="O94" s="1081"/>
      <c r="P94" s="1081"/>
      <c r="T94" s="1081"/>
      <c r="U94" s="1081"/>
      <c r="V94" s="1081"/>
      <c r="W94" s="1081"/>
      <c r="X94" s="1081"/>
      <c r="Y94" s="1081"/>
      <c r="Z94" s="1081"/>
      <c r="AA94" s="1081"/>
      <c r="AB94" s="1081"/>
      <c r="AC94" s="1081"/>
      <c r="AD94" s="1081"/>
      <c r="AE94" s="1081"/>
      <c r="AF94" s="1081"/>
      <c r="AG94" s="1081"/>
      <c r="AH94" s="1081"/>
      <c r="AI94" s="1081"/>
      <c r="AO94" s="1081"/>
    </row>
  </sheetData>
  <sheetProtection password="BCD8" sheet="1" objects="1" scenarios="1"/>
  <phoneticPr fontId="0" type="noConversion"/>
  <conditionalFormatting sqref="C9:L9">
    <cfRule type="expression" dxfId="106" priority="1" stopIfTrue="1">
      <formula>$AK$12=2</formula>
    </cfRule>
  </conditionalFormatting>
  <pageMargins left="0.78" right="0.38" top="0.74" bottom="1" header="0.45" footer="0.5"/>
  <pageSetup paperSize="9" scale="95" orientation="portrait" blackAndWhite="1" verticalDpi="1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goto_advanced_detail">
                <anchor moveWithCells="1" sizeWithCells="1">
                  <from>
                    <xdr:col>4</xdr:col>
                    <xdr:colOff>787400</xdr:colOff>
                    <xdr:row>0</xdr:row>
                    <xdr:rowOff>31750</xdr:rowOff>
                  </from>
                  <to>
                    <xdr:col>6</xdr:col>
                    <xdr:colOff>101600</xdr:colOff>
                    <xdr:row>1</xdr:row>
                    <xdr:rowOff>146050</xdr:rowOff>
                  </to>
                </anchor>
              </controlPr>
            </control>
          </mc:Choice>
        </mc:AlternateContent>
        <mc:AlternateContent xmlns:mc="http://schemas.openxmlformats.org/markup-compatibility/2006">
          <mc:Choice Requires="x14">
            <control shapeId="64514" r:id="rId5" name="Button 2">
              <controlPr defaultSize="0" print="0" autoFill="0" autoPict="0" macro="[0]!goto_advanced_client_report">
                <anchor moveWithCells="1" sizeWithCells="1">
                  <from>
                    <xdr:col>6</xdr:col>
                    <xdr:colOff>127000</xdr:colOff>
                    <xdr:row>0</xdr:row>
                    <xdr:rowOff>31750</xdr:rowOff>
                  </from>
                  <to>
                    <xdr:col>8</xdr:col>
                    <xdr:colOff>393700</xdr:colOff>
                    <xdr:row>1</xdr:row>
                    <xdr:rowOff>146050</xdr:rowOff>
                  </to>
                </anchor>
              </controlPr>
            </control>
          </mc:Choice>
        </mc:AlternateContent>
        <mc:AlternateContent xmlns:mc="http://schemas.openxmlformats.org/markup-compatibility/2006">
          <mc:Choice Requires="x14">
            <control shapeId="64515" r:id="rId6" name="Button 3">
              <controlPr defaultSize="0" print="0" autoFill="0" autoPict="0" macro="[0]!goto_interest">
                <anchor moveWithCells="1" sizeWithCells="1">
                  <from>
                    <xdr:col>9</xdr:col>
                    <xdr:colOff>215900</xdr:colOff>
                    <xdr:row>0</xdr:row>
                    <xdr:rowOff>31750</xdr:rowOff>
                  </from>
                  <to>
                    <xdr:col>9</xdr:col>
                    <xdr:colOff>806450</xdr:colOff>
                    <xdr:row>1</xdr:row>
                    <xdr:rowOff>146050</xdr:rowOff>
                  </to>
                </anchor>
              </controlPr>
            </control>
          </mc:Choice>
        </mc:AlternateContent>
        <mc:AlternateContent xmlns:mc="http://schemas.openxmlformats.org/markup-compatibility/2006">
          <mc:Choice Requires="x14">
            <control shapeId="64516" r:id="rId7" name="Button 4">
              <controlPr defaultSize="0" print="0" autoFill="0" autoPict="0" macro="[0]!PrintThis">
                <anchor moveWithCells="1" sizeWithCells="1">
                  <from>
                    <xdr:col>8</xdr:col>
                    <xdr:colOff>406400</xdr:colOff>
                    <xdr:row>0</xdr:row>
                    <xdr:rowOff>31750</xdr:rowOff>
                  </from>
                  <to>
                    <xdr:col>9</xdr:col>
                    <xdr:colOff>203200</xdr:colOff>
                    <xdr:row>1</xdr:row>
                    <xdr:rowOff>146050</xdr:rowOff>
                  </to>
                </anchor>
              </controlPr>
            </control>
          </mc:Choice>
        </mc:AlternateContent>
        <mc:AlternateContent xmlns:mc="http://schemas.openxmlformats.org/markup-compatibility/2006">
          <mc:Choice Requires="x14">
            <control shapeId="64517" r:id="rId8" name="Button 5">
              <controlPr defaultSize="0" print="0" autoFill="0" autoPict="0" macro="[0]!goto_home">
                <anchor moveWithCells="1">
                  <from>
                    <xdr:col>0</xdr:col>
                    <xdr:colOff>88900</xdr:colOff>
                    <xdr:row>0</xdr:row>
                    <xdr:rowOff>127000</xdr:rowOff>
                  </from>
                  <to>
                    <xdr:col>0</xdr:col>
                    <xdr:colOff>812800</xdr:colOff>
                    <xdr:row>2</xdr:row>
                    <xdr:rowOff>76200</xdr:rowOff>
                  </to>
                </anchor>
              </controlPr>
            </control>
          </mc:Choice>
        </mc:AlternateContent>
        <mc:AlternateContent xmlns:mc="http://schemas.openxmlformats.org/markup-compatibility/2006">
          <mc:Choice Requires="x14">
            <control shapeId="64518" r:id="rId9" name="Button 6">
              <controlPr defaultSize="0" print="0" autoFill="0" autoPict="0" macro="[0]!goto_advanced">
                <anchor moveWithCells="1" sizeWithCells="1">
                  <from>
                    <xdr:col>1</xdr:col>
                    <xdr:colOff>25400</xdr:colOff>
                    <xdr:row>0</xdr:row>
                    <xdr:rowOff>31750</xdr:rowOff>
                  </from>
                  <to>
                    <xdr:col>4</xdr:col>
                    <xdr:colOff>768350</xdr:colOff>
                    <xdr:row>1</xdr:row>
                    <xdr:rowOff>146050</xdr:rowOff>
                  </to>
                </anchor>
              </controlPr>
            </control>
          </mc:Choice>
        </mc:AlternateContent>
        <mc:AlternateContent xmlns:mc="http://schemas.openxmlformats.org/markup-compatibility/2006">
          <mc:Choice Requires="x14">
            <control shapeId="64519" r:id="rId10" name="Button 7">
              <controlPr defaultSize="0" print="0" autoFill="0" autoPict="0" macro="[0]!goto_interest">
                <anchor moveWithCells="1" sizeWithCells="1">
                  <from>
                    <xdr:col>13</xdr:col>
                    <xdr:colOff>6350</xdr:colOff>
                    <xdr:row>54</xdr:row>
                    <xdr:rowOff>38100</xdr:rowOff>
                  </from>
                  <to>
                    <xdr:col>13</xdr:col>
                    <xdr:colOff>577850</xdr:colOff>
                    <xdr:row>56</xdr:row>
                    <xdr:rowOff>0</xdr:rowOff>
                  </to>
                </anchor>
              </controlPr>
            </control>
          </mc:Choice>
        </mc:AlternateContent>
        <mc:AlternateContent xmlns:mc="http://schemas.openxmlformats.org/markup-compatibility/2006">
          <mc:Choice Requires="x14">
            <control shapeId="64520" r:id="rId11" name="Button 8">
              <controlPr defaultSize="0" print="0" autoFill="0" autoPict="0" macro="[0]!goto_advanced_detail">
                <anchor moveWithCells="1" sizeWithCells="1">
                  <from>
                    <xdr:col>13</xdr:col>
                    <xdr:colOff>6350</xdr:colOff>
                    <xdr:row>52</xdr:row>
                    <xdr:rowOff>107950</xdr:rowOff>
                  </from>
                  <to>
                    <xdr:col>13</xdr:col>
                    <xdr:colOff>577850</xdr:colOff>
                    <xdr:row>54</xdr:row>
                    <xdr:rowOff>31750</xdr:rowOff>
                  </to>
                </anchor>
              </controlPr>
            </control>
          </mc:Choice>
        </mc:AlternateContent>
        <mc:AlternateContent xmlns:mc="http://schemas.openxmlformats.org/markup-compatibility/2006">
          <mc:Choice Requires="x14">
            <control shapeId="64521" r:id="rId12" name="Button 9">
              <controlPr defaultSize="0" print="0" autoFill="0" autoPict="0" macro="[0]!PrintThis">
                <anchor moveWithCells="1" sizeWithCells="1">
                  <from>
                    <xdr:col>13</xdr:col>
                    <xdr:colOff>6350</xdr:colOff>
                    <xdr:row>51</xdr:row>
                    <xdr:rowOff>6350</xdr:rowOff>
                  </from>
                  <to>
                    <xdr:col>13</xdr:col>
                    <xdr:colOff>577850</xdr:colOff>
                    <xdr:row>52</xdr:row>
                    <xdr:rowOff>101600</xdr:rowOff>
                  </to>
                </anchor>
              </controlPr>
            </control>
          </mc:Choice>
        </mc:AlternateContent>
        <mc:AlternateContent xmlns:mc="http://schemas.openxmlformats.org/markup-compatibility/2006">
          <mc:Choice Requires="x14">
            <control shapeId="64522" r:id="rId13" name="Button 10">
              <controlPr defaultSize="0" print="0" autoFill="0" autoPict="0" macro="[0]!goto_details">
                <anchor moveWithCells="1" sizeWithCells="1">
                  <from>
                    <xdr:col>0</xdr:col>
                    <xdr:colOff>63500</xdr:colOff>
                    <xdr:row>6</xdr:row>
                    <xdr:rowOff>0</xdr:rowOff>
                  </from>
                  <to>
                    <xdr:col>0</xdr:col>
                    <xdr:colOff>984250</xdr:colOff>
                    <xdr:row>9</xdr:row>
                    <xdr:rowOff>146050</xdr:rowOff>
                  </to>
                </anchor>
              </controlPr>
            </control>
          </mc:Choice>
        </mc:AlternateContent>
        <mc:AlternateContent xmlns:mc="http://schemas.openxmlformats.org/markup-compatibility/2006">
          <mc:Choice Requires="x14">
            <control shapeId="64523" r:id="rId14" name="Button 11">
              <controlPr defaultSize="0" print="0" autoFill="0" autoPict="0" macro="[0]!goto_advanced">
                <anchor moveWithCells="1" sizeWithCells="1">
                  <from>
                    <xdr:col>13</xdr:col>
                    <xdr:colOff>31750</xdr:colOff>
                    <xdr:row>47</xdr:row>
                    <xdr:rowOff>114300</xdr:rowOff>
                  </from>
                  <to>
                    <xdr:col>15</xdr:col>
                    <xdr:colOff>101600</xdr:colOff>
                    <xdr:row>49</xdr:row>
                    <xdr:rowOff>101600</xdr:rowOff>
                  </to>
                </anchor>
              </controlPr>
            </control>
          </mc:Choice>
        </mc:AlternateContent>
        <mc:AlternateContent xmlns:mc="http://schemas.openxmlformats.org/markup-compatibility/2006">
          <mc:Choice Requires="x14">
            <control shapeId="64524" r:id="rId15" name="advancedpayments">
              <controlPr defaultSize="0" print="0" autoFill="0" autoPict="0" macro="[0]!globalgoto">
                <anchor moveWithCells="1" sizeWithCells="1">
                  <from>
                    <xdr:col>13</xdr:col>
                    <xdr:colOff>6350</xdr:colOff>
                    <xdr:row>58</xdr:row>
                    <xdr:rowOff>31750</xdr:rowOff>
                  </from>
                  <to>
                    <xdr:col>13</xdr:col>
                    <xdr:colOff>673100</xdr:colOff>
                    <xdr:row>60</xdr:row>
                    <xdr:rowOff>44450</xdr:rowOff>
                  </to>
                </anchor>
              </controlPr>
            </control>
          </mc:Choice>
        </mc:AlternateContent>
        <mc:AlternateContent xmlns:mc="http://schemas.openxmlformats.org/markup-compatibility/2006">
          <mc:Choice Requires="x14">
            <control shapeId="64525" r:id="rId16" name="Button 13">
              <controlPr defaultSize="0" print="0" autoFill="0" autoPict="0" macro="[0]!close_tc_on_report">
                <anchor moveWithCells="1" sizeWithCells="1">
                  <from>
                    <xdr:col>13</xdr:col>
                    <xdr:colOff>76200</xdr:colOff>
                    <xdr:row>18</xdr:row>
                    <xdr:rowOff>0</xdr:rowOff>
                  </from>
                  <to>
                    <xdr:col>15</xdr:col>
                    <xdr:colOff>38100</xdr:colOff>
                    <xdr:row>21</xdr:row>
                    <xdr:rowOff>139700</xdr:rowOff>
                  </to>
                </anchor>
              </controlPr>
            </control>
          </mc:Choice>
        </mc:AlternateContent>
        <mc:AlternateContent xmlns:mc="http://schemas.openxmlformats.org/markup-compatibility/2006">
          <mc:Choice Requires="x14">
            <control shapeId="64526" r:id="rId17" name="globalbacktobutton">
              <controlPr defaultSize="0" print="0" autoFill="0" autoPict="0" macro="[0]!backto">
                <anchor moveWithCells="1" sizeWithCells="1">
                  <from>
                    <xdr:col>13</xdr:col>
                    <xdr:colOff>127000</xdr:colOff>
                    <xdr:row>6</xdr:row>
                    <xdr:rowOff>0</xdr:rowOff>
                  </from>
                  <to>
                    <xdr:col>13</xdr:col>
                    <xdr:colOff>755650</xdr:colOff>
                    <xdr:row>8</xdr:row>
                    <xdr:rowOff>127000</xdr:rowOff>
                  </to>
                </anchor>
              </controlPr>
            </control>
          </mc:Choice>
        </mc:AlternateContent>
        <mc:AlternateContent xmlns:mc="http://schemas.openxmlformats.org/markup-compatibility/2006">
          <mc:Choice Requires="x14">
            <control shapeId="64527" r:id="rId18" name="Button 15">
              <controlPr defaultSize="0" print="0" autoFill="0" autoPict="0" macro="[0]!copy_as_excel">
                <anchor moveWithCells="1" sizeWithCells="1">
                  <from>
                    <xdr:col>13</xdr:col>
                    <xdr:colOff>298450</xdr:colOff>
                    <xdr:row>3</xdr:row>
                    <xdr:rowOff>0</xdr:rowOff>
                  </from>
                  <to>
                    <xdr:col>14</xdr:col>
                    <xdr:colOff>196850</xdr:colOff>
                    <xdr:row>4</xdr:row>
                    <xdr:rowOff>127000</xdr:rowOff>
                  </to>
                </anchor>
              </controlPr>
            </control>
          </mc:Choice>
        </mc:AlternateContent>
        <mc:AlternateContent xmlns:mc="http://schemas.openxmlformats.org/markup-compatibility/2006">
          <mc:Choice Requires="x14">
            <control shapeId="64528" r:id="rId19" name="Button 16">
              <controlPr defaultSize="0" print="0" autoFill="0" autoPict="0" macro="[0]!pdflauncher">
                <anchor moveWithCells="1" sizeWithCells="1">
                  <from>
                    <xdr:col>14</xdr:col>
                    <xdr:colOff>203200</xdr:colOff>
                    <xdr:row>3</xdr:row>
                    <xdr:rowOff>0</xdr:rowOff>
                  </from>
                  <to>
                    <xdr:col>15</xdr:col>
                    <xdr:colOff>266700</xdr:colOff>
                    <xdr:row>4</xdr:row>
                    <xdr:rowOff>127000</xdr:rowOff>
                  </to>
                </anchor>
              </controlPr>
            </control>
          </mc:Choice>
        </mc:AlternateContent>
        <mc:AlternateContent xmlns:mc="http://schemas.openxmlformats.org/markup-compatibility/2006">
          <mc:Choice Requires="x14">
            <control shapeId="64529" r:id="rId20" name="Button 17">
              <controlPr defaultSize="0" print="0" autoFill="0" autoPict="0" macro="[0]!openfolder">
                <anchor moveWithCells="1" sizeWithCells="1">
                  <from>
                    <xdr:col>15</xdr:col>
                    <xdr:colOff>273050</xdr:colOff>
                    <xdr:row>3</xdr:row>
                    <xdr:rowOff>0</xdr:rowOff>
                  </from>
                  <to>
                    <xdr:col>15</xdr:col>
                    <xdr:colOff>806450</xdr:colOff>
                    <xdr:row>4</xdr:row>
                    <xdr:rowOff>127000</xdr:rowOff>
                  </to>
                </anchor>
              </controlPr>
            </control>
          </mc:Choice>
        </mc:AlternateContent>
        <mc:AlternateContent xmlns:mc="http://schemas.openxmlformats.org/markup-compatibility/2006">
          <mc:Choice Requires="x14">
            <control shapeId="64530" r:id="rId21" name="Button 18">
              <controlPr defaultSize="0" print="0" autoFill="0" autoPict="0" macro="[0]!goto_folder_settings">
                <anchor moveWithCells="1" sizeWithCells="1">
                  <from>
                    <xdr:col>15</xdr:col>
                    <xdr:colOff>812800</xdr:colOff>
                    <xdr:row>3</xdr:row>
                    <xdr:rowOff>0</xdr:rowOff>
                  </from>
                  <to>
                    <xdr:col>15</xdr:col>
                    <xdr:colOff>1339850</xdr:colOff>
                    <xdr:row>4</xdr:row>
                    <xdr:rowOff>127000</xdr:rowOff>
                  </to>
                </anchor>
              </controlPr>
            </control>
          </mc:Choice>
        </mc:AlternateContent>
        <mc:AlternateContent xmlns:mc="http://schemas.openxmlformats.org/markup-compatibility/2006">
          <mc:Choice Requires="x14">
            <control shapeId="64531" r:id="rId22" name="Button 19">
              <controlPr defaultSize="0" print="0" autoFill="0" autoPict="0" macro="[0]!email_pdf_launch">
                <anchor moveWithCells="1" sizeWithCells="1">
                  <from>
                    <xdr:col>14</xdr:col>
                    <xdr:colOff>349250</xdr:colOff>
                    <xdr:row>1</xdr:row>
                    <xdr:rowOff>25400</xdr:rowOff>
                  </from>
                  <to>
                    <xdr:col>15</xdr:col>
                    <xdr:colOff>412750</xdr:colOff>
                    <xdr:row>2</xdr:row>
                    <xdr:rowOff>158750</xdr:rowOff>
                  </to>
                </anchor>
              </controlPr>
            </control>
          </mc:Choice>
        </mc:AlternateContent>
        <mc:AlternateContent xmlns:mc="http://schemas.openxmlformats.org/markup-compatibility/2006">
          <mc:Choice Requires="x14">
            <control shapeId="64532" r:id="rId23" name="Button 20">
              <controlPr defaultSize="0" print="0" autoFill="0" autoPict="0" macro="[0]!email_copy_as_excel">
                <anchor moveWithCells="1" sizeWithCells="1">
                  <from>
                    <xdr:col>13</xdr:col>
                    <xdr:colOff>298450</xdr:colOff>
                    <xdr:row>1</xdr:row>
                    <xdr:rowOff>25400</xdr:rowOff>
                  </from>
                  <to>
                    <xdr:col>14</xdr:col>
                    <xdr:colOff>342900</xdr:colOff>
                    <xdr:row>2</xdr:row>
                    <xdr:rowOff>158750</xdr:rowOff>
                  </to>
                </anchor>
              </controlPr>
            </control>
          </mc:Choice>
        </mc:AlternateContent>
        <mc:AlternateContent xmlns:mc="http://schemas.openxmlformats.org/markup-compatibility/2006">
          <mc:Choice Requires="x14">
            <control shapeId="64533" r:id="rId24" name="Button 21">
              <controlPr defaultSize="0" print="0" autoFill="0" autoPict="0" macro="[0]!emailsettings">
                <anchor moveWithCells="1" sizeWithCells="1">
                  <from>
                    <xdr:col>15</xdr:col>
                    <xdr:colOff>419100</xdr:colOff>
                    <xdr:row>1</xdr:row>
                    <xdr:rowOff>25400</xdr:rowOff>
                  </from>
                  <to>
                    <xdr:col>15</xdr:col>
                    <xdr:colOff>1339850</xdr:colOff>
                    <xdr:row>2</xdr:row>
                    <xdr:rowOff>158750</xdr:rowOff>
                  </to>
                </anchor>
              </controlPr>
            </control>
          </mc:Choice>
        </mc:AlternateContent>
        <mc:AlternateContent xmlns:mc="http://schemas.openxmlformats.org/markup-compatibility/2006">
          <mc:Choice Requires="x14">
            <control shapeId="64534" r:id="rId25" name="Button 22">
              <controlPr defaultSize="0" print="0" autoFill="0" autoPict="0" macro="[0]!imp_rel_on_report">
                <anchor moveWithCells="1" sizeWithCells="1">
                  <from>
                    <xdr:col>13</xdr:col>
                    <xdr:colOff>69850</xdr:colOff>
                    <xdr:row>32</xdr:row>
                    <xdr:rowOff>69850</xdr:rowOff>
                  </from>
                  <to>
                    <xdr:col>15</xdr:col>
                    <xdr:colOff>31750</xdr:colOff>
                    <xdr:row>34</xdr:row>
                    <xdr:rowOff>190500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FA507-ABE7-4665-8ED9-A0350AC95EAF}">
  <sheetPr codeName="Sheet78">
    <pageSetUpPr fitToPage="1"/>
  </sheetPr>
  <dimension ref="A1:AI94"/>
  <sheetViews>
    <sheetView showGridLines="0" workbookViewId="0">
      <selection activeCell="K7" sqref="K7"/>
    </sheetView>
  </sheetViews>
  <sheetFormatPr defaultColWidth="9.08984375" defaultRowHeight="12.5" x14ac:dyDescent="0.25"/>
  <cols>
    <col min="1" max="1" width="15.36328125" style="1084" customWidth="1"/>
    <col min="2" max="2" width="1.08984375" style="1084" customWidth="1"/>
    <col min="3" max="3" width="8.36328125" style="1084" customWidth="1"/>
    <col min="4" max="4" width="2" style="1084" customWidth="1"/>
    <col min="5" max="5" width="11.90625" style="1084" customWidth="1"/>
    <col min="6" max="6" width="13.453125" style="1084" customWidth="1"/>
    <col min="7" max="7" width="7.453125" style="1084" customWidth="1"/>
    <col min="8" max="8" width="0.6328125" style="1084" customWidth="1"/>
    <col min="9" max="9" width="12.90625" style="1084" customWidth="1"/>
    <col min="10" max="10" width="13.453125" style="1084" customWidth="1"/>
    <col min="11" max="11" width="10.453125" style="1084" customWidth="1"/>
    <col min="12" max="12" width="13.6328125" style="1084" customWidth="1"/>
    <col min="13" max="13" width="1.08984375" style="1084" customWidth="1"/>
    <col min="14" max="14" width="11.453125" style="1084" customWidth="1"/>
    <col min="15" max="15" width="9.08984375" style="1084"/>
    <col min="16" max="16" width="52.453125" style="1084" customWidth="1"/>
    <col min="17" max="17" width="11.453125" style="1084" hidden="1" customWidth="1"/>
    <col min="18" max="18" width="9.08984375" style="1084" hidden="1" customWidth="1"/>
    <col min="19" max="19" width="9.08984375" style="1084" customWidth="1"/>
    <col min="20" max="24" width="9.08984375" style="1084"/>
    <col min="25" max="29" width="12.6328125" style="1084" customWidth="1"/>
    <col min="30" max="34" width="15.6328125" style="1084" customWidth="1"/>
    <col min="35" max="16384" width="9.08984375" style="1084"/>
  </cols>
  <sheetData>
    <row r="1" spans="1:35" x14ac:dyDescent="0.25">
      <c r="A1" s="2250"/>
      <c r="B1" s="2251"/>
      <c r="C1" s="2251"/>
      <c r="D1" s="2260"/>
      <c r="E1" s="2260"/>
      <c r="F1" s="2260"/>
      <c r="G1" s="2260"/>
      <c r="H1" s="2260"/>
      <c r="I1" s="2260"/>
      <c r="J1" s="2262"/>
      <c r="K1" s="2265"/>
      <c r="L1" s="2260"/>
      <c r="M1" s="2260"/>
      <c r="N1" s="2260"/>
      <c r="O1" s="2260"/>
      <c r="P1" s="2260"/>
      <c r="S1" s="2260"/>
      <c r="T1" s="2260"/>
      <c r="U1" s="2260"/>
      <c r="V1" s="2260"/>
      <c r="W1" s="2260"/>
      <c r="X1" s="2260"/>
      <c r="Y1" s="2260"/>
      <c r="Z1" s="2260"/>
      <c r="AA1" s="2260"/>
      <c r="AB1" s="2260"/>
      <c r="AC1" s="2260"/>
      <c r="AD1" s="2260"/>
      <c r="AE1" s="2260"/>
      <c r="AF1" s="2260"/>
      <c r="AG1" s="2260"/>
      <c r="AH1" s="2260"/>
      <c r="AI1" s="2260"/>
    </row>
    <row r="2" spans="1:35" x14ac:dyDescent="0.25">
      <c r="A2" s="2251"/>
      <c r="B2" s="2260"/>
      <c r="C2" s="2260"/>
      <c r="D2" s="2260"/>
      <c r="E2" s="2260"/>
      <c r="F2" s="2260"/>
      <c r="G2" s="2260"/>
      <c r="H2" s="2260"/>
      <c r="I2" s="2260"/>
      <c r="J2" s="2260"/>
      <c r="K2" s="2266"/>
      <c r="L2" s="2260"/>
      <c r="M2" s="2260"/>
      <c r="N2" s="2260"/>
      <c r="O2" s="2260"/>
      <c r="P2" s="2260"/>
      <c r="S2" s="2260"/>
      <c r="T2" s="2260"/>
      <c r="U2" s="2260"/>
      <c r="V2" s="2260"/>
      <c r="W2" s="2260"/>
      <c r="X2" s="2260"/>
      <c r="Y2" s="2260"/>
      <c r="Z2" s="2260"/>
      <c r="AA2" s="2260"/>
      <c r="AB2" s="2260"/>
      <c r="AC2" s="2260"/>
      <c r="AD2" s="2260"/>
      <c r="AE2" s="2260"/>
      <c r="AF2" s="2260"/>
      <c r="AG2" s="2260"/>
      <c r="AH2" s="2260"/>
      <c r="AI2" s="2260"/>
    </row>
    <row r="3" spans="1:35" ht="13" x14ac:dyDescent="0.3">
      <c r="A3" s="2251"/>
      <c r="B3" s="1086"/>
      <c r="C3" s="1087"/>
      <c r="D3" s="1087"/>
      <c r="E3" s="1087"/>
      <c r="F3" s="1087"/>
      <c r="G3" s="1087"/>
      <c r="H3" s="1087"/>
      <c r="I3" s="1087"/>
      <c r="J3" s="1088" t="str">
        <f>advanced!M4</f>
        <v/>
      </c>
      <c r="K3" s="1088" t="str">
        <f>advanced!N4</f>
        <v/>
      </c>
      <c r="L3" s="1089"/>
      <c r="M3" s="1090"/>
      <c r="N3" s="2260"/>
      <c r="O3" s="2260"/>
      <c r="P3" s="2260"/>
      <c r="S3" s="2260"/>
      <c r="T3" s="2260"/>
      <c r="U3" s="2260"/>
      <c r="V3" s="2260"/>
      <c r="W3" s="2260"/>
      <c r="X3" s="2260"/>
      <c r="Y3" s="2260"/>
      <c r="Z3" s="2260"/>
      <c r="AA3" s="2260"/>
      <c r="AB3" s="2260"/>
      <c r="AC3" s="2260"/>
      <c r="AD3" s="2260"/>
      <c r="AE3" s="2260"/>
      <c r="AF3" s="2260"/>
      <c r="AG3" s="2260"/>
      <c r="AH3" s="2260"/>
      <c r="AI3" s="2260"/>
    </row>
    <row r="4" spans="1:35" ht="20" x14ac:dyDescent="0.4">
      <c r="A4" s="2252"/>
      <c r="B4" s="1092"/>
      <c r="C4" s="1093" t="s">
        <v>2801</v>
      </c>
      <c r="D4" s="1094"/>
      <c r="E4" s="1094"/>
      <c r="F4" s="1094"/>
      <c r="G4" s="1094"/>
      <c r="H4" s="1094"/>
      <c r="I4" s="1094"/>
      <c r="J4" s="1094"/>
      <c r="K4" s="1094"/>
      <c r="L4" s="1094"/>
      <c r="M4" s="1095"/>
      <c r="N4" s="2260"/>
      <c r="O4" s="2260"/>
      <c r="P4" s="2260"/>
      <c r="Q4" s="2287" t="s">
        <v>1017</v>
      </c>
      <c r="S4" s="2260"/>
      <c r="T4" s="2260"/>
      <c r="U4" s="2260"/>
      <c r="V4" s="2260"/>
      <c r="W4" s="2260"/>
      <c r="X4" s="2260"/>
      <c r="Y4" s="2260"/>
      <c r="Z4" s="2260"/>
      <c r="AA4" s="2260"/>
      <c r="AB4" s="2260"/>
      <c r="AC4" s="2260"/>
      <c r="AD4" s="2260"/>
      <c r="AE4" s="2260"/>
      <c r="AF4" s="2260"/>
      <c r="AG4" s="2260"/>
      <c r="AH4" s="2260"/>
      <c r="AI4" s="2260"/>
    </row>
    <row r="5" spans="1:35" ht="26.25" customHeight="1" x14ac:dyDescent="0.3">
      <c r="A5" s="2251"/>
      <c r="B5" s="1092"/>
      <c r="C5" s="1097"/>
      <c r="D5" s="1094"/>
      <c r="E5" s="1094"/>
      <c r="F5" s="1094"/>
      <c r="G5" s="1094"/>
      <c r="H5" s="1094"/>
      <c r="I5" s="1094"/>
      <c r="J5" s="1094"/>
      <c r="K5" s="1094"/>
      <c r="L5" s="1094"/>
      <c r="M5" s="1095"/>
      <c r="N5" s="2268"/>
      <c r="O5" s="2260"/>
      <c r="P5" s="2260"/>
      <c r="Q5" s="1084" t="str">
        <f>IF(Q4="open","^ Hide the TC Details","&lt; Show the TC Details")</f>
        <v>&lt; Show the TC Details</v>
      </c>
      <c r="S5" s="2260"/>
      <c r="T5" s="2260"/>
      <c r="U5" s="2260"/>
      <c r="V5" s="2260"/>
      <c r="W5" s="2260"/>
      <c r="X5" s="2260"/>
      <c r="Y5" s="2260"/>
      <c r="Z5" s="2260"/>
      <c r="AA5" s="2260"/>
      <c r="AB5" s="2260"/>
      <c r="AC5" s="2260"/>
      <c r="AD5" s="2260"/>
      <c r="AE5" s="2260"/>
      <c r="AF5" s="2260"/>
      <c r="AG5" s="2260"/>
      <c r="AH5" s="2260"/>
      <c r="AI5" s="2260"/>
    </row>
    <row r="6" spans="1:35" ht="13" x14ac:dyDescent="0.3">
      <c r="A6" s="2251"/>
      <c r="B6" s="1092"/>
      <c r="C6" s="1099" t="s">
        <v>910</v>
      </c>
      <c r="D6" s="1094"/>
      <c r="E6" s="1094" t="str">
        <f>IF(details!D4="","Please Complete the Details Page",details!D4)</f>
        <v>Please Complete the Details Page</v>
      </c>
      <c r="F6" s="1094"/>
      <c r="G6" s="1094"/>
      <c r="H6" s="1094"/>
      <c r="I6" s="1094"/>
      <c r="J6" s="1100" t="s">
        <v>911</v>
      </c>
      <c r="K6" s="1101" t="str">
        <f>IF(details!D6="","Complete the Details Page",details!D6)</f>
        <v>Complete the Details Page</v>
      </c>
      <c r="L6" s="1094"/>
      <c r="M6" s="1095"/>
      <c r="N6" s="2268"/>
      <c r="O6" s="2260"/>
      <c r="P6" s="2260"/>
      <c r="Q6" s="2359" t="s">
        <v>922</v>
      </c>
      <c r="S6" s="2260"/>
      <c r="T6" s="2260"/>
      <c r="U6" s="2260"/>
      <c r="V6" s="2260"/>
      <c r="W6" s="2260"/>
      <c r="X6" s="2260"/>
      <c r="Y6" s="2260"/>
      <c r="Z6" s="2260"/>
      <c r="AA6" s="2260"/>
      <c r="AB6" s="2260"/>
      <c r="AC6" s="2260"/>
      <c r="AD6" s="2260"/>
      <c r="AE6" s="2260"/>
      <c r="AF6" s="2260"/>
      <c r="AG6" s="2260"/>
      <c r="AH6" s="2260"/>
      <c r="AI6" s="2260"/>
    </row>
    <row r="7" spans="1:35" ht="13" x14ac:dyDescent="0.3">
      <c r="A7" s="2252"/>
      <c r="B7" s="1092"/>
      <c r="C7" s="1099"/>
      <c r="D7" s="1094"/>
      <c r="E7" s="1094"/>
      <c r="F7" s="1094"/>
      <c r="G7" s="1094"/>
      <c r="H7" s="1094"/>
      <c r="I7" s="1094"/>
      <c r="J7" s="1100" t="s">
        <v>912</v>
      </c>
      <c r="K7" s="1102"/>
      <c r="L7" s="1094"/>
      <c r="M7" s="1095"/>
      <c r="N7" s="2260"/>
      <c r="O7" s="2260"/>
      <c r="P7" s="2260"/>
      <c r="Q7" s="1084" t="str">
        <f>IF(Q6="open","^ Hide the Improvement Certs","&lt; Show the Improvement Certs")</f>
        <v>&lt; Show the Improvement Certs</v>
      </c>
      <c r="S7" s="2260"/>
      <c r="T7" s="2260"/>
      <c r="U7" s="2260"/>
      <c r="V7" s="2260"/>
      <c r="W7" s="2260"/>
      <c r="X7" s="2260"/>
      <c r="Y7" s="2260"/>
      <c r="Z7" s="2260"/>
      <c r="AA7" s="2260"/>
      <c r="AB7" s="2260"/>
      <c r="AC7" s="2260"/>
      <c r="AD7" s="2260"/>
      <c r="AE7" s="2260"/>
      <c r="AF7" s="2260"/>
      <c r="AG7" s="2260"/>
      <c r="AH7" s="2260"/>
      <c r="AI7" s="2260"/>
    </row>
    <row r="8" spans="1:35" ht="13" x14ac:dyDescent="0.3">
      <c r="A8" s="2251"/>
      <c r="B8" s="1092"/>
      <c r="C8" s="1100" t="s">
        <v>913</v>
      </c>
      <c r="D8" s="1094"/>
      <c r="E8" s="1094" t="str">
        <f>IF(details!D5="","Please Complete the Details Page",details!D5)</f>
        <v>Please Complete the Details Page</v>
      </c>
      <c r="F8" s="1094"/>
      <c r="G8" s="1094"/>
      <c r="H8" s="1094"/>
      <c r="I8" s="1094"/>
      <c r="J8" s="1100" t="s">
        <v>1275</v>
      </c>
      <c r="K8" s="1103">
        <f ca="1">TODAY()</f>
        <v>46155</v>
      </c>
      <c r="L8" s="1094"/>
      <c r="M8" s="1095"/>
      <c r="N8" s="2260"/>
      <c r="O8" s="2260"/>
      <c r="P8" s="2260"/>
      <c r="S8" s="2260"/>
      <c r="T8" s="2260"/>
      <c r="U8" s="2260"/>
      <c r="V8" s="2260"/>
      <c r="W8" s="2260"/>
      <c r="X8" s="2260"/>
      <c r="Y8" s="2260"/>
      <c r="Z8" s="2260"/>
      <c r="AA8" s="2260"/>
      <c r="AB8" s="2260"/>
      <c r="AC8" s="2260"/>
      <c r="AD8" s="2260"/>
      <c r="AE8" s="2260"/>
      <c r="AF8" s="2260"/>
      <c r="AG8" s="2260"/>
      <c r="AH8" s="2260"/>
      <c r="AI8" s="2260"/>
    </row>
    <row r="9" spans="1:35" x14ac:dyDescent="0.25">
      <c r="A9" s="2251"/>
      <c r="B9" s="1092"/>
      <c r="C9" s="1104"/>
      <c r="D9" s="1105"/>
      <c r="E9" s="1105"/>
      <c r="F9" s="1105"/>
      <c r="G9" s="1105"/>
      <c r="H9" s="1105"/>
      <c r="I9" s="1105"/>
      <c r="J9" s="1105"/>
      <c r="K9" s="1105"/>
      <c r="L9" s="1105"/>
      <c r="M9" s="1095"/>
      <c r="N9" s="2260"/>
      <c r="O9" s="2260"/>
      <c r="P9" s="2260"/>
      <c r="S9" s="2260"/>
      <c r="T9" s="2260"/>
      <c r="U9" s="2260"/>
      <c r="V9" s="2260"/>
      <c r="W9" s="2260"/>
      <c r="X9" s="2260"/>
      <c r="Y9" s="2260"/>
      <c r="Z9" s="2260"/>
      <c r="AA9" s="2260"/>
      <c r="AB9" s="2260"/>
      <c r="AC9" s="2260"/>
      <c r="AD9" s="2260"/>
      <c r="AE9" s="2260"/>
      <c r="AF9" s="2260"/>
      <c r="AG9" s="2260"/>
      <c r="AH9" s="2260"/>
      <c r="AI9" s="2260"/>
    </row>
    <row r="10" spans="1:35" ht="13" x14ac:dyDescent="0.3">
      <c r="A10" s="2251"/>
      <c r="B10" s="1092"/>
      <c r="C10" s="1106" t="str">
        <f>IF(details!D7="","Please Complete the Details Page",details!D7)</f>
        <v>Please Complete the Details Page</v>
      </c>
      <c r="D10" s="1094"/>
      <c r="E10" s="1094"/>
      <c r="F10" s="1094"/>
      <c r="G10" s="1094"/>
      <c r="H10" s="1094"/>
      <c r="I10" s="1094"/>
      <c r="J10" s="1094"/>
      <c r="K10" s="1094"/>
      <c r="L10" s="1094"/>
      <c r="M10" s="1095"/>
      <c r="N10" s="2260"/>
      <c r="O10" s="2260"/>
      <c r="P10" s="2260"/>
      <c r="S10" s="2260"/>
      <c r="T10" s="2260"/>
      <c r="U10" s="2260"/>
      <c r="V10" s="2260"/>
      <c r="W10" s="2260"/>
      <c r="X10" s="2260"/>
      <c r="Y10" s="2260"/>
      <c r="Z10" s="2260"/>
      <c r="AA10" s="2260"/>
      <c r="AB10" s="2260"/>
      <c r="AC10" s="2260"/>
      <c r="AD10" s="2260"/>
      <c r="AE10" s="2260"/>
      <c r="AF10" s="2260"/>
      <c r="AG10" s="2260"/>
      <c r="AH10" s="2260"/>
      <c r="AI10" s="2260"/>
    </row>
    <row r="11" spans="1:35" ht="13" x14ac:dyDescent="0.3">
      <c r="A11" s="2251"/>
      <c r="B11" s="1092"/>
      <c r="C11" s="1106" t="str">
        <f>IF(details!D8="","Please Complete the Details Page",details!D8)</f>
        <v>Please Complete the Details Page</v>
      </c>
      <c r="D11" s="1094"/>
      <c r="E11" s="1094"/>
      <c r="F11" s="1094"/>
      <c r="G11" s="1094"/>
      <c r="H11" s="1094"/>
      <c r="I11" s="1094"/>
      <c r="J11" s="1094"/>
      <c r="K11" s="1094"/>
      <c r="L11" s="1094"/>
      <c r="M11" s="1095"/>
      <c r="N11" s="2260"/>
      <c r="O11" s="2260"/>
      <c r="P11" s="2260"/>
      <c r="S11" s="2260"/>
      <c r="T11" s="2260"/>
      <c r="U11" s="2260"/>
      <c r="V11" s="2260"/>
      <c r="W11" s="2260"/>
      <c r="X11" s="2260"/>
      <c r="Y11" s="2260"/>
      <c r="Z11" s="2260"/>
      <c r="AA11" s="2260"/>
      <c r="AB11" s="2260"/>
      <c r="AC11" s="2260"/>
      <c r="AD11" s="2260"/>
      <c r="AE11" s="2260"/>
      <c r="AF11" s="2260"/>
      <c r="AG11" s="2260"/>
      <c r="AH11" s="2260"/>
      <c r="AI11" s="2260"/>
    </row>
    <row r="12" spans="1:35" ht="13" x14ac:dyDescent="0.3">
      <c r="A12" s="2253"/>
      <c r="B12" s="1092"/>
      <c r="C12" s="1108" t="str">
        <f>IF(details!D9="","Please Complete the Details Page",details!D9&amp;", "&amp;details!D10)</f>
        <v>Please Complete the Details Page</v>
      </c>
      <c r="D12" s="1105"/>
      <c r="E12" s="1105"/>
      <c r="F12" s="1105"/>
      <c r="G12" s="1105"/>
      <c r="H12" s="1105"/>
      <c r="I12" s="1105"/>
      <c r="J12" s="1105"/>
      <c r="K12" s="1105"/>
      <c r="L12" s="1105"/>
      <c r="M12" s="1095"/>
      <c r="N12" s="2260"/>
      <c r="O12" s="2260"/>
      <c r="P12" s="2260"/>
      <c r="S12" s="2269" t="str">
        <f>IF(C5="","","clear &gt;")</f>
        <v/>
      </c>
      <c r="T12" s="2260"/>
      <c r="U12" s="2260"/>
      <c r="V12" s="2260"/>
      <c r="W12" s="2260"/>
      <c r="X12" s="2260"/>
      <c r="Y12" s="2260"/>
      <c r="Z12" s="2260"/>
      <c r="AA12" s="2260"/>
      <c r="AB12" s="2260"/>
      <c r="AC12" s="2260"/>
      <c r="AD12" s="2260"/>
      <c r="AE12" s="2260"/>
      <c r="AF12" s="2260"/>
      <c r="AG12" s="2260"/>
      <c r="AH12" s="2260"/>
      <c r="AI12" s="2260"/>
    </row>
    <row r="13" spans="1:35" ht="13" x14ac:dyDescent="0.3">
      <c r="A13" s="2253"/>
      <c r="B13" s="1092"/>
      <c r="C13" s="1106"/>
      <c r="D13" s="1094"/>
      <c r="E13" s="1094"/>
      <c r="F13" s="1094"/>
      <c r="G13" s="1094"/>
      <c r="H13" s="1094"/>
      <c r="I13" s="1094"/>
      <c r="J13" s="1094"/>
      <c r="K13" s="1094"/>
      <c r="L13" s="1094"/>
      <c r="M13" s="1095"/>
      <c r="N13" s="2260"/>
      <c r="O13" s="2260"/>
      <c r="P13" s="2260"/>
      <c r="S13" s="2269"/>
      <c r="T13" s="2260"/>
      <c r="U13" s="2260"/>
      <c r="V13" s="2260"/>
      <c r="W13" s="2260"/>
      <c r="X13" s="2260"/>
      <c r="Y13" s="2260"/>
      <c r="Z13" s="2260"/>
      <c r="AA13" s="2260"/>
      <c r="AB13" s="2260"/>
      <c r="AC13" s="2260"/>
      <c r="AD13" s="2260"/>
      <c r="AE13" s="2260"/>
      <c r="AF13" s="2260"/>
      <c r="AG13" s="2260"/>
      <c r="AH13" s="2260"/>
      <c r="AI13" s="2260"/>
    </row>
    <row r="14" spans="1:35" hidden="1" x14ac:dyDescent="0.25">
      <c r="A14" s="2254"/>
      <c r="B14" s="1092"/>
      <c r="C14" s="1111"/>
      <c r="D14" s="1112"/>
      <c r="E14" s="1113" t="str">
        <f>IF(advanced!I41&lt;&gt;"",text!E54&amp;" cert","")</f>
        <v/>
      </c>
      <c r="F14" s="1114" t="str">
        <f>IF(advanced!I41&lt;&gt;"",advanced!I41,"")</f>
        <v/>
      </c>
      <c r="H14" s="1112"/>
      <c r="I14" s="1116" t="str">
        <f>IF(advanced!M41&lt;&gt;"",text!E54&amp;" cert","")</f>
        <v/>
      </c>
      <c r="J14" s="1117" t="str">
        <f>IF(advanced!M41&lt;&gt;"",advanced!M41,"")</f>
        <v/>
      </c>
      <c r="L14" s="1094"/>
      <c r="M14" s="1095"/>
      <c r="N14" s="2260"/>
      <c r="O14" s="2260"/>
      <c r="P14" s="2260"/>
      <c r="S14" s="2260"/>
      <c r="T14" s="2260"/>
      <c r="U14" s="2260"/>
      <c r="V14" s="2260"/>
      <c r="W14" s="2260"/>
      <c r="X14" s="2260"/>
      <c r="Y14" s="2260"/>
      <c r="Z14" s="2260"/>
      <c r="AA14" s="2260"/>
      <c r="AB14" s="2260"/>
      <c r="AC14" s="2260"/>
      <c r="AD14" s="2260"/>
      <c r="AE14" s="2260"/>
      <c r="AF14" s="2260"/>
      <c r="AG14" s="2260"/>
      <c r="AH14" s="2260"/>
      <c r="AI14" s="2260"/>
    </row>
    <row r="15" spans="1:35" hidden="1" x14ac:dyDescent="0.25">
      <c r="A15" s="2254"/>
      <c r="B15" s="1092"/>
      <c r="C15" s="1111"/>
      <c r="D15" s="1112"/>
      <c r="E15" s="1113" t="str">
        <f>IF(F15&lt;&gt;"","has effect","")</f>
        <v/>
      </c>
      <c r="F15" s="1119" t="str">
        <f>IF(advanced!I41&lt;&gt;"",advanced!I45,"")</f>
        <v/>
      </c>
      <c r="G15" s="1120"/>
      <c r="H15" s="1112"/>
      <c r="I15" s="1116" t="str">
        <f>IF(J15&lt;&gt;"","has effect","")</f>
        <v/>
      </c>
      <c r="J15" s="1121" t="str">
        <f>IF(advanced!M41&lt;&gt;"",advanced!M45,"")</f>
        <v/>
      </c>
      <c r="K15" s="1122"/>
      <c r="L15" s="1094"/>
      <c r="M15" s="1095"/>
      <c r="N15" s="2260"/>
      <c r="O15" s="2260"/>
      <c r="P15" s="2260"/>
      <c r="S15" s="2260"/>
      <c r="T15" s="2260"/>
      <c r="U15" s="2260"/>
      <c r="V15" s="2260"/>
      <c r="W15" s="2260"/>
      <c r="X15" s="2260"/>
      <c r="Y15" s="2260"/>
      <c r="Z15" s="2260"/>
      <c r="AA15" s="2260"/>
      <c r="AB15" s="2260"/>
      <c r="AC15" s="2260"/>
      <c r="AD15" s="2260"/>
      <c r="AE15" s="2260"/>
      <c r="AF15" s="2260"/>
      <c r="AG15" s="2260"/>
      <c r="AH15" s="2260"/>
      <c r="AI15" s="2260"/>
    </row>
    <row r="16" spans="1:35" hidden="1" x14ac:dyDescent="0.25">
      <c r="A16" s="2254"/>
      <c r="B16" s="1092"/>
      <c r="C16" s="1111"/>
      <c r="D16" s="1112"/>
      <c r="E16" s="1113" t="str">
        <f>IF(advanced!I36&lt;&gt;"",text!E52&amp;" cert","")</f>
        <v/>
      </c>
      <c r="F16" s="1123" t="str">
        <f>IF(advanced!I36&lt;&gt;"",advanced!I36,"")</f>
        <v/>
      </c>
      <c r="G16" s="1120"/>
      <c r="H16" s="1112"/>
      <c r="I16" s="1113" t="str">
        <f>IF(advanced!M36&lt;&gt;"",text!E52&amp;" cert","")</f>
        <v/>
      </c>
      <c r="J16" s="1124" t="str">
        <f>IF(advanced!M36&lt;&gt;"",advanced!M36,"")</f>
        <v/>
      </c>
      <c r="K16" s="1122"/>
      <c r="L16" s="1094"/>
      <c r="M16" s="1095"/>
      <c r="N16" s="2260"/>
      <c r="O16" s="2260"/>
      <c r="P16" s="2260"/>
      <c r="S16" s="2260"/>
      <c r="T16" s="2260"/>
      <c r="U16" s="2260"/>
      <c r="V16" s="2260"/>
      <c r="W16" s="2260"/>
      <c r="X16" s="2260"/>
      <c r="Y16" s="2260"/>
      <c r="Z16" s="2260"/>
      <c r="AA16" s="2260"/>
      <c r="AB16" s="2260"/>
      <c r="AC16" s="2260"/>
      <c r="AD16" s="2260"/>
      <c r="AE16" s="2260"/>
      <c r="AF16" s="2260"/>
      <c r="AG16" s="2260"/>
      <c r="AH16" s="2260"/>
      <c r="AI16" s="2260"/>
    </row>
    <row r="17" spans="1:35" hidden="1" x14ac:dyDescent="0.25">
      <c r="A17" s="2254"/>
      <c r="B17" s="1092"/>
      <c r="C17" s="1111"/>
      <c r="D17" s="1112"/>
      <c r="E17" s="1113" t="str">
        <f>IF(F17&lt;&gt;"","has effect","")</f>
        <v/>
      </c>
      <c r="F17" s="1125" t="str">
        <f>IF(advanced!I36&lt;&gt;"",advanced!I37,"")</f>
        <v/>
      </c>
      <c r="G17" s="1120"/>
      <c r="H17" s="1112"/>
      <c r="I17" s="1116" t="str">
        <f>IF(J17&lt;&gt;"","has effect","")</f>
        <v/>
      </c>
      <c r="J17" s="1126" t="str">
        <f>IF(advanced!M36&lt;&gt;"",advanced!M37,"")</f>
        <v/>
      </c>
      <c r="K17" s="1122"/>
      <c r="L17" s="1094"/>
      <c r="M17" s="1095"/>
      <c r="N17" s="2260"/>
      <c r="O17" s="2260"/>
      <c r="P17" s="2260"/>
      <c r="S17" s="2260"/>
      <c r="T17" s="2260"/>
      <c r="U17" s="2260"/>
      <c r="V17" s="2260"/>
      <c r="W17" s="2260"/>
      <c r="X17" s="2260"/>
      <c r="Y17" s="2260"/>
      <c r="Z17" s="2260"/>
      <c r="AA17" s="2260"/>
      <c r="AB17" s="2260"/>
      <c r="AC17" s="2260"/>
      <c r="AD17" s="2260"/>
      <c r="AE17" s="2260"/>
      <c r="AF17" s="2260"/>
      <c r="AG17" s="2260"/>
      <c r="AH17" s="2260"/>
      <c r="AI17" s="2260"/>
    </row>
    <row r="18" spans="1:35" ht="13" x14ac:dyDescent="0.3">
      <c r="A18" s="2254"/>
      <c r="B18" s="1092"/>
      <c r="C18" s="1111"/>
      <c r="D18" s="1112"/>
      <c r="E18" s="1113"/>
      <c r="F18" s="1128"/>
      <c r="G18" s="1120"/>
      <c r="H18" s="1112"/>
      <c r="I18" s="1129"/>
      <c r="J18" s="1130"/>
      <c r="K18" s="1122"/>
      <c r="L18" s="1094"/>
      <c r="M18" s="1095"/>
      <c r="N18" s="2260"/>
      <c r="O18" s="2260"/>
      <c r="P18" s="2260"/>
      <c r="S18" s="2260"/>
      <c r="T18" s="2260"/>
      <c r="U18" s="2260"/>
      <c r="V18" s="2260"/>
      <c r="W18" s="2260"/>
      <c r="X18" s="2260"/>
      <c r="Y18" s="2260"/>
      <c r="Z18" s="2260"/>
      <c r="AA18" s="2260"/>
      <c r="AB18" s="2260"/>
      <c r="AC18" s="2260"/>
      <c r="AD18" s="2260"/>
      <c r="AE18" s="2260"/>
      <c r="AF18" s="2260"/>
      <c r="AG18" s="2260"/>
      <c r="AH18" s="2260"/>
      <c r="AI18" s="2260"/>
    </row>
    <row r="19" spans="1:35" x14ac:dyDescent="0.25">
      <c r="A19" s="2255"/>
      <c r="B19" s="1092"/>
      <c r="C19" s="1094"/>
      <c r="D19" s="1094"/>
      <c r="E19" s="1132" t="str">
        <f>"RV "&amp;text!E54</f>
        <v>RV 31/03/23</v>
      </c>
      <c r="F19" s="1133">
        <f>advanced!I9</f>
        <v>0</v>
      </c>
      <c r="G19" s="1134"/>
      <c r="H19" s="1094"/>
      <c r="I19" s="1132" t="str">
        <f>E19</f>
        <v>RV 31/03/23</v>
      </c>
      <c r="J19" s="1133">
        <f>advanced!M9</f>
        <v>0</v>
      </c>
      <c r="K19" s="1136"/>
      <c r="L19" s="1094"/>
      <c r="M19" s="1095"/>
      <c r="N19" s="2260"/>
      <c r="O19" s="2260"/>
      <c r="P19" s="2260"/>
      <c r="S19" s="2260"/>
      <c r="T19" s="2260"/>
      <c r="U19" s="2260"/>
      <c r="V19" s="2260"/>
      <c r="W19" s="2260"/>
      <c r="X19" s="2260"/>
      <c r="Y19" s="2260"/>
      <c r="Z19" s="2260"/>
      <c r="AA19" s="2260"/>
      <c r="AB19" s="2260"/>
      <c r="AC19" s="2260"/>
      <c r="AD19" s="2260"/>
      <c r="AE19" s="2260"/>
      <c r="AF19" s="2260"/>
      <c r="AG19" s="2260"/>
      <c r="AH19" s="2260"/>
      <c r="AI19" s="2260"/>
    </row>
    <row r="20" spans="1:35" x14ac:dyDescent="0.25">
      <c r="A20" s="2255"/>
      <c r="B20" s="1092"/>
      <c r="C20" s="1094"/>
      <c r="D20" s="1094"/>
      <c r="E20" s="1094" t="s">
        <v>914</v>
      </c>
      <c r="F20" s="1137">
        <f>advanced!I13</f>
        <v>0</v>
      </c>
      <c r="G20" s="1094"/>
      <c r="H20" s="1094"/>
      <c r="I20" s="1094" t="str">
        <f>E20</f>
        <v>BL</v>
      </c>
      <c r="J20" s="1137">
        <f>advanced!M13</f>
        <v>0</v>
      </c>
      <c r="K20" s="1094"/>
      <c r="L20" s="1094"/>
      <c r="M20" s="1095"/>
      <c r="N20" s="2260"/>
      <c r="O20" s="2260"/>
      <c r="P20" s="2260"/>
      <c r="S20" s="2260"/>
      <c r="T20" s="2260"/>
      <c r="U20" s="2260"/>
      <c r="V20" s="2260"/>
      <c r="W20" s="2260"/>
      <c r="X20" s="2260"/>
      <c r="Y20" s="2260"/>
      <c r="Z20" s="2260"/>
      <c r="AA20" s="2260"/>
      <c r="AB20" s="2260"/>
      <c r="AC20" s="2260"/>
      <c r="AD20" s="2260"/>
      <c r="AE20" s="2260"/>
      <c r="AF20" s="2260"/>
      <c r="AG20" s="2260"/>
      <c r="AH20" s="2260"/>
      <c r="AI20" s="2260"/>
    </row>
    <row r="21" spans="1:35" ht="13" x14ac:dyDescent="0.3">
      <c r="A21" s="2256"/>
      <c r="B21" s="1092"/>
      <c r="C21" s="1139"/>
      <c r="D21" s="1094"/>
      <c r="E21" s="1094" t="s">
        <v>272</v>
      </c>
      <c r="F21" s="1140">
        <f>advanced!I10</f>
        <v>0</v>
      </c>
      <c r="G21" s="1094"/>
      <c r="H21" s="1094"/>
      <c r="I21" s="1094" t="str">
        <f>E21</f>
        <v>RV</v>
      </c>
      <c r="J21" s="1140">
        <f>advanced!M10</f>
        <v>0</v>
      </c>
      <c r="K21" s="1141"/>
      <c r="L21" s="1094"/>
      <c r="M21" s="1095"/>
      <c r="N21" s="2260"/>
      <c r="O21" s="2260"/>
      <c r="P21" s="2260"/>
      <c r="S21" s="2260"/>
      <c r="T21" s="2260"/>
      <c r="U21" s="2260"/>
      <c r="V21" s="2260"/>
      <c r="W21" s="2260"/>
      <c r="X21" s="2260"/>
      <c r="Y21" s="2260"/>
      <c r="Z21" s="2260"/>
      <c r="AA21" s="2260"/>
      <c r="AB21" s="2260"/>
      <c r="AC21" s="2260"/>
      <c r="AD21" s="2260"/>
      <c r="AE21" s="2260"/>
      <c r="AF21" s="2260"/>
      <c r="AG21" s="2260"/>
      <c r="AH21" s="2260"/>
      <c r="AI21" s="2260"/>
    </row>
    <row r="22" spans="1:35" x14ac:dyDescent="0.25">
      <c r="A22" s="2257"/>
      <c r="B22" s="1092"/>
      <c r="C22" s="1094"/>
      <c r="D22" s="1094"/>
      <c r="E22" s="1094" t="s">
        <v>915</v>
      </c>
      <c r="F22" s="1143">
        <f>advanced!I11</f>
        <v>1</v>
      </c>
      <c r="G22" s="1144"/>
      <c r="H22" s="1094"/>
      <c r="I22" s="1145" t="str">
        <f>E22</f>
        <v>% Payable</v>
      </c>
      <c r="J22" s="1143">
        <f>advanced!M11</f>
        <v>1</v>
      </c>
      <c r="K22" s="1144"/>
      <c r="L22" s="1094"/>
      <c r="M22" s="1095"/>
      <c r="N22" s="2260"/>
      <c r="O22" s="2260"/>
      <c r="P22" s="2260"/>
      <c r="S22" s="2260"/>
      <c r="T22" s="2260"/>
      <c r="U22" s="2260"/>
      <c r="V22" s="2260"/>
      <c r="W22" s="2260"/>
      <c r="X22" s="2260"/>
      <c r="Y22" s="2260"/>
      <c r="Z22" s="2260"/>
      <c r="AA22" s="2260"/>
      <c r="AB22" s="2260"/>
      <c r="AC22" s="2260"/>
      <c r="AD22" s="2260"/>
      <c r="AE22" s="2260"/>
      <c r="AF22" s="2260"/>
      <c r="AG22" s="2260"/>
      <c r="AH22" s="2260"/>
      <c r="AI22" s="2260"/>
    </row>
    <row r="23" spans="1:35" x14ac:dyDescent="0.25">
      <c r="A23" s="2257"/>
      <c r="B23" s="1092"/>
      <c r="C23" s="1146"/>
      <c r="D23" s="1147"/>
      <c r="E23" s="1147"/>
      <c r="F23" s="1148"/>
      <c r="G23" s="1149"/>
      <c r="H23" s="1147"/>
      <c r="I23" s="1151"/>
      <c r="J23" s="1152"/>
      <c r="K23" s="1153"/>
      <c r="L23" s="1154"/>
      <c r="M23" s="1095"/>
      <c r="N23" s="2260"/>
      <c r="O23" s="2260"/>
      <c r="P23" s="2260"/>
      <c r="S23" s="2260"/>
      <c r="T23" s="2260"/>
      <c r="U23" s="2260"/>
      <c r="V23" s="2260"/>
      <c r="W23" s="2260"/>
      <c r="X23" s="2260"/>
      <c r="Y23" s="2260"/>
      <c r="Z23" s="2260"/>
      <c r="AA23" s="2260"/>
      <c r="AB23" s="2260"/>
      <c r="AC23" s="2260"/>
      <c r="AD23" s="2260"/>
      <c r="AE23" s="2260"/>
      <c r="AF23" s="2260"/>
      <c r="AG23" s="2260"/>
      <c r="AH23" s="2260"/>
      <c r="AI23" s="2260"/>
    </row>
    <row r="24" spans="1:35" ht="13" hidden="1" x14ac:dyDescent="0.3">
      <c r="A24" s="2257"/>
      <c r="B24" s="1092"/>
      <c r="C24" s="1139" t="s">
        <v>2829</v>
      </c>
      <c r="D24" s="1112"/>
      <c r="E24" s="1112"/>
      <c r="F24" s="2339"/>
      <c r="G24" s="2340"/>
      <c r="H24" s="1112"/>
      <c r="I24" s="1139" t="s">
        <v>2829</v>
      </c>
      <c r="J24" s="2341"/>
      <c r="K24" s="2342"/>
      <c r="L24" s="2343"/>
      <c r="M24" s="1095"/>
      <c r="N24" s="2260"/>
      <c r="O24" s="2260"/>
      <c r="P24" s="2260"/>
      <c r="S24" s="2260"/>
      <c r="T24" s="2260"/>
      <c r="U24" s="2260"/>
      <c r="V24" s="2260"/>
      <c r="W24" s="2260"/>
      <c r="X24" s="2260"/>
      <c r="Y24" s="2260"/>
      <c r="Z24" s="2260"/>
      <c r="AA24" s="2260"/>
      <c r="AB24" s="2260"/>
      <c r="AC24" s="2260"/>
      <c r="AD24" s="2260"/>
      <c r="AE24" s="2260"/>
      <c r="AF24" s="2260"/>
      <c r="AG24" s="2260"/>
      <c r="AH24" s="2260"/>
      <c r="AI24" s="2260"/>
    </row>
    <row r="25" spans="1:35" hidden="1" x14ac:dyDescent="0.25">
      <c r="A25" s="2257"/>
      <c r="B25" s="1092"/>
      <c r="C25" s="1111"/>
      <c r="D25" s="1112"/>
      <c r="E25" s="1112"/>
      <c r="F25" s="2339"/>
      <c r="G25" s="2340"/>
      <c r="H25" s="1112"/>
      <c r="I25" s="1129"/>
      <c r="J25" s="2341"/>
      <c r="K25" s="2342"/>
      <c r="L25" s="2343"/>
      <c r="M25" s="1095"/>
      <c r="N25" s="2260"/>
      <c r="O25" s="2260"/>
      <c r="P25" s="2260"/>
      <c r="S25" s="2260"/>
      <c r="T25" s="2260"/>
      <c r="U25" s="2260"/>
      <c r="V25" s="2260"/>
      <c r="W25" s="2260"/>
      <c r="X25" s="2260"/>
      <c r="Y25" s="2260"/>
      <c r="Z25" s="2260"/>
      <c r="AA25" s="2260"/>
      <c r="AB25" s="2260"/>
      <c r="AC25" s="2260"/>
      <c r="AD25" s="2260"/>
      <c r="AE25" s="2260"/>
      <c r="AF25" s="2260"/>
      <c r="AG25" s="2260"/>
      <c r="AH25" s="2260"/>
      <c r="AI25" s="2260"/>
    </row>
    <row r="26" spans="1:35" ht="13" hidden="1" x14ac:dyDescent="0.3">
      <c r="A26" s="2257"/>
      <c r="B26" s="1092"/>
      <c r="C26" s="2352" t="s">
        <v>342</v>
      </c>
      <c r="D26" s="1176"/>
      <c r="E26" s="2351" t="s">
        <v>343</v>
      </c>
      <c r="F26" s="2350" t="s">
        <v>2861</v>
      </c>
      <c r="G26" s="2348"/>
      <c r="H26" s="1132"/>
      <c r="I26" s="2352" t="s">
        <v>342</v>
      </c>
      <c r="J26" s="2351" t="s">
        <v>343</v>
      </c>
      <c r="K26" s="2350" t="s">
        <v>2861</v>
      </c>
      <c r="M26" s="1095"/>
      <c r="N26" s="2260"/>
      <c r="O26" s="2260"/>
      <c r="P26" s="2260"/>
      <c r="S26" s="2260"/>
      <c r="T26" s="2260"/>
      <c r="U26" s="2260"/>
      <c r="V26" s="2260"/>
      <c r="W26" s="2260"/>
      <c r="X26" s="2260"/>
      <c r="Y26" s="2260"/>
      <c r="Z26" s="2260"/>
      <c r="AA26" s="2260"/>
      <c r="AB26" s="2260"/>
      <c r="AC26" s="2260"/>
      <c r="AD26" s="2260"/>
      <c r="AE26" s="2260"/>
      <c r="AF26" s="2260"/>
      <c r="AG26" s="2260"/>
      <c r="AH26" s="2260"/>
      <c r="AI26" s="2260"/>
    </row>
    <row r="27" spans="1:35" hidden="1" x14ac:dyDescent="0.25">
      <c r="A27" s="2257"/>
      <c r="B27" s="1092"/>
      <c r="C27" s="2356" t="s">
        <v>836</v>
      </c>
      <c r="D27" s="2357"/>
      <c r="E27" s="2355" t="s">
        <v>836</v>
      </c>
      <c r="F27" s="1133" t="s">
        <v>836</v>
      </c>
      <c r="G27" s="2348"/>
      <c r="H27" s="1132"/>
      <c r="I27" s="2354" t="s">
        <v>2862</v>
      </c>
      <c r="J27" s="2355">
        <v>45747</v>
      </c>
      <c r="K27" s="1133">
        <v>4000</v>
      </c>
      <c r="M27" s="1095"/>
      <c r="N27" s="2260"/>
      <c r="O27" s="2260"/>
      <c r="P27" s="2260"/>
      <c r="S27" s="2260"/>
      <c r="T27" s="2260"/>
      <c r="U27" s="2260"/>
      <c r="V27" s="2260"/>
      <c r="W27" s="2260"/>
      <c r="X27" s="2260"/>
      <c r="Y27" s="2260"/>
      <c r="Z27" s="2260"/>
      <c r="AA27" s="2260"/>
      <c r="AB27" s="2260"/>
      <c r="AC27" s="2260"/>
      <c r="AD27" s="2260"/>
      <c r="AE27" s="2260"/>
      <c r="AF27" s="2260"/>
      <c r="AG27" s="2260"/>
      <c r="AH27" s="2260"/>
      <c r="AI27" s="2260"/>
    </row>
    <row r="28" spans="1:35" hidden="1" x14ac:dyDescent="0.25">
      <c r="A28" s="2257"/>
      <c r="B28" s="1092"/>
      <c r="C28" s="2356" t="s">
        <v>836</v>
      </c>
      <c r="D28" s="2357"/>
      <c r="E28" s="2355" t="s">
        <v>836</v>
      </c>
      <c r="F28" s="1133" t="s">
        <v>836</v>
      </c>
      <c r="G28" s="2348"/>
      <c r="H28" s="1132"/>
      <c r="I28" s="2354" t="s">
        <v>836</v>
      </c>
      <c r="J28" s="2355" t="s">
        <v>836</v>
      </c>
      <c r="K28" s="1133" t="s">
        <v>836</v>
      </c>
      <c r="L28" s="2347" t="s">
        <v>836</v>
      </c>
      <c r="M28" s="1095"/>
      <c r="N28" s="2260"/>
      <c r="O28" s="2260"/>
      <c r="P28" s="2260"/>
      <c r="S28" s="2260"/>
      <c r="T28" s="2260"/>
      <c r="U28" s="2260"/>
      <c r="V28" s="2260"/>
      <c r="W28" s="2260"/>
      <c r="X28" s="2260"/>
      <c r="Y28" s="2260"/>
      <c r="Z28" s="2260"/>
      <c r="AA28" s="2260"/>
      <c r="AB28" s="2260"/>
      <c r="AC28" s="2260"/>
      <c r="AD28" s="2260"/>
      <c r="AE28" s="2260"/>
      <c r="AF28" s="2260"/>
      <c r="AG28" s="2260"/>
      <c r="AH28" s="2260"/>
      <c r="AI28" s="2260"/>
    </row>
    <row r="29" spans="1:35" hidden="1" x14ac:dyDescent="0.25">
      <c r="A29" s="2257"/>
      <c r="B29" s="1092"/>
      <c r="C29" s="2356" t="s">
        <v>836</v>
      </c>
      <c r="D29" s="2357"/>
      <c r="E29" s="2355" t="s">
        <v>836</v>
      </c>
      <c r="F29" s="1133" t="s">
        <v>836</v>
      </c>
      <c r="G29" s="2348"/>
      <c r="H29" s="1132"/>
      <c r="I29" s="2354" t="s">
        <v>836</v>
      </c>
      <c r="J29" s="2355" t="s">
        <v>836</v>
      </c>
      <c r="K29" s="1133" t="s">
        <v>836</v>
      </c>
      <c r="L29" s="2347" t="s">
        <v>836</v>
      </c>
      <c r="M29" s="1095"/>
      <c r="N29" s="2260"/>
      <c r="O29" s="2260"/>
      <c r="P29" s="2260"/>
      <c r="S29" s="2260"/>
      <c r="T29" s="2260"/>
      <c r="U29" s="2260"/>
      <c r="V29" s="2260"/>
      <c r="W29" s="2260"/>
      <c r="X29" s="2260"/>
      <c r="Y29" s="2260"/>
      <c r="Z29" s="2260"/>
      <c r="AA29" s="2260"/>
      <c r="AB29" s="2260"/>
      <c r="AC29" s="2260"/>
      <c r="AD29" s="2260"/>
      <c r="AE29" s="2260"/>
      <c r="AF29" s="2260"/>
      <c r="AG29" s="2260"/>
      <c r="AH29" s="2260"/>
      <c r="AI29" s="2260"/>
    </row>
    <row r="30" spans="1:35" hidden="1" x14ac:dyDescent="0.25">
      <c r="A30" s="2257"/>
      <c r="B30" s="1092"/>
      <c r="C30" s="2356" t="s">
        <v>836</v>
      </c>
      <c r="D30" s="2357"/>
      <c r="E30" s="2355" t="s">
        <v>836</v>
      </c>
      <c r="F30" s="1133" t="s">
        <v>836</v>
      </c>
      <c r="G30" s="2348"/>
      <c r="H30" s="1132"/>
      <c r="I30" s="2354" t="s">
        <v>836</v>
      </c>
      <c r="J30" s="2355" t="s">
        <v>836</v>
      </c>
      <c r="K30" s="1133" t="s">
        <v>836</v>
      </c>
      <c r="L30" s="2347" t="s">
        <v>836</v>
      </c>
      <c r="M30" s="1095"/>
      <c r="N30" s="2260"/>
      <c r="O30" s="2260"/>
      <c r="P30" s="2260"/>
      <c r="S30" s="2260"/>
      <c r="T30" s="2260"/>
      <c r="U30" s="2260"/>
      <c r="V30" s="2260"/>
      <c r="W30" s="2260"/>
      <c r="X30" s="2260"/>
      <c r="Y30" s="2260"/>
      <c r="Z30" s="2260"/>
      <c r="AA30" s="2260"/>
      <c r="AB30" s="2260"/>
      <c r="AC30" s="2260"/>
      <c r="AD30" s="2260"/>
      <c r="AE30" s="2260"/>
      <c r="AF30" s="2260"/>
      <c r="AG30" s="2260"/>
      <c r="AH30" s="2260"/>
      <c r="AI30" s="2260"/>
    </row>
    <row r="31" spans="1:35" hidden="1" x14ac:dyDescent="0.25">
      <c r="A31" s="2257"/>
      <c r="B31" s="1092"/>
      <c r="C31" s="2356" t="s">
        <v>836</v>
      </c>
      <c r="D31" s="2357"/>
      <c r="E31" s="2355" t="s">
        <v>836</v>
      </c>
      <c r="F31" s="1133" t="s">
        <v>836</v>
      </c>
      <c r="G31" s="2348"/>
      <c r="H31" s="1132"/>
      <c r="I31" s="2354" t="s">
        <v>836</v>
      </c>
      <c r="J31" s="2355" t="s">
        <v>836</v>
      </c>
      <c r="K31" s="1133" t="s">
        <v>836</v>
      </c>
      <c r="L31" s="2347" t="s">
        <v>836</v>
      </c>
      <c r="M31" s="1095"/>
      <c r="N31" s="2260"/>
      <c r="O31" s="2260"/>
      <c r="P31" s="2260"/>
      <c r="S31" s="2260"/>
      <c r="T31" s="2260"/>
      <c r="U31" s="2260"/>
      <c r="V31" s="2260"/>
      <c r="W31" s="2260"/>
      <c r="X31" s="2260"/>
      <c r="Y31" s="2260"/>
      <c r="Z31" s="2260"/>
      <c r="AA31" s="2260"/>
      <c r="AB31" s="2260"/>
      <c r="AC31" s="2260"/>
      <c r="AD31" s="2260"/>
      <c r="AE31" s="2260"/>
      <c r="AF31" s="2260"/>
      <c r="AG31" s="2260"/>
      <c r="AH31" s="2260"/>
      <c r="AI31" s="2260"/>
    </row>
    <row r="32" spans="1:35" hidden="1" x14ac:dyDescent="0.25">
      <c r="A32" s="2257"/>
      <c r="B32" s="1092"/>
      <c r="C32" s="1146"/>
      <c r="D32" s="1147"/>
      <c r="E32" s="1147"/>
      <c r="F32" s="2344"/>
      <c r="G32" s="1149"/>
      <c r="H32" s="1147"/>
      <c r="I32" s="1151"/>
      <c r="J32" s="2345"/>
      <c r="K32" s="1153"/>
      <c r="L32" s="1154"/>
      <c r="M32" s="1095"/>
      <c r="N32" s="2260"/>
      <c r="O32" s="2260"/>
      <c r="P32" s="2260"/>
      <c r="S32" s="2260"/>
      <c r="T32" s="2260"/>
      <c r="U32" s="2260"/>
      <c r="V32" s="2260"/>
      <c r="W32" s="2260"/>
      <c r="X32" s="2260"/>
      <c r="Y32" s="2260"/>
      <c r="Z32" s="2260"/>
      <c r="AA32" s="2260"/>
      <c r="AB32" s="2260"/>
      <c r="AC32" s="2260"/>
      <c r="AD32" s="2260"/>
      <c r="AE32" s="2260"/>
      <c r="AF32" s="2260"/>
      <c r="AG32" s="2260"/>
      <c r="AH32" s="2260"/>
      <c r="AI32" s="2260"/>
    </row>
    <row r="33" spans="1:35" ht="13" x14ac:dyDescent="0.25">
      <c r="A33" s="2258"/>
      <c r="B33" s="1092"/>
      <c r="C33" s="1156" t="str">
        <f>"Alterations effective after "&amp;text!E52&amp;", MCC's or change in % liability basis"</f>
        <v>Alterations effective after 01/04/23, MCC's or change in % liability basis</v>
      </c>
      <c r="D33" s="1094"/>
      <c r="E33" s="1145"/>
      <c r="F33" s="1157"/>
      <c r="G33" s="1094"/>
      <c r="H33" s="1094"/>
      <c r="I33" s="1094"/>
      <c r="J33" s="1145"/>
      <c r="K33" s="1157"/>
      <c r="L33" s="1094"/>
      <c r="M33" s="1095"/>
      <c r="N33" s="2260"/>
      <c r="O33" s="2260"/>
      <c r="P33" s="2260"/>
      <c r="S33" s="2260"/>
      <c r="T33" s="2260"/>
      <c r="U33" s="2260"/>
      <c r="V33" s="2260"/>
      <c r="W33" s="2260"/>
      <c r="X33" s="2260"/>
      <c r="Y33" s="2260"/>
      <c r="Z33" s="2260"/>
      <c r="AA33" s="2260"/>
      <c r="AB33" s="2260"/>
      <c r="AC33" s="2260"/>
      <c r="AD33" s="2260"/>
      <c r="AE33" s="2260"/>
      <c r="AF33" s="2260"/>
      <c r="AG33" s="2260"/>
      <c r="AH33" s="2260"/>
      <c r="AI33" s="2260"/>
    </row>
    <row r="34" spans="1:35" ht="27.75" customHeight="1" x14ac:dyDescent="0.25">
      <c r="A34" s="2259"/>
      <c r="B34" s="1092"/>
      <c r="C34" s="1159" t="s">
        <v>1341</v>
      </c>
      <c r="D34" s="1094"/>
      <c r="E34" s="1160" t="s">
        <v>656</v>
      </c>
      <c r="F34" s="1160" t="s">
        <v>272</v>
      </c>
      <c r="G34" s="1161" t="s">
        <v>916</v>
      </c>
      <c r="H34" s="1094"/>
      <c r="I34" s="1159" t="s">
        <v>1342</v>
      </c>
      <c r="J34" s="1160" t="s">
        <v>656</v>
      </c>
      <c r="K34" s="1160" t="s">
        <v>272</v>
      </c>
      <c r="L34" s="1161" t="s">
        <v>916</v>
      </c>
      <c r="M34" s="1095"/>
      <c r="N34" s="2259"/>
      <c r="O34" s="2260"/>
      <c r="P34" s="2260"/>
      <c r="Q34" s="1084" t="s">
        <v>917</v>
      </c>
      <c r="R34" s="1084" t="s">
        <v>918</v>
      </c>
      <c r="S34" s="2260"/>
      <c r="T34" s="2260"/>
      <c r="U34" s="2260"/>
      <c r="V34" s="2260"/>
      <c r="W34" s="2260"/>
      <c r="X34" s="2260"/>
      <c r="Y34" s="2260"/>
      <c r="Z34" s="2260"/>
      <c r="AA34" s="2260"/>
      <c r="AB34" s="2260"/>
      <c r="AC34" s="2260"/>
      <c r="AD34" s="2260"/>
      <c r="AE34" s="2260"/>
      <c r="AF34" s="2260"/>
      <c r="AG34" s="2260"/>
      <c r="AH34" s="2260"/>
      <c r="AI34" s="2260"/>
    </row>
    <row r="35" spans="1:35" ht="15.9" customHeight="1" x14ac:dyDescent="0.3">
      <c r="A35" s="2260"/>
      <c r="B35" s="1162"/>
      <c r="C35" s="1163" t="str">
        <f>Q35</f>
        <v>Occ</v>
      </c>
      <c r="D35" s="1163"/>
      <c r="E35" s="1164">
        <f>IF(AND(advanced!H69&gt;0,advanced!H69&lt;&gt;""),advanced!H69,"")</f>
        <v>45017</v>
      </c>
      <c r="F35" s="1140">
        <f>IF(advanced!I69&lt;&gt;"",advanced!I69,"")</f>
        <v>0</v>
      </c>
      <c r="G35" s="1143">
        <f>advanced!J69</f>
        <v>1</v>
      </c>
      <c r="H35" s="1094"/>
      <c r="I35" s="1165" t="str">
        <f>"   "&amp;R35</f>
        <v xml:space="preserve">   Occ</v>
      </c>
      <c r="J35" s="1164">
        <f>IF(AND(advanced!M69&gt;0,advanced!M69&lt;&gt;""),advanced!M69,"")</f>
        <v>45017</v>
      </c>
      <c r="K35" s="1140">
        <f>IF(advanced!N69&lt;&gt;"",advanced!N69,"")</f>
        <v>0</v>
      </c>
      <c r="L35" s="1143">
        <f>advanced!O69</f>
        <v>1</v>
      </c>
      <c r="M35" s="1166"/>
      <c r="N35" s="2260"/>
      <c r="O35" s="2260"/>
      <c r="P35" s="2260"/>
      <c r="Q35" s="1084" t="str">
        <f>IF(advanced!K69="n","Occ","Vac")</f>
        <v>Occ</v>
      </c>
      <c r="R35" s="1167" t="str">
        <f>IF(advanced!P69="n","Occ","Vac")</f>
        <v>Occ</v>
      </c>
      <c r="S35" s="2257" t="str">
        <f>IF(AND($K$23&lt;&gt;"",J35=$K$23)," certified","")</f>
        <v/>
      </c>
      <c r="T35" s="2260"/>
      <c r="U35" s="2260"/>
      <c r="V35" s="2260"/>
      <c r="W35" s="2260"/>
      <c r="X35" s="2260"/>
      <c r="Y35" s="2260"/>
      <c r="Z35" s="2260"/>
      <c r="AA35" s="2260"/>
      <c r="AB35" s="2260"/>
      <c r="AC35" s="2260"/>
      <c r="AD35" s="2260"/>
      <c r="AE35" s="2260"/>
      <c r="AF35" s="2260"/>
      <c r="AG35" s="2260"/>
      <c r="AH35" s="2260"/>
      <c r="AI35" s="2260"/>
    </row>
    <row r="36" spans="1:35" ht="15.9" customHeight="1" x14ac:dyDescent="0.3">
      <c r="A36" s="2260"/>
      <c r="B36" s="1162"/>
      <c r="C36" s="1163" t="str">
        <f t="shared" ref="C36:C46" si="0">Q36</f>
        <v>Occ</v>
      </c>
      <c r="D36" s="1165" t="str">
        <f>IF(advanced!AJ70=TRUE,"c","")</f>
        <v/>
      </c>
      <c r="E36" s="1164" t="str">
        <f>IF(AND(advanced!H70&gt;0,advanced!H70&lt;&gt;""),advanced!H70,"")</f>
        <v/>
      </c>
      <c r="F36" s="1140" t="str">
        <f>IF(advanced!I70&lt;&gt;"",advanced!I70,"")</f>
        <v/>
      </c>
      <c r="G36" s="1143">
        <f>advanced!J70</f>
        <v>1</v>
      </c>
      <c r="H36" s="1094"/>
      <c r="I36" s="1165" t="str">
        <f>IF(advanced!AK70=TRUE,"   "&amp;R36&amp;"  c","   "&amp;R36)</f>
        <v xml:space="preserve">   Occ</v>
      </c>
      <c r="J36" s="1164" t="str">
        <f>IF(AND(advanced!M70&gt;0,advanced!M70&lt;&gt;""),advanced!M70,"")</f>
        <v/>
      </c>
      <c r="K36" s="1140" t="str">
        <f>IF(advanced!N70&lt;&gt;"",advanced!N70,"")</f>
        <v/>
      </c>
      <c r="L36" s="1143">
        <f>advanced!O70</f>
        <v>1</v>
      </c>
      <c r="M36" s="1166"/>
      <c r="N36" s="2260"/>
      <c r="O36" s="2260"/>
      <c r="P36" s="2260"/>
      <c r="Q36" s="1084" t="str">
        <f>IF(advanced!K70="n","Occ","Vac")</f>
        <v>Occ</v>
      </c>
      <c r="R36" s="1167" t="str">
        <f>IF(advanced!P70="n","Occ","Vac")</f>
        <v>Occ</v>
      </c>
      <c r="S36" s="2257" t="str">
        <f t="shared" ref="S36:S43" si="1">IF(AND($K$23&lt;&gt;"",J36=$K$23)," certified","")</f>
        <v/>
      </c>
      <c r="T36" s="2260"/>
      <c r="U36" s="2260"/>
      <c r="V36" s="2260"/>
      <c r="W36" s="2260"/>
      <c r="X36" s="2260"/>
      <c r="Y36" s="2260"/>
      <c r="Z36" s="2260"/>
      <c r="AA36" s="2260"/>
      <c r="AB36" s="2260"/>
      <c r="AC36" s="2260"/>
      <c r="AD36" s="2260"/>
      <c r="AE36" s="2260"/>
      <c r="AF36" s="2260"/>
      <c r="AG36" s="2260"/>
      <c r="AH36" s="2260"/>
      <c r="AI36" s="2260"/>
    </row>
    <row r="37" spans="1:35" ht="15.9" customHeight="1" x14ac:dyDescent="0.3">
      <c r="A37" s="2260"/>
      <c r="B37" s="1162"/>
      <c r="C37" s="1163" t="str">
        <f t="shared" si="0"/>
        <v>Occ</v>
      </c>
      <c r="D37" s="1165" t="str">
        <f>IF(advanced!AJ71=TRUE,"c","")</f>
        <v/>
      </c>
      <c r="E37" s="1164" t="str">
        <f>IF(AND(advanced!H71&gt;0,advanced!H71&lt;&gt;""),advanced!H71,"")</f>
        <v/>
      </c>
      <c r="F37" s="1140" t="str">
        <f>IF(advanced!I71&lt;&gt;"",advanced!I71,"")</f>
        <v/>
      </c>
      <c r="G37" s="1143">
        <f>advanced!J71</f>
        <v>1</v>
      </c>
      <c r="H37" s="1094"/>
      <c r="I37" s="1165" t="str">
        <f>IF(advanced!AK71=TRUE,"   "&amp;R37&amp;"  c","   "&amp;R37)</f>
        <v xml:space="preserve">   Occ</v>
      </c>
      <c r="J37" s="1164" t="str">
        <f>IF(AND(advanced!M71&gt;0,advanced!M71&lt;&gt;""),advanced!M71,"")</f>
        <v/>
      </c>
      <c r="K37" s="1140" t="str">
        <f>IF(advanced!N71&lt;&gt;"",advanced!N71,"")</f>
        <v/>
      </c>
      <c r="L37" s="1143">
        <f>advanced!O71</f>
        <v>1</v>
      </c>
      <c r="M37" s="1166"/>
      <c r="N37" s="2260"/>
      <c r="O37" s="2260"/>
      <c r="P37" s="2260"/>
      <c r="Q37" s="1084" t="str">
        <f>IF(advanced!K71="n","Occ","Vac")</f>
        <v>Occ</v>
      </c>
      <c r="R37" s="1167" t="str">
        <f>IF(advanced!P71="n","Occ","Vac")</f>
        <v>Occ</v>
      </c>
      <c r="S37" s="2257" t="str">
        <f t="shared" si="1"/>
        <v/>
      </c>
      <c r="T37" s="2260"/>
      <c r="U37" s="2260"/>
      <c r="V37" s="2260"/>
      <c r="W37" s="2260"/>
      <c r="X37" s="2260"/>
      <c r="Y37" s="2260"/>
      <c r="Z37" s="2260"/>
      <c r="AA37" s="2260"/>
      <c r="AB37" s="2260"/>
      <c r="AC37" s="2260"/>
      <c r="AD37" s="2260"/>
      <c r="AE37" s="2260"/>
      <c r="AF37" s="2260"/>
      <c r="AG37" s="2260"/>
      <c r="AH37" s="2260"/>
      <c r="AI37" s="2260"/>
    </row>
    <row r="38" spans="1:35" ht="15.9" customHeight="1" x14ac:dyDescent="0.3">
      <c r="A38" s="2260"/>
      <c r="B38" s="1162"/>
      <c r="C38" s="1163" t="str">
        <f t="shared" si="0"/>
        <v>Occ</v>
      </c>
      <c r="D38" s="1165" t="str">
        <f>IF(advanced!AJ72=TRUE,"c","")</f>
        <v/>
      </c>
      <c r="E38" s="1164" t="str">
        <f>IF(AND(advanced!H72&gt;0,advanced!H72&lt;&gt;""),advanced!H72,"")</f>
        <v/>
      </c>
      <c r="F38" s="1140" t="str">
        <f>IF(advanced!I72&lt;&gt;"",advanced!I72,"")</f>
        <v/>
      </c>
      <c r="G38" s="1143">
        <f>advanced!J72</f>
        <v>1</v>
      </c>
      <c r="H38" s="1094"/>
      <c r="I38" s="1165" t="str">
        <f>IF(advanced!AK72=TRUE,"   "&amp;R38&amp;"  c","   "&amp;R38)</f>
        <v xml:space="preserve">   Occ</v>
      </c>
      <c r="J38" s="1164" t="str">
        <f>IF(AND(advanced!M72&gt;0,advanced!M72&lt;&gt;""),advanced!M72,"")</f>
        <v/>
      </c>
      <c r="K38" s="1140" t="str">
        <f>IF(advanced!N72&lt;&gt;"",advanced!N72,"")</f>
        <v/>
      </c>
      <c r="L38" s="1143">
        <f>advanced!O72</f>
        <v>1</v>
      </c>
      <c r="M38" s="1166"/>
      <c r="N38" s="2260"/>
      <c r="O38" s="2260"/>
      <c r="P38" s="2260"/>
      <c r="Q38" s="1084" t="str">
        <f>IF(advanced!K72="n","Occ","Vac")</f>
        <v>Occ</v>
      </c>
      <c r="R38" s="1167" t="str">
        <f>IF(advanced!P72="n","Occ","Vac")</f>
        <v>Occ</v>
      </c>
      <c r="S38" s="2257" t="str">
        <f t="shared" si="1"/>
        <v/>
      </c>
      <c r="T38" s="2260"/>
      <c r="U38" s="2260"/>
      <c r="V38" s="2260"/>
      <c r="W38" s="2260"/>
      <c r="X38" s="2260"/>
      <c r="Y38" s="2260"/>
      <c r="Z38" s="2260"/>
      <c r="AA38" s="2260"/>
      <c r="AB38" s="2260"/>
      <c r="AC38" s="2260"/>
      <c r="AD38" s="2260"/>
      <c r="AE38" s="2260"/>
      <c r="AF38" s="2260"/>
      <c r="AG38" s="2260"/>
      <c r="AH38" s="2260"/>
      <c r="AI38" s="2260"/>
    </row>
    <row r="39" spans="1:35" ht="15.9" customHeight="1" x14ac:dyDescent="0.3">
      <c r="A39" s="2260"/>
      <c r="B39" s="1162"/>
      <c r="C39" s="1163" t="str">
        <f t="shared" si="0"/>
        <v>Occ</v>
      </c>
      <c r="D39" s="1165" t="str">
        <f>IF(advanced!AJ73=TRUE,"c","")</f>
        <v/>
      </c>
      <c r="E39" s="1164" t="str">
        <f>IF(AND(advanced!H73&gt;0,advanced!H73&lt;&gt;""),advanced!H73,"")</f>
        <v/>
      </c>
      <c r="F39" s="1140" t="str">
        <f>IF(advanced!I73&lt;&gt;"",advanced!I73,"")</f>
        <v/>
      </c>
      <c r="G39" s="1143">
        <f>advanced!J73</f>
        <v>1</v>
      </c>
      <c r="H39" s="1094"/>
      <c r="I39" s="1165" t="str">
        <f>IF(advanced!AK73=TRUE,"   "&amp;R39&amp;"  c","   "&amp;R39)</f>
        <v xml:space="preserve">   Occ</v>
      </c>
      <c r="J39" s="1164" t="str">
        <f>IF(AND(advanced!M73&gt;0,advanced!M73&lt;&gt;""),advanced!M73,"")</f>
        <v/>
      </c>
      <c r="K39" s="1140" t="str">
        <f>IF(advanced!N73&lt;&gt;"",advanced!N73,"")</f>
        <v/>
      </c>
      <c r="L39" s="1143">
        <f>advanced!O73</f>
        <v>1</v>
      </c>
      <c r="M39" s="1166"/>
      <c r="N39" s="2260"/>
      <c r="O39" s="2260"/>
      <c r="P39" s="2260"/>
      <c r="Q39" s="1084" t="str">
        <f>IF(advanced!K73="n","Occ","Vac")</f>
        <v>Occ</v>
      </c>
      <c r="R39" s="1167" t="str">
        <f>IF(advanced!P73="n","Occ","Vac")</f>
        <v>Occ</v>
      </c>
      <c r="S39" s="2257" t="str">
        <f t="shared" si="1"/>
        <v/>
      </c>
      <c r="T39" s="2260"/>
      <c r="U39" s="2260"/>
      <c r="V39" s="2260"/>
      <c r="W39" s="2260"/>
      <c r="X39" s="2260"/>
      <c r="Y39" s="2260"/>
      <c r="Z39" s="2260"/>
      <c r="AA39" s="2260"/>
      <c r="AB39" s="2260"/>
      <c r="AC39" s="2260"/>
      <c r="AD39" s="2260"/>
      <c r="AE39" s="2260"/>
      <c r="AF39" s="2260"/>
      <c r="AG39" s="2260"/>
      <c r="AH39" s="2260"/>
      <c r="AI39" s="2260"/>
    </row>
    <row r="40" spans="1:35" ht="15.9" customHeight="1" x14ac:dyDescent="0.3">
      <c r="A40" s="2260"/>
      <c r="B40" s="1162"/>
      <c r="C40" s="1163" t="str">
        <f t="shared" si="0"/>
        <v>Occ</v>
      </c>
      <c r="D40" s="1165" t="str">
        <f>IF(advanced!AJ74=TRUE,"c","")</f>
        <v/>
      </c>
      <c r="E40" s="1164" t="str">
        <f>IF(AND(advanced!H74&gt;0,advanced!H74&lt;&gt;""),advanced!H74,"")</f>
        <v/>
      </c>
      <c r="F40" s="1140" t="str">
        <f>IF(advanced!I74&lt;&gt;"",advanced!I74,"")</f>
        <v/>
      </c>
      <c r="G40" s="1143">
        <f>advanced!J74</f>
        <v>1</v>
      </c>
      <c r="H40" s="1094"/>
      <c r="I40" s="1165" t="str">
        <f>IF(advanced!AK74=TRUE,"   "&amp;R40&amp;"  c","   "&amp;R40)</f>
        <v xml:space="preserve">   Occ</v>
      </c>
      <c r="J40" s="1164" t="str">
        <f>IF(AND(advanced!M74&gt;0,advanced!M74&lt;&gt;""),advanced!M74,"")</f>
        <v/>
      </c>
      <c r="K40" s="1140" t="str">
        <f>IF(advanced!N74&lt;&gt;"",advanced!N74,"")</f>
        <v/>
      </c>
      <c r="L40" s="1143">
        <f>advanced!O74</f>
        <v>1</v>
      </c>
      <c r="M40" s="1166"/>
      <c r="N40" s="2260"/>
      <c r="O40" s="2260"/>
      <c r="P40" s="2260"/>
      <c r="Q40" s="1084" t="str">
        <f>IF(advanced!K74="n","Occ","Vac")</f>
        <v>Occ</v>
      </c>
      <c r="R40" s="1167" t="str">
        <f>IF(advanced!P74="n","Occ","Vac")</f>
        <v>Occ</v>
      </c>
      <c r="S40" s="2257" t="str">
        <f t="shared" si="1"/>
        <v/>
      </c>
      <c r="T40" s="2260"/>
      <c r="U40" s="2260"/>
      <c r="V40" s="2260"/>
      <c r="W40" s="2260"/>
      <c r="X40" s="2260"/>
      <c r="Y40" s="2260"/>
      <c r="Z40" s="2260"/>
      <c r="AA40" s="2260"/>
      <c r="AB40" s="2260"/>
      <c r="AC40" s="2260"/>
      <c r="AD40" s="2260"/>
      <c r="AE40" s="2260"/>
      <c r="AF40" s="2260"/>
      <c r="AG40" s="2260"/>
      <c r="AH40" s="2260"/>
      <c r="AI40" s="2260"/>
    </row>
    <row r="41" spans="1:35" ht="15.9" customHeight="1" x14ac:dyDescent="0.3">
      <c r="A41" s="2260"/>
      <c r="B41" s="1162"/>
      <c r="C41" s="1163" t="str">
        <f t="shared" si="0"/>
        <v>Occ</v>
      </c>
      <c r="D41" s="1165" t="str">
        <f>IF(advanced!AJ75=TRUE,"c","")</f>
        <v/>
      </c>
      <c r="E41" s="1164" t="str">
        <f>IF(AND(advanced!H75&gt;0,advanced!H75&lt;&gt;""),advanced!H75,"")</f>
        <v/>
      </c>
      <c r="F41" s="1140" t="str">
        <f>IF(advanced!I75&lt;&gt;"",advanced!I75,"")</f>
        <v/>
      </c>
      <c r="G41" s="1143">
        <f>advanced!J75</f>
        <v>1</v>
      </c>
      <c r="H41" s="1094"/>
      <c r="I41" s="1165" t="str">
        <f>IF(advanced!AK75=TRUE,"   "&amp;R41&amp;"  c","   "&amp;R41)</f>
        <v xml:space="preserve">   Occ</v>
      </c>
      <c r="J41" s="1164" t="str">
        <f>IF(AND(advanced!M75&gt;0,advanced!M75&lt;&gt;""),advanced!M75,"")</f>
        <v/>
      </c>
      <c r="K41" s="1140" t="str">
        <f>IF(advanced!N75&lt;&gt;"",advanced!N75,"")</f>
        <v/>
      </c>
      <c r="L41" s="1143">
        <f>advanced!O75</f>
        <v>1</v>
      </c>
      <c r="M41" s="1166"/>
      <c r="N41" s="2260"/>
      <c r="O41" s="2260"/>
      <c r="P41" s="2260"/>
      <c r="Q41" s="1084" t="str">
        <f>IF(advanced!K75="n","Occ","Vac")</f>
        <v>Occ</v>
      </c>
      <c r="R41" s="1167" t="str">
        <f>IF(advanced!P75="n","Occ","Vac")</f>
        <v>Occ</v>
      </c>
      <c r="S41" s="2257" t="str">
        <f t="shared" si="1"/>
        <v/>
      </c>
      <c r="T41" s="2260"/>
      <c r="U41" s="2260"/>
      <c r="V41" s="2260"/>
      <c r="W41" s="2260"/>
      <c r="X41" s="2260"/>
      <c r="Y41" s="2260"/>
      <c r="Z41" s="2260"/>
      <c r="AA41" s="2260"/>
      <c r="AB41" s="2260"/>
      <c r="AC41" s="2260"/>
      <c r="AD41" s="2260"/>
      <c r="AE41" s="2260"/>
      <c r="AF41" s="2260"/>
      <c r="AG41" s="2260"/>
      <c r="AH41" s="2260"/>
      <c r="AI41" s="2260"/>
    </row>
    <row r="42" spans="1:35" ht="15.9" customHeight="1" x14ac:dyDescent="0.3">
      <c r="A42" s="2260"/>
      <c r="B42" s="1162"/>
      <c r="C42" s="1163" t="str">
        <f t="shared" si="0"/>
        <v>Occ</v>
      </c>
      <c r="D42" s="1165" t="str">
        <f>IF(advanced!AJ76=TRUE,"c","")</f>
        <v/>
      </c>
      <c r="E42" s="1164" t="str">
        <f>IF(AND(advanced!H76&gt;0,advanced!H76&lt;&gt;""),advanced!H76,"")</f>
        <v/>
      </c>
      <c r="F42" s="1140" t="str">
        <f>IF(advanced!I76&lt;&gt;"",advanced!I76,"")</f>
        <v/>
      </c>
      <c r="G42" s="1143">
        <f>advanced!J76</f>
        <v>1</v>
      </c>
      <c r="H42" s="1094"/>
      <c r="I42" s="1165" t="str">
        <f>IF(advanced!AK76=TRUE,"   "&amp;R42&amp;"  c","   "&amp;R42)</f>
        <v xml:space="preserve">   Occ</v>
      </c>
      <c r="J42" s="1164" t="str">
        <f>IF(AND(advanced!M76&gt;0,advanced!M76&lt;&gt;""),advanced!M76,"")</f>
        <v/>
      </c>
      <c r="K42" s="1140" t="str">
        <f>IF(advanced!N76&lt;&gt;"",advanced!N76,"")</f>
        <v/>
      </c>
      <c r="L42" s="1143">
        <f>advanced!O76</f>
        <v>1</v>
      </c>
      <c r="M42" s="1166"/>
      <c r="N42" s="2260"/>
      <c r="O42" s="2260"/>
      <c r="P42" s="2260"/>
      <c r="Q42" s="1084" t="str">
        <f>IF(advanced!K76="n","Occ","Vac")</f>
        <v>Occ</v>
      </c>
      <c r="R42" s="1167" t="str">
        <f>IF(advanced!P76="n","Occ","Vac")</f>
        <v>Occ</v>
      </c>
      <c r="S42" s="2257" t="str">
        <f t="shared" si="1"/>
        <v/>
      </c>
      <c r="T42" s="2260"/>
      <c r="U42" s="2260"/>
      <c r="V42" s="2260"/>
      <c r="W42" s="2260"/>
      <c r="X42" s="2260"/>
      <c r="Y42" s="2260"/>
      <c r="Z42" s="2260"/>
      <c r="AA42" s="2260"/>
      <c r="AB42" s="2260"/>
      <c r="AC42" s="2260"/>
      <c r="AD42" s="2260"/>
      <c r="AE42" s="2260"/>
      <c r="AF42" s="2260"/>
      <c r="AG42" s="2260"/>
      <c r="AH42" s="2260"/>
      <c r="AI42" s="2260"/>
    </row>
    <row r="43" spans="1:35" ht="15.9" customHeight="1" x14ac:dyDescent="0.3">
      <c r="A43" s="2260"/>
      <c r="B43" s="1162"/>
      <c r="C43" s="1163" t="str">
        <f t="shared" si="0"/>
        <v>Occ</v>
      </c>
      <c r="D43" s="1165" t="str">
        <f>IF(advanced!AJ77=TRUE,"c","")</f>
        <v/>
      </c>
      <c r="E43" s="1164" t="str">
        <f>IF(AND(advanced!H77&gt;0,advanced!H77&lt;&gt;""),advanced!H77,"")</f>
        <v/>
      </c>
      <c r="F43" s="1140" t="str">
        <f>IF(advanced!I77&lt;&gt;"",advanced!I77,"")</f>
        <v/>
      </c>
      <c r="G43" s="1143">
        <f>advanced!J77</f>
        <v>1</v>
      </c>
      <c r="H43" s="1094"/>
      <c r="I43" s="1165" t="str">
        <f>IF(advanced!AK77=TRUE,"   "&amp;R43&amp;"  c","   "&amp;R43)</f>
        <v xml:space="preserve">   Occ</v>
      </c>
      <c r="J43" s="1164" t="str">
        <f>IF(AND(advanced!M77&gt;0,advanced!M77&lt;&gt;""),advanced!M77,"")</f>
        <v/>
      </c>
      <c r="K43" s="1140" t="str">
        <f>IF(advanced!N77&lt;&gt;"",advanced!N77,"")</f>
        <v/>
      </c>
      <c r="L43" s="1143">
        <f>advanced!O77</f>
        <v>1</v>
      </c>
      <c r="M43" s="1166"/>
      <c r="N43" s="2260"/>
      <c r="O43" s="2260"/>
      <c r="P43" s="2260"/>
      <c r="Q43" s="1084" t="str">
        <f>IF(advanced!K77="n","Occ","Vac")</f>
        <v>Occ</v>
      </c>
      <c r="R43" s="1167" t="str">
        <f>IF(advanced!P77="n","Occ","Vac")</f>
        <v>Occ</v>
      </c>
      <c r="S43" s="2257" t="str">
        <f t="shared" si="1"/>
        <v/>
      </c>
      <c r="T43" s="2260"/>
      <c r="U43" s="2260"/>
      <c r="V43" s="2260"/>
      <c r="W43" s="2260"/>
      <c r="X43" s="2260"/>
      <c r="Y43" s="2260"/>
      <c r="Z43" s="2260"/>
      <c r="AA43" s="2260"/>
      <c r="AB43" s="2260"/>
      <c r="AC43" s="2260"/>
      <c r="AD43" s="2260"/>
      <c r="AE43" s="2260"/>
      <c r="AF43" s="2260"/>
      <c r="AG43" s="2260"/>
      <c r="AH43" s="2260"/>
      <c r="AI43" s="2260"/>
    </row>
    <row r="44" spans="1:35" ht="15.9" customHeight="1" x14ac:dyDescent="0.3">
      <c r="A44" s="2260"/>
      <c r="B44" s="1162"/>
      <c r="C44" s="1163" t="str">
        <f t="shared" si="0"/>
        <v>Occ</v>
      </c>
      <c r="D44" s="1165" t="str">
        <f>IF(advanced!AJ78=TRUE,"c","")</f>
        <v/>
      </c>
      <c r="E44" s="1164" t="str">
        <f>IF(AND(advanced!H78&gt;0,advanced!H78&lt;&gt;""),advanced!H78,"")</f>
        <v/>
      </c>
      <c r="F44" s="1140" t="str">
        <f>IF(advanced!I78&lt;&gt;"",advanced!I78,"")</f>
        <v/>
      </c>
      <c r="G44" s="1143">
        <f>advanced!J78</f>
        <v>1</v>
      </c>
      <c r="H44" s="1094"/>
      <c r="I44" s="1165" t="str">
        <f>IF(advanced!AK78=TRUE,"   "&amp;R44&amp;"  c","   "&amp;R44)</f>
        <v xml:space="preserve">   Occ</v>
      </c>
      <c r="J44" s="1164" t="str">
        <f>IF(AND(advanced!M78&gt;0,advanced!M78&lt;&gt;""),advanced!M78,"")</f>
        <v/>
      </c>
      <c r="K44" s="1140" t="str">
        <f>IF(advanced!N78&lt;&gt;"",advanced!N78,"")</f>
        <v/>
      </c>
      <c r="L44" s="1143">
        <f>advanced!O78</f>
        <v>1</v>
      </c>
      <c r="M44" s="1166"/>
      <c r="N44" s="2260"/>
      <c r="O44" s="2260"/>
      <c r="P44" s="2260"/>
      <c r="Q44" s="1084" t="str">
        <f>IF(advanced!K78="n","Occ","Vac")</f>
        <v>Occ</v>
      </c>
      <c r="R44" s="1167" t="str">
        <f>IF(advanced!P78="n","Occ","Vac")</f>
        <v>Occ</v>
      </c>
      <c r="S44" s="2257"/>
      <c r="T44" s="2260"/>
      <c r="U44" s="2260"/>
      <c r="V44" s="2260"/>
      <c r="W44" s="2260"/>
      <c r="X44" s="2260"/>
      <c r="Y44" s="2260"/>
      <c r="Z44" s="2260"/>
      <c r="AA44" s="2260"/>
      <c r="AB44" s="2260"/>
      <c r="AC44" s="2260"/>
      <c r="AD44" s="2260"/>
      <c r="AE44" s="2260"/>
      <c r="AF44" s="2260"/>
      <c r="AG44" s="2260"/>
      <c r="AH44" s="2260"/>
      <c r="AI44" s="2260"/>
    </row>
    <row r="45" spans="1:35" ht="15.9" customHeight="1" x14ac:dyDescent="0.3">
      <c r="A45" s="2260"/>
      <c r="B45" s="1162"/>
      <c r="C45" s="1163" t="str">
        <f t="shared" si="0"/>
        <v>Occ</v>
      </c>
      <c r="D45" s="1165" t="str">
        <f>IF(advanced!AJ79=TRUE,"c","")</f>
        <v/>
      </c>
      <c r="E45" s="1164" t="str">
        <f>IF(AND(advanced!H79&gt;0,advanced!H79&lt;&gt;""),advanced!H79,"")</f>
        <v/>
      </c>
      <c r="F45" s="1140" t="str">
        <f>IF(advanced!I79&lt;&gt;"",advanced!I79,"")</f>
        <v/>
      </c>
      <c r="G45" s="1143">
        <f>advanced!J79</f>
        <v>1</v>
      </c>
      <c r="H45" s="1094"/>
      <c r="I45" s="1165" t="str">
        <f>IF(advanced!AK79=TRUE,"   "&amp;R45&amp;"  c","   "&amp;R45)</f>
        <v xml:space="preserve">   Occ</v>
      </c>
      <c r="J45" s="1164" t="str">
        <f>IF(AND(advanced!M79&gt;0,advanced!M79&lt;&gt;""),advanced!M79,"")</f>
        <v/>
      </c>
      <c r="K45" s="1140" t="str">
        <f>IF(advanced!N79&lt;&gt;"",advanced!N79,"")</f>
        <v/>
      </c>
      <c r="L45" s="1143">
        <f>advanced!O79</f>
        <v>1</v>
      </c>
      <c r="M45" s="1166"/>
      <c r="N45" s="2260"/>
      <c r="O45" s="2260"/>
      <c r="P45" s="2260"/>
      <c r="Q45" s="1084" t="str">
        <f>IF(advanced!K79="n","Occ","Vac")</f>
        <v>Occ</v>
      </c>
      <c r="R45" s="1167" t="str">
        <f>IF(advanced!P79="n","Occ","Vac")</f>
        <v>Occ</v>
      </c>
      <c r="S45" s="2257"/>
      <c r="T45" s="2260"/>
      <c r="U45" s="2260"/>
      <c r="V45" s="2260"/>
      <c r="W45" s="2260"/>
      <c r="X45" s="2260"/>
      <c r="Y45" s="2260"/>
      <c r="Z45" s="2260"/>
      <c r="AA45" s="2260"/>
      <c r="AB45" s="2260"/>
      <c r="AC45" s="2260"/>
      <c r="AD45" s="2260"/>
      <c r="AE45" s="2260"/>
      <c r="AF45" s="2260"/>
      <c r="AG45" s="2260"/>
      <c r="AH45" s="2260"/>
      <c r="AI45" s="2260"/>
    </row>
    <row r="46" spans="1:35" ht="15.9" customHeight="1" x14ac:dyDescent="0.3">
      <c r="A46" s="2260"/>
      <c r="B46" s="1162"/>
      <c r="C46" s="1163" t="str">
        <f t="shared" si="0"/>
        <v>Occ</v>
      </c>
      <c r="D46" s="1165" t="str">
        <f>IF(advanced!AJ80=TRUE,"c","")</f>
        <v/>
      </c>
      <c r="E46" s="1164" t="str">
        <f>IF(AND(advanced!H80&gt;0,advanced!H80&lt;&gt;""),advanced!H80,"")</f>
        <v/>
      </c>
      <c r="F46" s="1140" t="str">
        <f>IF(advanced!I80&lt;&gt;"",advanced!I80,"")</f>
        <v/>
      </c>
      <c r="G46" s="1143">
        <f>advanced!J80</f>
        <v>1</v>
      </c>
      <c r="H46" s="1094"/>
      <c r="I46" s="1165" t="str">
        <f>IF(advanced!AK80=TRUE,"   "&amp;R46&amp;"  c","   "&amp;R46)</f>
        <v xml:space="preserve">   Occ</v>
      </c>
      <c r="J46" s="1164" t="str">
        <f>IF(AND(advanced!M80&gt;0,advanced!M80&lt;&gt;""),advanced!M80,"")</f>
        <v/>
      </c>
      <c r="K46" s="1140" t="str">
        <f>IF(advanced!N80&lt;&gt;"",advanced!N80,"")</f>
        <v/>
      </c>
      <c r="L46" s="1143">
        <f>advanced!O80</f>
        <v>1</v>
      </c>
      <c r="M46" s="1166"/>
      <c r="N46" s="2260"/>
      <c r="O46" s="2260"/>
      <c r="P46" s="2260"/>
      <c r="Q46" s="1084" t="str">
        <f>IF(advanced!K80="n","Occ","Vac")</f>
        <v>Occ</v>
      </c>
      <c r="R46" s="1167" t="str">
        <f>IF(advanced!P80="n","Occ","Vac")</f>
        <v>Occ</v>
      </c>
      <c r="S46" s="2257"/>
      <c r="T46" s="2260"/>
      <c r="U46" s="2260"/>
      <c r="V46" s="2260"/>
      <c r="W46" s="2260"/>
      <c r="X46" s="2260"/>
      <c r="Y46" s="2260"/>
      <c r="Z46" s="2260"/>
      <c r="AA46" s="2260"/>
      <c r="AB46" s="2260"/>
      <c r="AC46" s="2260"/>
      <c r="AD46" s="2260"/>
      <c r="AE46" s="2260"/>
      <c r="AF46" s="2260"/>
      <c r="AG46" s="2260"/>
      <c r="AH46" s="2260"/>
      <c r="AI46" s="2260"/>
    </row>
    <row r="47" spans="1:35" x14ac:dyDescent="0.25">
      <c r="A47" s="2260"/>
      <c r="B47" s="1168"/>
      <c r="C47" s="1104"/>
      <c r="D47" s="1105"/>
      <c r="E47" s="1105"/>
      <c r="F47" s="1105"/>
      <c r="G47" s="1105"/>
      <c r="H47" s="1105"/>
      <c r="I47" s="1105"/>
      <c r="J47" s="1105"/>
      <c r="K47" s="1169"/>
      <c r="L47" s="1170"/>
      <c r="M47" s="1171"/>
      <c r="N47" s="2260"/>
      <c r="O47" s="2260"/>
      <c r="P47" s="2260"/>
      <c r="S47" s="2260"/>
      <c r="T47" s="2260"/>
      <c r="U47" s="2260"/>
      <c r="V47" s="2260"/>
      <c r="W47" s="2260"/>
      <c r="X47" s="2260"/>
      <c r="Y47" s="2260"/>
      <c r="Z47" s="2260"/>
      <c r="AA47" s="2260"/>
      <c r="AB47" s="2260"/>
      <c r="AC47" s="2260"/>
      <c r="AD47" s="2260"/>
      <c r="AE47" s="2260"/>
      <c r="AF47" s="2260"/>
      <c r="AG47" s="2260"/>
      <c r="AH47" s="2260"/>
      <c r="AI47" s="2260"/>
    </row>
    <row r="48" spans="1:35" ht="10.5" customHeight="1" x14ac:dyDescent="0.25">
      <c r="A48" s="2261"/>
      <c r="B48" s="2267"/>
      <c r="C48" s="2267"/>
      <c r="D48" s="2267"/>
      <c r="E48" s="2267"/>
      <c r="F48" s="2267"/>
      <c r="G48" s="2267"/>
      <c r="H48" s="2267"/>
      <c r="I48" s="2267"/>
      <c r="J48" s="2267"/>
      <c r="K48" s="2267"/>
      <c r="L48" s="2267"/>
      <c r="M48" s="2267"/>
      <c r="N48" s="2261"/>
      <c r="O48" s="2260"/>
      <c r="P48" s="2260"/>
      <c r="S48" s="2260"/>
      <c r="T48" s="2260"/>
      <c r="U48" s="2260"/>
      <c r="V48" s="2260"/>
      <c r="W48" s="2260"/>
      <c r="X48" s="2260"/>
      <c r="Y48" s="2260"/>
      <c r="Z48" s="2260"/>
      <c r="AA48" s="2260"/>
      <c r="AB48" s="2260"/>
      <c r="AC48" s="2260"/>
      <c r="AD48" s="2260"/>
      <c r="AE48" s="2260"/>
      <c r="AF48" s="2260"/>
      <c r="AG48" s="2260"/>
      <c r="AH48" s="2260"/>
      <c r="AI48" s="2260"/>
    </row>
    <row r="49" spans="1:35" x14ac:dyDescent="0.25">
      <c r="A49" s="2262"/>
      <c r="B49" s="1086"/>
      <c r="C49" s="1174" t="str">
        <f>advanced!$H$84</f>
        <v/>
      </c>
      <c r="D49" s="1087"/>
      <c r="E49" s="1087"/>
      <c r="F49" s="1087"/>
      <c r="G49" s="1087"/>
      <c r="H49" s="1087"/>
      <c r="I49" s="1087"/>
      <c r="J49" s="1087"/>
      <c r="K49" s="1087"/>
      <c r="L49" s="1087"/>
      <c r="M49" s="1090"/>
      <c r="N49" s="2262"/>
      <c r="O49" s="2260"/>
      <c r="P49" s="2260"/>
      <c r="S49" s="2260"/>
      <c r="T49" s="2260"/>
      <c r="U49" s="2260"/>
      <c r="V49" s="2260"/>
      <c r="W49" s="2260"/>
      <c r="X49" s="2260"/>
      <c r="Y49" s="2260"/>
      <c r="Z49" s="2260"/>
      <c r="AA49" s="2260"/>
      <c r="AB49" s="2260"/>
      <c r="AC49" s="2260"/>
      <c r="AD49" s="2260"/>
      <c r="AE49" s="2260"/>
      <c r="AF49" s="2260"/>
      <c r="AG49" s="2260"/>
      <c r="AH49" s="2260"/>
      <c r="AI49" s="2260"/>
    </row>
    <row r="50" spans="1:35" ht="13" x14ac:dyDescent="0.3">
      <c r="A50" s="2263"/>
      <c r="B50" s="1092"/>
      <c r="C50" s="1100" t="s">
        <v>831</v>
      </c>
      <c r="D50" s="1094"/>
      <c r="E50" s="1112"/>
      <c r="F50" s="1176" t="s">
        <v>2415</v>
      </c>
      <c r="G50" s="1177"/>
      <c r="H50" s="1176"/>
      <c r="I50" s="1112"/>
      <c r="J50" s="1176" t="s">
        <v>2416</v>
      </c>
      <c r="K50" s="1177"/>
      <c r="L50" s="1176" t="s">
        <v>2417</v>
      </c>
      <c r="M50" s="1095"/>
      <c r="N50" s="2260"/>
      <c r="O50" s="2260"/>
      <c r="P50" s="2260"/>
      <c r="S50" s="2260"/>
      <c r="T50" s="2260"/>
      <c r="U50" s="2260"/>
      <c r="V50" s="2260"/>
      <c r="W50" s="2260"/>
      <c r="X50" s="2260"/>
      <c r="Y50" s="2260"/>
      <c r="Z50" s="2260"/>
      <c r="AA50" s="2260"/>
      <c r="AB50" s="2260"/>
      <c r="AC50" s="2260"/>
      <c r="AD50" s="2260"/>
      <c r="AE50" s="2260"/>
      <c r="AF50" s="2260"/>
      <c r="AG50" s="2260"/>
      <c r="AH50" s="2260"/>
      <c r="AI50" s="2260"/>
    </row>
    <row r="51" spans="1:35" ht="13" x14ac:dyDescent="0.3">
      <c r="A51" s="2264"/>
      <c r="B51" s="1092"/>
      <c r="C51" s="1179"/>
      <c r="D51" s="1094"/>
      <c r="E51" s="1180" t="str">
        <f ca="1">advanced!G95</f>
        <v/>
      </c>
      <c r="F51" s="1094"/>
      <c r="G51" s="1095"/>
      <c r="H51" s="1094"/>
      <c r="I51" s="1181" t="str">
        <f ca="1">advanced!M95</f>
        <v/>
      </c>
      <c r="J51" s="1094"/>
      <c r="K51" s="1095"/>
      <c r="L51" s="1094"/>
      <c r="M51" s="1095"/>
      <c r="N51" s="2260"/>
      <c r="O51" s="2260"/>
      <c r="P51" s="2260"/>
      <c r="S51" s="2260"/>
      <c r="T51" s="2260"/>
      <c r="U51" s="2260"/>
      <c r="V51" s="2260"/>
      <c r="W51" s="2260"/>
      <c r="X51" s="2260"/>
      <c r="Y51" s="2260"/>
      <c r="Z51" s="2260"/>
      <c r="AA51" s="2260"/>
      <c r="AB51" s="2260"/>
      <c r="AC51" s="2260"/>
      <c r="AD51" s="2260"/>
      <c r="AE51" s="2260"/>
      <c r="AF51" s="2260"/>
      <c r="AG51" s="2260"/>
      <c r="AH51" s="2260"/>
      <c r="AI51" s="2260"/>
    </row>
    <row r="52" spans="1:35" ht="15" customHeight="1" x14ac:dyDescent="0.3">
      <c r="A52" s="2260"/>
      <c r="B52" s="1092"/>
      <c r="C52" s="1094" t="str">
        <f>text!D9</f>
        <v>2023/24</v>
      </c>
      <c r="D52" s="1094" t="str">
        <f>RIGHT(text!F9,1)</f>
        <v xml:space="preserve"> </v>
      </c>
      <c r="E52" s="1182"/>
      <c r="F52" s="1183">
        <f ca="1">'advanced report'!J52*Q52</f>
        <v>0</v>
      </c>
      <c r="G52" s="1184" t="str">
        <f>advanced!J88</f>
        <v/>
      </c>
      <c r="H52" s="1094"/>
      <c r="I52" s="1182"/>
      <c r="J52" s="2286">
        <f ca="1">'advanced report'!F52</f>
        <v>0</v>
      </c>
      <c r="K52" s="1184" t="str">
        <f>advanced!O88</f>
        <v/>
      </c>
      <c r="L52" s="1185">
        <f ca="1">F52-J52</f>
        <v>0</v>
      </c>
      <c r="M52" s="1095"/>
      <c r="N52" s="2260"/>
      <c r="O52" s="2260"/>
      <c r="P52" s="2260"/>
      <c r="Q52" s="2288" t="b">
        <v>1</v>
      </c>
      <c r="S52" s="2260"/>
      <c r="T52" s="2260"/>
      <c r="U52" s="2260"/>
      <c r="V52" s="2260"/>
      <c r="W52" s="2260"/>
      <c r="X52" s="2260"/>
      <c r="Y52" s="2260"/>
      <c r="Z52" s="2260"/>
      <c r="AA52" s="2260"/>
      <c r="AB52" s="2260"/>
      <c r="AC52" s="2260"/>
      <c r="AD52" s="2260"/>
      <c r="AE52" s="2260"/>
      <c r="AF52" s="2260"/>
      <c r="AG52" s="2260"/>
      <c r="AH52" s="2260"/>
      <c r="AI52" s="2260"/>
    </row>
    <row r="53" spans="1:35" ht="15" customHeight="1" x14ac:dyDescent="0.3">
      <c r="A53" s="2260"/>
      <c r="B53" s="1092"/>
      <c r="C53" s="1094" t="str">
        <f>text!D10</f>
        <v>2024/25</v>
      </c>
      <c r="D53" s="1094" t="str">
        <f>RIGHT(text!F10,1)</f>
        <v xml:space="preserve"> </v>
      </c>
      <c r="E53" s="1182"/>
      <c r="F53" s="1183">
        <f ca="1">'advanced report'!J53*Q53</f>
        <v>0</v>
      </c>
      <c r="G53" s="1184" t="str">
        <f ca="1">advanced!J89</f>
        <v/>
      </c>
      <c r="H53" s="1094"/>
      <c r="I53" s="1182"/>
      <c r="J53" s="2286">
        <f ca="1">'advanced report'!F53</f>
        <v>0</v>
      </c>
      <c r="K53" s="1184" t="str">
        <f ca="1">advanced!O89</f>
        <v/>
      </c>
      <c r="L53" s="1185">
        <f ca="1">F53-J53</f>
        <v>0</v>
      </c>
      <c r="M53" s="1095"/>
      <c r="N53" s="2260"/>
      <c r="O53" s="2260"/>
      <c r="P53" s="2260"/>
      <c r="Q53" s="2288" t="b">
        <v>1</v>
      </c>
      <c r="S53" s="2260"/>
      <c r="T53" s="2260"/>
      <c r="U53" s="2260"/>
      <c r="V53" s="2260"/>
      <c r="W53" s="2260"/>
      <c r="X53" s="2260"/>
      <c r="Y53" s="2260"/>
      <c r="Z53" s="2260"/>
      <c r="AA53" s="2260"/>
      <c r="AB53" s="2260"/>
      <c r="AC53" s="2260"/>
      <c r="AD53" s="2260"/>
      <c r="AE53" s="2260"/>
      <c r="AF53" s="2260"/>
      <c r="AG53" s="2260"/>
      <c r="AH53" s="2260"/>
      <c r="AI53" s="2260"/>
    </row>
    <row r="54" spans="1:35" ht="15" customHeight="1" x14ac:dyDescent="0.3">
      <c r="A54" s="2260"/>
      <c r="B54" s="1092"/>
      <c r="C54" s="1094" t="str">
        <f>text!D11</f>
        <v>2025/26</v>
      </c>
      <c r="D54" s="1094" t="str">
        <f>RIGHT(text!F11,1)</f>
        <v xml:space="preserve"> </v>
      </c>
      <c r="E54" s="1182"/>
      <c r="F54" s="1183">
        <f ca="1">'advanced report'!J54*Q54</f>
        <v>0</v>
      </c>
      <c r="G54" s="1184" t="str">
        <f ca="1">advanced!J90</f>
        <v/>
      </c>
      <c r="H54" s="1094"/>
      <c r="I54" s="1182"/>
      <c r="J54" s="2286">
        <f ca="1">'advanced report'!F54</f>
        <v>0</v>
      </c>
      <c r="K54" s="1184" t="str">
        <f ca="1">advanced!O90</f>
        <v/>
      </c>
      <c r="L54" s="1185">
        <f ca="1">F54-J54</f>
        <v>0</v>
      </c>
      <c r="M54" s="1095"/>
      <c r="N54" s="2260"/>
      <c r="O54" s="2260"/>
      <c r="P54" s="2260"/>
      <c r="Q54" s="2288" t="b">
        <v>1</v>
      </c>
      <c r="S54" s="2260"/>
      <c r="T54" s="2260"/>
      <c r="U54" s="2260"/>
      <c r="V54" s="2260"/>
      <c r="W54" s="2260"/>
      <c r="X54" s="2260"/>
      <c r="Y54" s="2260"/>
      <c r="Z54" s="2260"/>
      <c r="AA54" s="2260"/>
      <c r="AB54" s="2260"/>
      <c r="AC54" s="2260"/>
      <c r="AD54" s="2260"/>
      <c r="AE54" s="2260"/>
      <c r="AF54" s="2260"/>
      <c r="AG54" s="2260"/>
      <c r="AH54" s="2260"/>
      <c r="AI54" s="2260"/>
    </row>
    <row r="55" spans="1:35" ht="15" customHeight="1" x14ac:dyDescent="0.3">
      <c r="A55" s="2260"/>
      <c r="B55" s="1092"/>
      <c r="C55" s="1094"/>
      <c r="D55" s="1094"/>
      <c r="E55" s="1182"/>
      <c r="F55" s="1183"/>
      <c r="G55" s="1184"/>
      <c r="H55" s="1094"/>
      <c r="I55" s="1182"/>
      <c r="J55" s="1183"/>
      <c r="K55" s="1184"/>
      <c r="L55" s="1185"/>
      <c r="M55" s="1095"/>
      <c r="N55" s="2260"/>
      <c r="O55" s="2260"/>
      <c r="P55" s="2260"/>
      <c r="S55" s="2260"/>
      <c r="T55" s="2260"/>
      <c r="U55" s="2260"/>
      <c r="V55" s="2260"/>
      <c r="W55" s="2260"/>
      <c r="X55" s="2260"/>
      <c r="Y55" s="2260"/>
      <c r="Z55" s="2260"/>
      <c r="AA55" s="2260"/>
      <c r="AB55" s="2260"/>
      <c r="AC55" s="2260"/>
      <c r="AD55" s="2260"/>
      <c r="AE55" s="2260"/>
      <c r="AF55" s="2260"/>
      <c r="AG55" s="2260"/>
      <c r="AH55" s="2260"/>
      <c r="AI55" s="2260"/>
    </row>
    <row r="56" spans="1:35" ht="6.75" customHeight="1" x14ac:dyDescent="0.3">
      <c r="A56" s="2260"/>
      <c r="B56" s="1092"/>
      <c r="C56" s="1094"/>
      <c r="D56" s="1094"/>
      <c r="E56" s="1182"/>
      <c r="F56" s="1183"/>
      <c r="G56" s="1184"/>
      <c r="H56" s="1094"/>
      <c r="I56" s="1182"/>
      <c r="J56" s="1183"/>
      <c r="K56" s="1184"/>
      <c r="L56" s="1185"/>
      <c r="M56" s="1095"/>
      <c r="N56" s="2260"/>
      <c r="O56" s="2260"/>
      <c r="P56" s="2260"/>
      <c r="S56" s="2260"/>
      <c r="T56" s="2260"/>
      <c r="U56" s="2260"/>
      <c r="V56" s="2260"/>
      <c r="W56" s="2260"/>
      <c r="X56" s="2260"/>
      <c r="Y56" s="2260"/>
      <c r="Z56" s="2260"/>
      <c r="AA56" s="2260"/>
      <c r="AB56" s="2260"/>
      <c r="AC56" s="2260"/>
      <c r="AD56" s="2260"/>
      <c r="AE56" s="2260"/>
      <c r="AF56" s="2260"/>
      <c r="AG56" s="2260"/>
      <c r="AH56" s="2260"/>
      <c r="AI56" s="2260"/>
    </row>
    <row r="57" spans="1:35" ht="6" customHeight="1" x14ac:dyDescent="0.25">
      <c r="A57" s="2260"/>
      <c r="B57" s="1092"/>
      <c r="C57" s="1094"/>
      <c r="D57" s="1094"/>
      <c r="E57" s="1094"/>
      <c r="F57" s="1183"/>
      <c r="G57" s="1094"/>
      <c r="H57" s="1094"/>
      <c r="I57" s="1094"/>
      <c r="J57" s="1094"/>
      <c r="K57" s="1094"/>
      <c r="L57" s="1185"/>
      <c r="M57" s="1095"/>
      <c r="N57" s="2260"/>
      <c r="O57" s="2260"/>
      <c r="P57" s="2260"/>
      <c r="S57" s="2260"/>
      <c r="T57" s="2260"/>
      <c r="U57" s="2260"/>
      <c r="V57" s="2260"/>
      <c r="W57" s="2260"/>
      <c r="X57" s="2260"/>
      <c r="Y57" s="2260"/>
      <c r="Z57" s="2260"/>
      <c r="AA57" s="2260"/>
      <c r="AB57" s="2260"/>
      <c r="AC57" s="2260"/>
      <c r="AD57" s="2260"/>
      <c r="AE57" s="2260"/>
      <c r="AF57" s="2260"/>
      <c r="AG57" s="2260"/>
      <c r="AH57" s="2260"/>
      <c r="AI57" s="2260"/>
    </row>
    <row r="58" spans="1:35" ht="16.5" customHeight="1" thickBot="1" x14ac:dyDescent="0.35">
      <c r="A58" s="2260"/>
      <c r="B58" s="1092"/>
      <c r="C58" s="1186"/>
      <c r="D58" s="1186"/>
      <c r="E58" s="1186"/>
      <c r="F58" s="1187">
        <f ca="1">advanced!I94</f>
        <v>0</v>
      </c>
      <c r="G58" s="1188"/>
      <c r="H58" s="1188"/>
      <c r="I58" s="1188"/>
      <c r="J58" s="1187">
        <f ca="1">advanced!N94</f>
        <v>0</v>
      </c>
      <c r="K58" s="1188"/>
      <c r="L58" s="1189">
        <f ca="1">SUM(L52:L57)</f>
        <v>0</v>
      </c>
      <c r="M58" s="1095"/>
      <c r="N58" s="2260"/>
      <c r="O58" s="2260"/>
      <c r="P58" s="2260"/>
      <c r="S58" s="2260"/>
      <c r="T58" s="2260"/>
      <c r="U58" s="2260"/>
      <c r="V58" s="2260"/>
      <c r="W58" s="2260"/>
      <c r="X58" s="2260"/>
      <c r="Y58" s="2260"/>
      <c r="Z58" s="2260"/>
      <c r="AA58" s="2260"/>
      <c r="AB58" s="2260"/>
      <c r="AC58" s="2260"/>
      <c r="AD58" s="2260"/>
      <c r="AE58" s="2260"/>
      <c r="AF58" s="2260"/>
      <c r="AG58" s="2260"/>
      <c r="AH58" s="2260"/>
      <c r="AI58" s="2260"/>
    </row>
    <row r="59" spans="1:35" ht="13.5" thickTop="1" x14ac:dyDescent="0.3">
      <c r="A59" s="2260"/>
      <c r="B59" s="1092"/>
      <c r="C59" s="1190" t="str">
        <f>advanced!G96</f>
        <v>England</v>
      </c>
      <c r="D59" s="1094"/>
      <c r="E59" s="1094"/>
      <c r="F59" s="1094"/>
      <c r="G59" s="1094"/>
      <c r="H59" s="1094"/>
      <c r="I59" s="1094"/>
      <c r="J59" s="1094"/>
      <c r="K59" s="1094"/>
      <c r="L59" s="1191" t="str">
        <f ca="1">advanced!Q95</f>
        <v/>
      </c>
      <c r="M59" s="1095"/>
      <c r="N59" s="2260"/>
      <c r="O59" s="2260"/>
      <c r="P59" s="2260"/>
      <c r="S59" s="2260"/>
      <c r="T59" s="2260"/>
      <c r="U59" s="2260"/>
      <c r="V59" s="2260"/>
      <c r="W59" s="2260"/>
      <c r="X59" s="2260"/>
      <c r="Y59" s="2260"/>
      <c r="Z59" s="2260"/>
      <c r="AA59" s="2260"/>
      <c r="AB59" s="2260"/>
      <c r="AC59" s="2260"/>
      <c r="AD59" s="2260"/>
      <c r="AE59" s="2260"/>
      <c r="AF59" s="2260"/>
      <c r="AG59" s="2260"/>
      <c r="AH59" s="2260"/>
      <c r="AI59" s="2260"/>
    </row>
    <row r="60" spans="1:35" ht="13" x14ac:dyDescent="0.3">
      <c r="A60" s="2260"/>
      <c r="B60" s="1092"/>
      <c r="C60" s="1192" t="str">
        <f>advanced!G97</f>
        <v/>
      </c>
      <c r="D60" s="1094"/>
      <c r="E60" s="1094"/>
      <c r="F60" s="1094"/>
      <c r="G60" s="1094"/>
      <c r="H60" s="1094"/>
      <c r="I60" s="1094"/>
      <c r="J60" s="1094"/>
      <c r="K60" s="1094"/>
      <c r="L60" s="1094"/>
      <c r="M60" s="1095"/>
      <c r="N60" s="2260"/>
      <c r="O60" s="2260"/>
      <c r="P60" s="2260"/>
      <c r="S60" s="2260"/>
      <c r="T60" s="2260"/>
      <c r="U60" s="2260"/>
      <c r="V60" s="2260"/>
      <c r="W60" s="2260"/>
      <c r="X60" s="2260"/>
      <c r="Y60" s="2260"/>
      <c r="Z60" s="2260"/>
      <c r="AA60" s="2260"/>
      <c r="AB60" s="2260"/>
      <c r="AC60" s="2260"/>
      <c r="AD60" s="2260"/>
      <c r="AE60" s="2260"/>
      <c r="AF60" s="2260"/>
      <c r="AG60" s="2260"/>
      <c r="AH60" s="2260"/>
      <c r="AI60" s="2260"/>
    </row>
    <row r="61" spans="1:35" x14ac:dyDescent="0.25">
      <c r="A61" s="2260"/>
      <c r="B61" s="1092"/>
      <c r="C61" s="1112"/>
      <c r="D61" s="1094"/>
      <c r="E61" s="1094"/>
      <c r="F61" s="1094"/>
      <c r="G61" s="1094"/>
      <c r="H61" s="1094"/>
      <c r="I61" s="1094"/>
      <c r="J61" s="1094"/>
      <c r="K61" s="1094"/>
      <c r="L61" s="1094"/>
      <c r="M61" s="1095"/>
      <c r="N61" s="2260"/>
      <c r="O61" s="2260"/>
      <c r="P61" s="2260"/>
      <c r="S61" s="2260"/>
      <c r="T61" s="2260"/>
      <c r="U61" s="2260"/>
      <c r="V61" s="2260"/>
      <c r="W61" s="2260"/>
      <c r="X61" s="2260"/>
      <c r="Y61" s="2260"/>
      <c r="Z61" s="2260"/>
      <c r="AA61" s="2260"/>
      <c r="AB61" s="2260"/>
      <c r="AC61" s="2260"/>
      <c r="AD61" s="2260"/>
      <c r="AE61" s="2260"/>
      <c r="AF61" s="2260"/>
      <c r="AG61" s="2260"/>
      <c r="AH61" s="2260"/>
      <c r="AI61" s="2260"/>
    </row>
    <row r="62" spans="1:35" x14ac:dyDescent="0.25">
      <c r="A62" s="2260"/>
      <c r="B62" s="1092"/>
      <c r="C62" s="1112" t="str">
        <f>advanced!G98</f>
        <v xml:space="preserve"> </v>
      </c>
      <c r="D62" s="1094"/>
      <c r="E62" s="1094"/>
      <c r="F62" s="1094"/>
      <c r="G62" s="1094"/>
      <c r="H62" s="1094"/>
      <c r="I62" s="1094"/>
      <c r="J62" s="1094"/>
      <c r="K62" s="1094"/>
      <c r="L62" s="1094"/>
      <c r="M62" s="1095"/>
      <c r="N62" s="2260"/>
      <c r="O62" s="2260"/>
      <c r="P62" s="2260"/>
      <c r="S62" s="2260"/>
      <c r="T62" s="2260"/>
      <c r="U62" s="2260"/>
      <c r="V62" s="2260"/>
      <c r="W62" s="2260"/>
      <c r="X62" s="2260"/>
      <c r="Y62" s="2260"/>
      <c r="Z62" s="2260"/>
      <c r="AA62" s="2260"/>
      <c r="AB62" s="2260"/>
      <c r="AC62" s="2260"/>
      <c r="AD62" s="2260"/>
      <c r="AE62" s="2260"/>
      <c r="AF62" s="2260"/>
      <c r="AG62" s="2260"/>
      <c r="AH62" s="2260"/>
      <c r="AI62" s="2260"/>
    </row>
    <row r="63" spans="1:35" x14ac:dyDescent="0.25">
      <c r="A63" s="2260"/>
      <c r="B63" s="1168"/>
      <c r="C63" s="1147" t="str">
        <f>advanced!F100</f>
        <v/>
      </c>
      <c r="D63" s="1105"/>
      <c r="E63" s="1105"/>
      <c r="F63" s="1105"/>
      <c r="G63" s="1105"/>
      <c r="H63" s="1105"/>
      <c r="I63" s="1105"/>
      <c r="J63" s="1105"/>
      <c r="K63" s="1105"/>
      <c r="L63" s="1105"/>
      <c r="M63" s="1171"/>
      <c r="N63" s="2260"/>
      <c r="O63" s="2260"/>
      <c r="P63" s="2260"/>
      <c r="S63" s="2260"/>
      <c r="T63" s="2260"/>
      <c r="U63" s="2260"/>
      <c r="V63" s="2260"/>
      <c r="W63" s="2260"/>
      <c r="X63" s="2260"/>
      <c r="Y63" s="2260"/>
      <c r="Z63" s="2260"/>
      <c r="AA63" s="2260"/>
      <c r="AB63" s="2260"/>
      <c r="AC63" s="2260"/>
      <c r="AD63" s="2260"/>
      <c r="AE63" s="2260"/>
      <c r="AF63" s="2260"/>
      <c r="AG63" s="2260"/>
      <c r="AH63" s="2260"/>
      <c r="AI63" s="2260"/>
    </row>
    <row r="64" spans="1:35" x14ac:dyDescent="0.25">
      <c r="A64" s="2260"/>
      <c r="B64" s="2267"/>
      <c r="C64" s="2267"/>
      <c r="D64" s="2267"/>
      <c r="E64" s="2267"/>
      <c r="F64" s="2267"/>
      <c r="G64" s="2267"/>
      <c r="H64" s="2267"/>
      <c r="I64" s="2267"/>
      <c r="J64" s="2267"/>
      <c r="K64" s="2267"/>
      <c r="L64" s="2267"/>
      <c r="M64" s="2267"/>
      <c r="N64" s="2260"/>
      <c r="O64" s="2260"/>
      <c r="P64" s="2260"/>
      <c r="S64" s="2260"/>
      <c r="T64" s="2260"/>
      <c r="U64" s="2260"/>
      <c r="V64" s="2260"/>
      <c r="W64" s="2260"/>
      <c r="X64" s="2260"/>
      <c r="Y64" s="2260"/>
      <c r="Z64" s="2260"/>
      <c r="AA64" s="2260"/>
      <c r="AB64" s="2260"/>
      <c r="AC64" s="2260"/>
      <c r="AD64" s="2260"/>
      <c r="AE64" s="2260"/>
      <c r="AF64" s="2260"/>
      <c r="AG64" s="2260"/>
      <c r="AH64" s="2260"/>
      <c r="AI64" s="2260"/>
    </row>
    <row r="65" spans="1:35" x14ac:dyDescent="0.25">
      <c r="A65" s="2260"/>
      <c r="B65" s="1086"/>
      <c r="C65" s="1087"/>
      <c r="D65" s="1087"/>
      <c r="E65" s="1087"/>
      <c r="F65" s="1087"/>
      <c r="G65" s="1087"/>
      <c r="H65" s="1087"/>
      <c r="I65" s="1087"/>
      <c r="J65" s="1087"/>
      <c r="K65" s="1087"/>
      <c r="L65" s="1087"/>
      <c r="M65" s="1090"/>
      <c r="N65" s="2260"/>
      <c r="O65" s="2260"/>
      <c r="P65" s="2260"/>
      <c r="S65" s="2260"/>
      <c r="T65" s="2260"/>
      <c r="U65" s="2260"/>
      <c r="V65" s="2260"/>
      <c r="W65" s="2260"/>
      <c r="X65" s="2260"/>
      <c r="Y65" s="2260"/>
      <c r="Z65" s="2260"/>
      <c r="AA65" s="2260"/>
      <c r="AB65" s="2260"/>
      <c r="AC65" s="2260"/>
      <c r="AD65" s="2260"/>
      <c r="AE65" s="2260"/>
      <c r="AF65" s="2260"/>
      <c r="AG65" s="2260"/>
      <c r="AH65" s="2260"/>
      <c r="AI65" s="2260"/>
    </row>
    <row r="66" spans="1:35" ht="15.5" x14ac:dyDescent="0.35">
      <c r="A66" s="2260"/>
      <c r="B66" s="1168"/>
      <c r="C66" s="1193" t="s">
        <v>920</v>
      </c>
      <c r="D66" s="1194"/>
      <c r="E66" s="1195" t="str">
        <f>codes!F4</f>
        <v>CBRE</v>
      </c>
      <c r="F66" s="1105"/>
      <c r="G66" s="1105"/>
      <c r="H66" s="1105"/>
      <c r="I66" s="1105"/>
      <c r="J66" s="1105"/>
      <c r="K66" s="1105"/>
      <c r="L66" s="1196">
        <f ca="1">K8</f>
        <v>46155</v>
      </c>
      <c r="M66" s="1171"/>
      <c r="N66" s="2260"/>
      <c r="O66" s="2260"/>
      <c r="P66" s="2260"/>
      <c r="S66" s="2260"/>
      <c r="T66" s="2260"/>
      <c r="U66" s="2260"/>
      <c r="V66" s="2260"/>
      <c r="W66" s="2260"/>
      <c r="X66" s="2260"/>
      <c r="Y66" s="2260"/>
      <c r="Z66" s="2260"/>
      <c r="AA66" s="2260"/>
      <c r="AB66" s="2260"/>
      <c r="AC66" s="2260"/>
      <c r="AD66" s="2260"/>
      <c r="AE66" s="2260"/>
      <c r="AF66" s="2260"/>
      <c r="AG66" s="2260"/>
      <c r="AH66" s="2260"/>
      <c r="AI66" s="2260"/>
    </row>
    <row r="67" spans="1:35" x14ac:dyDescent="0.25">
      <c r="A67" s="2251"/>
      <c r="B67" s="2260"/>
      <c r="C67" s="2260"/>
      <c r="D67" s="2260"/>
      <c r="E67" s="2260"/>
      <c r="F67" s="2260"/>
      <c r="G67" s="2260"/>
      <c r="H67" s="2260"/>
      <c r="I67" s="2260"/>
      <c r="J67" s="2260"/>
      <c r="K67" s="2260"/>
      <c r="L67" s="2260"/>
      <c r="M67" s="2260"/>
      <c r="N67" s="2260"/>
      <c r="O67" s="2260"/>
      <c r="P67" s="2260"/>
      <c r="S67" s="2260"/>
      <c r="T67" s="2260"/>
      <c r="U67" s="2260"/>
      <c r="V67" s="2260"/>
      <c r="W67" s="2260"/>
      <c r="X67" s="2260"/>
      <c r="Y67" s="2260"/>
      <c r="Z67" s="2260"/>
      <c r="AA67" s="2260"/>
      <c r="AB67" s="2260"/>
      <c r="AC67" s="2260"/>
      <c r="AD67" s="2260"/>
      <c r="AE67" s="2260"/>
      <c r="AF67" s="2260"/>
      <c r="AG67" s="2260"/>
      <c r="AH67" s="2260"/>
      <c r="AI67" s="2260"/>
    </row>
    <row r="68" spans="1:35" x14ac:dyDescent="0.25">
      <c r="A68" s="2260"/>
      <c r="B68" s="2260"/>
      <c r="C68" s="2260"/>
      <c r="D68" s="2260"/>
      <c r="E68" s="2260"/>
      <c r="F68" s="2260"/>
      <c r="G68" s="2260"/>
      <c r="H68" s="2260"/>
      <c r="I68" s="2260"/>
      <c r="J68" s="2260"/>
      <c r="K68" s="2260"/>
      <c r="L68" s="2260"/>
      <c r="M68" s="2260"/>
      <c r="N68" s="2260"/>
      <c r="O68" s="2260"/>
      <c r="P68" s="2260"/>
      <c r="S68" s="2260"/>
      <c r="T68" s="2260"/>
      <c r="U68" s="2260"/>
      <c r="V68" s="2260"/>
      <c r="W68" s="2260"/>
      <c r="X68" s="2260"/>
      <c r="Y68" s="2260"/>
      <c r="Z68" s="2260"/>
      <c r="AA68" s="2260"/>
      <c r="AB68" s="2260"/>
      <c r="AC68" s="2260"/>
      <c r="AD68" s="2260"/>
      <c r="AE68" s="2260"/>
      <c r="AF68" s="2260"/>
      <c r="AG68" s="2260"/>
      <c r="AH68" s="2260"/>
      <c r="AI68" s="2260"/>
    </row>
    <row r="69" spans="1:35" x14ac:dyDescent="0.25">
      <c r="A69" s="2260"/>
      <c r="B69" s="2260"/>
      <c r="C69" s="2260"/>
      <c r="D69" s="2260"/>
      <c r="E69" s="2260"/>
      <c r="F69" s="2260"/>
      <c r="G69" s="2260"/>
      <c r="H69" s="2260"/>
      <c r="I69" s="2260"/>
      <c r="J69" s="2260"/>
      <c r="K69" s="2260"/>
      <c r="L69" s="2260"/>
      <c r="M69" s="2260"/>
      <c r="N69" s="2260"/>
      <c r="O69" s="2260"/>
      <c r="P69" s="2260"/>
      <c r="S69" s="2260"/>
      <c r="T69" s="2260"/>
      <c r="U69" s="2260"/>
      <c r="V69" s="2260"/>
      <c r="W69" s="2260"/>
      <c r="X69" s="2260"/>
      <c r="Y69" s="2260"/>
      <c r="Z69" s="2260"/>
      <c r="AA69" s="2260"/>
      <c r="AB69" s="2260"/>
      <c r="AC69" s="2260"/>
      <c r="AD69" s="2260"/>
      <c r="AE69" s="2260"/>
      <c r="AF69" s="2260"/>
      <c r="AG69" s="2260"/>
      <c r="AH69" s="2260"/>
      <c r="AI69" s="2260"/>
    </row>
    <row r="70" spans="1:35" x14ac:dyDescent="0.25">
      <c r="A70" s="2260"/>
      <c r="B70" s="2260"/>
      <c r="C70" s="2260"/>
      <c r="D70" s="2260"/>
      <c r="E70" s="2260"/>
      <c r="F70" s="2260"/>
      <c r="G70" s="2260"/>
      <c r="H70" s="2260"/>
      <c r="I70" s="2260"/>
      <c r="J70" s="2260"/>
      <c r="K70" s="2260"/>
      <c r="L70" s="2260"/>
      <c r="M70" s="2260"/>
      <c r="N70" s="2260"/>
      <c r="O70" s="2260"/>
      <c r="P70" s="2260"/>
      <c r="S70" s="2260"/>
      <c r="T70" s="2260"/>
      <c r="U70" s="2260"/>
      <c r="V70" s="2260"/>
      <c r="W70" s="2260"/>
      <c r="X70" s="2260"/>
      <c r="Y70" s="2260"/>
      <c r="Z70" s="2260"/>
      <c r="AA70" s="2260"/>
      <c r="AB70" s="2260"/>
      <c r="AC70" s="2260"/>
      <c r="AD70" s="2260"/>
      <c r="AE70" s="2260"/>
      <c r="AF70" s="2260"/>
      <c r="AG70" s="2260"/>
      <c r="AH70" s="2260"/>
      <c r="AI70" s="2260"/>
    </row>
    <row r="71" spans="1:35" x14ac:dyDescent="0.25">
      <c r="A71" s="2260"/>
      <c r="B71" s="2260"/>
      <c r="C71" s="2260"/>
      <c r="D71" s="2260"/>
      <c r="E71" s="2260"/>
      <c r="F71" s="2260"/>
      <c r="G71" s="2260"/>
      <c r="H71" s="2260"/>
      <c r="I71" s="2260"/>
      <c r="J71" s="2260"/>
      <c r="K71" s="2260"/>
      <c r="L71" s="2260"/>
      <c r="M71" s="2260"/>
      <c r="N71" s="2260"/>
      <c r="O71" s="2260"/>
      <c r="P71" s="2260"/>
      <c r="S71" s="2260"/>
      <c r="T71" s="2260"/>
      <c r="U71" s="2260"/>
      <c r="V71" s="2260"/>
      <c r="W71" s="2260"/>
      <c r="X71" s="2260"/>
      <c r="Y71" s="2260"/>
      <c r="Z71" s="2260"/>
      <c r="AA71" s="2260"/>
      <c r="AB71" s="2260"/>
      <c r="AC71" s="2260"/>
      <c r="AD71" s="2260"/>
      <c r="AE71" s="2260"/>
      <c r="AF71" s="2260"/>
      <c r="AG71" s="2260"/>
      <c r="AH71" s="2260"/>
      <c r="AI71" s="2260"/>
    </row>
    <row r="72" spans="1:35" x14ac:dyDescent="0.25">
      <c r="A72" s="2260"/>
      <c r="B72" s="2260"/>
      <c r="C72" s="2260"/>
      <c r="D72" s="2260"/>
      <c r="E72" s="2260"/>
      <c r="F72" s="2260"/>
      <c r="G72" s="2260"/>
      <c r="H72" s="2260"/>
      <c r="I72" s="2260"/>
      <c r="J72" s="2260"/>
      <c r="K72" s="2260"/>
      <c r="L72" s="2260"/>
      <c r="M72" s="2260"/>
      <c r="N72" s="2260"/>
      <c r="O72" s="2260"/>
      <c r="P72" s="2260"/>
      <c r="S72" s="2260"/>
      <c r="T72" s="2260"/>
      <c r="U72" s="2260"/>
      <c r="V72" s="2260"/>
      <c r="W72" s="2260"/>
      <c r="X72" s="2260"/>
      <c r="Y72" s="2260"/>
      <c r="Z72" s="2260"/>
      <c r="AA72" s="2260"/>
      <c r="AB72" s="2260"/>
      <c r="AC72" s="2260"/>
      <c r="AD72" s="2260"/>
      <c r="AE72" s="2260"/>
      <c r="AF72" s="2260"/>
      <c r="AG72" s="2260"/>
      <c r="AH72" s="2260"/>
      <c r="AI72" s="2260"/>
    </row>
    <row r="73" spans="1:35" x14ac:dyDescent="0.25">
      <c r="A73" s="2260"/>
      <c r="B73" s="2260"/>
      <c r="C73" s="2260"/>
      <c r="D73" s="2260"/>
      <c r="E73" s="2260"/>
      <c r="F73" s="2260"/>
      <c r="G73" s="2260"/>
      <c r="H73" s="2260"/>
      <c r="I73" s="2260"/>
      <c r="J73" s="2260"/>
      <c r="K73" s="2260"/>
      <c r="L73" s="2260"/>
      <c r="M73" s="2260"/>
      <c r="N73" s="2260"/>
      <c r="O73" s="2260"/>
      <c r="P73" s="2260"/>
      <c r="S73" s="2260"/>
      <c r="T73" s="2260"/>
      <c r="U73" s="2260"/>
      <c r="V73" s="2260"/>
      <c r="W73" s="2260"/>
      <c r="X73" s="2260"/>
      <c r="Y73" s="2260"/>
      <c r="Z73" s="2260"/>
      <c r="AA73" s="2260"/>
      <c r="AB73" s="2260"/>
      <c r="AC73" s="2260"/>
      <c r="AD73" s="2260"/>
      <c r="AE73" s="2260"/>
      <c r="AF73" s="2260"/>
      <c r="AG73" s="2260"/>
      <c r="AH73" s="2260"/>
      <c r="AI73" s="2260"/>
    </row>
    <row r="74" spans="1:35" x14ac:dyDescent="0.25">
      <c r="A74" s="2260"/>
      <c r="B74" s="2260"/>
      <c r="C74" s="2260"/>
      <c r="D74" s="2260"/>
      <c r="E74" s="2260"/>
      <c r="F74" s="2260"/>
      <c r="G74" s="2260"/>
      <c r="H74" s="2260"/>
      <c r="I74" s="2260"/>
      <c r="J74" s="2260"/>
      <c r="K74" s="2260"/>
      <c r="L74" s="2260"/>
      <c r="M74" s="2260"/>
      <c r="N74" s="2260"/>
      <c r="O74" s="2260"/>
      <c r="P74" s="2260"/>
      <c r="S74" s="2260"/>
      <c r="T74" s="2260"/>
      <c r="U74" s="2260"/>
      <c r="V74" s="2260"/>
      <c r="W74" s="2260"/>
      <c r="X74" s="2260"/>
      <c r="Y74" s="2260"/>
      <c r="Z74" s="2260"/>
      <c r="AA74" s="2260"/>
      <c r="AB74" s="2260"/>
      <c r="AC74" s="2260"/>
      <c r="AD74" s="2260"/>
      <c r="AE74" s="2260"/>
      <c r="AF74" s="2260"/>
      <c r="AG74" s="2260"/>
      <c r="AH74" s="2260"/>
      <c r="AI74" s="2260"/>
    </row>
    <row r="75" spans="1:35" x14ac:dyDescent="0.25">
      <c r="A75" s="2260"/>
      <c r="B75" s="2260"/>
      <c r="C75" s="2260"/>
      <c r="D75" s="2260"/>
      <c r="E75" s="2260"/>
      <c r="F75" s="2260"/>
      <c r="G75" s="2260"/>
      <c r="H75" s="2260"/>
      <c r="I75" s="2260"/>
      <c r="J75" s="2260"/>
      <c r="K75" s="2260"/>
      <c r="L75" s="2260"/>
      <c r="M75" s="2260"/>
      <c r="N75" s="2260"/>
      <c r="O75" s="2260"/>
      <c r="P75" s="2260"/>
      <c r="S75" s="2260"/>
      <c r="T75" s="2260"/>
      <c r="U75" s="2260"/>
      <c r="V75" s="2260"/>
      <c r="W75" s="2260"/>
      <c r="X75" s="2260"/>
      <c r="Y75" s="2260"/>
      <c r="Z75" s="2260"/>
      <c r="AA75" s="2260"/>
      <c r="AB75" s="2260"/>
      <c r="AC75" s="2260"/>
      <c r="AD75" s="2260"/>
      <c r="AE75" s="2260"/>
      <c r="AF75" s="2260"/>
      <c r="AG75" s="2260"/>
      <c r="AH75" s="2260"/>
      <c r="AI75" s="2260"/>
    </row>
    <row r="76" spans="1:35" x14ac:dyDescent="0.25">
      <c r="A76" s="2260"/>
      <c r="B76" s="2260"/>
      <c r="C76" s="2260"/>
      <c r="D76" s="2260"/>
      <c r="E76" s="2260"/>
      <c r="F76" s="2260"/>
      <c r="G76" s="2260"/>
      <c r="H76" s="2260"/>
      <c r="I76" s="2260"/>
      <c r="J76" s="2260"/>
      <c r="K76" s="2260"/>
      <c r="L76" s="2260"/>
      <c r="M76" s="2260"/>
      <c r="N76" s="2260"/>
      <c r="O76" s="2260"/>
      <c r="P76" s="2260"/>
      <c r="S76" s="2260"/>
      <c r="T76" s="2260"/>
      <c r="U76" s="2260"/>
      <c r="V76" s="2260"/>
      <c r="W76" s="2260"/>
      <c r="X76" s="2260"/>
      <c r="Y76" s="2260"/>
      <c r="Z76" s="2260"/>
      <c r="AA76" s="2260"/>
      <c r="AB76" s="2260"/>
      <c r="AC76" s="2260"/>
      <c r="AD76" s="2260"/>
      <c r="AE76" s="2260"/>
      <c r="AF76" s="2260"/>
      <c r="AG76" s="2260"/>
      <c r="AH76" s="2260"/>
      <c r="AI76" s="2260"/>
    </row>
    <row r="77" spans="1:35" x14ac:dyDescent="0.25">
      <c r="A77" s="2260"/>
      <c r="B77" s="2260"/>
      <c r="C77" s="2260"/>
      <c r="D77" s="2260"/>
      <c r="E77" s="2260"/>
      <c r="F77" s="2260"/>
      <c r="G77" s="2260"/>
      <c r="H77" s="2260"/>
      <c r="I77" s="2260"/>
      <c r="J77" s="2260"/>
      <c r="K77" s="2260"/>
      <c r="L77" s="2260"/>
      <c r="M77" s="2260"/>
      <c r="N77" s="2260"/>
      <c r="O77" s="2260"/>
      <c r="P77" s="2260"/>
      <c r="S77" s="2260"/>
      <c r="T77" s="2260"/>
      <c r="U77" s="2260"/>
      <c r="V77" s="2260"/>
      <c r="W77" s="2260"/>
      <c r="X77" s="2260"/>
      <c r="Y77" s="2260"/>
      <c r="Z77" s="2260"/>
      <c r="AA77" s="2260"/>
      <c r="AB77" s="2260"/>
      <c r="AC77" s="2260"/>
      <c r="AD77" s="2260"/>
      <c r="AE77" s="2260"/>
      <c r="AF77" s="2260"/>
      <c r="AG77" s="2260"/>
      <c r="AH77" s="2260"/>
      <c r="AI77" s="2260"/>
    </row>
    <row r="78" spans="1:35" x14ac:dyDescent="0.25">
      <c r="A78" s="2260"/>
      <c r="B78" s="2260"/>
      <c r="C78" s="2260"/>
      <c r="D78" s="2260"/>
      <c r="E78" s="2260"/>
      <c r="F78" s="2260"/>
      <c r="G78" s="2260"/>
      <c r="H78" s="2260"/>
      <c r="I78" s="2260"/>
      <c r="J78" s="2260"/>
      <c r="K78" s="2260"/>
      <c r="L78" s="2260"/>
      <c r="M78" s="2260"/>
      <c r="N78" s="2260"/>
      <c r="O78" s="2260"/>
      <c r="P78" s="2260"/>
      <c r="S78" s="2260"/>
      <c r="T78" s="2260"/>
      <c r="U78" s="2260"/>
      <c r="V78" s="2260"/>
      <c r="W78" s="2260"/>
      <c r="X78" s="2260"/>
      <c r="Y78" s="2260"/>
      <c r="Z78" s="2260"/>
      <c r="AA78" s="2260"/>
      <c r="AB78" s="2260"/>
      <c r="AC78" s="2260"/>
      <c r="AD78" s="2260"/>
      <c r="AE78" s="2260"/>
      <c r="AF78" s="2260"/>
      <c r="AG78" s="2260"/>
      <c r="AH78" s="2260"/>
      <c r="AI78" s="2260"/>
    </row>
    <row r="79" spans="1:35" x14ac:dyDescent="0.25">
      <c r="A79" s="2260"/>
      <c r="B79" s="2260"/>
      <c r="C79" s="2260"/>
      <c r="D79" s="2260"/>
      <c r="E79" s="2260"/>
      <c r="F79" s="2260"/>
      <c r="G79" s="2260"/>
      <c r="H79" s="2260"/>
      <c r="I79" s="2260"/>
      <c r="J79" s="2260"/>
      <c r="K79" s="2260"/>
      <c r="L79" s="2260"/>
      <c r="M79" s="2260"/>
      <c r="N79" s="2260"/>
      <c r="O79" s="2260"/>
      <c r="P79" s="2260"/>
      <c r="S79" s="2260"/>
      <c r="T79" s="2260"/>
      <c r="U79" s="2260"/>
      <c r="V79" s="2260"/>
      <c r="W79" s="2260"/>
      <c r="X79" s="2260"/>
      <c r="Y79" s="2260"/>
      <c r="Z79" s="2260"/>
      <c r="AA79" s="2260"/>
      <c r="AB79" s="2260"/>
      <c r="AC79" s="2260"/>
      <c r="AD79" s="2260"/>
      <c r="AE79" s="2260"/>
      <c r="AF79" s="2260"/>
      <c r="AG79" s="2260"/>
      <c r="AH79" s="2260"/>
      <c r="AI79" s="2260"/>
    </row>
    <row r="80" spans="1:35" x14ac:dyDescent="0.25">
      <c r="A80" s="2260"/>
      <c r="B80" s="2260"/>
      <c r="C80" s="2260"/>
      <c r="D80" s="2260"/>
      <c r="E80" s="2260"/>
      <c r="F80" s="2260"/>
      <c r="G80" s="2260"/>
      <c r="H80" s="2260"/>
      <c r="I80" s="2260"/>
      <c r="J80" s="2260"/>
      <c r="K80" s="2260"/>
      <c r="L80" s="2260"/>
      <c r="M80" s="2260"/>
      <c r="N80" s="2260"/>
      <c r="O80" s="2260"/>
      <c r="P80" s="2260"/>
      <c r="S80" s="2260"/>
      <c r="T80" s="2260"/>
      <c r="U80" s="2260"/>
      <c r="V80" s="2260"/>
      <c r="W80" s="2260"/>
      <c r="X80" s="2260"/>
      <c r="Y80" s="2260"/>
      <c r="Z80" s="2260"/>
      <c r="AA80" s="2260"/>
      <c r="AB80" s="2260"/>
      <c r="AC80" s="2260"/>
      <c r="AD80" s="2260"/>
      <c r="AE80" s="2260"/>
      <c r="AF80" s="2260"/>
      <c r="AG80" s="2260"/>
      <c r="AH80" s="2260"/>
      <c r="AI80" s="2260"/>
    </row>
    <row r="81" spans="1:35" x14ac:dyDescent="0.25">
      <c r="A81" s="2260"/>
      <c r="B81" s="2260"/>
      <c r="C81" s="2260"/>
      <c r="D81" s="2260"/>
      <c r="E81" s="2260"/>
      <c r="F81" s="2260"/>
      <c r="G81" s="2260"/>
      <c r="H81" s="2260"/>
      <c r="I81" s="2260"/>
      <c r="J81" s="2260"/>
      <c r="K81" s="2260"/>
      <c r="L81" s="2260"/>
      <c r="M81" s="2260"/>
      <c r="N81" s="2260"/>
      <c r="O81" s="2260"/>
      <c r="P81" s="2260"/>
      <c r="S81" s="2260"/>
      <c r="T81" s="2260"/>
      <c r="U81" s="2260"/>
      <c r="V81" s="2260"/>
      <c r="W81" s="2260"/>
      <c r="X81" s="2260"/>
      <c r="Y81" s="2260"/>
      <c r="Z81" s="2260"/>
      <c r="AA81" s="2260"/>
      <c r="AB81" s="2260"/>
      <c r="AC81" s="2260"/>
      <c r="AD81" s="2260"/>
      <c r="AE81" s="2260"/>
      <c r="AF81" s="2260"/>
      <c r="AG81" s="2260"/>
      <c r="AH81" s="2260"/>
      <c r="AI81" s="2260"/>
    </row>
    <row r="82" spans="1:35" x14ac:dyDescent="0.25">
      <c r="A82" s="2260"/>
      <c r="B82" s="2260"/>
      <c r="C82" s="2260"/>
      <c r="D82" s="2260"/>
      <c r="E82" s="2260"/>
      <c r="F82" s="2260"/>
      <c r="G82" s="2260"/>
      <c r="H82" s="2260"/>
      <c r="I82" s="2260"/>
      <c r="J82" s="2260"/>
      <c r="K82" s="2260"/>
      <c r="L82" s="2260"/>
      <c r="M82" s="2260"/>
      <c r="N82" s="2260"/>
      <c r="O82" s="2260"/>
      <c r="P82" s="2260"/>
      <c r="S82" s="2260"/>
      <c r="T82" s="2260"/>
      <c r="U82" s="2260"/>
      <c r="V82" s="2260"/>
      <c r="W82" s="2260"/>
      <c r="X82" s="2260"/>
      <c r="Y82" s="2260"/>
      <c r="Z82" s="2260"/>
      <c r="AA82" s="2260"/>
      <c r="AB82" s="2260"/>
      <c r="AC82" s="2260"/>
      <c r="AD82" s="2260"/>
      <c r="AE82" s="2260"/>
      <c r="AF82" s="2260"/>
      <c r="AG82" s="2260"/>
      <c r="AH82" s="2260"/>
      <c r="AI82" s="2260"/>
    </row>
    <row r="83" spans="1:35" x14ac:dyDescent="0.25">
      <c r="A83" s="2260"/>
      <c r="B83" s="2260"/>
      <c r="C83" s="2260"/>
      <c r="D83" s="2260"/>
      <c r="E83" s="2260"/>
      <c r="F83" s="2260"/>
      <c r="G83" s="2260"/>
      <c r="H83" s="2260"/>
      <c r="I83" s="2260"/>
      <c r="J83" s="2260"/>
      <c r="K83" s="2260"/>
      <c r="L83" s="2260"/>
      <c r="M83" s="2260"/>
      <c r="N83" s="2260"/>
      <c r="O83" s="2260"/>
      <c r="P83" s="2260"/>
      <c r="S83" s="2260"/>
      <c r="T83" s="2260"/>
      <c r="U83" s="2260"/>
      <c r="V83" s="2260"/>
      <c r="W83" s="2260"/>
      <c r="X83" s="2260"/>
      <c r="Y83" s="2260"/>
      <c r="Z83" s="2260"/>
      <c r="AA83" s="2260"/>
      <c r="AB83" s="2260"/>
      <c r="AC83" s="2260"/>
      <c r="AD83" s="2260"/>
      <c r="AE83" s="2260"/>
      <c r="AF83" s="2260"/>
      <c r="AG83" s="2260"/>
      <c r="AH83" s="2260"/>
      <c r="AI83" s="2260"/>
    </row>
    <row r="84" spans="1:35" x14ac:dyDescent="0.25">
      <c r="A84" s="2260"/>
      <c r="B84" s="2260"/>
      <c r="C84" s="2260"/>
      <c r="D84" s="2260"/>
      <c r="E84" s="2260"/>
      <c r="F84" s="2260"/>
      <c r="G84" s="2260"/>
      <c r="H84" s="2260"/>
      <c r="I84" s="2260"/>
      <c r="J84" s="2260"/>
      <c r="K84" s="2260"/>
      <c r="L84" s="2260"/>
      <c r="M84" s="2260"/>
      <c r="N84" s="2260"/>
      <c r="O84" s="2260"/>
      <c r="P84" s="2260"/>
      <c r="S84" s="2260"/>
      <c r="T84" s="2260"/>
      <c r="U84" s="2260"/>
      <c r="V84" s="2260"/>
      <c r="W84" s="2260"/>
      <c r="X84" s="2260"/>
      <c r="Y84" s="2260"/>
      <c r="Z84" s="2260"/>
      <c r="AA84" s="2260"/>
      <c r="AB84" s="2260"/>
      <c r="AC84" s="2260"/>
      <c r="AD84" s="2260"/>
      <c r="AE84" s="2260"/>
      <c r="AF84" s="2260"/>
      <c r="AG84" s="2260"/>
      <c r="AH84" s="2260"/>
      <c r="AI84" s="2260"/>
    </row>
    <row r="85" spans="1:35" x14ac:dyDescent="0.25">
      <c r="A85" s="2260"/>
      <c r="B85" s="2260"/>
      <c r="C85" s="2260"/>
      <c r="D85" s="2260"/>
      <c r="E85" s="2260"/>
      <c r="F85" s="2260"/>
      <c r="G85" s="2260"/>
      <c r="H85" s="2260"/>
      <c r="I85" s="2260"/>
      <c r="J85" s="2260"/>
      <c r="K85" s="2260"/>
      <c r="L85" s="2260"/>
      <c r="M85" s="2260"/>
      <c r="N85" s="2260"/>
      <c r="O85" s="2260"/>
      <c r="P85" s="2260"/>
      <c r="S85" s="2260"/>
      <c r="T85" s="2260"/>
      <c r="U85" s="2260"/>
      <c r="V85" s="2260"/>
      <c r="W85" s="2260"/>
      <c r="X85" s="2260"/>
      <c r="Y85" s="2260"/>
      <c r="Z85" s="2260"/>
      <c r="AA85" s="2260"/>
      <c r="AB85" s="2260"/>
      <c r="AC85" s="2260"/>
      <c r="AD85" s="2260"/>
      <c r="AE85" s="2260"/>
      <c r="AF85" s="2260"/>
      <c r="AG85" s="2260"/>
      <c r="AH85" s="2260"/>
      <c r="AI85" s="2260"/>
    </row>
    <row r="86" spans="1:35" x14ac:dyDescent="0.25">
      <c r="A86" s="2260"/>
      <c r="B86" s="2260"/>
      <c r="C86" s="2260"/>
      <c r="D86" s="2260"/>
      <c r="E86" s="2260"/>
      <c r="F86" s="2260"/>
      <c r="G86" s="2260"/>
      <c r="H86" s="2260"/>
      <c r="I86" s="2260"/>
      <c r="J86" s="2260"/>
      <c r="K86" s="2260"/>
      <c r="L86" s="2260"/>
      <c r="M86" s="2260"/>
      <c r="N86" s="2260"/>
      <c r="O86" s="2260"/>
      <c r="P86" s="2260"/>
      <c r="S86" s="2260"/>
      <c r="T86" s="2260"/>
      <c r="U86" s="2260"/>
      <c r="V86" s="2260"/>
      <c r="W86" s="2260"/>
      <c r="X86" s="2260"/>
      <c r="Y86" s="2260"/>
      <c r="Z86" s="2260"/>
      <c r="AA86" s="2260"/>
      <c r="AB86" s="2260"/>
      <c r="AC86" s="2260"/>
      <c r="AD86" s="2260"/>
      <c r="AE86" s="2260"/>
      <c r="AF86" s="2260"/>
      <c r="AG86" s="2260"/>
      <c r="AH86" s="2260"/>
      <c r="AI86" s="2260"/>
    </row>
    <row r="87" spans="1:35" x14ac:dyDescent="0.25">
      <c r="A87" s="2260"/>
      <c r="B87" s="2260"/>
      <c r="C87" s="2260"/>
      <c r="D87" s="2260"/>
      <c r="E87" s="2260"/>
      <c r="F87" s="2260"/>
      <c r="G87" s="2260"/>
      <c r="H87" s="2260"/>
      <c r="I87" s="2260"/>
      <c r="J87" s="2260"/>
      <c r="K87" s="2260"/>
      <c r="L87" s="2260"/>
      <c r="M87" s="2260"/>
      <c r="N87" s="2260"/>
      <c r="O87" s="2260"/>
      <c r="P87" s="2260"/>
      <c r="S87" s="2260"/>
      <c r="T87" s="2260"/>
      <c r="U87" s="2260"/>
      <c r="V87" s="2260"/>
      <c r="W87" s="2260"/>
      <c r="X87" s="2260"/>
      <c r="Y87" s="2260"/>
      <c r="Z87" s="2260"/>
      <c r="AA87" s="2260"/>
      <c r="AB87" s="2260"/>
      <c r="AC87" s="2260"/>
      <c r="AD87" s="2260"/>
      <c r="AE87" s="2260"/>
      <c r="AF87" s="2260"/>
      <c r="AG87" s="2260"/>
      <c r="AH87" s="2260"/>
      <c r="AI87" s="2260"/>
    </row>
    <row r="88" spans="1:35" x14ac:dyDescent="0.25">
      <c r="A88" s="2260"/>
      <c r="B88" s="2260"/>
      <c r="C88" s="2260"/>
      <c r="D88" s="2260"/>
      <c r="E88" s="2260"/>
      <c r="F88" s="2260"/>
      <c r="G88" s="2260"/>
      <c r="H88" s="2260"/>
      <c r="I88" s="2260"/>
      <c r="J88" s="2260"/>
      <c r="K88" s="2260"/>
      <c r="L88" s="2260"/>
      <c r="M88" s="2260"/>
      <c r="N88" s="2260"/>
      <c r="O88" s="2260"/>
      <c r="P88" s="2260"/>
      <c r="S88" s="2260"/>
      <c r="T88" s="2260"/>
      <c r="U88" s="2260"/>
      <c r="V88" s="2260"/>
      <c r="W88" s="2260"/>
      <c r="X88" s="2260"/>
      <c r="Y88" s="2260"/>
      <c r="Z88" s="2260"/>
      <c r="AA88" s="2260"/>
      <c r="AB88" s="2260"/>
      <c r="AC88" s="2260"/>
      <c r="AD88" s="2260"/>
      <c r="AE88" s="2260"/>
      <c r="AF88" s="2260"/>
      <c r="AG88" s="2260"/>
      <c r="AH88" s="2260"/>
      <c r="AI88" s="2260"/>
    </row>
    <row r="89" spans="1:35" x14ac:dyDescent="0.25">
      <c r="A89" s="2260"/>
      <c r="B89" s="2260"/>
      <c r="C89" s="2260"/>
      <c r="D89" s="2260"/>
      <c r="E89" s="2260"/>
      <c r="F89" s="2260"/>
      <c r="G89" s="2260"/>
      <c r="H89" s="2260"/>
      <c r="I89" s="2260"/>
      <c r="J89" s="2260"/>
      <c r="K89" s="2260"/>
      <c r="L89" s="2260"/>
      <c r="M89" s="2260"/>
      <c r="N89" s="2260"/>
      <c r="O89" s="2260"/>
      <c r="P89" s="2260"/>
      <c r="S89" s="2260"/>
      <c r="T89" s="2260"/>
      <c r="U89" s="2260"/>
      <c r="V89" s="2260"/>
      <c r="W89" s="2260"/>
      <c r="X89" s="2260"/>
      <c r="Y89" s="2260"/>
      <c r="Z89" s="2260"/>
      <c r="AA89" s="2260"/>
      <c r="AB89" s="2260"/>
      <c r="AC89" s="2260"/>
      <c r="AD89" s="2260"/>
      <c r="AE89" s="2260"/>
      <c r="AF89" s="2260"/>
      <c r="AG89" s="2260"/>
      <c r="AH89" s="2260"/>
      <c r="AI89" s="2260"/>
    </row>
    <row r="90" spans="1:35" x14ac:dyDescent="0.25">
      <c r="A90" s="2260"/>
      <c r="B90" s="2260"/>
      <c r="C90" s="2260"/>
      <c r="D90" s="2260"/>
      <c r="E90" s="2260"/>
      <c r="F90" s="2260"/>
      <c r="G90" s="2260"/>
      <c r="H90" s="2260"/>
      <c r="I90" s="2260"/>
      <c r="J90" s="2260"/>
      <c r="K90" s="2260"/>
      <c r="L90" s="2260"/>
      <c r="M90" s="2260"/>
      <c r="N90" s="2260"/>
      <c r="O90" s="2260"/>
      <c r="P90" s="2260"/>
      <c r="S90" s="2260"/>
      <c r="T90" s="2260"/>
      <c r="U90" s="2260"/>
      <c r="V90" s="2260"/>
      <c r="W90" s="2260"/>
      <c r="X90" s="2260"/>
      <c r="Y90" s="2260"/>
      <c r="Z90" s="2260"/>
      <c r="AA90" s="2260"/>
      <c r="AB90" s="2260"/>
      <c r="AC90" s="2260"/>
      <c r="AD90" s="2260"/>
      <c r="AE90" s="2260"/>
      <c r="AF90" s="2260"/>
      <c r="AG90" s="2260"/>
      <c r="AH90" s="2260"/>
      <c r="AI90" s="2260"/>
    </row>
    <row r="91" spans="1:35" x14ac:dyDescent="0.25">
      <c r="A91" s="2260"/>
      <c r="B91" s="2260"/>
      <c r="C91" s="2260"/>
      <c r="D91" s="2260"/>
      <c r="E91" s="2260"/>
      <c r="F91" s="2260"/>
      <c r="G91" s="2260"/>
      <c r="H91" s="2260"/>
      <c r="I91" s="2260"/>
      <c r="J91" s="2260"/>
      <c r="K91" s="2260"/>
      <c r="L91" s="2260"/>
      <c r="M91" s="2260"/>
      <c r="N91" s="2260"/>
      <c r="O91" s="2260"/>
      <c r="P91" s="2260"/>
      <c r="S91" s="2260"/>
      <c r="T91" s="2260"/>
      <c r="U91" s="2260"/>
      <c r="V91" s="2260"/>
      <c r="W91" s="2260"/>
      <c r="X91" s="2260"/>
      <c r="Y91" s="2260"/>
      <c r="Z91" s="2260"/>
      <c r="AA91" s="2260"/>
      <c r="AB91" s="2260"/>
      <c r="AC91" s="2260"/>
      <c r="AD91" s="2260"/>
      <c r="AE91" s="2260"/>
      <c r="AF91" s="2260"/>
      <c r="AG91" s="2260"/>
      <c r="AH91" s="2260"/>
      <c r="AI91" s="2260"/>
    </row>
    <row r="92" spans="1:35" x14ac:dyDescent="0.25">
      <c r="A92" s="2260"/>
      <c r="B92" s="2260"/>
      <c r="C92" s="2260"/>
      <c r="D92" s="2260"/>
      <c r="E92" s="2260"/>
      <c r="F92" s="2260"/>
      <c r="G92" s="2260"/>
      <c r="H92" s="2260"/>
      <c r="I92" s="2260"/>
      <c r="J92" s="2260"/>
      <c r="K92" s="2260"/>
      <c r="L92" s="2260"/>
      <c r="M92" s="2260"/>
      <c r="N92" s="2260"/>
      <c r="O92" s="2260"/>
      <c r="P92" s="2260"/>
      <c r="S92" s="2260"/>
      <c r="T92" s="2260"/>
      <c r="U92" s="2260"/>
      <c r="V92" s="2260"/>
      <c r="W92" s="2260"/>
      <c r="X92" s="2260"/>
      <c r="Y92" s="2260"/>
      <c r="Z92" s="2260"/>
      <c r="AA92" s="2260"/>
      <c r="AB92" s="2260"/>
      <c r="AC92" s="2260"/>
      <c r="AD92" s="2260"/>
      <c r="AE92" s="2260"/>
      <c r="AF92" s="2260"/>
      <c r="AG92" s="2260"/>
      <c r="AH92" s="2260"/>
      <c r="AI92" s="2260"/>
    </row>
    <row r="93" spans="1:35" x14ac:dyDescent="0.25">
      <c r="A93" s="2260"/>
      <c r="B93" s="2260"/>
      <c r="C93" s="2260"/>
      <c r="D93" s="2260"/>
      <c r="E93" s="2260"/>
      <c r="F93" s="2260"/>
      <c r="G93" s="2260"/>
      <c r="H93" s="2260"/>
      <c r="I93" s="2260"/>
      <c r="J93" s="2260"/>
      <c r="K93" s="2260"/>
      <c r="L93" s="2260"/>
      <c r="M93" s="2260"/>
      <c r="N93" s="2260"/>
      <c r="O93" s="2260"/>
      <c r="P93" s="2260"/>
      <c r="S93" s="2260"/>
      <c r="T93" s="2260"/>
      <c r="U93" s="2260"/>
      <c r="V93" s="2260"/>
      <c r="W93" s="2260"/>
      <c r="X93" s="2260"/>
      <c r="Y93" s="2260"/>
      <c r="Z93" s="2260"/>
      <c r="AA93" s="2260"/>
      <c r="AB93" s="2260"/>
      <c r="AC93" s="2260"/>
      <c r="AD93" s="2260"/>
      <c r="AE93" s="2260"/>
      <c r="AF93" s="2260"/>
      <c r="AG93" s="2260"/>
      <c r="AH93" s="2260"/>
      <c r="AI93" s="2260"/>
    </row>
    <row r="94" spans="1:35" x14ac:dyDescent="0.25">
      <c r="A94" s="2260"/>
      <c r="B94" s="2260"/>
      <c r="C94" s="2260"/>
      <c r="D94" s="2260"/>
      <c r="E94" s="2260"/>
      <c r="F94" s="2260"/>
      <c r="G94" s="2260"/>
      <c r="H94" s="2260"/>
      <c r="I94" s="2260"/>
      <c r="J94" s="2260"/>
      <c r="K94" s="2260"/>
      <c r="L94" s="2260"/>
      <c r="M94" s="2260"/>
      <c r="N94" s="2260"/>
      <c r="O94" s="2260"/>
      <c r="P94" s="2260"/>
      <c r="S94" s="2260"/>
      <c r="T94" s="2260"/>
      <c r="U94" s="2260"/>
      <c r="V94" s="2260"/>
      <c r="W94" s="2260"/>
      <c r="X94" s="2260"/>
      <c r="Y94" s="2260"/>
      <c r="Z94" s="2260"/>
      <c r="AA94" s="2260"/>
      <c r="AB94" s="2260"/>
      <c r="AC94" s="2260"/>
      <c r="AD94" s="2260"/>
      <c r="AE94" s="2260"/>
      <c r="AF94" s="2260"/>
      <c r="AG94" s="2260"/>
      <c r="AH94" s="2260"/>
      <c r="AI94" s="2260"/>
    </row>
  </sheetData>
  <sheetProtection password="BCD8" sheet="1" objects="1" scenarios="1"/>
  <conditionalFormatting sqref="C9:L9">
    <cfRule type="expression" dxfId="105" priority="1" stopIfTrue="1">
      <formula>$AK$12=2</formula>
    </cfRule>
  </conditionalFormatting>
  <pageMargins left="0.78" right="0.38" top="0.74" bottom="1" header="0.45" footer="0.5"/>
  <pageSetup paperSize="9" scale="93" orientation="portrait" blackAndWhite="1" verticalDpi="1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goto_advanced_detail">
                <anchor moveWithCells="1" sizeWithCells="1">
                  <from>
                    <xdr:col>4</xdr:col>
                    <xdr:colOff>787400</xdr:colOff>
                    <xdr:row>0</xdr:row>
                    <xdr:rowOff>31750</xdr:rowOff>
                  </from>
                  <to>
                    <xdr:col>6</xdr:col>
                    <xdr:colOff>101600</xdr:colOff>
                    <xdr:row>1</xdr:row>
                    <xdr:rowOff>146050</xdr:rowOff>
                  </to>
                </anchor>
              </controlPr>
            </control>
          </mc:Choice>
        </mc:AlternateContent>
        <mc:AlternateContent xmlns:mc="http://schemas.openxmlformats.org/markup-compatibility/2006">
          <mc:Choice Requires="x14">
            <control shapeId="101378" r:id="rId5" name="Button 2">
              <controlPr defaultSize="0" print="0" autoFill="0" autoPict="0" macro="[0]!goto_advanced_client_report">
                <anchor moveWithCells="1" sizeWithCells="1">
                  <from>
                    <xdr:col>6</xdr:col>
                    <xdr:colOff>127000</xdr:colOff>
                    <xdr:row>0</xdr:row>
                    <xdr:rowOff>31750</xdr:rowOff>
                  </from>
                  <to>
                    <xdr:col>8</xdr:col>
                    <xdr:colOff>393700</xdr:colOff>
                    <xdr:row>1</xdr:row>
                    <xdr:rowOff>146050</xdr:rowOff>
                  </to>
                </anchor>
              </controlPr>
            </control>
          </mc:Choice>
        </mc:AlternateContent>
        <mc:AlternateContent xmlns:mc="http://schemas.openxmlformats.org/markup-compatibility/2006">
          <mc:Choice Requires="x14">
            <control shapeId="101379" r:id="rId6" name="Button 3">
              <controlPr defaultSize="0" print="0" autoFill="0" autoPict="0" macro="[0]!goto_interest">
                <anchor moveWithCells="1" sizeWithCells="1">
                  <from>
                    <xdr:col>9</xdr:col>
                    <xdr:colOff>215900</xdr:colOff>
                    <xdr:row>0</xdr:row>
                    <xdr:rowOff>31750</xdr:rowOff>
                  </from>
                  <to>
                    <xdr:col>9</xdr:col>
                    <xdr:colOff>806450</xdr:colOff>
                    <xdr:row>1</xdr:row>
                    <xdr:rowOff>146050</xdr:rowOff>
                  </to>
                </anchor>
              </controlPr>
            </control>
          </mc:Choice>
        </mc:AlternateContent>
        <mc:AlternateContent xmlns:mc="http://schemas.openxmlformats.org/markup-compatibility/2006">
          <mc:Choice Requires="x14">
            <control shapeId="101380" r:id="rId7" name="Button 4">
              <controlPr defaultSize="0" print="0" autoFill="0" autoPict="0" macro="[0]!PrintThis">
                <anchor moveWithCells="1" sizeWithCells="1">
                  <from>
                    <xdr:col>8</xdr:col>
                    <xdr:colOff>406400</xdr:colOff>
                    <xdr:row>0</xdr:row>
                    <xdr:rowOff>31750</xdr:rowOff>
                  </from>
                  <to>
                    <xdr:col>9</xdr:col>
                    <xdr:colOff>203200</xdr:colOff>
                    <xdr:row>1</xdr:row>
                    <xdr:rowOff>146050</xdr:rowOff>
                  </to>
                </anchor>
              </controlPr>
            </control>
          </mc:Choice>
        </mc:AlternateContent>
        <mc:AlternateContent xmlns:mc="http://schemas.openxmlformats.org/markup-compatibility/2006">
          <mc:Choice Requires="x14">
            <control shapeId="101381" r:id="rId8" name="Button 5">
              <controlPr defaultSize="0" print="0" autoFill="0" autoPict="0" macro="[0]!goto_home">
                <anchor moveWithCells="1">
                  <from>
                    <xdr:col>0</xdr:col>
                    <xdr:colOff>88900</xdr:colOff>
                    <xdr:row>0</xdr:row>
                    <xdr:rowOff>127000</xdr:rowOff>
                  </from>
                  <to>
                    <xdr:col>0</xdr:col>
                    <xdr:colOff>812800</xdr:colOff>
                    <xdr:row>2</xdr:row>
                    <xdr:rowOff>76200</xdr:rowOff>
                  </to>
                </anchor>
              </controlPr>
            </control>
          </mc:Choice>
        </mc:AlternateContent>
        <mc:AlternateContent xmlns:mc="http://schemas.openxmlformats.org/markup-compatibility/2006">
          <mc:Choice Requires="x14">
            <control shapeId="101382" r:id="rId9" name="Button 6">
              <controlPr defaultSize="0" print="0" autoFill="0" autoPict="0" macro="[0]!goto_advanced">
                <anchor moveWithCells="1" sizeWithCells="1">
                  <from>
                    <xdr:col>1</xdr:col>
                    <xdr:colOff>25400</xdr:colOff>
                    <xdr:row>0</xdr:row>
                    <xdr:rowOff>31750</xdr:rowOff>
                  </from>
                  <to>
                    <xdr:col>4</xdr:col>
                    <xdr:colOff>768350</xdr:colOff>
                    <xdr:row>1</xdr:row>
                    <xdr:rowOff>146050</xdr:rowOff>
                  </to>
                </anchor>
              </controlPr>
            </control>
          </mc:Choice>
        </mc:AlternateContent>
        <mc:AlternateContent xmlns:mc="http://schemas.openxmlformats.org/markup-compatibility/2006">
          <mc:Choice Requires="x14">
            <control shapeId="101383" r:id="rId10" name="Button 7">
              <controlPr defaultSize="0" print="0" autoFill="0" autoPict="0" macro="[0]!goto_interest">
                <anchor moveWithCells="1" sizeWithCells="1">
                  <from>
                    <xdr:col>13</xdr:col>
                    <xdr:colOff>6350</xdr:colOff>
                    <xdr:row>54</xdr:row>
                    <xdr:rowOff>38100</xdr:rowOff>
                  </from>
                  <to>
                    <xdr:col>13</xdr:col>
                    <xdr:colOff>577850</xdr:colOff>
                    <xdr:row>56</xdr:row>
                    <xdr:rowOff>0</xdr:rowOff>
                  </to>
                </anchor>
              </controlPr>
            </control>
          </mc:Choice>
        </mc:AlternateContent>
        <mc:AlternateContent xmlns:mc="http://schemas.openxmlformats.org/markup-compatibility/2006">
          <mc:Choice Requires="x14">
            <control shapeId="101384" r:id="rId11" name="Button 8">
              <controlPr defaultSize="0" print="0" autoFill="0" autoPict="0" macro="[0]!goto_advanced_detail">
                <anchor moveWithCells="1" sizeWithCells="1">
                  <from>
                    <xdr:col>13</xdr:col>
                    <xdr:colOff>6350</xdr:colOff>
                    <xdr:row>52</xdr:row>
                    <xdr:rowOff>107950</xdr:rowOff>
                  </from>
                  <to>
                    <xdr:col>13</xdr:col>
                    <xdr:colOff>577850</xdr:colOff>
                    <xdr:row>54</xdr:row>
                    <xdr:rowOff>31750</xdr:rowOff>
                  </to>
                </anchor>
              </controlPr>
            </control>
          </mc:Choice>
        </mc:AlternateContent>
        <mc:AlternateContent xmlns:mc="http://schemas.openxmlformats.org/markup-compatibility/2006">
          <mc:Choice Requires="x14">
            <control shapeId="101385" r:id="rId12" name="Button 9">
              <controlPr defaultSize="0" print="0" autoFill="0" autoPict="0" macro="[0]!PrintThis">
                <anchor moveWithCells="1" sizeWithCells="1">
                  <from>
                    <xdr:col>13</xdr:col>
                    <xdr:colOff>6350</xdr:colOff>
                    <xdr:row>51</xdr:row>
                    <xdr:rowOff>6350</xdr:rowOff>
                  </from>
                  <to>
                    <xdr:col>13</xdr:col>
                    <xdr:colOff>577850</xdr:colOff>
                    <xdr:row>52</xdr:row>
                    <xdr:rowOff>101600</xdr:rowOff>
                  </to>
                </anchor>
              </controlPr>
            </control>
          </mc:Choice>
        </mc:AlternateContent>
        <mc:AlternateContent xmlns:mc="http://schemas.openxmlformats.org/markup-compatibility/2006">
          <mc:Choice Requires="x14">
            <control shapeId="101386" r:id="rId13" name="Button 10">
              <controlPr defaultSize="0" print="0" autoFill="0" autoPict="0" macro="[0]!goto_details">
                <anchor moveWithCells="1" sizeWithCells="1">
                  <from>
                    <xdr:col>0</xdr:col>
                    <xdr:colOff>63500</xdr:colOff>
                    <xdr:row>6</xdr:row>
                    <xdr:rowOff>0</xdr:rowOff>
                  </from>
                  <to>
                    <xdr:col>0</xdr:col>
                    <xdr:colOff>984250</xdr:colOff>
                    <xdr:row>9</xdr:row>
                    <xdr:rowOff>146050</xdr:rowOff>
                  </to>
                </anchor>
              </controlPr>
            </control>
          </mc:Choice>
        </mc:AlternateContent>
        <mc:AlternateContent xmlns:mc="http://schemas.openxmlformats.org/markup-compatibility/2006">
          <mc:Choice Requires="x14">
            <control shapeId="101387" r:id="rId14" name="Button 11">
              <controlPr defaultSize="0" print="0" autoFill="0" autoPict="0" macro="[0]!goto_advanced">
                <anchor moveWithCells="1" sizeWithCells="1">
                  <from>
                    <xdr:col>13</xdr:col>
                    <xdr:colOff>31750</xdr:colOff>
                    <xdr:row>47</xdr:row>
                    <xdr:rowOff>114300</xdr:rowOff>
                  </from>
                  <to>
                    <xdr:col>15</xdr:col>
                    <xdr:colOff>101600</xdr:colOff>
                    <xdr:row>49</xdr:row>
                    <xdr:rowOff>101600</xdr:rowOff>
                  </to>
                </anchor>
              </controlPr>
            </control>
          </mc:Choice>
        </mc:AlternateContent>
        <mc:AlternateContent xmlns:mc="http://schemas.openxmlformats.org/markup-compatibility/2006">
          <mc:Choice Requires="x14">
            <control shapeId="101389" r:id="rId15" name="Button 13">
              <controlPr defaultSize="0" print="0" autoFill="0" autoPict="0" macro="[0]!close_tc_on_payments">
                <anchor moveWithCells="1" sizeWithCells="1">
                  <from>
                    <xdr:col>13</xdr:col>
                    <xdr:colOff>76200</xdr:colOff>
                    <xdr:row>18</xdr:row>
                    <xdr:rowOff>0</xdr:rowOff>
                  </from>
                  <to>
                    <xdr:col>15</xdr:col>
                    <xdr:colOff>38100</xdr:colOff>
                    <xdr:row>21</xdr:row>
                    <xdr:rowOff>139700</xdr:rowOff>
                  </to>
                </anchor>
              </controlPr>
            </control>
          </mc:Choice>
        </mc:AlternateContent>
        <mc:AlternateContent xmlns:mc="http://schemas.openxmlformats.org/markup-compatibility/2006">
          <mc:Choice Requires="x14">
            <control shapeId="101390" r:id="rId16" name="globalbacktobutton">
              <controlPr defaultSize="0" print="0" autoFill="0" autoPict="0" macro="[0]!backto">
                <anchor moveWithCells="1" sizeWithCells="1">
                  <from>
                    <xdr:col>13</xdr:col>
                    <xdr:colOff>127000</xdr:colOff>
                    <xdr:row>6</xdr:row>
                    <xdr:rowOff>0</xdr:rowOff>
                  </from>
                  <to>
                    <xdr:col>13</xdr:col>
                    <xdr:colOff>755650</xdr:colOff>
                    <xdr:row>8</xdr:row>
                    <xdr:rowOff>127000</xdr:rowOff>
                  </to>
                </anchor>
              </controlPr>
            </control>
          </mc:Choice>
        </mc:AlternateContent>
        <mc:AlternateContent xmlns:mc="http://schemas.openxmlformats.org/markup-compatibility/2006">
          <mc:Choice Requires="x14">
            <control shapeId="101391" r:id="rId17" name="Button 15">
              <controlPr defaultSize="0" print="0" autoFill="0" autoPict="0" macro="[0]!copy_as_excel">
                <anchor moveWithCells="1" sizeWithCells="1">
                  <from>
                    <xdr:col>13</xdr:col>
                    <xdr:colOff>298450</xdr:colOff>
                    <xdr:row>3</xdr:row>
                    <xdr:rowOff>0</xdr:rowOff>
                  </from>
                  <to>
                    <xdr:col>14</xdr:col>
                    <xdr:colOff>196850</xdr:colOff>
                    <xdr:row>4</xdr:row>
                    <xdr:rowOff>127000</xdr:rowOff>
                  </to>
                </anchor>
              </controlPr>
            </control>
          </mc:Choice>
        </mc:AlternateContent>
        <mc:AlternateContent xmlns:mc="http://schemas.openxmlformats.org/markup-compatibility/2006">
          <mc:Choice Requires="x14">
            <control shapeId="101392" r:id="rId18" name="Button 16">
              <controlPr defaultSize="0" print="0" autoFill="0" autoPict="0" macro="[0]!pdflauncher">
                <anchor moveWithCells="1" sizeWithCells="1">
                  <from>
                    <xdr:col>14</xdr:col>
                    <xdr:colOff>203200</xdr:colOff>
                    <xdr:row>3</xdr:row>
                    <xdr:rowOff>0</xdr:rowOff>
                  </from>
                  <to>
                    <xdr:col>15</xdr:col>
                    <xdr:colOff>266700</xdr:colOff>
                    <xdr:row>4</xdr:row>
                    <xdr:rowOff>127000</xdr:rowOff>
                  </to>
                </anchor>
              </controlPr>
            </control>
          </mc:Choice>
        </mc:AlternateContent>
        <mc:AlternateContent xmlns:mc="http://schemas.openxmlformats.org/markup-compatibility/2006">
          <mc:Choice Requires="x14">
            <control shapeId="101393" r:id="rId19" name="Button 17">
              <controlPr defaultSize="0" print="0" autoFill="0" autoPict="0" macro="[0]!openfolder">
                <anchor moveWithCells="1" sizeWithCells="1">
                  <from>
                    <xdr:col>15</xdr:col>
                    <xdr:colOff>273050</xdr:colOff>
                    <xdr:row>3</xdr:row>
                    <xdr:rowOff>0</xdr:rowOff>
                  </from>
                  <to>
                    <xdr:col>15</xdr:col>
                    <xdr:colOff>806450</xdr:colOff>
                    <xdr:row>4</xdr:row>
                    <xdr:rowOff>127000</xdr:rowOff>
                  </to>
                </anchor>
              </controlPr>
            </control>
          </mc:Choice>
        </mc:AlternateContent>
        <mc:AlternateContent xmlns:mc="http://schemas.openxmlformats.org/markup-compatibility/2006">
          <mc:Choice Requires="x14">
            <control shapeId="101394" r:id="rId20" name="Button 18">
              <controlPr defaultSize="0" print="0" autoFill="0" autoPict="0" macro="[0]!goto_folder_settings">
                <anchor moveWithCells="1" sizeWithCells="1">
                  <from>
                    <xdr:col>15</xdr:col>
                    <xdr:colOff>812800</xdr:colOff>
                    <xdr:row>3</xdr:row>
                    <xdr:rowOff>0</xdr:rowOff>
                  </from>
                  <to>
                    <xdr:col>15</xdr:col>
                    <xdr:colOff>1339850</xdr:colOff>
                    <xdr:row>4</xdr:row>
                    <xdr:rowOff>127000</xdr:rowOff>
                  </to>
                </anchor>
              </controlPr>
            </control>
          </mc:Choice>
        </mc:AlternateContent>
        <mc:AlternateContent xmlns:mc="http://schemas.openxmlformats.org/markup-compatibility/2006">
          <mc:Choice Requires="x14">
            <control shapeId="101395" r:id="rId21" name="Button 19">
              <controlPr defaultSize="0" print="0" autoFill="0" autoPict="0" macro="[0]!email_pdf_launch">
                <anchor moveWithCells="1" sizeWithCells="1">
                  <from>
                    <xdr:col>14</xdr:col>
                    <xdr:colOff>349250</xdr:colOff>
                    <xdr:row>1</xdr:row>
                    <xdr:rowOff>25400</xdr:rowOff>
                  </from>
                  <to>
                    <xdr:col>15</xdr:col>
                    <xdr:colOff>412750</xdr:colOff>
                    <xdr:row>2</xdr:row>
                    <xdr:rowOff>158750</xdr:rowOff>
                  </to>
                </anchor>
              </controlPr>
            </control>
          </mc:Choice>
        </mc:AlternateContent>
        <mc:AlternateContent xmlns:mc="http://schemas.openxmlformats.org/markup-compatibility/2006">
          <mc:Choice Requires="x14">
            <control shapeId="101396" r:id="rId22" name="Button 20">
              <controlPr defaultSize="0" print="0" autoFill="0" autoPict="0" macro="[0]!email_copy_as_excel">
                <anchor moveWithCells="1" sizeWithCells="1">
                  <from>
                    <xdr:col>13</xdr:col>
                    <xdr:colOff>298450</xdr:colOff>
                    <xdr:row>1</xdr:row>
                    <xdr:rowOff>25400</xdr:rowOff>
                  </from>
                  <to>
                    <xdr:col>14</xdr:col>
                    <xdr:colOff>342900</xdr:colOff>
                    <xdr:row>2</xdr:row>
                    <xdr:rowOff>158750</xdr:rowOff>
                  </to>
                </anchor>
              </controlPr>
            </control>
          </mc:Choice>
        </mc:AlternateContent>
        <mc:AlternateContent xmlns:mc="http://schemas.openxmlformats.org/markup-compatibility/2006">
          <mc:Choice Requires="x14">
            <control shapeId="101397" r:id="rId23" name="Button 21">
              <controlPr defaultSize="0" print="0" autoFill="0" autoPict="0" macro="[0]!emailsettings">
                <anchor moveWithCells="1" sizeWithCells="1">
                  <from>
                    <xdr:col>15</xdr:col>
                    <xdr:colOff>419100</xdr:colOff>
                    <xdr:row>1</xdr:row>
                    <xdr:rowOff>25400</xdr:rowOff>
                  </from>
                  <to>
                    <xdr:col>15</xdr:col>
                    <xdr:colOff>1339850</xdr:colOff>
                    <xdr:row>2</xdr:row>
                    <xdr:rowOff>158750</xdr:rowOff>
                  </to>
                </anchor>
              </controlPr>
            </control>
          </mc:Choice>
        </mc:AlternateContent>
        <mc:AlternateContent xmlns:mc="http://schemas.openxmlformats.org/markup-compatibility/2006">
          <mc:Choice Requires="x14">
            <control shapeId="101398" r:id="rId24" name="Check Box 22">
              <controlPr defaultSize="0" autoFill="0" autoLine="0" autoPict="0">
                <anchor moveWithCells="1">
                  <from>
                    <xdr:col>0</xdr:col>
                    <xdr:colOff>158750</xdr:colOff>
                    <xdr:row>50</xdr:row>
                    <xdr:rowOff>158750</xdr:rowOff>
                  </from>
                  <to>
                    <xdr:col>0</xdr:col>
                    <xdr:colOff>946150</xdr:colOff>
                    <xdr:row>52</xdr:row>
                    <xdr:rowOff>25400</xdr:rowOff>
                  </to>
                </anchor>
              </controlPr>
            </control>
          </mc:Choice>
        </mc:AlternateContent>
        <mc:AlternateContent xmlns:mc="http://schemas.openxmlformats.org/markup-compatibility/2006">
          <mc:Choice Requires="x14">
            <control shapeId="101399" r:id="rId25" name="Check Box 23">
              <controlPr defaultSize="0" autoFill="0" autoLine="0" autoPict="0">
                <anchor moveWithCells="1">
                  <from>
                    <xdr:col>0</xdr:col>
                    <xdr:colOff>158750</xdr:colOff>
                    <xdr:row>52</xdr:row>
                    <xdr:rowOff>12700</xdr:rowOff>
                  </from>
                  <to>
                    <xdr:col>0</xdr:col>
                    <xdr:colOff>946150</xdr:colOff>
                    <xdr:row>53</xdr:row>
                    <xdr:rowOff>44450</xdr:rowOff>
                  </to>
                </anchor>
              </controlPr>
            </control>
          </mc:Choice>
        </mc:AlternateContent>
        <mc:AlternateContent xmlns:mc="http://schemas.openxmlformats.org/markup-compatibility/2006">
          <mc:Choice Requires="x14">
            <control shapeId="101400" r:id="rId26" name="Check Box 24">
              <controlPr defaultSize="0" autoFill="0" autoLine="0" autoPict="0">
                <anchor moveWithCells="1">
                  <from>
                    <xdr:col>0</xdr:col>
                    <xdr:colOff>158750</xdr:colOff>
                    <xdr:row>53</xdr:row>
                    <xdr:rowOff>31750</xdr:rowOff>
                  </from>
                  <to>
                    <xdr:col>0</xdr:col>
                    <xdr:colOff>946150</xdr:colOff>
                    <xdr:row>54</xdr:row>
                    <xdr:rowOff>63500</xdr:rowOff>
                  </to>
                </anchor>
              </controlPr>
            </control>
          </mc:Choice>
        </mc:AlternateContent>
        <mc:AlternateContent xmlns:mc="http://schemas.openxmlformats.org/markup-compatibility/2006">
          <mc:Choice Requires="x14">
            <control shapeId="101401" r:id="rId27" name="Button 25">
              <controlPr defaultSize="0" print="0" autoFill="0" autoPict="0" macro="[0]!reset_adv_payments">
                <anchor moveWithCells="1" sizeWithCells="1">
                  <from>
                    <xdr:col>8</xdr:col>
                    <xdr:colOff>292100</xdr:colOff>
                    <xdr:row>48</xdr:row>
                    <xdr:rowOff>139700</xdr:rowOff>
                  </from>
                  <to>
                    <xdr:col>8</xdr:col>
                    <xdr:colOff>863600</xdr:colOff>
                    <xdr:row>50</xdr:row>
                    <xdr:rowOff>38100</xdr:rowOff>
                  </to>
                </anchor>
              </controlPr>
            </control>
          </mc:Choice>
        </mc:AlternateContent>
        <mc:AlternateContent xmlns:mc="http://schemas.openxmlformats.org/markup-compatibility/2006">
          <mc:Choice Requires="x14">
            <control shapeId="101402" r:id="rId28" name="Button 26">
              <controlPr defaultSize="0" print="0" autoFill="0" autoPict="0" macro="[0]!imp_rel_on_payments">
                <anchor moveWithCells="1" sizeWithCells="1">
                  <from>
                    <xdr:col>13</xdr:col>
                    <xdr:colOff>76200</xdr:colOff>
                    <xdr:row>32</xdr:row>
                    <xdr:rowOff>50800</xdr:rowOff>
                  </from>
                  <to>
                    <xdr:col>15</xdr:col>
                    <xdr:colOff>38100</xdr:colOff>
                    <xdr:row>34</xdr:row>
                    <xdr:rowOff>177800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48F40-3CC2-45EA-B364-FCCF1DD110C3}">
  <sheetPr codeName="Sheet50"/>
  <dimension ref="A1:V57"/>
  <sheetViews>
    <sheetView showGridLines="0" workbookViewId="0"/>
  </sheetViews>
  <sheetFormatPr defaultColWidth="9.08984375" defaultRowHeight="12.5" x14ac:dyDescent="0.25"/>
  <cols>
    <col min="1" max="1" width="19" style="1407" customWidth="1"/>
    <col min="2" max="2" width="2.36328125" style="1407" customWidth="1"/>
    <col min="3" max="3" width="10.36328125" style="1407" customWidth="1"/>
    <col min="4" max="4" width="6.6328125" style="1407" customWidth="1"/>
    <col min="5" max="5" width="11.36328125" style="1407" customWidth="1"/>
    <col min="6" max="6" width="3" style="1407" customWidth="1"/>
    <col min="7" max="7" width="14.6328125" style="1407" customWidth="1"/>
    <col min="8" max="8" width="3" style="1407" customWidth="1"/>
    <col min="9" max="9" width="14.08984375" style="1407" customWidth="1"/>
    <col min="10" max="10" width="3" style="1407" customWidth="1"/>
    <col min="11" max="11" width="13.36328125" style="1407" customWidth="1"/>
    <col min="12" max="12" width="4" style="1407" customWidth="1"/>
    <col min="13" max="13" width="2" style="1407" customWidth="1"/>
    <col min="14" max="14" width="18.453125" style="1407" customWidth="1"/>
    <col min="15" max="16" width="0" style="1407" hidden="1" customWidth="1"/>
    <col min="17" max="17" width="11.36328125" style="1407" hidden="1" customWidth="1"/>
    <col min="18" max="21" width="0" style="1407" hidden="1" customWidth="1"/>
    <col min="22" max="22" width="60.36328125" style="1407" customWidth="1"/>
    <col min="23" max="16384" width="9.08984375" style="1407"/>
  </cols>
  <sheetData>
    <row r="1" spans="1:22" ht="31.5" customHeight="1" x14ac:dyDescent="0.25">
      <c r="A1" s="1405"/>
      <c r="B1" s="1405"/>
      <c r="C1" s="1406"/>
      <c r="D1" s="1405"/>
      <c r="E1" s="1405"/>
      <c r="F1" s="1405"/>
      <c r="G1" s="1405"/>
      <c r="H1" s="1405"/>
      <c r="I1" s="1405"/>
      <c r="J1" s="1405"/>
      <c r="K1" s="1405"/>
      <c r="L1" s="1405"/>
      <c r="M1" s="1405"/>
      <c r="N1" s="1405"/>
      <c r="V1" s="1405"/>
    </row>
    <row r="2" spans="1:22" ht="30" customHeight="1" x14ac:dyDescent="0.25">
      <c r="A2" s="1408"/>
      <c r="B2" s="1409" t="s">
        <v>2652</v>
      </c>
      <c r="C2" s="1410"/>
      <c r="D2" s="1410"/>
      <c r="E2" s="1411" t="s">
        <v>1018</v>
      </c>
      <c r="F2" s="1412"/>
      <c r="G2" s="1412"/>
      <c r="H2" s="1412"/>
      <c r="I2" s="1412"/>
      <c r="J2" s="1412"/>
      <c r="K2" s="1413"/>
      <c r="L2" s="1405"/>
      <c r="M2" s="1405"/>
      <c r="N2" s="1405"/>
      <c r="V2" s="1405"/>
    </row>
    <row r="3" spans="1:22" ht="15.75" customHeight="1" x14ac:dyDescent="0.25">
      <c r="A3" s="1408"/>
      <c r="B3" s="1405"/>
      <c r="C3" s="1405"/>
      <c r="D3" s="1405"/>
      <c r="E3" s="1405"/>
      <c r="F3" s="1405"/>
      <c r="G3" s="1405"/>
      <c r="H3" s="1405"/>
      <c r="I3" s="1405"/>
      <c r="J3" s="1405"/>
      <c r="K3" s="1405"/>
      <c r="L3" s="1405"/>
      <c r="M3" s="1405"/>
      <c r="N3" s="1405"/>
      <c r="V3" s="1405"/>
    </row>
    <row r="4" spans="1:22" x14ac:dyDescent="0.25">
      <c r="A4" s="1408"/>
      <c r="K4" s="1414"/>
      <c r="L4" s="1414"/>
      <c r="N4" s="1405"/>
      <c r="V4" s="1405"/>
    </row>
    <row r="5" spans="1:22" x14ac:dyDescent="0.25">
      <c r="A5" s="1408"/>
      <c r="K5" s="1414"/>
      <c r="L5" s="1414"/>
      <c r="N5" s="1405"/>
      <c r="V5" s="1405"/>
    </row>
    <row r="6" spans="1:22" x14ac:dyDescent="0.25">
      <c r="A6" s="1405"/>
      <c r="K6" s="1414"/>
      <c r="L6" s="1414"/>
      <c r="N6" s="1405"/>
      <c r="V6" s="1405"/>
    </row>
    <row r="7" spans="1:22" ht="13" x14ac:dyDescent="0.3">
      <c r="A7" s="1405"/>
      <c r="K7" s="1415" t="str">
        <f>IF(details!D6&lt;&gt;"",details!D6,"")</f>
        <v/>
      </c>
      <c r="L7" s="1414"/>
      <c r="N7" s="1405"/>
      <c r="V7" s="1405"/>
    </row>
    <row r="8" spans="1:22" ht="69.75" customHeight="1" x14ac:dyDescent="0.25">
      <c r="A8" s="1405"/>
      <c r="N8" s="1405"/>
      <c r="V8" s="1405"/>
    </row>
    <row r="9" spans="1:22" ht="22.5" x14ac:dyDescent="0.45">
      <c r="A9" s="1405"/>
      <c r="C9" s="1416" t="str">
        <f>text!B45</f>
        <v>Business Rates Liability and Savings 2023 List</v>
      </c>
      <c r="D9" s="1417"/>
      <c r="E9" s="1417"/>
      <c r="F9" s="1417"/>
      <c r="G9" s="1417"/>
      <c r="H9" s="1417"/>
      <c r="I9" s="1417"/>
      <c r="J9" s="1417"/>
      <c r="K9" s="1417"/>
      <c r="L9" s="1417"/>
      <c r="N9" s="1405"/>
      <c r="V9" s="1405"/>
    </row>
    <row r="10" spans="1:22" x14ac:dyDescent="0.25">
      <c r="A10" s="1405"/>
      <c r="N10" s="1405"/>
      <c r="V10" s="1405"/>
    </row>
    <row r="11" spans="1:22" ht="17.5" x14ac:dyDescent="0.35">
      <c r="A11" s="1405"/>
      <c r="D11" s="1418"/>
      <c r="E11" s="1418"/>
      <c r="F11" s="1418"/>
      <c r="G11" s="1419" t="str">
        <f>IF(O11=2,"",IF(details!D7=0,"complete the property details page to show client here",details!D7))</f>
        <v>complete the property details page to show client here</v>
      </c>
      <c r="H11" s="1418"/>
      <c r="I11" s="1418"/>
      <c r="J11" s="1418"/>
      <c r="K11" s="1418"/>
      <c r="L11" s="1418"/>
      <c r="N11" s="1405"/>
      <c r="O11" s="1420">
        <v>1</v>
      </c>
      <c r="V11" s="1405"/>
    </row>
    <row r="12" spans="1:22" ht="17.5" x14ac:dyDescent="0.35">
      <c r="A12" s="1405"/>
      <c r="D12" s="1421"/>
      <c r="E12" s="1421"/>
      <c r="F12" s="1421"/>
      <c r="G12" s="1419" t="str">
        <f>IF(O11=2,"",IF(details!D8=0,"complete the property details page to show address here",details!D8))</f>
        <v>complete the property details page to show address here</v>
      </c>
      <c r="H12" s="1421"/>
      <c r="I12" s="1421"/>
      <c r="J12" s="1421"/>
      <c r="K12" s="1421"/>
      <c r="L12" s="1421"/>
      <c r="N12" s="1405"/>
      <c r="V12" s="1405"/>
    </row>
    <row r="13" spans="1:22" ht="17.5" x14ac:dyDescent="0.35">
      <c r="A13" s="1405"/>
      <c r="C13" s="1420"/>
      <c r="D13" s="1420"/>
      <c r="E13" s="1420"/>
      <c r="F13" s="1420"/>
      <c r="G13" s="1419" t="str">
        <f>IF(O11=2,"",details!D9&amp;", "&amp;details!D10)</f>
        <v xml:space="preserve">, </v>
      </c>
      <c r="H13" s="1420"/>
      <c r="I13" s="1420"/>
      <c r="J13" s="1420"/>
      <c r="K13" s="1420"/>
      <c r="L13" s="1420"/>
      <c r="N13" s="1405"/>
      <c r="V13" s="1405"/>
    </row>
    <row r="14" spans="1:22" x14ac:dyDescent="0.25">
      <c r="A14" s="1405"/>
      <c r="C14" s="1420"/>
      <c r="D14" s="1420"/>
      <c r="E14" s="1420"/>
      <c r="F14" s="1420"/>
      <c r="G14" s="1420"/>
      <c r="H14" s="1420"/>
      <c r="I14" s="1420"/>
      <c r="J14" s="1420"/>
      <c r="K14" s="1420"/>
      <c r="L14" s="1420"/>
      <c r="N14" s="1405"/>
      <c r="O14" s="1407" t="s">
        <v>2654</v>
      </c>
      <c r="V14" s="1405"/>
    </row>
    <row r="15" spans="1:22" x14ac:dyDescent="0.25">
      <c r="A15" s="1405"/>
      <c r="C15" s="1420"/>
      <c r="D15" s="1420"/>
      <c r="E15" s="1420"/>
      <c r="F15" s="1420"/>
      <c r="G15" s="1420"/>
      <c r="H15" s="1420"/>
      <c r="I15" s="1420"/>
      <c r="J15" s="1420"/>
      <c r="K15" s="1420"/>
      <c r="L15" s="1420"/>
      <c r="N15" s="1405"/>
      <c r="O15" s="1420" t="b">
        <v>1</v>
      </c>
      <c r="V15" s="1405"/>
    </row>
    <row r="16" spans="1:22" ht="13" x14ac:dyDescent="0.3">
      <c r="A16" s="1405"/>
      <c r="C16" s="1422"/>
      <c r="D16" s="1422"/>
      <c r="E16" s="1422"/>
      <c r="F16" s="1422"/>
      <c r="G16" s="1422"/>
      <c r="H16" s="1422"/>
      <c r="I16" s="1422"/>
      <c r="J16" s="1422"/>
      <c r="K16" s="1423"/>
      <c r="L16" s="1422"/>
      <c r="N16" s="1424" t="str">
        <f>IF(Q28&gt;2,"RV's not shown if more than 2","")</f>
        <v/>
      </c>
      <c r="V16" s="1405"/>
    </row>
    <row r="17" spans="1:22" ht="13" x14ac:dyDescent="0.3">
      <c r="A17" s="1405"/>
      <c r="C17" s="1425"/>
      <c r="D17" s="1425"/>
      <c r="E17" s="1425"/>
      <c r="F17" s="1425"/>
      <c r="N17" s="1424" t="str">
        <f>IF(Q42&gt;2,"RV's not shown if more than 2","")</f>
        <v/>
      </c>
      <c r="V17" s="1405"/>
    </row>
    <row r="18" spans="1:22" s="1427" customFormat="1" ht="25.5" customHeight="1" x14ac:dyDescent="0.25">
      <c r="A18" s="1426"/>
      <c r="C18" s="1428" t="s">
        <v>2655</v>
      </c>
      <c r="D18" s="1429"/>
      <c r="E18" s="1429"/>
      <c r="F18" s="1430"/>
      <c r="G18" s="1431" t="str">
        <f>IF(AND(O15=TRUE,Q28&lt;3,Q41&lt;&gt;0),"Original Liability at RV","Original Liability")</f>
        <v>Original Liability</v>
      </c>
      <c r="H18" s="1432"/>
      <c r="I18" s="1431" t="str">
        <f>IF(AND(O15=TRUE,Q42&lt;3,Q55&lt;&gt;0),"Revised Liability at RV","Revised Liability")</f>
        <v>Revised Liability</v>
      </c>
      <c r="J18" s="1432"/>
      <c r="K18" s="1433" t="str">
        <f ca="1">IF(P25&gt;0,"*Saving","Saving")</f>
        <v>Saving</v>
      </c>
      <c r="L18" s="1432"/>
      <c r="N18" s="1405"/>
      <c r="O18" s="1434"/>
      <c r="V18" s="1426"/>
    </row>
    <row r="19" spans="1:22" x14ac:dyDescent="0.25">
      <c r="A19" s="1405"/>
      <c r="C19" s="1435"/>
      <c r="D19" s="1436"/>
      <c r="E19" s="1436"/>
      <c r="F19" s="1437"/>
      <c r="G19" s="1438" t="str">
        <f>IF(AND(O15=TRUE,Q28&lt;3,Q41&lt;&gt;0),VLOOKUP(1,Q29:R40,2,FALSE),"")</f>
        <v/>
      </c>
      <c r="H19" s="1439"/>
      <c r="I19" s="1438" t="str">
        <f>IF(AND(O15=TRUE,Q42&lt;3,Q55&lt;&gt;0),VLOOKUP(1,Q43:R54,2,FALSE),"")</f>
        <v/>
      </c>
      <c r="J19" s="1439"/>
      <c r="K19" s="1435"/>
      <c r="L19" s="1437"/>
      <c r="N19" s="1405"/>
      <c r="V19" s="1405"/>
    </row>
    <row r="20" spans="1:22" x14ac:dyDescent="0.25">
      <c r="A20" s="1405"/>
      <c r="C20" s="1435"/>
      <c r="D20" s="1436"/>
      <c r="E20" s="1436"/>
      <c r="F20" s="1437"/>
      <c r="G20" s="1438" t="str">
        <f>IF(AND(O15=TRUE,Q28=2),"then","")</f>
        <v/>
      </c>
      <c r="H20" s="1439"/>
      <c r="I20" s="1438" t="str">
        <f>IF(AND(O15=TRUE,Q42=2),"then","")</f>
        <v/>
      </c>
      <c r="J20" s="1440"/>
      <c r="K20" s="1435"/>
      <c r="L20" s="1437"/>
      <c r="N20" s="1405"/>
      <c r="V20" s="1405"/>
    </row>
    <row r="21" spans="1:22" x14ac:dyDescent="0.25">
      <c r="A21" s="1405"/>
      <c r="C21" s="1441"/>
      <c r="D21" s="1442"/>
      <c r="E21" s="1442"/>
      <c r="F21" s="1443"/>
      <c r="G21" s="1438" t="str">
        <f>IF(AND(O15=TRUE,Q28=2),VLOOKUP(2,Q29:R40,2,FALSE),"")</f>
        <v/>
      </c>
      <c r="H21" s="1439"/>
      <c r="I21" s="1438" t="str">
        <f>IF(AND(O15=TRUE,Q42=2),VLOOKUP(2,Q43:R54,2,FALSE),"")</f>
        <v/>
      </c>
      <c r="J21" s="1439"/>
      <c r="K21" s="1441"/>
      <c r="L21" s="1443"/>
      <c r="N21" s="1405"/>
      <c r="V21" s="1405"/>
    </row>
    <row r="22" spans="1:22" ht="21.75" customHeight="1" x14ac:dyDescent="0.25">
      <c r="A22" s="1405"/>
      <c r="C22" s="1444">
        <f>text!B9</f>
        <v>45017</v>
      </c>
      <c r="D22" s="1445" t="s">
        <v>2656</v>
      </c>
      <c r="E22" s="1445">
        <f>text!C9</f>
        <v>45382</v>
      </c>
      <c r="F22" s="1436" t="str">
        <f>RIGHT(text!F9,1)</f>
        <v xml:space="preserve"> </v>
      </c>
      <c r="G22" s="1446">
        <f ca="1">'advanced report'!F52</f>
        <v>0</v>
      </c>
      <c r="H22" s="1447"/>
      <c r="I22" s="1446">
        <f ca="1">'advanced report'!J52</f>
        <v>0</v>
      </c>
      <c r="J22" s="1448"/>
      <c r="K22" s="1449">
        <f ca="1">G22-I22</f>
        <v>0</v>
      </c>
      <c r="L22" s="1447"/>
      <c r="N22" s="1405"/>
      <c r="O22" s="1450" t="b">
        <f ca="1">K22&lt;0</f>
        <v>0</v>
      </c>
      <c r="P22" s="1450">
        <f ca="1">IF(O22=TRUE,1,0)</f>
        <v>0</v>
      </c>
      <c r="V22" s="1405"/>
    </row>
    <row r="23" spans="1:22" ht="18" customHeight="1" x14ac:dyDescent="0.25">
      <c r="A23" s="1405"/>
      <c r="C23" s="1444">
        <f>text!B10</f>
        <v>45383</v>
      </c>
      <c r="D23" s="1445" t="s">
        <v>2656</v>
      </c>
      <c r="E23" s="1445">
        <f>text!C10</f>
        <v>45747</v>
      </c>
      <c r="F23" s="1436" t="str">
        <f>RIGHT(text!F10,1)</f>
        <v xml:space="preserve"> </v>
      </c>
      <c r="G23" s="1451">
        <f ca="1">'advanced report'!F53</f>
        <v>0</v>
      </c>
      <c r="H23" s="1452"/>
      <c r="I23" s="1451">
        <f ca="1">'advanced report'!J53</f>
        <v>0</v>
      </c>
      <c r="J23" s="1453"/>
      <c r="K23" s="1454">
        <f ca="1">G23-I23</f>
        <v>0</v>
      </c>
      <c r="L23" s="1452"/>
      <c r="N23" s="1405"/>
      <c r="O23" s="1450" t="b">
        <f ca="1">K23&lt;0</f>
        <v>0</v>
      </c>
      <c r="P23" s="1450">
        <f ca="1">IF(O23=TRUE,1,0)</f>
        <v>0</v>
      </c>
      <c r="V23" s="1405"/>
    </row>
    <row r="24" spans="1:22" ht="18" customHeight="1" x14ac:dyDescent="0.25">
      <c r="A24" s="1405"/>
      <c r="C24" s="1444">
        <f>text!B11</f>
        <v>45748</v>
      </c>
      <c r="D24" s="1445" t="s">
        <v>2656</v>
      </c>
      <c r="E24" s="1445">
        <f>text!C11</f>
        <v>46112</v>
      </c>
      <c r="F24" s="1436" t="str">
        <f>RIGHT(text!F11,1)</f>
        <v xml:space="preserve"> </v>
      </c>
      <c r="G24" s="1451">
        <f ca="1">'advanced report'!F54</f>
        <v>0</v>
      </c>
      <c r="H24" s="1452"/>
      <c r="I24" s="1451">
        <f ca="1">'advanced report'!J54</f>
        <v>0</v>
      </c>
      <c r="J24" s="1453"/>
      <c r="K24" s="1454">
        <f ca="1">G24-I24</f>
        <v>0</v>
      </c>
      <c r="L24" s="1452"/>
      <c r="N24" s="1405"/>
      <c r="O24" s="1450" t="b">
        <f ca="1">K24&lt;0</f>
        <v>0</v>
      </c>
      <c r="P24" s="1450">
        <f ca="1">IF(O24=TRUE,1,0)</f>
        <v>0</v>
      </c>
      <c r="V24" s="1405"/>
    </row>
    <row r="25" spans="1:22" ht="18" customHeight="1" x14ac:dyDescent="0.25">
      <c r="A25" s="1405"/>
      <c r="C25" s="1455"/>
      <c r="D25" s="1456"/>
      <c r="E25" s="1456"/>
      <c r="F25" s="1442"/>
      <c r="G25" s="1457"/>
      <c r="H25" s="1458"/>
      <c r="I25" s="1457"/>
      <c r="J25" s="1459"/>
      <c r="K25" s="1460"/>
      <c r="L25" s="1458"/>
      <c r="N25" s="1405"/>
      <c r="P25" s="1407">
        <f ca="1">SUM(P22:P24)</f>
        <v>0</v>
      </c>
      <c r="V25" s="1405"/>
    </row>
    <row r="26" spans="1:22" ht="25.5" customHeight="1" x14ac:dyDescent="0.3">
      <c r="A26" s="1405"/>
      <c r="C26" s="1461" t="s">
        <v>1019</v>
      </c>
      <c r="D26" s="1436"/>
      <c r="E26" s="1436"/>
      <c r="F26" s="1436"/>
      <c r="G26" s="1453"/>
      <c r="H26" s="1453"/>
      <c r="I26" s="1453"/>
      <c r="J26" s="1453"/>
      <c r="K26" s="1462">
        <f ca="1">SUM(K22:K25)</f>
        <v>0</v>
      </c>
      <c r="L26" s="1447"/>
      <c r="N26" s="1405"/>
      <c r="V26" s="1405"/>
    </row>
    <row r="27" spans="1:22" ht="13.5" thickBot="1" x14ac:dyDescent="0.35">
      <c r="A27" s="1405"/>
      <c r="C27" s="1463"/>
      <c r="D27" s="1464"/>
      <c r="E27" s="1464"/>
      <c r="F27" s="1464"/>
      <c r="G27" s="1464"/>
      <c r="H27" s="1464"/>
      <c r="I27" s="1464"/>
      <c r="J27" s="1464"/>
      <c r="K27" s="1464"/>
      <c r="L27" s="1465"/>
      <c r="N27" s="1405"/>
      <c r="V27" s="1405"/>
    </row>
    <row r="28" spans="1:22" ht="13.5" thickTop="1" x14ac:dyDescent="0.3">
      <c r="A28" s="1405"/>
      <c r="K28" s="1466" t="str">
        <f ca="1">IF(P25&gt;0,"*an increase is shown in brackets","")</f>
        <v/>
      </c>
      <c r="N28" s="1405"/>
      <c r="Q28" s="1407">
        <f>MAX(Q29:Q40)</f>
        <v>0</v>
      </c>
      <c r="V28" s="1405"/>
    </row>
    <row r="29" spans="1:22" ht="13" x14ac:dyDescent="0.3">
      <c r="A29" s="1405"/>
      <c r="C29" s="1467"/>
      <c r="G29" s="1468"/>
      <c r="N29" s="1405"/>
      <c r="Q29" s="1469">
        <f>IF(R29&gt;0,1,0)</f>
        <v>0</v>
      </c>
      <c r="R29" s="1469">
        <f>advanced!G69</f>
        <v>0</v>
      </c>
      <c r="V29" s="1405"/>
    </row>
    <row r="30" spans="1:22" ht="13" x14ac:dyDescent="0.3">
      <c r="A30" s="1405"/>
      <c r="C30" s="1470" t="str">
        <f>advanced!G98</f>
        <v xml:space="preserve"> </v>
      </c>
      <c r="D30" s="1468"/>
      <c r="N30" s="1405"/>
      <c r="Q30" s="1469">
        <f>IF(AND(Q29=0,R30&lt;&gt;""),1,IF(AND(Q29=1,R30&lt;&gt;""),2,0))</f>
        <v>0</v>
      </c>
      <c r="R30" s="1469" t="str">
        <f>IF(S30&lt;&gt;R29,S30,"")</f>
        <v/>
      </c>
      <c r="S30" s="1469">
        <f>advanced!G70</f>
        <v>0</v>
      </c>
      <c r="V30" s="1405"/>
    </row>
    <row r="31" spans="1:22" x14ac:dyDescent="0.25">
      <c r="A31" s="1405"/>
      <c r="C31" s="1470" t="str">
        <f ca="1">IF('advanced report'!E51&lt;&gt;"","Original Liability - "&amp;'advanced report'!E51,"")</f>
        <v/>
      </c>
      <c r="N31" s="1405"/>
      <c r="Q31" s="1469">
        <f>IF(AND(Q30=0,R31&lt;&gt;""),1,IF(AND(Q30=1,R31&lt;&gt;""),2,IF(AND(Q30=2,R31&lt;&gt;""),3,0)))</f>
        <v>0</v>
      </c>
      <c r="R31" s="1469" t="str">
        <f t="shared" ref="R31:R40" si="0">IF(S31&lt;&gt;S30,S31,"")</f>
        <v/>
      </c>
      <c r="S31" s="1469">
        <f>advanced!G71</f>
        <v>0</v>
      </c>
      <c r="V31" s="1405"/>
    </row>
    <row r="32" spans="1:22" ht="13" x14ac:dyDescent="0.3">
      <c r="A32" s="1405"/>
      <c r="C32" s="1470" t="str">
        <f ca="1">IF('advanced report'!I51&lt;&gt;"","Revised Liability - "&amp;'advanced report'!I51,"")</f>
        <v/>
      </c>
      <c r="H32" s="1471"/>
      <c r="I32" s="1472"/>
      <c r="J32" s="1472"/>
      <c r="K32" s="1473"/>
      <c r="L32" s="1473"/>
      <c r="N32" s="1405"/>
      <c r="Q32" s="1469">
        <f t="shared" ref="Q32:Q40" si="1">IF(AND(Q31=0,R32&lt;&gt;""),1,IF(AND(Q31=1,R32&lt;&gt;""),2,0))</f>
        <v>0</v>
      </c>
      <c r="R32" s="1469" t="str">
        <f t="shared" si="0"/>
        <v/>
      </c>
      <c r="S32" s="1469">
        <f>advanced!G72</f>
        <v>0</v>
      </c>
      <c r="V32" s="1405"/>
    </row>
    <row r="33" spans="1:22" x14ac:dyDescent="0.25">
      <c r="A33" s="1405"/>
      <c r="C33" s="1467"/>
      <c r="N33" s="1405"/>
      <c r="Q33" s="1469">
        <f t="shared" si="1"/>
        <v>0</v>
      </c>
      <c r="R33" s="1469" t="str">
        <f t="shared" si="0"/>
        <v/>
      </c>
      <c r="S33" s="1469">
        <f>advanced!G73</f>
        <v>0</v>
      </c>
      <c r="V33" s="1405"/>
    </row>
    <row r="34" spans="1:22" x14ac:dyDescent="0.25">
      <c r="A34" s="1405"/>
      <c r="N34" s="1405"/>
      <c r="Q34" s="1469">
        <f t="shared" si="1"/>
        <v>0</v>
      </c>
      <c r="R34" s="1469" t="str">
        <f t="shared" si="0"/>
        <v/>
      </c>
      <c r="S34" s="1469">
        <f>advanced!G74</f>
        <v>0</v>
      </c>
      <c r="V34" s="1405"/>
    </row>
    <row r="35" spans="1:22" x14ac:dyDescent="0.25">
      <c r="A35" s="1405"/>
      <c r="N35" s="1405"/>
      <c r="Q35" s="1469">
        <f t="shared" si="1"/>
        <v>0</v>
      </c>
      <c r="R35" s="1469" t="str">
        <f t="shared" si="0"/>
        <v/>
      </c>
      <c r="S35" s="1469">
        <f>advanced!G75</f>
        <v>0</v>
      </c>
      <c r="V35" s="1405"/>
    </row>
    <row r="36" spans="1:22" x14ac:dyDescent="0.25">
      <c r="A36" s="1405"/>
      <c r="N36" s="1405"/>
      <c r="Q36" s="1469">
        <f t="shared" si="1"/>
        <v>0</v>
      </c>
      <c r="R36" s="1469" t="str">
        <f t="shared" si="0"/>
        <v/>
      </c>
      <c r="S36" s="1469">
        <f>advanced!G76</f>
        <v>0</v>
      </c>
      <c r="V36" s="1405"/>
    </row>
    <row r="37" spans="1:22" x14ac:dyDescent="0.25">
      <c r="A37" s="1405"/>
      <c r="N37" s="1405"/>
      <c r="Q37" s="1469">
        <f t="shared" si="1"/>
        <v>0</v>
      </c>
      <c r="R37" s="1469" t="str">
        <f t="shared" si="0"/>
        <v/>
      </c>
      <c r="S37" s="1469">
        <f>advanced!G77</f>
        <v>0</v>
      </c>
      <c r="V37" s="1405"/>
    </row>
    <row r="38" spans="1:22" ht="13" x14ac:dyDescent="0.3">
      <c r="A38" s="1405"/>
      <c r="K38" s="1474"/>
      <c r="L38" s="1474"/>
      <c r="N38" s="1405"/>
      <c r="Q38" s="1469">
        <f t="shared" si="1"/>
        <v>0</v>
      </c>
      <c r="R38" s="1469" t="str">
        <f t="shared" si="0"/>
        <v/>
      </c>
      <c r="S38" s="1469">
        <f>advanced!G78</f>
        <v>0</v>
      </c>
      <c r="V38" s="1405"/>
    </row>
    <row r="39" spans="1:22" ht="13" x14ac:dyDescent="0.3">
      <c r="A39" s="1405"/>
      <c r="K39" s="1474"/>
      <c r="L39" s="1474"/>
      <c r="N39" s="1405"/>
      <c r="Q39" s="1469">
        <f t="shared" si="1"/>
        <v>0</v>
      </c>
      <c r="R39" s="1469" t="str">
        <f t="shared" si="0"/>
        <v/>
      </c>
      <c r="S39" s="1469">
        <f>advanced!G79</f>
        <v>0</v>
      </c>
      <c r="V39" s="1405"/>
    </row>
    <row r="40" spans="1:22" x14ac:dyDescent="0.25">
      <c r="A40" s="1405"/>
      <c r="N40" s="1405"/>
      <c r="Q40" s="1469">
        <f t="shared" si="1"/>
        <v>0</v>
      </c>
      <c r="R40" s="1469" t="str">
        <f t="shared" si="0"/>
        <v/>
      </c>
      <c r="S40" s="1469">
        <f>advanced!G80</f>
        <v>0</v>
      </c>
      <c r="V40" s="1405"/>
    </row>
    <row r="41" spans="1:22" x14ac:dyDescent="0.25">
      <c r="A41" s="1405"/>
      <c r="N41" s="1405"/>
      <c r="Q41" s="1475">
        <f>SUM(Q29:Q40)</f>
        <v>0</v>
      </c>
      <c r="V41" s="1405"/>
    </row>
    <row r="42" spans="1:22" x14ac:dyDescent="0.25">
      <c r="A42" s="1405"/>
      <c r="N42" s="1405"/>
      <c r="Q42" s="1407">
        <f>MAX(Q43:Q54)</f>
        <v>0</v>
      </c>
      <c r="V42" s="1405"/>
    </row>
    <row r="43" spans="1:22" x14ac:dyDescent="0.25">
      <c r="A43" s="1405"/>
      <c r="N43" s="1405"/>
      <c r="Q43" s="1469">
        <f>IF(R43&gt;0,1,0)</f>
        <v>0</v>
      </c>
      <c r="R43" s="1469">
        <f>advanced!L69</f>
        <v>0</v>
      </c>
      <c r="V43" s="1405"/>
    </row>
    <row r="44" spans="1:22" ht="13" x14ac:dyDescent="0.3">
      <c r="A44" s="1405"/>
      <c r="C44" s="1476"/>
      <c r="F44" s="1476"/>
      <c r="K44" s="1476"/>
      <c r="L44" s="1476"/>
      <c r="N44" s="1405"/>
      <c r="Q44" s="1469">
        <f>IF(AND(Q43=0,R44&lt;&gt;""),1,IF(AND(Q43=1,R44&lt;&gt;""),2,0))</f>
        <v>0</v>
      </c>
      <c r="R44" s="1469" t="str">
        <f>IF(S44&lt;&gt;R43,S44,"")</f>
        <v/>
      </c>
      <c r="S44" s="1469">
        <f>advanced!L70</f>
        <v>0</v>
      </c>
      <c r="V44" s="1405"/>
    </row>
    <row r="45" spans="1:22" x14ac:dyDescent="0.25">
      <c r="A45" s="1405"/>
      <c r="N45" s="1405"/>
      <c r="Q45" s="1469">
        <f>IF(AND(Q44=0,R45&lt;&gt;""),1,IF(AND(Q44=1,R45&lt;&gt;""),2,IF(AND(Q44=2,R45&lt;&gt;""),3,0)))</f>
        <v>0</v>
      </c>
      <c r="R45" s="1469" t="str">
        <f t="shared" ref="R45:R54" si="2">IF(S45&lt;&gt;S44,S45,"")</f>
        <v/>
      </c>
      <c r="S45" s="1469">
        <f>advanced!L71</f>
        <v>0</v>
      </c>
      <c r="V45" s="1405"/>
    </row>
    <row r="46" spans="1:22" ht="17.5" x14ac:dyDescent="0.35">
      <c r="A46" s="1405"/>
      <c r="C46" s="1477" t="s">
        <v>2657</v>
      </c>
      <c r="E46" s="1478" t="str">
        <f>codes!F4</f>
        <v>CBRE</v>
      </c>
      <c r="G46" s="1471"/>
      <c r="H46" s="1471"/>
      <c r="K46" s="1479">
        <f ca="1">TODAY()</f>
        <v>46155</v>
      </c>
      <c r="L46" s="1415"/>
      <c r="N46" s="1405"/>
      <c r="Q46" s="1469">
        <f t="shared" ref="Q46:Q54" si="3">IF(AND(Q45=0,R46&lt;&gt;""),1,IF(AND(Q45=1,R46&lt;&gt;""),2,0))</f>
        <v>0</v>
      </c>
      <c r="R46" s="1469" t="str">
        <f t="shared" si="2"/>
        <v/>
      </c>
      <c r="S46" s="1469">
        <f>advanced!L72</f>
        <v>0</v>
      </c>
      <c r="V46" s="1405"/>
    </row>
    <row r="47" spans="1:22" x14ac:dyDescent="0.25">
      <c r="A47" s="1405"/>
      <c r="N47" s="1405"/>
      <c r="Q47" s="1469">
        <f t="shared" si="3"/>
        <v>0</v>
      </c>
      <c r="R47" s="1469" t="str">
        <f t="shared" si="2"/>
        <v/>
      </c>
      <c r="S47" s="1469">
        <f>advanced!L73</f>
        <v>0</v>
      </c>
      <c r="V47" s="1405"/>
    </row>
    <row r="48" spans="1:22" x14ac:dyDescent="0.25">
      <c r="A48" s="1405"/>
      <c r="B48" s="1405"/>
      <c r="C48" s="1405"/>
      <c r="D48" s="1405"/>
      <c r="E48" s="1405"/>
      <c r="F48" s="1405"/>
      <c r="G48" s="1405"/>
      <c r="H48" s="1405"/>
      <c r="I48" s="1405"/>
      <c r="J48" s="1405"/>
      <c r="K48" s="1405"/>
      <c r="L48" s="1405"/>
      <c r="M48" s="1405"/>
      <c r="N48" s="1405"/>
      <c r="Q48" s="1469">
        <f t="shared" si="3"/>
        <v>0</v>
      </c>
      <c r="R48" s="1469" t="str">
        <f t="shared" si="2"/>
        <v/>
      </c>
      <c r="S48" s="1469">
        <f>advanced!L74</f>
        <v>0</v>
      </c>
      <c r="V48" s="1405"/>
    </row>
    <row r="49" spans="1:22" x14ac:dyDescent="0.25">
      <c r="A49" s="1405"/>
      <c r="B49" s="1405"/>
      <c r="C49" s="1405"/>
      <c r="D49" s="1405"/>
      <c r="E49" s="1405"/>
      <c r="F49" s="1405"/>
      <c r="G49" s="1405"/>
      <c r="H49" s="1405"/>
      <c r="I49" s="1405"/>
      <c r="J49" s="1405"/>
      <c r="K49" s="1405"/>
      <c r="L49" s="1405"/>
      <c r="M49" s="1405"/>
      <c r="N49" s="1405"/>
      <c r="Q49" s="1469">
        <f t="shared" si="3"/>
        <v>0</v>
      </c>
      <c r="R49" s="1469" t="str">
        <f t="shared" si="2"/>
        <v/>
      </c>
      <c r="S49" s="1469">
        <f>advanced!L75</f>
        <v>0</v>
      </c>
      <c r="V49" s="1405"/>
    </row>
    <row r="50" spans="1:22" x14ac:dyDescent="0.25">
      <c r="A50" s="1405"/>
      <c r="B50" s="1405"/>
      <c r="C50" s="1405"/>
      <c r="D50" s="1405"/>
      <c r="E50" s="1405"/>
      <c r="F50" s="1405"/>
      <c r="G50" s="1405"/>
      <c r="H50" s="1405"/>
      <c r="I50" s="1405"/>
      <c r="J50" s="1405"/>
      <c r="K50" s="1405"/>
      <c r="L50" s="1405"/>
      <c r="M50" s="1405"/>
      <c r="N50" s="1405"/>
      <c r="Q50" s="1469">
        <f t="shared" si="3"/>
        <v>0</v>
      </c>
      <c r="R50" s="1469" t="str">
        <f t="shared" si="2"/>
        <v/>
      </c>
      <c r="S50" s="1469">
        <f>advanced!L76</f>
        <v>0</v>
      </c>
      <c r="V50" s="1405"/>
    </row>
    <row r="51" spans="1:22" x14ac:dyDescent="0.25">
      <c r="A51" s="1405"/>
      <c r="B51" s="1405"/>
      <c r="C51" s="1405"/>
      <c r="D51" s="1405"/>
      <c r="E51" s="1405"/>
      <c r="F51" s="1405"/>
      <c r="G51" s="1405"/>
      <c r="H51" s="1405"/>
      <c r="I51" s="1405"/>
      <c r="J51" s="1405"/>
      <c r="K51" s="1405"/>
      <c r="L51" s="1405"/>
      <c r="M51" s="1405"/>
      <c r="N51" s="1405"/>
      <c r="Q51" s="1469">
        <f t="shared" si="3"/>
        <v>0</v>
      </c>
      <c r="R51" s="1469" t="str">
        <f t="shared" si="2"/>
        <v/>
      </c>
      <c r="S51" s="1469">
        <f>advanced!L77</f>
        <v>0</v>
      </c>
      <c r="V51" s="1405"/>
    </row>
    <row r="52" spans="1:22" x14ac:dyDescent="0.25">
      <c r="A52" s="1405"/>
      <c r="B52" s="1405"/>
      <c r="C52" s="1405"/>
      <c r="D52" s="1405"/>
      <c r="E52" s="1405"/>
      <c r="F52" s="1405"/>
      <c r="G52" s="1405"/>
      <c r="H52" s="1405"/>
      <c r="I52" s="1405"/>
      <c r="J52" s="1405"/>
      <c r="K52" s="1405"/>
      <c r="L52" s="1405"/>
      <c r="M52" s="1405"/>
      <c r="N52" s="1405"/>
      <c r="Q52" s="1469">
        <f t="shared" si="3"/>
        <v>0</v>
      </c>
      <c r="R52" s="1469" t="str">
        <f t="shared" si="2"/>
        <v/>
      </c>
      <c r="S52" s="1469">
        <f>advanced!L78</f>
        <v>0</v>
      </c>
      <c r="V52" s="1405"/>
    </row>
    <row r="53" spans="1:22" x14ac:dyDescent="0.25">
      <c r="A53" s="1405"/>
      <c r="B53" s="1405"/>
      <c r="C53" s="1405"/>
      <c r="D53" s="1405"/>
      <c r="E53" s="1405"/>
      <c r="F53" s="1405"/>
      <c r="G53" s="1405"/>
      <c r="H53" s="1405"/>
      <c r="I53" s="1405"/>
      <c r="J53" s="1405"/>
      <c r="K53" s="1405"/>
      <c r="L53" s="1405"/>
      <c r="M53" s="1405"/>
      <c r="N53" s="1405"/>
      <c r="Q53" s="1469">
        <f t="shared" si="3"/>
        <v>0</v>
      </c>
      <c r="R53" s="1469" t="str">
        <f t="shared" si="2"/>
        <v/>
      </c>
      <c r="S53" s="1469">
        <f>advanced!L79</f>
        <v>0</v>
      </c>
      <c r="V53" s="1405"/>
    </row>
    <row r="54" spans="1:22" x14ac:dyDescent="0.25">
      <c r="A54" s="1405"/>
      <c r="B54" s="1405"/>
      <c r="C54" s="1405"/>
      <c r="D54" s="1405"/>
      <c r="E54" s="1405"/>
      <c r="F54" s="1405"/>
      <c r="G54" s="1405"/>
      <c r="H54" s="1405"/>
      <c r="I54" s="1405"/>
      <c r="J54" s="1405"/>
      <c r="K54" s="1405"/>
      <c r="L54" s="1405"/>
      <c r="M54" s="1405"/>
      <c r="N54" s="1405"/>
      <c r="Q54" s="1469">
        <f t="shared" si="3"/>
        <v>0</v>
      </c>
      <c r="R54" s="1469" t="str">
        <f t="shared" si="2"/>
        <v/>
      </c>
      <c r="S54" s="1469">
        <f>advanced!L80</f>
        <v>0</v>
      </c>
      <c r="V54" s="1405"/>
    </row>
    <row r="55" spans="1:22" x14ac:dyDescent="0.25">
      <c r="A55" s="1405"/>
      <c r="B55" s="1405"/>
      <c r="C55" s="1405"/>
      <c r="D55" s="1405"/>
      <c r="E55" s="1405"/>
      <c r="F55" s="1405"/>
      <c r="G55" s="1405"/>
      <c r="H55" s="1405"/>
      <c r="I55" s="1405"/>
      <c r="J55" s="1405"/>
      <c r="K55" s="1405"/>
      <c r="L55" s="1405"/>
      <c r="M55" s="1405"/>
      <c r="N55" s="1405"/>
      <c r="Q55" s="1475">
        <f>SUM(Q43:Q54)</f>
        <v>0</v>
      </c>
      <c r="V55" s="1405"/>
    </row>
    <row r="56" spans="1:22" x14ac:dyDescent="0.25">
      <c r="A56" s="1405"/>
      <c r="B56" s="1405"/>
      <c r="C56" s="1405"/>
      <c r="D56" s="1405"/>
      <c r="E56" s="1405"/>
      <c r="F56" s="1405"/>
      <c r="G56" s="1405"/>
      <c r="H56" s="1405"/>
      <c r="I56" s="1405"/>
      <c r="J56" s="1405"/>
      <c r="K56" s="1405"/>
      <c r="L56" s="1405"/>
      <c r="M56" s="1405"/>
      <c r="N56" s="1405"/>
      <c r="V56" s="1405"/>
    </row>
    <row r="57" spans="1:22" x14ac:dyDescent="0.25">
      <c r="A57" s="1405"/>
      <c r="B57" s="1405"/>
      <c r="C57" s="1405"/>
      <c r="D57" s="1405"/>
      <c r="E57" s="1405"/>
      <c r="F57" s="1405"/>
      <c r="G57" s="1405"/>
      <c r="H57" s="1405"/>
      <c r="I57" s="1405"/>
      <c r="J57" s="1405"/>
      <c r="K57" s="1405"/>
      <c r="L57" s="1405"/>
      <c r="M57" s="1405"/>
      <c r="N57" s="1405"/>
      <c r="V57" s="1405"/>
    </row>
  </sheetData>
  <sheetProtection password="BCD8" sheet="1" objects="1" scenarios="1"/>
  <phoneticPr fontId="124" type="noConversion"/>
  <pageMargins left="0.59" right="0.53" top="0.31" bottom="1" header="0.5" footer="0.5"/>
  <pageSetup paperSize="9" orientation="portrait" blackAndWhite="1" horizontalDpi="4294967292"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goto_top">
                <anchor moveWithCells="1" sizeWithCells="1">
                  <from>
                    <xdr:col>13</xdr:col>
                    <xdr:colOff>88900</xdr:colOff>
                    <xdr:row>27</xdr:row>
                    <xdr:rowOff>152400</xdr:rowOff>
                  </from>
                  <to>
                    <xdr:col>13</xdr:col>
                    <xdr:colOff>914400</xdr:colOff>
                    <xdr:row>31</xdr:row>
                    <xdr:rowOff>101600</xdr:rowOff>
                  </to>
                </anchor>
              </controlPr>
            </control>
          </mc:Choice>
        </mc:AlternateContent>
        <mc:AlternateContent xmlns:mc="http://schemas.openxmlformats.org/markup-compatibility/2006">
          <mc:Choice Requires="x14">
            <control shapeId="72706" r:id="rId5" name="Button 2">
              <controlPr defaultSize="0" print="0" autoFill="0" autoPict="0" macro="[0]!goto_top">
                <anchor moveWithCells="1" sizeWithCells="1">
                  <from>
                    <xdr:col>9</xdr:col>
                    <xdr:colOff>165100</xdr:colOff>
                    <xdr:row>47</xdr:row>
                    <xdr:rowOff>63500</xdr:rowOff>
                  </from>
                  <to>
                    <xdr:col>12</xdr:col>
                    <xdr:colOff>63500</xdr:colOff>
                    <xdr:row>49</xdr:row>
                    <xdr:rowOff>76200</xdr:rowOff>
                  </to>
                </anchor>
              </controlPr>
            </control>
          </mc:Choice>
        </mc:AlternateContent>
        <mc:AlternateContent xmlns:mc="http://schemas.openxmlformats.org/markup-compatibility/2006">
          <mc:Choice Requires="x14">
            <control shapeId="72712" r:id="rId6" name="Group Box 8">
              <controlPr defaultSize="0" autoFill="0" autoPict="0">
                <anchor moveWithCells="1">
                  <from>
                    <xdr:col>13</xdr:col>
                    <xdr:colOff>146050</xdr:colOff>
                    <xdr:row>9</xdr:row>
                    <xdr:rowOff>69850</xdr:rowOff>
                  </from>
                  <to>
                    <xdr:col>13</xdr:col>
                    <xdr:colOff>965200</xdr:colOff>
                    <xdr:row>12</xdr:row>
                    <xdr:rowOff>12700</xdr:rowOff>
                  </to>
                </anchor>
              </controlPr>
            </control>
          </mc:Choice>
        </mc:AlternateContent>
        <mc:AlternateContent xmlns:mc="http://schemas.openxmlformats.org/markup-compatibility/2006">
          <mc:Choice Requires="x14">
            <control shapeId="72713" r:id="rId7" name="Option Button 9">
              <controlPr defaultSize="0" autoFill="0" autoLine="0" autoPict="0">
                <anchor moveWithCells="1">
                  <from>
                    <xdr:col>13</xdr:col>
                    <xdr:colOff>234950</xdr:colOff>
                    <xdr:row>9</xdr:row>
                    <xdr:rowOff>139700</xdr:rowOff>
                  </from>
                  <to>
                    <xdr:col>13</xdr:col>
                    <xdr:colOff>774700</xdr:colOff>
                    <xdr:row>10</xdr:row>
                    <xdr:rowOff>184150</xdr:rowOff>
                  </to>
                </anchor>
              </controlPr>
            </control>
          </mc:Choice>
        </mc:AlternateContent>
        <mc:AlternateContent xmlns:mc="http://schemas.openxmlformats.org/markup-compatibility/2006">
          <mc:Choice Requires="x14">
            <control shapeId="72714" r:id="rId8" name="Option Button 10">
              <controlPr defaultSize="0" autoFill="0" autoLine="0" autoPict="0">
                <anchor moveWithCells="1">
                  <from>
                    <xdr:col>13</xdr:col>
                    <xdr:colOff>241300</xdr:colOff>
                    <xdr:row>10</xdr:row>
                    <xdr:rowOff>215900</xdr:rowOff>
                  </from>
                  <to>
                    <xdr:col>13</xdr:col>
                    <xdr:colOff>723900</xdr:colOff>
                    <xdr:row>11</xdr:row>
                    <xdr:rowOff>190500</xdr:rowOff>
                  </to>
                </anchor>
              </controlPr>
            </control>
          </mc:Choice>
        </mc:AlternateContent>
        <mc:AlternateContent xmlns:mc="http://schemas.openxmlformats.org/markup-compatibility/2006">
          <mc:Choice Requires="x14">
            <control shapeId="72716" r:id="rId9" name="Check Box 12">
              <controlPr defaultSize="0" autoFill="0" autoLine="0" autoPict="0">
                <anchor moveWithCells="1">
                  <from>
                    <xdr:col>13</xdr:col>
                    <xdr:colOff>146050</xdr:colOff>
                    <xdr:row>13</xdr:row>
                    <xdr:rowOff>127000</xdr:rowOff>
                  </from>
                  <to>
                    <xdr:col>13</xdr:col>
                    <xdr:colOff>1117600</xdr:colOff>
                    <xdr:row>15</xdr:row>
                    <xdr:rowOff>25400</xdr:rowOff>
                  </to>
                </anchor>
              </controlPr>
            </control>
          </mc:Choice>
        </mc:AlternateContent>
        <mc:AlternateContent xmlns:mc="http://schemas.openxmlformats.org/markup-compatibility/2006">
          <mc:Choice Requires="x14">
            <control shapeId="72724" r:id="rId10" name="Button 20">
              <controlPr defaultSize="0" print="0" autoFill="0" autoPict="0" macro="[0]!goto_home">
                <anchor moveWithCells="1" sizeWithCells="1">
                  <from>
                    <xdr:col>1</xdr:col>
                    <xdr:colOff>6350</xdr:colOff>
                    <xdr:row>0</xdr:row>
                    <xdr:rowOff>76200</xdr:rowOff>
                  </from>
                  <to>
                    <xdr:col>3</xdr:col>
                    <xdr:colOff>44450</xdr:colOff>
                    <xdr:row>1</xdr:row>
                    <xdr:rowOff>38100</xdr:rowOff>
                  </to>
                </anchor>
              </controlPr>
            </control>
          </mc:Choice>
        </mc:AlternateContent>
        <mc:AlternateContent xmlns:mc="http://schemas.openxmlformats.org/markup-compatibility/2006">
          <mc:Choice Requires="x14">
            <control shapeId="72725" r:id="rId11" name="Button 21">
              <controlPr defaultSize="0" print="0" autoFill="0" autoPict="0" macro="[0]!goto_details">
                <anchor moveWithCells="1" sizeWithCells="1">
                  <from>
                    <xdr:col>3</xdr:col>
                    <xdr:colOff>63500</xdr:colOff>
                    <xdr:row>0</xdr:row>
                    <xdr:rowOff>76200</xdr:rowOff>
                  </from>
                  <to>
                    <xdr:col>4</xdr:col>
                    <xdr:colOff>584200</xdr:colOff>
                    <xdr:row>1</xdr:row>
                    <xdr:rowOff>38100</xdr:rowOff>
                  </to>
                </anchor>
              </controlPr>
            </control>
          </mc:Choice>
        </mc:AlternateContent>
        <mc:AlternateContent xmlns:mc="http://schemas.openxmlformats.org/markup-compatibility/2006">
          <mc:Choice Requires="x14">
            <control shapeId="72726" r:id="rId12" name="Button 22">
              <controlPr defaultSize="0" print="0" autoFill="0" autoPict="0" macro="[0]!goto_advanced">
                <anchor moveWithCells="1" sizeWithCells="1">
                  <from>
                    <xdr:col>4</xdr:col>
                    <xdr:colOff>603250</xdr:colOff>
                    <xdr:row>0</xdr:row>
                    <xdr:rowOff>76200</xdr:rowOff>
                  </from>
                  <to>
                    <xdr:col>6</xdr:col>
                    <xdr:colOff>603250</xdr:colOff>
                    <xdr:row>1</xdr:row>
                    <xdr:rowOff>38100</xdr:rowOff>
                  </to>
                </anchor>
              </controlPr>
            </control>
          </mc:Choice>
        </mc:AlternateContent>
        <mc:AlternateContent xmlns:mc="http://schemas.openxmlformats.org/markup-compatibility/2006">
          <mc:Choice Requires="x14">
            <control shapeId="72727" r:id="rId13" name="Button 23">
              <controlPr defaultSize="0" print="0" autoFill="0" autoPict="0" macro="[0]!goto_advanced_report">
                <anchor moveWithCells="1" sizeWithCells="1">
                  <from>
                    <xdr:col>6</xdr:col>
                    <xdr:colOff>615950</xdr:colOff>
                    <xdr:row>0</xdr:row>
                    <xdr:rowOff>76200</xdr:rowOff>
                  </from>
                  <to>
                    <xdr:col>8</xdr:col>
                    <xdr:colOff>387350</xdr:colOff>
                    <xdr:row>1</xdr:row>
                    <xdr:rowOff>38100</xdr:rowOff>
                  </to>
                </anchor>
              </controlPr>
            </control>
          </mc:Choice>
        </mc:AlternateContent>
        <mc:AlternateContent xmlns:mc="http://schemas.openxmlformats.org/markup-compatibility/2006">
          <mc:Choice Requires="x14">
            <control shapeId="72728" r:id="rId14" name="Button 24">
              <controlPr defaultSize="0" print="0" autoFill="0" autoPict="0" macro="[0]!PrintThis">
                <anchor moveWithCells="1" sizeWithCells="1">
                  <from>
                    <xdr:col>8</xdr:col>
                    <xdr:colOff>406400</xdr:colOff>
                    <xdr:row>0</xdr:row>
                    <xdr:rowOff>76200</xdr:rowOff>
                  </from>
                  <to>
                    <xdr:col>10</xdr:col>
                    <xdr:colOff>215900</xdr:colOff>
                    <xdr:row>1</xdr:row>
                    <xdr:rowOff>38100</xdr:rowOff>
                  </to>
                </anchor>
              </controlPr>
            </control>
          </mc:Choice>
        </mc:AlternateContent>
        <mc:AlternateContent xmlns:mc="http://schemas.openxmlformats.org/markup-compatibility/2006">
          <mc:Choice Requires="x14">
            <control shapeId="72729" r:id="rId15" name="Button 25">
              <controlPr defaultSize="0" print="0" autoFill="0" autoPict="0" macro="[0]!goto_interest">
                <anchor moveWithCells="1" sizeWithCells="1">
                  <from>
                    <xdr:col>10</xdr:col>
                    <xdr:colOff>228600</xdr:colOff>
                    <xdr:row>0</xdr:row>
                    <xdr:rowOff>76200</xdr:rowOff>
                  </from>
                  <to>
                    <xdr:col>10</xdr:col>
                    <xdr:colOff>908050</xdr:colOff>
                    <xdr:row>1</xdr:row>
                    <xdr:rowOff>38100</xdr:rowOff>
                  </to>
                </anchor>
              </controlPr>
            </control>
          </mc:Choice>
        </mc:AlternateContent>
        <mc:AlternateContent xmlns:mc="http://schemas.openxmlformats.org/markup-compatibility/2006">
          <mc:Choice Requires="x14">
            <control shapeId="72730" r:id="rId16" name="globalbacktobutton">
              <controlPr defaultSize="0" print="0" autoFill="0" autoPict="0" macro="[0]!backto">
                <anchor moveWithCells="1" sizeWithCells="1">
                  <from>
                    <xdr:col>13</xdr:col>
                    <xdr:colOff>165100</xdr:colOff>
                    <xdr:row>3</xdr:row>
                    <xdr:rowOff>6350</xdr:rowOff>
                  </from>
                  <to>
                    <xdr:col>13</xdr:col>
                    <xdr:colOff>793750</xdr:colOff>
                    <xdr:row>5</xdr:row>
                    <xdr:rowOff>139700</xdr:rowOff>
                  </to>
                </anchor>
              </controlPr>
            </control>
          </mc:Choice>
        </mc:AlternateContent>
        <mc:AlternateContent xmlns:mc="http://schemas.openxmlformats.org/markup-compatibility/2006">
          <mc:Choice Requires="x14">
            <control shapeId="72731" r:id="rId17" name="Button 27">
              <controlPr defaultSize="0" print="0" autoFill="0" autoPict="0" macro="[0]!copy_as_excel">
                <anchor moveWithCells="1" sizeWithCells="1">
                  <from>
                    <xdr:col>13</xdr:col>
                    <xdr:colOff>184150</xdr:colOff>
                    <xdr:row>1</xdr:row>
                    <xdr:rowOff>38100</xdr:rowOff>
                  </from>
                  <to>
                    <xdr:col>13</xdr:col>
                    <xdr:colOff>869950</xdr:colOff>
                    <xdr:row>2</xdr:row>
                    <xdr:rowOff>44450</xdr:rowOff>
                  </to>
                </anchor>
              </controlPr>
            </control>
          </mc:Choice>
        </mc:AlternateContent>
        <mc:AlternateContent xmlns:mc="http://schemas.openxmlformats.org/markup-compatibility/2006">
          <mc:Choice Requires="x14">
            <control shapeId="72732" r:id="rId18" name="Button 28">
              <controlPr defaultSize="0" print="0" autoFill="0" autoPict="0" macro="[0]!pdflauncher">
                <anchor moveWithCells="1" sizeWithCells="1">
                  <from>
                    <xdr:col>13</xdr:col>
                    <xdr:colOff>882650</xdr:colOff>
                    <xdr:row>1</xdr:row>
                    <xdr:rowOff>38100</xdr:rowOff>
                  </from>
                  <to>
                    <xdr:col>21</xdr:col>
                    <xdr:colOff>304800</xdr:colOff>
                    <xdr:row>2</xdr:row>
                    <xdr:rowOff>44450</xdr:rowOff>
                  </to>
                </anchor>
              </controlPr>
            </control>
          </mc:Choice>
        </mc:AlternateContent>
        <mc:AlternateContent xmlns:mc="http://schemas.openxmlformats.org/markup-compatibility/2006">
          <mc:Choice Requires="x14">
            <control shapeId="72733" r:id="rId19" name="Button 29">
              <controlPr defaultSize="0" print="0" autoFill="0" autoPict="0" macro="[0]!openfolder">
                <anchor moveWithCells="1" sizeWithCells="1">
                  <from>
                    <xdr:col>21</xdr:col>
                    <xdr:colOff>311150</xdr:colOff>
                    <xdr:row>1</xdr:row>
                    <xdr:rowOff>38100</xdr:rowOff>
                  </from>
                  <to>
                    <xdr:col>21</xdr:col>
                    <xdr:colOff>844550</xdr:colOff>
                    <xdr:row>2</xdr:row>
                    <xdr:rowOff>44450</xdr:rowOff>
                  </to>
                </anchor>
              </controlPr>
            </control>
          </mc:Choice>
        </mc:AlternateContent>
        <mc:AlternateContent xmlns:mc="http://schemas.openxmlformats.org/markup-compatibility/2006">
          <mc:Choice Requires="x14">
            <control shapeId="72734" r:id="rId20" name="Button 30">
              <controlPr defaultSize="0" print="0" autoFill="0" autoPict="0" macro="[0]!goto_folder_settings">
                <anchor moveWithCells="1" sizeWithCells="1">
                  <from>
                    <xdr:col>21</xdr:col>
                    <xdr:colOff>850900</xdr:colOff>
                    <xdr:row>1</xdr:row>
                    <xdr:rowOff>38100</xdr:rowOff>
                  </from>
                  <to>
                    <xdr:col>21</xdr:col>
                    <xdr:colOff>1377950</xdr:colOff>
                    <xdr:row>2</xdr:row>
                    <xdr:rowOff>44450</xdr:rowOff>
                  </to>
                </anchor>
              </controlPr>
            </control>
          </mc:Choice>
        </mc:AlternateContent>
        <mc:AlternateContent xmlns:mc="http://schemas.openxmlformats.org/markup-compatibility/2006">
          <mc:Choice Requires="x14">
            <control shapeId="72735" r:id="rId21" name="Button 31">
              <controlPr defaultSize="0" print="0" autoFill="0" autoPict="0" macro="[0]!email_pdf_launch">
                <anchor moveWithCells="1" sizeWithCells="1">
                  <from>
                    <xdr:col>13</xdr:col>
                    <xdr:colOff>1028700</xdr:colOff>
                    <xdr:row>0</xdr:row>
                    <xdr:rowOff>127000</xdr:rowOff>
                  </from>
                  <to>
                    <xdr:col>21</xdr:col>
                    <xdr:colOff>450850</xdr:colOff>
                    <xdr:row>1</xdr:row>
                    <xdr:rowOff>31750</xdr:rowOff>
                  </to>
                </anchor>
              </controlPr>
            </control>
          </mc:Choice>
        </mc:AlternateContent>
        <mc:AlternateContent xmlns:mc="http://schemas.openxmlformats.org/markup-compatibility/2006">
          <mc:Choice Requires="x14">
            <control shapeId="72736" r:id="rId22" name="Button 32">
              <controlPr defaultSize="0" print="0" autoFill="0" autoPict="0" macro="[0]!email_copy_as_excel">
                <anchor moveWithCells="1" sizeWithCells="1">
                  <from>
                    <xdr:col>13</xdr:col>
                    <xdr:colOff>184150</xdr:colOff>
                    <xdr:row>0</xdr:row>
                    <xdr:rowOff>127000</xdr:rowOff>
                  </from>
                  <to>
                    <xdr:col>13</xdr:col>
                    <xdr:colOff>1022350</xdr:colOff>
                    <xdr:row>1</xdr:row>
                    <xdr:rowOff>31750</xdr:rowOff>
                  </to>
                </anchor>
              </controlPr>
            </control>
          </mc:Choice>
        </mc:AlternateContent>
        <mc:AlternateContent xmlns:mc="http://schemas.openxmlformats.org/markup-compatibility/2006">
          <mc:Choice Requires="x14">
            <control shapeId="72737" r:id="rId23" name="Button 33">
              <controlPr defaultSize="0" print="0" autoFill="0" autoPict="0" macro="[0]!emailsettings">
                <anchor moveWithCells="1" sizeWithCells="1">
                  <from>
                    <xdr:col>21</xdr:col>
                    <xdr:colOff>457200</xdr:colOff>
                    <xdr:row>0</xdr:row>
                    <xdr:rowOff>127000</xdr:rowOff>
                  </from>
                  <to>
                    <xdr:col>21</xdr:col>
                    <xdr:colOff>1377950</xdr:colOff>
                    <xdr:row>1</xdr:row>
                    <xdr:rowOff>31750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CB7A7-A707-4AE4-A2CD-6209EBA5F515}">
  <sheetPr codeName="Sheet52">
    <pageSetUpPr fitToPage="1"/>
  </sheetPr>
  <dimension ref="A1:AB63"/>
  <sheetViews>
    <sheetView showGridLines="0" workbookViewId="0"/>
  </sheetViews>
  <sheetFormatPr defaultColWidth="9.08984375" defaultRowHeight="12.5" x14ac:dyDescent="0.25"/>
  <cols>
    <col min="1" max="1" width="14.90625" style="1407" customWidth="1"/>
    <col min="2" max="2" width="0.90625" style="1407" customWidth="1"/>
    <col min="3" max="3" width="9.453125" style="1539" customWidth="1"/>
    <col min="4" max="4" width="8.90625" style="1540" customWidth="1"/>
    <col min="5" max="5" width="4.90625" style="1541" customWidth="1"/>
    <col min="6" max="6" width="5.6328125" style="1542" customWidth="1"/>
    <col min="7" max="7" width="12.453125" style="1543" customWidth="1"/>
    <col min="8" max="8" width="2.08984375" style="1543" customWidth="1"/>
    <col min="9" max="9" width="1.36328125" style="1407" customWidth="1"/>
    <col min="10" max="10" width="8.6328125" style="1539" customWidth="1"/>
    <col min="11" max="11" width="8.453125" style="1540" customWidth="1"/>
    <col min="12" max="12" width="5" style="1541" customWidth="1"/>
    <col min="13" max="13" width="5.6328125" style="1542" customWidth="1"/>
    <col min="14" max="14" width="13.08984375" style="1543" customWidth="1"/>
    <col min="15" max="15" width="1.6328125" style="1543" customWidth="1"/>
    <col min="16" max="16" width="1" style="1407" customWidth="1"/>
    <col min="17" max="17" width="12.453125" style="1544" customWidth="1"/>
    <col min="18" max="18" width="1" style="1407" customWidth="1"/>
    <col min="19" max="19" width="2.90625" style="1407" customWidth="1"/>
    <col min="20" max="20" width="9.08984375" style="1420" hidden="1" customWidth="1"/>
    <col min="21" max="22" width="9.08984375" style="1407" hidden="1" customWidth="1"/>
    <col min="23" max="23" width="9.453125" style="1407" hidden="1" customWidth="1"/>
    <col min="24" max="24" width="34.90625" style="1407" customWidth="1"/>
    <col min="25" max="25" width="21.36328125" style="1407" customWidth="1"/>
    <col min="26" max="16384" width="9.08984375" style="1407"/>
  </cols>
  <sheetData>
    <row r="1" spans="1:28" x14ac:dyDescent="0.25">
      <c r="A1" s="1491"/>
      <c r="B1" s="1491"/>
      <c r="C1" s="1491"/>
      <c r="D1" s="1491"/>
      <c r="E1" s="1491"/>
      <c r="F1" s="1491"/>
      <c r="G1" s="1491"/>
      <c r="H1" s="1491"/>
      <c r="I1" s="1491"/>
      <c r="J1" s="1491"/>
      <c r="K1" s="1491"/>
      <c r="L1" s="1491"/>
      <c r="M1" s="1491"/>
      <c r="N1" s="1491"/>
      <c r="O1" s="1491"/>
      <c r="P1" s="1491"/>
      <c r="Q1" s="1491"/>
      <c r="R1" s="1491"/>
      <c r="S1" s="1491"/>
      <c r="T1" s="1492"/>
      <c r="U1" s="1493"/>
      <c r="V1" s="1493"/>
      <c r="W1" s="1493"/>
      <c r="X1" s="1491"/>
      <c r="Y1" s="1491"/>
      <c r="Z1" s="1491"/>
      <c r="AA1" s="1405"/>
      <c r="AB1" s="1405"/>
    </row>
    <row r="2" spans="1:28" ht="15.5" x14ac:dyDescent="0.35">
      <c r="A2" s="1080"/>
      <c r="B2" s="1494" t="s">
        <v>2074</v>
      </c>
      <c r="C2" s="1491"/>
      <c r="D2" s="1491"/>
      <c r="E2" s="1491"/>
      <c r="F2" s="1491"/>
      <c r="G2" s="1491"/>
      <c r="H2" s="1491"/>
      <c r="I2" s="1491"/>
      <c r="J2" s="1491"/>
      <c r="K2" s="1491"/>
      <c r="L2" s="1491"/>
      <c r="M2" s="1491"/>
      <c r="N2" s="1491"/>
      <c r="O2" s="1491"/>
      <c r="P2" s="1491"/>
      <c r="Q2" s="1491"/>
      <c r="R2" s="1491"/>
      <c r="S2" s="1491"/>
      <c r="T2" s="1492"/>
      <c r="U2" s="1493"/>
      <c r="V2" s="1493"/>
      <c r="W2" s="1493"/>
      <c r="X2" s="1491"/>
      <c r="Y2" s="1491"/>
      <c r="Z2" s="1491"/>
      <c r="AA2" s="1405"/>
      <c r="AB2" s="1405"/>
    </row>
    <row r="3" spans="1:28" ht="16.5" customHeight="1" x14ac:dyDescent="0.25">
      <c r="A3" s="1080"/>
      <c r="B3" s="1080"/>
      <c r="C3" s="1080"/>
      <c r="D3" s="1080"/>
      <c r="E3" s="1080"/>
      <c r="F3" s="1491"/>
      <c r="G3" s="1491"/>
      <c r="H3" s="1491"/>
      <c r="I3" s="1491"/>
      <c r="J3" s="1491"/>
      <c r="K3" s="1491"/>
      <c r="L3" s="1491"/>
      <c r="M3" s="1491"/>
      <c r="N3" s="1491"/>
      <c r="O3" s="1491"/>
      <c r="P3" s="1491"/>
      <c r="Q3" s="1491"/>
      <c r="R3" s="1491"/>
      <c r="S3" s="1491"/>
      <c r="T3" s="1492"/>
      <c r="U3" s="1493"/>
      <c r="V3" s="1493"/>
      <c r="W3" s="1493"/>
      <c r="X3" s="1491"/>
      <c r="Y3" s="1491"/>
      <c r="Z3" s="1491"/>
      <c r="AA3" s="1405"/>
      <c r="AB3" s="1405"/>
    </row>
    <row r="4" spans="1:28" ht="22.5" customHeight="1" x14ac:dyDescent="0.35">
      <c r="A4" s="1405"/>
      <c r="C4" s="1495" t="s">
        <v>2075</v>
      </c>
      <c r="D4" s="1496"/>
      <c r="E4" s="1497"/>
      <c r="F4" s="1498"/>
      <c r="G4" s="1453"/>
      <c r="H4" s="1453"/>
      <c r="I4" s="1436"/>
      <c r="J4" s="1495"/>
      <c r="K4" s="1496"/>
      <c r="L4" s="1499" t="s">
        <v>911</v>
      </c>
      <c r="M4" s="1498"/>
      <c r="N4" s="1545">
        <f>details!D6</f>
        <v>0</v>
      </c>
      <c r="O4" s="1500"/>
      <c r="P4" s="1436"/>
      <c r="Q4" s="1500"/>
      <c r="S4" s="1405"/>
      <c r="X4" s="1405"/>
      <c r="Y4" s="1405"/>
      <c r="Z4" s="1405"/>
      <c r="AA4" s="1405"/>
      <c r="AB4" s="1405"/>
    </row>
    <row r="5" spans="1:28" ht="13" x14ac:dyDescent="0.3">
      <c r="A5" s="1405"/>
      <c r="C5" s="1501" t="str">
        <f>IF(details!D8="","Address",details!D8)</f>
        <v>Address</v>
      </c>
      <c r="D5" s="1496"/>
      <c r="E5" s="1497"/>
      <c r="F5" s="1498"/>
      <c r="G5" s="1453"/>
      <c r="H5" s="1453"/>
      <c r="I5" s="1436"/>
      <c r="J5" s="1445"/>
      <c r="K5" s="1496"/>
      <c r="L5" s="1499" t="s">
        <v>1275</v>
      </c>
      <c r="M5" s="1498"/>
      <c r="N5" s="1502">
        <f ca="1">TODAY()</f>
        <v>46155</v>
      </c>
      <c r="O5" s="1500"/>
      <c r="P5" s="1436"/>
      <c r="Q5" s="1500"/>
      <c r="S5" s="1405"/>
      <c r="X5" s="1405"/>
      <c r="Y5" s="1405"/>
      <c r="Z5" s="1405"/>
      <c r="AA5" s="1405"/>
      <c r="AB5" s="1405"/>
    </row>
    <row r="6" spans="1:28" ht="13" x14ac:dyDescent="0.3">
      <c r="A6" s="1405"/>
      <c r="C6" s="1503" t="str">
        <f>global!D2</f>
        <v>England</v>
      </c>
      <c r="D6" s="1496"/>
      <c r="E6" s="1497"/>
      <c r="F6" s="1498"/>
      <c r="G6" s="1453"/>
      <c r="H6" s="1453"/>
      <c r="I6" s="1436"/>
      <c r="J6" s="1504"/>
      <c r="K6" s="1496"/>
      <c r="L6" s="1497"/>
      <c r="M6" s="1498"/>
      <c r="N6" s="1453"/>
      <c r="O6" s="1502"/>
      <c r="P6" s="1436"/>
      <c r="Q6" s="1500"/>
      <c r="S6" s="1405"/>
      <c r="X6" s="1405"/>
      <c r="Y6" s="1405"/>
      <c r="Z6" s="1405"/>
      <c r="AA6" s="1405"/>
      <c r="AB6" s="1405"/>
    </row>
    <row r="7" spans="1:28" ht="13.5" customHeight="1" x14ac:dyDescent="0.3">
      <c r="A7" s="1405"/>
      <c r="C7" s="1502" t="str">
        <f>'advanced report'!C60</f>
        <v/>
      </c>
      <c r="D7" s="1496"/>
      <c r="E7" s="1505"/>
      <c r="F7" s="1498"/>
      <c r="G7" s="1453"/>
      <c r="H7" s="1453"/>
      <c r="I7" s="1436"/>
      <c r="J7" s="1506"/>
      <c r="K7" s="1496"/>
      <c r="L7" s="1497"/>
      <c r="M7" s="1498"/>
      <c r="N7" s="1453"/>
      <c r="O7" s="1453"/>
      <c r="P7" s="1436"/>
      <c r="Q7" s="1500"/>
      <c r="S7" s="1405"/>
      <c r="X7" s="1405"/>
      <c r="Y7" s="1405"/>
      <c r="Z7" s="1405"/>
      <c r="AA7" s="1405"/>
      <c r="AB7" s="1405"/>
    </row>
    <row r="8" spans="1:28" ht="13" x14ac:dyDescent="0.3">
      <c r="A8" s="1405"/>
      <c r="C8" s="1504" t="s">
        <v>994</v>
      </c>
      <c r="D8" s="1496"/>
      <c r="E8" s="1497"/>
      <c r="F8" s="1498"/>
      <c r="G8" s="1507"/>
      <c r="H8" s="1507"/>
      <c r="I8" s="1436"/>
      <c r="J8" s="1508" t="s">
        <v>995</v>
      </c>
      <c r="K8" s="1496"/>
      <c r="L8" s="1497"/>
      <c r="M8" s="1498"/>
      <c r="N8" s="1507"/>
      <c r="O8" s="1507"/>
      <c r="P8" s="1435"/>
      <c r="Q8" s="1500"/>
      <c r="S8" s="1405"/>
      <c r="X8" s="1405"/>
      <c r="Y8" s="1405"/>
      <c r="Z8" s="1405"/>
      <c r="AA8" s="1405"/>
      <c r="AB8" s="1405"/>
    </row>
    <row r="9" spans="1:28" ht="13" x14ac:dyDescent="0.3">
      <c r="A9" s="1405"/>
      <c r="C9" s="1509" t="str">
        <f ca="1">'advanced report'!E51</f>
        <v/>
      </c>
      <c r="D9" s="1496"/>
      <c r="E9" s="1497"/>
      <c r="F9" s="1510"/>
      <c r="G9" s="1511"/>
      <c r="H9" s="1453"/>
      <c r="I9" s="1436"/>
      <c r="J9" s="1512" t="str">
        <f ca="1">'advanced report'!I51</f>
        <v/>
      </c>
      <c r="K9" s="1496"/>
      <c r="L9" s="1497"/>
      <c r="M9" s="1510"/>
      <c r="N9" s="1511"/>
      <c r="O9" s="1453"/>
      <c r="P9" s="1435"/>
      <c r="Q9" s="1500"/>
      <c r="S9" s="1405"/>
      <c r="X9" s="1405"/>
      <c r="Y9" s="1405"/>
      <c r="Z9" s="1405"/>
      <c r="AA9" s="1405"/>
      <c r="AB9" s="1405"/>
    </row>
    <row r="10" spans="1:28" x14ac:dyDescent="0.25">
      <c r="A10" s="1405"/>
      <c r="C10" s="1513" t="str">
        <f>text!F28&amp;" RV"</f>
        <v>2017 RV</v>
      </c>
      <c r="D10" s="1514">
        <f>advanced!I9</f>
        <v>0</v>
      </c>
      <c r="E10" s="1515" t="s">
        <v>1340</v>
      </c>
      <c r="F10" s="1498"/>
      <c r="G10" s="1516">
        <f>advanced!I13</f>
        <v>0</v>
      </c>
      <c r="H10" s="1516"/>
      <c r="I10" s="1517"/>
      <c r="J10" s="1513" t="str">
        <f>C10</f>
        <v>2017 RV</v>
      </c>
      <c r="K10" s="1514">
        <f>advanced!M9</f>
        <v>0</v>
      </c>
      <c r="L10" s="1515" t="s">
        <v>1340</v>
      </c>
      <c r="M10" s="1498"/>
      <c r="N10" s="1516">
        <f>advanced!M13</f>
        <v>0</v>
      </c>
      <c r="O10" s="1518"/>
      <c r="P10" s="1519"/>
      <c r="Q10" s="1520"/>
      <c r="S10" s="1405"/>
      <c r="X10" s="1405"/>
      <c r="Y10" s="1405"/>
      <c r="Z10" s="1405"/>
      <c r="AA10" s="1405"/>
      <c r="AB10" s="1405"/>
    </row>
    <row r="11" spans="1:28" x14ac:dyDescent="0.25">
      <c r="A11" s="1405"/>
      <c r="C11" s="1521" t="str">
        <f>advanced!F41&amp;" is "&amp;TEXT(advanced!I41,"#,###")</f>
        <v xml:space="preserve">Certified Value as at 31/03/23 is </v>
      </c>
      <c r="D11" s="1514"/>
      <c r="E11" s="1515"/>
      <c r="F11" s="1498"/>
      <c r="G11" s="1516"/>
      <c r="H11" s="1516"/>
      <c r="I11" s="1517"/>
      <c r="J11" s="1521" t="str">
        <f>advanced!N41&amp;" is "&amp;TEXT(advanced!M41,"#,###")</f>
        <v xml:space="preserve">Certified Value as at 31/03/23 is </v>
      </c>
      <c r="K11" s="1514"/>
      <c r="L11" s="1515"/>
      <c r="M11" s="1498"/>
      <c r="N11" s="1516"/>
      <c r="O11" s="1518"/>
      <c r="P11" s="1519"/>
      <c r="Q11" s="1520"/>
      <c r="S11" s="1405"/>
      <c r="X11" s="1405"/>
      <c r="Y11" s="1405"/>
      <c r="Z11" s="1405"/>
      <c r="AA11" s="1405"/>
      <c r="AB11" s="1405"/>
    </row>
    <row r="12" spans="1:28" x14ac:dyDescent="0.25">
      <c r="A12" s="1405"/>
      <c r="C12" s="1521" t="str">
        <f>advanced!F36&amp;" is "&amp;TEXT(advanced!I36,"#,###")</f>
        <v xml:space="preserve">Reg 18  Certified Value as at 01/04/23 is </v>
      </c>
      <c r="D12" s="1407"/>
      <c r="E12" s="1515"/>
      <c r="F12" s="1498"/>
      <c r="G12" s="1516"/>
      <c r="H12" s="1516"/>
      <c r="I12" s="1517"/>
      <c r="J12" s="1521" t="str">
        <f>advanced!N36&amp;"Certified Value as at "&amp;TEXT(text!D1,"dd/mm/yy")&amp;" is "&amp;TEXT(advanced!M36,"#,###")</f>
        <v xml:space="preserve">Reg 18 Certified Value as at 01/04/23 is </v>
      </c>
      <c r="K12" s="1407"/>
      <c r="L12" s="1515"/>
      <c r="M12" s="1498"/>
      <c r="N12" s="1516"/>
      <c r="O12" s="1518"/>
      <c r="P12" s="1519"/>
      <c r="Q12" s="1520"/>
      <c r="S12" s="1405"/>
      <c r="T12" s="1420" t="s">
        <v>922</v>
      </c>
      <c r="X12" s="1405"/>
      <c r="Y12" s="1405"/>
      <c r="Z12" s="1405"/>
      <c r="AA12" s="1405"/>
      <c r="AB12" s="1405"/>
    </row>
    <row r="13" spans="1:28" ht="18.75" customHeight="1" x14ac:dyDescent="0.25">
      <c r="A13" s="1405"/>
      <c r="C13" s="1513" t="s">
        <v>1275</v>
      </c>
      <c r="D13" s="1522" t="s">
        <v>272</v>
      </c>
      <c r="E13" s="1523" t="s">
        <v>563</v>
      </c>
      <c r="F13" s="1524" t="s">
        <v>2076</v>
      </c>
      <c r="G13" s="1525" t="s">
        <v>2415</v>
      </c>
      <c r="H13" s="1525"/>
      <c r="I13" s="1517"/>
      <c r="J13" s="1513" t="s">
        <v>1275</v>
      </c>
      <c r="K13" s="1522" t="s">
        <v>272</v>
      </c>
      <c r="L13" s="1523" t="s">
        <v>563</v>
      </c>
      <c r="M13" s="1524" t="s">
        <v>2076</v>
      </c>
      <c r="N13" s="1525" t="s">
        <v>2415</v>
      </c>
      <c r="O13" s="1526"/>
      <c r="P13" s="1519"/>
      <c r="Q13" s="1525" t="s">
        <v>839</v>
      </c>
      <c r="S13" s="1405"/>
      <c r="X13" s="1405"/>
      <c r="Y13" s="1405"/>
      <c r="Z13" s="1405"/>
      <c r="AA13" s="1405"/>
      <c r="AB13" s="1405"/>
    </row>
    <row r="14" spans="1:28" x14ac:dyDescent="0.25">
      <c r="A14" s="1527"/>
      <c r="C14" s="1547">
        <f>workings1!F3</f>
        <v>45017</v>
      </c>
      <c r="D14" s="1514">
        <f>workings1!L3</f>
        <v>0</v>
      </c>
      <c r="E14" s="1497">
        <f>workings1!H3</f>
        <v>366</v>
      </c>
      <c r="F14" s="1498">
        <f>workings1!S3</f>
        <v>1</v>
      </c>
      <c r="G14" s="1529">
        <f ca="1">workings1!T3</f>
        <v>0</v>
      </c>
      <c r="H14" s="1530"/>
      <c r="I14" s="1531"/>
      <c r="J14" s="1547">
        <f>workings2!F3</f>
        <v>45017</v>
      </c>
      <c r="K14" s="1514">
        <f>workings2!L3</f>
        <v>0</v>
      </c>
      <c r="L14" s="1497">
        <f>workings2!H3</f>
        <v>366</v>
      </c>
      <c r="M14" s="1498">
        <f>workings2!S3</f>
        <v>1</v>
      </c>
      <c r="N14" s="1529">
        <f ca="1">workings2!T3</f>
        <v>0</v>
      </c>
      <c r="O14" s="1532"/>
      <c r="P14" s="1519"/>
      <c r="Q14" s="1520">
        <f t="shared" ref="Q14:Q25" ca="1" si="0">G14-N14</f>
        <v>0</v>
      </c>
      <c r="S14" s="1527"/>
      <c r="T14" s="1533" t="str">
        <f>T12</f>
        <v>closed</v>
      </c>
      <c r="U14" s="1534" t="str">
        <f>IF(T14="closed","show more lines","show fewer lines")</f>
        <v>show more lines</v>
      </c>
      <c r="V14" s="1535"/>
      <c r="W14" s="1535"/>
      <c r="X14" s="1405"/>
      <c r="Y14" s="1405"/>
      <c r="Z14" s="1405"/>
      <c r="AA14" s="1405"/>
      <c r="AB14" s="1405"/>
    </row>
    <row r="15" spans="1:28" x14ac:dyDescent="0.25">
      <c r="A15" s="1527"/>
      <c r="C15" s="1547" t="str">
        <f>workings1!F4</f>
        <v/>
      </c>
      <c r="D15" s="1514" t="str">
        <f>workings1!L4</f>
        <v/>
      </c>
      <c r="E15" s="1497">
        <f>workings1!H4</f>
        <v>0</v>
      </c>
      <c r="F15" s="1498">
        <f>workings1!S4</f>
        <v>0</v>
      </c>
      <c r="G15" s="1529">
        <f ca="1">workings1!T4</f>
        <v>0</v>
      </c>
      <c r="H15" s="1530"/>
      <c r="I15" s="1517"/>
      <c r="J15" s="1547" t="str">
        <f>workings2!F4</f>
        <v/>
      </c>
      <c r="K15" s="1514" t="str">
        <f>workings2!L4</f>
        <v/>
      </c>
      <c r="L15" s="1497">
        <f>workings2!H4</f>
        <v>0</v>
      </c>
      <c r="M15" s="1498">
        <f>workings2!S4</f>
        <v>0</v>
      </c>
      <c r="N15" s="1529">
        <f ca="1">workings2!T4</f>
        <v>0</v>
      </c>
      <c r="O15" s="1536"/>
      <c r="P15" s="1519"/>
      <c r="Q15" s="1520">
        <f t="shared" ca="1" si="0"/>
        <v>0</v>
      </c>
      <c r="S15" s="1527"/>
      <c r="T15" s="1533"/>
      <c r="U15" s="1535"/>
      <c r="V15" s="1535"/>
      <c r="W15" s="1535"/>
      <c r="X15" s="1405"/>
      <c r="Y15" s="1405"/>
      <c r="Z15" s="1405"/>
      <c r="AA15" s="1405"/>
      <c r="AB15" s="1405"/>
    </row>
    <row r="16" spans="1:28" x14ac:dyDescent="0.25">
      <c r="A16" s="1527"/>
      <c r="C16" s="1547" t="str">
        <f>workings1!F5</f>
        <v/>
      </c>
      <c r="D16" s="1514" t="str">
        <f>workings1!L5</f>
        <v/>
      </c>
      <c r="E16" s="1497">
        <f>workings1!H5</f>
        <v>0</v>
      </c>
      <c r="F16" s="1498">
        <f>workings1!S5</f>
        <v>0</v>
      </c>
      <c r="G16" s="1529">
        <f ca="1">workings1!T5</f>
        <v>0</v>
      </c>
      <c r="H16" s="1530"/>
      <c r="I16" s="1517"/>
      <c r="J16" s="1547" t="str">
        <f>workings2!F5</f>
        <v/>
      </c>
      <c r="K16" s="1514" t="str">
        <f>workings2!L5</f>
        <v/>
      </c>
      <c r="L16" s="1497">
        <f>workings2!H5</f>
        <v>0</v>
      </c>
      <c r="M16" s="1498">
        <f>workings2!S5</f>
        <v>0</v>
      </c>
      <c r="N16" s="1529">
        <f ca="1">workings2!T5</f>
        <v>0</v>
      </c>
      <c r="O16" s="1536"/>
      <c r="P16" s="1519"/>
      <c r="Q16" s="1520">
        <f t="shared" ca="1" si="0"/>
        <v>0</v>
      </c>
      <c r="S16" s="1527"/>
      <c r="T16" s="1533"/>
      <c r="U16" s="1535"/>
      <c r="V16" s="1535"/>
      <c r="W16" s="1535"/>
      <c r="X16" s="1405"/>
      <c r="Y16" s="1405"/>
      <c r="Z16" s="1405"/>
      <c r="AA16" s="1405"/>
      <c r="AB16" s="1405"/>
    </row>
    <row r="17" spans="1:28" x14ac:dyDescent="0.25">
      <c r="A17" s="1527"/>
      <c r="C17" s="1547" t="str">
        <f>workings1!F6</f>
        <v/>
      </c>
      <c r="D17" s="1514" t="str">
        <f>workings1!L6</f>
        <v/>
      </c>
      <c r="E17" s="1497">
        <f>workings1!H6</f>
        <v>0</v>
      </c>
      <c r="F17" s="1498">
        <f>workings1!S6</f>
        <v>0</v>
      </c>
      <c r="G17" s="1529">
        <f ca="1">workings1!T6</f>
        <v>0</v>
      </c>
      <c r="H17" s="1530"/>
      <c r="I17" s="1517"/>
      <c r="J17" s="1547" t="str">
        <f>workings2!F6</f>
        <v/>
      </c>
      <c r="K17" s="1514" t="str">
        <f>workings2!L6</f>
        <v/>
      </c>
      <c r="L17" s="1497">
        <f>workings2!H6</f>
        <v>0</v>
      </c>
      <c r="M17" s="1498">
        <f>workings2!S6</f>
        <v>0</v>
      </c>
      <c r="N17" s="1529">
        <f ca="1">workings2!T6</f>
        <v>0</v>
      </c>
      <c r="O17" s="1536"/>
      <c r="P17" s="1519"/>
      <c r="Q17" s="1520">
        <f t="shared" ca="1" si="0"/>
        <v>0</v>
      </c>
      <c r="S17" s="1527"/>
      <c r="T17" s="1533"/>
      <c r="U17" s="1535"/>
      <c r="V17" s="1535"/>
      <c r="W17" s="1535"/>
      <c r="X17" s="1405"/>
      <c r="Y17" s="1405"/>
      <c r="Z17" s="1405"/>
      <c r="AA17" s="1405"/>
      <c r="AB17" s="1405"/>
    </row>
    <row r="18" spans="1:28" x14ac:dyDescent="0.25">
      <c r="A18" s="1527"/>
      <c r="C18" s="1547" t="str">
        <f>workings1!F7</f>
        <v/>
      </c>
      <c r="D18" s="1514" t="str">
        <f>workings1!L7</f>
        <v/>
      </c>
      <c r="E18" s="1497">
        <f>workings1!H7</f>
        <v>0</v>
      </c>
      <c r="F18" s="1498">
        <f>workings1!S7</f>
        <v>0</v>
      </c>
      <c r="G18" s="1529">
        <f ca="1">workings1!T7</f>
        <v>0</v>
      </c>
      <c r="H18" s="1530"/>
      <c r="I18" s="1517"/>
      <c r="J18" s="1547" t="str">
        <f>workings2!F7</f>
        <v/>
      </c>
      <c r="K18" s="1514" t="str">
        <f>workings2!L7</f>
        <v/>
      </c>
      <c r="L18" s="1497">
        <f>workings2!H7</f>
        <v>0</v>
      </c>
      <c r="M18" s="1498">
        <f>workings2!S7</f>
        <v>0</v>
      </c>
      <c r="N18" s="1529">
        <f ca="1">workings2!T7</f>
        <v>0</v>
      </c>
      <c r="O18" s="1536"/>
      <c r="P18" s="1519"/>
      <c r="Q18" s="1520">
        <f t="shared" ca="1" si="0"/>
        <v>0</v>
      </c>
      <c r="S18" s="1527"/>
      <c r="T18" s="1533"/>
      <c r="U18" s="1535"/>
      <c r="V18" s="1535"/>
      <c r="W18" s="1535"/>
      <c r="X18" s="1405"/>
      <c r="Y18" s="1405"/>
      <c r="Z18" s="1405"/>
      <c r="AA18" s="1405"/>
      <c r="AB18" s="1405"/>
    </row>
    <row r="19" spans="1:28" hidden="1" x14ac:dyDescent="0.25">
      <c r="A19" s="1527"/>
      <c r="C19" s="1547" t="str">
        <f>workings1!F8</f>
        <v/>
      </c>
      <c r="D19" s="1514" t="str">
        <f>workings1!L8</f>
        <v/>
      </c>
      <c r="E19" s="1497">
        <f>workings1!H8</f>
        <v>0</v>
      </c>
      <c r="F19" s="1498">
        <f>workings1!S8</f>
        <v>0</v>
      </c>
      <c r="G19" s="1529">
        <f ca="1">workings1!T8</f>
        <v>0</v>
      </c>
      <c r="H19" s="1530"/>
      <c r="I19" s="1517"/>
      <c r="J19" s="1547" t="str">
        <f>workings2!F8</f>
        <v/>
      </c>
      <c r="K19" s="1514" t="str">
        <f>workings2!L8</f>
        <v/>
      </c>
      <c r="L19" s="1497">
        <f>workings2!H8</f>
        <v>0</v>
      </c>
      <c r="M19" s="1498">
        <f>workings2!S8</f>
        <v>0</v>
      </c>
      <c r="N19" s="1529">
        <f ca="1">workings2!T8</f>
        <v>0</v>
      </c>
      <c r="O19" s="1536"/>
      <c r="P19" s="1519"/>
      <c r="Q19" s="1520">
        <f t="shared" ca="1" si="0"/>
        <v>0</v>
      </c>
      <c r="S19" s="1527"/>
      <c r="T19" s="1533"/>
      <c r="U19" s="1535"/>
      <c r="V19" s="1535"/>
      <c r="W19" s="1535"/>
      <c r="X19" s="1405"/>
      <c r="Y19" s="1405"/>
      <c r="Z19" s="1405"/>
      <c r="AA19" s="1405"/>
      <c r="AB19" s="1405"/>
    </row>
    <row r="20" spans="1:28" hidden="1" x14ac:dyDescent="0.25">
      <c r="A20" s="1527"/>
      <c r="C20" s="1547" t="str">
        <f>workings1!F9</f>
        <v/>
      </c>
      <c r="D20" s="1514" t="str">
        <f>workings1!L9</f>
        <v/>
      </c>
      <c r="E20" s="1497">
        <f>workings1!H9</f>
        <v>0</v>
      </c>
      <c r="F20" s="1498">
        <f>workings1!S9</f>
        <v>0</v>
      </c>
      <c r="G20" s="1529">
        <f ca="1">workings1!T9</f>
        <v>0</v>
      </c>
      <c r="H20" s="1530"/>
      <c r="I20" s="1517"/>
      <c r="J20" s="1547" t="str">
        <f>workings2!F9</f>
        <v/>
      </c>
      <c r="K20" s="1514" t="str">
        <f>workings2!L9</f>
        <v/>
      </c>
      <c r="L20" s="1497">
        <f>workings2!H9</f>
        <v>0</v>
      </c>
      <c r="M20" s="1498">
        <f>workings2!S9</f>
        <v>0</v>
      </c>
      <c r="N20" s="1529">
        <f ca="1">workings2!T9</f>
        <v>0</v>
      </c>
      <c r="O20" s="1536"/>
      <c r="P20" s="1519"/>
      <c r="Q20" s="1520">
        <f t="shared" ca="1" si="0"/>
        <v>0</v>
      </c>
      <c r="S20" s="1527"/>
      <c r="T20" s="1533"/>
      <c r="U20" s="1535"/>
      <c r="V20" s="1535"/>
      <c r="W20" s="1535"/>
      <c r="X20" s="1405"/>
      <c r="Y20" s="1405"/>
      <c r="Z20" s="1405"/>
      <c r="AA20" s="1405"/>
      <c r="AB20" s="1405"/>
    </row>
    <row r="21" spans="1:28" hidden="1" x14ac:dyDescent="0.25">
      <c r="A21" s="1527"/>
      <c r="C21" s="1547" t="str">
        <f>workings1!F10</f>
        <v/>
      </c>
      <c r="D21" s="1514" t="str">
        <f>workings1!L10</f>
        <v/>
      </c>
      <c r="E21" s="1497">
        <f>workings1!H10</f>
        <v>0</v>
      </c>
      <c r="F21" s="1498">
        <f>workings1!S10</f>
        <v>0</v>
      </c>
      <c r="G21" s="1529">
        <f ca="1">workings1!T10</f>
        <v>0</v>
      </c>
      <c r="H21" s="1530"/>
      <c r="I21" s="1517"/>
      <c r="J21" s="1547" t="str">
        <f>workings2!F10</f>
        <v/>
      </c>
      <c r="K21" s="1514" t="str">
        <f>workings2!L10</f>
        <v/>
      </c>
      <c r="L21" s="1497">
        <f>workings2!H10</f>
        <v>0</v>
      </c>
      <c r="M21" s="1498">
        <f>workings2!S10</f>
        <v>0</v>
      </c>
      <c r="N21" s="1529">
        <f ca="1">workings2!T10</f>
        <v>0</v>
      </c>
      <c r="O21" s="1536"/>
      <c r="P21" s="1519"/>
      <c r="Q21" s="1520">
        <f t="shared" ca="1" si="0"/>
        <v>0</v>
      </c>
      <c r="S21" s="1527"/>
      <c r="T21" s="1533"/>
      <c r="U21" s="1535"/>
      <c r="V21" s="1535"/>
      <c r="W21" s="1535"/>
      <c r="X21" s="1405"/>
      <c r="Y21" s="1405"/>
      <c r="Z21" s="1405"/>
      <c r="AA21" s="1405"/>
      <c r="AB21" s="1405"/>
    </row>
    <row r="22" spans="1:28" hidden="1" x14ac:dyDescent="0.25">
      <c r="A22" s="1527"/>
      <c r="C22" s="1547" t="str">
        <f>workings1!F11</f>
        <v/>
      </c>
      <c r="D22" s="1514" t="str">
        <f>workings1!L11</f>
        <v/>
      </c>
      <c r="E22" s="1497">
        <f>workings1!H11</f>
        <v>0</v>
      </c>
      <c r="F22" s="1498">
        <f>workings1!S11</f>
        <v>0</v>
      </c>
      <c r="G22" s="1529">
        <f ca="1">workings1!T11</f>
        <v>0</v>
      </c>
      <c r="H22" s="1530"/>
      <c r="I22" s="1517"/>
      <c r="J22" s="1547" t="str">
        <f>workings2!F11</f>
        <v/>
      </c>
      <c r="K22" s="1514" t="str">
        <f>workings2!L11</f>
        <v/>
      </c>
      <c r="L22" s="1497">
        <f>workings2!H11</f>
        <v>0</v>
      </c>
      <c r="M22" s="1498">
        <f>workings2!S11</f>
        <v>0</v>
      </c>
      <c r="N22" s="1529">
        <f ca="1">workings2!T11</f>
        <v>0</v>
      </c>
      <c r="O22" s="1536"/>
      <c r="P22" s="1519"/>
      <c r="Q22" s="1520">
        <f t="shared" ca="1" si="0"/>
        <v>0</v>
      </c>
      <c r="S22" s="1527"/>
      <c r="T22" s="1533"/>
      <c r="U22" s="1535"/>
      <c r="V22" s="1535"/>
      <c r="W22" s="1535"/>
      <c r="X22" s="1405"/>
      <c r="Y22" s="1405"/>
      <c r="Z22" s="1405"/>
      <c r="AA22" s="1405"/>
      <c r="AB22" s="1405"/>
    </row>
    <row r="23" spans="1:28" hidden="1" x14ac:dyDescent="0.25">
      <c r="A23" s="1527"/>
      <c r="C23" s="1547" t="str">
        <f>workings1!F12</f>
        <v/>
      </c>
      <c r="D23" s="1514" t="str">
        <f>workings1!L12</f>
        <v/>
      </c>
      <c r="E23" s="1497">
        <f>workings1!H12</f>
        <v>0</v>
      </c>
      <c r="F23" s="1498">
        <f>workings1!S12</f>
        <v>0</v>
      </c>
      <c r="G23" s="1529">
        <f ca="1">workings1!T12</f>
        <v>0</v>
      </c>
      <c r="H23" s="1530"/>
      <c r="I23" s="1517"/>
      <c r="J23" s="1547" t="str">
        <f>workings2!F12</f>
        <v/>
      </c>
      <c r="K23" s="1514" t="str">
        <f>workings2!L12</f>
        <v/>
      </c>
      <c r="L23" s="1497">
        <f>workings2!H12</f>
        <v>0</v>
      </c>
      <c r="M23" s="1498">
        <f>workings2!S12</f>
        <v>0</v>
      </c>
      <c r="N23" s="1529">
        <f ca="1">workings2!T12</f>
        <v>0</v>
      </c>
      <c r="O23" s="1536"/>
      <c r="P23" s="1519"/>
      <c r="Q23" s="1520">
        <f t="shared" ca="1" si="0"/>
        <v>0</v>
      </c>
      <c r="S23" s="1527"/>
      <c r="T23" s="1533"/>
      <c r="U23" s="1535"/>
      <c r="V23" s="1535"/>
      <c r="W23" s="1535"/>
      <c r="X23" s="1405"/>
      <c r="Y23" s="1405"/>
      <c r="Z23" s="1405"/>
      <c r="AA23" s="1405"/>
      <c r="AB23" s="1405"/>
    </row>
    <row r="24" spans="1:28" hidden="1" x14ac:dyDescent="0.25">
      <c r="A24" s="1527"/>
      <c r="C24" s="1547" t="str">
        <f>workings1!F13</f>
        <v/>
      </c>
      <c r="D24" s="1514" t="str">
        <f>workings1!L13</f>
        <v/>
      </c>
      <c r="E24" s="1497">
        <f>workings1!H13</f>
        <v>0</v>
      </c>
      <c r="F24" s="1498">
        <f>workings1!S13</f>
        <v>0</v>
      </c>
      <c r="G24" s="1529">
        <f ca="1">workings1!T13</f>
        <v>0</v>
      </c>
      <c r="H24" s="1530"/>
      <c r="I24" s="1517"/>
      <c r="J24" s="1547" t="str">
        <f>workings2!F13</f>
        <v/>
      </c>
      <c r="K24" s="1514" t="str">
        <f>workings2!L13</f>
        <v/>
      </c>
      <c r="L24" s="1497">
        <f>workings2!H13</f>
        <v>0</v>
      </c>
      <c r="M24" s="1498">
        <f>workings2!S13</f>
        <v>0</v>
      </c>
      <c r="N24" s="1529">
        <f ca="1">workings2!T13</f>
        <v>0</v>
      </c>
      <c r="O24" s="1536"/>
      <c r="P24" s="1519"/>
      <c r="Q24" s="1520">
        <f t="shared" ca="1" si="0"/>
        <v>0</v>
      </c>
      <c r="S24" s="1527"/>
      <c r="T24" s="1533"/>
      <c r="U24" s="1535"/>
      <c r="V24" s="1535"/>
      <c r="W24" s="1535"/>
      <c r="X24" s="1405"/>
      <c r="Y24" s="1405"/>
      <c r="Z24" s="1405"/>
      <c r="AA24" s="1405"/>
      <c r="AB24" s="1405"/>
    </row>
    <row r="25" spans="1:28" hidden="1" x14ac:dyDescent="0.25">
      <c r="A25" s="1527"/>
      <c r="C25" s="1547" t="str">
        <f>workings1!F14</f>
        <v/>
      </c>
      <c r="D25" s="1514" t="str">
        <f>workings1!L14</f>
        <v/>
      </c>
      <c r="E25" s="1497">
        <f>workings1!H14</f>
        <v>0</v>
      </c>
      <c r="F25" s="1498">
        <f>workings1!S14</f>
        <v>0</v>
      </c>
      <c r="G25" s="1529">
        <f ca="1">workings1!T14</f>
        <v>0</v>
      </c>
      <c r="H25" s="1530"/>
      <c r="I25" s="1517"/>
      <c r="J25" s="1547" t="str">
        <f>workings2!F14</f>
        <v/>
      </c>
      <c r="K25" s="1514" t="str">
        <f>workings2!L14</f>
        <v/>
      </c>
      <c r="L25" s="1497">
        <f>workings2!H14</f>
        <v>0</v>
      </c>
      <c r="M25" s="1498">
        <f>workings2!S14</f>
        <v>0</v>
      </c>
      <c r="N25" s="1529">
        <f ca="1">workings2!T14</f>
        <v>0</v>
      </c>
      <c r="O25" s="1536"/>
      <c r="P25" s="1519"/>
      <c r="Q25" s="1520">
        <f t="shared" ca="1" si="0"/>
        <v>0</v>
      </c>
      <c r="S25" s="1527"/>
      <c r="T25" s="1533"/>
      <c r="U25" s="1535"/>
      <c r="V25" s="1535"/>
      <c r="W25" s="1535"/>
      <c r="X25" s="1405"/>
      <c r="Y25" s="1405"/>
      <c r="Z25" s="1405"/>
      <c r="AA25" s="1405"/>
      <c r="AB25" s="1405"/>
    </row>
    <row r="26" spans="1:28" ht="18.75" customHeight="1" x14ac:dyDescent="0.25">
      <c r="A26" s="1527"/>
      <c r="C26" s="1547" t="str">
        <f>'advanced report'!E52</f>
        <v xml:space="preserve">  True</v>
      </c>
      <c r="D26" s="1514" t="str">
        <f>'advanced report'!G52</f>
        <v/>
      </c>
      <c r="E26" s="1497"/>
      <c r="F26" s="1498"/>
      <c r="G26" s="1537">
        <f ca="1">SUM(G14:G25)</f>
        <v>0</v>
      </c>
      <c r="H26" s="1530"/>
      <c r="I26" s="1517"/>
      <c r="J26" s="1547" t="str">
        <f>'advanced report'!I52</f>
        <v>True</v>
      </c>
      <c r="K26" s="1514" t="str">
        <f>'advanced report'!K52</f>
        <v/>
      </c>
      <c r="L26" s="1497"/>
      <c r="M26" s="1498"/>
      <c r="N26" s="1537">
        <f ca="1">SUM(N14:N25)</f>
        <v>0</v>
      </c>
      <c r="O26" s="1536"/>
      <c r="P26" s="1519"/>
      <c r="Q26" s="1538">
        <f ca="1">SUM(Q14:Q25)</f>
        <v>0</v>
      </c>
      <c r="S26" s="1527"/>
      <c r="T26" s="1533" t="s">
        <v>922</v>
      </c>
      <c r="U26" s="1535"/>
      <c r="V26" s="1535"/>
      <c r="W26" s="1535"/>
      <c r="X26" s="1405"/>
      <c r="Y26" s="1405"/>
      <c r="Z26" s="1405"/>
      <c r="AA26" s="1405"/>
      <c r="AB26" s="1405"/>
    </row>
    <row r="27" spans="1:28" ht="5.25" customHeight="1" x14ac:dyDescent="0.25">
      <c r="A27" s="1527"/>
      <c r="C27" s="1547"/>
      <c r="D27" s="1514"/>
      <c r="E27" s="1497"/>
      <c r="F27" s="1498"/>
      <c r="G27" s="1529"/>
      <c r="H27" s="1530"/>
      <c r="I27" s="1517"/>
      <c r="J27" s="1547"/>
      <c r="K27" s="1514"/>
      <c r="L27" s="1497"/>
      <c r="M27" s="1498"/>
      <c r="N27" s="1529"/>
      <c r="O27" s="1536"/>
      <c r="P27" s="1519"/>
      <c r="Q27" s="1520"/>
      <c r="S27" s="1527"/>
      <c r="T27" s="1533"/>
      <c r="U27" s="1535"/>
      <c r="V27" s="1535"/>
      <c r="W27" s="1535"/>
      <c r="X27" s="1405"/>
      <c r="Y27" s="1405"/>
      <c r="Z27" s="1405"/>
      <c r="AA27" s="1405"/>
      <c r="AB27" s="1405"/>
    </row>
    <row r="28" spans="1:28" x14ac:dyDescent="0.25">
      <c r="A28" s="1527"/>
      <c r="C28" s="1547">
        <f>workings1!F16</f>
        <v>45383</v>
      </c>
      <c r="D28" s="1514">
        <f ca="1">workings1!L16</f>
        <v>0</v>
      </c>
      <c r="E28" s="1497">
        <f>workings1!H16</f>
        <v>365</v>
      </c>
      <c r="F28" s="1498">
        <f ca="1">workings1!S16</f>
        <v>1</v>
      </c>
      <c r="G28" s="1529">
        <f ca="1">workings1!T16</f>
        <v>0</v>
      </c>
      <c r="H28" s="1530"/>
      <c r="I28" s="1517"/>
      <c r="J28" s="1547">
        <f>workings2!F16</f>
        <v>45383</v>
      </c>
      <c r="K28" s="1514">
        <f ca="1">workings2!L16</f>
        <v>0</v>
      </c>
      <c r="L28" s="1497">
        <f>workings2!H16</f>
        <v>365</v>
      </c>
      <c r="M28" s="1498">
        <f ca="1">workings2!S16</f>
        <v>1</v>
      </c>
      <c r="N28" s="1529">
        <f ca="1">workings2!T16</f>
        <v>0</v>
      </c>
      <c r="O28" s="1536"/>
      <c r="P28" s="1519"/>
      <c r="Q28" s="1520">
        <f t="shared" ref="Q28:Q39" ca="1" si="1">G28-N28</f>
        <v>0</v>
      </c>
      <c r="S28" s="1527"/>
      <c r="T28" s="1533" t="str">
        <f>T26</f>
        <v>closed</v>
      </c>
      <c r="U28" s="1534" t="str">
        <f>IF(T28="closed","show more lines","show fewer lines")</f>
        <v>show more lines</v>
      </c>
      <c r="V28" s="1535"/>
      <c r="W28" s="1535"/>
      <c r="X28" s="1405"/>
      <c r="Y28" s="1405"/>
      <c r="Z28" s="1405"/>
      <c r="AA28" s="1405"/>
      <c r="AB28" s="1405"/>
    </row>
    <row r="29" spans="1:28" x14ac:dyDescent="0.25">
      <c r="A29" s="1527"/>
      <c r="C29" s="1547" t="str">
        <f>workings1!F17</f>
        <v/>
      </c>
      <c r="D29" s="1514" t="str">
        <f>workings1!L17</f>
        <v/>
      </c>
      <c r="E29" s="1497">
        <f>workings1!H17</f>
        <v>0</v>
      </c>
      <c r="F29" s="1498">
        <f>workings1!S17</f>
        <v>0</v>
      </c>
      <c r="G29" s="1529">
        <f ca="1">workings1!T17</f>
        <v>0</v>
      </c>
      <c r="H29" s="1530"/>
      <c r="I29" s="1517"/>
      <c r="J29" s="1547" t="str">
        <f>workings2!F17</f>
        <v/>
      </c>
      <c r="K29" s="1514" t="str">
        <f>workings2!L17</f>
        <v/>
      </c>
      <c r="L29" s="1497">
        <f>workings2!H17</f>
        <v>0</v>
      </c>
      <c r="M29" s="1498">
        <f>workings2!S17</f>
        <v>0</v>
      </c>
      <c r="N29" s="1529">
        <f ca="1">workings2!T17</f>
        <v>0</v>
      </c>
      <c r="O29" s="1536"/>
      <c r="P29" s="1519"/>
      <c r="Q29" s="1520">
        <f t="shared" ca="1" si="1"/>
        <v>0</v>
      </c>
      <c r="S29" s="1527"/>
      <c r="T29" s="1533"/>
      <c r="U29" s="1535"/>
      <c r="V29" s="1535"/>
      <c r="W29" s="1535"/>
      <c r="X29" s="1405"/>
      <c r="Y29" s="1405"/>
      <c r="Z29" s="1405"/>
      <c r="AA29" s="1405"/>
      <c r="AB29" s="1405"/>
    </row>
    <row r="30" spans="1:28" x14ac:dyDescent="0.25">
      <c r="A30" s="1527"/>
      <c r="C30" s="1547" t="str">
        <f>workings1!F18</f>
        <v/>
      </c>
      <c r="D30" s="1514" t="str">
        <f>workings1!L18</f>
        <v/>
      </c>
      <c r="E30" s="1497">
        <f>workings1!H18</f>
        <v>0</v>
      </c>
      <c r="F30" s="1498">
        <f>workings1!S18</f>
        <v>0</v>
      </c>
      <c r="G30" s="1529">
        <f ca="1">workings1!T18</f>
        <v>0</v>
      </c>
      <c r="H30" s="1530"/>
      <c r="I30" s="1517"/>
      <c r="J30" s="1547" t="str">
        <f>workings2!F18</f>
        <v/>
      </c>
      <c r="K30" s="1514" t="str">
        <f>workings2!L18</f>
        <v/>
      </c>
      <c r="L30" s="1497">
        <f>workings2!H18</f>
        <v>0</v>
      </c>
      <c r="M30" s="1498">
        <f>workings2!S18</f>
        <v>0</v>
      </c>
      <c r="N30" s="1529">
        <f ca="1">workings2!T18</f>
        <v>0</v>
      </c>
      <c r="O30" s="1536"/>
      <c r="P30" s="1519"/>
      <c r="Q30" s="1520">
        <f t="shared" ca="1" si="1"/>
        <v>0</v>
      </c>
      <c r="S30" s="1527"/>
      <c r="T30" s="1533"/>
      <c r="U30" s="1535"/>
      <c r="V30" s="1535"/>
      <c r="W30" s="1535"/>
      <c r="X30" s="1405"/>
      <c r="Y30" s="1405"/>
      <c r="Z30" s="1405"/>
      <c r="AA30" s="1405"/>
      <c r="AB30" s="1405"/>
    </row>
    <row r="31" spans="1:28" x14ac:dyDescent="0.25">
      <c r="A31" s="1527"/>
      <c r="C31" s="1547" t="str">
        <f>workings1!F19</f>
        <v/>
      </c>
      <c r="D31" s="1514" t="str">
        <f>workings1!L19</f>
        <v/>
      </c>
      <c r="E31" s="1497">
        <f>workings1!H19</f>
        <v>0</v>
      </c>
      <c r="F31" s="1498">
        <f>workings1!S19</f>
        <v>0</v>
      </c>
      <c r="G31" s="1529">
        <f ca="1">workings1!T19</f>
        <v>0</v>
      </c>
      <c r="H31" s="1530"/>
      <c r="I31" s="1517"/>
      <c r="J31" s="1547" t="str">
        <f>workings2!F19</f>
        <v/>
      </c>
      <c r="K31" s="1514" t="str">
        <f>workings2!L19</f>
        <v/>
      </c>
      <c r="L31" s="1497">
        <f>workings2!H19</f>
        <v>0</v>
      </c>
      <c r="M31" s="1498">
        <f>workings2!S19</f>
        <v>0</v>
      </c>
      <c r="N31" s="1529">
        <f ca="1">workings2!T19</f>
        <v>0</v>
      </c>
      <c r="O31" s="1536"/>
      <c r="P31" s="1519"/>
      <c r="Q31" s="1520">
        <f t="shared" ca="1" si="1"/>
        <v>0</v>
      </c>
      <c r="S31" s="1527"/>
      <c r="T31" s="1533"/>
      <c r="U31" s="1535"/>
      <c r="V31" s="1535"/>
      <c r="W31" s="1535"/>
      <c r="X31" s="1405"/>
      <c r="Y31" s="1405"/>
      <c r="Z31" s="1405"/>
      <c r="AA31" s="1405"/>
      <c r="AB31" s="1405"/>
    </row>
    <row r="32" spans="1:28" x14ac:dyDescent="0.25">
      <c r="A32" s="1527"/>
      <c r="C32" s="1547" t="str">
        <f>workings1!F20</f>
        <v/>
      </c>
      <c r="D32" s="1514" t="str">
        <f>workings1!L20</f>
        <v/>
      </c>
      <c r="E32" s="1497">
        <f>workings1!H20</f>
        <v>0</v>
      </c>
      <c r="F32" s="1498">
        <f>workings1!S20</f>
        <v>0</v>
      </c>
      <c r="G32" s="1529">
        <f ca="1">workings1!T20</f>
        <v>0</v>
      </c>
      <c r="H32" s="1530"/>
      <c r="I32" s="1517"/>
      <c r="J32" s="1547" t="str">
        <f>workings2!F20</f>
        <v/>
      </c>
      <c r="K32" s="1514" t="str">
        <f>workings2!L20</f>
        <v/>
      </c>
      <c r="L32" s="1497">
        <f>workings2!H20</f>
        <v>0</v>
      </c>
      <c r="M32" s="1498">
        <f>workings2!S20</f>
        <v>0</v>
      </c>
      <c r="N32" s="1529">
        <f ca="1">workings2!T20</f>
        <v>0</v>
      </c>
      <c r="O32" s="1536"/>
      <c r="P32" s="1519"/>
      <c r="Q32" s="1520">
        <f t="shared" ca="1" si="1"/>
        <v>0</v>
      </c>
      <c r="S32" s="1527"/>
      <c r="T32" s="1533"/>
      <c r="U32" s="1535"/>
      <c r="V32" s="1535"/>
      <c r="W32" s="1535"/>
      <c r="X32" s="1405"/>
      <c r="Y32" s="1405"/>
      <c r="Z32" s="1405"/>
      <c r="AA32" s="1405"/>
      <c r="AB32" s="1405"/>
    </row>
    <row r="33" spans="1:28" hidden="1" x14ac:dyDescent="0.25">
      <c r="A33" s="1527"/>
      <c r="C33" s="1547" t="str">
        <f>workings1!F21</f>
        <v/>
      </c>
      <c r="D33" s="1514" t="str">
        <f>workings1!L21</f>
        <v/>
      </c>
      <c r="E33" s="1497">
        <f>workings1!H21</f>
        <v>0</v>
      </c>
      <c r="F33" s="1498">
        <f>workings1!S21</f>
        <v>0</v>
      </c>
      <c r="G33" s="1529">
        <f ca="1">workings1!T21</f>
        <v>0</v>
      </c>
      <c r="H33" s="1530"/>
      <c r="I33" s="1517"/>
      <c r="J33" s="1547" t="str">
        <f>workings2!F21</f>
        <v/>
      </c>
      <c r="K33" s="1514" t="str">
        <f>workings2!L21</f>
        <v/>
      </c>
      <c r="L33" s="1497">
        <f>workings2!H21</f>
        <v>0</v>
      </c>
      <c r="M33" s="1498">
        <f>workings2!S21</f>
        <v>0</v>
      </c>
      <c r="N33" s="1529">
        <f ca="1">workings2!T21</f>
        <v>0</v>
      </c>
      <c r="O33" s="1536"/>
      <c r="P33" s="1519"/>
      <c r="Q33" s="1520">
        <f t="shared" ca="1" si="1"/>
        <v>0</v>
      </c>
      <c r="S33" s="1527"/>
      <c r="T33" s="1533"/>
      <c r="U33" s="1535"/>
      <c r="V33" s="1535"/>
      <c r="W33" s="1535"/>
      <c r="X33" s="1405"/>
      <c r="Y33" s="1405"/>
      <c r="Z33" s="1405"/>
      <c r="AA33" s="1405"/>
      <c r="AB33" s="1405"/>
    </row>
    <row r="34" spans="1:28" hidden="1" x14ac:dyDescent="0.25">
      <c r="A34" s="1527"/>
      <c r="C34" s="1547" t="str">
        <f>workings1!F22</f>
        <v/>
      </c>
      <c r="D34" s="1514" t="str">
        <f>workings1!L22</f>
        <v/>
      </c>
      <c r="E34" s="1497">
        <f>workings1!H22</f>
        <v>0</v>
      </c>
      <c r="F34" s="1498">
        <f>workings1!S22</f>
        <v>0</v>
      </c>
      <c r="G34" s="1529">
        <f ca="1">workings1!T22</f>
        <v>0</v>
      </c>
      <c r="H34" s="1530"/>
      <c r="I34" s="1517"/>
      <c r="J34" s="1547" t="str">
        <f>workings2!F22</f>
        <v/>
      </c>
      <c r="K34" s="1514" t="str">
        <f>workings2!L22</f>
        <v/>
      </c>
      <c r="L34" s="1497">
        <f>workings2!H22</f>
        <v>0</v>
      </c>
      <c r="M34" s="1498">
        <f>workings2!S22</f>
        <v>0</v>
      </c>
      <c r="N34" s="1529">
        <f ca="1">workings2!T22</f>
        <v>0</v>
      </c>
      <c r="O34" s="1536"/>
      <c r="P34" s="1519"/>
      <c r="Q34" s="1520">
        <f t="shared" ca="1" si="1"/>
        <v>0</v>
      </c>
      <c r="S34" s="1527"/>
      <c r="T34" s="1533"/>
      <c r="U34" s="1535"/>
      <c r="V34" s="1535"/>
      <c r="W34" s="1535"/>
      <c r="X34" s="1405"/>
      <c r="Y34" s="1405"/>
      <c r="Z34" s="1405"/>
      <c r="AA34" s="1405"/>
      <c r="AB34" s="1405"/>
    </row>
    <row r="35" spans="1:28" hidden="1" x14ac:dyDescent="0.25">
      <c r="A35" s="1527"/>
      <c r="C35" s="1547" t="str">
        <f>workings1!F23</f>
        <v/>
      </c>
      <c r="D35" s="1514" t="str">
        <f>workings1!L23</f>
        <v/>
      </c>
      <c r="E35" s="1497">
        <f>workings1!H23</f>
        <v>0</v>
      </c>
      <c r="F35" s="1498">
        <f>workings1!S23</f>
        <v>0</v>
      </c>
      <c r="G35" s="1529">
        <f ca="1">workings1!T23</f>
        <v>0</v>
      </c>
      <c r="H35" s="1530"/>
      <c r="I35" s="1517"/>
      <c r="J35" s="1547" t="str">
        <f>workings2!F23</f>
        <v/>
      </c>
      <c r="K35" s="1514" t="str">
        <f>workings2!L23</f>
        <v/>
      </c>
      <c r="L35" s="1497">
        <f>workings2!H23</f>
        <v>0</v>
      </c>
      <c r="M35" s="1498">
        <f>workings2!S23</f>
        <v>0</v>
      </c>
      <c r="N35" s="1529">
        <f ca="1">workings2!T23</f>
        <v>0</v>
      </c>
      <c r="O35" s="1536"/>
      <c r="P35" s="1519"/>
      <c r="Q35" s="1520">
        <f t="shared" ca="1" si="1"/>
        <v>0</v>
      </c>
      <c r="S35" s="1527"/>
      <c r="T35" s="1533"/>
      <c r="U35" s="1535"/>
      <c r="V35" s="1535"/>
      <c r="W35" s="1535"/>
      <c r="X35" s="1405"/>
      <c r="Y35" s="1405"/>
      <c r="Z35" s="1405"/>
      <c r="AA35" s="1405"/>
      <c r="AB35" s="1405"/>
    </row>
    <row r="36" spans="1:28" hidden="1" x14ac:dyDescent="0.25">
      <c r="A36" s="1527"/>
      <c r="C36" s="1547" t="str">
        <f>workings1!F24</f>
        <v/>
      </c>
      <c r="D36" s="1514" t="str">
        <f>workings1!L24</f>
        <v/>
      </c>
      <c r="E36" s="1497">
        <f>workings1!H24</f>
        <v>0</v>
      </c>
      <c r="F36" s="1498">
        <f>workings1!S24</f>
        <v>0</v>
      </c>
      <c r="G36" s="1529">
        <f ca="1">workings1!T24</f>
        <v>0</v>
      </c>
      <c r="H36" s="1530"/>
      <c r="I36" s="1517"/>
      <c r="J36" s="1547" t="str">
        <f>workings2!F24</f>
        <v/>
      </c>
      <c r="K36" s="1514" t="str">
        <f>workings2!L24</f>
        <v/>
      </c>
      <c r="L36" s="1497">
        <f>workings2!H24</f>
        <v>0</v>
      </c>
      <c r="M36" s="1498">
        <f>workings2!S24</f>
        <v>0</v>
      </c>
      <c r="N36" s="1529">
        <f ca="1">workings2!T24</f>
        <v>0</v>
      </c>
      <c r="O36" s="1536"/>
      <c r="P36" s="1519"/>
      <c r="Q36" s="1520">
        <f t="shared" ca="1" si="1"/>
        <v>0</v>
      </c>
      <c r="S36" s="1527"/>
      <c r="T36" s="1533"/>
      <c r="U36" s="1535"/>
      <c r="V36" s="1535"/>
      <c r="W36" s="1535"/>
      <c r="X36" s="1405"/>
      <c r="Y36" s="1405"/>
      <c r="Z36" s="1405"/>
      <c r="AA36" s="1405"/>
      <c r="AB36" s="1405"/>
    </row>
    <row r="37" spans="1:28" hidden="1" x14ac:dyDescent="0.25">
      <c r="A37" s="1527"/>
      <c r="C37" s="1547" t="str">
        <f>workings1!F25</f>
        <v/>
      </c>
      <c r="D37" s="1514" t="str">
        <f>workings1!L25</f>
        <v/>
      </c>
      <c r="E37" s="1497">
        <f>workings1!H25</f>
        <v>0</v>
      </c>
      <c r="F37" s="1498">
        <f>workings1!S25</f>
        <v>0</v>
      </c>
      <c r="G37" s="1529">
        <f ca="1">workings1!T25</f>
        <v>0</v>
      </c>
      <c r="H37" s="1530"/>
      <c r="I37" s="1517"/>
      <c r="J37" s="1547" t="str">
        <f>workings2!F25</f>
        <v/>
      </c>
      <c r="K37" s="1514" t="str">
        <f>workings2!L25</f>
        <v/>
      </c>
      <c r="L37" s="1497">
        <f>workings2!H25</f>
        <v>0</v>
      </c>
      <c r="M37" s="1498">
        <f>workings2!S25</f>
        <v>0</v>
      </c>
      <c r="N37" s="1529">
        <f ca="1">workings2!T25</f>
        <v>0</v>
      </c>
      <c r="O37" s="1536"/>
      <c r="P37" s="1519"/>
      <c r="Q37" s="1520">
        <f t="shared" ca="1" si="1"/>
        <v>0</v>
      </c>
      <c r="S37" s="1527"/>
      <c r="T37" s="1533"/>
      <c r="U37" s="1535"/>
      <c r="V37" s="1535"/>
      <c r="W37" s="1535"/>
      <c r="X37" s="1405"/>
      <c r="Y37" s="1405"/>
      <c r="Z37" s="1405"/>
      <c r="AA37" s="1405"/>
      <c r="AB37" s="1405"/>
    </row>
    <row r="38" spans="1:28" hidden="1" x14ac:dyDescent="0.25">
      <c r="A38" s="1527"/>
      <c r="C38" s="1547" t="str">
        <f>workings1!F26</f>
        <v/>
      </c>
      <c r="D38" s="1514" t="str">
        <f>workings1!L26</f>
        <v/>
      </c>
      <c r="E38" s="1497">
        <f>workings1!H26</f>
        <v>0</v>
      </c>
      <c r="F38" s="1498">
        <f>workings1!S26</f>
        <v>0</v>
      </c>
      <c r="G38" s="1529">
        <f ca="1">workings1!T26</f>
        <v>0</v>
      </c>
      <c r="H38" s="1530"/>
      <c r="I38" s="1517"/>
      <c r="J38" s="1547" t="str">
        <f>workings2!F26</f>
        <v/>
      </c>
      <c r="K38" s="1514" t="str">
        <f>workings2!L26</f>
        <v/>
      </c>
      <c r="L38" s="1497">
        <f>workings2!H26</f>
        <v>0</v>
      </c>
      <c r="M38" s="1498">
        <f>workings2!S26</f>
        <v>0</v>
      </c>
      <c r="N38" s="1529">
        <f ca="1">workings2!T26</f>
        <v>0</v>
      </c>
      <c r="O38" s="1536"/>
      <c r="P38" s="1519"/>
      <c r="Q38" s="1520">
        <f t="shared" ca="1" si="1"/>
        <v>0</v>
      </c>
      <c r="S38" s="1527"/>
      <c r="T38" s="1533"/>
      <c r="U38" s="1535"/>
      <c r="V38" s="1535"/>
      <c r="W38" s="1535"/>
      <c r="X38" s="1405"/>
      <c r="Y38" s="1405"/>
      <c r="Z38" s="1405"/>
      <c r="AA38" s="1405"/>
      <c r="AB38" s="1405"/>
    </row>
    <row r="39" spans="1:28" hidden="1" x14ac:dyDescent="0.25">
      <c r="A39" s="1527"/>
      <c r="C39" s="1547" t="str">
        <f>workings1!F27</f>
        <v/>
      </c>
      <c r="D39" s="1514" t="str">
        <f>workings1!L27</f>
        <v/>
      </c>
      <c r="E39" s="1497">
        <f>workings1!H27</f>
        <v>0</v>
      </c>
      <c r="F39" s="1498">
        <f>workings1!S27</f>
        <v>0</v>
      </c>
      <c r="G39" s="1529">
        <f ca="1">workings1!T27</f>
        <v>0</v>
      </c>
      <c r="H39" s="1530"/>
      <c r="I39" s="1517"/>
      <c r="J39" s="1547" t="str">
        <f>workings2!F27</f>
        <v/>
      </c>
      <c r="K39" s="1514" t="str">
        <f>workings2!L27</f>
        <v/>
      </c>
      <c r="L39" s="1497">
        <f>workings2!H27</f>
        <v>0</v>
      </c>
      <c r="M39" s="1498">
        <f>workings2!S27</f>
        <v>0</v>
      </c>
      <c r="N39" s="1529">
        <f ca="1">workings2!T27</f>
        <v>0</v>
      </c>
      <c r="O39" s="1536"/>
      <c r="P39" s="1519"/>
      <c r="Q39" s="1520">
        <f t="shared" ca="1" si="1"/>
        <v>0</v>
      </c>
      <c r="S39" s="1527"/>
      <c r="T39" s="1533"/>
      <c r="U39" s="1535"/>
      <c r="V39" s="1535"/>
      <c r="W39" s="1535"/>
      <c r="X39" s="1405"/>
      <c r="Y39" s="1405"/>
      <c r="Z39" s="1405"/>
      <c r="AA39" s="1405"/>
      <c r="AB39" s="1405"/>
    </row>
    <row r="40" spans="1:28" ht="18" customHeight="1" x14ac:dyDescent="0.25">
      <c r="A40" s="1527"/>
      <c r="C40" s="1547" t="str">
        <f ca="1">'advanced report'!E53</f>
        <v xml:space="preserve">  True</v>
      </c>
      <c r="D40" s="1514" t="str">
        <f ca="1">'advanced report'!G53</f>
        <v/>
      </c>
      <c r="E40" s="1497"/>
      <c r="F40" s="1498"/>
      <c r="G40" s="1537">
        <f ca="1">SUM(G28:G39)</f>
        <v>0</v>
      </c>
      <c r="H40" s="1530"/>
      <c r="I40" s="1517"/>
      <c r="J40" s="1547" t="str">
        <f ca="1">'advanced report'!I53</f>
        <v>True</v>
      </c>
      <c r="K40" s="1514" t="str">
        <f>'advanced report'!K52</f>
        <v/>
      </c>
      <c r="L40" s="1497"/>
      <c r="M40" s="1498"/>
      <c r="N40" s="1537">
        <f ca="1">SUM(N28:N39)</f>
        <v>0</v>
      </c>
      <c r="O40" s="1536"/>
      <c r="P40" s="1519"/>
      <c r="Q40" s="1538">
        <f ca="1">SUM(Q28:Q39)</f>
        <v>0</v>
      </c>
      <c r="S40" s="1527"/>
      <c r="T40" s="1533" t="s">
        <v>922</v>
      </c>
      <c r="U40" s="1535"/>
      <c r="V40" s="1535"/>
      <c r="W40" s="1535"/>
      <c r="X40" s="1405"/>
      <c r="Y40" s="1405"/>
      <c r="Z40" s="1405"/>
      <c r="AA40" s="1405"/>
      <c r="AB40" s="1405"/>
    </row>
    <row r="41" spans="1:28" x14ac:dyDescent="0.25">
      <c r="A41" s="1527"/>
      <c r="C41" s="1547"/>
      <c r="D41" s="1514"/>
      <c r="E41" s="1497"/>
      <c r="F41" s="1498"/>
      <c r="G41" s="1529"/>
      <c r="H41" s="1530"/>
      <c r="I41" s="1517"/>
      <c r="J41" s="1547"/>
      <c r="K41" s="1514"/>
      <c r="L41" s="1497"/>
      <c r="M41" s="1498"/>
      <c r="N41" s="1529"/>
      <c r="O41" s="1536"/>
      <c r="P41" s="1519"/>
      <c r="Q41" s="1520"/>
      <c r="S41" s="1527"/>
      <c r="T41" s="1533"/>
      <c r="U41" s="1535"/>
      <c r="V41" s="1535"/>
      <c r="W41" s="1535"/>
      <c r="X41" s="1405"/>
      <c r="Y41" s="1405"/>
      <c r="Z41" s="1405"/>
      <c r="AA41" s="1405"/>
      <c r="AB41" s="1405"/>
    </row>
    <row r="42" spans="1:28" x14ac:dyDescent="0.25">
      <c r="A42" s="1527"/>
      <c r="C42" s="1547">
        <f>workings1!F29</f>
        <v>45748</v>
      </c>
      <c r="D42" s="1514">
        <f ca="1">workings1!L29</f>
        <v>0</v>
      </c>
      <c r="E42" s="1497">
        <f>workings1!H29</f>
        <v>365</v>
      </c>
      <c r="F42" s="1498">
        <f ca="1">workings1!S29</f>
        <v>1</v>
      </c>
      <c r="G42" s="1529">
        <f ca="1">workings1!T29</f>
        <v>0</v>
      </c>
      <c r="H42" s="1530"/>
      <c r="I42" s="1517"/>
      <c r="J42" s="1547">
        <f>workings2!F29</f>
        <v>45748</v>
      </c>
      <c r="K42" s="1514">
        <f ca="1">workings2!L29</f>
        <v>0</v>
      </c>
      <c r="L42" s="1497">
        <f>workings2!H29</f>
        <v>365</v>
      </c>
      <c r="M42" s="1498">
        <f ca="1">workings2!S29</f>
        <v>1</v>
      </c>
      <c r="N42" s="1529">
        <f ca="1">workings2!T29</f>
        <v>0</v>
      </c>
      <c r="O42" s="1536"/>
      <c r="P42" s="1519"/>
      <c r="Q42" s="1520">
        <f t="shared" ref="Q42:Q53" ca="1" si="2">G42-N42</f>
        <v>0</v>
      </c>
      <c r="S42" s="1527"/>
      <c r="T42" s="1533" t="str">
        <f>T40</f>
        <v>closed</v>
      </c>
      <c r="U42" s="1534" t="str">
        <f>IF(T42="closed","show more lines","show fewer lines")</f>
        <v>show more lines</v>
      </c>
      <c r="V42" s="1535"/>
      <c r="W42" s="1535"/>
      <c r="X42" s="1405"/>
      <c r="Y42" s="1405"/>
      <c r="Z42" s="1405"/>
      <c r="AA42" s="1405"/>
      <c r="AB42" s="1405"/>
    </row>
    <row r="43" spans="1:28" x14ac:dyDescent="0.25">
      <c r="A43" s="1527"/>
      <c r="C43" s="1547" t="str">
        <f>workings1!F30</f>
        <v/>
      </c>
      <c r="D43" s="1514" t="str">
        <f>workings1!L30</f>
        <v/>
      </c>
      <c r="E43" s="1497">
        <f>workings1!H30</f>
        <v>0</v>
      </c>
      <c r="F43" s="1498">
        <f>workings1!S30</f>
        <v>0</v>
      </c>
      <c r="G43" s="1529">
        <f ca="1">workings1!T30</f>
        <v>0</v>
      </c>
      <c r="H43" s="1530"/>
      <c r="I43" s="1517"/>
      <c r="J43" s="1547" t="str">
        <f>workings2!F30</f>
        <v/>
      </c>
      <c r="K43" s="1514" t="str">
        <f>workings2!L30</f>
        <v/>
      </c>
      <c r="L43" s="1497">
        <f>workings2!H30</f>
        <v>0</v>
      </c>
      <c r="M43" s="1498">
        <f>workings2!S30</f>
        <v>0</v>
      </c>
      <c r="N43" s="1529">
        <f ca="1">workings2!T30</f>
        <v>0</v>
      </c>
      <c r="O43" s="1536"/>
      <c r="P43" s="1519"/>
      <c r="Q43" s="1520">
        <f t="shared" ca="1" si="2"/>
        <v>0</v>
      </c>
      <c r="S43" s="1527"/>
      <c r="T43" s="1533"/>
      <c r="U43" s="1535"/>
      <c r="V43" s="1535"/>
      <c r="W43" s="1535"/>
      <c r="X43" s="1405"/>
      <c r="Y43" s="1405"/>
      <c r="Z43" s="1405"/>
      <c r="AA43" s="1405"/>
      <c r="AB43" s="1405"/>
    </row>
    <row r="44" spans="1:28" x14ac:dyDescent="0.25">
      <c r="A44" s="1527"/>
      <c r="C44" s="1547" t="str">
        <f>workings1!F31</f>
        <v/>
      </c>
      <c r="D44" s="1514" t="str">
        <f>workings1!L31</f>
        <v/>
      </c>
      <c r="E44" s="1497">
        <f>workings1!H31</f>
        <v>0</v>
      </c>
      <c r="F44" s="1498">
        <f>workings1!S31</f>
        <v>0</v>
      </c>
      <c r="G44" s="1529">
        <f ca="1">workings1!T31</f>
        <v>0</v>
      </c>
      <c r="H44" s="1530"/>
      <c r="I44" s="1517"/>
      <c r="J44" s="1547" t="str">
        <f>workings2!F31</f>
        <v/>
      </c>
      <c r="K44" s="1514" t="str">
        <f>workings2!L31</f>
        <v/>
      </c>
      <c r="L44" s="1497">
        <f>workings2!H31</f>
        <v>0</v>
      </c>
      <c r="M44" s="1498">
        <f>workings2!S31</f>
        <v>0</v>
      </c>
      <c r="N44" s="1529">
        <f ca="1">workings2!T31</f>
        <v>0</v>
      </c>
      <c r="O44" s="1536"/>
      <c r="P44" s="1519"/>
      <c r="Q44" s="1520">
        <f t="shared" ca="1" si="2"/>
        <v>0</v>
      </c>
      <c r="S44" s="1527"/>
      <c r="T44" s="1533"/>
      <c r="U44" s="1535"/>
      <c r="V44" s="1535"/>
      <c r="W44" s="1535"/>
      <c r="X44" s="1405"/>
      <c r="Y44" s="1405"/>
      <c r="Z44" s="1405"/>
      <c r="AA44" s="1405"/>
      <c r="AB44" s="1405"/>
    </row>
    <row r="45" spans="1:28" x14ac:dyDescent="0.25">
      <c r="A45" s="1527"/>
      <c r="C45" s="1547" t="str">
        <f>workings1!F32</f>
        <v/>
      </c>
      <c r="D45" s="1514" t="str">
        <f>workings1!L32</f>
        <v/>
      </c>
      <c r="E45" s="1497">
        <f>workings1!H32</f>
        <v>0</v>
      </c>
      <c r="F45" s="1498">
        <f>workings1!S32</f>
        <v>0</v>
      </c>
      <c r="G45" s="1529">
        <f ca="1">workings1!T32</f>
        <v>0</v>
      </c>
      <c r="H45" s="1530"/>
      <c r="I45" s="1517"/>
      <c r="J45" s="1547" t="str">
        <f>workings2!F32</f>
        <v/>
      </c>
      <c r="K45" s="1514" t="str">
        <f>workings2!L32</f>
        <v/>
      </c>
      <c r="L45" s="1497">
        <f>workings2!H32</f>
        <v>0</v>
      </c>
      <c r="M45" s="1498">
        <f>workings2!S32</f>
        <v>0</v>
      </c>
      <c r="N45" s="1529">
        <f ca="1">workings2!T32</f>
        <v>0</v>
      </c>
      <c r="O45" s="1536"/>
      <c r="P45" s="1519"/>
      <c r="Q45" s="1520">
        <f t="shared" ca="1" si="2"/>
        <v>0</v>
      </c>
      <c r="S45" s="1527"/>
      <c r="T45" s="1533"/>
      <c r="U45" s="1535"/>
      <c r="V45" s="1535"/>
      <c r="W45" s="1535"/>
      <c r="X45" s="1405"/>
      <c r="Y45" s="1405"/>
      <c r="Z45" s="1405"/>
      <c r="AA45" s="1405"/>
      <c r="AB45" s="1405"/>
    </row>
    <row r="46" spans="1:28" x14ac:dyDescent="0.25">
      <c r="A46" s="1527"/>
      <c r="C46" s="1547" t="str">
        <f>workings1!F33</f>
        <v/>
      </c>
      <c r="D46" s="1514" t="str">
        <f>workings1!L33</f>
        <v/>
      </c>
      <c r="E46" s="1497">
        <f>workings1!H33</f>
        <v>0</v>
      </c>
      <c r="F46" s="1498">
        <f>workings1!S33</f>
        <v>0</v>
      </c>
      <c r="G46" s="1529">
        <f ca="1">workings1!T33</f>
        <v>0</v>
      </c>
      <c r="H46" s="1530"/>
      <c r="I46" s="1517"/>
      <c r="J46" s="1547" t="str">
        <f>workings2!F33</f>
        <v/>
      </c>
      <c r="K46" s="1514" t="str">
        <f>workings2!L33</f>
        <v/>
      </c>
      <c r="L46" s="1497">
        <f>workings2!H33</f>
        <v>0</v>
      </c>
      <c r="M46" s="1498">
        <f>workings2!S33</f>
        <v>0</v>
      </c>
      <c r="N46" s="1529">
        <f ca="1">workings2!T33</f>
        <v>0</v>
      </c>
      <c r="O46" s="1536"/>
      <c r="P46" s="1519"/>
      <c r="Q46" s="1520">
        <f t="shared" ca="1" si="2"/>
        <v>0</v>
      </c>
      <c r="S46" s="1527"/>
      <c r="T46" s="1533"/>
      <c r="U46" s="1535"/>
      <c r="V46" s="1535"/>
      <c r="W46" s="1535"/>
      <c r="X46" s="1405"/>
      <c r="Y46" s="1405"/>
      <c r="Z46" s="1405"/>
      <c r="AA46" s="1405"/>
      <c r="AB46" s="1405"/>
    </row>
    <row r="47" spans="1:28" hidden="1" x14ac:dyDescent="0.25">
      <c r="A47" s="1527"/>
      <c r="C47" s="1547" t="str">
        <f>workings1!F34</f>
        <v/>
      </c>
      <c r="D47" s="1514" t="str">
        <f>workings1!L34</f>
        <v/>
      </c>
      <c r="E47" s="1497">
        <f>workings1!H34</f>
        <v>0</v>
      </c>
      <c r="F47" s="1498">
        <f>workings1!S34</f>
        <v>0</v>
      </c>
      <c r="G47" s="1529">
        <f ca="1">workings1!T34</f>
        <v>0</v>
      </c>
      <c r="H47" s="1530"/>
      <c r="I47" s="1517"/>
      <c r="J47" s="1547" t="str">
        <f>workings2!F34</f>
        <v/>
      </c>
      <c r="K47" s="1514" t="str">
        <f>workings2!L34</f>
        <v/>
      </c>
      <c r="L47" s="1497">
        <f>workings2!H34</f>
        <v>0</v>
      </c>
      <c r="M47" s="1498">
        <f>workings2!S34</f>
        <v>0</v>
      </c>
      <c r="N47" s="1529">
        <f ca="1">workings2!T34</f>
        <v>0</v>
      </c>
      <c r="O47" s="1536"/>
      <c r="P47" s="1519"/>
      <c r="Q47" s="1520">
        <f t="shared" ca="1" si="2"/>
        <v>0</v>
      </c>
      <c r="S47" s="1527"/>
      <c r="T47" s="1533"/>
      <c r="U47" s="1535"/>
      <c r="V47" s="1535"/>
      <c r="W47" s="1535"/>
      <c r="X47" s="1405"/>
      <c r="Y47" s="1405"/>
      <c r="Z47" s="1405"/>
      <c r="AA47" s="1405"/>
      <c r="AB47" s="1405"/>
    </row>
    <row r="48" spans="1:28" hidden="1" x14ac:dyDescent="0.25">
      <c r="A48" s="1527"/>
      <c r="C48" s="1547" t="str">
        <f>workings1!F35</f>
        <v/>
      </c>
      <c r="D48" s="1514" t="str">
        <f>workings1!L35</f>
        <v/>
      </c>
      <c r="E48" s="1497">
        <f>workings1!H35</f>
        <v>0</v>
      </c>
      <c r="F48" s="1498">
        <f>workings1!S35</f>
        <v>0</v>
      </c>
      <c r="G48" s="1529">
        <f ca="1">workings1!T35</f>
        <v>0</v>
      </c>
      <c r="H48" s="1530"/>
      <c r="I48" s="1517"/>
      <c r="J48" s="1547" t="str">
        <f>workings2!F35</f>
        <v/>
      </c>
      <c r="K48" s="1514" t="str">
        <f>workings2!L35</f>
        <v/>
      </c>
      <c r="L48" s="1497">
        <f>workings2!H35</f>
        <v>0</v>
      </c>
      <c r="M48" s="1498">
        <f>workings2!S35</f>
        <v>0</v>
      </c>
      <c r="N48" s="1529">
        <f ca="1">workings2!T35</f>
        <v>0</v>
      </c>
      <c r="O48" s="1536"/>
      <c r="P48" s="1519"/>
      <c r="Q48" s="1520">
        <f t="shared" ca="1" si="2"/>
        <v>0</v>
      </c>
      <c r="S48" s="1527"/>
      <c r="T48" s="1533"/>
      <c r="U48" s="1535"/>
      <c r="V48" s="1535"/>
      <c r="W48" s="1535"/>
      <c r="X48" s="1405"/>
      <c r="Y48" s="1405"/>
      <c r="Z48" s="1405"/>
      <c r="AA48" s="1405"/>
      <c r="AB48" s="1405"/>
    </row>
    <row r="49" spans="1:28" hidden="1" x14ac:dyDescent="0.25">
      <c r="A49" s="1527"/>
      <c r="C49" s="1547" t="str">
        <f>workings1!F36</f>
        <v/>
      </c>
      <c r="D49" s="1514" t="str">
        <f>workings1!L36</f>
        <v/>
      </c>
      <c r="E49" s="1497">
        <f>workings1!H36</f>
        <v>0</v>
      </c>
      <c r="F49" s="1498">
        <f>workings1!S36</f>
        <v>0</v>
      </c>
      <c r="G49" s="1529">
        <f ca="1">workings1!T36</f>
        <v>0</v>
      </c>
      <c r="H49" s="1530"/>
      <c r="I49" s="1517"/>
      <c r="J49" s="1547" t="str">
        <f>workings2!F36</f>
        <v/>
      </c>
      <c r="K49" s="1514" t="str">
        <f>workings2!L36</f>
        <v/>
      </c>
      <c r="L49" s="1497">
        <f>workings2!H36</f>
        <v>0</v>
      </c>
      <c r="M49" s="1498">
        <f>workings2!S36</f>
        <v>0</v>
      </c>
      <c r="N49" s="1529">
        <f ca="1">workings2!T36</f>
        <v>0</v>
      </c>
      <c r="O49" s="1536"/>
      <c r="P49" s="1519"/>
      <c r="Q49" s="1520">
        <f t="shared" ca="1" si="2"/>
        <v>0</v>
      </c>
      <c r="S49" s="1527"/>
      <c r="T49" s="1533"/>
      <c r="U49" s="1535"/>
      <c r="V49" s="1535"/>
      <c r="W49" s="1535"/>
      <c r="X49" s="1405"/>
      <c r="Y49" s="1405"/>
      <c r="Z49" s="1405"/>
      <c r="AA49" s="1405"/>
      <c r="AB49" s="1405"/>
    </row>
    <row r="50" spans="1:28" hidden="1" x14ac:dyDescent="0.25">
      <c r="A50" s="1527"/>
      <c r="C50" s="1547" t="str">
        <f>workings1!F37</f>
        <v/>
      </c>
      <c r="D50" s="1514" t="str">
        <f>workings1!L37</f>
        <v/>
      </c>
      <c r="E50" s="1497">
        <f>workings1!H37</f>
        <v>0</v>
      </c>
      <c r="F50" s="1498">
        <f>workings1!S37</f>
        <v>0</v>
      </c>
      <c r="G50" s="1529">
        <f ca="1">workings1!T37</f>
        <v>0</v>
      </c>
      <c r="H50" s="1530"/>
      <c r="I50" s="1517"/>
      <c r="J50" s="1547" t="str">
        <f>workings2!F37</f>
        <v/>
      </c>
      <c r="K50" s="1514" t="str">
        <f>workings2!L37</f>
        <v/>
      </c>
      <c r="L50" s="1497">
        <f>workings2!H37</f>
        <v>0</v>
      </c>
      <c r="M50" s="1498">
        <f>workings2!S37</f>
        <v>0</v>
      </c>
      <c r="N50" s="1529">
        <f ca="1">workings2!T37</f>
        <v>0</v>
      </c>
      <c r="O50" s="1536"/>
      <c r="P50" s="1519"/>
      <c r="Q50" s="1520">
        <f t="shared" ca="1" si="2"/>
        <v>0</v>
      </c>
      <c r="S50" s="1527"/>
      <c r="T50" s="1533"/>
      <c r="U50" s="1535"/>
      <c r="V50" s="1535"/>
      <c r="W50" s="1535"/>
      <c r="X50" s="1405"/>
      <c r="Y50" s="1405"/>
      <c r="Z50" s="1405"/>
      <c r="AA50" s="1405"/>
      <c r="AB50" s="1405"/>
    </row>
    <row r="51" spans="1:28" hidden="1" x14ac:dyDescent="0.25">
      <c r="A51" s="1527"/>
      <c r="C51" s="1547" t="str">
        <f>workings1!F38</f>
        <v/>
      </c>
      <c r="D51" s="1514" t="str">
        <f>workings1!L38</f>
        <v/>
      </c>
      <c r="E51" s="1497">
        <f>workings1!H38</f>
        <v>0</v>
      </c>
      <c r="F51" s="1498">
        <f>workings1!S38</f>
        <v>0</v>
      </c>
      <c r="G51" s="1529">
        <f ca="1">workings1!T38</f>
        <v>0</v>
      </c>
      <c r="H51" s="1530"/>
      <c r="I51" s="1517"/>
      <c r="J51" s="1547" t="str">
        <f>workings2!F38</f>
        <v/>
      </c>
      <c r="K51" s="1514" t="str">
        <f>workings2!L38</f>
        <v/>
      </c>
      <c r="L51" s="1497">
        <f>workings2!H38</f>
        <v>0</v>
      </c>
      <c r="M51" s="1498">
        <f>workings2!S38</f>
        <v>0</v>
      </c>
      <c r="N51" s="1529">
        <f ca="1">workings2!T38</f>
        <v>0</v>
      </c>
      <c r="O51" s="1536"/>
      <c r="P51" s="1519"/>
      <c r="Q51" s="1520">
        <f t="shared" ca="1" si="2"/>
        <v>0</v>
      </c>
      <c r="S51" s="1527"/>
      <c r="T51" s="1533"/>
      <c r="U51" s="1535"/>
      <c r="V51" s="1535"/>
      <c r="W51" s="1535"/>
      <c r="X51" s="1405"/>
      <c r="Y51" s="1405"/>
      <c r="Z51" s="1405"/>
      <c r="AA51" s="1405"/>
      <c r="AB51" s="1405"/>
    </row>
    <row r="52" spans="1:28" hidden="1" x14ac:dyDescent="0.25">
      <c r="A52" s="1527"/>
      <c r="C52" s="1547" t="str">
        <f>workings1!F39</f>
        <v/>
      </c>
      <c r="D52" s="1514" t="str">
        <f>workings1!L39</f>
        <v/>
      </c>
      <c r="E52" s="1497">
        <f>workings1!H39</f>
        <v>0</v>
      </c>
      <c r="F52" s="1498">
        <f>workings1!S39</f>
        <v>0</v>
      </c>
      <c r="G52" s="1529">
        <f ca="1">workings1!T39</f>
        <v>0</v>
      </c>
      <c r="H52" s="1530"/>
      <c r="I52" s="1517"/>
      <c r="J52" s="1547" t="str">
        <f>workings2!F39</f>
        <v/>
      </c>
      <c r="K52" s="1514" t="str">
        <f>workings2!L39</f>
        <v/>
      </c>
      <c r="L52" s="1497">
        <f>workings2!H39</f>
        <v>0</v>
      </c>
      <c r="M52" s="1498">
        <f>workings2!S39</f>
        <v>0</v>
      </c>
      <c r="N52" s="1529">
        <f ca="1">workings2!T39</f>
        <v>0</v>
      </c>
      <c r="O52" s="1536"/>
      <c r="P52" s="1519"/>
      <c r="Q52" s="1520">
        <f t="shared" ca="1" si="2"/>
        <v>0</v>
      </c>
      <c r="S52" s="1527"/>
      <c r="T52" s="1533"/>
      <c r="U52" s="1535"/>
      <c r="V52" s="1535"/>
      <c r="W52" s="1535"/>
      <c r="X52" s="1405"/>
      <c r="Y52" s="1405"/>
      <c r="Z52" s="1405"/>
      <c r="AA52" s="1405"/>
      <c r="AB52" s="1405"/>
    </row>
    <row r="53" spans="1:28" hidden="1" x14ac:dyDescent="0.25">
      <c r="A53" s="1527"/>
      <c r="C53" s="1547" t="str">
        <f>workings1!F40</f>
        <v/>
      </c>
      <c r="D53" s="1514" t="str">
        <f>workings1!L40</f>
        <v/>
      </c>
      <c r="E53" s="1497">
        <f>workings1!H40</f>
        <v>0</v>
      </c>
      <c r="F53" s="1498">
        <f>workings1!S40</f>
        <v>0</v>
      </c>
      <c r="G53" s="1529">
        <f ca="1">workings1!T40</f>
        <v>0</v>
      </c>
      <c r="H53" s="1530"/>
      <c r="I53" s="1517"/>
      <c r="J53" s="1547" t="str">
        <f>workings2!F40</f>
        <v/>
      </c>
      <c r="K53" s="1514" t="str">
        <f>workings2!L40</f>
        <v/>
      </c>
      <c r="L53" s="1497">
        <f>workings2!H40</f>
        <v>0</v>
      </c>
      <c r="M53" s="1498">
        <f>workings2!S40</f>
        <v>0</v>
      </c>
      <c r="N53" s="1529">
        <f ca="1">workings2!T40</f>
        <v>0</v>
      </c>
      <c r="O53" s="1536"/>
      <c r="P53" s="1519"/>
      <c r="Q53" s="1520">
        <f t="shared" ca="1" si="2"/>
        <v>0</v>
      </c>
      <c r="S53" s="1527"/>
      <c r="T53" s="1533"/>
      <c r="U53" s="1535"/>
      <c r="V53" s="1535"/>
      <c r="W53" s="1535"/>
      <c r="X53" s="1405"/>
      <c r="Y53" s="1405"/>
      <c r="Z53" s="1405"/>
      <c r="AA53" s="1405"/>
      <c r="AB53" s="1405"/>
    </row>
    <row r="54" spans="1:28" ht="17.25" customHeight="1" x14ac:dyDescent="0.25">
      <c r="A54" s="1527"/>
      <c r="C54" s="1528" t="str">
        <f ca="1">'advanced report'!E54</f>
        <v xml:space="preserve">  True</v>
      </c>
      <c r="D54" s="1514" t="str">
        <f ca="1">'advanced report'!G54</f>
        <v/>
      </c>
      <c r="E54" s="1497"/>
      <c r="F54" s="1498"/>
      <c r="G54" s="1537">
        <f ca="1">SUM(G42:G53)</f>
        <v>0</v>
      </c>
      <c r="H54" s="1530"/>
      <c r="I54" s="1517"/>
      <c r="J54" s="1528" t="str">
        <f ca="1">'advanced report'!I54</f>
        <v>True</v>
      </c>
      <c r="K54" s="1514" t="str">
        <f ca="1">'advanced report'!K54</f>
        <v/>
      </c>
      <c r="L54" s="1497"/>
      <c r="M54" s="1498"/>
      <c r="N54" s="1537">
        <f ca="1">SUM(N42:N53)</f>
        <v>0</v>
      </c>
      <c r="O54" s="1536"/>
      <c r="P54" s="1519"/>
      <c r="Q54" s="1538">
        <f ca="1">SUM(Q42:Q53)</f>
        <v>0</v>
      </c>
      <c r="S54" s="1527"/>
      <c r="T54" s="1533"/>
      <c r="U54" s="1535"/>
      <c r="V54" s="1535"/>
      <c r="W54" s="1535"/>
      <c r="X54" s="1405"/>
      <c r="Y54" s="1405"/>
      <c r="Z54" s="1405"/>
      <c r="AA54" s="1405"/>
      <c r="AB54" s="1405"/>
    </row>
    <row r="55" spans="1:28" x14ac:dyDescent="0.25">
      <c r="A55" s="1527"/>
      <c r="C55" s="1528"/>
      <c r="D55" s="1514"/>
      <c r="E55" s="1497"/>
      <c r="F55" s="1498"/>
      <c r="G55" s="1529"/>
      <c r="H55" s="1530"/>
      <c r="I55" s="1517"/>
      <c r="J55" s="1528"/>
      <c r="K55" s="1514"/>
      <c r="L55" s="1497"/>
      <c r="M55" s="1498"/>
      <c r="N55" s="1529"/>
      <c r="O55" s="1536"/>
      <c r="P55" s="1519"/>
      <c r="Q55" s="1520"/>
      <c r="S55" s="1527"/>
      <c r="T55" s="1533"/>
      <c r="U55" s="1535"/>
      <c r="V55" s="1535"/>
      <c r="W55" s="1535"/>
      <c r="X55" s="1405"/>
      <c r="Y55" s="1405"/>
      <c r="Z55" s="1405"/>
      <c r="AA55" s="1405"/>
      <c r="AB55" s="1405"/>
    </row>
    <row r="56" spans="1:28" ht="21" customHeight="1" x14ac:dyDescent="0.25">
      <c r="A56" s="1405"/>
      <c r="C56" s="1546" t="s">
        <v>1344</v>
      </c>
      <c r="D56" s="1514"/>
      <c r="E56" s="1497"/>
      <c r="F56" s="1498"/>
      <c r="G56" s="1525">
        <f ca="1">G26+G40+G54</f>
        <v>0</v>
      </c>
      <c r="H56" s="1525"/>
      <c r="I56" s="1517"/>
      <c r="J56" s="1528"/>
      <c r="K56" s="1514"/>
      <c r="L56" s="1497"/>
      <c r="M56" s="1498"/>
      <c r="N56" s="1525">
        <f ca="1">N26+N40+N54</f>
        <v>0</v>
      </c>
      <c r="O56" s="1526"/>
      <c r="P56" s="1519"/>
      <c r="Q56" s="1525">
        <f ca="1">Q26+Q40+Q54</f>
        <v>0</v>
      </c>
      <c r="S56" s="1405"/>
      <c r="X56" s="1405"/>
      <c r="Y56" s="1405"/>
      <c r="Z56" s="1405"/>
      <c r="AA56" s="1405"/>
      <c r="AB56" s="1405"/>
    </row>
    <row r="57" spans="1:28" x14ac:dyDescent="0.25">
      <c r="A57" s="1405"/>
      <c r="S57" s="1405"/>
      <c r="X57" s="1405"/>
      <c r="Y57" s="1405"/>
      <c r="Z57" s="1405"/>
      <c r="AA57" s="1405"/>
      <c r="AB57" s="1405"/>
    </row>
    <row r="58" spans="1:28" x14ac:dyDescent="0.25">
      <c r="A58" s="1405"/>
      <c r="B58" s="1405"/>
      <c r="C58" s="1405"/>
      <c r="D58" s="1405"/>
      <c r="E58" s="1405"/>
      <c r="F58" s="1405"/>
      <c r="G58" s="1405"/>
      <c r="H58" s="1405"/>
      <c r="I58" s="1405"/>
      <c r="J58" s="1405"/>
      <c r="K58" s="1405"/>
      <c r="L58" s="1405"/>
      <c r="M58" s="1405"/>
      <c r="N58" s="1405"/>
      <c r="O58" s="1405"/>
      <c r="P58" s="1405"/>
      <c r="Q58" s="1405"/>
      <c r="R58" s="1405"/>
      <c r="S58" s="1405"/>
      <c r="X58" s="1405"/>
      <c r="Y58" s="1405"/>
      <c r="Z58" s="1405"/>
      <c r="AA58" s="1405"/>
      <c r="AB58" s="1405"/>
    </row>
    <row r="59" spans="1:28" x14ac:dyDescent="0.25">
      <c r="A59" s="1405"/>
      <c r="B59" s="1405"/>
      <c r="C59" s="1405"/>
      <c r="D59" s="1405"/>
      <c r="E59" s="1405"/>
      <c r="F59" s="1405"/>
      <c r="G59" s="1405"/>
      <c r="H59" s="1405"/>
      <c r="I59" s="1405"/>
      <c r="J59" s="1405"/>
      <c r="K59" s="1405"/>
      <c r="L59" s="1405"/>
      <c r="M59" s="1405"/>
      <c r="N59" s="1405"/>
      <c r="O59" s="1405"/>
      <c r="P59" s="1405"/>
      <c r="Q59" s="1405"/>
      <c r="R59" s="1405"/>
      <c r="S59" s="1405"/>
      <c r="X59" s="1405"/>
      <c r="Y59" s="1405"/>
      <c r="Z59" s="1405"/>
      <c r="AA59" s="1405"/>
      <c r="AB59" s="1405"/>
    </row>
    <row r="60" spans="1:28" x14ac:dyDescent="0.25">
      <c r="A60" s="1405"/>
      <c r="B60" s="1405"/>
      <c r="C60" s="1405"/>
      <c r="D60" s="1405"/>
      <c r="E60" s="1405"/>
      <c r="F60" s="1405"/>
      <c r="G60" s="1405"/>
      <c r="H60" s="1405"/>
      <c r="I60" s="1405"/>
      <c r="J60" s="1405"/>
      <c r="K60" s="1405"/>
      <c r="L60" s="1405"/>
      <c r="M60" s="1405"/>
      <c r="N60" s="1405"/>
      <c r="O60" s="1405"/>
      <c r="P60" s="1405"/>
      <c r="Q60" s="1405"/>
      <c r="R60" s="1405"/>
      <c r="S60" s="1405"/>
      <c r="X60" s="1405"/>
      <c r="Y60" s="1405"/>
      <c r="Z60" s="1405"/>
      <c r="AA60" s="1405"/>
      <c r="AB60" s="1405"/>
    </row>
    <row r="61" spans="1:28" x14ac:dyDescent="0.25">
      <c r="A61" s="1405"/>
      <c r="B61" s="1405"/>
      <c r="C61" s="1405"/>
      <c r="D61" s="1405"/>
      <c r="E61" s="1405"/>
      <c r="F61" s="1405"/>
      <c r="G61" s="1405"/>
      <c r="H61" s="1405"/>
      <c r="I61" s="1405"/>
      <c r="J61" s="1405"/>
      <c r="K61" s="1405"/>
      <c r="L61" s="1405"/>
      <c r="M61" s="1405"/>
      <c r="N61" s="1405"/>
      <c r="O61" s="1405"/>
      <c r="P61" s="1405"/>
      <c r="Q61" s="1405"/>
      <c r="R61" s="1405"/>
      <c r="S61" s="1405"/>
      <c r="X61" s="1405"/>
      <c r="Y61" s="1405"/>
      <c r="Z61" s="1405"/>
      <c r="AA61" s="1405"/>
      <c r="AB61" s="1405"/>
    </row>
    <row r="62" spans="1:28" x14ac:dyDescent="0.25">
      <c r="A62" s="1405"/>
      <c r="B62" s="1405"/>
      <c r="C62" s="1405"/>
      <c r="D62" s="1405"/>
      <c r="E62" s="1405"/>
      <c r="F62" s="1405"/>
      <c r="G62" s="1405"/>
      <c r="H62" s="1405"/>
      <c r="I62" s="1405"/>
      <c r="J62" s="1405"/>
      <c r="K62" s="1405"/>
      <c r="L62" s="1405"/>
      <c r="M62" s="1405"/>
      <c r="N62" s="1405"/>
      <c r="O62" s="1405"/>
      <c r="P62" s="1405"/>
      <c r="Q62" s="1405"/>
      <c r="R62" s="1405"/>
      <c r="S62" s="1405"/>
      <c r="X62" s="1405"/>
      <c r="Y62" s="1405"/>
      <c r="Z62" s="1405"/>
      <c r="AA62" s="1405"/>
      <c r="AB62" s="1405"/>
    </row>
    <row r="63" spans="1:28" x14ac:dyDescent="0.25">
      <c r="A63" s="1405"/>
      <c r="B63" s="1405"/>
      <c r="C63" s="1405"/>
      <c r="D63" s="1405"/>
      <c r="E63" s="1405"/>
      <c r="F63" s="1405"/>
      <c r="G63" s="1405"/>
      <c r="H63" s="1405"/>
      <c r="I63" s="1405"/>
      <c r="J63" s="1405"/>
      <c r="K63" s="1405"/>
      <c r="L63" s="1405"/>
      <c r="M63" s="1405"/>
      <c r="N63" s="1405"/>
      <c r="O63" s="1405"/>
      <c r="P63" s="1405"/>
      <c r="Q63" s="1405"/>
      <c r="R63" s="1405"/>
      <c r="S63" s="1405"/>
      <c r="X63" s="1405"/>
      <c r="Y63" s="1405"/>
      <c r="Z63" s="1405"/>
      <c r="AA63" s="1405"/>
      <c r="AB63" s="1405"/>
    </row>
  </sheetData>
  <sheetProtection password="BCD8" sheet="1" objects="1" scenarios="1"/>
  <phoneticPr fontId="124" type="noConversion"/>
  <pageMargins left="0.24" right="0.24" top="0.42" bottom="0.6" header="0.25" footer="0.36"/>
  <pageSetup paperSize="9" scale="96" fitToHeight="2" orientation="portrait" blackAndWhite="1"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goto_advanced">
                <anchor moveWithCells="1" sizeWithCells="1">
                  <from>
                    <xdr:col>9</xdr:col>
                    <xdr:colOff>393700</xdr:colOff>
                    <xdr:row>0</xdr:row>
                    <xdr:rowOff>120650</xdr:rowOff>
                  </from>
                  <to>
                    <xdr:col>11</xdr:col>
                    <xdr:colOff>203200</xdr:colOff>
                    <xdr:row>2</xdr:row>
                    <xdr:rowOff>63500</xdr:rowOff>
                  </to>
                </anchor>
              </controlPr>
            </control>
          </mc:Choice>
        </mc:AlternateContent>
        <mc:AlternateContent xmlns:mc="http://schemas.openxmlformats.org/markup-compatibility/2006">
          <mc:Choice Requires="x14">
            <control shapeId="74754" r:id="rId5" name="Button 2">
              <controlPr defaultSize="0" print="0" autoFill="0" autoPict="0" macro="[0]!PrintThis">
                <anchor moveWithCells="1" sizeWithCells="1">
                  <from>
                    <xdr:col>11</xdr:col>
                    <xdr:colOff>203200</xdr:colOff>
                    <xdr:row>0</xdr:row>
                    <xdr:rowOff>120650</xdr:rowOff>
                  </from>
                  <to>
                    <xdr:col>13</xdr:col>
                    <xdr:colOff>273050</xdr:colOff>
                    <xdr:row>2</xdr:row>
                    <xdr:rowOff>63500</xdr:rowOff>
                  </to>
                </anchor>
              </controlPr>
            </control>
          </mc:Choice>
        </mc:AlternateContent>
        <mc:AlternateContent xmlns:mc="http://schemas.openxmlformats.org/markup-compatibility/2006">
          <mc:Choice Requires="x14">
            <control shapeId="74755" r:id="rId6" name="Button 3">
              <controlPr defaultSize="0" print="0" autoFill="0" autoPict="0" macro="[0]!goto_home">
                <anchor moveWithCells="1" sizeWithCells="1">
                  <from>
                    <xdr:col>0</xdr:col>
                    <xdr:colOff>63500</xdr:colOff>
                    <xdr:row>0</xdr:row>
                    <xdr:rowOff>63500</xdr:rowOff>
                  </from>
                  <to>
                    <xdr:col>0</xdr:col>
                    <xdr:colOff>692150</xdr:colOff>
                    <xdr:row>2</xdr:row>
                    <xdr:rowOff>139700</xdr:rowOff>
                  </to>
                </anchor>
              </controlPr>
            </control>
          </mc:Choice>
        </mc:AlternateContent>
        <mc:AlternateContent xmlns:mc="http://schemas.openxmlformats.org/markup-compatibility/2006">
          <mc:Choice Requires="x14">
            <control shapeId="74756" r:id="rId7" name="showmorebut1">
              <controlPr defaultSize="0" print="0" autoFill="0" autoPict="0" macro="[0]!show_more">
                <anchor moveWithCells="1" sizeWithCells="1">
                  <from>
                    <xdr:col>0</xdr:col>
                    <xdr:colOff>139700</xdr:colOff>
                    <xdr:row>13</xdr:row>
                    <xdr:rowOff>107950</xdr:rowOff>
                  </from>
                  <to>
                    <xdr:col>0</xdr:col>
                    <xdr:colOff>768350</xdr:colOff>
                    <xdr:row>17</xdr:row>
                    <xdr:rowOff>25400</xdr:rowOff>
                  </to>
                </anchor>
              </controlPr>
            </control>
          </mc:Choice>
        </mc:AlternateContent>
        <mc:AlternateContent xmlns:mc="http://schemas.openxmlformats.org/markup-compatibility/2006">
          <mc:Choice Requires="x14">
            <control shapeId="74757" r:id="rId8" name="showmorebut2">
              <controlPr defaultSize="0" print="0" autoFill="0" autoPict="0" macro="[0]!show_more">
                <anchor moveWithCells="1" sizeWithCells="1">
                  <from>
                    <xdr:col>0</xdr:col>
                    <xdr:colOff>139700</xdr:colOff>
                    <xdr:row>27</xdr:row>
                    <xdr:rowOff>76200</xdr:rowOff>
                  </from>
                  <to>
                    <xdr:col>0</xdr:col>
                    <xdr:colOff>768350</xdr:colOff>
                    <xdr:row>30</xdr:row>
                    <xdr:rowOff>158750</xdr:rowOff>
                  </to>
                </anchor>
              </controlPr>
            </control>
          </mc:Choice>
        </mc:AlternateContent>
        <mc:AlternateContent xmlns:mc="http://schemas.openxmlformats.org/markup-compatibility/2006">
          <mc:Choice Requires="x14">
            <control shapeId="74758" r:id="rId9" name="showmorebut3">
              <controlPr defaultSize="0" print="0" autoFill="0" autoPict="0" macro="[0]!show_more">
                <anchor moveWithCells="1" sizeWithCells="1">
                  <from>
                    <xdr:col>0</xdr:col>
                    <xdr:colOff>146050</xdr:colOff>
                    <xdr:row>41</xdr:row>
                    <xdr:rowOff>25400</xdr:rowOff>
                  </from>
                  <to>
                    <xdr:col>0</xdr:col>
                    <xdr:colOff>774700</xdr:colOff>
                    <xdr:row>44</xdr:row>
                    <xdr:rowOff>101600</xdr:rowOff>
                  </to>
                </anchor>
              </controlPr>
            </control>
          </mc:Choice>
        </mc:AlternateContent>
        <mc:AlternateContent xmlns:mc="http://schemas.openxmlformats.org/markup-compatibility/2006">
          <mc:Choice Requires="x14">
            <control shapeId="74766" r:id="rId10" name="Button 14">
              <controlPr defaultSize="0" print="0" autoFill="0" autoPict="0" macro="[0]!copy_as_excel">
                <anchor moveWithCells="1" sizeWithCells="1">
                  <from>
                    <xdr:col>23</xdr:col>
                    <xdr:colOff>127000</xdr:colOff>
                    <xdr:row>2</xdr:row>
                    <xdr:rowOff>190500</xdr:rowOff>
                  </from>
                  <to>
                    <xdr:col>23</xdr:col>
                    <xdr:colOff>812800</xdr:colOff>
                    <xdr:row>4</xdr:row>
                    <xdr:rowOff>88900</xdr:rowOff>
                  </to>
                </anchor>
              </controlPr>
            </control>
          </mc:Choice>
        </mc:AlternateContent>
        <mc:AlternateContent xmlns:mc="http://schemas.openxmlformats.org/markup-compatibility/2006">
          <mc:Choice Requires="x14">
            <control shapeId="74767" r:id="rId11" name="Button 15">
              <controlPr defaultSize="0" print="0" autoFill="0" autoPict="0" macro="[0]!pdflauncher">
                <anchor moveWithCells="1" sizeWithCells="1">
                  <from>
                    <xdr:col>23</xdr:col>
                    <xdr:colOff>825500</xdr:colOff>
                    <xdr:row>2</xdr:row>
                    <xdr:rowOff>190500</xdr:rowOff>
                  </from>
                  <to>
                    <xdr:col>23</xdr:col>
                    <xdr:colOff>1511300</xdr:colOff>
                    <xdr:row>4</xdr:row>
                    <xdr:rowOff>88900</xdr:rowOff>
                  </to>
                </anchor>
              </controlPr>
            </control>
          </mc:Choice>
        </mc:AlternateContent>
        <mc:AlternateContent xmlns:mc="http://schemas.openxmlformats.org/markup-compatibility/2006">
          <mc:Choice Requires="x14">
            <control shapeId="74768" r:id="rId12" name="Button 16">
              <controlPr defaultSize="0" print="0" autoFill="0" autoPict="0" macro="[0]!openfolder">
                <anchor moveWithCells="1" sizeWithCells="1">
                  <from>
                    <xdr:col>23</xdr:col>
                    <xdr:colOff>1517650</xdr:colOff>
                    <xdr:row>2</xdr:row>
                    <xdr:rowOff>190500</xdr:rowOff>
                  </from>
                  <to>
                    <xdr:col>23</xdr:col>
                    <xdr:colOff>2051050</xdr:colOff>
                    <xdr:row>4</xdr:row>
                    <xdr:rowOff>88900</xdr:rowOff>
                  </to>
                </anchor>
              </controlPr>
            </control>
          </mc:Choice>
        </mc:AlternateContent>
        <mc:AlternateContent xmlns:mc="http://schemas.openxmlformats.org/markup-compatibility/2006">
          <mc:Choice Requires="x14">
            <control shapeId="74769" r:id="rId13" name="Button 17">
              <controlPr defaultSize="0" print="0" autoFill="0" autoPict="0" macro="[0]!goto_folder_settings">
                <anchor moveWithCells="1" sizeWithCells="1">
                  <from>
                    <xdr:col>23</xdr:col>
                    <xdr:colOff>2057400</xdr:colOff>
                    <xdr:row>2</xdr:row>
                    <xdr:rowOff>190500</xdr:rowOff>
                  </from>
                  <to>
                    <xdr:col>24</xdr:col>
                    <xdr:colOff>196850</xdr:colOff>
                    <xdr:row>4</xdr:row>
                    <xdr:rowOff>88900</xdr:rowOff>
                  </to>
                </anchor>
              </controlPr>
            </control>
          </mc:Choice>
        </mc:AlternateContent>
        <mc:AlternateContent xmlns:mc="http://schemas.openxmlformats.org/markup-compatibility/2006">
          <mc:Choice Requires="x14">
            <control shapeId="74770" r:id="rId14" name="Button 18">
              <controlPr defaultSize="0" print="0" autoFill="0" autoPict="0" macro="[0]!email_pdf_launch">
                <anchor moveWithCells="1" sizeWithCells="1">
                  <from>
                    <xdr:col>23</xdr:col>
                    <xdr:colOff>965200</xdr:colOff>
                    <xdr:row>1</xdr:row>
                    <xdr:rowOff>82550</xdr:rowOff>
                  </from>
                  <to>
                    <xdr:col>23</xdr:col>
                    <xdr:colOff>1651000</xdr:colOff>
                    <xdr:row>2</xdr:row>
                    <xdr:rowOff>184150</xdr:rowOff>
                  </to>
                </anchor>
              </controlPr>
            </control>
          </mc:Choice>
        </mc:AlternateContent>
        <mc:AlternateContent xmlns:mc="http://schemas.openxmlformats.org/markup-compatibility/2006">
          <mc:Choice Requires="x14">
            <control shapeId="74771" r:id="rId15" name="Button 19">
              <controlPr defaultSize="0" print="0" autoFill="0" autoPict="0" macro="[0]!email_copy_as_excel">
                <anchor moveWithCells="1" sizeWithCells="1">
                  <from>
                    <xdr:col>23</xdr:col>
                    <xdr:colOff>127000</xdr:colOff>
                    <xdr:row>1</xdr:row>
                    <xdr:rowOff>82550</xdr:rowOff>
                  </from>
                  <to>
                    <xdr:col>23</xdr:col>
                    <xdr:colOff>958850</xdr:colOff>
                    <xdr:row>2</xdr:row>
                    <xdr:rowOff>184150</xdr:rowOff>
                  </to>
                </anchor>
              </controlPr>
            </control>
          </mc:Choice>
        </mc:AlternateContent>
        <mc:AlternateContent xmlns:mc="http://schemas.openxmlformats.org/markup-compatibility/2006">
          <mc:Choice Requires="x14">
            <control shapeId="74772" r:id="rId16" name="Button 20">
              <controlPr defaultSize="0" print="0" autoFill="0" autoPict="0" macro="[0]!emailsettings">
                <anchor moveWithCells="1" sizeWithCells="1">
                  <from>
                    <xdr:col>23</xdr:col>
                    <xdr:colOff>1670050</xdr:colOff>
                    <xdr:row>1</xdr:row>
                    <xdr:rowOff>82550</xdr:rowOff>
                  </from>
                  <to>
                    <xdr:col>24</xdr:col>
                    <xdr:colOff>196850</xdr:colOff>
                    <xdr:row>2</xdr:row>
                    <xdr:rowOff>184150</xdr:rowOff>
                  </to>
                </anchor>
              </controlPr>
            </control>
          </mc:Choice>
        </mc:AlternateContent>
        <mc:AlternateContent xmlns:mc="http://schemas.openxmlformats.org/markup-compatibility/2006">
          <mc:Choice Requires="x14">
            <control shapeId="74773" r:id="rId17" name="globalbacktobutton">
              <controlPr defaultSize="0" print="0" autoFill="0" autoPict="0" macro="[0]!backto">
                <anchor moveWithCells="1" sizeWithCells="1">
                  <from>
                    <xdr:col>23</xdr:col>
                    <xdr:colOff>177800</xdr:colOff>
                    <xdr:row>6</xdr:row>
                    <xdr:rowOff>152400</xdr:rowOff>
                  </from>
                  <to>
                    <xdr:col>23</xdr:col>
                    <xdr:colOff>800100</xdr:colOff>
                    <xdr:row>9</xdr:row>
                    <xdr:rowOff>107950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E2B2D-4D8F-46CF-A644-6B42435E4F7B}">
  <sheetPr codeName="Sheet19"/>
  <dimension ref="A3:AS80"/>
  <sheetViews>
    <sheetView workbookViewId="0"/>
  </sheetViews>
  <sheetFormatPr defaultRowHeight="14.5" x14ac:dyDescent="0.35"/>
  <cols>
    <col min="1" max="1" width="25.36328125" customWidth="1"/>
    <col min="2" max="2" width="12.08984375" hidden="1" customWidth="1"/>
    <col min="3" max="3" width="8.90625" hidden="1" customWidth="1"/>
    <col min="4" max="4" width="15.90625" hidden="1" customWidth="1"/>
    <col min="5" max="5" width="15.36328125" hidden="1" customWidth="1"/>
    <col min="6" max="6" width="16.453125" hidden="1" customWidth="1"/>
    <col min="7" max="7" width="14.54296875" hidden="1" customWidth="1"/>
    <col min="8" max="8" width="8.90625" hidden="1" customWidth="1"/>
    <col min="9" max="9" width="13.36328125" hidden="1" customWidth="1"/>
    <col min="10" max="10" width="14.90625" hidden="1" customWidth="1"/>
    <col min="11" max="11" width="11.08984375" hidden="1" customWidth="1"/>
    <col min="12" max="12" width="16.08984375" hidden="1" customWidth="1"/>
    <col min="13" max="13" width="17.54296875" hidden="1" customWidth="1"/>
    <col min="14" max="14" width="14.54296875" hidden="1" customWidth="1"/>
    <col min="15" max="15" width="11.453125" hidden="1" customWidth="1"/>
    <col min="16" max="16" width="16.90625" hidden="1" customWidth="1"/>
    <col min="17" max="17" width="13.08984375" hidden="1" customWidth="1"/>
    <col min="18" max="18" width="13.36328125" hidden="1" customWidth="1"/>
    <col min="19" max="19" width="13.54296875" hidden="1" customWidth="1"/>
    <col min="20" max="21" width="8.90625" hidden="1" customWidth="1"/>
    <col min="22" max="22" width="14.08984375" hidden="1" customWidth="1"/>
    <col min="23" max="23" width="12.90625" hidden="1" customWidth="1"/>
    <col min="24" max="24" width="8.90625" hidden="1" customWidth="1"/>
    <col min="25" max="25" width="11.90625" hidden="1" customWidth="1"/>
    <col min="26" max="26" width="8.90625" hidden="1" customWidth="1"/>
    <col min="27" max="27" width="12.08984375" hidden="1" customWidth="1"/>
    <col min="28" max="30" width="8.90625" hidden="1" customWidth="1"/>
    <col min="31" max="31" width="11" hidden="1" customWidth="1"/>
    <col min="32" max="32" width="14" hidden="1" customWidth="1"/>
    <col min="33" max="36" width="8.90625" hidden="1" customWidth="1"/>
    <col min="37" max="37" width="15" hidden="1" customWidth="1"/>
    <col min="38" max="41" width="8.90625" hidden="1" customWidth="1"/>
    <col min="42" max="42" width="13.54296875" hidden="1" customWidth="1"/>
    <col min="43" max="45" width="8.90625" hidden="1" customWidth="1"/>
  </cols>
  <sheetData>
    <row r="3" spans="1:21" ht="15.5" x14ac:dyDescent="0.35">
      <c r="B3" s="172"/>
      <c r="C3" s="1011" t="s">
        <v>658</v>
      </c>
      <c r="D3" s="984"/>
      <c r="E3" s="984"/>
      <c r="F3" s="984"/>
      <c r="G3" s="984"/>
      <c r="I3" s="984"/>
      <c r="J3" s="984"/>
      <c r="K3" s="984"/>
      <c r="M3" s="984"/>
      <c r="N3" s="984"/>
      <c r="O3" s="984"/>
      <c r="P3" s="984"/>
      <c r="R3" s="984" t="s">
        <v>866</v>
      </c>
      <c r="S3" s="984"/>
      <c r="T3" s="984"/>
      <c r="U3" s="984"/>
    </row>
    <row r="4" spans="1:21" x14ac:dyDescent="0.35">
      <c r="C4" t="s">
        <v>270</v>
      </c>
      <c r="D4" s="5" t="s">
        <v>656</v>
      </c>
      <c r="E4" s="5" t="s">
        <v>308</v>
      </c>
      <c r="F4" s="5" t="s">
        <v>657</v>
      </c>
      <c r="G4" s="5" t="s">
        <v>317</v>
      </c>
      <c r="I4" s="995" t="s">
        <v>523</v>
      </c>
      <c r="M4" s="991" t="s">
        <v>509</v>
      </c>
      <c r="N4" s="29" t="s">
        <v>510</v>
      </c>
      <c r="O4" s="29" t="s">
        <v>537</v>
      </c>
      <c r="P4" s="29" t="s">
        <v>538</v>
      </c>
      <c r="Q4" s="5"/>
      <c r="R4" s="7"/>
      <c r="S4" s="7" t="str">
        <f>E4</f>
        <v>rv</v>
      </c>
      <c r="T4" s="7" t="str">
        <f>F4</f>
        <v>perc</v>
      </c>
      <c r="U4" s="7" t="str">
        <f>G4</f>
        <v>empty</v>
      </c>
    </row>
    <row r="5" spans="1:21" x14ac:dyDescent="0.35">
      <c r="A5" s="503" t="s">
        <v>511</v>
      </c>
      <c r="B5" s="6">
        <f>text!$C$53+1</f>
        <v>46113</v>
      </c>
      <c r="C5">
        <v>0</v>
      </c>
      <c r="D5" s="13">
        <f>IF(OR(advanced!H69=0,advanced!H69=""),$B$5,advanced!H69)</f>
        <v>45017</v>
      </c>
      <c r="E5" s="27">
        <f>advanced!I69</f>
        <v>0</v>
      </c>
      <c r="F5" s="989">
        <f>advanced!J69</f>
        <v>1</v>
      </c>
      <c r="G5" s="5" t="str">
        <f>advanced!K69</f>
        <v>n</v>
      </c>
      <c r="I5" t="s">
        <v>516</v>
      </c>
      <c r="J5" t="s">
        <v>520</v>
      </c>
      <c r="L5">
        <f t="shared" ref="L5:L17" si="0">C6</f>
        <v>1</v>
      </c>
      <c r="M5" s="13">
        <f>SMALL(($D$6:$D$18),L5)</f>
        <v>46113</v>
      </c>
      <c r="N5" s="992">
        <f>IF(M5=0,$B$5,M5)</f>
        <v>46113</v>
      </c>
      <c r="O5" s="992">
        <f t="shared" ref="O5:O17" si="1">SMALL($N$5:$N$17,L5)</f>
        <v>46113</v>
      </c>
      <c r="P5" s="992">
        <f>O5</f>
        <v>46113</v>
      </c>
      <c r="Q5" s="5"/>
      <c r="R5" s="1024">
        <f>D18</f>
        <v>46114</v>
      </c>
      <c r="S5" s="7" t="str">
        <f>VLOOKUP(R5,D5:G16,2,TRUE)</f>
        <v/>
      </c>
      <c r="T5" s="7">
        <f>VLOOKUP(R5,D5:G16,3,TRUE)</f>
        <v>1</v>
      </c>
      <c r="U5" s="7" t="str">
        <f>VLOOKUP(R5,D5:G16,4,TRUE)</f>
        <v>n</v>
      </c>
    </row>
    <row r="6" spans="1:21" x14ac:dyDescent="0.35">
      <c r="B6" s="28" t="s">
        <v>515</v>
      </c>
      <c r="C6">
        <v>1</v>
      </c>
      <c r="D6" s="13">
        <f>IF(OR(advanced!H70=0,advanced!H70=""),$B$5,advanced!H70)</f>
        <v>46113</v>
      </c>
      <c r="E6" s="27" t="str">
        <f>advanced!I70</f>
        <v/>
      </c>
      <c r="F6" s="989">
        <f>advanced!J70</f>
        <v>1</v>
      </c>
      <c r="G6" s="5" t="str">
        <f>advanced!K70</f>
        <v>n</v>
      </c>
      <c r="I6" t="s">
        <v>517</v>
      </c>
      <c r="J6" t="s">
        <v>524</v>
      </c>
      <c r="L6">
        <f t="shared" si="0"/>
        <v>2</v>
      </c>
      <c r="M6" s="13">
        <f t="shared" ref="M6:M17" si="2">SMALL(($D$6:$D$18),L6)</f>
        <v>46113</v>
      </c>
      <c r="N6" s="992">
        <f t="shared" ref="N6:N17" si="3">IF(M6=0,$B$5,M6)</f>
        <v>46113</v>
      </c>
      <c r="O6" s="992">
        <f t="shared" si="1"/>
        <v>46113</v>
      </c>
      <c r="P6" s="992">
        <f>IF(OR(O6=P5,O6=P4,O6=G20),$B$5,O6)</f>
        <v>46113</v>
      </c>
      <c r="Q6" s="5"/>
    </row>
    <row r="7" spans="1:21" x14ac:dyDescent="0.35">
      <c r="B7" s="28" t="s">
        <v>515</v>
      </c>
      <c r="C7">
        <v>2</v>
      </c>
      <c r="D7" s="13">
        <f>IF(OR(advanced!H71=0,advanced!H71=""),$B$5,advanced!H71)</f>
        <v>46113</v>
      </c>
      <c r="E7" s="27" t="str">
        <f>advanced!I71</f>
        <v/>
      </c>
      <c r="F7" s="989">
        <f>advanced!J71</f>
        <v>1</v>
      </c>
      <c r="G7" s="5" t="str">
        <f>advanced!K71</f>
        <v>n</v>
      </c>
      <c r="I7" t="s">
        <v>518</v>
      </c>
      <c r="J7" t="s">
        <v>525</v>
      </c>
      <c r="L7">
        <f t="shared" si="0"/>
        <v>3</v>
      </c>
      <c r="M7" s="13">
        <f t="shared" si="2"/>
        <v>46113</v>
      </c>
      <c r="N7" s="992">
        <f t="shared" si="3"/>
        <v>46113</v>
      </c>
      <c r="O7" s="992">
        <f t="shared" si="1"/>
        <v>46113</v>
      </c>
      <c r="P7" s="992">
        <f t="shared" ref="P7:P17" si="4">IF(OR(O7=P6,O7=P5,O7=P4),$B$5,O7)</f>
        <v>46113</v>
      </c>
      <c r="Q7" s="5"/>
      <c r="R7" s="984" t="s">
        <v>867</v>
      </c>
      <c r="S7" s="984"/>
      <c r="T7" s="984"/>
      <c r="U7" s="984"/>
    </row>
    <row r="8" spans="1:21" x14ac:dyDescent="0.35">
      <c r="B8" s="28" t="s">
        <v>515</v>
      </c>
      <c r="C8">
        <v>3</v>
      </c>
      <c r="D8" s="13">
        <f>IF(OR(advanced!H72=0,advanced!H72=""),$B$5,advanced!H72)</f>
        <v>46113</v>
      </c>
      <c r="E8" s="27" t="str">
        <f>advanced!I72</f>
        <v/>
      </c>
      <c r="F8" s="989">
        <f>advanced!J72</f>
        <v>1</v>
      </c>
      <c r="G8" s="5" t="str">
        <f>advanced!K72</f>
        <v>n</v>
      </c>
      <c r="I8" t="s">
        <v>519</v>
      </c>
      <c r="J8" t="s">
        <v>526</v>
      </c>
      <c r="L8">
        <f t="shared" si="0"/>
        <v>4</v>
      </c>
      <c r="M8" s="13">
        <f t="shared" si="2"/>
        <v>46113</v>
      </c>
      <c r="N8" s="992">
        <f t="shared" si="3"/>
        <v>46113</v>
      </c>
      <c r="O8" s="992">
        <f t="shared" si="1"/>
        <v>46113</v>
      </c>
      <c r="P8" s="992">
        <f t="shared" si="4"/>
        <v>46113</v>
      </c>
      <c r="Q8" s="5"/>
      <c r="R8" s="7"/>
      <c r="S8" s="7" t="str">
        <f>S4</f>
        <v>rv</v>
      </c>
      <c r="T8" s="7" t="str">
        <f>T4</f>
        <v>perc</v>
      </c>
      <c r="U8" s="7" t="str">
        <f>U4</f>
        <v>empty</v>
      </c>
    </row>
    <row r="9" spans="1:21" x14ac:dyDescent="0.35">
      <c r="B9" s="28" t="s">
        <v>515</v>
      </c>
      <c r="C9">
        <v>4</v>
      </c>
      <c r="D9" s="13">
        <f>IF(OR(advanced!H73=0,advanced!H73=""),$B$5,advanced!H73)</f>
        <v>46113</v>
      </c>
      <c r="E9" s="27" t="str">
        <f>advanced!I73</f>
        <v/>
      </c>
      <c r="F9" s="989">
        <f>advanced!J73</f>
        <v>1</v>
      </c>
      <c r="G9" s="5" t="str">
        <f>advanced!K73</f>
        <v>n</v>
      </c>
      <c r="L9">
        <f t="shared" si="0"/>
        <v>5</v>
      </c>
      <c r="M9" s="13">
        <f t="shared" si="2"/>
        <v>46113</v>
      </c>
      <c r="N9" s="992">
        <f t="shared" si="3"/>
        <v>46113</v>
      </c>
      <c r="O9" s="992">
        <f t="shared" si="1"/>
        <v>46113</v>
      </c>
      <c r="P9" s="992">
        <f t="shared" si="4"/>
        <v>46113</v>
      </c>
      <c r="Q9" s="5"/>
      <c r="R9" s="1024">
        <f>D17</f>
        <v>46114</v>
      </c>
      <c r="S9" s="7" t="str">
        <f>VLOOKUP(R5,D5:G16,2,TRUE)</f>
        <v/>
      </c>
      <c r="T9" s="7">
        <f>VLOOKUP(R5,D5:G16,3,TRUE)</f>
        <v>1</v>
      </c>
      <c r="U9" s="7" t="str">
        <f>VLOOKUP(R5,D5:G16,4,TRUE)</f>
        <v>n</v>
      </c>
    </row>
    <row r="10" spans="1:21" x14ac:dyDescent="0.35">
      <c r="B10" s="28" t="s">
        <v>515</v>
      </c>
      <c r="C10">
        <v>5</v>
      </c>
      <c r="D10" s="13">
        <f>IF(OR(advanced!H74=0,advanced!H74=""),$B$5,advanced!H74)</f>
        <v>46113</v>
      </c>
      <c r="E10" s="27" t="str">
        <f>advanced!I74</f>
        <v/>
      </c>
      <c r="F10" s="989">
        <f>advanced!J74</f>
        <v>1</v>
      </c>
      <c r="G10" s="5" t="str">
        <f>advanced!K74</f>
        <v>n</v>
      </c>
      <c r="I10" s="995" t="s">
        <v>536</v>
      </c>
      <c r="L10">
        <f t="shared" si="0"/>
        <v>6</v>
      </c>
      <c r="M10" s="13">
        <f t="shared" si="2"/>
        <v>46113</v>
      </c>
      <c r="N10" s="992">
        <f t="shared" si="3"/>
        <v>46113</v>
      </c>
      <c r="O10" s="992">
        <f t="shared" si="1"/>
        <v>46113</v>
      </c>
      <c r="P10" s="992">
        <f t="shared" si="4"/>
        <v>46113</v>
      </c>
      <c r="Q10" s="5"/>
    </row>
    <row r="11" spans="1:21" x14ac:dyDescent="0.35">
      <c r="B11" s="28" t="s">
        <v>515</v>
      </c>
      <c r="C11">
        <v>6</v>
      </c>
      <c r="D11" s="13">
        <f>IF(OR(advanced!H75=0,advanced!H75=""),$B$5,advanced!H75)</f>
        <v>46113</v>
      </c>
      <c r="E11" s="27" t="str">
        <f>advanced!I75</f>
        <v/>
      </c>
      <c r="F11" s="989">
        <f>advanced!J75</f>
        <v>1</v>
      </c>
      <c r="G11" s="5" t="str">
        <f>advanced!K75</f>
        <v>n</v>
      </c>
      <c r="I11" t="s">
        <v>849</v>
      </c>
      <c r="J11" t="s">
        <v>1218</v>
      </c>
      <c r="L11">
        <f t="shared" si="0"/>
        <v>7</v>
      </c>
      <c r="M11" s="13">
        <f t="shared" si="2"/>
        <v>46113</v>
      </c>
      <c r="N11" s="992">
        <f t="shared" si="3"/>
        <v>46113</v>
      </c>
      <c r="O11" s="992">
        <f t="shared" si="1"/>
        <v>46113</v>
      </c>
      <c r="P11" s="992">
        <f t="shared" si="4"/>
        <v>46113</v>
      </c>
      <c r="Q11" s="5"/>
    </row>
    <row r="12" spans="1:21" x14ac:dyDescent="0.35">
      <c r="B12" s="28" t="s">
        <v>515</v>
      </c>
      <c r="C12">
        <v>7</v>
      </c>
      <c r="D12" s="13">
        <f>IF(OR(advanced!H76=0,advanced!H76=""),$B$5,advanced!H76)</f>
        <v>46113</v>
      </c>
      <c r="E12" s="27" t="str">
        <f>advanced!I76</f>
        <v/>
      </c>
      <c r="F12" s="989">
        <f>advanced!J76</f>
        <v>1</v>
      </c>
      <c r="G12" s="5" t="str">
        <f>advanced!K76</f>
        <v>n</v>
      </c>
      <c r="I12" t="s">
        <v>850</v>
      </c>
      <c r="J12" t="s">
        <v>1219</v>
      </c>
      <c r="L12">
        <f t="shared" si="0"/>
        <v>8</v>
      </c>
      <c r="M12" s="13">
        <f t="shared" si="2"/>
        <v>46113</v>
      </c>
      <c r="N12" s="992">
        <f t="shared" si="3"/>
        <v>46113</v>
      </c>
      <c r="O12" s="992">
        <f t="shared" si="1"/>
        <v>46113</v>
      </c>
      <c r="P12" s="992">
        <f t="shared" si="4"/>
        <v>46113</v>
      </c>
      <c r="Q12" s="5"/>
    </row>
    <row r="13" spans="1:21" x14ac:dyDescent="0.35">
      <c r="B13" s="28" t="s">
        <v>515</v>
      </c>
      <c r="C13">
        <v>8</v>
      </c>
      <c r="D13" s="13">
        <f>IF(OR(advanced!H77=0,advanced!H77=""),$B$5,advanced!H77)</f>
        <v>46113</v>
      </c>
      <c r="E13" s="27" t="str">
        <f>advanced!I77</f>
        <v/>
      </c>
      <c r="F13" s="989">
        <f>advanced!J77</f>
        <v>1</v>
      </c>
      <c r="G13" s="5" t="str">
        <f>advanced!K77</f>
        <v>n</v>
      </c>
      <c r="I13" t="s">
        <v>251</v>
      </c>
      <c r="J13" t="s">
        <v>528</v>
      </c>
      <c r="L13">
        <f t="shared" si="0"/>
        <v>9</v>
      </c>
      <c r="M13" s="13">
        <f t="shared" si="2"/>
        <v>46113</v>
      </c>
      <c r="N13" s="992">
        <f t="shared" si="3"/>
        <v>46113</v>
      </c>
      <c r="O13" s="992">
        <f t="shared" si="1"/>
        <v>46113</v>
      </c>
      <c r="P13" s="992">
        <f t="shared" si="4"/>
        <v>46113</v>
      </c>
      <c r="Q13" s="5"/>
    </row>
    <row r="14" spans="1:21" x14ac:dyDescent="0.35">
      <c r="B14" s="28" t="s">
        <v>515</v>
      </c>
      <c r="C14">
        <v>9</v>
      </c>
      <c r="D14" s="13">
        <f>IF(OR(advanced!H78=0,advanced!H78=""),$B$5,advanced!H78)</f>
        <v>46113</v>
      </c>
      <c r="E14" s="27" t="str">
        <f>advanced!I78</f>
        <v/>
      </c>
      <c r="F14" s="989">
        <f>advanced!J78</f>
        <v>1</v>
      </c>
      <c r="G14" s="5" t="str">
        <f>advanced!K78</f>
        <v>n</v>
      </c>
      <c r="I14" t="s">
        <v>267</v>
      </c>
      <c r="J14" t="s">
        <v>529</v>
      </c>
      <c r="L14">
        <f t="shared" si="0"/>
        <v>10</v>
      </c>
      <c r="M14" s="13">
        <f t="shared" si="2"/>
        <v>46113</v>
      </c>
      <c r="N14" s="992">
        <f t="shared" si="3"/>
        <v>46113</v>
      </c>
      <c r="O14" s="992">
        <f t="shared" si="1"/>
        <v>46113</v>
      </c>
      <c r="P14" s="992">
        <f t="shared" si="4"/>
        <v>46113</v>
      </c>
      <c r="Q14" s="5"/>
    </row>
    <row r="15" spans="1:21" x14ac:dyDescent="0.35">
      <c r="B15" s="28" t="s">
        <v>515</v>
      </c>
      <c r="C15">
        <v>10</v>
      </c>
      <c r="D15" s="13">
        <f>IF(OR(advanced!H79=0,advanced!H79=""),$B$5,advanced!H79)</f>
        <v>46113</v>
      </c>
      <c r="E15" s="27" t="str">
        <f>advanced!I79</f>
        <v/>
      </c>
      <c r="F15" s="989">
        <f>advanced!J79</f>
        <v>1</v>
      </c>
      <c r="G15" s="5" t="str">
        <f>advanced!K79</f>
        <v>n</v>
      </c>
      <c r="I15" t="s">
        <v>527</v>
      </c>
      <c r="J15" t="s">
        <v>530</v>
      </c>
      <c r="L15">
        <f t="shared" si="0"/>
        <v>11</v>
      </c>
      <c r="M15" s="13">
        <f t="shared" si="2"/>
        <v>46113</v>
      </c>
      <c r="N15" s="992">
        <f t="shared" si="3"/>
        <v>46113</v>
      </c>
      <c r="O15" s="992">
        <f t="shared" si="1"/>
        <v>46113</v>
      </c>
      <c r="P15" s="992">
        <f t="shared" si="4"/>
        <v>46113</v>
      </c>
      <c r="Q15" s="5"/>
    </row>
    <row r="16" spans="1:21" x14ac:dyDescent="0.35">
      <c r="B16" s="28" t="s">
        <v>515</v>
      </c>
      <c r="C16">
        <v>11</v>
      </c>
      <c r="D16" s="13">
        <f>IF(OR(advanced!H80=0,advanced!H80=""),$B$5,advanced!H80)</f>
        <v>46113</v>
      </c>
      <c r="E16" s="27" t="str">
        <f>advanced!I80</f>
        <v/>
      </c>
      <c r="F16" s="989">
        <f>advanced!J80</f>
        <v>1</v>
      </c>
      <c r="G16" s="5" t="str">
        <f>advanced!K80</f>
        <v>n</v>
      </c>
      <c r="L16">
        <f t="shared" si="0"/>
        <v>12</v>
      </c>
      <c r="M16" s="13">
        <f t="shared" si="2"/>
        <v>46114</v>
      </c>
      <c r="N16" s="992">
        <f t="shared" si="3"/>
        <v>46114</v>
      </c>
      <c r="O16" s="992">
        <f t="shared" si="1"/>
        <v>46114</v>
      </c>
      <c r="P16" s="992">
        <f t="shared" si="4"/>
        <v>46114</v>
      </c>
      <c r="Q16" s="5"/>
    </row>
    <row r="17" spans="1:45" x14ac:dyDescent="0.35">
      <c r="B17" s="28" t="s">
        <v>513</v>
      </c>
      <c r="C17">
        <v>12</v>
      </c>
      <c r="D17" s="13">
        <f>IF(OR(advanced!I37="",advanced!I37=0),B5+1,advanced!I37)</f>
        <v>46114</v>
      </c>
      <c r="E17" s="27" t="str">
        <f>S9</f>
        <v/>
      </c>
      <c r="F17" s="989">
        <f>T9</f>
        <v>1</v>
      </c>
      <c r="G17" s="5" t="str">
        <f>U9</f>
        <v>n</v>
      </c>
      <c r="L17">
        <f t="shared" si="0"/>
        <v>13</v>
      </c>
      <c r="M17" s="13">
        <f t="shared" si="2"/>
        <v>46114</v>
      </c>
      <c r="N17" s="992">
        <f t="shared" si="3"/>
        <v>46114</v>
      </c>
      <c r="O17" s="992">
        <f t="shared" si="1"/>
        <v>46114</v>
      </c>
      <c r="P17" s="992">
        <f t="shared" si="4"/>
        <v>46113</v>
      </c>
      <c r="Q17" s="5"/>
    </row>
    <row r="18" spans="1:45" x14ac:dyDescent="0.35">
      <c r="B18" s="28" t="s">
        <v>512</v>
      </c>
      <c r="C18">
        <v>13</v>
      </c>
      <c r="D18" s="13">
        <f>IF(OR(advanced!I45="",advanced!I45=0),B5+1,advanced!I45)</f>
        <v>46114</v>
      </c>
      <c r="E18" s="27" t="str">
        <f>S5</f>
        <v/>
      </c>
      <c r="F18" s="989">
        <f>T5</f>
        <v>1</v>
      </c>
      <c r="G18" s="5" t="str">
        <f>U5</f>
        <v>n</v>
      </c>
    </row>
    <row r="19" spans="1:45" x14ac:dyDescent="0.35">
      <c r="B19" s="28" t="s">
        <v>514</v>
      </c>
      <c r="C19" s="28" t="s">
        <v>2396</v>
      </c>
      <c r="D19" s="13">
        <f>B5</f>
        <v>46113</v>
      </c>
      <c r="E19" s="27"/>
      <c r="F19" s="5"/>
      <c r="G19" s="5"/>
    </row>
    <row r="20" spans="1:45" x14ac:dyDescent="0.35">
      <c r="C20" s="28"/>
      <c r="D20" s="13"/>
      <c r="E20" s="5"/>
      <c r="F20" s="27"/>
      <c r="G20" s="5"/>
      <c r="H20" s="5"/>
      <c r="P20" s="982" t="s">
        <v>606</v>
      </c>
      <c r="Q20" s="5"/>
      <c r="R20" s="5"/>
      <c r="S20" s="5"/>
      <c r="U20" s="1012" t="s">
        <v>606</v>
      </c>
      <c r="V20" s="5"/>
      <c r="Z20" s="1013" t="s">
        <v>606</v>
      </c>
      <c r="AE20" s="1014" t="s">
        <v>606</v>
      </c>
      <c r="AJ20" s="1015" t="s">
        <v>606</v>
      </c>
      <c r="AO20" s="1012" t="s">
        <v>606</v>
      </c>
      <c r="AP20" s="13"/>
    </row>
    <row r="21" spans="1:45" x14ac:dyDescent="0.35">
      <c r="B21" s="7" t="s">
        <v>533</v>
      </c>
      <c r="C21" s="993">
        <f>advanced!I41</f>
        <v>0</v>
      </c>
      <c r="D21" s="993">
        <f>advanced!I36</f>
        <v>0</v>
      </c>
      <c r="E21" s="5"/>
      <c r="F21" s="5"/>
      <c r="G21" s="5"/>
      <c r="H21" s="5"/>
      <c r="J21" s="5">
        <v>1</v>
      </c>
      <c r="K21" s="5">
        <v>2</v>
      </c>
      <c r="L21" s="5">
        <v>3</v>
      </c>
      <c r="M21" s="5">
        <v>4</v>
      </c>
      <c r="N21" s="5">
        <v>5</v>
      </c>
      <c r="O21" s="5">
        <v>6</v>
      </c>
      <c r="P21" s="1016">
        <f>MAX(P23:P36)</f>
        <v>1</v>
      </c>
      <c r="Q21" s="1016"/>
      <c r="R21" s="2291"/>
      <c r="S21" s="1016"/>
      <c r="T21" s="984"/>
      <c r="U21" s="1017">
        <f>MAX(U23:U36)</f>
        <v>0</v>
      </c>
      <c r="V21" s="1017"/>
      <c r="W21" s="2291"/>
      <c r="X21" s="1017"/>
      <c r="Y21" s="1018"/>
      <c r="Z21" s="1019">
        <f>MAX(Z23:Z36)</f>
        <v>0</v>
      </c>
      <c r="AA21" s="1019"/>
      <c r="AB21" s="2291"/>
      <c r="AC21" s="1019"/>
      <c r="AD21" s="996"/>
      <c r="AE21" s="1020">
        <f>MAX(AE23:AE36)</f>
        <v>12</v>
      </c>
      <c r="AF21" s="1020"/>
      <c r="AG21" s="2291"/>
      <c r="AH21" s="1020"/>
      <c r="AI21" s="1021"/>
      <c r="AJ21" s="1022">
        <f>MAX(AJ23:AJ36)</f>
        <v>0</v>
      </c>
      <c r="AK21" s="1022"/>
      <c r="AL21" s="2291"/>
      <c r="AM21" s="1022"/>
      <c r="AN21" s="580"/>
      <c r="AO21" s="1017">
        <f>MAX(AO23:AO36)</f>
        <v>0</v>
      </c>
      <c r="AP21" s="13"/>
      <c r="AQ21" s="2291"/>
    </row>
    <row r="22" spans="1:45" x14ac:dyDescent="0.35">
      <c r="B22" t="s">
        <v>659</v>
      </c>
      <c r="C22" s="7" t="s">
        <v>531</v>
      </c>
      <c r="D22" s="7" t="s">
        <v>532</v>
      </c>
      <c r="E22" s="5" t="s">
        <v>272</v>
      </c>
      <c r="F22" s="5" t="s">
        <v>534</v>
      </c>
      <c r="G22" s="5" t="str">
        <f>F4</f>
        <v>perc</v>
      </c>
      <c r="H22" s="5" t="str">
        <f>G4</f>
        <v>empty</v>
      </c>
      <c r="I22" s="5" t="s">
        <v>660</v>
      </c>
      <c r="J22" s="5" t="s">
        <v>597</v>
      </c>
      <c r="K22" s="5" t="s">
        <v>598</v>
      </c>
      <c r="L22" s="5" t="s">
        <v>599</v>
      </c>
      <c r="M22" s="5" t="s">
        <v>603</v>
      </c>
      <c r="N22" s="5" t="s">
        <v>604</v>
      </c>
      <c r="O22" s="5" t="s">
        <v>605</v>
      </c>
      <c r="P22" s="1016" t="s">
        <v>607</v>
      </c>
      <c r="Q22" s="1016" t="s">
        <v>608</v>
      </c>
      <c r="R22" s="1016" t="s">
        <v>609</v>
      </c>
      <c r="S22" s="1016" t="s">
        <v>610</v>
      </c>
      <c r="T22" s="1016" t="s">
        <v>611</v>
      </c>
      <c r="U22" s="1017" t="s">
        <v>612</v>
      </c>
      <c r="V22" s="1017" t="s">
        <v>613</v>
      </c>
      <c r="W22" s="1017" t="s">
        <v>614</v>
      </c>
      <c r="X22" s="1017" t="s">
        <v>615</v>
      </c>
      <c r="Y22" s="1017" t="s">
        <v>616</v>
      </c>
      <c r="Z22" s="1019" t="s">
        <v>617</v>
      </c>
      <c r="AA22" s="1019" t="s">
        <v>618</v>
      </c>
      <c r="AB22" s="1019" t="s">
        <v>619</v>
      </c>
      <c r="AC22" s="1019" t="s">
        <v>620</v>
      </c>
      <c r="AD22" s="1019" t="s">
        <v>621</v>
      </c>
      <c r="AE22" s="1020" t="s">
        <v>622</v>
      </c>
      <c r="AF22" s="1020" t="s">
        <v>623</v>
      </c>
      <c r="AG22" s="1020" t="s">
        <v>624</v>
      </c>
      <c r="AH22" s="1020" t="s">
        <v>625</v>
      </c>
      <c r="AI22" s="1020" t="s">
        <v>626</v>
      </c>
      <c r="AJ22" s="1022" t="s">
        <v>627</v>
      </c>
      <c r="AK22" s="1022" t="s">
        <v>628</v>
      </c>
      <c r="AL22" s="1022" t="s">
        <v>629</v>
      </c>
      <c r="AM22" s="1022" t="s">
        <v>630</v>
      </c>
      <c r="AN22" s="1022" t="s">
        <v>631</v>
      </c>
      <c r="AO22" s="1017" t="s">
        <v>632</v>
      </c>
      <c r="AP22" s="1017" t="s">
        <v>633</v>
      </c>
      <c r="AQ22" s="1017" t="s">
        <v>634</v>
      </c>
      <c r="AR22" s="1017" t="s">
        <v>635</v>
      </c>
      <c r="AS22" s="1017" t="s">
        <v>636</v>
      </c>
    </row>
    <row r="23" spans="1:45" x14ac:dyDescent="0.35">
      <c r="A23" t="s">
        <v>535</v>
      </c>
      <c r="B23" s="1">
        <f>D5</f>
        <v>45017</v>
      </c>
      <c r="C23" s="992" t="str">
        <f>IF(OR($C$21="",$C$21=0,$D$18=0),"n",IF(LOOKUP(advanced!$I$45,$B$23:$B$36)=B23,"b","n"))</f>
        <v>n</v>
      </c>
      <c r="D23" s="992" t="str">
        <f>IF(OR($D$21="",$D$21=0,D17=0),"n",IF(LOOKUP(advanced!I37,$B$23:$B$36)=B23,"c","n"))</f>
        <v>n</v>
      </c>
      <c r="E23" s="27">
        <f t="array" ref="E23">IF(VLOOKUP(B23,$D$5:$G$18,2,FALSE)="","",VLOOKUP(B23,$D$5:$G$18,2,FALSE)-IF(OR($B$39:$B$48=B23)=TRUE,VLOOKUP(B23,$B$39:$E$48,4,FALSE),0))</f>
        <v>0</v>
      </c>
      <c r="F23" s="992" t="str">
        <f>C23&amp;D23</f>
        <v>nn</v>
      </c>
      <c r="G23" s="5">
        <f>VLOOKUP(B23,$D$5:$G$18,3,FALSE)</f>
        <v>1</v>
      </c>
      <c r="H23" s="5" t="str">
        <f>VLOOKUP(B23,$D$5:$G$18,4,FALSE)</f>
        <v>n</v>
      </c>
      <c r="I23" s="5">
        <f>VLOOKUP(B23,data!$B$13:$D$20,3,TRUE)</f>
        <v>1</v>
      </c>
      <c r="J23" s="5">
        <f t="shared" ref="J23:O23" si="5">IF($I23=J$21,1,0)</f>
        <v>1</v>
      </c>
      <c r="K23" s="5">
        <f t="shared" si="5"/>
        <v>0</v>
      </c>
      <c r="L23" s="5">
        <f t="shared" si="5"/>
        <v>0</v>
      </c>
      <c r="M23" s="5">
        <f t="shared" si="5"/>
        <v>0</v>
      </c>
      <c r="N23" s="5">
        <f t="shared" si="5"/>
        <v>0</v>
      </c>
      <c r="O23" s="5">
        <f t="shared" si="5"/>
        <v>0</v>
      </c>
      <c r="P23" s="5">
        <f>J23</f>
        <v>1</v>
      </c>
      <c r="Q23" s="13">
        <f t="shared" ref="Q23:Q36" si="6">IF(J23=1,B23,"")</f>
        <v>45017</v>
      </c>
      <c r="R23" s="5">
        <f>IF(R39&lt;0,0,R39)</f>
        <v>0</v>
      </c>
      <c r="S23" s="989">
        <f>G23</f>
        <v>1</v>
      </c>
      <c r="T23" s="989" t="str">
        <f>H23</f>
        <v>n</v>
      </c>
      <c r="U23" s="5">
        <f>K23</f>
        <v>0</v>
      </c>
      <c r="V23" s="13" t="str">
        <f>IF(K23=1,B23,"")</f>
        <v/>
      </c>
      <c r="W23" s="5" t="str">
        <f>IF(W39&lt;0,0,W39)</f>
        <v/>
      </c>
      <c r="X23" s="989" t="str">
        <f>IF(K23=1,VLOOKUP($B23,$D$5:$G$18,3,FALSE),"")</f>
        <v/>
      </c>
      <c r="Y23" s="989" t="str">
        <f>IF(K23=1,VLOOKUP($B23,$D$5:$G$18,4,FALSE),"")</f>
        <v/>
      </c>
      <c r="Z23" s="5">
        <f>L23</f>
        <v>0</v>
      </c>
      <c r="AA23" s="13" t="str">
        <f>IF(L23=1,$B23,"")</f>
        <v/>
      </c>
      <c r="AB23" s="5" t="str">
        <f>IF(AB39&lt;0,0,AB39)</f>
        <v/>
      </c>
      <c r="AC23" s="989" t="str">
        <f>IF(L23=1,VLOOKUP($B23,$D$5:$G$18,3,FALSE),"")</f>
        <v/>
      </c>
      <c r="AD23" s="989" t="str">
        <f>IF(L23=1,VLOOKUP($B23,$D$5:$G$18,4,FALSE),"")</f>
        <v/>
      </c>
      <c r="AE23" s="5">
        <f>M23</f>
        <v>0</v>
      </c>
      <c r="AF23" s="13" t="str">
        <f>IF(M23=1,$B23,"")</f>
        <v/>
      </c>
      <c r="AG23" s="5" t="str">
        <f>IF(AG39&lt;0,0,AG39)</f>
        <v/>
      </c>
      <c r="AH23" s="989" t="str">
        <f>IF(M23=1,VLOOKUP($B23,$D$5:$G$18,3,FALSE),"")</f>
        <v/>
      </c>
      <c r="AI23" s="989" t="str">
        <f>IF(M23=1,VLOOKUP($B23,$D$5:$G$18,4,FALSE),"")</f>
        <v/>
      </c>
      <c r="AJ23" s="5">
        <f>N23</f>
        <v>0</v>
      </c>
      <c r="AK23" s="13" t="str">
        <f>IF(N23=1,$B23,"")</f>
        <v/>
      </c>
      <c r="AL23" s="5" t="str">
        <f>IF(AL39&lt;0,0,AL39)</f>
        <v/>
      </c>
      <c r="AM23" s="989" t="str">
        <f>IF(N23=1,VLOOKUP($B23,$D$5:$G$18,3,FALSE),"")</f>
        <v/>
      </c>
      <c r="AN23" s="989" t="str">
        <f>IF(N23=1,VLOOKUP($B23,$D$5:$G$18,4,FALSE),"")</f>
        <v/>
      </c>
      <c r="AO23" s="5">
        <f>O23</f>
        <v>0</v>
      </c>
      <c r="AP23" s="13" t="str">
        <f>IF(O23=1,$B23,"")</f>
        <v/>
      </c>
      <c r="AQ23" s="5" t="str">
        <f>IF(AQ39&lt;0,0,AQ39)</f>
        <v/>
      </c>
      <c r="AR23" s="989" t="str">
        <f>IF(O23=1,VLOOKUP($B23,$D$5:$G$18,3,FALSE),"")</f>
        <v/>
      </c>
      <c r="AS23" s="989" t="str">
        <f>IF(O23=1,VLOOKUP($B23,$D$5:$G$18,4,FALSE),"")</f>
        <v/>
      </c>
    </row>
    <row r="24" spans="1:45" x14ac:dyDescent="0.35">
      <c r="A24">
        <v>1</v>
      </c>
      <c r="B24" s="1">
        <f t="shared" ref="B24:B36" si="7">SMALL($P$5:$P$17,A24)</f>
        <v>46113</v>
      </c>
      <c r="C24" s="992" t="str">
        <f>IF(OR($C$21="",$C$21=0,$D$18=0),"n",IF(C23="b","b",IF(LOOKUP(advanced!$I$45,$B$23:$B$36)=B24,"b","n")))</f>
        <v>n</v>
      </c>
      <c r="D24" s="992" t="str">
        <f>IF(OR($D$21="",$D$21=0,$D$17=0),"n",IF(D23="c","c",IF(LOOKUP(advanced!$I$37,$B$23:$B$36)=B24,"c","n")))</f>
        <v>n</v>
      </c>
      <c r="E24" s="27" t="str">
        <f t="array" ref="E24">IF(VLOOKUP(B24,$D$5:$G$18,2,FALSE)="","",VLOOKUP(B24,$D$5:$G$18,2,FALSE)-IF(OR($B$39:$B$48=B24)=TRUE,VLOOKUP(B24,$B$39:$E$48,4,FALSE),0))</f>
        <v/>
      </c>
      <c r="F24" s="992" t="str">
        <f t="shared" ref="F24:F35" si="8">C24&amp;D24</f>
        <v>nn</v>
      </c>
      <c r="G24" s="5">
        <f t="shared" ref="G24:G35" si="9">VLOOKUP(B24,$D$5:$G$18,3,FALSE)</f>
        <v>1</v>
      </c>
      <c r="H24" s="5" t="str">
        <f t="shared" ref="H24:H35" si="10">VLOOKUP(B24,$D$5:$G$18,4,FALSE)</f>
        <v>n</v>
      </c>
      <c r="I24" s="5">
        <f>VLOOKUP(B24,data!$B$13:$D$20,3,TRUE)</f>
        <v>4</v>
      </c>
      <c r="J24" s="5">
        <f t="shared" ref="J24:O35" si="11">IF($I24=J$21,1,0)</f>
        <v>0</v>
      </c>
      <c r="K24" s="5">
        <f t="shared" si="11"/>
        <v>0</v>
      </c>
      <c r="L24" s="5">
        <f t="shared" si="11"/>
        <v>0</v>
      </c>
      <c r="M24" s="5">
        <f t="shared" si="11"/>
        <v>1</v>
      </c>
      <c r="N24" s="5">
        <f t="shared" si="11"/>
        <v>0</v>
      </c>
      <c r="O24" s="5">
        <f t="shared" si="11"/>
        <v>0</v>
      </c>
      <c r="P24" s="1023" t="str">
        <f>IF(J24=1,SUM(J$23:J24),"")</f>
        <v/>
      </c>
      <c r="Q24" s="13" t="str">
        <f t="shared" si="6"/>
        <v/>
      </c>
      <c r="R24" s="5" t="str">
        <f t="shared" ref="R24:R35" si="12">IF(R40&lt;0,0,R40)</f>
        <v/>
      </c>
      <c r="S24" s="989" t="str">
        <f>IF(J24=1,VLOOKUP($B24,$D$5:$G$18,3,FALSE),"")</f>
        <v/>
      </c>
      <c r="T24" s="989" t="str">
        <f>IF(J24=1,VLOOKUP($B24,$D$5:$G$18,4,FALSE),"")</f>
        <v/>
      </c>
      <c r="U24" s="1023" t="str">
        <f>IF(K24=1,SUM(K$23:K24),"")</f>
        <v/>
      </c>
      <c r="V24" s="13" t="str">
        <f t="shared" ref="V24:V35" si="13">IF(K24=1,B24,"")</f>
        <v/>
      </c>
      <c r="W24" s="5" t="str">
        <f t="shared" ref="W24:W35" si="14">IF(W40&lt;0,0,W40)</f>
        <v/>
      </c>
      <c r="X24" s="989" t="str">
        <f t="shared" ref="X24:X35" si="15">IF(K24=1,VLOOKUP($B24,$D$5:$G$18,3,FALSE),"")</f>
        <v/>
      </c>
      <c r="Y24" s="989" t="str">
        <f t="shared" ref="Y24:Y35" si="16">IF(K24=1,VLOOKUP($B24,$D$5:$G$18,4,FALSE),"")</f>
        <v/>
      </c>
      <c r="Z24" s="1023" t="str">
        <f>IF(L24=1,SUM(L$23:L24),"")</f>
        <v/>
      </c>
      <c r="AA24" s="13" t="str">
        <f>IF(L24=1,$B24,"")</f>
        <v/>
      </c>
      <c r="AB24" s="5" t="str">
        <f t="shared" ref="AB24:AB35" si="17">IF(AB40&lt;0,0,AB40)</f>
        <v/>
      </c>
      <c r="AC24" s="989" t="str">
        <f t="shared" ref="AC24:AC35" si="18">IF(L24=1,VLOOKUP($B24,$D$5:$G$18,3,FALSE),"")</f>
        <v/>
      </c>
      <c r="AD24" s="989" t="str">
        <f t="shared" ref="AD24:AD35" si="19">IF(L24=1,VLOOKUP($B24,$D$5:$G$18,4,FALSE),"")</f>
        <v/>
      </c>
      <c r="AE24" s="1023">
        <f>IF(M24=1,SUM(M$23:M24),"")</f>
        <v>1</v>
      </c>
      <c r="AF24" s="13">
        <f t="shared" ref="AF24:AF35" si="20">IF(M24=1,$B24,"")</f>
        <v>46113</v>
      </c>
      <c r="AG24" s="5" t="str">
        <f t="shared" ref="AG24:AG35" si="21">IF(AG40&lt;0,0,AG40)</f>
        <v/>
      </c>
      <c r="AH24" s="989">
        <f t="shared" ref="AH24:AH35" si="22">IF(M24=1,VLOOKUP($B24,$D$5:$G$18,3,FALSE),"")</f>
        <v>1</v>
      </c>
      <c r="AI24" s="989" t="str">
        <f t="shared" ref="AI24:AI35" si="23">IF(M24=1,VLOOKUP($B24,$D$5:$G$18,4,FALSE),"")</f>
        <v>n</v>
      </c>
      <c r="AJ24" s="1023" t="str">
        <f>IF(N24=1,SUM(N$23:N24),"")</f>
        <v/>
      </c>
      <c r="AK24" s="13" t="str">
        <f t="shared" ref="AK24:AK35" si="24">IF(N24=1,$B24,"")</f>
        <v/>
      </c>
      <c r="AL24" s="5" t="str">
        <f t="shared" ref="AL24:AL35" si="25">IF(AL40&lt;0,0,AL40)</f>
        <v/>
      </c>
      <c r="AM24" s="989" t="str">
        <f t="shared" ref="AM24:AM35" si="26">IF(N24=1,VLOOKUP($B24,$D$5:$G$18,3,FALSE),"")</f>
        <v/>
      </c>
      <c r="AN24" s="989" t="str">
        <f t="shared" ref="AN24:AN35" si="27">IF(N24=1,VLOOKUP($B24,$D$5:$G$18,4,FALSE),"")</f>
        <v/>
      </c>
      <c r="AO24" s="1023" t="str">
        <f>IF(O24=1,SUM(O$23:O24),"")</f>
        <v/>
      </c>
      <c r="AP24" s="13" t="str">
        <f t="shared" ref="AP24:AP35" si="28">IF(O24=1,$B24,"")</f>
        <v/>
      </c>
      <c r="AQ24" s="5" t="str">
        <f t="shared" ref="AQ24:AQ35" si="29">IF(AQ40&lt;0,0,AQ40)</f>
        <v/>
      </c>
      <c r="AR24" s="989" t="str">
        <f t="shared" ref="AR24:AR35" si="30">IF(O24=1,VLOOKUP($B24,$D$5:$G$18,3,FALSE),"")</f>
        <v/>
      </c>
      <c r="AS24" s="989" t="str">
        <f t="shared" ref="AS24:AS35" si="31">IF(O24=1,VLOOKUP($B24,$D$5:$G$18,4,FALSE),"")</f>
        <v/>
      </c>
    </row>
    <row r="25" spans="1:45" x14ac:dyDescent="0.35">
      <c r="A25">
        <v>2</v>
      </c>
      <c r="B25" s="1">
        <f t="shared" si="7"/>
        <v>46113</v>
      </c>
      <c r="C25" s="992" t="str">
        <f>IF(OR($C$21="",$C$21=0,$D$18=0),"n",IF(C24="b","b",IF(LOOKUP(advanced!$I$45,$B$23:$B$36)=B25,"b","n")))</f>
        <v>n</v>
      </c>
      <c r="D25" s="992" t="str">
        <f>IF(OR($D$21="",$D$21=0,$D$17=0),"n",IF(D24="c","c",IF(LOOKUP(advanced!$I$37,$B$23:$B$36)=B25,"c","n")))</f>
        <v>n</v>
      </c>
      <c r="E25" s="27" t="str">
        <f t="array" ref="E25">IF(VLOOKUP(B25,$D$5:$G$18,2,FALSE)="","",VLOOKUP(B25,$D$5:$G$18,2,FALSE)-IF(OR($B$39:$B$48=B25)=TRUE,VLOOKUP(B25,$B$39:$E$48,4,FALSE),0))</f>
        <v/>
      </c>
      <c r="F25" s="992" t="str">
        <f t="shared" si="8"/>
        <v>nn</v>
      </c>
      <c r="G25" s="5">
        <f t="shared" si="9"/>
        <v>1</v>
      </c>
      <c r="H25" s="5" t="str">
        <f t="shared" si="10"/>
        <v>n</v>
      </c>
      <c r="I25" s="5">
        <f>VLOOKUP(B25,data!$B$13:$D$20,3,TRUE)</f>
        <v>4</v>
      </c>
      <c r="J25" s="5">
        <f t="shared" si="11"/>
        <v>0</v>
      </c>
      <c r="K25" s="5">
        <f t="shared" si="11"/>
        <v>0</v>
      </c>
      <c r="L25" s="5">
        <f t="shared" si="11"/>
        <v>0</v>
      </c>
      <c r="M25" s="5">
        <f t="shared" si="11"/>
        <v>1</v>
      </c>
      <c r="N25" s="5">
        <f t="shared" si="11"/>
        <v>0</v>
      </c>
      <c r="O25" s="5">
        <f t="shared" si="11"/>
        <v>0</v>
      </c>
      <c r="P25" s="1023" t="str">
        <f>IF(J25=1,SUM(J$23:J25),"")</f>
        <v/>
      </c>
      <c r="Q25" s="13" t="str">
        <f t="shared" si="6"/>
        <v/>
      </c>
      <c r="R25" s="5" t="str">
        <f t="shared" si="12"/>
        <v/>
      </c>
      <c r="S25" s="989" t="str">
        <f t="shared" ref="S25:S35" si="32">IF(J25=1,VLOOKUP($B25,$D$5:$G$18,3,FALSE),"")</f>
        <v/>
      </c>
      <c r="T25" s="989" t="str">
        <f t="shared" ref="T25:T35" si="33">IF(J25=1,VLOOKUP($B25,$D$5:$G$18,4,FALSE),"")</f>
        <v/>
      </c>
      <c r="U25" s="1023" t="str">
        <f>IF(K25=1,SUM(K$23:K25),"")</f>
        <v/>
      </c>
      <c r="V25" s="13" t="str">
        <f t="shared" si="13"/>
        <v/>
      </c>
      <c r="W25" s="5" t="str">
        <f t="shared" si="14"/>
        <v/>
      </c>
      <c r="X25" s="989" t="str">
        <f t="shared" si="15"/>
        <v/>
      </c>
      <c r="Y25" s="989" t="str">
        <f t="shared" si="16"/>
        <v/>
      </c>
      <c r="Z25" s="1023" t="str">
        <f>IF(L25=1,SUM(L$23:L25),"")</f>
        <v/>
      </c>
      <c r="AA25" s="13" t="str">
        <f t="shared" ref="AA25:AA35" si="34">IF(L25=1,$B25,"")</f>
        <v/>
      </c>
      <c r="AB25" s="5" t="str">
        <f t="shared" si="17"/>
        <v/>
      </c>
      <c r="AC25" s="989" t="str">
        <f t="shared" si="18"/>
        <v/>
      </c>
      <c r="AD25" s="989" t="str">
        <f t="shared" si="19"/>
        <v/>
      </c>
      <c r="AE25" s="1023">
        <f>IF(M25=1,SUM(M$23:M25),"")</f>
        <v>2</v>
      </c>
      <c r="AF25" s="13">
        <f t="shared" si="20"/>
        <v>46113</v>
      </c>
      <c r="AG25" s="5" t="str">
        <f t="shared" si="21"/>
        <v/>
      </c>
      <c r="AH25" s="989">
        <f t="shared" si="22"/>
        <v>1</v>
      </c>
      <c r="AI25" s="989" t="str">
        <f t="shared" si="23"/>
        <v>n</v>
      </c>
      <c r="AJ25" s="1023" t="str">
        <f>IF(N25=1,SUM(N$23:N25),"")</f>
        <v/>
      </c>
      <c r="AK25" s="13" t="str">
        <f t="shared" si="24"/>
        <v/>
      </c>
      <c r="AL25" s="5" t="str">
        <f t="shared" si="25"/>
        <v/>
      </c>
      <c r="AM25" s="989" t="str">
        <f t="shared" si="26"/>
        <v/>
      </c>
      <c r="AN25" s="989" t="str">
        <f t="shared" si="27"/>
        <v/>
      </c>
      <c r="AO25" s="1023" t="str">
        <f>IF(O25=1,SUM(O$23:O25),"")</f>
        <v/>
      </c>
      <c r="AP25" s="13" t="str">
        <f t="shared" si="28"/>
        <v/>
      </c>
      <c r="AQ25" s="5" t="str">
        <f t="shared" si="29"/>
        <v/>
      </c>
      <c r="AR25" s="989" t="str">
        <f t="shared" si="30"/>
        <v/>
      </c>
      <c r="AS25" s="989" t="str">
        <f t="shared" si="31"/>
        <v/>
      </c>
    </row>
    <row r="26" spans="1:45" x14ac:dyDescent="0.35">
      <c r="A26">
        <v>3</v>
      </c>
      <c r="B26" s="1">
        <f t="shared" si="7"/>
        <v>46113</v>
      </c>
      <c r="C26" s="992" t="str">
        <f>IF(OR($C$21="",$C$21=0,$D$18=0),"n",IF(C25="b","b",IF(LOOKUP(advanced!$I$45,$B$23:$B$36)=B26,"b","n")))</f>
        <v>n</v>
      </c>
      <c r="D26" s="992" t="str">
        <f>IF(OR($D$21="",$D$21=0,$D$17=0),"n",IF(D25="c","c",IF(LOOKUP(advanced!$I$37,$B$23:$B$36)=B26,"c","n")))</f>
        <v>n</v>
      </c>
      <c r="E26" s="27" t="str">
        <f t="array" ref="E26">IF(VLOOKUP(B26,$D$5:$G$18,2,FALSE)="","",VLOOKUP(B26,$D$5:$G$18,2,FALSE)-IF(OR($B$39:$B$48=B26)=TRUE,VLOOKUP(B26,$B$39:$E$48,4,FALSE),0))</f>
        <v/>
      </c>
      <c r="F26" s="992" t="str">
        <f t="shared" si="8"/>
        <v>nn</v>
      </c>
      <c r="G26" s="5">
        <f t="shared" si="9"/>
        <v>1</v>
      </c>
      <c r="H26" s="5" t="str">
        <f t="shared" si="10"/>
        <v>n</v>
      </c>
      <c r="I26" s="5">
        <f>VLOOKUP(B26,data!$B$13:$D$20,3,TRUE)</f>
        <v>4</v>
      </c>
      <c r="J26" s="5">
        <f t="shared" si="11"/>
        <v>0</v>
      </c>
      <c r="K26" s="5">
        <f t="shared" si="11"/>
        <v>0</v>
      </c>
      <c r="L26" s="5">
        <f t="shared" si="11"/>
        <v>0</v>
      </c>
      <c r="M26" s="5">
        <f t="shared" si="11"/>
        <v>1</v>
      </c>
      <c r="N26" s="5">
        <f t="shared" si="11"/>
        <v>0</v>
      </c>
      <c r="O26" s="5">
        <f t="shared" si="11"/>
        <v>0</v>
      </c>
      <c r="P26" s="1023" t="str">
        <f>IF(J26=1,SUM(J$23:J26),"")</f>
        <v/>
      </c>
      <c r="Q26" s="13" t="str">
        <f t="shared" si="6"/>
        <v/>
      </c>
      <c r="R26" s="5" t="str">
        <f t="shared" si="12"/>
        <v/>
      </c>
      <c r="S26" s="989" t="str">
        <f t="shared" si="32"/>
        <v/>
      </c>
      <c r="T26" s="989" t="str">
        <f t="shared" si="33"/>
        <v/>
      </c>
      <c r="U26" s="1023" t="str">
        <f>IF(K26=1,SUM(K$23:K26),"")</f>
        <v/>
      </c>
      <c r="V26" s="13" t="str">
        <f t="shared" si="13"/>
        <v/>
      </c>
      <c r="W26" s="5" t="str">
        <f t="shared" si="14"/>
        <v/>
      </c>
      <c r="X26" s="989" t="str">
        <f t="shared" si="15"/>
        <v/>
      </c>
      <c r="Y26" s="989" t="str">
        <f t="shared" si="16"/>
        <v/>
      </c>
      <c r="Z26" s="1023" t="str">
        <f>IF(L26=1,SUM(L$23:L26),"")</f>
        <v/>
      </c>
      <c r="AA26" s="13" t="str">
        <f t="shared" si="34"/>
        <v/>
      </c>
      <c r="AB26" s="5" t="str">
        <f t="shared" si="17"/>
        <v/>
      </c>
      <c r="AC26" s="989" t="str">
        <f t="shared" si="18"/>
        <v/>
      </c>
      <c r="AD26" s="989" t="str">
        <f t="shared" si="19"/>
        <v/>
      </c>
      <c r="AE26" s="1023">
        <f>IF(M26=1,SUM(M$23:M26),"")</f>
        <v>3</v>
      </c>
      <c r="AF26" s="13">
        <f t="shared" si="20"/>
        <v>46113</v>
      </c>
      <c r="AG26" s="5" t="str">
        <f t="shared" si="21"/>
        <v/>
      </c>
      <c r="AH26" s="989">
        <f t="shared" si="22"/>
        <v>1</v>
      </c>
      <c r="AI26" s="989" t="str">
        <f t="shared" si="23"/>
        <v>n</v>
      </c>
      <c r="AJ26" s="1023" t="str">
        <f>IF(N26=1,SUM(N$23:N26),"")</f>
        <v/>
      </c>
      <c r="AK26" s="13" t="str">
        <f t="shared" si="24"/>
        <v/>
      </c>
      <c r="AL26" s="5" t="str">
        <f t="shared" si="25"/>
        <v/>
      </c>
      <c r="AM26" s="989" t="str">
        <f t="shared" si="26"/>
        <v/>
      </c>
      <c r="AN26" s="989" t="str">
        <f t="shared" si="27"/>
        <v/>
      </c>
      <c r="AO26" s="1023" t="str">
        <f>IF(O26=1,SUM(O$23:O26),"")</f>
        <v/>
      </c>
      <c r="AP26" s="13" t="str">
        <f t="shared" si="28"/>
        <v/>
      </c>
      <c r="AQ26" s="5" t="str">
        <f t="shared" si="29"/>
        <v/>
      </c>
      <c r="AR26" s="989" t="str">
        <f t="shared" si="30"/>
        <v/>
      </c>
      <c r="AS26" s="989" t="str">
        <f t="shared" si="31"/>
        <v/>
      </c>
    </row>
    <row r="27" spans="1:45" x14ac:dyDescent="0.35">
      <c r="A27">
        <v>4</v>
      </c>
      <c r="B27" s="1">
        <f t="shared" si="7"/>
        <v>46113</v>
      </c>
      <c r="C27" s="992" t="str">
        <f>IF(OR($C$21="",$C$21=0,$D$18=0),"n",IF(C26="b","b",IF(LOOKUP(advanced!$I$45,$B$23:$B$36)=B27,"b","n")))</f>
        <v>n</v>
      </c>
      <c r="D27" s="992" t="str">
        <f>IF(OR($D$21="",$D$21=0,$D$17=0),"n",IF(D26="c","c",IF(LOOKUP(advanced!$I$37,$B$23:$B$36)=B27,"c","n")))</f>
        <v>n</v>
      </c>
      <c r="E27" s="27" t="str">
        <f t="array" ref="E27">IF(VLOOKUP(B27,$D$5:$G$18,2,FALSE)="","",VLOOKUP(B27,$D$5:$G$18,2,FALSE)-IF(OR($B$39:$B$48=B27)=TRUE,VLOOKUP(B27,$B$39:$E$48,4,FALSE),0))</f>
        <v/>
      </c>
      <c r="F27" s="992" t="str">
        <f t="shared" si="8"/>
        <v>nn</v>
      </c>
      <c r="G27" s="5">
        <f t="shared" si="9"/>
        <v>1</v>
      </c>
      <c r="H27" s="5" t="str">
        <f t="shared" si="10"/>
        <v>n</v>
      </c>
      <c r="I27" s="5">
        <f>VLOOKUP(B27,data!$B$13:$D$20,3,TRUE)</f>
        <v>4</v>
      </c>
      <c r="J27" s="5">
        <f t="shared" si="11"/>
        <v>0</v>
      </c>
      <c r="K27" s="5">
        <f t="shared" si="11"/>
        <v>0</v>
      </c>
      <c r="L27" s="5">
        <f t="shared" si="11"/>
        <v>0</v>
      </c>
      <c r="M27" s="5">
        <f t="shared" si="11"/>
        <v>1</v>
      </c>
      <c r="N27" s="5">
        <f t="shared" si="11"/>
        <v>0</v>
      </c>
      <c r="O27" s="5">
        <f t="shared" si="11"/>
        <v>0</v>
      </c>
      <c r="P27" s="1023" t="str">
        <f>IF(J27=1,SUM(J$23:J27),"")</f>
        <v/>
      </c>
      <c r="Q27" s="13" t="str">
        <f t="shared" si="6"/>
        <v/>
      </c>
      <c r="R27" s="5" t="str">
        <f t="shared" si="12"/>
        <v/>
      </c>
      <c r="S27" s="989" t="str">
        <f t="shared" si="32"/>
        <v/>
      </c>
      <c r="T27" s="989" t="str">
        <f t="shared" si="33"/>
        <v/>
      </c>
      <c r="U27" s="1023" t="str">
        <f>IF(K27=1,SUM(K$23:K27),"")</f>
        <v/>
      </c>
      <c r="V27" s="13" t="str">
        <f t="shared" si="13"/>
        <v/>
      </c>
      <c r="W27" s="5" t="str">
        <f t="shared" si="14"/>
        <v/>
      </c>
      <c r="X27" s="989" t="str">
        <f t="shared" si="15"/>
        <v/>
      </c>
      <c r="Y27" s="989" t="str">
        <f t="shared" si="16"/>
        <v/>
      </c>
      <c r="Z27" s="1023" t="str">
        <f>IF(L27=1,SUM(L$23:L27),"")</f>
        <v/>
      </c>
      <c r="AA27" s="13" t="str">
        <f t="shared" si="34"/>
        <v/>
      </c>
      <c r="AB27" s="5" t="str">
        <f t="shared" si="17"/>
        <v/>
      </c>
      <c r="AC27" s="989" t="str">
        <f t="shared" si="18"/>
        <v/>
      </c>
      <c r="AD27" s="989" t="str">
        <f t="shared" si="19"/>
        <v/>
      </c>
      <c r="AE27" s="1023">
        <f>IF(M27=1,SUM(M$23:M27),"")</f>
        <v>4</v>
      </c>
      <c r="AF27" s="13">
        <f t="shared" si="20"/>
        <v>46113</v>
      </c>
      <c r="AG27" s="5" t="str">
        <f t="shared" si="21"/>
        <v/>
      </c>
      <c r="AH27" s="989">
        <f t="shared" si="22"/>
        <v>1</v>
      </c>
      <c r="AI27" s="989" t="str">
        <f t="shared" si="23"/>
        <v>n</v>
      </c>
      <c r="AJ27" s="1023" t="str">
        <f>IF(N27=1,SUM(N$23:N27),"")</f>
        <v/>
      </c>
      <c r="AK27" s="13" t="str">
        <f t="shared" si="24"/>
        <v/>
      </c>
      <c r="AL27" s="5" t="str">
        <f t="shared" si="25"/>
        <v/>
      </c>
      <c r="AM27" s="989" t="str">
        <f t="shared" si="26"/>
        <v/>
      </c>
      <c r="AN27" s="989" t="str">
        <f t="shared" si="27"/>
        <v/>
      </c>
      <c r="AO27" s="1023" t="str">
        <f>IF(O27=1,SUM(O$23:O27),"")</f>
        <v/>
      </c>
      <c r="AP27" s="13" t="str">
        <f t="shared" si="28"/>
        <v/>
      </c>
      <c r="AQ27" s="5" t="str">
        <f t="shared" si="29"/>
        <v/>
      </c>
      <c r="AR27" s="989" t="str">
        <f t="shared" si="30"/>
        <v/>
      </c>
      <c r="AS27" s="989" t="str">
        <f t="shared" si="31"/>
        <v/>
      </c>
    </row>
    <row r="28" spans="1:45" x14ac:dyDescent="0.35">
      <c r="A28">
        <v>5</v>
      </c>
      <c r="B28" s="1">
        <f t="shared" si="7"/>
        <v>46113</v>
      </c>
      <c r="C28" s="992" t="str">
        <f>IF(OR($C$21="",$C$21=0,$D$18=0),"n",IF(C27="b","b",IF(LOOKUP(advanced!$I$45,$B$23:$B$36)=B28,"b","n")))</f>
        <v>n</v>
      </c>
      <c r="D28" s="992" t="str">
        <f>IF(OR($D$21="",$D$21=0,$D$17=0),"n",IF(D27="c","c",IF(LOOKUP(advanced!$I$37,$B$23:$B$36)=B28,"c","n")))</f>
        <v>n</v>
      </c>
      <c r="E28" s="27" t="str">
        <f t="array" ref="E28">IF(VLOOKUP(B28,$D$5:$G$18,2,FALSE)="","",VLOOKUP(B28,$D$5:$G$18,2,FALSE)-IF(OR($B$39:$B$48=B28)=TRUE,VLOOKUP(B28,$B$39:$E$48,4,FALSE),0))</f>
        <v/>
      </c>
      <c r="F28" s="992" t="str">
        <f t="shared" si="8"/>
        <v>nn</v>
      </c>
      <c r="G28" s="5">
        <f t="shared" si="9"/>
        <v>1</v>
      </c>
      <c r="H28" s="5" t="str">
        <f t="shared" si="10"/>
        <v>n</v>
      </c>
      <c r="I28" s="5">
        <f>VLOOKUP(B28,data!$B$13:$D$20,3,TRUE)</f>
        <v>4</v>
      </c>
      <c r="J28" s="5">
        <f t="shared" si="11"/>
        <v>0</v>
      </c>
      <c r="K28" s="5">
        <f t="shared" si="11"/>
        <v>0</v>
      </c>
      <c r="L28" s="5">
        <f t="shared" si="11"/>
        <v>0</v>
      </c>
      <c r="M28" s="5">
        <f t="shared" si="11"/>
        <v>1</v>
      </c>
      <c r="N28" s="5">
        <f t="shared" si="11"/>
        <v>0</v>
      </c>
      <c r="O28" s="5">
        <f t="shared" si="11"/>
        <v>0</v>
      </c>
      <c r="P28" s="1023" t="str">
        <f>IF(J28=1,SUM(J$23:J28),"")</f>
        <v/>
      </c>
      <c r="Q28" s="13" t="str">
        <f t="shared" si="6"/>
        <v/>
      </c>
      <c r="R28" s="5" t="str">
        <f t="shared" si="12"/>
        <v/>
      </c>
      <c r="S28" s="989" t="str">
        <f t="shared" si="32"/>
        <v/>
      </c>
      <c r="T28" s="989" t="str">
        <f t="shared" si="33"/>
        <v/>
      </c>
      <c r="U28" s="1023" t="str">
        <f>IF(K28=1,SUM(K$23:K28),"")</f>
        <v/>
      </c>
      <c r="V28" s="13" t="str">
        <f t="shared" si="13"/>
        <v/>
      </c>
      <c r="W28" s="5" t="str">
        <f t="shared" si="14"/>
        <v/>
      </c>
      <c r="X28" s="989" t="str">
        <f t="shared" si="15"/>
        <v/>
      </c>
      <c r="Y28" s="989" t="str">
        <f t="shared" si="16"/>
        <v/>
      </c>
      <c r="Z28" s="1023" t="str">
        <f>IF(L28=1,SUM(L$23:L28),"")</f>
        <v/>
      </c>
      <c r="AA28" s="13" t="str">
        <f t="shared" si="34"/>
        <v/>
      </c>
      <c r="AB28" s="5" t="str">
        <f t="shared" si="17"/>
        <v/>
      </c>
      <c r="AC28" s="989" t="str">
        <f t="shared" si="18"/>
        <v/>
      </c>
      <c r="AD28" s="989" t="str">
        <f t="shared" si="19"/>
        <v/>
      </c>
      <c r="AE28" s="1023">
        <f>IF(M28=1,SUM(M$23:M28),"")</f>
        <v>5</v>
      </c>
      <c r="AF28" s="13">
        <f t="shared" si="20"/>
        <v>46113</v>
      </c>
      <c r="AG28" s="5" t="str">
        <f t="shared" si="21"/>
        <v/>
      </c>
      <c r="AH28" s="989">
        <f t="shared" si="22"/>
        <v>1</v>
      </c>
      <c r="AI28" s="989" t="str">
        <f t="shared" si="23"/>
        <v>n</v>
      </c>
      <c r="AJ28" s="1023" t="str">
        <f>IF(N28=1,SUM(N$23:N28),"")</f>
        <v/>
      </c>
      <c r="AK28" s="13" t="str">
        <f t="shared" si="24"/>
        <v/>
      </c>
      <c r="AL28" s="5" t="str">
        <f t="shared" si="25"/>
        <v/>
      </c>
      <c r="AM28" s="989" t="str">
        <f t="shared" si="26"/>
        <v/>
      </c>
      <c r="AN28" s="989" t="str">
        <f t="shared" si="27"/>
        <v/>
      </c>
      <c r="AO28" s="1023" t="str">
        <f>IF(O28=1,SUM(O$23:O28),"")</f>
        <v/>
      </c>
      <c r="AP28" s="13" t="str">
        <f t="shared" si="28"/>
        <v/>
      </c>
      <c r="AQ28" s="5" t="str">
        <f t="shared" si="29"/>
        <v/>
      </c>
      <c r="AR28" s="989" t="str">
        <f t="shared" si="30"/>
        <v/>
      </c>
      <c r="AS28" s="989" t="str">
        <f t="shared" si="31"/>
        <v/>
      </c>
    </row>
    <row r="29" spans="1:45" x14ac:dyDescent="0.35">
      <c r="A29">
        <v>6</v>
      </c>
      <c r="B29" s="1">
        <f t="shared" si="7"/>
        <v>46113</v>
      </c>
      <c r="C29" s="992" t="str">
        <f>IF(OR($C$21="",$C$21=0,$D$18=0),"n",IF(C28="b","b",IF(LOOKUP(advanced!$I$45,$B$23:$B$36)=B29,"b","n")))</f>
        <v>n</v>
      </c>
      <c r="D29" s="992" t="str">
        <f>IF(OR($D$21="",$D$21=0,$D$17=0),"n",IF(D28="c","c",IF(LOOKUP(advanced!$I$37,$B$23:$B$36)=B29,"c","n")))</f>
        <v>n</v>
      </c>
      <c r="E29" s="27" t="str">
        <f t="array" ref="E29">IF(VLOOKUP(B29,$D$5:$G$18,2,FALSE)="","",VLOOKUP(B29,$D$5:$G$18,2,FALSE)-IF(OR($B$39:$B$48=B29)=TRUE,VLOOKUP(B29,$B$39:$E$48,4,FALSE),0))</f>
        <v/>
      </c>
      <c r="F29" s="992" t="str">
        <f t="shared" si="8"/>
        <v>nn</v>
      </c>
      <c r="G29" s="5">
        <f t="shared" si="9"/>
        <v>1</v>
      </c>
      <c r="H29" s="5" t="str">
        <f t="shared" si="10"/>
        <v>n</v>
      </c>
      <c r="I29" s="5">
        <f>VLOOKUP(B29,data!$B$13:$D$20,3,TRUE)</f>
        <v>4</v>
      </c>
      <c r="J29" s="5">
        <f t="shared" si="11"/>
        <v>0</v>
      </c>
      <c r="K29" s="5">
        <f t="shared" si="11"/>
        <v>0</v>
      </c>
      <c r="L29" s="5">
        <f t="shared" si="11"/>
        <v>0</v>
      </c>
      <c r="M29" s="5">
        <f t="shared" si="11"/>
        <v>1</v>
      </c>
      <c r="N29" s="5">
        <f t="shared" si="11"/>
        <v>0</v>
      </c>
      <c r="O29" s="5">
        <f t="shared" si="11"/>
        <v>0</v>
      </c>
      <c r="P29" s="1023" t="str">
        <f>IF(J29=1,SUM(J$23:J29),"")</f>
        <v/>
      </c>
      <c r="Q29" s="13" t="str">
        <f t="shared" si="6"/>
        <v/>
      </c>
      <c r="R29" s="5" t="str">
        <f t="shared" si="12"/>
        <v/>
      </c>
      <c r="S29" s="989" t="str">
        <f t="shared" si="32"/>
        <v/>
      </c>
      <c r="T29" s="989" t="str">
        <f t="shared" si="33"/>
        <v/>
      </c>
      <c r="U29" s="1023" t="str">
        <f>IF(K29=1,SUM(K$23:K29),"")</f>
        <v/>
      </c>
      <c r="V29" s="13" t="str">
        <f t="shared" si="13"/>
        <v/>
      </c>
      <c r="W29" s="5" t="str">
        <f t="shared" si="14"/>
        <v/>
      </c>
      <c r="X29" s="989" t="str">
        <f t="shared" si="15"/>
        <v/>
      </c>
      <c r="Y29" s="989" t="str">
        <f t="shared" si="16"/>
        <v/>
      </c>
      <c r="Z29" s="1023" t="str">
        <f>IF(L29=1,SUM(L$23:L29),"")</f>
        <v/>
      </c>
      <c r="AA29" s="13" t="str">
        <f t="shared" si="34"/>
        <v/>
      </c>
      <c r="AB29" s="5" t="str">
        <f t="shared" si="17"/>
        <v/>
      </c>
      <c r="AC29" s="989" t="str">
        <f t="shared" si="18"/>
        <v/>
      </c>
      <c r="AD29" s="989" t="str">
        <f t="shared" si="19"/>
        <v/>
      </c>
      <c r="AE29" s="1023">
        <f>IF(M29=1,SUM(M$23:M29),"")</f>
        <v>6</v>
      </c>
      <c r="AF29" s="13">
        <f t="shared" si="20"/>
        <v>46113</v>
      </c>
      <c r="AG29" s="5" t="str">
        <f t="shared" si="21"/>
        <v/>
      </c>
      <c r="AH29" s="989">
        <f t="shared" si="22"/>
        <v>1</v>
      </c>
      <c r="AI29" s="989" t="str">
        <f t="shared" si="23"/>
        <v>n</v>
      </c>
      <c r="AJ29" s="1023" t="str">
        <f>IF(N29=1,SUM(N$23:N29),"")</f>
        <v/>
      </c>
      <c r="AK29" s="13" t="str">
        <f t="shared" si="24"/>
        <v/>
      </c>
      <c r="AL29" s="5" t="str">
        <f t="shared" si="25"/>
        <v/>
      </c>
      <c r="AM29" s="989" t="str">
        <f t="shared" si="26"/>
        <v/>
      </c>
      <c r="AN29" s="989" t="str">
        <f t="shared" si="27"/>
        <v/>
      </c>
      <c r="AO29" s="1023" t="str">
        <f>IF(O29=1,SUM(O$23:O29),"")</f>
        <v/>
      </c>
      <c r="AP29" s="13" t="str">
        <f t="shared" si="28"/>
        <v/>
      </c>
      <c r="AQ29" s="5" t="str">
        <f t="shared" si="29"/>
        <v/>
      </c>
      <c r="AR29" s="989" t="str">
        <f t="shared" si="30"/>
        <v/>
      </c>
      <c r="AS29" s="989" t="str">
        <f t="shared" si="31"/>
        <v/>
      </c>
    </row>
    <row r="30" spans="1:45" x14ac:dyDescent="0.35">
      <c r="A30">
        <v>7</v>
      </c>
      <c r="B30" s="1">
        <f t="shared" si="7"/>
        <v>46113</v>
      </c>
      <c r="C30" s="992" t="str">
        <f>IF(OR($C$21="",$C$21=0,$D$18=0),"n",IF(C29="b","b",IF(LOOKUP(advanced!$I$45,$B$23:$B$36)=B30,"b","n")))</f>
        <v>n</v>
      </c>
      <c r="D30" s="992" t="str">
        <f>IF(OR($D$21="",$D$21=0,$D$17=0),"n",IF(D29="c","c",IF(LOOKUP(advanced!$I$37,$B$23:$B$36)=B30,"c","n")))</f>
        <v>n</v>
      </c>
      <c r="E30" s="27" t="str">
        <f t="array" ref="E30">IF(VLOOKUP(B30,$D$5:$G$18,2,FALSE)="","",VLOOKUP(B30,$D$5:$G$18,2,FALSE)-IF(OR($B$39:$B$48=B30)=TRUE,VLOOKUP(B30,$B$39:$E$48,4,FALSE),0))</f>
        <v/>
      </c>
      <c r="F30" s="992" t="str">
        <f t="shared" si="8"/>
        <v>nn</v>
      </c>
      <c r="G30" s="5">
        <f t="shared" si="9"/>
        <v>1</v>
      </c>
      <c r="H30" s="5" t="str">
        <f t="shared" si="10"/>
        <v>n</v>
      </c>
      <c r="I30" s="5">
        <f>VLOOKUP(B30,data!$B$13:$D$20,3,TRUE)</f>
        <v>4</v>
      </c>
      <c r="J30" s="5">
        <f t="shared" si="11"/>
        <v>0</v>
      </c>
      <c r="K30" s="5">
        <f t="shared" si="11"/>
        <v>0</v>
      </c>
      <c r="L30" s="5">
        <f t="shared" si="11"/>
        <v>0</v>
      </c>
      <c r="M30" s="5">
        <f t="shared" si="11"/>
        <v>1</v>
      </c>
      <c r="N30" s="5">
        <f t="shared" si="11"/>
        <v>0</v>
      </c>
      <c r="O30" s="5">
        <f t="shared" si="11"/>
        <v>0</v>
      </c>
      <c r="P30" s="1023" t="str">
        <f>IF(J30=1,SUM(J$23:J30),"")</f>
        <v/>
      </c>
      <c r="Q30" s="13" t="str">
        <f t="shared" si="6"/>
        <v/>
      </c>
      <c r="R30" s="5" t="str">
        <f t="shared" si="12"/>
        <v/>
      </c>
      <c r="S30" s="989" t="str">
        <f t="shared" si="32"/>
        <v/>
      </c>
      <c r="T30" s="989" t="str">
        <f t="shared" si="33"/>
        <v/>
      </c>
      <c r="U30" s="1023" t="str">
        <f>IF(K30=1,SUM(K$23:K30),"")</f>
        <v/>
      </c>
      <c r="V30" s="13" t="str">
        <f t="shared" si="13"/>
        <v/>
      </c>
      <c r="W30" s="5" t="str">
        <f t="shared" si="14"/>
        <v/>
      </c>
      <c r="X30" s="989" t="str">
        <f t="shared" si="15"/>
        <v/>
      </c>
      <c r="Y30" s="989" t="str">
        <f t="shared" si="16"/>
        <v/>
      </c>
      <c r="Z30" s="1023" t="str">
        <f>IF(L30=1,SUM(L$23:L30),"")</f>
        <v/>
      </c>
      <c r="AA30" s="13" t="str">
        <f t="shared" si="34"/>
        <v/>
      </c>
      <c r="AB30" s="5" t="str">
        <f t="shared" si="17"/>
        <v/>
      </c>
      <c r="AC30" s="989" t="str">
        <f t="shared" si="18"/>
        <v/>
      </c>
      <c r="AD30" s="989" t="str">
        <f t="shared" si="19"/>
        <v/>
      </c>
      <c r="AE30" s="1023">
        <f>IF(M30=1,SUM(M$23:M30),"")</f>
        <v>7</v>
      </c>
      <c r="AF30" s="13">
        <f t="shared" si="20"/>
        <v>46113</v>
      </c>
      <c r="AG30" s="5" t="str">
        <f t="shared" si="21"/>
        <v/>
      </c>
      <c r="AH30" s="989">
        <f t="shared" si="22"/>
        <v>1</v>
      </c>
      <c r="AI30" s="989" t="str">
        <f t="shared" si="23"/>
        <v>n</v>
      </c>
      <c r="AJ30" s="1023" t="str">
        <f>IF(N30=1,SUM(N$23:N30),"")</f>
        <v/>
      </c>
      <c r="AK30" s="13" t="str">
        <f t="shared" si="24"/>
        <v/>
      </c>
      <c r="AL30" s="5" t="str">
        <f t="shared" si="25"/>
        <v/>
      </c>
      <c r="AM30" s="989" t="str">
        <f t="shared" si="26"/>
        <v/>
      </c>
      <c r="AN30" s="989" t="str">
        <f t="shared" si="27"/>
        <v/>
      </c>
      <c r="AO30" s="1023" t="str">
        <f>IF(O30=1,SUM(O$23:O30),"")</f>
        <v/>
      </c>
      <c r="AP30" s="13" t="str">
        <f t="shared" si="28"/>
        <v/>
      </c>
      <c r="AQ30" s="5" t="str">
        <f t="shared" si="29"/>
        <v/>
      </c>
      <c r="AR30" s="989" t="str">
        <f t="shared" si="30"/>
        <v/>
      </c>
      <c r="AS30" s="989" t="str">
        <f t="shared" si="31"/>
        <v/>
      </c>
    </row>
    <row r="31" spans="1:45" x14ac:dyDescent="0.35">
      <c r="A31">
        <v>8</v>
      </c>
      <c r="B31" s="1">
        <f t="shared" si="7"/>
        <v>46113</v>
      </c>
      <c r="C31" s="992" t="str">
        <f>IF(OR($C$21="",$C$21=0,$D$18=0),"n",IF(C30="b","b",IF(LOOKUP(advanced!$I$45,$B$23:$B$36)=B31,"b","n")))</f>
        <v>n</v>
      </c>
      <c r="D31" s="992" t="str">
        <f>IF(OR($D$21="",$D$21=0,$D$17=0),"n",IF(D30="c","c",IF(LOOKUP(advanced!$I$37,$B$23:$B$36)=B31,"c","n")))</f>
        <v>n</v>
      </c>
      <c r="E31" s="27" t="str">
        <f t="array" ref="E31">IF(VLOOKUP(B31,$D$5:$G$18,2,FALSE)="","",VLOOKUP(B31,$D$5:$G$18,2,FALSE)-IF(OR($B$39:$B$48=B31)=TRUE,VLOOKUP(B31,$B$39:$E$48,4,FALSE),0))</f>
        <v/>
      </c>
      <c r="F31" s="992" t="str">
        <f t="shared" si="8"/>
        <v>nn</v>
      </c>
      <c r="G31" s="5">
        <f t="shared" si="9"/>
        <v>1</v>
      </c>
      <c r="H31" s="5" t="str">
        <f t="shared" si="10"/>
        <v>n</v>
      </c>
      <c r="I31" s="5">
        <f>VLOOKUP(B31,data!$B$13:$D$20,3,TRUE)</f>
        <v>4</v>
      </c>
      <c r="J31" s="5">
        <f t="shared" si="11"/>
        <v>0</v>
      </c>
      <c r="K31" s="5">
        <f t="shared" si="11"/>
        <v>0</v>
      </c>
      <c r="L31" s="5">
        <f t="shared" si="11"/>
        <v>0</v>
      </c>
      <c r="M31" s="5">
        <f t="shared" si="11"/>
        <v>1</v>
      </c>
      <c r="N31" s="5">
        <f t="shared" si="11"/>
        <v>0</v>
      </c>
      <c r="O31" s="5">
        <f t="shared" si="11"/>
        <v>0</v>
      </c>
      <c r="P31" s="1023" t="str">
        <f>IF(J31=1,SUM(J$23:J31),"")</f>
        <v/>
      </c>
      <c r="Q31" s="13" t="str">
        <f t="shared" si="6"/>
        <v/>
      </c>
      <c r="R31" s="5" t="str">
        <f t="shared" si="12"/>
        <v/>
      </c>
      <c r="S31" s="989" t="str">
        <f t="shared" si="32"/>
        <v/>
      </c>
      <c r="T31" s="989" t="str">
        <f t="shared" si="33"/>
        <v/>
      </c>
      <c r="U31" s="1023" t="str">
        <f>IF(K31=1,SUM(K$23:K31),"")</f>
        <v/>
      </c>
      <c r="V31" s="13" t="str">
        <f t="shared" si="13"/>
        <v/>
      </c>
      <c r="W31" s="5" t="str">
        <f t="shared" si="14"/>
        <v/>
      </c>
      <c r="X31" s="989" t="str">
        <f t="shared" si="15"/>
        <v/>
      </c>
      <c r="Y31" s="989" t="str">
        <f t="shared" si="16"/>
        <v/>
      </c>
      <c r="Z31" s="1023" t="str">
        <f>IF(L31=1,SUM(L$23:L31),"")</f>
        <v/>
      </c>
      <c r="AA31" s="13" t="str">
        <f t="shared" si="34"/>
        <v/>
      </c>
      <c r="AB31" s="5" t="str">
        <f t="shared" si="17"/>
        <v/>
      </c>
      <c r="AC31" s="989" t="str">
        <f t="shared" si="18"/>
        <v/>
      </c>
      <c r="AD31" s="989" t="str">
        <f t="shared" si="19"/>
        <v/>
      </c>
      <c r="AE31" s="1023">
        <f>IF(M31=1,SUM(M$23:M31),"")</f>
        <v>8</v>
      </c>
      <c r="AF31" s="13">
        <f t="shared" si="20"/>
        <v>46113</v>
      </c>
      <c r="AG31" s="5" t="str">
        <f t="shared" si="21"/>
        <v/>
      </c>
      <c r="AH31" s="989">
        <f t="shared" si="22"/>
        <v>1</v>
      </c>
      <c r="AI31" s="989" t="str">
        <f t="shared" si="23"/>
        <v>n</v>
      </c>
      <c r="AJ31" s="1023" t="str">
        <f>IF(N31=1,SUM(N$23:N31),"")</f>
        <v/>
      </c>
      <c r="AK31" s="13" t="str">
        <f t="shared" si="24"/>
        <v/>
      </c>
      <c r="AL31" s="5" t="str">
        <f t="shared" si="25"/>
        <v/>
      </c>
      <c r="AM31" s="989" t="str">
        <f t="shared" si="26"/>
        <v/>
      </c>
      <c r="AN31" s="989" t="str">
        <f t="shared" si="27"/>
        <v/>
      </c>
      <c r="AO31" s="1023" t="str">
        <f>IF(O31=1,SUM(O$23:O31),"")</f>
        <v/>
      </c>
      <c r="AP31" s="13" t="str">
        <f t="shared" si="28"/>
        <v/>
      </c>
      <c r="AQ31" s="5" t="str">
        <f t="shared" si="29"/>
        <v/>
      </c>
      <c r="AR31" s="989" t="str">
        <f t="shared" si="30"/>
        <v/>
      </c>
      <c r="AS31" s="989" t="str">
        <f t="shared" si="31"/>
        <v/>
      </c>
    </row>
    <row r="32" spans="1:45" x14ac:dyDescent="0.35">
      <c r="A32">
        <v>9</v>
      </c>
      <c r="B32" s="1">
        <f t="shared" si="7"/>
        <v>46113</v>
      </c>
      <c r="C32" s="992" t="str">
        <f>IF(OR($C$21="",$C$21=0,$D$18=0),"n",IF(C31="b","b",IF(LOOKUP(advanced!$I$45,$B$23:$B$36)=B32,"b","n")))</f>
        <v>n</v>
      </c>
      <c r="D32" s="992" t="str">
        <f>IF(OR($D$21="",$D$21=0,$D$17=0),"n",IF(D31="c","c",IF(LOOKUP(advanced!$I$37,$B$23:$B$36)=B32,"c","n")))</f>
        <v>n</v>
      </c>
      <c r="E32" s="27" t="str">
        <f t="array" ref="E32">IF(VLOOKUP(B32,$D$5:$G$18,2,FALSE)="","",VLOOKUP(B32,$D$5:$G$18,2,FALSE)-IF(OR($B$39:$B$48=B32)=TRUE,VLOOKUP(B32,$B$39:$E$48,4,FALSE),0))</f>
        <v/>
      </c>
      <c r="F32" s="992" t="str">
        <f t="shared" si="8"/>
        <v>nn</v>
      </c>
      <c r="G32" s="5">
        <f t="shared" si="9"/>
        <v>1</v>
      </c>
      <c r="H32" s="5" t="str">
        <f t="shared" si="10"/>
        <v>n</v>
      </c>
      <c r="I32" s="5">
        <f>VLOOKUP(B32,data!$B$13:$D$20,3,TRUE)</f>
        <v>4</v>
      </c>
      <c r="J32" s="5">
        <f t="shared" si="11"/>
        <v>0</v>
      </c>
      <c r="K32" s="5">
        <f t="shared" si="11"/>
        <v>0</v>
      </c>
      <c r="L32" s="5">
        <f t="shared" si="11"/>
        <v>0</v>
      </c>
      <c r="M32" s="5">
        <f t="shared" si="11"/>
        <v>1</v>
      </c>
      <c r="N32" s="5">
        <f t="shared" si="11"/>
        <v>0</v>
      </c>
      <c r="O32" s="5">
        <f t="shared" si="11"/>
        <v>0</v>
      </c>
      <c r="P32" s="1023" t="str">
        <f>IF(J32=1,SUM(J$23:J32),"")</f>
        <v/>
      </c>
      <c r="Q32" s="13" t="str">
        <f t="shared" si="6"/>
        <v/>
      </c>
      <c r="R32" s="5" t="str">
        <f t="shared" si="12"/>
        <v/>
      </c>
      <c r="S32" s="989" t="str">
        <f t="shared" si="32"/>
        <v/>
      </c>
      <c r="T32" s="989" t="str">
        <f t="shared" si="33"/>
        <v/>
      </c>
      <c r="U32" s="1023" t="str">
        <f>IF(K32=1,SUM(K$23:K32),"")</f>
        <v/>
      </c>
      <c r="V32" s="13" t="str">
        <f t="shared" si="13"/>
        <v/>
      </c>
      <c r="W32" s="5" t="str">
        <f t="shared" si="14"/>
        <v/>
      </c>
      <c r="X32" s="989" t="str">
        <f t="shared" si="15"/>
        <v/>
      </c>
      <c r="Y32" s="989" t="str">
        <f t="shared" si="16"/>
        <v/>
      </c>
      <c r="Z32" s="1023" t="str">
        <f>IF(L32=1,SUM(L$23:L32),"")</f>
        <v/>
      </c>
      <c r="AA32" s="13" t="str">
        <f t="shared" si="34"/>
        <v/>
      </c>
      <c r="AB32" s="5" t="str">
        <f t="shared" si="17"/>
        <v/>
      </c>
      <c r="AC32" s="989" t="str">
        <f t="shared" si="18"/>
        <v/>
      </c>
      <c r="AD32" s="989" t="str">
        <f t="shared" si="19"/>
        <v/>
      </c>
      <c r="AE32" s="1023">
        <f>IF(M32=1,SUM(M$23:M32),"")</f>
        <v>9</v>
      </c>
      <c r="AF32" s="13">
        <f t="shared" si="20"/>
        <v>46113</v>
      </c>
      <c r="AG32" s="5" t="str">
        <f t="shared" si="21"/>
        <v/>
      </c>
      <c r="AH32" s="989">
        <f t="shared" si="22"/>
        <v>1</v>
      </c>
      <c r="AI32" s="989" t="str">
        <f t="shared" si="23"/>
        <v>n</v>
      </c>
      <c r="AJ32" s="1023" t="str">
        <f>IF(N32=1,SUM(N$23:N32),"")</f>
        <v/>
      </c>
      <c r="AK32" s="13" t="str">
        <f t="shared" si="24"/>
        <v/>
      </c>
      <c r="AL32" s="5" t="str">
        <f t="shared" si="25"/>
        <v/>
      </c>
      <c r="AM32" s="989" t="str">
        <f t="shared" si="26"/>
        <v/>
      </c>
      <c r="AN32" s="989" t="str">
        <f t="shared" si="27"/>
        <v/>
      </c>
      <c r="AO32" s="1023" t="str">
        <f>IF(O32=1,SUM(O$23:O32),"")</f>
        <v/>
      </c>
      <c r="AP32" s="13" t="str">
        <f t="shared" si="28"/>
        <v/>
      </c>
      <c r="AQ32" s="5" t="str">
        <f t="shared" si="29"/>
        <v/>
      </c>
      <c r="AR32" s="989" t="str">
        <f t="shared" si="30"/>
        <v/>
      </c>
      <c r="AS32" s="989" t="str">
        <f t="shared" si="31"/>
        <v/>
      </c>
    </row>
    <row r="33" spans="1:45" x14ac:dyDescent="0.35">
      <c r="A33">
        <v>10</v>
      </c>
      <c r="B33" s="1">
        <f t="shared" si="7"/>
        <v>46113</v>
      </c>
      <c r="C33" s="992" t="str">
        <f>IF(OR($C$21="",$C$21=0,$D$18=0),"n",IF(C32="b","b",IF(LOOKUP(advanced!$I$45,$B$23:$B$36)=B33,"b","n")))</f>
        <v>n</v>
      </c>
      <c r="D33" s="992" t="str">
        <f>IF(OR($D$21="",$D$21=0,$D$17=0),"n",IF(D32="c","c",IF(LOOKUP(advanced!$I$37,$B$23:$B$36)=B33,"c","n")))</f>
        <v>n</v>
      </c>
      <c r="E33" s="27" t="str">
        <f t="array" ref="E33">IF(VLOOKUP(B33,$D$5:$G$18,2,FALSE)="","",VLOOKUP(B33,$D$5:$G$18,2,FALSE)-IF(OR($B$39:$B$48=B33)=TRUE,VLOOKUP(B33,$B$39:$E$48,4,FALSE),0))</f>
        <v/>
      </c>
      <c r="F33" s="992" t="str">
        <f t="shared" si="8"/>
        <v>nn</v>
      </c>
      <c r="G33" s="5">
        <f t="shared" si="9"/>
        <v>1</v>
      </c>
      <c r="H33" s="5" t="str">
        <f t="shared" si="10"/>
        <v>n</v>
      </c>
      <c r="I33" s="5">
        <f>VLOOKUP(B33,data!$B$13:$D$20,3,TRUE)</f>
        <v>4</v>
      </c>
      <c r="J33" s="5">
        <f t="shared" si="11"/>
        <v>0</v>
      </c>
      <c r="K33" s="5">
        <f t="shared" si="11"/>
        <v>0</v>
      </c>
      <c r="L33" s="5">
        <f t="shared" si="11"/>
        <v>0</v>
      </c>
      <c r="M33" s="5">
        <f t="shared" si="11"/>
        <v>1</v>
      </c>
      <c r="N33" s="5">
        <f t="shared" si="11"/>
        <v>0</v>
      </c>
      <c r="O33" s="5">
        <f t="shared" si="11"/>
        <v>0</v>
      </c>
      <c r="P33" s="1023" t="str">
        <f>IF(J33=1,SUM(J$23:J33),"")</f>
        <v/>
      </c>
      <c r="Q33" s="13" t="str">
        <f t="shared" si="6"/>
        <v/>
      </c>
      <c r="R33" s="5" t="str">
        <f t="shared" si="12"/>
        <v/>
      </c>
      <c r="S33" s="989" t="str">
        <f t="shared" si="32"/>
        <v/>
      </c>
      <c r="T33" s="989" t="str">
        <f t="shared" si="33"/>
        <v/>
      </c>
      <c r="U33" s="1023" t="str">
        <f>IF(K33=1,SUM(K$23:K33),"")</f>
        <v/>
      </c>
      <c r="V33" s="13" t="str">
        <f t="shared" si="13"/>
        <v/>
      </c>
      <c r="W33" s="5" t="str">
        <f t="shared" si="14"/>
        <v/>
      </c>
      <c r="X33" s="989" t="str">
        <f t="shared" si="15"/>
        <v/>
      </c>
      <c r="Y33" s="989" t="str">
        <f t="shared" si="16"/>
        <v/>
      </c>
      <c r="Z33" s="1023" t="str">
        <f>IF(L33=1,SUM(L$23:L33),"")</f>
        <v/>
      </c>
      <c r="AA33" s="13" t="str">
        <f t="shared" si="34"/>
        <v/>
      </c>
      <c r="AB33" s="5" t="str">
        <f t="shared" si="17"/>
        <v/>
      </c>
      <c r="AC33" s="989" t="str">
        <f t="shared" si="18"/>
        <v/>
      </c>
      <c r="AD33" s="989" t="str">
        <f t="shared" si="19"/>
        <v/>
      </c>
      <c r="AE33" s="1023">
        <f>IF(M33=1,SUM(M$23:M33),"")</f>
        <v>10</v>
      </c>
      <c r="AF33" s="13">
        <f t="shared" si="20"/>
        <v>46113</v>
      </c>
      <c r="AG33" s="5" t="str">
        <f t="shared" si="21"/>
        <v/>
      </c>
      <c r="AH33" s="989">
        <f t="shared" si="22"/>
        <v>1</v>
      </c>
      <c r="AI33" s="989" t="str">
        <f t="shared" si="23"/>
        <v>n</v>
      </c>
      <c r="AJ33" s="1023" t="str">
        <f>IF(N33=1,SUM(N$23:N33),"")</f>
        <v/>
      </c>
      <c r="AK33" s="13" t="str">
        <f t="shared" si="24"/>
        <v/>
      </c>
      <c r="AL33" s="5" t="str">
        <f t="shared" si="25"/>
        <v/>
      </c>
      <c r="AM33" s="989" t="str">
        <f t="shared" si="26"/>
        <v/>
      </c>
      <c r="AN33" s="989" t="str">
        <f t="shared" si="27"/>
        <v/>
      </c>
      <c r="AO33" s="1023" t="str">
        <f>IF(O33=1,SUM(O$23:O33),"")</f>
        <v/>
      </c>
      <c r="AP33" s="13" t="str">
        <f t="shared" si="28"/>
        <v/>
      </c>
      <c r="AQ33" s="5" t="str">
        <f t="shared" si="29"/>
        <v/>
      </c>
      <c r="AR33" s="989" t="str">
        <f t="shared" si="30"/>
        <v/>
      </c>
      <c r="AS33" s="989" t="str">
        <f t="shared" si="31"/>
        <v/>
      </c>
    </row>
    <row r="34" spans="1:45" x14ac:dyDescent="0.35">
      <c r="A34">
        <v>11</v>
      </c>
      <c r="B34" s="1">
        <f t="shared" si="7"/>
        <v>46113</v>
      </c>
      <c r="C34" s="992" t="str">
        <f>IF(OR($C$21="",$C$21=0,$D$18=0),"n",IF(C33="b","b",IF(LOOKUP(advanced!$I$45,$B$23:$B$36)=B34,"b","n")))</f>
        <v>n</v>
      </c>
      <c r="D34" s="992" t="str">
        <f>IF(OR($D$21="",$D$21=0,$D$17=0),"n",IF(D33="c","c",IF(LOOKUP(advanced!$I$37,$B$23:$B$36)=B34,"c","n")))</f>
        <v>n</v>
      </c>
      <c r="E34" s="27" t="str">
        <f t="array" ref="E34">IF(VLOOKUP(B34,$D$5:$G$18,2,FALSE)="","",VLOOKUP(B34,$D$5:$G$18,2,FALSE)-IF(OR($B$39:$B$48=B34)=TRUE,VLOOKUP(B34,$B$39:$E$48,4,FALSE),0))</f>
        <v/>
      </c>
      <c r="F34" s="992" t="str">
        <f t="shared" si="8"/>
        <v>nn</v>
      </c>
      <c r="G34" s="5">
        <f t="shared" si="9"/>
        <v>1</v>
      </c>
      <c r="H34" s="5" t="str">
        <f t="shared" si="10"/>
        <v>n</v>
      </c>
      <c r="I34" s="5">
        <f>VLOOKUP(B34,data!$B$13:$D$20,3,TRUE)</f>
        <v>4</v>
      </c>
      <c r="J34" s="5">
        <f t="shared" si="11"/>
        <v>0</v>
      </c>
      <c r="K34" s="5">
        <f t="shared" si="11"/>
        <v>0</v>
      </c>
      <c r="L34" s="5">
        <f t="shared" si="11"/>
        <v>0</v>
      </c>
      <c r="M34" s="5">
        <f t="shared" si="11"/>
        <v>1</v>
      </c>
      <c r="N34" s="5">
        <f t="shared" si="11"/>
        <v>0</v>
      </c>
      <c r="O34" s="5">
        <f t="shared" si="11"/>
        <v>0</v>
      </c>
      <c r="P34" s="1023" t="str">
        <f>IF(J34=1,SUM(J$23:J34),"")</f>
        <v/>
      </c>
      <c r="Q34" s="13" t="str">
        <f t="shared" si="6"/>
        <v/>
      </c>
      <c r="R34" s="5" t="str">
        <f t="shared" si="12"/>
        <v/>
      </c>
      <c r="S34" s="989" t="str">
        <f t="shared" si="32"/>
        <v/>
      </c>
      <c r="T34" s="989" t="str">
        <f t="shared" si="33"/>
        <v/>
      </c>
      <c r="U34" s="1023" t="str">
        <f>IF(K34=1,SUM(K$23:K34),"")</f>
        <v/>
      </c>
      <c r="V34" s="13" t="str">
        <f t="shared" si="13"/>
        <v/>
      </c>
      <c r="W34" s="5" t="str">
        <f t="shared" si="14"/>
        <v/>
      </c>
      <c r="X34" s="989" t="str">
        <f t="shared" si="15"/>
        <v/>
      </c>
      <c r="Y34" s="989" t="str">
        <f t="shared" si="16"/>
        <v/>
      </c>
      <c r="Z34" s="1023" t="str">
        <f>IF(L34=1,SUM(L$23:L34),"")</f>
        <v/>
      </c>
      <c r="AA34" s="13" t="str">
        <f t="shared" si="34"/>
        <v/>
      </c>
      <c r="AB34" s="5" t="str">
        <f t="shared" si="17"/>
        <v/>
      </c>
      <c r="AC34" s="989" t="str">
        <f t="shared" si="18"/>
        <v/>
      </c>
      <c r="AD34" s="989" t="str">
        <f t="shared" si="19"/>
        <v/>
      </c>
      <c r="AE34" s="1023">
        <f>IF(M34=1,SUM(M$23:M34),"")</f>
        <v>11</v>
      </c>
      <c r="AF34" s="13">
        <f t="shared" si="20"/>
        <v>46113</v>
      </c>
      <c r="AG34" s="5" t="str">
        <f t="shared" si="21"/>
        <v/>
      </c>
      <c r="AH34" s="989">
        <f t="shared" si="22"/>
        <v>1</v>
      </c>
      <c r="AI34" s="989" t="str">
        <f t="shared" si="23"/>
        <v>n</v>
      </c>
      <c r="AJ34" s="1023" t="str">
        <f>IF(N34=1,SUM(N$23:N34),"")</f>
        <v/>
      </c>
      <c r="AK34" s="13" t="str">
        <f t="shared" si="24"/>
        <v/>
      </c>
      <c r="AL34" s="5" t="str">
        <f t="shared" si="25"/>
        <v/>
      </c>
      <c r="AM34" s="989" t="str">
        <f t="shared" si="26"/>
        <v/>
      </c>
      <c r="AN34" s="989" t="str">
        <f t="shared" si="27"/>
        <v/>
      </c>
      <c r="AO34" s="1023" t="str">
        <f>IF(O34=1,SUM(O$23:O34),"")</f>
        <v/>
      </c>
      <c r="AP34" s="13" t="str">
        <f t="shared" si="28"/>
        <v/>
      </c>
      <c r="AQ34" s="5" t="str">
        <f t="shared" si="29"/>
        <v/>
      </c>
      <c r="AR34" s="989" t="str">
        <f t="shared" si="30"/>
        <v/>
      </c>
      <c r="AS34" s="989" t="str">
        <f t="shared" si="31"/>
        <v/>
      </c>
    </row>
    <row r="35" spans="1:45" x14ac:dyDescent="0.35">
      <c r="A35">
        <v>12</v>
      </c>
      <c r="B35" s="1">
        <f t="shared" si="7"/>
        <v>46113</v>
      </c>
      <c r="C35" s="992" t="str">
        <f>IF(OR($C$21="",$C$21=0,$D$18=0),"n",IF(C34="b","b",IF(LOOKUP(advanced!$I$45,$B$23:$B$36)=B35,"b","n")))</f>
        <v>n</v>
      </c>
      <c r="D35" s="992" t="str">
        <f>IF(OR($D$21="",$D$21=0,$D$17=0),"n",IF(D34="c","c",IF(LOOKUP(advanced!$I$37,$B$23:$B$36)=B35,"c","n")))</f>
        <v>n</v>
      </c>
      <c r="E35" s="27" t="str">
        <f t="array" ref="E35">IF(VLOOKUP(B35,$D$5:$G$18,2,FALSE)="","",VLOOKUP(B35,$D$5:$G$18,2,FALSE)-IF(OR($B$39:$B$48=B35)=TRUE,VLOOKUP(B35,$B$39:$E$48,4,FALSE),0))</f>
        <v/>
      </c>
      <c r="F35" s="992" t="str">
        <f t="shared" si="8"/>
        <v>nn</v>
      </c>
      <c r="G35" s="5">
        <f t="shared" si="9"/>
        <v>1</v>
      </c>
      <c r="H35" s="5" t="str">
        <f t="shared" si="10"/>
        <v>n</v>
      </c>
      <c r="I35" s="5">
        <f>VLOOKUP(B35,data!$B$13:$D$20,3,TRUE)</f>
        <v>4</v>
      </c>
      <c r="J35" s="5">
        <f t="shared" si="11"/>
        <v>0</v>
      </c>
      <c r="K35" s="5">
        <f t="shared" si="11"/>
        <v>0</v>
      </c>
      <c r="L35" s="5">
        <f t="shared" si="11"/>
        <v>0</v>
      </c>
      <c r="M35" s="5">
        <f t="shared" si="11"/>
        <v>1</v>
      </c>
      <c r="N35" s="5">
        <f t="shared" si="11"/>
        <v>0</v>
      </c>
      <c r="O35" s="5">
        <f t="shared" si="11"/>
        <v>0</v>
      </c>
      <c r="P35" s="1023" t="str">
        <f>IF(J35=1,SUM(J$23:J35),"")</f>
        <v/>
      </c>
      <c r="Q35" s="13" t="str">
        <f t="shared" si="6"/>
        <v/>
      </c>
      <c r="R35" s="5" t="str">
        <f t="shared" si="12"/>
        <v/>
      </c>
      <c r="S35" s="989" t="str">
        <f t="shared" si="32"/>
        <v/>
      </c>
      <c r="T35" s="989" t="str">
        <f t="shared" si="33"/>
        <v/>
      </c>
      <c r="U35" s="1023" t="str">
        <f>IF(K35=1,SUM(K$23:K35),"")</f>
        <v/>
      </c>
      <c r="V35" s="13" t="str">
        <f t="shared" si="13"/>
        <v/>
      </c>
      <c r="W35" s="5" t="str">
        <f t="shared" si="14"/>
        <v/>
      </c>
      <c r="X35" s="989" t="str">
        <f t="shared" si="15"/>
        <v/>
      </c>
      <c r="Y35" s="989" t="str">
        <f t="shared" si="16"/>
        <v/>
      </c>
      <c r="Z35" s="1023" t="str">
        <f>IF(L35=1,SUM(L$23:L35),"")</f>
        <v/>
      </c>
      <c r="AA35" s="13" t="str">
        <f t="shared" si="34"/>
        <v/>
      </c>
      <c r="AB35" s="5" t="str">
        <f t="shared" si="17"/>
        <v/>
      </c>
      <c r="AC35" s="989" t="str">
        <f t="shared" si="18"/>
        <v/>
      </c>
      <c r="AD35" s="989" t="str">
        <f t="shared" si="19"/>
        <v/>
      </c>
      <c r="AE35" s="1023">
        <f>IF(M35=1,SUM(M$23:M35),"")</f>
        <v>12</v>
      </c>
      <c r="AF35" s="13">
        <f t="shared" si="20"/>
        <v>46113</v>
      </c>
      <c r="AG35" s="5" t="str">
        <f t="shared" si="21"/>
        <v/>
      </c>
      <c r="AH35" s="989">
        <f t="shared" si="22"/>
        <v>1</v>
      </c>
      <c r="AI35" s="989" t="str">
        <f t="shared" si="23"/>
        <v>n</v>
      </c>
      <c r="AJ35" s="1023" t="str">
        <f>IF(N35=1,SUM(N$23:N35),"")</f>
        <v/>
      </c>
      <c r="AK35" s="13" t="str">
        <f t="shared" si="24"/>
        <v/>
      </c>
      <c r="AL35" s="5" t="str">
        <f t="shared" si="25"/>
        <v/>
      </c>
      <c r="AM35" s="989" t="str">
        <f t="shared" si="26"/>
        <v/>
      </c>
      <c r="AN35" s="989" t="str">
        <f t="shared" si="27"/>
        <v/>
      </c>
      <c r="AO35" s="1023" t="str">
        <f>IF(O35=1,SUM(O$23:O35),"")</f>
        <v/>
      </c>
      <c r="AP35" s="13" t="str">
        <f t="shared" si="28"/>
        <v/>
      </c>
      <c r="AQ35" s="5" t="str">
        <f t="shared" si="29"/>
        <v/>
      </c>
      <c r="AR35" s="989" t="str">
        <f t="shared" si="30"/>
        <v/>
      </c>
      <c r="AS35" s="989" t="str">
        <f t="shared" si="31"/>
        <v/>
      </c>
    </row>
    <row r="36" spans="1:45" x14ac:dyDescent="0.35">
      <c r="A36" s="1200">
        <v>13</v>
      </c>
      <c r="B36" s="2245">
        <f t="shared" si="7"/>
        <v>46114</v>
      </c>
      <c r="C36" s="2246"/>
      <c r="D36" s="2246"/>
      <c r="E36" s="1200"/>
      <c r="F36" s="2246"/>
      <c r="G36" s="1200"/>
      <c r="H36" s="1200"/>
      <c r="I36" s="1200"/>
      <c r="J36" s="1200"/>
      <c r="K36" s="1200"/>
      <c r="L36" s="1200"/>
      <c r="M36" s="1200"/>
      <c r="N36" s="1200"/>
      <c r="O36" s="1200"/>
      <c r="P36" s="2247" t="str">
        <f>IF(J36=1,SUM(J$23:J36),"")</f>
        <v/>
      </c>
      <c r="Q36" s="2248" t="str">
        <f t="shared" si="6"/>
        <v/>
      </c>
      <c r="R36" s="1218" t="str">
        <f>IF(J36=1,VLOOKUP(B36,$B$3:$C$16,2,FALSE),"")</f>
        <v/>
      </c>
      <c r="S36" s="2249" t="str">
        <f>IF(J36=1,VLOOKUP(B36,$B$3:$D$16,3,FALSE),"")</f>
        <v/>
      </c>
      <c r="T36" s="2249" t="str">
        <f>IF(J36=1,VLOOKUP(B36,$B$3:$E$16,4,FALSE),"")</f>
        <v/>
      </c>
      <c r="U36" s="2247" t="str">
        <f>IF(K36=1,SUM(K$23:K36),"")</f>
        <v/>
      </c>
      <c r="V36" s="2245"/>
      <c r="W36" s="1218" t="str">
        <f>IF(K36=1,VLOOKUP(B36,$B$3:$C$16,2,FALSE),"")</f>
        <v/>
      </c>
      <c r="X36" s="2249" t="str">
        <f>IF(K36=1,VLOOKUP(B36,$B$3:$D$16,3,FALSE),"")</f>
        <v/>
      </c>
      <c r="Y36" s="2249" t="str">
        <f>IF(K36=1,VLOOKUP(B36,$B$3:$E$16,4,FALSE),"")</f>
        <v/>
      </c>
      <c r="Z36" s="2247" t="str">
        <f>IF(L36=1,SUM(L$23:L36),"")</f>
        <v/>
      </c>
      <c r="AA36" s="2245" t="str">
        <f>IF(L36=1,B36,"")</f>
        <v/>
      </c>
      <c r="AB36" s="1218" t="str">
        <f>IF(L36=1,VLOOKUP(B36,$B$3:$C$16,2,FALSE),"")</f>
        <v/>
      </c>
      <c r="AC36" s="2249" t="str">
        <f>IF(L36=1,VLOOKUP(B36,$B$3:$D$16,3,FALSE),"")</f>
        <v/>
      </c>
      <c r="AD36" s="2249" t="str">
        <f>IF(L36=1,VLOOKUP(B36,$B$3:$E$16,4,FALSE),"")</f>
        <v/>
      </c>
      <c r="AE36" s="2247" t="str">
        <f>IF(M36=1,SUM(M$23:M36),"")</f>
        <v/>
      </c>
      <c r="AF36" s="2245" t="str">
        <f>IF(M36=1,B36,"")</f>
        <v/>
      </c>
      <c r="AG36" s="1218" t="str">
        <f>IF(M36=1,VLOOKUP(B36,$B$3:$C$16,2,FALSE),"")</f>
        <v/>
      </c>
      <c r="AH36" s="2249" t="str">
        <f>IF(M36=1,VLOOKUP(B36,$B$3:$D$16,3,FALSE),"")</f>
        <v/>
      </c>
      <c r="AI36" s="2249" t="str">
        <f>IF(M36=1,VLOOKUP(B36,$B$3:$E$16,4,FALSE),"")</f>
        <v/>
      </c>
      <c r="AJ36" s="2247" t="str">
        <f>IF(N36=1,SUM(N$23:N36),"")</f>
        <v/>
      </c>
      <c r="AK36" s="2245" t="str">
        <f>IF(N36=1,B36,"")</f>
        <v/>
      </c>
      <c r="AL36" s="1218" t="str">
        <f>IF(N36=1,VLOOKUP(B36,$B$3:$C$16,2,FALSE),"")</f>
        <v/>
      </c>
      <c r="AM36" s="2249" t="str">
        <f>IF(N36=1,VLOOKUP(B36,$B$3:$D$16,3,FALSE),"")</f>
        <v/>
      </c>
      <c r="AN36" s="2249" t="str">
        <f>IF(N36=1,VLOOKUP(B36,$B$3:$E$16,4,FALSE),"")</f>
        <v/>
      </c>
      <c r="AO36" s="2247" t="str">
        <f>IF(O36=1,SUM(O$23:O36),"")</f>
        <v/>
      </c>
      <c r="AP36" s="2245" t="str">
        <f>IF(O36=1,B36,"")</f>
        <v/>
      </c>
      <c r="AQ36" s="1218" t="str">
        <f>IF(O36=1,VLOOKUP(B36,$B$3:$C$16,2,FALSE),"")</f>
        <v/>
      </c>
      <c r="AR36" s="2249" t="str">
        <f>IF(O36=1,VLOOKUP(B36,$B$3:$D$16,3,FALSE),"")</f>
        <v/>
      </c>
      <c r="AS36" s="2249" t="str">
        <f>IF(O36=1,VLOOKUP(B36,$B$3:$E$16,4,FALSE),"")</f>
        <v/>
      </c>
    </row>
    <row r="39" spans="1:45" x14ac:dyDescent="0.35">
      <c r="A39" s="28" t="s">
        <v>550</v>
      </c>
      <c r="B39" s="1024">
        <f>IF(advanced!G54&lt;&gt;"",advanced!G54,$D$19)</f>
        <v>46113</v>
      </c>
      <c r="C39" s="7"/>
      <c r="D39" s="7"/>
      <c r="E39" s="993">
        <f>advanced!I54</f>
        <v>0</v>
      </c>
      <c r="F39" s="992"/>
      <c r="G39" s="1556"/>
      <c r="H39" s="5"/>
      <c r="R39" s="2335">
        <f>E23</f>
        <v>0</v>
      </c>
      <c r="W39" s="2334" t="str">
        <f>IF(K23=1,VLOOKUP($B23,$B$24:$E$35,4,FALSE),"")</f>
        <v/>
      </c>
      <c r="AB39" s="2333" t="str">
        <f>IF(L23=1,VLOOKUP($B23,$B$24:$E$35,4,FALSE),"")</f>
        <v/>
      </c>
      <c r="AG39" s="2334" t="str">
        <f>IF(M23=1,VLOOKUP($B23,$B$24:$E$35,4,FALSE),"")</f>
        <v/>
      </c>
      <c r="AL39" s="2334" t="str">
        <f>IF(N23=1,VLOOKUP($B23,$B$24:$E$35,4,FALSE),"")</f>
        <v/>
      </c>
      <c r="AQ39" s="2334" t="str">
        <f>IF(O3=1,VLOOKUP($B23,$B$24:$E$35,4,FALSE),"")</f>
        <v/>
      </c>
    </row>
    <row r="40" spans="1:45" x14ac:dyDescent="0.35">
      <c r="A40" s="28" t="s">
        <v>1291</v>
      </c>
      <c r="B40" s="1024">
        <f>IF(advanced!H54="",$D$19,IF(advanced!H54+1=B41,advanced!H54,advanced!H54+1))</f>
        <v>46113</v>
      </c>
      <c r="C40" s="7"/>
      <c r="D40" s="7"/>
      <c r="E40" s="7">
        <v>0</v>
      </c>
      <c r="G40" s="5"/>
      <c r="H40" s="5"/>
      <c r="R40" s="2334" t="str">
        <f>IF(J24=1,VLOOKUP($B24,$D$5:$G$18,2,FALSE),"")</f>
        <v/>
      </c>
      <c r="W40" s="2334" t="str">
        <f t="shared" ref="W40:W51" si="35">IF(K24=1,VLOOKUP($B24,$B$24:$E$35,4,FALSE),"")</f>
        <v/>
      </c>
      <c r="AB40" s="2333" t="str">
        <f t="shared" ref="AB40:AB51" si="36">IF(L24=1,VLOOKUP($B24,$B$24:$E$35,4,FALSE),"")</f>
        <v/>
      </c>
      <c r="AG40" s="2334" t="str">
        <f t="shared" ref="AG40:AG51" si="37">IF(M24=1,VLOOKUP($B24,$B$24:$E$35,4,FALSE),"")</f>
        <v/>
      </c>
      <c r="AL40" s="2334" t="str">
        <f t="shared" ref="AL40:AL51" si="38">IF(N24=1,VLOOKUP($B24,$B$24:$E$35,4,FALSE),"")</f>
        <v/>
      </c>
      <c r="AQ40" s="2334" t="str">
        <f t="shared" ref="AQ40:AQ51" si="39">IF(O4=1,VLOOKUP($B24,$B$24:$E$35,4,FALSE),"")</f>
        <v/>
      </c>
    </row>
    <row r="41" spans="1:45" x14ac:dyDescent="0.35">
      <c r="A41" s="28" t="s">
        <v>550</v>
      </c>
      <c r="B41" s="1024">
        <f>IF(advanced!G55&lt;&gt;"",advanced!G55,$D$19)</f>
        <v>46113</v>
      </c>
      <c r="C41" s="7"/>
      <c r="D41" s="7"/>
      <c r="E41" s="993">
        <f>advanced!I55</f>
        <v>0</v>
      </c>
      <c r="G41" s="5"/>
      <c r="H41" s="5"/>
      <c r="R41" s="2334" t="str">
        <f t="shared" ref="R41:R51" si="40">IF(J25=1,VLOOKUP($B25,$D$5:$G$18,2,FALSE),"")</f>
        <v/>
      </c>
      <c r="W41" s="2334" t="str">
        <f t="shared" si="35"/>
        <v/>
      </c>
      <c r="AB41" s="2333" t="str">
        <f t="shared" si="36"/>
        <v/>
      </c>
      <c r="AG41" s="2334" t="str">
        <f t="shared" si="37"/>
        <v/>
      </c>
      <c r="AL41" s="2334" t="str">
        <f t="shared" si="38"/>
        <v/>
      </c>
      <c r="AQ41" s="2334" t="str">
        <f t="shared" si="39"/>
        <v/>
      </c>
    </row>
    <row r="42" spans="1:45" x14ac:dyDescent="0.35">
      <c r="A42" s="28" t="s">
        <v>1291</v>
      </c>
      <c r="B42" s="1024">
        <f>IF(advanced!H55="",$D$19,IF(advanced!H55+1=B43,advanced!H55,advanced!H55+1))</f>
        <v>46113</v>
      </c>
      <c r="C42" s="7"/>
      <c r="D42" s="7"/>
      <c r="E42" s="7">
        <v>0</v>
      </c>
      <c r="G42" s="5"/>
      <c r="H42" s="5"/>
      <c r="R42" s="2334" t="str">
        <f t="shared" si="40"/>
        <v/>
      </c>
      <c r="W42" s="2334" t="str">
        <f t="shared" si="35"/>
        <v/>
      </c>
      <c r="AB42" s="2333" t="str">
        <f t="shared" si="36"/>
        <v/>
      </c>
      <c r="AG42" s="2334" t="str">
        <f t="shared" si="37"/>
        <v/>
      </c>
      <c r="AL42" s="2334" t="str">
        <f t="shared" si="38"/>
        <v/>
      </c>
      <c r="AQ42" s="2334" t="str">
        <f t="shared" si="39"/>
        <v/>
      </c>
    </row>
    <row r="43" spans="1:45" x14ac:dyDescent="0.35">
      <c r="A43" s="28" t="s">
        <v>550</v>
      </c>
      <c r="B43" s="1024">
        <f>IF(advanced!G56&lt;&gt;"",advanced!G56,$D$19)</f>
        <v>46113</v>
      </c>
      <c r="C43" s="7"/>
      <c r="D43" s="7"/>
      <c r="E43" s="993">
        <f>advanced!I56</f>
        <v>0</v>
      </c>
      <c r="G43" s="5"/>
      <c r="H43" s="5"/>
      <c r="R43" s="2334" t="str">
        <f t="shared" si="40"/>
        <v/>
      </c>
      <c r="W43" s="2334" t="str">
        <f t="shared" si="35"/>
        <v/>
      </c>
      <c r="AB43" s="2333" t="str">
        <f t="shared" si="36"/>
        <v/>
      </c>
      <c r="AG43" s="2334" t="str">
        <f t="shared" si="37"/>
        <v/>
      </c>
      <c r="AL43" s="2334" t="str">
        <f t="shared" si="38"/>
        <v/>
      </c>
      <c r="AQ43" s="2334" t="str">
        <f t="shared" si="39"/>
        <v/>
      </c>
    </row>
    <row r="44" spans="1:45" x14ac:dyDescent="0.35">
      <c r="A44" s="28" t="s">
        <v>1291</v>
      </c>
      <c r="B44" s="1024">
        <f>IF(advanced!H56="",$D$19,IF(advanced!H56+1=B45,advanced!H56,advanced!H56+1))</f>
        <v>46113</v>
      </c>
      <c r="C44" s="7"/>
      <c r="D44" s="7"/>
      <c r="E44" s="7">
        <v>0</v>
      </c>
      <c r="G44" s="5"/>
      <c r="H44" s="5"/>
      <c r="R44" s="2334" t="str">
        <f t="shared" si="40"/>
        <v/>
      </c>
      <c r="W44" s="2334" t="str">
        <f t="shared" si="35"/>
        <v/>
      </c>
      <c r="AB44" s="2333" t="str">
        <f t="shared" si="36"/>
        <v/>
      </c>
      <c r="AG44" s="2334" t="str">
        <f t="shared" si="37"/>
        <v/>
      </c>
      <c r="AL44" s="2334" t="str">
        <f t="shared" si="38"/>
        <v/>
      </c>
      <c r="AQ44" s="2334" t="str">
        <f t="shared" si="39"/>
        <v/>
      </c>
    </row>
    <row r="45" spans="1:45" x14ac:dyDescent="0.35">
      <c r="A45" s="28" t="s">
        <v>550</v>
      </c>
      <c r="B45" s="1024">
        <f>IF(advanced!G57&lt;&gt;"",advanced!G57,$D$19)</f>
        <v>46113</v>
      </c>
      <c r="C45" s="7"/>
      <c r="D45" s="7"/>
      <c r="E45" s="993">
        <f>advanced!I57</f>
        <v>0</v>
      </c>
      <c r="G45" s="5"/>
      <c r="H45" s="5"/>
      <c r="R45" s="2334" t="str">
        <f t="shared" si="40"/>
        <v/>
      </c>
      <c r="W45" s="2334" t="str">
        <f t="shared" si="35"/>
        <v/>
      </c>
      <c r="AB45" s="2333" t="str">
        <f t="shared" si="36"/>
        <v/>
      </c>
      <c r="AG45" s="2334" t="str">
        <f t="shared" si="37"/>
        <v/>
      </c>
      <c r="AL45" s="2334" t="str">
        <f t="shared" si="38"/>
        <v/>
      </c>
      <c r="AQ45" s="2334" t="str">
        <f t="shared" si="39"/>
        <v/>
      </c>
    </row>
    <row r="46" spans="1:45" x14ac:dyDescent="0.35">
      <c r="A46" s="28" t="s">
        <v>1291</v>
      </c>
      <c r="B46" s="1024">
        <f>IF(advanced!H57="",$D$19,IF(advanced!H57+1=B47,advanced!H57,advanced!H57+1))</f>
        <v>46113</v>
      </c>
      <c r="C46" s="7"/>
      <c r="D46" s="7"/>
      <c r="E46" s="7">
        <v>0</v>
      </c>
      <c r="G46" s="5"/>
      <c r="H46" s="5"/>
      <c r="R46" s="2334" t="str">
        <f t="shared" si="40"/>
        <v/>
      </c>
      <c r="W46" s="2334" t="str">
        <f t="shared" si="35"/>
        <v/>
      </c>
      <c r="AB46" s="2333" t="str">
        <f t="shared" si="36"/>
        <v/>
      </c>
      <c r="AG46" s="2334" t="str">
        <f t="shared" si="37"/>
        <v/>
      </c>
      <c r="AL46" s="2334" t="str">
        <f t="shared" si="38"/>
        <v/>
      </c>
      <c r="AQ46" s="2334" t="str">
        <f t="shared" si="39"/>
        <v/>
      </c>
    </row>
    <row r="47" spans="1:45" x14ac:dyDescent="0.35">
      <c r="A47" s="28" t="s">
        <v>550</v>
      </c>
      <c r="B47" s="1024">
        <f>IF(advanced!G58&lt;&gt;"",advanced!G58,$D$19)</f>
        <v>46113</v>
      </c>
      <c r="C47" s="7"/>
      <c r="D47" s="7"/>
      <c r="E47" s="993">
        <f>advanced!I58</f>
        <v>0</v>
      </c>
      <c r="G47" s="5"/>
      <c r="H47" s="5"/>
      <c r="R47" s="2334" t="str">
        <f t="shared" si="40"/>
        <v/>
      </c>
      <c r="W47" s="2334" t="str">
        <f t="shared" si="35"/>
        <v/>
      </c>
      <c r="AB47" s="2333" t="str">
        <f t="shared" si="36"/>
        <v/>
      </c>
      <c r="AG47" s="2334" t="str">
        <f t="shared" si="37"/>
        <v/>
      </c>
      <c r="AL47" s="2334" t="str">
        <f t="shared" si="38"/>
        <v/>
      </c>
      <c r="AQ47" s="2334" t="str">
        <f t="shared" si="39"/>
        <v/>
      </c>
    </row>
    <row r="48" spans="1:45" x14ac:dyDescent="0.35">
      <c r="A48" s="28" t="s">
        <v>1291</v>
      </c>
      <c r="B48" s="1024">
        <f>IF(advanced!H58="",$D$19,IF(advanced!H58+1=B49,advanced!H58,advanced!H58+1))</f>
        <v>46113</v>
      </c>
      <c r="C48" s="7"/>
      <c r="D48" s="7"/>
      <c r="E48" s="7">
        <v>0</v>
      </c>
      <c r="G48" s="5"/>
      <c r="H48" s="5"/>
      <c r="R48" s="2334" t="str">
        <f t="shared" si="40"/>
        <v/>
      </c>
      <c r="W48" s="2334" t="str">
        <f t="shared" si="35"/>
        <v/>
      </c>
      <c r="AB48" s="2333" t="str">
        <f t="shared" si="36"/>
        <v/>
      </c>
      <c r="AG48" s="2334" t="str">
        <f t="shared" si="37"/>
        <v/>
      </c>
      <c r="AL48" s="2334" t="str">
        <f t="shared" si="38"/>
        <v/>
      </c>
      <c r="AQ48" s="2334" t="str">
        <f t="shared" si="39"/>
        <v/>
      </c>
    </row>
    <row r="49" spans="2:43" x14ac:dyDescent="0.35">
      <c r="B49" s="5"/>
      <c r="C49" s="5"/>
      <c r="D49" s="5"/>
      <c r="E49" s="5"/>
      <c r="R49" s="2334" t="str">
        <f t="shared" si="40"/>
        <v/>
      </c>
      <c r="W49" s="2334" t="str">
        <f t="shared" si="35"/>
        <v/>
      </c>
      <c r="AB49" s="2333" t="str">
        <f t="shared" si="36"/>
        <v/>
      </c>
      <c r="AG49" s="2334" t="str">
        <f t="shared" si="37"/>
        <v/>
      </c>
      <c r="AL49" s="2334" t="str">
        <f t="shared" si="38"/>
        <v/>
      </c>
      <c r="AQ49" s="2334" t="str">
        <f t="shared" si="39"/>
        <v/>
      </c>
    </row>
    <row r="50" spans="2:43" x14ac:dyDescent="0.35">
      <c r="B50" s="5"/>
      <c r="C50" s="5"/>
      <c r="D50" s="5"/>
      <c r="E50" s="5"/>
      <c r="R50" s="2334" t="str">
        <f t="shared" si="40"/>
        <v/>
      </c>
      <c r="W50" s="2334" t="str">
        <f t="shared" si="35"/>
        <v/>
      </c>
      <c r="AB50" s="2333" t="str">
        <f t="shared" si="36"/>
        <v/>
      </c>
      <c r="AG50" s="2334" t="str">
        <f t="shared" si="37"/>
        <v/>
      </c>
      <c r="AL50" s="2334" t="str">
        <f t="shared" si="38"/>
        <v/>
      </c>
      <c r="AQ50" s="2334" t="str">
        <f t="shared" si="39"/>
        <v/>
      </c>
    </row>
    <row r="51" spans="2:43" x14ac:dyDescent="0.35">
      <c r="B51" s="5"/>
      <c r="C51" s="5"/>
      <c r="D51" s="5"/>
      <c r="E51" s="5"/>
      <c r="R51" s="2334" t="str">
        <f t="shared" si="40"/>
        <v/>
      </c>
      <c r="W51" s="2334" t="str">
        <f t="shared" si="35"/>
        <v/>
      </c>
      <c r="AB51" s="2333" t="str">
        <f t="shared" si="36"/>
        <v/>
      </c>
      <c r="AG51" s="2334" t="str">
        <f t="shared" si="37"/>
        <v/>
      </c>
      <c r="AL51" s="2334" t="str">
        <f t="shared" si="38"/>
        <v/>
      </c>
      <c r="AQ51" s="2334" t="str">
        <f t="shared" si="39"/>
        <v/>
      </c>
    </row>
    <row r="52" spans="2:43" x14ac:dyDescent="0.35">
      <c r="B52" s="5"/>
      <c r="C52" s="5"/>
      <c r="D52" s="5"/>
      <c r="E52" s="5"/>
    </row>
    <row r="54" spans="2:43" x14ac:dyDescent="0.35">
      <c r="L54" s="5"/>
    </row>
    <row r="55" spans="2:43" x14ac:dyDescent="0.35">
      <c r="L55" s="5"/>
    </row>
    <row r="56" spans="2:43" x14ac:dyDescent="0.35">
      <c r="L56" s="5"/>
    </row>
    <row r="57" spans="2:43" x14ac:dyDescent="0.35">
      <c r="L57" s="5"/>
    </row>
    <row r="58" spans="2:43" x14ac:dyDescent="0.35">
      <c r="L58" s="5"/>
    </row>
    <row r="59" spans="2:43" x14ac:dyDescent="0.35">
      <c r="L59" s="5"/>
    </row>
    <row r="60" spans="2:43" x14ac:dyDescent="0.35">
      <c r="L60" s="5"/>
    </row>
    <row r="61" spans="2:43" x14ac:dyDescent="0.35">
      <c r="L61" s="5"/>
    </row>
    <row r="62" spans="2:43" x14ac:dyDescent="0.35">
      <c r="L62" s="5"/>
    </row>
    <row r="63" spans="2:43" x14ac:dyDescent="0.35">
      <c r="L63" s="5"/>
    </row>
    <row r="64" spans="2:43" x14ac:dyDescent="0.35">
      <c r="L64" s="5"/>
    </row>
    <row r="65" spans="12:12" x14ac:dyDescent="0.35">
      <c r="L65" s="5"/>
    </row>
    <row r="66" spans="12:12" x14ac:dyDescent="0.35">
      <c r="L66" s="5"/>
    </row>
    <row r="67" spans="12:12" x14ac:dyDescent="0.35">
      <c r="L67" s="5"/>
    </row>
    <row r="68" spans="12:12" x14ac:dyDescent="0.35">
      <c r="L68" s="5"/>
    </row>
    <row r="69" spans="12:12" x14ac:dyDescent="0.35">
      <c r="L69" s="5"/>
    </row>
    <row r="70" spans="12:12" x14ac:dyDescent="0.35">
      <c r="L70" s="5"/>
    </row>
    <row r="71" spans="12:12" x14ac:dyDescent="0.35">
      <c r="L71" s="5"/>
    </row>
    <row r="72" spans="12:12" x14ac:dyDescent="0.35">
      <c r="L72" s="5"/>
    </row>
    <row r="73" spans="12:12" x14ac:dyDescent="0.35">
      <c r="L73" s="5"/>
    </row>
    <row r="74" spans="12:12" x14ac:dyDescent="0.35">
      <c r="L74" s="5"/>
    </row>
    <row r="75" spans="12:12" x14ac:dyDescent="0.35">
      <c r="L75" s="5"/>
    </row>
    <row r="76" spans="12:12" x14ac:dyDescent="0.35">
      <c r="L76" s="5"/>
    </row>
    <row r="77" spans="12:12" x14ac:dyDescent="0.35">
      <c r="L77" s="5"/>
    </row>
    <row r="78" spans="12:12" x14ac:dyDescent="0.35">
      <c r="L78" s="5"/>
    </row>
    <row r="79" spans="12:12" x14ac:dyDescent="0.35">
      <c r="L79" s="5"/>
    </row>
    <row r="80" spans="12:12" x14ac:dyDescent="0.35">
      <c r="L80" s="5"/>
    </row>
  </sheetData>
  <sheetProtection password="BCD8" sheet="1" objects="1" scenarios="1"/>
  <phoneticPr fontId="0" type="noConversion"/>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D2A0B-8258-4A62-8C76-84432170D399}">
  <sheetPr codeName="Sheet80"/>
  <dimension ref="A3:AS80"/>
  <sheetViews>
    <sheetView workbookViewId="0"/>
  </sheetViews>
  <sheetFormatPr defaultRowHeight="14.5" x14ac:dyDescent="0.35"/>
  <cols>
    <col min="1" max="1" width="25.36328125" customWidth="1"/>
    <col min="2" max="2" width="12.08984375" hidden="1" customWidth="1"/>
    <col min="3" max="3" width="8.90625" hidden="1" customWidth="1"/>
    <col min="4" max="4" width="15.90625" hidden="1" customWidth="1"/>
    <col min="5" max="5" width="15.36328125" hidden="1" customWidth="1"/>
    <col min="6" max="6" width="16.453125" hidden="1" customWidth="1"/>
    <col min="7" max="7" width="14.54296875" hidden="1" customWidth="1"/>
    <col min="8" max="8" width="8.90625" hidden="1" customWidth="1"/>
    <col min="9" max="9" width="13.36328125" hidden="1" customWidth="1"/>
    <col min="10" max="10" width="14.90625" hidden="1" customWidth="1"/>
    <col min="11" max="11" width="11.08984375" hidden="1" customWidth="1"/>
    <col min="12" max="12" width="16.08984375" hidden="1" customWidth="1"/>
    <col min="13" max="13" width="17.54296875" hidden="1" customWidth="1"/>
    <col min="14" max="14" width="14.54296875" hidden="1" customWidth="1"/>
    <col min="15" max="15" width="11.453125" hidden="1" customWidth="1"/>
    <col min="16" max="16" width="16.90625" hidden="1" customWidth="1"/>
    <col min="17" max="17" width="13.08984375" hidden="1" customWidth="1"/>
    <col min="18" max="18" width="13.36328125" hidden="1" customWidth="1"/>
    <col min="19" max="19" width="13.54296875" hidden="1" customWidth="1"/>
    <col min="20" max="21" width="8.90625" hidden="1" customWidth="1"/>
    <col min="22" max="22" width="14.08984375" hidden="1" customWidth="1"/>
    <col min="23" max="23" width="12.90625" hidden="1" customWidth="1"/>
    <col min="24" max="24" width="8.90625" hidden="1" customWidth="1"/>
    <col min="25" max="25" width="11.90625" hidden="1" customWidth="1"/>
    <col min="26" max="26" width="8.90625" hidden="1" customWidth="1"/>
    <col min="27" max="27" width="12.08984375" hidden="1" customWidth="1"/>
    <col min="28" max="30" width="8.90625" hidden="1" customWidth="1"/>
    <col min="31" max="31" width="11" hidden="1" customWidth="1"/>
    <col min="32" max="32" width="14" hidden="1" customWidth="1"/>
    <col min="33" max="36" width="8.90625" hidden="1" customWidth="1"/>
    <col min="37" max="37" width="15" hidden="1" customWidth="1"/>
    <col min="38" max="41" width="8.90625" hidden="1" customWidth="1"/>
    <col min="42" max="42" width="13.54296875" hidden="1" customWidth="1"/>
    <col min="43" max="45" width="8.90625" hidden="1" customWidth="1"/>
  </cols>
  <sheetData>
    <row r="3" spans="1:21" ht="15.5" x14ac:dyDescent="0.35">
      <c r="B3" s="172"/>
      <c r="C3" s="1011" t="s">
        <v>658</v>
      </c>
      <c r="D3" s="984"/>
      <c r="E3" s="984"/>
      <c r="F3" s="984"/>
      <c r="G3" s="984"/>
      <c r="I3" s="984"/>
      <c r="J3" s="984"/>
      <c r="K3" s="984"/>
      <c r="M3" s="984"/>
      <c r="N3" s="984"/>
      <c r="O3" s="984"/>
      <c r="P3" s="984"/>
      <c r="R3" s="984" t="s">
        <v>866</v>
      </c>
      <c r="S3" s="984"/>
      <c r="T3" s="984"/>
      <c r="U3" s="984"/>
    </row>
    <row r="4" spans="1:21" x14ac:dyDescent="0.35">
      <c r="C4" t="s">
        <v>270</v>
      </c>
      <c r="D4" s="5" t="s">
        <v>656</v>
      </c>
      <c r="E4" s="5" t="s">
        <v>308</v>
      </c>
      <c r="F4" s="5" t="s">
        <v>657</v>
      </c>
      <c r="G4" s="5" t="s">
        <v>317</v>
      </c>
      <c r="I4" s="995" t="s">
        <v>523</v>
      </c>
      <c r="M4" s="991" t="s">
        <v>509</v>
      </c>
      <c r="N4" s="29" t="s">
        <v>510</v>
      </c>
      <c r="O4" s="29" t="s">
        <v>537</v>
      </c>
      <c r="P4" s="29" t="s">
        <v>538</v>
      </c>
      <c r="Q4" s="5"/>
      <c r="R4" s="7"/>
      <c r="S4" s="7" t="str">
        <f>E4</f>
        <v>rv</v>
      </c>
      <c r="T4" s="7" t="str">
        <f>F4</f>
        <v>perc</v>
      </c>
      <c r="U4" s="7" t="str">
        <f>G4</f>
        <v>empty</v>
      </c>
    </row>
    <row r="5" spans="1:21" x14ac:dyDescent="0.35">
      <c r="A5" s="503" t="s">
        <v>511</v>
      </c>
      <c r="B5" s="6">
        <f>text!$C$53+1</f>
        <v>46113</v>
      </c>
      <c r="C5">
        <v>0</v>
      </c>
      <c r="D5" s="13">
        <f>IF(OR(advanced!H69=0,advanced!H69=""),$B$5,advanced!H69)</f>
        <v>45017</v>
      </c>
      <c r="E5" s="27">
        <f>advanced!I69</f>
        <v>0</v>
      </c>
      <c r="F5" s="989">
        <f>advanced!J69</f>
        <v>1</v>
      </c>
      <c r="G5" s="5" t="str">
        <f>advanced!K69</f>
        <v>n</v>
      </c>
      <c r="I5" t="s">
        <v>516</v>
      </c>
      <c r="J5" t="s">
        <v>520</v>
      </c>
      <c r="L5">
        <f t="shared" ref="L5:L17" si="0">C6</f>
        <v>1</v>
      </c>
      <c r="M5" s="13">
        <f>SMALL(($D$6:$D$18),L5)</f>
        <v>46113</v>
      </c>
      <c r="N5" s="992">
        <f>IF(M5=0,$B$5,M5)</f>
        <v>46113</v>
      </c>
      <c r="O5" s="992">
        <f t="shared" ref="O5:O17" si="1">SMALL($N$5:$N$17,L5)</f>
        <v>46113</v>
      </c>
      <c r="P5" s="992">
        <f>O5</f>
        <v>46113</v>
      </c>
      <c r="Q5" s="5"/>
      <c r="R5" s="1024">
        <f>D18</f>
        <v>46114</v>
      </c>
      <c r="S5" s="7" t="str">
        <f>VLOOKUP(R5,D5:G16,2,TRUE)</f>
        <v/>
      </c>
      <c r="T5" s="7">
        <f>VLOOKUP(R5,D5:G16,3,TRUE)</f>
        <v>1</v>
      </c>
      <c r="U5" s="7" t="str">
        <f>VLOOKUP(R5,D5:G16,4,TRUE)</f>
        <v>n</v>
      </c>
    </row>
    <row r="6" spans="1:21" x14ac:dyDescent="0.35">
      <c r="B6" s="28" t="s">
        <v>515</v>
      </c>
      <c r="C6">
        <v>1</v>
      </c>
      <c r="D6" s="13">
        <f>IF(OR(advanced!H70=0,advanced!H70=""),$B$5,advanced!H70)</f>
        <v>46113</v>
      </c>
      <c r="E6" s="27" t="str">
        <f>advanced!I70</f>
        <v/>
      </c>
      <c r="F6" s="989">
        <f>advanced!J70</f>
        <v>1</v>
      </c>
      <c r="G6" s="5" t="str">
        <f>advanced!K70</f>
        <v>n</v>
      </c>
      <c r="I6" t="s">
        <v>517</v>
      </c>
      <c r="J6" t="s">
        <v>524</v>
      </c>
      <c r="L6">
        <f t="shared" si="0"/>
        <v>2</v>
      </c>
      <c r="M6" s="13">
        <f t="shared" ref="M6:M17" si="2">SMALL(($D$6:$D$18),L6)</f>
        <v>46113</v>
      </c>
      <c r="N6" s="992">
        <f t="shared" ref="N6:N17" si="3">IF(M6=0,$B$5,M6)</f>
        <v>46113</v>
      </c>
      <c r="O6" s="992">
        <f t="shared" si="1"/>
        <v>46113</v>
      </c>
      <c r="P6" s="992">
        <f>IF(OR(O6=P5,O6=P4,O6=G20),$B$5,O6)</f>
        <v>46113</v>
      </c>
      <c r="Q6" s="5"/>
    </row>
    <row r="7" spans="1:21" x14ac:dyDescent="0.35">
      <c r="B7" s="28" t="s">
        <v>515</v>
      </c>
      <c r="C7">
        <v>2</v>
      </c>
      <c r="D7" s="13">
        <f>IF(OR(advanced!H71=0,advanced!H71=""),$B$5,advanced!H71)</f>
        <v>46113</v>
      </c>
      <c r="E7" s="27" t="str">
        <f>advanced!I71</f>
        <v/>
      </c>
      <c r="F7" s="989">
        <f>advanced!J71</f>
        <v>1</v>
      </c>
      <c r="G7" s="5" t="str">
        <f>advanced!K71</f>
        <v>n</v>
      </c>
      <c r="I7" t="s">
        <v>518</v>
      </c>
      <c r="J7" t="s">
        <v>525</v>
      </c>
      <c r="L7">
        <f t="shared" si="0"/>
        <v>3</v>
      </c>
      <c r="M7" s="13">
        <f t="shared" si="2"/>
        <v>46113</v>
      </c>
      <c r="N7" s="992">
        <f t="shared" si="3"/>
        <v>46113</v>
      </c>
      <c r="O7" s="992">
        <f t="shared" si="1"/>
        <v>46113</v>
      </c>
      <c r="P7" s="992">
        <f t="shared" ref="P7:P17" si="4">IF(OR(O7=P6,O7=P5,O7=P4),$B$5,O7)</f>
        <v>46113</v>
      </c>
      <c r="Q7" s="5"/>
      <c r="R7" s="984" t="s">
        <v>867</v>
      </c>
      <c r="S7" s="984"/>
      <c r="T7" s="984"/>
      <c r="U7" s="984"/>
    </row>
    <row r="8" spans="1:21" x14ac:dyDescent="0.35">
      <c r="B8" s="28" t="s">
        <v>515</v>
      </c>
      <c r="C8">
        <v>3</v>
      </c>
      <c r="D8" s="13">
        <f>IF(OR(advanced!H72=0,advanced!H72=""),$B$5,advanced!H72)</f>
        <v>46113</v>
      </c>
      <c r="E8" s="27" t="str">
        <f>advanced!I72</f>
        <v/>
      </c>
      <c r="F8" s="989">
        <f>advanced!J72</f>
        <v>1</v>
      </c>
      <c r="G8" s="5" t="str">
        <f>advanced!K72</f>
        <v>n</v>
      </c>
      <c r="I8" t="s">
        <v>519</v>
      </c>
      <c r="J8" t="s">
        <v>526</v>
      </c>
      <c r="L8">
        <f t="shared" si="0"/>
        <v>4</v>
      </c>
      <c r="M8" s="13">
        <f t="shared" si="2"/>
        <v>46113</v>
      </c>
      <c r="N8" s="992">
        <f t="shared" si="3"/>
        <v>46113</v>
      </c>
      <c r="O8" s="992">
        <f t="shared" si="1"/>
        <v>46113</v>
      </c>
      <c r="P8" s="992">
        <f t="shared" si="4"/>
        <v>46113</v>
      </c>
      <c r="Q8" s="5"/>
      <c r="R8" s="7"/>
      <c r="S8" s="7" t="str">
        <f>S4</f>
        <v>rv</v>
      </c>
      <c r="T8" s="7" t="str">
        <f>T4</f>
        <v>perc</v>
      </c>
      <c r="U8" s="7" t="str">
        <f>U4</f>
        <v>empty</v>
      </c>
    </row>
    <row r="9" spans="1:21" x14ac:dyDescent="0.35">
      <c r="B9" s="28" t="s">
        <v>515</v>
      </c>
      <c r="C9">
        <v>4</v>
      </c>
      <c r="D9" s="13">
        <f>IF(OR(advanced!H73=0,advanced!H73=""),$B$5,advanced!H73)</f>
        <v>46113</v>
      </c>
      <c r="E9" s="27" t="str">
        <f>advanced!I73</f>
        <v/>
      </c>
      <c r="F9" s="989">
        <f>advanced!J73</f>
        <v>1</v>
      </c>
      <c r="G9" s="5" t="str">
        <f>advanced!K73</f>
        <v>n</v>
      </c>
      <c r="L9">
        <f t="shared" si="0"/>
        <v>5</v>
      </c>
      <c r="M9" s="13">
        <f t="shared" si="2"/>
        <v>46113</v>
      </c>
      <c r="N9" s="992">
        <f t="shared" si="3"/>
        <v>46113</v>
      </c>
      <c r="O9" s="992">
        <f t="shared" si="1"/>
        <v>46113</v>
      </c>
      <c r="P9" s="992">
        <f t="shared" si="4"/>
        <v>46113</v>
      </c>
      <c r="Q9" s="5"/>
      <c r="R9" s="1024">
        <f>D17</f>
        <v>46114</v>
      </c>
      <c r="S9" s="7" t="str">
        <f>VLOOKUP(R5,D5:G16,2,TRUE)</f>
        <v/>
      </c>
      <c r="T9" s="7">
        <f>VLOOKUP(R5,D5:G16,3,TRUE)</f>
        <v>1</v>
      </c>
      <c r="U9" s="7" t="str">
        <f>VLOOKUP(R5,D5:G16,4,TRUE)</f>
        <v>n</v>
      </c>
    </row>
    <row r="10" spans="1:21" x14ac:dyDescent="0.35">
      <c r="B10" s="28" t="s">
        <v>515</v>
      </c>
      <c r="C10">
        <v>5</v>
      </c>
      <c r="D10" s="13">
        <f>IF(OR(advanced!H74=0,advanced!H74=""),$B$5,advanced!H74)</f>
        <v>46113</v>
      </c>
      <c r="E10" s="27" t="str">
        <f>advanced!I74</f>
        <v/>
      </c>
      <c r="F10" s="989">
        <f>advanced!J74</f>
        <v>1</v>
      </c>
      <c r="G10" s="5" t="str">
        <f>advanced!K74</f>
        <v>n</v>
      </c>
      <c r="I10" s="995" t="s">
        <v>536</v>
      </c>
      <c r="L10">
        <f t="shared" si="0"/>
        <v>6</v>
      </c>
      <c r="M10" s="13">
        <f t="shared" si="2"/>
        <v>46113</v>
      </c>
      <c r="N10" s="992">
        <f t="shared" si="3"/>
        <v>46113</v>
      </c>
      <c r="O10" s="992">
        <f t="shared" si="1"/>
        <v>46113</v>
      </c>
      <c r="P10" s="992">
        <f t="shared" si="4"/>
        <v>46113</v>
      </c>
      <c r="Q10" s="5"/>
    </row>
    <row r="11" spans="1:21" x14ac:dyDescent="0.35">
      <c r="B11" s="28" t="s">
        <v>515</v>
      </c>
      <c r="C11">
        <v>6</v>
      </c>
      <c r="D11" s="13">
        <f>IF(OR(advanced!H75=0,advanced!H75=""),$B$5,advanced!H75)</f>
        <v>46113</v>
      </c>
      <c r="E11" s="27" t="str">
        <f>advanced!I75</f>
        <v/>
      </c>
      <c r="F11" s="989">
        <f>advanced!J75</f>
        <v>1</v>
      </c>
      <c r="G11" s="5" t="str">
        <f>advanced!K75</f>
        <v>n</v>
      </c>
      <c r="I11" t="s">
        <v>849</v>
      </c>
      <c r="J11" t="s">
        <v>1218</v>
      </c>
      <c r="L11">
        <f t="shared" si="0"/>
        <v>7</v>
      </c>
      <c r="M11" s="13">
        <f t="shared" si="2"/>
        <v>46113</v>
      </c>
      <c r="N11" s="992">
        <f t="shared" si="3"/>
        <v>46113</v>
      </c>
      <c r="O11" s="992">
        <f t="shared" si="1"/>
        <v>46113</v>
      </c>
      <c r="P11" s="992">
        <f t="shared" si="4"/>
        <v>46113</v>
      </c>
      <c r="Q11" s="5"/>
    </row>
    <row r="12" spans="1:21" x14ac:dyDescent="0.35">
      <c r="B12" s="28" t="s">
        <v>515</v>
      </c>
      <c r="C12">
        <v>7</v>
      </c>
      <c r="D12" s="13">
        <f>IF(OR(advanced!H76=0,advanced!H76=""),$B$5,advanced!H76)</f>
        <v>46113</v>
      </c>
      <c r="E12" s="27" t="str">
        <f>advanced!I76</f>
        <v/>
      </c>
      <c r="F12" s="989">
        <f>advanced!J76</f>
        <v>1</v>
      </c>
      <c r="G12" s="5" t="str">
        <f>advanced!K76</f>
        <v>n</v>
      </c>
      <c r="I12" t="s">
        <v>850</v>
      </c>
      <c r="J12" t="s">
        <v>1219</v>
      </c>
      <c r="L12">
        <f t="shared" si="0"/>
        <v>8</v>
      </c>
      <c r="M12" s="13">
        <f t="shared" si="2"/>
        <v>46113</v>
      </c>
      <c r="N12" s="992">
        <f t="shared" si="3"/>
        <v>46113</v>
      </c>
      <c r="O12" s="992">
        <f t="shared" si="1"/>
        <v>46113</v>
      </c>
      <c r="P12" s="992">
        <f t="shared" si="4"/>
        <v>46113</v>
      </c>
      <c r="Q12" s="5"/>
    </row>
    <row r="13" spans="1:21" x14ac:dyDescent="0.35">
      <c r="B13" s="28" t="s">
        <v>515</v>
      </c>
      <c r="C13">
        <v>8</v>
      </c>
      <c r="D13" s="13">
        <f>IF(OR(advanced!H77=0,advanced!H77=""),$B$5,advanced!H77)</f>
        <v>46113</v>
      </c>
      <c r="E13" s="27" t="str">
        <f>advanced!I77</f>
        <v/>
      </c>
      <c r="F13" s="989">
        <f>advanced!J77</f>
        <v>1</v>
      </c>
      <c r="G13" s="5" t="str">
        <f>advanced!K77</f>
        <v>n</v>
      </c>
      <c r="I13" t="s">
        <v>251</v>
      </c>
      <c r="J13" t="s">
        <v>528</v>
      </c>
      <c r="L13">
        <f t="shared" si="0"/>
        <v>9</v>
      </c>
      <c r="M13" s="13">
        <f t="shared" si="2"/>
        <v>46113</v>
      </c>
      <c r="N13" s="992">
        <f t="shared" si="3"/>
        <v>46113</v>
      </c>
      <c r="O13" s="992">
        <f t="shared" si="1"/>
        <v>46113</v>
      </c>
      <c r="P13" s="992">
        <f t="shared" si="4"/>
        <v>46113</v>
      </c>
      <c r="Q13" s="5"/>
    </row>
    <row r="14" spans="1:21" x14ac:dyDescent="0.35">
      <c r="B14" s="28" t="s">
        <v>515</v>
      </c>
      <c r="C14">
        <v>9</v>
      </c>
      <c r="D14" s="13">
        <f>IF(OR(advanced!H78=0,advanced!H78=""),$B$5,advanced!H78)</f>
        <v>46113</v>
      </c>
      <c r="E14" s="27" t="str">
        <f>advanced!I78</f>
        <v/>
      </c>
      <c r="F14" s="989">
        <f>advanced!J78</f>
        <v>1</v>
      </c>
      <c r="G14" s="5" t="str">
        <f>advanced!K78</f>
        <v>n</v>
      </c>
      <c r="I14" t="s">
        <v>267</v>
      </c>
      <c r="J14" t="s">
        <v>529</v>
      </c>
      <c r="L14">
        <f t="shared" si="0"/>
        <v>10</v>
      </c>
      <c r="M14" s="13">
        <f t="shared" si="2"/>
        <v>46113</v>
      </c>
      <c r="N14" s="992">
        <f t="shared" si="3"/>
        <v>46113</v>
      </c>
      <c r="O14" s="992">
        <f t="shared" si="1"/>
        <v>46113</v>
      </c>
      <c r="P14" s="992">
        <f t="shared" si="4"/>
        <v>46113</v>
      </c>
      <c r="Q14" s="5"/>
    </row>
    <row r="15" spans="1:21" x14ac:dyDescent="0.35">
      <c r="B15" s="28" t="s">
        <v>515</v>
      </c>
      <c r="C15">
        <v>10</v>
      </c>
      <c r="D15" s="13">
        <f>IF(OR(advanced!H79=0,advanced!H79=""),$B$5,advanced!H79)</f>
        <v>46113</v>
      </c>
      <c r="E15" s="27" t="str">
        <f>advanced!I79</f>
        <v/>
      </c>
      <c r="F15" s="989">
        <f>advanced!J79</f>
        <v>1</v>
      </c>
      <c r="G15" s="5" t="str">
        <f>advanced!K79</f>
        <v>n</v>
      </c>
      <c r="I15" t="s">
        <v>527</v>
      </c>
      <c r="J15" t="s">
        <v>530</v>
      </c>
      <c r="L15">
        <f t="shared" si="0"/>
        <v>11</v>
      </c>
      <c r="M15" s="13">
        <f t="shared" si="2"/>
        <v>46113</v>
      </c>
      <c r="N15" s="992">
        <f t="shared" si="3"/>
        <v>46113</v>
      </c>
      <c r="O15" s="992">
        <f t="shared" si="1"/>
        <v>46113</v>
      </c>
      <c r="P15" s="992">
        <f t="shared" si="4"/>
        <v>46113</v>
      </c>
      <c r="Q15" s="5"/>
    </row>
    <row r="16" spans="1:21" x14ac:dyDescent="0.35">
      <c r="B16" s="28" t="s">
        <v>515</v>
      </c>
      <c r="C16">
        <v>11</v>
      </c>
      <c r="D16" s="13">
        <f>IF(OR(advanced!H80=0,advanced!H80=""),$B$5,advanced!H80)</f>
        <v>46113</v>
      </c>
      <c r="E16" s="27" t="str">
        <f>advanced!I80</f>
        <v/>
      </c>
      <c r="F16" s="989">
        <f>advanced!J80</f>
        <v>1</v>
      </c>
      <c r="G16" s="5" t="str">
        <f>advanced!K80</f>
        <v>n</v>
      </c>
      <c r="L16">
        <f t="shared" si="0"/>
        <v>12</v>
      </c>
      <c r="M16" s="13">
        <f t="shared" si="2"/>
        <v>46114</v>
      </c>
      <c r="N16" s="992">
        <f t="shared" si="3"/>
        <v>46114</v>
      </c>
      <c r="O16" s="992">
        <f t="shared" si="1"/>
        <v>46114</v>
      </c>
      <c r="P16" s="992">
        <f t="shared" si="4"/>
        <v>46114</v>
      </c>
      <c r="Q16" s="5"/>
    </row>
    <row r="17" spans="1:45" x14ac:dyDescent="0.35">
      <c r="B17" s="28" t="s">
        <v>513</v>
      </c>
      <c r="C17">
        <v>12</v>
      </c>
      <c r="D17" s="13">
        <f>IF(OR(advanced!I37="",advanced!I37=0),B5+1,advanced!I37)</f>
        <v>46114</v>
      </c>
      <c r="E17" s="27" t="str">
        <f>S9</f>
        <v/>
      </c>
      <c r="F17" s="989">
        <f>T9</f>
        <v>1</v>
      </c>
      <c r="G17" s="5" t="str">
        <f>U9</f>
        <v>n</v>
      </c>
      <c r="L17">
        <f t="shared" si="0"/>
        <v>13</v>
      </c>
      <c r="M17" s="13">
        <f t="shared" si="2"/>
        <v>46114</v>
      </c>
      <c r="N17" s="992">
        <f t="shared" si="3"/>
        <v>46114</v>
      </c>
      <c r="O17" s="992">
        <f t="shared" si="1"/>
        <v>46114</v>
      </c>
      <c r="P17" s="992">
        <f t="shared" si="4"/>
        <v>46113</v>
      </c>
      <c r="Q17" s="5"/>
    </row>
    <row r="18" spans="1:45" x14ac:dyDescent="0.35">
      <c r="B18" s="28" t="s">
        <v>512</v>
      </c>
      <c r="C18">
        <v>13</v>
      </c>
      <c r="D18" s="13">
        <f>IF(OR(advanced!I45="",advanced!I45=0),B5+1,advanced!I45)</f>
        <v>46114</v>
      </c>
      <c r="E18" s="27" t="str">
        <f>S5</f>
        <v/>
      </c>
      <c r="F18" s="989">
        <f>T5</f>
        <v>1</v>
      </c>
      <c r="G18" s="5" t="str">
        <f>U5</f>
        <v>n</v>
      </c>
    </row>
    <row r="19" spans="1:45" x14ac:dyDescent="0.35">
      <c r="B19" s="28" t="s">
        <v>514</v>
      </c>
      <c r="C19" s="28" t="s">
        <v>2396</v>
      </c>
      <c r="D19" s="13">
        <f>B5</f>
        <v>46113</v>
      </c>
      <c r="E19" s="27"/>
      <c r="F19" s="5"/>
      <c r="G19" s="5"/>
    </row>
    <row r="20" spans="1:45" x14ac:dyDescent="0.35">
      <c r="C20" s="28"/>
      <c r="D20" s="13"/>
      <c r="E20" s="5"/>
      <c r="F20" s="27"/>
      <c r="G20" s="5"/>
      <c r="H20" s="5"/>
      <c r="P20" s="982" t="s">
        <v>606</v>
      </c>
      <c r="Q20" s="5"/>
      <c r="R20" s="5"/>
      <c r="S20" s="5"/>
      <c r="U20" s="1012" t="s">
        <v>606</v>
      </c>
      <c r="V20" s="5"/>
      <c r="Z20" s="1013" t="s">
        <v>606</v>
      </c>
      <c r="AE20" s="1014" t="s">
        <v>606</v>
      </c>
      <c r="AJ20" s="1015" t="s">
        <v>606</v>
      </c>
      <c r="AO20" s="1012" t="s">
        <v>606</v>
      </c>
      <c r="AP20" s="13"/>
    </row>
    <row r="21" spans="1:45" x14ac:dyDescent="0.35">
      <c r="B21" s="7" t="s">
        <v>533</v>
      </c>
      <c r="C21" s="993">
        <f>advanced!I41</f>
        <v>0</v>
      </c>
      <c r="D21" s="993">
        <f>advanced!I36</f>
        <v>0</v>
      </c>
      <c r="E21" s="5"/>
      <c r="F21" s="5"/>
      <c r="G21" s="5"/>
      <c r="H21" s="5"/>
      <c r="J21" s="5">
        <v>1</v>
      </c>
      <c r="K21" s="5">
        <v>2</v>
      </c>
      <c r="L21" s="5">
        <v>3</v>
      </c>
      <c r="M21" s="5">
        <v>4</v>
      </c>
      <c r="N21" s="5">
        <v>5</v>
      </c>
      <c r="O21" s="5">
        <v>6</v>
      </c>
      <c r="P21" s="1016">
        <f>MAX(P23:P36)</f>
        <v>1</v>
      </c>
      <c r="Q21" s="1016"/>
      <c r="R21" s="2291"/>
      <c r="S21" s="1016"/>
      <c r="T21" s="984"/>
      <c r="U21" s="1017">
        <f>MAX(U23:U36)</f>
        <v>0</v>
      </c>
      <c r="V21" s="1017"/>
      <c r="W21" s="2291"/>
      <c r="X21" s="1017"/>
      <c r="Y21" s="1018"/>
      <c r="Z21" s="1019">
        <f>MAX(Z23:Z36)</f>
        <v>0</v>
      </c>
      <c r="AA21" s="1019"/>
      <c r="AB21" s="2291"/>
      <c r="AC21" s="1019"/>
      <c r="AD21" s="996"/>
      <c r="AE21" s="1020">
        <f>MAX(AE23:AE36)</f>
        <v>12</v>
      </c>
      <c r="AF21" s="1020"/>
      <c r="AG21" s="2291"/>
      <c r="AH21" s="1020"/>
      <c r="AI21" s="1021"/>
      <c r="AJ21" s="1022">
        <f>MAX(AJ23:AJ36)</f>
        <v>0</v>
      </c>
      <c r="AK21" s="1022"/>
      <c r="AL21" s="2291"/>
      <c r="AM21" s="1022"/>
      <c r="AN21" s="580"/>
      <c r="AO21" s="1017">
        <f>MAX(AO23:AO36)</f>
        <v>0</v>
      </c>
      <c r="AP21" s="13"/>
      <c r="AQ21" s="2291"/>
    </row>
    <row r="22" spans="1:45" x14ac:dyDescent="0.35">
      <c r="B22" t="s">
        <v>659</v>
      </c>
      <c r="C22" s="7" t="s">
        <v>531</v>
      </c>
      <c r="D22" s="7" t="s">
        <v>532</v>
      </c>
      <c r="E22" s="5" t="s">
        <v>272</v>
      </c>
      <c r="F22" s="5" t="s">
        <v>534</v>
      </c>
      <c r="G22" s="5" t="str">
        <f>F4</f>
        <v>perc</v>
      </c>
      <c r="H22" s="5" t="str">
        <f>G4</f>
        <v>empty</v>
      </c>
      <c r="I22" s="5" t="s">
        <v>660</v>
      </c>
      <c r="J22" s="5" t="s">
        <v>597</v>
      </c>
      <c r="K22" s="5" t="s">
        <v>598</v>
      </c>
      <c r="L22" s="5" t="s">
        <v>599</v>
      </c>
      <c r="M22" s="5" t="s">
        <v>603</v>
      </c>
      <c r="N22" s="5" t="s">
        <v>604</v>
      </c>
      <c r="O22" s="5" t="s">
        <v>605</v>
      </c>
      <c r="P22" s="1016" t="s">
        <v>607</v>
      </c>
      <c r="Q22" s="1016" t="s">
        <v>608</v>
      </c>
      <c r="R22" s="1016" t="s">
        <v>609</v>
      </c>
      <c r="S22" s="1016" t="s">
        <v>610</v>
      </c>
      <c r="T22" s="1016" t="s">
        <v>611</v>
      </c>
      <c r="U22" s="1017" t="s">
        <v>612</v>
      </c>
      <c r="V22" s="1017" t="s">
        <v>613</v>
      </c>
      <c r="W22" s="1017" t="s">
        <v>614</v>
      </c>
      <c r="X22" s="1017" t="s">
        <v>615</v>
      </c>
      <c r="Y22" s="1017" t="s">
        <v>616</v>
      </c>
      <c r="Z22" s="1019" t="s">
        <v>617</v>
      </c>
      <c r="AA22" s="1019" t="s">
        <v>618</v>
      </c>
      <c r="AB22" s="1019" t="s">
        <v>619</v>
      </c>
      <c r="AC22" s="1019" t="s">
        <v>620</v>
      </c>
      <c r="AD22" s="1019" t="s">
        <v>621</v>
      </c>
      <c r="AE22" s="1020" t="s">
        <v>622</v>
      </c>
      <c r="AF22" s="1020" t="s">
        <v>623</v>
      </c>
      <c r="AG22" s="1020" t="s">
        <v>624</v>
      </c>
      <c r="AH22" s="1020" t="s">
        <v>625</v>
      </c>
      <c r="AI22" s="1020" t="s">
        <v>626</v>
      </c>
      <c r="AJ22" s="1022" t="s">
        <v>627</v>
      </c>
      <c r="AK22" s="1022" t="s">
        <v>628</v>
      </c>
      <c r="AL22" s="1022" t="s">
        <v>629</v>
      </c>
      <c r="AM22" s="1022" t="s">
        <v>630</v>
      </c>
      <c r="AN22" s="1022" t="s">
        <v>631</v>
      </c>
      <c r="AO22" s="1017" t="s">
        <v>632</v>
      </c>
      <c r="AP22" s="1017" t="s">
        <v>633</v>
      </c>
      <c r="AQ22" s="1017" t="s">
        <v>634</v>
      </c>
      <c r="AR22" s="1017" t="s">
        <v>635</v>
      </c>
      <c r="AS22" s="1017" t="s">
        <v>636</v>
      </c>
    </row>
    <row r="23" spans="1:45" x14ac:dyDescent="0.35">
      <c r="A23" t="s">
        <v>535</v>
      </c>
      <c r="B23" s="1">
        <f>D5</f>
        <v>45017</v>
      </c>
      <c r="C23" s="992" t="str">
        <f>IF(OR($C$21="",$C$21=0,$D$18=0),"n",IF(LOOKUP(advanced!$I$45,$B$23:$B$36)=B23,"b","n"))</f>
        <v>n</v>
      </c>
      <c r="D23" s="992" t="str">
        <f>IF(OR($D$21="",$D$21=0,D17=0),"n",IF(LOOKUP(advanced!I37,$B$23:$B$36)=B23,"c","n"))</f>
        <v>n</v>
      </c>
      <c r="E23" s="27">
        <f t="array" ref="E23">IF(VLOOKUP(B23,$D$5:$G$18,2,FALSE)="","",VLOOKUP(B23,$D$5:$G$18,2,FALSE)-IF(OR($B$39:$B$48=B23)=TRUE,VLOOKUP(B23,$B$39:$E$48,4,FALSE),0))</f>
        <v>0</v>
      </c>
      <c r="F23" s="992" t="str">
        <f>C23&amp;D23</f>
        <v>nn</v>
      </c>
      <c r="G23" s="5">
        <f>VLOOKUP(B23,$D$5:$G$18,3,FALSE)</f>
        <v>1</v>
      </c>
      <c r="H23" s="5" t="str">
        <f>VLOOKUP(B23,$D$5:$G$18,4,FALSE)</f>
        <v>n</v>
      </c>
      <c r="I23" s="5">
        <f>VLOOKUP(B23,data!$B$13:$D$20,3,TRUE)</f>
        <v>1</v>
      </c>
      <c r="J23" s="5">
        <f t="shared" ref="J23:O35" si="5">IF($I23=J$21,1,0)</f>
        <v>1</v>
      </c>
      <c r="K23" s="5">
        <f t="shared" si="5"/>
        <v>0</v>
      </c>
      <c r="L23" s="5">
        <f t="shared" si="5"/>
        <v>0</v>
      </c>
      <c r="M23" s="5">
        <f t="shared" si="5"/>
        <v>0</v>
      </c>
      <c r="N23" s="5">
        <f t="shared" si="5"/>
        <v>0</v>
      </c>
      <c r="O23" s="5">
        <f t="shared" si="5"/>
        <v>0</v>
      </c>
      <c r="P23" s="5">
        <f>J23</f>
        <v>1</v>
      </c>
      <c r="Q23" s="13">
        <f t="shared" ref="Q23:Q36" si="6">IF(J23=1,B23,"")</f>
        <v>45017</v>
      </c>
      <c r="R23" s="5">
        <f>IF(R39&lt;0,0,R39)</f>
        <v>0</v>
      </c>
      <c r="S23" s="989">
        <f>G23</f>
        <v>1</v>
      </c>
      <c r="T23" s="989" t="str">
        <f>H23</f>
        <v>n</v>
      </c>
      <c r="U23" s="5">
        <f>K23</f>
        <v>0</v>
      </c>
      <c r="V23" s="13" t="str">
        <f>IF(K23=1,B23,"")</f>
        <v/>
      </c>
      <c r="W23" s="5" t="str">
        <f>IF(W39&lt;0,0,W39)</f>
        <v/>
      </c>
      <c r="X23" s="989" t="str">
        <f>IF(K23=1,VLOOKUP($B23,$D$5:$G$18,3,FALSE),"")</f>
        <v/>
      </c>
      <c r="Y23" s="989" t="str">
        <f>IF(K23=1,VLOOKUP($B23,$D$5:$G$18,4,FALSE),"")</f>
        <v/>
      </c>
      <c r="Z23" s="5">
        <f>L23</f>
        <v>0</v>
      </c>
      <c r="AA23" s="13" t="str">
        <f>IF(L23=1,$B23,"")</f>
        <v/>
      </c>
      <c r="AB23" s="5" t="str">
        <f>IF(AB39&lt;0,0,AB39)</f>
        <v/>
      </c>
      <c r="AC23" s="989" t="str">
        <f>IF(L23=1,VLOOKUP($B23,$D$5:$G$18,3,FALSE),"")</f>
        <v/>
      </c>
      <c r="AD23" s="989" t="str">
        <f>IF(L23=1,VLOOKUP($B23,$D$5:$G$18,4,FALSE),"")</f>
        <v/>
      </c>
      <c r="AE23" s="5">
        <f>M23</f>
        <v>0</v>
      </c>
      <c r="AF23" s="13" t="str">
        <f>IF(M23=1,$B23,"")</f>
        <v/>
      </c>
      <c r="AG23" s="5" t="str">
        <f>IF(AG39&lt;0,0,AG39)</f>
        <v/>
      </c>
      <c r="AH23" s="989" t="str">
        <f>IF(M23=1,VLOOKUP($B23,$D$5:$G$18,3,FALSE),"")</f>
        <v/>
      </c>
      <c r="AI23" s="989" t="str">
        <f>IF(M23=1,VLOOKUP($B23,$D$5:$G$18,4,FALSE),"")</f>
        <v/>
      </c>
      <c r="AJ23" s="5">
        <f>N23</f>
        <v>0</v>
      </c>
      <c r="AK23" s="13" t="str">
        <f>IF(N23=1,$B23,"")</f>
        <v/>
      </c>
      <c r="AL23" s="5" t="str">
        <f>IF(AL39&lt;0,0,AL39)</f>
        <v/>
      </c>
      <c r="AM23" s="989" t="str">
        <f>IF(N23=1,VLOOKUP($B23,$D$5:$G$18,3,FALSE),"")</f>
        <v/>
      </c>
      <c r="AN23" s="989" t="str">
        <f>IF(N23=1,VLOOKUP($B23,$D$5:$G$18,4,FALSE),"")</f>
        <v/>
      </c>
      <c r="AO23" s="5">
        <f>O23</f>
        <v>0</v>
      </c>
      <c r="AP23" s="13" t="str">
        <f>IF(O23=1,$B23,"")</f>
        <v/>
      </c>
      <c r="AQ23" s="5" t="str">
        <f>IF(AQ39&lt;0,0,AQ39)</f>
        <v/>
      </c>
      <c r="AR23" s="989" t="str">
        <f>IF(O23=1,VLOOKUP($B23,$D$5:$G$18,3,FALSE),"")</f>
        <v/>
      </c>
      <c r="AS23" s="989" t="str">
        <f>IF(O23=1,VLOOKUP($B23,$D$5:$G$18,4,FALSE),"")</f>
        <v/>
      </c>
    </row>
    <row r="24" spans="1:45" x14ac:dyDescent="0.35">
      <c r="A24">
        <v>1</v>
      </c>
      <c r="B24" s="1">
        <f t="shared" ref="B24:B36" si="7">SMALL($P$5:$P$17,A24)</f>
        <v>46113</v>
      </c>
      <c r="C24" s="992" t="str">
        <f>IF(OR($C$21="",$C$21=0,$D$18=0),"n",IF(C23="b","b",IF(LOOKUP(advanced!$I$45,$B$23:$B$36)=B24,"b","n")))</f>
        <v>n</v>
      </c>
      <c r="D24" s="992" t="str">
        <f>IF(OR($D$21="",$D$21=0,$D$17=0),"n",IF(D23="c","c",IF(LOOKUP(advanced!$I$37,$B$23:$B$36)=B24,"c","n")))</f>
        <v>n</v>
      </c>
      <c r="E24" s="27" t="str">
        <f t="array" ref="E24">IF(VLOOKUP(B24,$D$5:$G$18,2,FALSE)="","",VLOOKUP(B24,$D$5:$G$18,2,FALSE)-IF(OR($B$39:$B$48=B24)=TRUE,VLOOKUP(B24,$B$39:$E$48,4,FALSE),0))</f>
        <v/>
      </c>
      <c r="F24" s="992" t="str">
        <f t="shared" ref="F24:F35" si="8">C24&amp;D24</f>
        <v>nn</v>
      </c>
      <c r="G24" s="5">
        <f t="shared" ref="G24:G35" si="9">VLOOKUP(B24,$D$5:$G$18,3,FALSE)</f>
        <v>1</v>
      </c>
      <c r="H24" s="5" t="str">
        <f t="shared" ref="H24:H35" si="10">VLOOKUP(B24,$D$5:$G$18,4,FALSE)</f>
        <v>n</v>
      </c>
      <c r="I24" s="5">
        <f>VLOOKUP(B24,data!$B$13:$D$20,3,TRUE)</f>
        <v>4</v>
      </c>
      <c r="J24" s="5">
        <f t="shared" si="5"/>
        <v>0</v>
      </c>
      <c r="K24" s="5">
        <f t="shared" si="5"/>
        <v>0</v>
      </c>
      <c r="L24" s="5">
        <f t="shared" si="5"/>
        <v>0</v>
      </c>
      <c r="M24" s="5">
        <f t="shared" si="5"/>
        <v>1</v>
      </c>
      <c r="N24" s="5">
        <f t="shared" si="5"/>
        <v>0</v>
      </c>
      <c r="O24" s="5">
        <f t="shared" si="5"/>
        <v>0</v>
      </c>
      <c r="P24" s="1023" t="str">
        <f>IF(J24=1,SUM(J$23:J24),"")</f>
        <v/>
      </c>
      <c r="Q24" s="13" t="str">
        <f t="shared" si="6"/>
        <v/>
      </c>
      <c r="R24" s="5" t="str">
        <f t="shared" ref="R24:R35" si="11">IF(R40&lt;0,0,R40)</f>
        <v/>
      </c>
      <c r="S24" s="989" t="str">
        <f>IF(J24=1,VLOOKUP($B24,$D$5:$G$18,3,FALSE),"")</f>
        <v/>
      </c>
      <c r="T24" s="989" t="str">
        <f>IF(J24=1,VLOOKUP($B24,$D$5:$G$18,4,FALSE),"")</f>
        <v/>
      </c>
      <c r="U24" s="1023" t="str">
        <f>IF(K24=1,SUM(K$23:K24),"")</f>
        <v/>
      </c>
      <c r="V24" s="13" t="str">
        <f t="shared" ref="V24:V35" si="12">IF(K24=1,B24,"")</f>
        <v/>
      </c>
      <c r="W24" s="5" t="str">
        <f t="shared" ref="W24:W35" si="13">IF(W40&lt;0,0,W40)</f>
        <v/>
      </c>
      <c r="X24" s="989" t="str">
        <f t="shared" ref="X24:X35" si="14">IF(K24=1,VLOOKUP($B24,$D$5:$G$18,3,FALSE),"")</f>
        <v/>
      </c>
      <c r="Y24" s="989" t="str">
        <f t="shared" ref="Y24:Y35" si="15">IF(K24=1,VLOOKUP($B24,$D$5:$G$18,4,FALSE),"")</f>
        <v/>
      </c>
      <c r="Z24" s="1023" t="str">
        <f>IF(L24=1,SUM(L$23:L24),"")</f>
        <v/>
      </c>
      <c r="AA24" s="13" t="str">
        <f>IF(L24=1,$B24,"")</f>
        <v/>
      </c>
      <c r="AB24" s="5" t="str">
        <f t="shared" ref="AB24:AB35" si="16">IF(AB40&lt;0,0,AB40)</f>
        <v/>
      </c>
      <c r="AC24" s="989" t="str">
        <f t="shared" ref="AC24:AC35" si="17">IF(L24=1,VLOOKUP($B24,$D$5:$G$18,3,FALSE),"")</f>
        <v/>
      </c>
      <c r="AD24" s="989" t="str">
        <f t="shared" ref="AD24:AD35" si="18">IF(L24=1,VLOOKUP($B24,$D$5:$G$18,4,FALSE),"")</f>
        <v/>
      </c>
      <c r="AE24" s="1023">
        <f>IF(M24=1,SUM(M$23:M24),"")</f>
        <v>1</v>
      </c>
      <c r="AF24" s="13">
        <f t="shared" ref="AF24:AF35" si="19">IF(M24=1,$B24,"")</f>
        <v>46113</v>
      </c>
      <c r="AG24" s="5" t="str">
        <f t="shared" ref="AG24:AG35" si="20">IF(AG40&lt;0,0,AG40)</f>
        <v/>
      </c>
      <c r="AH24" s="989">
        <f t="shared" ref="AH24:AH35" si="21">IF(M24=1,VLOOKUP($B24,$D$5:$G$18,3,FALSE),"")</f>
        <v>1</v>
      </c>
      <c r="AI24" s="989" t="str">
        <f t="shared" ref="AI24:AI35" si="22">IF(M24=1,VLOOKUP($B24,$D$5:$G$18,4,FALSE),"")</f>
        <v>n</v>
      </c>
      <c r="AJ24" s="1023" t="str">
        <f>IF(N24=1,SUM(N$23:N24),"")</f>
        <v/>
      </c>
      <c r="AK24" s="13" t="str">
        <f t="shared" ref="AK24:AK35" si="23">IF(N24=1,$B24,"")</f>
        <v/>
      </c>
      <c r="AL24" s="5" t="str">
        <f t="shared" ref="AL24:AL35" si="24">IF(AL40&lt;0,0,AL40)</f>
        <v/>
      </c>
      <c r="AM24" s="989" t="str">
        <f t="shared" ref="AM24:AM35" si="25">IF(N24=1,VLOOKUP($B24,$D$5:$G$18,3,FALSE),"")</f>
        <v/>
      </c>
      <c r="AN24" s="989" t="str">
        <f t="shared" ref="AN24:AN35" si="26">IF(N24=1,VLOOKUP($B24,$D$5:$G$18,4,FALSE),"")</f>
        <v/>
      </c>
      <c r="AO24" s="1023" t="str">
        <f>IF(O24=1,SUM(O$23:O24),"")</f>
        <v/>
      </c>
      <c r="AP24" s="13" t="str">
        <f t="shared" ref="AP24:AP35" si="27">IF(O24=1,$B24,"")</f>
        <v/>
      </c>
      <c r="AQ24" s="5" t="str">
        <f t="shared" ref="AQ24:AQ35" si="28">IF(AQ40&lt;0,0,AQ40)</f>
        <v/>
      </c>
      <c r="AR24" s="989" t="str">
        <f t="shared" ref="AR24:AR35" si="29">IF(O24=1,VLOOKUP($B24,$D$5:$G$18,3,FALSE),"")</f>
        <v/>
      </c>
      <c r="AS24" s="989" t="str">
        <f t="shared" ref="AS24:AS35" si="30">IF(O24=1,VLOOKUP($B24,$D$5:$G$18,4,FALSE),"")</f>
        <v/>
      </c>
    </row>
    <row r="25" spans="1:45" x14ac:dyDescent="0.35">
      <c r="A25">
        <v>2</v>
      </c>
      <c r="B25" s="1">
        <f t="shared" si="7"/>
        <v>46113</v>
      </c>
      <c r="C25" s="992" t="str">
        <f>IF(OR($C$21="",$C$21=0,$D$18=0),"n",IF(C24="b","b",IF(LOOKUP(advanced!$I$45,$B$23:$B$36)=B25,"b","n")))</f>
        <v>n</v>
      </c>
      <c r="D25" s="992" t="str">
        <f>IF(OR($D$21="",$D$21=0,$D$17=0),"n",IF(D24="c","c",IF(LOOKUP(advanced!$I$37,$B$23:$B$36)=B25,"c","n")))</f>
        <v>n</v>
      </c>
      <c r="E25" s="27" t="str">
        <f t="array" ref="E25">IF(VLOOKUP(B25,$D$5:$G$18,2,FALSE)="","",VLOOKUP(B25,$D$5:$G$18,2,FALSE)-IF(OR($B$39:$B$48=B25)=TRUE,VLOOKUP(B25,$B$39:$E$48,4,FALSE),0))</f>
        <v/>
      </c>
      <c r="F25" s="992" t="str">
        <f t="shared" si="8"/>
        <v>nn</v>
      </c>
      <c r="G25" s="5">
        <f t="shared" si="9"/>
        <v>1</v>
      </c>
      <c r="H25" s="5" t="str">
        <f t="shared" si="10"/>
        <v>n</v>
      </c>
      <c r="I25" s="5">
        <f>VLOOKUP(B25,data!$B$13:$D$20,3,TRUE)</f>
        <v>4</v>
      </c>
      <c r="J25" s="5">
        <f t="shared" si="5"/>
        <v>0</v>
      </c>
      <c r="K25" s="5">
        <f t="shared" si="5"/>
        <v>0</v>
      </c>
      <c r="L25" s="5">
        <f t="shared" si="5"/>
        <v>0</v>
      </c>
      <c r="M25" s="5">
        <f t="shared" si="5"/>
        <v>1</v>
      </c>
      <c r="N25" s="5">
        <f t="shared" si="5"/>
        <v>0</v>
      </c>
      <c r="O25" s="5">
        <f t="shared" si="5"/>
        <v>0</v>
      </c>
      <c r="P25" s="1023" t="str">
        <f>IF(J25=1,SUM(J$23:J25),"")</f>
        <v/>
      </c>
      <c r="Q25" s="13" t="str">
        <f t="shared" si="6"/>
        <v/>
      </c>
      <c r="R25" s="5" t="str">
        <f t="shared" si="11"/>
        <v/>
      </c>
      <c r="S25" s="989" t="str">
        <f t="shared" ref="S25:S35" si="31">IF(J25=1,VLOOKUP($B25,$D$5:$G$18,3,FALSE),"")</f>
        <v/>
      </c>
      <c r="T25" s="989" t="str">
        <f t="shared" ref="T25:T35" si="32">IF(J25=1,VLOOKUP($B25,$D$5:$G$18,4,FALSE),"")</f>
        <v/>
      </c>
      <c r="U25" s="1023" t="str">
        <f>IF(K25=1,SUM(K$23:K25),"")</f>
        <v/>
      </c>
      <c r="V25" s="13" t="str">
        <f t="shared" si="12"/>
        <v/>
      </c>
      <c r="W25" s="5" t="str">
        <f t="shared" si="13"/>
        <v/>
      </c>
      <c r="X25" s="989" t="str">
        <f t="shared" si="14"/>
        <v/>
      </c>
      <c r="Y25" s="989" t="str">
        <f t="shared" si="15"/>
        <v/>
      </c>
      <c r="Z25" s="1023" t="str">
        <f>IF(L25=1,SUM(L$23:L25),"")</f>
        <v/>
      </c>
      <c r="AA25" s="13" t="str">
        <f t="shared" ref="AA25:AA35" si="33">IF(L25=1,$B25,"")</f>
        <v/>
      </c>
      <c r="AB25" s="5" t="str">
        <f t="shared" si="16"/>
        <v/>
      </c>
      <c r="AC25" s="989" t="str">
        <f t="shared" si="17"/>
        <v/>
      </c>
      <c r="AD25" s="989" t="str">
        <f t="shared" si="18"/>
        <v/>
      </c>
      <c r="AE25" s="1023">
        <f>IF(M25=1,SUM(M$23:M25),"")</f>
        <v>2</v>
      </c>
      <c r="AF25" s="13">
        <f t="shared" si="19"/>
        <v>46113</v>
      </c>
      <c r="AG25" s="5" t="str">
        <f t="shared" si="20"/>
        <v/>
      </c>
      <c r="AH25" s="989">
        <f t="shared" si="21"/>
        <v>1</v>
      </c>
      <c r="AI25" s="989" t="str">
        <f t="shared" si="22"/>
        <v>n</v>
      </c>
      <c r="AJ25" s="1023" t="str">
        <f>IF(N25=1,SUM(N$23:N25),"")</f>
        <v/>
      </c>
      <c r="AK25" s="13" t="str">
        <f t="shared" si="23"/>
        <v/>
      </c>
      <c r="AL25" s="5" t="str">
        <f t="shared" si="24"/>
        <v/>
      </c>
      <c r="AM25" s="989" t="str">
        <f t="shared" si="25"/>
        <v/>
      </c>
      <c r="AN25" s="989" t="str">
        <f t="shared" si="26"/>
        <v/>
      </c>
      <c r="AO25" s="1023" t="str">
        <f>IF(O25=1,SUM(O$23:O25),"")</f>
        <v/>
      </c>
      <c r="AP25" s="13" t="str">
        <f t="shared" si="27"/>
        <v/>
      </c>
      <c r="AQ25" s="5" t="str">
        <f t="shared" si="28"/>
        <v/>
      </c>
      <c r="AR25" s="989" t="str">
        <f t="shared" si="29"/>
        <v/>
      </c>
      <c r="AS25" s="989" t="str">
        <f t="shared" si="30"/>
        <v/>
      </c>
    </row>
    <row r="26" spans="1:45" x14ac:dyDescent="0.35">
      <c r="A26">
        <v>3</v>
      </c>
      <c r="B26" s="1">
        <f t="shared" si="7"/>
        <v>46113</v>
      </c>
      <c r="C26" s="992" t="str">
        <f>IF(OR($C$21="",$C$21=0,$D$18=0),"n",IF(C25="b","b",IF(LOOKUP(advanced!$I$45,$B$23:$B$36)=B26,"b","n")))</f>
        <v>n</v>
      </c>
      <c r="D26" s="992" t="str">
        <f>IF(OR($D$21="",$D$21=0,$D$17=0),"n",IF(D25="c","c",IF(LOOKUP(advanced!$I$37,$B$23:$B$36)=B26,"c","n")))</f>
        <v>n</v>
      </c>
      <c r="E26" s="27" t="str">
        <f t="array" ref="E26">IF(VLOOKUP(B26,$D$5:$G$18,2,FALSE)="","",VLOOKUP(B26,$D$5:$G$18,2,FALSE)-IF(OR($B$39:$B$48=B26)=TRUE,VLOOKUP(B26,$B$39:$E$48,4,FALSE),0))</f>
        <v/>
      </c>
      <c r="F26" s="992" t="str">
        <f t="shared" si="8"/>
        <v>nn</v>
      </c>
      <c r="G26" s="5">
        <f t="shared" si="9"/>
        <v>1</v>
      </c>
      <c r="H26" s="5" t="str">
        <f t="shared" si="10"/>
        <v>n</v>
      </c>
      <c r="I26" s="5">
        <f>VLOOKUP(B26,data!$B$13:$D$20,3,TRUE)</f>
        <v>4</v>
      </c>
      <c r="J26" s="5">
        <f t="shared" si="5"/>
        <v>0</v>
      </c>
      <c r="K26" s="5">
        <f t="shared" si="5"/>
        <v>0</v>
      </c>
      <c r="L26" s="5">
        <f t="shared" si="5"/>
        <v>0</v>
      </c>
      <c r="M26" s="5">
        <f t="shared" si="5"/>
        <v>1</v>
      </c>
      <c r="N26" s="5">
        <f t="shared" si="5"/>
        <v>0</v>
      </c>
      <c r="O26" s="5">
        <f t="shared" si="5"/>
        <v>0</v>
      </c>
      <c r="P26" s="1023" t="str">
        <f>IF(J26=1,SUM(J$23:J26),"")</f>
        <v/>
      </c>
      <c r="Q26" s="13" t="str">
        <f t="shared" si="6"/>
        <v/>
      </c>
      <c r="R26" s="5" t="str">
        <f t="shared" si="11"/>
        <v/>
      </c>
      <c r="S26" s="989" t="str">
        <f t="shared" si="31"/>
        <v/>
      </c>
      <c r="T26" s="989" t="str">
        <f t="shared" si="32"/>
        <v/>
      </c>
      <c r="U26" s="1023" t="str">
        <f>IF(K26=1,SUM(K$23:K26),"")</f>
        <v/>
      </c>
      <c r="V26" s="13" t="str">
        <f t="shared" si="12"/>
        <v/>
      </c>
      <c r="W26" s="5" t="str">
        <f t="shared" si="13"/>
        <v/>
      </c>
      <c r="X26" s="989" t="str">
        <f t="shared" si="14"/>
        <v/>
      </c>
      <c r="Y26" s="989" t="str">
        <f t="shared" si="15"/>
        <v/>
      </c>
      <c r="Z26" s="1023" t="str">
        <f>IF(L26=1,SUM(L$23:L26),"")</f>
        <v/>
      </c>
      <c r="AA26" s="13" t="str">
        <f t="shared" si="33"/>
        <v/>
      </c>
      <c r="AB26" s="5" t="str">
        <f t="shared" si="16"/>
        <v/>
      </c>
      <c r="AC26" s="989" t="str">
        <f t="shared" si="17"/>
        <v/>
      </c>
      <c r="AD26" s="989" t="str">
        <f t="shared" si="18"/>
        <v/>
      </c>
      <c r="AE26" s="1023">
        <f>IF(M26=1,SUM(M$23:M26),"")</f>
        <v>3</v>
      </c>
      <c r="AF26" s="13">
        <f t="shared" si="19"/>
        <v>46113</v>
      </c>
      <c r="AG26" s="5" t="str">
        <f t="shared" si="20"/>
        <v/>
      </c>
      <c r="AH26" s="989">
        <f t="shared" si="21"/>
        <v>1</v>
      </c>
      <c r="AI26" s="989" t="str">
        <f t="shared" si="22"/>
        <v>n</v>
      </c>
      <c r="AJ26" s="1023" t="str">
        <f>IF(N26=1,SUM(N$23:N26),"")</f>
        <v/>
      </c>
      <c r="AK26" s="13" t="str">
        <f t="shared" si="23"/>
        <v/>
      </c>
      <c r="AL26" s="5" t="str">
        <f t="shared" si="24"/>
        <v/>
      </c>
      <c r="AM26" s="989" t="str">
        <f t="shared" si="25"/>
        <v/>
      </c>
      <c r="AN26" s="989" t="str">
        <f t="shared" si="26"/>
        <v/>
      </c>
      <c r="AO26" s="1023" t="str">
        <f>IF(O26=1,SUM(O$23:O26),"")</f>
        <v/>
      </c>
      <c r="AP26" s="13" t="str">
        <f t="shared" si="27"/>
        <v/>
      </c>
      <c r="AQ26" s="5" t="str">
        <f t="shared" si="28"/>
        <v/>
      </c>
      <c r="AR26" s="989" t="str">
        <f t="shared" si="29"/>
        <v/>
      </c>
      <c r="AS26" s="989" t="str">
        <f t="shared" si="30"/>
        <v/>
      </c>
    </row>
    <row r="27" spans="1:45" x14ac:dyDescent="0.35">
      <c r="A27">
        <v>4</v>
      </c>
      <c r="B27" s="1">
        <f t="shared" si="7"/>
        <v>46113</v>
      </c>
      <c r="C27" s="992" t="str">
        <f>IF(OR($C$21="",$C$21=0,$D$18=0),"n",IF(C26="b","b",IF(LOOKUP(advanced!$I$45,$B$23:$B$36)=B27,"b","n")))</f>
        <v>n</v>
      </c>
      <c r="D27" s="992" t="str">
        <f>IF(OR($D$21="",$D$21=0,$D$17=0),"n",IF(D26="c","c",IF(LOOKUP(advanced!$I$37,$B$23:$B$36)=B27,"c","n")))</f>
        <v>n</v>
      </c>
      <c r="E27" s="27" t="str">
        <f t="array" ref="E27">IF(VLOOKUP(B27,$D$5:$G$18,2,FALSE)="","",VLOOKUP(B27,$D$5:$G$18,2,FALSE)-IF(OR($B$39:$B$48=B27)=TRUE,VLOOKUP(B27,$B$39:$E$48,4,FALSE),0))</f>
        <v/>
      </c>
      <c r="F27" s="992" t="str">
        <f t="shared" si="8"/>
        <v>nn</v>
      </c>
      <c r="G27" s="5">
        <f t="shared" si="9"/>
        <v>1</v>
      </c>
      <c r="H27" s="5" t="str">
        <f t="shared" si="10"/>
        <v>n</v>
      </c>
      <c r="I27" s="5">
        <f>VLOOKUP(B27,data!$B$13:$D$20,3,TRUE)</f>
        <v>4</v>
      </c>
      <c r="J27" s="5">
        <f t="shared" si="5"/>
        <v>0</v>
      </c>
      <c r="K27" s="5">
        <f t="shared" si="5"/>
        <v>0</v>
      </c>
      <c r="L27" s="5">
        <f t="shared" si="5"/>
        <v>0</v>
      </c>
      <c r="M27" s="5">
        <f t="shared" si="5"/>
        <v>1</v>
      </c>
      <c r="N27" s="5">
        <f t="shared" si="5"/>
        <v>0</v>
      </c>
      <c r="O27" s="5">
        <f t="shared" si="5"/>
        <v>0</v>
      </c>
      <c r="P27" s="1023" t="str">
        <f>IF(J27=1,SUM(J$23:J27),"")</f>
        <v/>
      </c>
      <c r="Q27" s="13" t="str">
        <f t="shared" si="6"/>
        <v/>
      </c>
      <c r="R27" s="5" t="str">
        <f t="shared" si="11"/>
        <v/>
      </c>
      <c r="S27" s="989" t="str">
        <f t="shared" si="31"/>
        <v/>
      </c>
      <c r="T27" s="989" t="str">
        <f t="shared" si="32"/>
        <v/>
      </c>
      <c r="U27" s="1023" t="str">
        <f>IF(K27=1,SUM(K$23:K27),"")</f>
        <v/>
      </c>
      <c r="V27" s="13" t="str">
        <f t="shared" si="12"/>
        <v/>
      </c>
      <c r="W27" s="5" t="str">
        <f t="shared" si="13"/>
        <v/>
      </c>
      <c r="X27" s="989" t="str">
        <f t="shared" si="14"/>
        <v/>
      </c>
      <c r="Y27" s="989" t="str">
        <f t="shared" si="15"/>
        <v/>
      </c>
      <c r="Z27" s="1023" t="str">
        <f>IF(L27=1,SUM(L$23:L27),"")</f>
        <v/>
      </c>
      <c r="AA27" s="13" t="str">
        <f t="shared" si="33"/>
        <v/>
      </c>
      <c r="AB27" s="5" t="str">
        <f t="shared" si="16"/>
        <v/>
      </c>
      <c r="AC27" s="989" t="str">
        <f t="shared" si="17"/>
        <v/>
      </c>
      <c r="AD27" s="989" t="str">
        <f t="shared" si="18"/>
        <v/>
      </c>
      <c r="AE27" s="1023">
        <f>IF(M27=1,SUM(M$23:M27),"")</f>
        <v>4</v>
      </c>
      <c r="AF27" s="13">
        <f t="shared" si="19"/>
        <v>46113</v>
      </c>
      <c r="AG27" s="5" t="str">
        <f t="shared" si="20"/>
        <v/>
      </c>
      <c r="AH27" s="989">
        <f t="shared" si="21"/>
        <v>1</v>
      </c>
      <c r="AI27" s="989" t="str">
        <f t="shared" si="22"/>
        <v>n</v>
      </c>
      <c r="AJ27" s="1023" t="str">
        <f>IF(N27=1,SUM(N$23:N27),"")</f>
        <v/>
      </c>
      <c r="AK27" s="13" t="str">
        <f t="shared" si="23"/>
        <v/>
      </c>
      <c r="AL27" s="5" t="str">
        <f t="shared" si="24"/>
        <v/>
      </c>
      <c r="AM27" s="989" t="str">
        <f t="shared" si="25"/>
        <v/>
      </c>
      <c r="AN27" s="989" t="str">
        <f t="shared" si="26"/>
        <v/>
      </c>
      <c r="AO27" s="1023" t="str">
        <f>IF(O27=1,SUM(O$23:O27),"")</f>
        <v/>
      </c>
      <c r="AP27" s="13" t="str">
        <f t="shared" si="27"/>
        <v/>
      </c>
      <c r="AQ27" s="5" t="str">
        <f t="shared" si="28"/>
        <v/>
      </c>
      <c r="AR27" s="989" t="str">
        <f t="shared" si="29"/>
        <v/>
      </c>
      <c r="AS27" s="989" t="str">
        <f t="shared" si="30"/>
        <v/>
      </c>
    </row>
    <row r="28" spans="1:45" x14ac:dyDescent="0.35">
      <c r="A28">
        <v>5</v>
      </c>
      <c r="B28" s="1">
        <f t="shared" si="7"/>
        <v>46113</v>
      </c>
      <c r="C28" s="992" t="str">
        <f>IF(OR($C$21="",$C$21=0,$D$18=0),"n",IF(C27="b","b",IF(LOOKUP(advanced!$I$45,$B$23:$B$36)=B28,"b","n")))</f>
        <v>n</v>
      </c>
      <c r="D28" s="992" t="str">
        <f>IF(OR($D$21="",$D$21=0,$D$17=0),"n",IF(D27="c","c",IF(LOOKUP(advanced!$I$37,$B$23:$B$36)=B28,"c","n")))</f>
        <v>n</v>
      </c>
      <c r="E28" s="27" t="str">
        <f t="array" ref="E28">IF(VLOOKUP(B28,$D$5:$G$18,2,FALSE)="","",VLOOKUP(B28,$D$5:$G$18,2,FALSE)-IF(OR($B$39:$B$48=B28)=TRUE,VLOOKUP(B28,$B$39:$E$48,4,FALSE),0))</f>
        <v/>
      </c>
      <c r="F28" s="992" t="str">
        <f t="shared" si="8"/>
        <v>nn</v>
      </c>
      <c r="G28" s="5">
        <f t="shared" si="9"/>
        <v>1</v>
      </c>
      <c r="H28" s="5" t="str">
        <f t="shared" si="10"/>
        <v>n</v>
      </c>
      <c r="I28" s="5">
        <f>VLOOKUP(B28,data!$B$13:$D$20,3,TRUE)</f>
        <v>4</v>
      </c>
      <c r="J28" s="5">
        <f t="shared" si="5"/>
        <v>0</v>
      </c>
      <c r="K28" s="5">
        <f t="shared" si="5"/>
        <v>0</v>
      </c>
      <c r="L28" s="5">
        <f t="shared" si="5"/>
        <v>0</v>
      </c>
      <c r="M28" s="5">
        <f t="shared" si="5"/>
        <v>1</v>
      </c>
      <c r="N28" s="5">
        <f t="shared" si="5"/>
        <v>0</v>
      </c>
      <c r="O28" s="5">
        <f t="shared" si="5"/>
        <v>0</v>
      </c>
      <c r="P28" s="1023" t="str">
        <f>IF(J28=1,SUM(J$23:J28),"")</f>
        <v/>
      </c>
      <c r="Q28" s="13" t="str">
        <f t="shared" si="6"/>
        <v/>
      </c>
      <c r="R28" s="5" t="str">
        <f t="shared" si="11"/>
        <v/>
      </c>
      <c r="S28" s="989" t="str">
        <f t="shared" si="31"/>
        <v/>
      </c>
      <c r="T28" s="989" t="str">
        <f t="shared" si="32"/>
        <v/>
      </c>
      <c r="U28" s="1023" t="str">
        <f>IF(K28=1,SUM(K$23:K28),"")</f>
        <v/>
      </c>
      <c r="V28" s="13" t="str">
        <f t="shared" si="12"/>
        <v/>
      </c>
      <c r="W28" s="5" t="str">
        <f t="shared" si="13"/>
        <v/>
      </c>
      <c r="X28" s="989" t="str">
        <f t="shared" si="14"/>
        <v/>
      </c>
      <c r="Y28" s="989" t="str">
        <f t="shared" si="15"/>
        <v/>
      </c>
      <c r="Z28" s="1023" t="str">
        <f>IF(L28=1,SUM(L$23:L28),"")</f>
        <v/>
      </c>
      <c r="AA28" s="13" t="str">
        <f t="shared" si="33"/>
        <v/>
      </c>
      <c r="AB28" s="5" t="str">
        <f t="shared" si="16"/>
        <v/>
      </c>
      <c r="AC28" s="989" t="str">
        <f t="shared" si="17"/>
        <v/>
      </c>
      <c r="AD28" s="989" t="str">
        <f t="shared" si="18"/>
        <v/>
      </c>
      <c r="AE28" s="1023">
        <f>IF(M28=1,SUM(M$23:M28),"")</f>
        <v>5</v>
      </c>
      <c r="AF28" s="13">
        <f t="shared" si="19"/>
        <v>46113</v>
      </c>
      <c r="AG28" s="5" t="str">
        <f t="shared" si="20"/>
        <v/>
      </c>
      <c r="AH28" s="989">
        <f t="shared" si="21"/>
        <v>1</v>
      </c>
      <c r="AI28" s="989" t="str">
        <f t="shared" si="22"/>
        <v>n</v>
      </c>
      <c r="AJ28" s="1023" t="str">
        <f>IF(N28=1,SUM(N$23:N28),"")</f>
        <v/>
      </c>
      <c r="AK28" s="13" t="str">
        <f t="shared" si="23"/>
        <v/>
      </c>
      <c r="AL28" s="5" t="str">
        <f t="shared" si="24"/>
        <v/>
      </c>
      <c r="AM28" s="989" t="str">
        <f t="shared" si="25"/>
        <v/>
      </c>
      <c r="AN28" s="989" t="str">
        <f t="shared" si="26"/>
        <v/>
      </c>
      <c r="AO28" s="1023" t="str">
        <f>IF(O28=1,SUM(O$23:O28),"")</f>
        <v/>
      </c>
      <c r="AP28" s="13" t="str">
        <f t="shared" si="27"/>
        <v/>
      </c>
      <c r="AQ28" s="5" t="str">
        <f t="shared" si="28"/>
        <v/>
      </c>
      <c r="AR28" s="989" t="str">
        <f t="shared" si="29"/>
        <v/>
      </c>
      <c r="AS28" s="989" t="str">
        <f t="shared" si="30"/>
        <v/>
      </c>
    </row>
    <row r="29" spans="1:45" x14ac:dyDescent="0.35">
      <c r="A29">
        <v>6</v>
      </c>
      <c r="B29" s="1">
        <f t="shared" si="7"/>
        <v>46113</v>
      </c>
      <c r="C29" s="992" t="str">
        <f>IF(OR($C$21="",$C$21=0,$D$18=0),"n",IF(C28="b","b",IF(LOOKUP(advanced!$I$45,$B$23:$B$36)=B29,"b","n")))</f>
        <v>n</v>
      </c>
      <c r="D29" s="992" t="str">
        <f>IF(OR($D$21="",$D$21=0,$D$17=0),"n",IF(D28="c","c",IF(LOOKUP(advanced!$I$37,$B$23:$B$36)=B29,"c","n")))</f>
        <v>n</v>
      </c>
      <c r="E29" s="27" t="str">
        <f t="array" ref="E29">IF(VLOOKUP(B29,$D$5:$G$18,2,FALSE)="","",VLOOKUP(B29,$D$5:$G$18,2,FALSE)-IF(OR($B$39:$B$48=B29)=TRUE,VLOOKUP(B29,$B$39:$E$48,4,FALSE),0))</f>
        <v/>
      </c>
      <c r="F29" s="992" t="str">
        <f t="shared" si="8"/>
        <v>nn</v>
      </c>
      <c r="G29" s="5">
        <f t="shared" si="9"/>
        <v>1</v>
      </c>
      <c r="H29" s="5" t="str">
        <f t="shared" si="10"/>
        <v>n</v>
      </c>
      <c r="I29" s="5">
        <f>VLOOKUP(B29,data!$B$13:$D$20,3,TRUE)</f>
        <v>4</v>
      </c>
      <c r="J29" s="5">
        <f t="shared" si="5"/>
        <v>0</v>
      </c>
      <c r="K29" s="5">
        <f t="shared" si="5"/>
        <v>0</v>
      </c>
      <c r="L29" s="5">
        <f t="shared" si="5"/>
        <v>0</v>
      </c>
      <c r="M29" s="5">
        <f t="shared" si="5"/>
        <v>1</v>
      </c>
      <c r="N29" s="5">
        <f t="shared" si="5"/>
        <v>0</v>
      </c>
      <c r="O29" s="5">
        <f t="shared" si="5"/>
        <v>0</v>
      </c>
      <c r="P29" s="1023" t="str">
        <f>IF(J29=1,SUM(J$23:J29),"")</f>
        <v/>
      </c>
      <c r="Q29" s="13" t="str">
        <f t="shared" si="6"/>
        <v/>
      </c>
      <c r="R29" s="5" t="str">
        <f t="shared" si="11"/>
        <v/>
      </c>
      <c r="S29" s="989" t="str">
        <f t="shared" si="31"/>
        <v/>
      </c>
      <c r="T29" s="989" t="str">
        <f t="shared" si="32"/>
        <v/>
      </c>
      <c r="U29" s="1023" t="str">
        <f>IF(K29=1,SUM(K$23:K29),"")</f>
        <v/>
      </c>
      <c r="V29" s="13" t="str">
        <f t="shared" si="12"/>
        <v/>
      </c>
      <c r="W29" s="5" t="str">
        <f t="shared" si="13"/>
        <v/>
      </c>
      <c r="X29" s="989" t="str">
        <f t="shared" si="14"/>
        <v/>
      </c>
      <c r="Y29" s="989" t="str">
        <f t="shared" si="15"/>
        <v/>
      </c>
      <c r="Z29" s="1023" t="str">
        <f>IF(L29=1,SUM(L$23:L29),"")</f>
        <v/>
      </c>
      <c r="AA29" s="13" t="str">
        <f t="shared" si="33"/>
        <v/>
      </c>
      <c r="AB29" s="5" t="str">
        <f t="shared" si="16"/>
        <v/>
      </c>
      <c r="AC29" s="989" t="str">
        <f t="shared" si="17"/>
        <v/>
      </c>
      <c r="AD29" s="989" t="str">
        <f t="shared" si="18"/>
        <v/>
      </c>
      <c r="AE29" s="1023">
        <f>IF(M29=1,SUM(M$23:M29),"")</f>
        <v>6</v>
      </c>
      <c r="AF29" s="13">
        <f t="shared" si="19"/>
        <v>46113</v>
      </c>
      <c r="AG29" s="5" t="str">
        <f t="shared" si="20"/>
        <v/>
      </c>
      <c r="AH29" s="989">
        <f t="shared" si="21"/>
        <v>1</v>
      </c>
      <c r="AI29" s="989" t="str">
        <f t="shared" si="22"/>
        <v>n</v>
      </c>
      <c r="AJ29" s="1023" t="str">
        <f>IF(N29=1,SUM(N$23:N29),"")</f>
        <v/>
      </c>
      <c r="AK29" s="13" t="str">
        <f t="shared" si="23"/>
        <v/>
      </c>
      <c r="AL29" s="5" t="str">
        <f t="shared" si="24"/>
        <v/>
      </c>
      <c r="AM29" s="989" t="str">
        <f t="shared" si="25"/>
        <v/>
      </c>
      <c r="AN29" s="989" t="str">
        <f t="shared" si="26"/>
        <v/>
      </c>
      <c r="AO29" s="1023" t="str">
        <f>IF(O29=1,SUM(O$23:O29),"")</f>
        <v/>
      </c>
      <c r="AP29" s="13" t="str">
        <f t="shared" si="27"/>
        <v/>
      </c>
      <c r="AQ29" s="5" t="str">
        <f t="shared" si="28"/>
        <v/>
      </c>
      <c r="AR29" s="989" t="str">
        <f t="shared" si="29"/>
        <v/>
      </c>
      <c r="AS29" s="989" t="str">
        <f t="shared" si="30"/>
        <v/>
      </c>
    </row>
    <row r="30" spans="1:45" x14ac:dyDescent="0.35">
      <c r="A30">
        <v>7</v>
      </c>
      <c r="B30" s="1">
        <f t="shared" si="7"/>
        <v>46113</v>
      </c>
      <c r="C30" s="992" t="str">
        <f>IF(OR($C$21="",$C$21=0,$D$18=0),"n",IF(C29="b","b",IF(LOOKUP(advanced!$I$45,$B$23:$B$36)=B30,"b","n")))</f>
        <v>n</v>
      </c>
      <c r="D30" s="992" t="str">
        <f>IF(OR($D$21="",$D$21=0,$D$17=0),"n",IF(D29="c","c",IF(LOOKUP(advanced!$I$37,$B$23:$B$36)=B30,"c","n")))</f>
        <v>n</v>
      </c>
      <c r="E30" s="27" t="str">
        <f t="array" ref="E30">IF(VLOOKUP(B30,$D$5:$G$18,2,FALSE)="","",VLOOKUP(B30,$D$5:$G$18,2,FALSE)-IF(OR($B$39:$B$48=B30)=TRUE,VLOOKUP(B30,$B$39:$E$48,4,FALSE),0))</f>
        <v/>
      </c>
      <c r="F30" s="992" t="str">
        <f t="shared" si="8"/>
        <v>nn</v>
      </c>
      <c r="G30" s="5">
        <f t="shared" si="9"/>
        <v>1</v>
      </c>
      <c r="H30" s="5" t="str">
        <f t="shared" si="10"/>
        <v>n</v>
      </c>
      <c r="I30" s="5">
        <f>VLOOKUP(B30,data!$B$13:$D$20,3,TRUE)</f>
        <v>4</v>
      </c>
      <c r="J30" s="5">
        <f t="shared" si="5"/>
        <v>0</v>
      </c>
      <c r="K30" s="5">
        <f t="shared" si="5"/>
        <v>0</v>
      </c>
      <c r="L30" s="5">
        <f t="shared" si="5"/>
        <v>0</v>
      </c>
      <c r="M30" s="5">
        <f t="shared" si="5"/>
        <v>1</v>
      </c>
      <c r="N30" s="5">
        <f t="shared" si="5"/>
        <v>0</v>
      </c>
      <c r="O30" s="5">
        <f t="shared" si="5"/>
        <v>0</v>
      </c>
      <c r="P30" s="1023" t="str">
        <f>IF(J30=1,SUM(J$23:J30),"")</f>
        <v/>
      </c>
      <c r="Q30" s="13" t="str">
        <f t="shared" si="6"/>
        <v/>
      </c>
      <c r="R30" s="5" t="str">
        <f t="shared" si="11"/>
        <v/>
      </c>
      <c r="S30" s="989" t="str">
        <f t="shared" si="31"/>
        <v/>
      </c>
      <c r="T30" s="989" t="str">
        <f t="shared" si="32"/>
        <v/>
      </c>
      <c r="U30" s="1023" t="str">
        <f>IF(K30=1,SUM(K$23:K30),"")</f>
        <v/>
      </c>
      <c r="V30" s="13" t="str">
        <f t="shared" si="12"/>
        <v/>
      </c>
      <c r="W30" s="5" t="str">
        <f t="shared" si="13"/>
        <v/>
      </c>
      <c r="X30" s="989" t="str">
        <f t="shared" si="14"/>
        <v/>
      </c>
      <c r="Y30" s="989" t="str">
        <f t="shared" si="15"/>
        <v/>
      </c>
      <c r="Z30" s="1023" t="str">
        <f>IF(L30=1,SUM(L$23:L30),"")</f>
        <v/>
      </c>
      <c r="AA30" s="13" t="str">
        <f t="shared" si="33"/>
        <v/>
      </c>
      <c r="AB30" s="5" t="str">
        <f t="shared" si="16"/>
        <v/>
      </c>
      <c r="AC30" s="989" t="str">
        <f t="shared" si="17"/>
        <v/>
      </c>
      <c r="AD30" s="989" t="str">
        <f t="shared" si="18"/>
        <v/>
      </c>
      <c r="AE30" s="1023">
        <f>IF(M30=1,SUM(M$23:M30),"")</f>
        <v>7</v>
      </c>
      <c r="AF30" s="13">
        <f t="shared" si="19"/>
        <v>46113</v>
      </c>
      <c r="AG30" s="5" t="str">
        <f t="shared" si="20"/>
        <v/>
      </c>
      <c r="AH30" s="989">
        <f t="shared" si="21"/>
        <v>1</v>
      </c>
      <c r="AI30" s="989" t="str">
        <f t="shared" si="22"/>
        <v>n</v>
      </c>
      <c r="AJ30" s="1023" t="str">
        <f>IF(N30=1,SUM(N$23:N30),"")</f>
        <v/>
      </c>
      <c r="AK30" s="13" t="str">
        <f t="shared" si="23"/>
        <v/>
      </c>
      <c r="AL30" s="5" t="str">
        <f t="shared" si="24"/>
        <v/>
      </c>
      <c r="AM30" s="989" t="str">
        <f t="shared" si="25"/>
        <v/>
      </c>
      <c r="AN30" s="989" t="str">
        <f t="shared" si="26"/>
        <v/>
      </c>
      <c r="AO30" s="1023" t="str">
        <f>IF(O30=1,SUM(O$23:O30),"")</f>
        <v/>
      </c>
      <c r="AP30" s="13" t="str">
        <f t="shared" si="27"/>
        <v/>
      </c>
      <c r="AQ30" s="5" t="str">
        <f t="shared" si="28"/>
        <v/>
      </c>
      <c r="AR30" s="989" t="str">
        <f t="shared" si="29"/>
        <v/>
      </c>
      <c r="AS30" s="989" t="str">
        <f t="shared" si="30"/>
        <v/>
      </c>
    </row>
    <row r="31" spans="1:45" x14ac:dyDescent="0.35">
      <c r="A31">
        <v>8</v>
      </c>
      <c r="B31" s="1">
        <f t="shared" si="7"/>
        <v>46113</v>
      </c>
      <c r="C31" s="992" t="str">
        <f>IF(OR($C$21="",$C$21=0,$D$18=0),"n",IF(C30="b","b",IF(LOOKUP(advanced!$I$45,$B$23:$B$36)=B31,"b","n")))</f>
        <v>n</v>
      </c>
      <c r="D31" s="992" t="str">
        <f>IF(OR($D$21="",$D$21=0,$D$17=0),"n",IF(D30="c","c",IF(LOOKUP(advanced!$I$37,$B$23:$B$36)=B31,"c","n")))</f>
        <v>n</v>
      </c>
      <c r="E31" s="27" t="str">
        <f t="array" ref="E31">IF(VLOOKUP(B31,$D$5:$G$18,2,FALSE)="","",VLOOKUP(B31,$D$5:$G$18,2,FALSE)-IF(OR($B$39:$B$48=B31)=TRUE,VLOOKUP(B31,$B$39:$E$48,4,FALSE),0))</f>
        <v/>
      </c>
      <c r="F31" s="992" t="str">
        <f t="shared" si="8"/>
        <v>nn</v>
      </c>
      <c r="G31" s="5">
        <f t="shared" si="9"/>
        <v>1</v>
      </c>
      <c r="H31" s="5" t="str">
        <f t="shared" si="10"/>
        <v>n</v>
      </c>
      <c r="I31" s="5">
        <f>VLOOKUP(B31,data!$B$13:$D$20,3,TRUE)</f>
        <v>4</v>
      </c>
      <c r="J31" s="5">
        <f t="shared" si="5"/>
        <v>0</v>
      </c>
      <c r="K31" s="5">
        <f t="shared" si="5"/>
        <v>0</v>
      </c>
      <c r="L31" s="5">
        <f t="shared" si="5"/>
        <v>0</v>
      </c>
      <c r="M31" s="5">
        <f t="shared" si="5"/>
        <v>1</v>
      </c>
      <c r="N31" s="5">
        <f t="shared" si="5"/>
        <v>0</v>
      </c>
      <c r="O31" s="5">
        <f t="shared" si="5"/>
        <v>0</v>
      </c>
      <c r="P31" s="1023" t="str">
        <f>IF(J31=1,SUM(J$23:J31),"")</f>
        <v/>
      </c>
      <c r="Q31" s="13" t="str">
        <f t="shared" si="6"/>
        <v/>
      </c>
      <c r="R31" s="5" t="str">
        <f t="shared" si="11"/>
        <v/>
      </c>
      <c r="S31" s="989" t="str">
        <f t="shared" si="31"/>
        <v/>
      </c>
      <c r="T31" s="989" t="str">
        <f t="shared" si="32"/>
        <v/>
      </c>
      <c r="U31" s="1023" t="str">
        <f>IF(K31=1,SUM(K$23:K31),"")</f>
        <v/>
      </c>
      <c r="V31" s="13" t="str">
        <f t="shared" si="12"/>
        <v/>
      </c>
      <c r="W31" s="5" t="str">
        <f t="shared" si="13"/>
        <v/>
      </c>
      <c r="X31" s="989" t="str">
        <f t="shared" si="14"/>
        <v/>
      </c>
      <c r="Y31" s="989" t="str">
        <f t="shared" si="15"/>
        <v/>
      </c>
      <c r="Z31" s="1023" t="str">
        <f>IF(L31=1,SUM(L$23:L31),"")</f>
        <v/>
      </c>
      <c r="AA31" s="13" t="str">
        <f t="shared" si="33"/>
        <v/>
      </c>
      <c r="AB31" s="5" t="str">
        <f t="shared" si="16"/>
        <v/>
      </c>
      <c r="AC31" s="989" t="str">
        <f t="shared" si="17"/>
        <v/>
      </c>
      <c r="AD31" s="989" t="str">
        <f t="shared" si="18"/>
        <v/>
      </c>
      <c r="AE31" s="1023">
        <f>IF(M31=1,SUM(M$23:M31),"")</f>
        <v>8</v>
      </c>
      <c r="AF31" s="13">
        <f t="shared" si="19"/>
        <v>46113</v>
      </c>
      <c r="AG31" s="5" t="str">
        <f t="shared" si="20"/>
        <v/>
      </c>
      <c r="AH31" s="989">
        <f t="shared" si="21"/>
        <v>1</v>
      </c>
      <c r="AI31" s="989" t="str">
        <f t="shared" si="22"/>
        <v>n</v>
      </c>
      <c r="AJ31" s="1023" t="str">
        <f>IF(N31=1,SUM(N$23:N31),"")</f>
        <v/>
      </c>
      <c r="AK31" s="13" t="str">
        <f t="shared" si="23"/>
        <v/>
      </c>
      <c r="AL31" s="5" t="str">
        <f t="shared" si="24"/>
        <v/>
      </c>
      <c r="AM31" s="989" t="str">
        <f t="shared" si="25"/>
        <v/>
      </c>
      <c r="AN31" s="989" t="str">
        <f t="shared" si="26"/>
        <v/>
      </c>
      <c r="AO31" s="1023" t="str">
        <f>IF(O31=1,SUM(O$23:O31),"")</f>
        <v/>
      </c>
      <c r="AP31" s="13" t="str">
        <f t="shared" si="27"/>
        <v/>
      </c>
      <c r="AQ31" s="5" t="str">
        <f t="shared" si="28"/>
        <v/>
      </c>
      <c r="AR31" s="989" t="str">
        <f t="shared" si="29"/>
        <v/>
      </c>
      <c r="AS31" s="989" t="str">
        <f t="shared" si="30"/>
        <v/>
      </c>
    </row>
    <row r="32" spans="1:45" x14ac:dyDescent="0.35">
      <c r="A32">
        <v>9</v>
      </c>
      <c r="B32" s="1">
        <f t="shared" si="7"/>
        <v>46113</v>
      </c>
      <c r="C32" s="992" t="str">
        <f>IF(OR($C$21="",$C$21=0,$D$18=0),"n",IF(C31="b","b",IF(LOOKUP(advanced!$I$45,$B$23:$B$36)=B32,"b","n")))</f>
        <v>n</v>
      </c>
      <c r="D32" s="992" t="str">
        <f>IF(OR($D$21="",$D$21=0,$D$17=0),"n",IF(D31="c","c",IF(LOOKUP(advanced!$I$37,$B$23:$B$36)=B32,"c","n")))</f>
        <v>n</v>
      </c>
      <c r="E32" s="27" t="str">
        <f t="array" ref="E32">IF(VLOOKUP(B32,$D$5:$G$18,2,FALSE)="","",VLOOKUP(B32,$D$5:$G$18,2,FALSE)-IF(OR($B$39:$B$48=B32)=TRUE,VLOOKUP(B32,$B$39:$E$48,4,FALSE),0))</f>
        <v/>
      </c>
      <c r="F32" s="992" t="str">
        <f t="shared" si="8"/>
        <v>nn</v>
      </c>
      <c r="G32" s="5">
        <f t="shared" si="9"/>
        <v>1</v>
      </c>
      <c r="H32" s="5" t="str">
        <f t="shared" si="10"/>
        <v>n</v>
      </c>
      <c r="I32" s="5">
        <f>VLOOKUP(B32,data!$B$13:$D$20,3,TRUE)</f>
        <v>4</v>
      </c>
      <c r="J32" s="5">
        <f t="shared" si="5"/>
        <v>0</v>
      </c>
      <c r="K32" s="5">
        <f t="shared" si="5"/>
        <v>0</v>
      </c>
      <c r="L32" s="5">
        <f t="shared" si="5"/>
        <v>0</v>
      </c>
      <c r="M32" s="5">
        <f t="shared" si="5"/>
        <v>1</v>
      </c>
      <c r="N32" s="5">
        <f t="shared" si="5"/>
        <v>0</v>
      </c>
      <c r="O32" s="5">
        <f t="shared" si="5"/>
        <v>0</v>
      </c>
      <c r="P32" s="1023" t="str">
        <f>IF(J32=1,SUM(J$23:J32),"")</f>
        <v/>
      </c>
      <c r="Q32" s="13" t="str">
        <f t="shared" si="6"/>
        <v/>
      </c>
      <c r="R32" s="5" t="str">
        <f t="shared" si="11"/>
        <v/>
      </c>
      <c r="S32" s="989" t="str">
        <f t="shared" si="31"/>
        <v/>
      </c>
      <c r="T32" s="989" t="str">
        <f t="shared" si="32"/>
        <v/>
      </c>
      <c r="U32" s="1023" t="str">
        <f>IF(K32=1,SUM(K$23:K32),"")</f>
        <v/>
      </c>
      <c r="V32" s="13" t="str">
        <f t="shared" si="12"/>
        <v/>
      </c>
      <c r="W32" s="5" t="str">
        <f t="shared" si="13"/>
        <v/>
      </c>
      <c r="X32" s="989" t="str">
        <f t="shared" si="14"/>
        <v/>
      </c>
      <c r="Y32" s="989" t="str">
        <f t="shared" si="15"/>
        <v/>
      </c>
      <c r="Z32" s="1023" t="str">
        <f>IF(L32=1,SUM(L$23:L32),"")</f>
        <v/>
      </c>
      <c r="AA32" s="13" t="str">
        <f t="shared" si="33"/>
        <v/>
      </c>
      <c r="AB32" s="5" t="str">
        <f t="shared" si="16"/>
        <v/>
      </c>
      <c r="AC32" s="989" t="str">
        <f t="shared" si="17"/>
        <v/>
      </c>
      <c r="AD32" s="989" t="str">
        <f t="shared" si="18"/>
        <v/>
      </c>
      <c r="AE32" s="1023">
        <f>IF(M32=1,SUM(M$23:M32),"")</f>
        <v>9</v>
      </c>
      <c r="AF32" s="13">
        <f t="shared" si="19"/>
        <v>46113</v>
      </c>
      <c r="AG32" s="5" t="str">
        <f t="shared" si="20"/>
        <v/>
      </c>
      <c r="AH32" s="989">
        <f t="shared" si="21"/>
        <v>1</v>
      </c>
      <c r="AI32" s="989" t="str">
        <f t="shared" si="22"/>
        <v>n</v>
      </c>
      <c r="AJ32" s="1023" t="str">
        <f>IF(N32=1,SUM(N$23:N32),"")</f>
        <v/>
      </c>
      <c r="AK32" s="13" t="str">
        <f t="shared" si="23"/>
        <v/>
      </c>
      <c r="AL32" s="5" t="str">
        <f t="shared" si="24"/>
        <v/>
      </c>
      <c r="AM32" s="989" t="str">
        <f t="shared" si="25"/>
        <v/>
      </c>
      <c r="AN32" s="989" t="str">
        <f t="shared" si="26"/>
        <v/>
      </c>
      <c r="AO32" s="1023" t="str">
        <f>IF(O32=1,SUM(O$23:O32),"")</f>
        <v/>
      </c>
      <c r="AP32" s="13" t="str">
        <f t="shared" si="27"/>
        <v/>
      </c>
      <c r="AQ32" s="5" t="str">
        <f t="shared" si="28"/>
        <v/>
      </c>
      <c r="AR32" s="989" t="str">
        <f t="shared" si="29"/>
        <v/>
      </c>
      <c r="AS32" s="989" t="str">
        <f t="shared" si="30"/>
        <v/>
      </c>
    </row>
    <row r="33" spans="1:45" x14ac:dyDescent="0.35">
      <c r="A33">
        <v>10</v>
      </c>
      <c r="B33" s="1">
        <f t="shared" si="7"/>
        <v>46113</v>
      </c>
      <c r="C33" s="992" t="str">
        <f>IF(OR($C$21="",$C$21=0,$D$18=0),"n",IF(C32="b","b",IF(LOOKUP(advanced!$I$45,$B$23:$B$36)=B33,"b","n")))</f>
        <v>n</v>
      </c>
      <c r="D33" s="992" t="str">
        <f>IF(OR($D$21="",$D$21=0,$D$17=0),"n",IF(D32="c","c",IF(LOOKUP(advanced!$I$37,$B$23:$B$36)=B33,"c","n")))</f>
        <v>n</v>
      </c>
      <c r="E33" s="27" t="str">
        <f t="array" ref="E33">IF(VLOOKUP(B33,$D$5:$G$18,2,FALSE)="","",VLOOKUP(B33,$D$5:$G$18,2,FALSE)-IF(OR($B$39:$B$48=B33)=TRUE,VLOOKUP(B33,$B$39:$E$48,4,FALSE),0))</f>
        <v/>
      </c>
      <c r="F33" s="992" t="str">
        <f t="shared" si="8"/>
        <v>nn</v>
      </c>
      <c r="G33" s="5">
        <f t="shared" si="9"/>
        <v>1</v>
      </c>
      <c r="H33" s="5" t="str">
        <f t="shared" si="10"/>
        <v>n</v>
      </c>
      <c r="I33" s="5">
        <f>VLOOKUP(B33,data!$B$13:$D$20,3,TRUE)</f>
        <v>4</v>
      </c>
      <c r="J33" s="5">
        <f t="shared" si="5"/>
        <v>0</v>
      </c>
      <c r="K33" s="5">
        <f t="shared" si="5"/>
        <v>0</v>
      </c>
      <c r="L33" s="5">
        <f t="shared" si="5"/>
        <v>0</v>
      </c>
      <c r="M33" s="5">
        <f t="shared" si="5"/>
        <v>1</v>
      </c>
      <c r="N33" s="5">
        <f t="shared" si="5"/>
        <v>0</v>
      </c>
      <c r="O33" s="5">
        <f t="shared" si="5"/>
        <v>0</v>
      </c>
      <c r="P33" s="1023" t="str">
        <f>IF(J33=1,SUM(J$23:J33),"")</f>
        <v/>
      </c>
      <c r="Q33" s="13" t="str">
        <f t="shared" si="6"/>
        <v/>
      </c>
      <c r="R33" s="5" t="str">
        <f t="shared" si="11"/>
        <v/>
      </c>
      <c r="S33" s="989" t="str">
        <f t="shared" si="31"/>
        <v/>
      </c>
      <c r="T33" s="989" t="str">
        <f t="shared" si="32"/>
        <v/>
      </c>
      <c r="U33" s="1023" t="str">
        <f>IF(K33=1,SUM(K$23:K33),"")</f>
        <v/>
      </c>
      <c r="V33" s="13" t="str">
        <f t="shared" si="12"/>
        <v/>
      </c>
      <c r="W33" s="5" t="str">
        <f t="shared" si="13"/>
        <v/>
      </c>
      <c r="X33" s="989" t="str">
        <f t="shared" si="14"/>
        <v/>
      </c>
      <c r="Y33" s="989" t="str">
        <f t="shared" si="15"/>
        <v/>
      </c>
      <c r="Z33" s="1023" t="str">
        <f>IF(L33=1,SUM(L$23:L33),"")</f>
        <v/>
      </c>
      <c r="AA33" s="13" t="str">
        <f t="shared" si="33"/>
        <v/>
      </c>
      <c r="AB33" s="5" t="str">
        <f t="shared" si="16"/>
        <v/>
      </c>
      <c r="AC33" s="989" t="str">
        <f t="shared" si="17"/>
        <v/>
      </c>
      <c r="AD33" s="989" t="str">
        <f t="shared" si="18"/>
        <v/>
      </c>
      <c r="AE33" s="1023">
        <f>IF(M33=1,SUM(M$23:M33),"")</f>
        <v>10</v>
      </c>
      <c r="AF33" s="13">
        <f t="shared" si="19"/>
        <v>46113</v>
      </c>
      <c r="AG33" s="5" t="str">
        <f t="shared" si="20"/>
        <v/>
      </c>
      <c r="AH33" s="989">
        <f t="shared" si="21"/>
        <v>1</v>
      </c>
      <c r="AI33" s="989" t="str">
        <f t="shared" si="22"/>
        <v>n</v>
      </c>
      <c r="AJ33" s="1023" t="str">
        <f>IF(N33=1,SUM(N$23:N33),"")</f>
        <v/>
      </c>
      <c r="AK33" s="13" t="str">
        <f t="shared" si="23"/>
        <v/>
      </c>
      <c r="AL33" s="5" t="str">
        <f t="shared" si="24"/>
        <v/>
      </c>
      <c r="AM33" s="989" t="str">
        <f t="shared" si="25"/>
        <v/>
      </c>
      <c r="AN33" s="989" t="str">
        <f t="shared" si="26"/>
        <v/>
      </c>
      <c r="AO33" s="1023" t="str">
        <f>IF(O33=1,SUM(O$23:O33),"")</f>
        <v/>
      </c>
      <c r="AP33" s="13" t="str">
        <f t="shared" si="27"/>
        <v/>
      </c>
      <c r="AQ33" s="5" t="str">
        <f t="shared" si="28"/>
        <v/>
      </c>
      <c r="AR33" s="989" t="str">
        <f t="shared" si="29"/>
        <v/>
      </c>
      <c r="AS33" s="989" t="str">
        <f t="shared" si="30"/>
        <v/>
      </c>
    </row>
    <row r="34" spans="1:45" x14ac:dyDescent="0.35">
      <c r="A34">
        <v>11</v>
      </c>
      <c r="B34" s="1">
        <f t="shared" si="7"/>
        <v>46113</v>
      </c>
      <c r="C34" s="992" t="str">
        <f>IF(OR($C$21="",$C$21=0,$D$18=0),"n",IF(C33="b","b",IF(LOOKUP(advanced!$I$45,$B$23:$B$36)=B34,"b","n")))</f>
        <v>n</v>
      </c>
      <c r="D34" s="992" t="str">
        <f>IF(OR($D$21="",$D$21=0,$D$17=0),"n",IF(D33="c","c",IF(LOOKUP(advanced!$I$37,$B$23:$B$36)=B34,"c","n")))</f>
        <v>n</v>
      </c>
      <c r="E34" s="27" t="str">
        <f t="array" ref="E34">IF(VLOOKUP(B34,$D$5:$G$18,2,FALSE)="","",VLOOKUP(B34,$D$5:$G$18,2,FALSE)-IF(OR($B$39:$B$48=B34)=TRUE,VLOOKUP(B34,$B$39:$E$48,4,FALSE),0))</f>
        <v/>
      </c>
      <c r="F34" s="992" t="str">
        <f t="shared" si="8"/>
        <v>nn</v>
      </c>
      <c r="G34" s="5">
        <f t="shared" si="9"/>
        <v>1</v>
      </c>
      <c r="H34" s="5" t="str">
        <f t="shared" si="10"/>
        <v>n</v>
      </c>
      <c r="I34" s="5">
        <f>VLOOKUP(B34,data!$B$13:$D$20,3,TRUE)</f>
        <v>4</v>
      </c>
      <c r="J34" s="5">
        <f t="shared" si="5"/>
        <v>0</v>
      </c>
      <c r="K34" s="5">
        <f t="shared" si="5"/>
        <v>0</v>
      </c>
      <c r="L34" s="5">
        <f t="shared" si="5"/>
        <v>0</v>
      </c>
      <c r="M34" s="5">
        <f t="shared" si="5"/>
        <v>1</v>
      </c>
      <c r="N34" s="5">
        <f t="shared" si="5"/>
        <v>0</v>
      </c>
      <c r="O34" s="5">
        <f t="shared" si="5"/>
        <v>0</v>
      </c>
      <c r="P34" s="1023" t="str">
        <f>IF(J34=1,SUM(J$23:J34),"")</f>
        <v/>
      </c>
      <c r="Q34" s="13" t="str">
        <f t="shared" si="6"/>
        <v/>
      </c>
      <c r="R34" s="5" t="str">
        <f t="shared" si="11"/>
        <v/>
      </c>
      <c r="S34" s="989" t="str">
        <f t="shared" si="31"/>
        <v/>
      </c>
      <c r="T34" s="989" t="str">
        <f t="shared" si="32"/>
        <v/>
      </c>
      <c r="U34" s="1023" t="str">
        <f>IF(K34=1,SUM(K$23:K34),"")</f>
        <v/>
      </c>
      <c r="V34" s="13" t="str">
        <f t="shared" si="12"/>
        <v/>
      </c>
      <c r="W34" s="5" t="str">
        <f t="shared" si="13"/>
        <v/>
      </c>
      <c r="X34" s="989" t="str">
        <f t="shared" si="14"/>
        <v/>
      </c>
      <c r="Y34" s="989" t="str">
        <f t="shared" si="15"/>
        <v/>
      </c>
      <c r="Z34" s="1023" t="str">
        <f>IF(L34=1,SUM(L$23:L34),"")</f>
        <v/>
      </c>
      <c r="AA34" s="13" t="str">
        <f t="shared" si="33"/>
        <v/>
      </c>
      <c r="AB34" s="5" t="str">
        <f t="shared" si="16"/>
        <v/>
      </c>
      <c r="AC34" s="989" t="str">
        <f t="shared" si="17"/>
        <v/>
      </c>
      <c r="AD34" s="989" t="str">
        <f t="shared" si="18"/>
        <v/>
      </c>
      <c r="AE34" s="1023">
        <f>IF(M34=1,SUM(M$23:M34),"")</f>
        <v>11</v>
      </c>
      <c r="AF34" s="13">
        <f t="shared" si="19"/>
        <v>46113</v>
      </c>
      <c r="AG34" s="5" t="str">
        <f t="shared" si="20"/>
        <v/>
      </c>
      <c r="AH34" s="989">
        <f t="shared" si="21"/>
        <v>1</v>
      </c>
      <c r="AI34" s="989" t="str">
        <f t="shared" si="22"/>
        <v>n</v>
      </c>
      <c r="AJ34" s="1023" t="str">
        <f>IF(N34=1,SUM(N$23:N34),"")</f>
        <v/>
      </c>
      <c r="AK34" s="13" t="str">
        <f t="shared" si="23"/>
        <v/>
      </c>
      <c r="AL34" s="5" t="str">
        <f t="shared" si="24"/>
        <v/>
      </c>
      <c r="AM34" s="989" t="str">
        <f t="shared" si="25"/>
        <v/>
      </c>
      <c r="AN34" s="989" t="str">
        <f t="shared" si="26"/>
        <v/>
      </c>
      <c r="AO34" s="1023" t="str">
        <f>IF(O34=1,SUM(O$23:O34),"")</f>
        <v/>
      </c>
      <c r="AP34" s="13" t="str">
        <f t="shared" si="27"/>
        <v/>
      </c>
      <c r="AQ34" s="5" t="str">
        <f t="shared" si="28"/>
        <v/>
      </c>
      <c r="AR34" s="989" t="str">
        <f t="shared" si="29"/>
        <v/>
      </c>
      <c r="AS34" s="989" t="str">
        <f t="shared" si="30"/>
        <v/>
      </c>
    </row>
    <row r="35" spans="1:45" x14ac:dyDescent="0.35">
      <c r="A35">
        <v>12</v>
      </c>
      <c r="B35" s="1">
        <f t="shared" si="7"/>
        <v>46113</v>
      </c>
      <c r="C35" s="992" t="str">
        <f>IF(OR($C$21="",$C$21=0,$D$18=0),"n",IF(C34="b","b",IF(LOOKUP(advanced!$I$45,$B$23:$B$36)=B35,"b","n")))</f>
        <v>n</v>
      </c>
      <c r="D35" s="992" t="str">
        <f>IF(OR($D$21="",$D$21=0,$D$17=0),"n",IF(D34="c","c",IF(LOOKUP(advanced!$I$37,$B$23:$B$36)=B35,"c","n")))</f>
        <v>n</v>
      </c>
      <c r="E35" s="27" t="str">
        <f t="array" ref="E35">IF(VLOOKUP(B35,$D$5:$G$18,2,FALSE)="","",VLOOKUP(B35,$D$5:$G$18,2,FALSE)-IF(OR($B$39:$B$48=B35)=TRUE,VLOOKUP(B35,$B$39:$E$48,4,FALSE),0))</f>
        <v/>
      </c>
      <c r="F35" s="992" t="str">
        <f t="shared" si="8"/>
        <v>nn</v>
      </c>
      <c r="G35" s="5">
        <f t="shared" si="9"/>
        <v>1</v>
      </c>
      <c r="H35" s="5" t="str">
        <f t="shared" si="10"/>
        <v>n</v>
      </c>
      <c r="I35" s="5">
        <f>VLOOKUP(B35,data!$B$13:$D$20,3,TRUE)</f>
        <v>4</v>
      </c>
      <c r="J35" s="5">
        <f t="shared" si="5"/>
        <v>0</v>
      </c>
      <c r="K35" s="5">
        <f t="shared" si="5"/>
        <v>0</v>
      </c>
      <c r="L35" s="5">
        <f t="shared" si="5"/>
        <v>0</v>
      </c>
      <c r="M35" s="5">
        <f t="shared" si="5"/>
        <v>1</v>
      </c>
      <c r="N35" s="5">
        <f t="shared" si="5"/>
        <v>0</v>
      </c>
      <c r="O35" s="5">
        <f t="shared" si="5"/>
        <v>0</v>
      </c>
      <c r="P35" s="1023" t="str">
        <f>IF(J35=1,SUM(J$23:J35),"")</f>
        <v/>
      </c>
      <c r="Q35" s="13" t="str">
        <f t="shared" si="6"/>
        <v/>
      </c>
      <c r="R35" s="5" t="str">
        <f t="shared" si="11"/>
        <v/>
      </c>
      <c r="S35" s="989" t="str">
        <f t="shared" si="31"/>
        <v/>
      </c>
      <c r="T35" s="989" t="str">
        <f t="shared" si="32"/>
        <v/>
      </c>
      <c r="U35" s="1023" t="str">
        <f>IF(K35=1,SUM(K$23:K35),"")</f>
        <v/>
      </c>
      <c r="V35" s="13" t="str">
        <f t="shared" si="12"/>
        <v/>
      </c>
      <c r="W35" s="5" t="str">
        <f t="shared" si="13"/>
        <v/>
      </c>
      <c r="X35" s="989" t="str">
        <f t="shared" si="14"/>
        <v/>
      </c>
      <c r="Y35" s="989" t="str">
        <f t="shared" si="15"/>
        <v/>
      </c>
      <c r="Z35" s="1023" t="str">
        <f>IF(L35=1,SUM(L$23:L35),"")</f>
        <v/>
      </c>
      <c r="AA35" s="13" t="str">
        <f t="shared" si="33"/>
        <v/>
      </c>
      <c r="AB35" s="5" t="str">
        <f t="shared" si="16"/>
        <v/>
      </c>
      <c r="AC35" s="989" t="str">
        <f t="shared" si="17"/>
        <v/>
      </c>
      <c r="AD35" s="989" t="str">
        <f t="shared" si="18"/>
        <v/>
      </c>
      <c r="AE35" s="1023">
        <f>IF(M35=1,SUM(M$23:M35),"")</f>
        <v>12</v>
      </c>
      <c r="AF35" s="13">
        <f t="shared" si="19"/>
        <v>46113</v>
      </c>
      <c r="AG35" s="5" t="str">
        <f t="shared" si="20"/>
        <v/>
      </c>
      <c r="AH35" s="989">
        <f t="shared" si="21"/>
        <v>1</v>
      </c>
      <c r="AI35" s="989" t="str">
        <f t="shared" si="22"/>
        <v>n</v>
      </c>
      <c r="AJ35" s="1023" t="str">
        <f>IF(N35=1,SUM(N$23:N35),"")</f>
        <v/>
      </c>
      <c r="AK35" s="13" t="str">
        <f t="shared" si="23"/>
        <v/>
      </c>
      <c r="AL35" s="5" t="str">
        <f t="shared" si="24"/>
        <v/>
      </c>
      <c r="AM35" s="989" t="str">
        <f t="shared" si="25"/>
        <v/>
      </c>
      <c r="AN35" s="989" t="str">
        <f t="shared" si="26"/>
        <v/>
      </c>
      <c r="AO35" s="1023" t="str">
        <f>IF(O35=1,SUM(O$23:O35),"")</f>
        <v/>
      </c>
      <c r="AP35" s="13" t="str">
        <f t="shared" si="27"/>
        <v/>
      </c>
      <c r="AQ35" s="5" t="str">
        <f t="shared" si="28"/>
        <v/>
      </c>
      <c r="AR35" s="989" t="str">
        <f t="shared" si="29"/>
        <v/>
      </c>
      <c r="AS35" s="989" t="str">
        <f t="shared" si="30"/>
        <v/>
      </c>
    </row>
    <row r="36" spans="1:45" x14ac:dyDescent="0.35">
      <c r="A36" s="1200">
        <v>13</v>
      </c>
      <c r="B36" s="2245">
        <f t="shared" si="7"/>
        <v>46114</v>
      </c>
      <c r="C36" s="2246"/>
      <c r="D36" s="2246"/>
      <c r="E36" s="1200"/>
      <c r="F36" s="2246"/>
      <c r="G36" s="1200"/>
      <c r="H36" s="1200"/>
      <c r="I36" s="1200"/>
      <c r="J36" s="1200"/>
      <c r="K36" s="1200"/>
      <c r="L36" s="1200"/>
      <c r="M36" s="1200"/>
      <c r="N36" s="1200"/>
      <c r="O36" s="1200"/>
      <c r="P36" s="2247" t="str">
        <f>IF(J36=1,SUM(J$23:J36),"")</f>
        <v/>
      </c>
      <c r="Q36" s="2248" t="str">
        <f t="shared" si="6"/>
        <v/>
      </c>
      <c r="R36" s="1218" t="str">
        <f>IF(J36=1,VLOOKUP(B36,$B$3:$C$16,2,FALSE),"")</f>
        <v/>
      </c>
      <c r="S36" s="2249" t="str">
        <f>IF(J36=1,VLOOKUP(B36,$B$3:$D$16,3,FALSE),"")</f>
        <v/>
      </c>
      <c r="T36" s="2249" t="str">
        <f>IF(J36=1,VLOOKUP(B36,$B$3:$E$16,4,FALSE),"")</f>
        <v/>
      </c>
      <c r="U36" s="2247" t="str">
        <f>IF(K36=1,SUM(K$23:K36),"")</f>
        <v/>
      </c>
      <c r="V36" s="2245"/>
      <c r="W36" s="1218" t="str">
        <f>IF(K36=1,VLOOKUP(B36,$B$3:$C$16,2,FALSE),"")</f>
        <v/>
      </c>
      <c r="X36" s="2249" t="str">
        <f>IF(K36=1,VLOOKUP(B36,$B$3:$D$16,3,FALSE),"")</f>
        <v/>
      </c>
      <c r="Y36" s="2249" t="str">
        <f>IF(K36=1,VLOOKUP(B36,$B$3:$E$16,4,FALSE),"")</f>
        <v/>
      </c>
      <c r="Z36" s="2247" t="str">
        <f>IF(L36=1,SUM(L$23:L36),"")</f>
        <v/>
      </c>
      <c r="AA36" s="2245" t="str">
        <f>IF(L36=1,B36,"")</f>
        <v/>
      </c>
      <c r="AB36" s="1218" t="str">
        <f>IF(L36=1,VLOOKUP(B36,$B$3:$C$16,2,FALSE),"")</f>
        <v/>
      </c>
      <c r="AC36" s="2249" t="str">
        <f>IF(L36=1,VLOOKUP(B36,$B$3:$D$16,3,FALSE),"")</f>
        <v/>
      </c>
      <c r="AD36" s="2249" t="str">
        <f>IF(L36=1,VLOOKUP(B36,$B$3:$E$16,4,FALSE),"")</f>
        <v/>
      </c>
      <c r="AE36" s="2247" t="str">
        <f>IF(M36=1,SUM(M$23:M36),"")</f>
        <v/>
      </c>
      <c r="AF36" s="2245" t="str">
        <f>IF(M36=1,B36,"")</f>
        <v/>
      </c>
      <c r="AG36" s="1218" t="str">
        <f>IF(M36=1,VLOOKUP(B36,$B$3:$C$16,2,FALSE),"")</f>
        <v/>
      </c>
      <c r="AH36" s="2249" t="str">
        <f>IF(M36=1,VLOOKUP(B36,$B$3:$D$16,3,FALSE),"")</f>
        <v/>
      </c>
      <c r="AI36" s="2249" t="str">
        <f>IF(M36=1,VLOOKUP(B36,$B$3:$E$16,4,FALSE),"")</f>
        <v/>
      </c>
      <c r="AJ36" s="2247" t="str">
        <f>IF(N36=1,SUM(N$23:N36),"")</f>
        <v/>
      </c>
      <c r="AK36" s="2245" t="str">
        <f>IF(N36=1,B36,"")</f>
        <v/>
      </c>
      <c r="AL36" s="1218" t="str">
        <f>IF(N36=1,VLOOKUP(B36,$B$3:$C$16,2,FALSE),"")</f>
        <v/>
      </c>
      <c r="AM36" s="2249" t="str">
        <f>IF(N36=1,VLOOKUP(B36,$B$3:$D$16,3,FALSE),"")</f>
        <v/>
      </c>
      <c r="AN36" s="2249" t="str">
        <f>IF(N36=1,VLOOKUP(B36,$B$3:$E$16,4,FALSE),"")</f>
        <v/>
      </c>
      <c r="AO36" s="2247" t="str">
        <f>IF(O36=1,SUM(O$23:O36),"")</f>
        <v/>
      </c>
      <c r="AP36" s="2245" t="str">
        <f>IF(O36=1,B36,"")</f>
        <v/>
      </c>
      <c r="AQ36" s="1218" t="str">
        <f>IF(O36=1,VLOOKUP(B36,$B$3:$C$16,2,FALSE),"")</f>
        <v/>
      </c>
      <c r="AR36" s="2249" t="str">
        <f>IF(O36=1,VLOOKUP(B36,$B$3:$D$16,3,FALSE),"")</f>
        <v/>
      </c>
      <c r="AS36" s="2249" t="str">
        <f>IF(O36=1,VLOOKUP(B36,$B$3:$E$16,4,FALSE),"")</f>
        <v/>
      </c>
    </row>
    <row r="39" spans="1:45" x14ac:dyDescent="0.35">
      <c r="A39" s="28" t="s">
        <v>550</v>
      </c>
      <c r="B39" s="1024">
        <f>IF(advanced!G54&lt;&gt;"",advanced!G54,$D$19)</f>
        <v>46113</v>
      </c>
      <c r="C39" s="7"/>
      <c r="D39" s="7"/>
      <c r="E39" s="993">
        <v>0</v>
      </c>
      <c r="F39" s="992"/>
      <c r="G39" s="1556"/>
      <c r="H39" s="5"/>
      <c r="R39" s="2335">
        <f>E23</f>
        <v>0</v>
      </c>
      <c r="W39" s="2334" t="str">
        <f>IF(K23=1,VLOOKUP($B23,$B$24:$E$35,4,FALSE),"")</f>
        <v/>
      </c>
      <c r="AB39" s="2333" t="str">
        <f>IF(L23=1,VLOOKUP($B23,$B$24:$E$35,4,FALSE),"")</f>
        <v/>
      </c>
      <c r="AG39" s="2334" t="str">
        <f>IF(M23=1,VLOOKUP($B23,$B$24:$E$35,4,FALSE),"")</f>
        <v/>
      </c>
      <c r="AL39" s="2334" t="str">
        <f>IF(N23=1,VLOOKUP($B23,$B$24:$E$35,4,FALSE),"")</f>
        <v/>
      </c>
      <c r="AQ39" s="2334" t="str">
        <f>IF(O3=1,VLOOKUP($B23,$B$24:$E$35,4,FALSE),"")</f>
        <v/>
      </c>
    </row>
    <row r="40" spans="1:45" x14ac:dyDescent="0.35">
      <c r="A40" s="28" t="s">
        <v>1291</v>
      </c>
      <c r="B40" s="1024">
        <f>IF(advanced!H54="",$D$19,IF(advanced!H54+1=B41,advanced!H54,advanced!H54+1))</f>
        <v>46113</v>
      </c>
      <c r="C40" s="7"/>
      <c r="D40" s="7"/>
      <c r="E40" s="993">
        <v>0</v>
      </c>
      <c r="G40" s="5"/>
      <c r="H40" s="5"/>
      <c r="R40" s="2334" t="str">
        <f>IF(J24=1,VLOOKUP($B24,$D$5:$G$18,2,FALSE),"")</f>
        <v/>
      </c>
      <c r="W40" s="2334" t="str">
        <f t="shared" ref="W40:W51" si="34">IF(K24=1,VLOOKUP($B24,$B$24:$E$35,4,FALSE),"")</f>
        <v/>
      </c>
      <c r="AB40" s="2333" t="str">
        <f t="shared" ref="AB40:AB51" si="35">IF(L24=1,VLOOKUP($B24,$B$24:$E$35,4,FALSE),"")</f>
        <v/>
      </c>
      <c r="AG40" s="2334" t="str">
        <f t="shared" ref="AG40:AG51" si="36">IF(M24=1,VLOOKUP($B24,$B$24:$E$35,4,FALSE),"")</f>
        <v/>
      </c>
      <c r="AL40" s="2334" t="str">
        <f t="shared" ref="AL40:AL51" si="37">IF(N24=1,VLOOKUP($B24,$B$24:$E$35,4,FALSE),"")</f>
        <v/>
      </c>
      <c r="AQ40" s="2334" t="str">
        <f t="shared" ref="AQ40:AQ51" si="38">IF(O4=1,VLOOKUP($B24,$B$24:$E$35,4,FALSE),"")</f>
        <v/>
      </c>
    </row>
    <row r="41" spans="1:45" x14ac:dyDescent="0.35">
      <c r="A41" s="28" t="s">
        <v>550</v>
      </c>
      <c r="B41" s="1024">
        <f>IF(advanced!G55&lt;&gt;"",advanced!G55,$D$19)</f>
        <v>46113</v>
      </c>
      <c r="C41" s="7"/>
      <c r="D41" s="7"/>
      <c r="E41" s="993">
        <v>0</v>
      </c>
      <c r="G41" s="5"/>
      <c r="H41" s="5"/>
      <c r="R41" s="2334" t="str">
        <f t="shared" ref="R41:R51" si="39">IF(J25=1,VLOOKUP($B25,$D$5:$G$18,2,FALSE),"")</f>
        <v/>
      </c>
      <c r="W41" s="2334" t="str">
        <f t="shared" si="34"/>
        <v/>
      </c>
      <c r="AB41" s="2333" t="str">
        <f t="shared" si="35"/>
        <v/>
      </c>
      <c r="AG41" s="2334" t="str">
        <f t="shared" si="36"/>
        <v/>
      </c>
      <c r="AL41" s="2334" t="str">
        <f t="shared" si="37"/>
        <v/>
      </c>
      <c r="AQ41" s="2334" t="str">
        <f t="shared" si="38"/>
        <v/>
      </c>
    </row>
    <row r="42" spans="1:45" x14ac:dyDescent="0.35">
      <c r="A42" s="28" t="s">
        <v>1291</v>
      </c>
      <c r="B42" s="1024">
        <f>IF(advanced!H55="",$D$19,IF(advanced!H55+1=B43,advanced!H55,advanced!H55+1))</f>
        <v>46113</v>
      </c>
      <c r="C42" s="7"/>
      <c r="D42" s="7"/>
      <c r="E42" s="993">
        <v>0</v>
      </c>
      <c r="G42" s="5"/>
      <c r="H42" s="5"/>
      <c r="R42" s="2334" t="str">
        <f t="shared" si="39"/>
        <v/>
      </c>
      <c r="W42" s="2334" t="str">
        <f t="shared" si="34"/>
        <v/>
      </c>
      <c r="AB42" s="2333" t="str">
        <f t="shared" si="35"/>
        <v/>
      </c>
      <c r="AG42" s="2334" t="str">
        <f t="shared" si="36"/>
        <v/>
      </c>
      <c r="AL42" s="2334" t="str">
        <f t="shared" si="37"/>
        <v/>
      </c>
      <c r="AQ42" s="2334" t="str">
        <f t="shared" si="38"/>
        <v/>
      </c>
    </row>
    <row r="43" spans="1:45" x14ac:dyDescent="0.35">
      <c r="A43" s="28" t="s">
        <v>550</v>
      </c>
      <c r="B43" s="1024">
        <f>IF(advanced!G56&lt;&gt;"",advanced!G56,$D$19)</f>
        <v>46113</v>
      </c>
      <c r="C43" s="7"/>
      <c r="D43" s="7"/>
      <c r="E43" s="993">
        <v>0</v>
      </c>
      <c r="G43" s="5"/>
      <c r="H43" s="5"/>
      <c r="R43" s="2334" t="str">
        <f t="shared" si="39"/>
        <v/>
      </c>
      <c r="W43" s="2334" t="str">
        <f t="shared" si="34"/>
        <v/>
      </c>
      <c r="AB43" s="2333" t="str">
        <f t="shared" si="35"/>
        <v/>
      </c>
      <c r="AG43" s="2334" t="str">
        <f t="shared" si="36"/>
        <v/>
      </c>
      <c r="AL43" s="2334" t="str">
        <f t="shared" si="37"/>
        <v/>
      </c>
      <c r="AQ43" s="2334" t="str">
        <f t="shared" si="38"/>
        <v/>
      </c>
    </row>
    <row r="44" spans="1:45" x14ac:dyDescent="0.35">
      <c r="A44" s="28" t="s">
        <v>1291</v>
      </c>
      <c r="B44" s="1024">
        <f>IF(advanced!H56="",$D$19,IF(advanced!H56+1=B45,advanced!H56,advanced!H56+1))</f>
        <v>46113</v>
      </c>
      <c r="C44" s="7"/>
      <c r="D44" s="7"/>
      <c r="E44" s="993">
        <v>0</v>
      </c>
      <c r="G44" s="5"/>
      <c r="H44" s="5"/>
      <c r="R44" s="2334" t="str">
        <f t="shared" si="39"/>
        <v/>
      </c>
      <c r="W44" s="2334" t="str">
        <f t="shared" si="34"/>
        <v/>
      </c>
      <c r="AB44" s="2333" t="str">
        <f t="shared" si="35"/>
        <v/>
      </c>
      <c r="AG44" s="2334" t="str">
        <f t="shared" si="36"/>
        <v/>
      </c>
      <c r="AL44" s="2334" t="str">
        <f t="shared" si="37"/>
        <v/>
      </c>
      <c r="AQ44" s="2334" t="str">
        <f t="shared" si="38"/>
        <v/>
      </c>
    </row>
    <row r="45" spans="1:45" x14ac:dyDescent="0.35">
      <c r="A45" s="28" t="s">
        <v>550</v>
      </c>
      <c r="B45" s="1024">
        <f>IF(advanced!G57&lt;&gt;"",advanced!G57,$D$19)</f>
        <v>46113</v>
      </c>
      <c r="C45" s="7"/>
      <c r="D45" s="7"/>
      <c r="E45" s="993">
        <v>0</v>
      </c>
      <c r="G45" s="5"/>
      <c r="H45" s="5"/>
      <c r="R45" s="2334" t="str">
        <f t="shared" si="39"/>
        <v/>
      </c>
      <c r="W45" s="2334" t="str">
        <f t="shared" si="34"/>
        <v/>
      </c>
      <c r="AB45" s="2333" t="str">
        <f t="shared" si="35"/>
        <v/>
      </c>
      <c r="AG45" s="2334" t="str">
        <f t="shared" si="36"/>
        <v/>
      </c>
      <c r="AL45" s="2334" t="str">
        <f t="shared" si="37"/>
        <v/>
      </c>
      <c r="AQ45" s="2334" t="str">
        <f t="shared" si="38"/>
        <v/>
      </c>
    </row>
    <row r="46" spans="1:45" x14ac:dyDescent="0.35">
      <c r="A46" s="28" t="s">
        <v>1291</v>
      </c>
      <c r="B46" s="1024">
        <f>IF(advanced!H57="",$D$19,IF(advanced!H57+1=B47,advanced!H57,advanced!H57+1))</f>
        <v>46113</v>
      </c>
      <c r="C46" s="7"/>
      <c r="D46" s="7"/>
      <c r="E46" s="993">
        <v>0</v>
      </c>
      <c r="G46" s="5"/>
      <c r="H46" s="5"/>
      <c r="R46" s="2334" t="str">
        <f t="shared" si="39"/>
        <v/>
      </c>
      <c r="W46" s="2334" t="str">
        <f t="shared" si="34"/>
        <v/>
      </c>
      <c r="AB46" s="2333" t="str">
        <f t="shared" si="35"/>
        <v/>
      </c>
      <c r="AG46" s="2334" t="str">
        <f t="shared" si="36"/>
        <v/>
      </c>
      <c r="AL46" s="2334" t="str">
        <f t="shared" si="37"/>
        <v/>
      </c>
      <c r="AQ46" s="2334" t="str">
        <f t="shared" si="38"/>
        <v/>
      </c>
    </row>
    <row r="47" spans="1:45" x14ac:dyDescent="0.35">
      <c r="A47" s="28" t="s">
        <v>550</v>
      </c>
      <c r="B47" s="1024">
        <f>IF(advanced!G58&lt;&gt;"",advanced!G58,$D$19)</f>
        <v>46113</v>
      </c>
      <c r="C47" s="7"/>
      <c r="D47" s="7"/>
      <c r="E47" s="993">
        <v>0</v>
      </c>
      <c r="G47" s="5"/>
      <c r="H47" s="5"/>
      <c r="R47" s="2334" t="str">
        <f t="shared" si="39"/>
        <v/>
      </c>
      <c r="W47" s="2334" t="str">
        <f t="shared" si="34"/>
        <v/>
      </c>
      <c r="AB47" s="2333" t="str">
        <f t="shared" si="35"/>
        <v/>
      </c>
      <c r="AG47" s="2334" t="str">
        <f t="shared" si="36"/>
        <v/>
      </c>
      <c r="AL47" s="2334" t="str">
        <f t="shared" si="37"/>
        <v/>
      </c>
      <c r="AQ47" s="2334" t="str">
        <f t="shared" si="38"/>
        <v/>
      </c>
    </row>
    <row r="48" spans="1:45" x14ac:dyDescent="0.35">
      <c r="A48" s="28" t="s">
        <v>1291</v>
      </c>
      <c r="B48" s="1024">
        <f>IF(advanced!H58="",$D$19,IF(advanced!H58+1=B49,advanced!H58,advanced!H58+1))</f>
        <v>46113</v>
      </c>
      <c r="C48" s="7"/>
      <c r="D48" s="7"/>
      <c r="E48" s="993">
        <v>0</v>
      </c>
      <c r="G48" s="5"/>
      <c r="H48" s="5"/>
      <c r="R48" s="2334" t="str">
        <f t="shared" si="39"/>
        <v/>
      </c>
      <c r="W48" s="2334" t="str">
        <f t="shared" si="34"/>
        <v/>
      </c>
      <c r="AB48" s="2333" t="str">
        <f t="shared" si="35"/>
        <v/>
      </c>
      <c r="AG48" s="2334" t="str">
        <f t="shared" si="36"/>
        <v/>
      </c>
      <c r="AL48" s="2334" t="str">
        <f t="shared" si="37"/>
        <v/>
      </c>
      <c r="AQ48" s="2334" t="str">
        <f t="shared" si="38"/>
        <v/>
      </c>
    </row>
    <row r="49" spans="2:43" x14ac:dyDescent="0.35">
      <c r="B49" s="5"/>
      <c r="C49" s="5"/>
      <c r="D49" s="5"/>
      <c r="E49" s="5"/>
      <c r="R49" s="2334" t="str">
        <f t="shared" si="39"/>
        <v/>
      </c>
      <c r="W49" s="2334" t="str">
        <f t="shared" si="34"/>
        <v/>
      </c>
      <c r="AB49" s="2333" t="str">
        <f t="shared" si="35"/>
        <v/>
      </c>
      <c r="AG49" s="2334" t="str">
        <f t="shared" si="36"/>
        <v/>
      </c>
      <c r="AL49" s="2334" t="str">
        <f t="shared" si="37"/>
        <v/>
      </c>
      <c r="AQ49" s="2334" t="str">
        <f t="shared" si="38"/>
        <v/>
      </c>
    </row>
    <row r="50" spans="2:43" x14ac:dyDescent="0.35">
      <c r="B50" s="5"/>
      <c r="C50" s="5"/>
      <c r="D50" s="5"/>
      <c r="E50" s="5"/>
      <c r="R50" s="2334" t="str">
        <f t="shared" si="39"/>
        <v/>
      </c>
      <c r="W50" s="2334" t="str">
        <f t="shared" si="34"/>
        <v/>
      </c>
      <c r="AB50" s="2333" t="str">
        <f t="shared" si="35"/>
        <v/>
      </c>
      <c r="AG50" s="2334" t="str">
        <f t="shared" si="36"/>
        <v/>
      </c>
      <c r="AL50" s="2334" t="str">
        <f t="shared" si="37"/>
        <v/>
      </c>
      <c r="AQ50" s="2334" t="str">
        <f t="shared" si="38"/>
        <v/>
      </c>
    </row>
    <row r="51" spans="2:43" x14ac:dyDescent="0.35">
      <c r="B51" s="5"/>
      <c r="C51" s="5"/>
      <c r="D51" s="5"/>
      <c r="E51" s="5"/>
      <c r="R51" s="2334" t="str">
        <f t="shared" si="39"/>
        <v/>
      </c>
      <c r="W51" s="2334" t="str">
        <f t="shared" si="34"/>
        <v/>
      </c>
      <c r="AB51" s="2333" t="str">
        <f t="shared" si="35"/>
        <v/>
      </c>
      <c r="AG51" s="2334" t="str">
        <f t="shared" si="36"/>
        <v/>
      </c>
      <c r="AL51" s="2334" t="str">
        <f t="shared" si="37"/>
        <v/>
      </c>
      <c r="AQ51" s="2334" t="str">
        <f t="shared" si="38"/>
        <v/>
      </c>
    </row>
    <row r="52" spans="2:43" x14ac:dyDescent="0.35">
      <c r="B52" s="5"/>
      <c r="C52" s="5"/>
      <c r="D52" s="5"/>
      <c r="E52" s="5"/>
    </row>
    <row r="54" spans="2:43" x14ac:dyDescent="0.35">
      <c r="L54" s="5"/>
    </row>
    <row r="55" spans="2:43" x14ac:dyDescent="0.35">
      <c r="L55" s="5"/>
    </row>
    <row r="56" spans="2:43" x14ac:dyDescent="0.35">
      <c r="L56" s="5"/>
    </row>
    <row r="57" spans="2:43" x14ac:dyDescent="0.35">
      <c r="L57" s="5"/>
    </row>
    <row r="58" spans="2:43" x14ac:dyDescent="0.35">
      <c r="L58" s="5"/>
    </row>
    <row r="59" spans="2:43" x14ac:dyDescent="0.35">
      <c r="L59" s="5"/>
    </row>
    <row r="60" spans="2:43" x14ac:dyDescent="0.35">
      <c r="L60" s="5"/>
    </row>
    <row r="61" spans="2:43" x14ac:dyDescent="0.35">
      <c r="L61" s="5"/>
    </row>
    <row r="62" spans="2:43" x14ac:dyDescent="0.35">
      <c r="L62" s="5"/>
    </row>
    <row r="63" spans="2:43" x14ac:dyDescent="0.35">
      <c r="L63" s="5"/>
    </row>
    <row r="64" spans="2:43" x14ac:dyDescent="0.35">
      <c r="L64" s="5"/>
    </row>
    <row r="65" spans="12:12" x14ac:dyDescent="0.35">
      <c r="L65" s="5"/>
    </row>
    <row r="66" spans="12:12" x14ac:dyDescent="0.35">
      <c r="L66" s="5"/>
    </row>
    <row r="67" spans="12:12" x14ac:dyDescent="0.35">
      <c r="L67" s="5"/>
    </row>
    <row r="68" spans="12:12" x14ac:dyDescent="0.35">
      <c r="L68" s="5"/>
    </row>
    <row r="69" spans="12:12" x14ac:dyDescent="0.35">
      <c r="L69" s="5"/>
    </row>
    <row r="70" spans="12:12" x14ac:dyDescent="0.35">
      <c r="L70" s="5"/>
    </row>
    <row r="71" spans="12:12" x14ac:dyDescent="0.35">
      <c r="L71" s="5"/>
    </row>
    <row r="72" spans="12:12" x14ac:dyDescent="0.35">
      <c r="L72" s="5"/>
    </row>
    <row r="73" spans="12:12" x14ac:dyDescent="0.35">
      <c r="L73" s="5"/>
    </row>
    <row r="74" spans="12:12" x14ac:dyDescent="0.35">
      <c r="L74" s="5"/>
    </row>
    <row r="75" spans="12:12" x14ac:dyDescent="0.35">
      <c r="L75" s="5"/>
    </row>
    <row r="76" spans="12:12" x14ac:dyDescent="0.35">
      <c r="L76" s="5"/>
    </row>
    <row r="77" spans="12:12" x14ac:dyDescent="0.35">
      <c r="L77" s="5"/>
    </row>
    <row r="78" spans="12:12" x14ac:dyDescent="0.35">
      <c r="L78" s="5"/>
    </row>
    <row r="79" spans="12:12" x14ac:dyDescent="0.35">
      <c r="L79" s="5"/>
    </row>
    <row r="80" spans="12:12" x14ac:dyDescent="0.35">
      <c r="L80" s="5"/>
    </row>
  </sheetData>
  <sheetProtection password="BCD8" sheet="1" objects="1" scenarios="1"/>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D38C0-9FEA-4AE8-A0E6-3507311367FF}">
  <sheetPr codeName="Sheet46"/>
  <dimension ref="A3:AS80"/>
  <sheetViews>
    <sheetView workbookViewId="0"/>
  </sheetViews>
  <sheetFormatPr defaultRowHeight="14.5" x14ac:dyDescent="0.35"/>
  <cols>
    <col min="1" max="1" width="25.36328125" customWidth="1"/>
    <col min="2" max="2" width="12.08984375" hidden="1" customWidth="1"/>
    <col min="3" max="3" width="8.90625" hidden="1" customWidth="1"/>
    <col min="4" max="4" width="15.90625" hidden="1" customWidth="1"/>
    <col min="5" max="5" width="15.36328125" hidden="1" customWidth="1"/>
    <col min="6" max="6" width="16.453125" hidden="1" customWidth="1"/>
    <col min="7" max="7" width="14.54296875" hidden="1" customWidth="1"/>
    <col min="8" max="8" width="8.90625" hidden="1" customWidth="1"/>
    <col min="9" max="9" width="13.36328125" hidden="1" customWidth="1"/>
    <col min="10" max="10" width="14.90625" hidden="1" customWidth="1"/>
    <col min="11" max="11" width="11.08984375" hidden="1" customWidth="1"/>
    <col min="12" max="12" width="16.08984375" hidden="1" customWidth="1"/>
    <col min="13" max="13" width="17.54296875" hidden="1" customWidth="1"/>
    <col min="14" max="14" width="14.54296875" hidden="1" customWidth="1"/>
    <col min="15" max="15" width="11.453125" hidden="1" customWidth="1"/>
    <col min="16" max="16" width="16.90625" hidden="1" customWidth="1"/>
    <col min="17" max="17" width="13.08984375" hidden="1" customWidth="1"/>
    <col min="18" max="18" width="13.36328125" hidden="1" customWidth="1"/>
    <col min="19" max="19" width="13.54296875" hidden="1" customWidth="1"/>
    <col min="20" max="21" width="8.90625" hidden="1" customWidth="1"/>
    <col min="22" max="22" width="14.08984375" hidden="1" customWidth="1"/>
    <col min="23" max="23" width="12.90625" hidden="1" customWidth="1"/>
    <col min="24" max="24" width="8.90625" hidden="1" customWidth="1"/>
    <col min="25" max="25" width="11.90625" hidden="1" customWidth="1"/>
    <col min="26" max="26" width="8.90625" hidden="1" customWidth="1"/>
    <col min="27" max="27" width="12.08984375" hidden="1" customWidth="1"/>
    <col min="28" max="30" width="8.90625" hidden="1" customWidth="1"/>
    <col min="31" max="31" width="11" hidden="1" customWidth="1"/>
    <col min="32" max="32" width="14" hidden="1" customWidth="1"/>
    <col min="33" max="36" width="8.90625" hidden="1" customWidth="1"/>
    <col min="37" max="37" width="15" hidden="1" customWidth="1"/>
    <col min="38" max="41" width="8.90625" hidden="1" customWidth="1"/>
    <col min="42" max="42" width="13.54296875" hidden="1" customWidth="1"/>
    <col min="43" max="45" width="8.90625" hidden="1" customWidth="1"/>
  </cols>
  <sheetData>
    <row r="3" spans="1:21" ht="15.5" x14ac:dyDescent="0.35">
      <c r="B3" s="172"/>
      <c r="C3" s="1011" t="s">
        <v>658</v>
      </c>
      <c r="D3" s="984"/>
      <c r="E3" s="984"/>
      <c r="F3" s="984"/>
      <c r="G3" s="984"/>
      <c r="I3" s="984"/>
      <c r="J3" s="984"/>
      <c r="K3" s="984"/>
      <c r="M3" s="984"/>
      <c r="N3" s="984"/>
      <c r="O3" s="984"/>
      <c r="P3" s="984"/>
      <c r="R3" s="984" t="s">
        <v>866</v>
      </c>
      <c r="S3" s="984"/>
      <c r="T3" s="984"/>
      <c r="U3" s="984"/>
    </row>
    <row r="4" spans="1:21" x14ac:dyDescent="0.35">
      <c r="C4" t="s">
        <v>270</v>
      </c>
      <c r="D4" s="5" t="s">
        <v>656</v>
      </c>
      <c r="E4" s="5" t="s">
        <v>308</v>
      </c>
      <c r="F4" s="5" t="s">
        <v>657</v>
      </c>
      <c r="G4" s="5" t="s">
        <v>317</v>
      </c>
      <c r="I4" s="995" t="s">
        <v>523</v>
      </c>
      <c r="M4" s="991" t="s">
        <v>509</v>
      </c>
      <c r="N4" s="29" t="s">
        <v>510</v>
      </c>
      <c r="O4" s="29" t="s">
        <v>537</v>
      </c>
      <c r="P4" s="29" t="s">
        <v>538</v>
      </c>
      <c r="Q4" s="5"/>
      <c r="R4" s="7"/>
      <c r="S4" s="7" t="str">
        <f>E4</f>
        <v>rv</v>
      </c>
      <c r="T4" s="7" t="str">
        <f>F4</f>
        <v>perc</v>
      </c>
      <c r="U4" s="7" t="str">
        <f>G4</f>
        <v>empty</v>
      </c>
    </row>
    <row r="5" spans="1:21" x14ac:dyDescent="0.35">
      <c r="A5" s="503" t="s">
        <v>511</v>
      </c>
      <c r="B5" s="6">
        <f>input_engine_o!B5</f>
        <v>46113</v>
      </c>
      <c r="C5">
        <v>0</v>
      </c>
      <c r="D5" s="13">
        <f>IF(OR(advanced!M69=0,advanced!M69=""),$B$5,advanced!M69)</f>
        <v>45017</v>
      </c>
      <c r="E5" s="27">
        <f>advanced!N69</f>
        <v>0</v>
      </c>
      <c r="F5" s="989">
        <f>advanced!O69</f>
        <v>1</v>
      </c>
      <c r="G5" s="5" t="str">
        <f>advanced!P69</f>
        <v>n</v>
      </c>
      <c r="I5" t="s">
        <v>516</v>
      </c>
      <c r="J5" t="s">
        <v>520</v>
      </c>
      <c r="L5">
        <f t="shared" ref="L5:L17" si="0">C6</f>
        <v>1</v>
      </c>
      <c r="M5" s="13">
        <f>SMALL(($D$6:$D$18),L5)</f>
        <v>46113</v>
      </c>
      <c r="N5" s="992">
        <f>IF(M5=0,$B$5,M5)</f>
        <v>46113</v>
      </c>
      <c r="O5" s="992">
        <f t="shared" ref="O5:O17" si="1">SMALL($N$5:$N$17,L5)</f>
        <v>46113</v>
      </c>
      <c r="P5" s="992">
        <f>O5</f>
        <v>46113</v>
      </c>
      <c r="Q5" s="5"/>
      <c r="R5" s="1024">
        <f>D18</f>
        <v>46114</v>
      </c>
      <c r="S5" s="7" t="str">
        <f>VLOOKUP(R5,D5:G16,2,TRUE)</f>
        <v/>
      </c>
      <c r="T5" s="7">
        <f>VLOOKUP(R5,D5:G16,3,TRUE)</f>
        <v>1</v>
      </c>
      <c r="U5" s="7" t="str">
        <f>VLOOKUP(R5,D5:G16,4,TRUE)</f>
        <v>n</v>
      </c>
    </row>
    <row r="6" spans="1:21" x14ac:dyDescent="0.35">
      <c r="B6" s="28" t="s">
        <v>515</v>
      </c>
      <c r="C6">
        <v>1</v>
      </c>
      <c r="D6" s="13">
        <f>IF(OR(advanced!M70=0,advanced!M70=""),$B$5,advanced!M70)</f>
        <v>46113</v>
      </c>
      <c r="E6" s="27" t="str">
        <f>advanced!N70</f>
        <v/>
      </c>
      <c r="F6" s="989">
        <f>advanced!O70</f>
        <v>1</v>
      </c>
      <c r="G6" s="5" t="str">
        <f>advanced!P70</f>
        <v>n</v>
      </c>
      <c r="I6" t="s">
        <v>517</v>
      </c>
      <c r="J6" t="s">
        <v>524</v>
      </c>
      <c r="L6">
        <f t="shared" si="0"/>
        <v>2</v>
      </c>
      <c r="M6" s="13">
        <f t="shared" ref="M6:M17" si="2">SMALL(($D$6:$D$18),L6)</f>
        <v>46113</v>
      </c>
      <c r="N6" s="992">
        <f t="shared" ref="N6:N17" si="3">IF(M6=0,$B$5,M6)</f>
        <v>46113</v>
      </c>
      <c r="O6" s="992">
        <f t="shared" si="1"/>
        <v>46113</v>
      </c>
      <c r="P6" s="992">
        <f>IF(OR(O6=P5,O6=P4,O6=G20),$B$5,O6)</f>
        <v>46113</v>
      </c>
      <c r="Q6" s="5"/>
    </row>
    <row r="7" spans="1:21" x14ac:dyDescent="0.35">
      <c r="B7" s="28" t="s">
        <v>515</v>
      </c>
      <c r="C7">
        <v>2</v>
      </c>
      <c r="D7" s="13">
        <f>IF(OR(advanced!M71=0,advanced!M71=""),$B$5,advanced!M71)</f>
        <v>46113</v>
      </c>
      <c r="E7" s="27" t="str">
        <f>advanced!N71</f>
        <v/>
      </c>
      <c r="F7" s="989">
        <f>advanced!O71</f>
        <v>1</v>
      </c>
      <c r="G7" s="5" t="str">
        <f>advanced!P71</f>
        <v>n</v>
      </c>
      <c r="I7" t="s">
        <v>518</v>
      </c>
      <c r="J7" t="s">
        <v>525</v>
      </c>
      <c r="L7">
        <f t="shared" si="0"/>
        <v>3</v>
      </c>
      <c r="M7" s="13">
        <f t="shared" si="2"/>
        <v>46113</v>
      </c>
      <c r="N7" s="992">
        <f t="shared" si="3"/>
        <v>46113</v>
      </c>
      <c r="O7" s="992">
        <f t="shared" si="1"/>
        <v>46113</v>
      </c>
      <c r="P7" s="992">
        <f t="shared" ref="P7:P17" si="4">IF(OR(O7=P6,O7=P5,O7=P4),$B$5,O7)</f>
        <v>46113</v>
      </c>
      <c r="Q7" s="5"/>
      <c r="R7" s="984" t="s">
        <v>867</v>
      </c>
      <c r="S7" s="984"/>
      <c r="T7" s="984"/>
      <c r="U7" s="984"/>
    </row>
    <row r="8" spans="1:21" x14ac:dyDescent="0.35">
      <c r="B8" s="28" t="s">
        <v>515</v>
      </c>
      <c r="C8">
        <v>3</v>
      </c>
      <c r="D8" s="13">
        <f>IF(OR(advanced!M72=0,advanced!M72=""),$B$5,advanced!M72)</f>
        <v>46113</v>
      </c>
      <c r="E8" s="27" t="str">
        <f>advanced!N72</f>
        <v/>
      </c>
      <c r="F8" s="989">
        <f>advanced!O72</f>
        <v>1</v>
      </c>
      <c r="G8" s="5" t="str">
        <f>advanced!P72</f>
        <v>n</v>
      </c>
      <c r="I8" t="s">
        <v>519</v>
      </c>
      <c r="J8" t="s">
        <v>526</v>
      </c>
      <c r="L8">
        <f t="shared" si="0"/>
        <v>4</v>
      </c>
      <c r="M8" s="13">
        <f t="shared" si="2"/>
        <v>46113</v>
      </c>
      <c r="N8" s="992">
        <f t="shared" si="3"/>
        <v>46113</v>
      </c>
      <c r="O8" s="992">
        <f t="shared" si="1"/>
        <v>46113</v>
      </c>
      <c r="P8" s="992">
        <f t="shared" si="4"/>
        <v>46113</v>
      </c>
      <c r="Q8" s="5"/>
      <c r="R8" s="7"/>
      <c r="S8" s="7" t="str">
        <f>S4</f>
        <v>rv</v>
      </c>
      <c r="T8" s="7" t="str">
        <f>T4</f>
        <v>perc</v>
      </c>
      <c r="U8" s="7" t="str">
        <f>U4</f>
        <v>empty</v>
      </c>
    </row>
    <row r="9" spans="1:21" x14ac:dyDescent="0.35">
      <c r="B9" s="28" t="s">
        <v>515</v>
      </c>
      <c r="C9">
        <v>4</v>
      </c>
      <c r="D9" s="13">
        <f>IF(OR(advanced!M73=0,advanced!M73=""),$B$5,advanced!M73)</f>
        <v>46113</v>
      </c>
      <c r="E9" s="27" t="str">
        <f>advanced!N73</f>
        <v/>
      </c>
      <c r="F9" s="989">
        <f>advanced!O73</f>
        <v>1</v>
      </c>
      <c r="G9" s="5" t="str">
        <f>advanced!P73</f>
        <v>n</v>
      </c>
      <c r="L9">
        <f t="shared" si="0"/>
        <v>5</v>
      </c>
      <c r="M9" s="13">
        <f t="shared" si="2"/>
        <v>46113</v>
      </c>
      <c r="N9" s="992">
        <f t="shared" si="3"/>
        <v>46113</v>
      </c>
      <c r="O9" s="992">
        <f t="shared" si="1"/>
        <v>46113</v>
      </c>
      <c r="P9" s="992">
        <f t="shared" si="4"/>
        <v>46113</v>
      </c>
      <c r="Q9" s="5"/>
      <c r="R9" s="1024">
        <f>D17</f>
        <v>46114</v>
      </c>
      <c r="S9" s="7" t="str">
        <f>VLOOKUP(R5,D5:G16,2,TRUE)</f>
        <v/>
      </c>
      <c r="T9" s="7">
        <f>VLOOKUP(R5,D5:G16,3,TRUE)</f>
        <v>1</v>
      </c>
      <c r="U9" s="7" t="str">
        <f>VLOOKUP(R5,D5:G16,4,TRUE)</f>
        <v>n</v>
      </c>
    </row>
    <row r="10" spans="1:21" x14ac:dyDescent="0.35">
      <c r="B10" s="28" t="s">
        <v>515</v>
      </c>
      <c r="C10">
        <v>5</v>
      </c>
      <c r="D10" s="13">
        <f>IF(OR(advanced!M74=0,advanced!M74=""),$B$5,advanced!M74)</f>
        <v>46113</v>
      </c>
      <c r="E10" s="27" t="str">
        <f>advanced!N74</f>
        <v/>
      </c>
      <c r="F10" s="989">
        <f>advanced!O74</f>
        <v>1</v>
      </c>
      <c r="G10" s="5" t="str">
        <f>advanced!P74</f>
        <v>n</v>
      </c>
      <c r="I10" s="995" t="s">
        <v>536</v>
      </c>
      <c r="L10">
        <f t="shared" si="0"/>
        <v>6</v>
      </c>
      <c r="M10" s="13">
        <f t="shared" si="2"/>
        <v>46113</v>
      </c>
      <c r="N10" s="992">
        <f t="shared" si="3"/>
        <v>46113</v>
      </c>
      <c r="O10" s="992">
        <f t="shared" si="1"/>
        <v>46113</v>
      </c>
      <c r="P10" s="992">
        <f t="shared" si="4"/>
        <v>46113</v>
      </c>
      <c r="Q10" s="5"/>
    </row>
    <row r="11" spans="1:21" x14ac:dyDescent="0.35">
      <c r="B11" s="28" t="s">
        <v>515</v>
      </c>
      <c r="C11">
        <v>6</v>
      </c>
      <c r="D11" s="13">
        <f>IF(OR(advanced!M75=0,advanced!M75=""),$B$5,advanced!M75)</f>
        <v>46113</v>
      </c>
      <c r="E11" s="27" t="str">
        <f>advanced!N75</f>
        <v/>
      </c>
      <c r="F11" s="989">
        <f>advanced!O75</f>
        <v>1</v>
      </c>
      <c r="G11" s="5" t="str">
        <f>advanced!P75</f>
        <v>n</v>
      </c>
      <c r="I11" t="s">
        <v>849</v>
      </c>
      <c r="J11" t="s">
        <v>1218</v>
      </c>
      <c r="L11">
        <f t="shared" si="0"/>
        <v>7</v>
      </c>
      <c r="M11" s="13">
        <f t="shared" si="2"/>
        <v>46113</v>
      </c>
      <c r="N11" s="992">
        <f t="shared" si="3"/>
        <v>46113</v>
      </c>
      <c r="O11" s="992">
        <f t="shared" si="1"/>
        <v>46113</v>
      </c>
      <c r="P11" s="992">
        <f t="shared" si="4"/>
        <v>46113</v>
      </c>
      <c r="Q11" s="5"/>
    </row>
    <row r="12" spans="1:21" x14ac:dyDescent="0.35">
      <c r="B12" s="28" t="s">
        <v>515</v>
      </c>
      <c r="C12">
        <v>7</v>
      </c>
      <c r="D12" s="13">
        <f>IF(OR(advanced!M76=0,advanced!M76=""),$B$5,advanced!M76)</f>
        <v>46113</v>
      </c>
      <c r="E12" s="27" t="str">
        <f>advanced!N76</f>
        <v/>
      </c>
      <c r="F12" s="989">
        <f>advanced!O76</f>
        <v>1</v>
      </c>
      <c r="G12" s="5" t="str">
        <f>advanced!P76</f>
        <v>n</v>
      </c>
      <c r="I12" t="s">
        <v>850</v>
      </c>
      <c r="J12" t="s">
        <v>1219</v>
      </c>
      <c r="L12">
        <f t="shared" si="0"/>
        <v>8</v>
      </c>
      <c r="M12" s="13">
        <f t="shared" si="2"/>
        <v>46113</v>
      </c>
      <c r="N12" s="992">
        <f t="shared" si="3"/>
        <v>46113</v>
      </c>
      <c r="O12" s="992">
        <f t="shared" si="1"/>
        <v>46113</v>
      </c>
      <c r="P12" s="992">
        <f t="shared" si="4"/>
        <v>46113</v>
      </c>
      <c r="Q12" s="5"/>
    </row>
    <row r="13" spans="1:21" x14ac:dyDescent="0.35">
      <c r="B13" s="28" t="s">
        <v>515</v>
      </c>
      <c r="C13">
        <v>8</v>
      </c>
      <c r="D13" s="13">
        <f>IF(OR(advanced!M77=0,advanced!M77=""),$B$5,advanced!M77)</f>
        <v>46113</v>
      </c>
      <c r="E13" s="27" t="str">
        <f>advanced!N77</f>
        <v/>
      </c>
      <c r="F13" s="989">
        <f>advanced!O77</f>
        <v>1</v>
      </c>
      <c r="G13" s="5" t="str">
        <f>advanced!P77</f>
        <v>n</v>
      </c>
      <c r="I13" t="s">
        <v>251</v>
      </c>
      <c r="J13" t="s">
        <v>528</v>
      </c>
      <c r="L13">
        <f t="shared" si="0"/>
        <v>9</v>
      </c>
      <c r="M13" s="13">
        <f t="shared" si="2"/>
        <v>46113</v>
      </c>
      <c r="N13" s="992">
        <f t="shared" si="3"/>
        <v>46113</v>
      </c>
      <c r="O13" s="992">
        <f t="shared" si="1"/>
        <v>46113</v>
      </c>
      <c r="P13" s="992">
        <f t="shared" si="4"/>
        <v>46113</v>
      </c>
      <c r="Q13" s="5"/>
    </row>
    <row r="14" spans="1:21" x14ac:dyDescent="0.35">
      <c r="B14" s="28" t="s">
        <v>515</v>
      </c>
      <c r="C14">
        <v>9</v>
      </c>
      <c r="D14" s="13">
        <f>IF(OR(advanced!M78=0,advanced!M78=""),$B$5,advanced!M78)</f>
        <v>46113</v>
      </c>
      <c r="E14" s="27" t="str">
        <f>advanced!N78</f>
        <v/>
      </c>
      <c r="F14" s="989">
        <f>advanced!O78</f>
        <v>1</v>
      </c>
      <c r="G14" s="5" t="str">
        <f>advanced!P78</f>
        <v>n</v>
      </c>
      <c r="I14" t="s">
        <v>267</v>
      </c>
      <c r="J14" t="s">
        <v>529</v>
      </c>
      <c r="L14">
        <f t="shared" si="0"/>
        <v>10</v>
      </c>
      <c r="M14" s="13">
        <f t="shared" si="2"/>
        <v>46113</v>
      </c>
      <c r="N14" s="992">
        <f t="shared" si="3"/>
        <v>46113</v>
      </c>
      <c r="O14" s="992">
        <f t="shared" si="1"/>
        <v>46113</v>
      </c>
      <c r="P14" s="992">
        <f t="shared" si="4"/>
        <v>46113</v>
      </c>
      <c r="Q14" s="5"/>
    </row>
    <row r="15" spans="1:21" x14ac:dyDescent="0.35">
      <c r="B15" s="28" t="s">
        <v>515</v>
      </c>
      <c r="C15">
        <v>10</v>
      </c>
      <c r="D15" s="13">
        <f>IF(OR(advanced!M79=0,advanced!M79=""),$B$5,advanced!M79)</f>
        <v>46113</v>
      </c>
      <c r="E15" s="27" t="str">
        <f>advanced!N79</f>
        <v/>
      </c>
      <c r="F15" s="989">
        <f>advanced!O79</f>
        <v>1</v>
      </c>
      <c r="G15" s="5" t="str">
        <f>advanced!P79</f>
        <v>n</v>
      </c>
      <c r="I15" t="s">
        <v>527</v>
      </c>
      <c r="J15" t="s">
        <v>530</v>
      </c>
      <c r="L15">
        <f t="shared" si="0"/>
        <v>11</v>
      </c>
      <c r="M15" s="13">
        <f t="shared" si="2"/>
        <v>46113</v>
      </c>
      <c r="N15" s="992">
        <f t="shared" si="3"/>
        <v>46113</v>
      </c>
      <c r="O15" s="992">
        <f t="shared" si="1"/>
        <v>46113</v>
      </c>
      <c r="P15" s="992">
        <f t="shared" si="4"/>
        <v>46113</v>
      </c>
      <c r="Q15" s="5"/>
    </row>
    <row r="16" spans="1:21" x14ac:dyDescent="0.35">
      <c r="B16" s="28" t="s">
        <v>515</v>
      </c>
      <c r="C16">
        <v>11</v>
      </c>
      <c r="D16" s="13">
        <f>IF(OR(advanced!M80=0,advanced!M80=""),$B$5,advanced!M80)</f>
        <v>46113</v>
      </c>
      <c r="E16" s="27" t="str">
        <f>advanced!N80</f>
        <v/>
      </c>
      <c r="F16" s="989">
        <f>advanced!O80</f>
        <v>1</v>
      </c>
      <c r="G16" s="5" t="str">
        <f>advanced!P80</f>
        <v>n</v>
      </c>
      <c r="L16">
        <f t="shared" si="0"/>
        <v>12</v>
      </c>
      <c r="M16" s="13">
        <f t="shared" si="2"/>
        <v>46114</v>
      </c>
      <c r="N16" s="992">
        <f t="shared" si="3"/>
        <v>46114</v>
      </c>
      <c r="O16" s="992">
        <f t="shared" si="1"/>
        <v>46114</v>
      </c>
      <c r="P16" s="992">
        <f t="shared" si="4"/>
        <v>46114</v>
      </c>
      <c r="Q16" s="5"/>
    </row>
    <row r="17" spans="1:45" x14ac:dyDescent="0.35">
      <c r="B17" s="28" t="s">
        <v>513</v>
      </c>
      <c r="C17">
        <v>12</v>
      </c>
      <c r="D17" s="13">
        <f>IF(OR(advanced!M37="",advanced!M37=0),B5+1,advanced!M37)</f>
        <v>46114</v>
      </c>
      <c r="E17" s="27" t="str">
        <f>S9</f>
        <v/>
      </c>
      <c r="F17" s="5">
        <f>T9</f>
        <v>1</v>
      </c>
      <c r="G17" s="5" t="str">
        <f>U9</f>
        <v>n</v>
      </c>
      <c r="L17">
        <f t="shared" si="0"/>
        <v>13</v>
      </c>
      <c r="M17" s="13">
        <f t="shared" si="2"/>
        <v>46114</v>
      </c>
      <c r="N17" s="992">
        <f t="shared" si="3"/>
        <v>46114</v>
      </c>
      <c r="O17" s="992">
        <f t="shared" si="1"/>
        <v>46114</v>
      </c>
      <c r="P17" s="992">
        <f t="shared" si="4"/>
        <v>46113</v>
      </c>
      <c r="Q17" s="5"/>
    </row>
    <row r="18" spans="1:45" x14ac:dyDescent="0.35">
      <c r="B18" s="28" t="s">
        <v>512</v>
      </c>
      <c r="C18">
        <v>13</v>
      </c>
      <c r="D18" s="13">
        <f>IF(OR(advanced!M45="",advanced!M45=0),B5+1,advanced!M45)</f>
        <v>46114</v>
      </c>
      <c r="E18" s="27" t="str">
        <f>S5</f>
        <v/>
      </c>
      <c r="F18" s="989">
        <f>T5</f>
        <v>1</v>
      </c>
      <c r="G18" s="5" t="str">
        <f>U5</f>
        <v>n</v>
      </c>
    </row>
    <row r="19" spans="1:45" x14ac:dyDescent="0.35">
      <c r="B19" s="28" t="s">
        <v>514</v>
      </c>
      <c r="C19" s="28" t="s">
        <v>2396</v>
      </c>
      <c r="D19" s="13">
        <f>B5</f>
        <v>46113</v>
      </c>
      <c r="E19" s="27"/>
      <c r="F19" s="5"/>
      <c r="G19" s="5"/>
    </row>
    <row r="20" spans="1:45" x14ac:dyDescent="0.35">
      <c r="C20" s="28"/>
      <c r="D20" s="13"/>
      <c r="E20" s="5"/>
      <c r="F20" s="27"/>
      <c r="G20" s="5"/>
      <c r="H20" s="5"/>
      <c r="P20" s="982" t="s">
        <v>606</v>
      </c>
      <c r="Q20" s="5"/>
      <c r="R20" s="5"/>
      <c r="S20" s="5"/>
      <c r="U20" s="1012" t="s">
        <v>606</v>
      </c>
      <c r="V20" s="5"/>
      <c r="Z20" s="1013" t="s">
        <v>606</v>
      </c>
      <c r="AE20" s="1014" t="s">
        <v>606</v>
      </c>
      <c r="AJ20" s="1015" t="s">
        <v>606</v>
      </c>
      <c r="AO20" s="1012" t="s">
        <v>606</v>
      </c>
      <c r="AP20" s="13"/>
    </row>
    <row r="21" spans="1:45" x14ac:dyDescent="0.35">
      <c r="B21" s="7" t="s">
        <v>533</v>
      </c>
      <c r="C21" s="993">
        <f>advanced!M41</f>
        <v>0</v>
      </c>
      <c r="D21" s="993">
        <f>advanced!M36</f>
        <v>0</v>
      </c>
      <c r="E21" s="5"/>
      <c r="F21" s="5"/>
      <c r="G21" s="5"/>
      <c r="H21" s="5"/>
      <c r="J21" s="5">
        <v>1</v>
      </c>
      <c r="K21" s="5">
        <v>2</v>
      </c>
      <c r="L21" s="5">
        <v>3</v>
      </c>
      <c r="M21" s="5">
        <v>4</v>
      </c>
      <c r="N21" s="5">
        <v>5</v>
      </c>
      <c r="O21" s="5">
        <v>6</v>
      </c>
      <c r="P21" s="1016">
        <f>MAX(P23:P36)</f>
        <v>1</v>
      </c>
      <c r="Q21" s="1016"/>
      <c r="R21" s="1016"/>
      <c r="S21" s="1016"/>
      <c r="T21" s="984"/>
      <c r="U21" s="1017">
        <f>MAX(U23:U36)</f>
        <v>0</v>
      </c>
      <c r="V21" s="1017"/>
      <c r="W21" s="1017"/>
      <c r="X21" s="1017"/>
      <c r="Y21" s="1018"/>
      <c r="Z21" s="1019">
        <f>MAX(Z23:Z36)</f>
        <v>0</v>
      </c>
      <c r="AA21" s="1019"/>
      <c r="AB21" s="1019"/>
      <c r="AC21" s="1019"/>
      <c r="AD21" s="996"/>
      <c r="AE21" s="1020">
        <f>MAX(AE23:AE36)</f>
        <v>12</v>
      </c>
      <c r="AF21" s="1020"/>
      <c r="AG21" s="1020"/>
      <c r="AH21" s="1020"/>
      <c r="AI21" s="1021"/>
      <c r="AJ21" s="1022">
        <f>MAX(AJ23:AJ36)</f>
        <v>0</v>
      </c>
      <c r="AK21" s="1022"/>
      <c r="AL21" s="1022"/>
      <c r="AM21" s="1022"/>
      <c r="AN21" s="580"/>
      <c r="AO21" s="1017">
        <f>MAX(AO23:AO36)</f>
        <v>0</v>
      </c>
      <c r="AP21" s="13"/>
    </row>
    <row r="22" spans="1:45" x14ac:dyDescent="0.35">
      <c r="B22" t="s">
        <v>659</v>
      </c>
      <c r="C22" s="7" t="s">
        <v>531</v>
      </c>
      <c r="D22" s="7" t="s">
        <v>532</v>
      </c>
      <c r="E22" s="5" t="s">
        <v>272</v>
      </c>
      <c r="F22" s="5" t="s">
        <v>534</v>
      </c>
      <c r="G22" s="5" t="str">
        <f>F4</f>
        <v>perc</v>
      </c>
      <c r="H22" s="5" t="str">
        <f>G4</f>
        <v>empty</v>
      </c>
      <c r="I22" s="5" t="s">
        <v>660</v>
      </c>
      <c r="J22" s="5" t="s">
        <v>597</v>
      </c>
      <c r="K22" s="5" t="s">
        <v>598</v>
      </c>
      <c r="L22" s="5" t="s">
        <v>599</v>
      </c>
      <c r="M22" s="5" t="s">
        <v>603</v>
      </c>
      <c r="N22" s="5" t="s">
        <v>604</v>
      </c>
      <c r="O22" s="5" t="s">
        <v>605</v>
      </c>
      <c r="P22" s="1016" t="s">
        <v>607</v>
      </c>
      <c r="Q22" s="1016" t="s">
        <v>608</v>
      </c>
      <c r="R22" s="1016" t="s">
        <v>609</v>
      </c>
      <c r="S22" s="1016" t="s">
        <v>610</v>
      </c>
      <c r="T22" s="1016" t="s">
        <v>611</v>
      </c>
      <c r="U22" s="1017" t="s">
        <v>612</v>
      </c>
      <c r="V22" s="1017" t="s">
        <v>613</v>
      </c>
      <c r="W22" s="1017" t="s">
        <v>614</v>
      </c>
      <c r="X22" s="1017" t="s">
        <v>615</v>
      </c>
      <c r="Y22" s="1017" t="s">
        <v>616</v>
      </c>
      <c r="Z22" s="1019" t="s">
        <v>617</v>
      </c>
      <c r="AA22" s="1019" t="s">
        <v>618</v>
      </c>
      <c r="AB22" s="1019" t="s">
        <v>619</v>
      </c>
      <c r="AC22" s="1019" t="s">
        <v>620</v>
      </c>
      <c r="AD22" s="1019" t="s">
        <v>621</v>
      </c>
      <c r="AE22" s="1020" t="s">
        <v>622</v>
      </c>
      <c r="AF22" s="1020" t="s">
        <v>623</v>
      </c>
      <c r="AG22" s="1020" t="s">
        <v>624</v>
      </c>
      <c r="AH22" s="1020" t="s">
        <v>625</v>
      </c>
      <c r="AI22" s="1020" t="s">
        <v>626</v>
      </c>
      <c r="AJ22" s="1022" t="s">
        <v>627</v>
      </c>
      <c r="AK22" s="1022" t="s">
        <v>628</v>
      </c>
      <c r="AL22" s="1022" t="s">
        <v>629</v>
      </c>
      <c r="AM22" s="1022" t="s">
        <v>630</v>
      </c>
      <c r="AN22" s="1022" t="s">
        <v>631</v>
      </c>
      <c r="AO22" s="1017" t="s">
        <v>632</v>
      </c>
      <c r="AP22" s="1017" t="s">
        <v>633</v>
      </c>
      <c r="AQ22" s="1017" t="s">
        <v>634</v>
      </c>
      <c r="AR22" s="1017" t="s">
        <v>635</v>
      </c>
      <c r="AS22" s="1017" t="s">
        <v>636</v>
      </c>
    </row>
    <row r="23" spans="1:45" x14ac:dyDescent="0.35">
      <c r="A23" t="s">
        <v>535</v>
      </c>
      <c r="B23" s="1">
        <f>D5</f>
        <v>45017</v>
      </c>
      <c r="C23" s="992" t="str">
        <f>IF(OR($C$21="",$C$21=0,$D$18=0),"n",IF(LOOKUP(advanced!$M$45,$B$23:$B$36)=B23,"b","n"))</f>
        <v>n</v>
      </c>
      <c r="D23" s="992" t="str">
        <f>IF(OR($D$21="",$D$21=0,D17=0),"n",IF(LOOKUP(advanced!M37,$B$23:$B$36)=B23,"c","n"))</f>
        <v>n</v>
      </c>
      <c r="E23" s="27">
        <f t="array" ref="E23">IF(VLOOKUP(B23,$D$5:$G$18,2,FALSE)="","",VLOOKUP(B23,$D$5:$G$18,2,FALSE)-IF(OR($B$39:$B$48=B23)=TRUE,VLOOKUP(B23,$B$39:$E$48,4,FALSE),0))</f>
        <v>0</v>
      </c>
      <c r="F23" s="992" t="str">
        <f>C23&amp;D23</f>
        <v>nn</v>
      </c>
      <c r="G23" s="5">
        <f>VLOOKUP(B23,$D$5:$G$18,3,FALSE)</f>
        <v>1</v>
      </c>
      <c r="H23" s="5" t="str">
        <f>VLOOKUP(B23,$D$5:$G$18,4,FALSE)</f>
        <v>n</v>
      </c>
      <c r="I23" s="5">
        <f>VLOOKUP(B23,data!$B$13:$D$20,3,TRUE)</f>
        <v>1</v>
      </c>
      <c r="J23" s="5">
        <f t="shared" ref="J23:O35" si="5">IF($I23=J$21,1,0)</f>
        <v>1</v>
      </c>
      <c r="K23" s="5">
        <f t="shared" si="5"/>
        <v>0</v>
      </c>
      <c r="L23" s="5">
        <f t="shared" si="5"/>
        <v>0</v>
      </c>
      <c r="M23" s="5">
        <f t="shared" si="5"/>
        <v>0</v>
      </c>
      <c r="N23" s="5">
        <f t="shared" si="5"/>
        <v>0</v>
      </c>
      <c r="O23" s="5">
        <f t="shared" si="5"/>
        <v>0</v>
      </c>
      <c r="P23" s="5">
        <f>J23</f>
        <v>1</v>
      </c>
      <c r="Q23" s="13">
        <f t="shared" ref="Q23:Q35" si="6">IF(J23=1,B23,"")</f>
        <v>45017</v>
      </c>
      <c r="R23" s="5">
        <f>IF(R39&lt;0,0,R39)</f>
        <v>0</v>
      </c>
      <c r="S23" s="989">
        <f>G23</f>
        <v>1</v>
      </c>
      <c r="T23" s="989" t="str">
        <f>H23</f>
        <v>n</v>
      </c>
      <c r="U23" s="5">
        <f>K23</f>
        <v>0</v>
      </c>
      <c r="V23" s="13" t="str">
        <f>IF(K23=1,B23,"")</f>
        <v/>
      </c>
      <c r="W23" s="5" t="str">
        <f>IF(W39&lt;0,0,W39)</f>
        <v/>
      </c>
      <c r="X23" s="989" t="str">
        <f>IF(K23=1,VLOOKUP($B23,$D$5:$G$18,3,FALSE),"")</f>
        <v/>
      </c>
      <c r="Y23" s="989" t="str">
        <f>IF(K23=1,VLOOKUP($B23,$D$5:$G$18,4,FALSE),"")</f>
        <v/>
      </c>
      <c r="Z23" s="5">
        <f>L23</f>
        <v>0</v>
      </c>
      <c r="AA23" s="13" t="str">
        <f>IF(L23=1,$B23,"")</f>
        <v/>
      </c>
      <c r="AB23" s="5" t="str">
        <f>IF(AB39&lt;0,0,AB39)</f>
        <v/>
      </c>
      <c r="AC23" s="989" t="str">
        <f>IF(L23=1,VLOOKUP($B23,$D$5:$G$18,3,FALSE),"")</f>
        <v/>
      </c>
      <c r="AD23" s="989" t="str">
        <f>IF(L23=1,VLOOKUP($B23,$D$5:$G$18,4,FALSE),"")</f>
        <v/>
      </c>
      <c r="AE23" s="5">
        <f>M23</f>
        <v>0</v>
      </c>
      <c r="AF23" s="13" t="str">
        <f>IF(M23=1,$B23,"")</f>
        <v/>
      </c>
      <c r="AG23" s="5" t="str">
        <f>IF(AG39&lt;0,0,AG39)</f>
        <v/>
      </c>
      <c r="AH23" s="989" t="str">
        <f>IF(M23=1,VLOOKUP($B23,$D$5:$G$18,3,FALSE),"")</f>
        <v/>
      </c>
      <c r="AI23" s="989" t="str">
        <f>IF(M23=1,VLOOKUP($B23,$D$5:$G$18,4,FALSE),"")</f>
        <v/>
      </c>
      <c r="AJ23" s="5">
        <f>N23</f>
        <v>0</v>
      </c>
      <c r="AK23" s="13" t="str">
        <f>IF(N23=1,$B23,"")</f>
        <v/>
      </c>
      <c r="AL23" s="5" t="str">
        <f>IF(AL39&lt;0,0,AL39)</f>
        <v/>
      </c>
      <c r="AM23" s="989" t="str">
        <f>IF(N23=1,VLOOKUP($B23,$D$5:$G$18,3,FALSE),"")</f>
        <v/>
      </c>
      <c r="AN23" s="989" t="str">
        <f>IF(N23=1,VLOOKUP($B23,$D$5:$G$18,4,FALSE),"")</f>
        <v/>
      </c>
      <c r="AO23" s="5">
        <f>O23</f>
        <v>0</v>
      </c>
      <c r="AP23" s="13" t="str">
        <f>IF(O23=1,$B23,"")</f>
        <v/>
      </c>
      <c r="AQ23" s="5" t="str">
        <f>IF(AQ39&lt;0,0,AQ39)</f>
        <v/>
      </c>
      <c r="AR23" s="989" t="str">
        <f>IF(O23=1,VLOOKUP($B23,$D$5:$G$18,3,FALSE),"")</f>
        <v/>
      </c>
      <c r="AS23" s="989" t="str">
        <f>IF(O23=1,VLOOKUP($B23,$D$5:$G$18,4,FALSE),"")</f>
        <v/>
      </c>
    </row>
    <row r="24" spans="1:45" x14ac:dyDescent="0.35">
      <c r="A24">
        <v>1</v>
      </c>
      <c r="B24" s="1">
        <f t="shared" ref="B24:B36" si="7">SMALL($P$5:$P$17,A24)</f>
        <v>46113</v>
      </c>
      <c r="C24" s="992" t="str">
        <f>IF(OR($C$21="",$C$21=0,$D$18=0),"n",IF(C23="b","b",IF(LOOKUP(advanced!$M$45,$B$23:$B$36)=B24,"b","n")))</f>
        <v>n</v>
      </c>
      <c r="D24" s="992" t="str">
        <f>IF(OR($D$21="",$D$21=0,$D$17=0),"n",IF(D23="c","c",IF(LOOKUP(advanced!$M$37,$B$23:$B$36)=B24,"c","n")))</f>
        <v>n</v>
      </c>
      <c r="E24" s="27" t="str">
        <f t="array" ref="E24">IF(VLOOKUP(B24,$D$5:$G$18,2,FALSE)="","",VLOOKUP(B24,$D$5:$G$18,2,FALSE)-IF(OR($B$39:$B$48=B24)=TRUE,VLOOKUP(B24,$B$39:$E$48,4,FALSE),0))</f>
        <v/>
      </c>
      <c r="F24" s="992" t="str">
        <f t="shared" ref="F24:F35" si="8">C24&amp;D24</f>
        <v>nn</v>
      </c>
      <c r="G24" s="5">
        <f t="shared" ref="G24:G35" si="9">VLOOKUP(B24,$D$5:$G$18,3,FALSE)</f>
        <v>1</v>
      </c>
      <c r="H24" s="5" t="str">
        <f t="shared" ref="H24:H35" si="10">VLOOKUP(B24,$D$5:$G$18,4,FALSE)</f>
        <v>n</v>
      </c>
      <c r="I24" s="5">
        <f>VLOOKUP(B24,data!$B$13:$D$20,3,TRUE)</f>
        <v>4</v>
      </c>
      <c r="J24" s="5">
        <f t="shared" si="5"/>
        <v>0</v>
      </c>
      <c r="K24" s="5">
        <f t="shared" si="5"/>
        <v>0</v>
      </c>
      <c r="L24" s="5">
        <f t="shared" si="5"/>
        <v>0</v>
      </c>
      <c r="M24" s="5">
        <f t="shared" si="5"/>
        <v>1</v>
      </c>
      <c r="N24" s="5">
        <f t="shared" si="5"/>
        <v>0</v>
      </c>
      <c r="O24" s="5">
        <f t="shared" si="5"/>
        <v>0</v>
      </c>
      <c r="P24" s="1023" t="str">
        <f>IF(J24=1,SUM(J$23:J24),"")</f>
        <v/>
      </c>
      <c r="Q24" s="13" t="str">
        <f t="shared" si="6"/>
        <v/>
      </c>
      <c r="R24" s="5" t="str">
        <f t="shared" ref="R24:R35" si="11">IF(R40&lt;0,0,R40)</f>
        <v/>
      </c>
      <c r="S24" s="989" t="str">
        <f>IF(J24=1,VLOOKUP($B24,$D$5:$G$18,3,FALSE),"")</f>
        <v/>
      </c>
      <c r="T24" s="989" t="str">
        <f>IF(J24=1,VLOOKUP($B24,$D$5:$G$18,4,FALSE),"")</f>
        <v/>
      </c>
      <c r="U24" s="1023" t="str">
        <f>IF(K24=1,SUM(K$23:K24),"")</f>
        <v/>
      </c>
      <c r="V24" s="13" t="str">
        <f t="shared" ref="V24:V35" si="12">IF(K24=1,B24,"")</f>
        <v/>
      </c>
      <c r="W24" s="5" t="str">
        <f t="shared" ref="W24:W35" si="13">IF(W40&lt;0,0,W40)</f>
        <v/>
      </c>
      <c r="X24" s="989" t="str">
        <f t="shared" ref="X24:X35" si="14">IF(K24=1,VLOOKUP($B24,$D$5:$G$18,3,FALSE),"")</f>
        <v/>
      </c>
      <c r="Y24" s="989" t="str">
        <f t="shared" ref="Y24:Y35" si="15">IF(K24=1,VLOOKUP($B24,$D$5:$G$18,4,FALSE),"")</f>
        <v/>
      </c>
      <c r="Z24" s="1023" t="str">
        <f>IF(L24=1,SUM(L$23:L24),"")</f>
        <v/>
      </c>
      <c r="AA24" s="13" t="str">
        <f>IF(L24=1,$B24,"")</f>
        <v/>
      </c>
      <c r="AB24" s="5" t="str">
        <f t="shared" ref="AB24:AB35" si="16">IF(AB40&lt;0,0,AB40)</f>
        <v/>
      </c>
      <c r="AC24" s="989" t="str">
        <f t="shared" ref="AC24:AC35" si="17">IF(L24=1,VLOOKUP($B24,$D$5:$G$18,3,FALSE),"")</f>
        <v/>
      </c>
      <c r="AD24" s="989" t="str">
        <f t="shared" ref="AD24:AD35" si="18">IF(L24=1,VLOOKUP($B24,$D$5:$G$18,4,FALSE),"")</f>
        <v/>
      </c>
      <c r="AE24" s="1023">
        <f>IF(M24=1,SUM(M$23:M24),"")</f>
        <v>1</v>
      </c>
      <c r="AF24" s="13">
        <f t="shared" ref="AF24:AF35" si="19">IF(M24=1,$B24,"")</f>
        <v>46113</v>
      </c>
      <c r="AG24" s="5" t="str">
        <f t="shared" ref="AG24:AG35" si="20">IF(AG40&lt;0,0,AG40)</f>
        <v/>
      </c>
      <c r="AH24" s="989">
        <f t="shared" ref="AH24:AH35" si="21">IF(M24=1,VLOOKUP($B24,$D$5:$G$18,3,FALSE),"")</f>
        <v>1</v>
      </c>
      <c r="AI24" s="989" t="str">
        <f t="shared" ref="AI24:AI35" si="22">IF(M24=1,VLOOKUP($B24,$D$5:$G$18,4,FALSE),"")</f>
        <v>n</v>
      </c>
      <c r="AJ24" s="1023" t="str">
        <f>IF(N24=1,SUM(N$23:N24),"")</f>
        <v/>
      </c>
      <c r="AK24" s="13" t="str">
        <f t="shared" ref="AK24:AK35" si="23">IF(N24=1,$B24,"")</f>
        <v/>
      </c>
      <c r="AL24" s="5" t="str">
        <f t="shared" ref="AL24:AL35" si="24">IF(AL40&lt;0,0,AL40)</f>
        <v/>
      </c>
      <c r="AM24" s="989" t="str">
        <f t="shared" ref="AM24:AM35" si="25">IF(N24=1,VLOOKUP($B24,$D$5:$G$18,3,FALSE),"")</f>
        <v/>
      </c>
      <c r="AN24" s="989" t="str">
        <f t="shared" ref="AN24:AN35" si="26">IF(N24=1,VLOOKUP($B24,$D$5:$G$18,4,FALSE),"")</f>
        <v/>
      </c>
      <c r="AO24" s="1023" t="str">
        <f>IF(O24=1,SUM(O$23:O24),"")</f>
        <v/>
      </c>
      <c r="AP24" s="13" t="str">
        <f t="shared" ref="AP24:AP35" si="27">IF(O24=1,$B24,"")</f>
        <v/>
      </c>
      <c r="AQ24" s="5" t="str">
        <f t="shared" ref="AQ24:AQ35" si="28">IF(AQ40&lt;0,0,AQ40)</f>
        <v/>
      </c>
      <c r="AR24" s="989" t="str">
        <f t="shared" ref="AR24:AR35" si="29">IF(O24=1,VLOOKUP($B24,$D$5:$G$18,3,FALSE),"")</f>
        <v/>
      </c>
      <c r="AS24" s="989" t="str">
        <f t="shared" ref="AS24:AS35" si="30">IF(O24=1,VLOOKUP($B24,$D$5:$G$18,4,FALSE),"")</f>
        <v/>
      </c>
    </row>
    <row r="25" spans="1:45" x14ac:dyDescent="0.35">
      <c r="A25">
        <v>2</v>
      </c>
      <c r="B25" s="1">
        <f t="shared" si="7"/>
        <v>46113</v>
      </c>
      <c r="C25" s="992" t="str">
        <f>IF(OR($C$21="",$C$21=0,$D$18=0),"n",IF(C24="b","b",IF(LOOKUP(advanced!$M$45,$B$23:$B$36)=B25,"b","n")))</f>
        <v>n</v>
      </c>
      <c r="D25" s="992" t="str">
        <f>IF(OR($D$21="",$D$21=0,$D$17=0),"n",IF(D24="c","c",IF(LOOKUP(advanced!$M$37,$B$23:$B$36)=B25,"c","n")))</f>
        <v>n</v>
      </c>
      <c r="E25" s="27" t="str">
        <f t="array" ref="E25">IF(VLOOKUP(B25,$D$5:$G$18,2,FALSE)="","",VLOOKUP(B25,$D$5:$G$18,2,FALSE)-IF(OR($B$39:$B$48=B25)=TRUE,VLOOKUP(B25,$B$39:$E$48,4,FALSE),0))</f>
        <v/>
      </c>
      <c r="F25" s="992" t="str">
        <f t="shared" si="8"/>
        <v>nn</v>
      </c>
      <c r="G25" s="5">
        <f t="shared" si="9"/>
        <v>1</v>
      </c>
      <c r="H25" s="5" t="str">
        <f t="shared" si="10"/>
        <v>n</v>
      </c>
      <c r="I25" s="5">
        <f>VLOOKUP(B25,data!$B$13:$D$20,3,TRUE)</f>
        <v>4</v>
      </c>
      <c r="J25" s="5">
        <f t="shared" si="5"/>
        <v>0</v>
      </c>
      <c r="K25" s="5">
        <f t="shared" si="5"/>
        <v>0</v>
      </c>
      <c r="L25" s="5">
        <f t="shared" si="5"/>
        <v>0</v>
      </c>
      <c r="M25" s="5">
        <f t="shared" si="5"/>
        <v>1</v>
      </c>
      <c r="N25" s="5">
        <f t="shared" si="5"/>
        <v>0</v>
      </c>
      <c r="O25" s="5">
        <f t="shared" si="5"/>
        <v>0</v>
      </c>
      <c r="P25" s="1023" t="str">
        <f>IF(J25=1,SUM(J$23:J25),"")</f>
        <v/>
      </c>
      <c r="Q25" s="13" t="str">
        <f t="shared" si="6"/>
        <v/>
      </c>
      <c r="R25" s="5" t="str">
        <f t="shared" si="11"/>
        <v/>
      </c>
      <c r="S25" s="989" t="str">
        <f t="shared" ref="S25:S35" si="31">IF(J25=1,VLOOKUP($B25,$D$5:$G$18,3,FALSE),"")</f>
        <v/>
      </c>
      <c r="T25" s="989" t="str">
        <f t="shared" ref="T25:T35" si="32">IF(J25=1,VLOOKUP($B25,$D$5:$G$18,4,FALSE),"")</f>
        <v/>
      </c>
      <c r="U25" s="1023" t="str">
        <f>IF(K25=1,SUM(K$23:K25),"")</f>
        <v/>
      </c>
      <c r="V25" s="13" t="str">
        <f t="shared" si="12"/>
        <v/>
      </c>
      <c r="W25" s="5" t="str">
        <f t="shared" si="13"/>
        <v/>
      </c>
      <c r="X25" s="989" t="str">
        <f t="shared" si="14"/>
        <v/>
      </c>
      <c r="Y25" s="989" t="str">
        <f t="shared" si="15"/>
        <v/>
      </c>
      <c r="Z25" s="1023" t="str">
        <f>IF(L25=1,SUM(L$23:L25),"")</f>
        <v/>
      </c>
      <c r="AA25" s="13" t="str">
        <f t="shared" ref="AA25:AA35" si="33">IF(L25=1,$B25,"")</f>
        <v/>
      </c>
      <c r="AB25" s="5" t="str">
        <f t="shared" si="16"/>
        <v/>
      </c>
      <c r="AC25" s="989" t="str">
        <f t="shared" si="17"/>
        <v/>
      </c>
      <c r="AD25" s="989" t="str">
        <f t="shared" si="18"/>
        <v/>
      </c>
      <c r="AE25" s="1023">
        <f>IF(M25=1,SUM(M$23:M25),"")</f>
        <v>2</v>
      </c>
      <c r="AF25" s="13">
        <f t="shared" si="19"/>
        <v>46113</v>
      </c>
      <c r="AG25" s="5" t="str">
        <f t="shared" si="20"/>
        <v/>
      </c>
      <c r="AH25" s="989">
        <f t="shared" si="21"/>
        <v>1</v>
      </c>
      <c r="AI25" s="989" t="str">
        <f t="shared" si="22"/>
        <v>n</v>
      </c>
      <c r="AJ25" s="1023" t="str">
        <f>IF(N25=1,SUM(N$23:N25),"")</f>
        <v/>
      </c>
      <c r="AK25" s="13" t="str">
        <f t="shared" si="23"/>
        <v/>
      </c>
      <c r="AL25" s="5" t="str">
        <f t="shared" si="24"/>
        <v/>
      </c>
      <c r="AM25" s="989" t="str">
        <f t="shared" si="25"/>
        <v/>
      </c>
      <c r="AN25" s="989" t="str">
        <f t="shared" si="26"/>
        <v/>
      </c>
      <c r="AO25" s="1023" t="str">
        <f>IF(O25=1,SUM(O$23:O25),"")</f>
        <v/>
      </c>
      <c r="AP25" s="13" t="str">
        <f t="shared" si="27"/>
        <v/>
      </c>
      <c r="AQ25" s="5" t="str">
        <f t="shared" si="28"/>
        <v/>
      </c>
      <c r="AR25" s="989" t="str">
        <f t="shared" si="29"/>
        <v/>
      </c>
      <c r="AS25" s="989" t="str">
        <f t="shared" si="30"/>
        <v/>
      </c>
    </row>
    <row r="26" spans="1:45" x14ac:dyDescent="0.35">
      <c r="A26">
        <v>3</v>
      </c>
      <c r="B26" s="1">
        <f t="shared" si="7"/>
        <v>46113</v>
      </c>
      <c r="C26" s="992" t="str">
        <f>IF(OR($C$21="",$C$21=0,$D$18=0),"n",IF(C25="b","b",IF(LOOKUP(advanced!$M$45,$B$23:$B$36)=B26,"b","n")))</f>
        <v>n</v>
      </c>
      <c r="D26" s="992" t="str">
        <f>IF(OR($D$21="",$D$21=0,$D$17=0),"n",IF(D25="c","c",IF(LOOKUP(advanced!$M$37,$B$23:$B$36)=B26,"c","n")))</f>
        <v>n</v>
      </c>
      <c r="E26" s="27" t="str">
        <f t="array" ref="E26">IF(VLOOKUP(B26,$D$5:$G$18,2,FALSE)="","",VLOOKUP(B26,$D$5:$G$18,2,FALSE)-IF(OR($B$39:$B$48=B26)=TRUE,VLOOKUP(B26,$B$39:$E$48,4,FALSE),0))</f>
        <v/>
      </c>
      <c r="F26" s="992" t="str">
        <f t="shared" si="8"/>
        <v>nn</v>
      </c>
      <c r="G26" s="5">
        <f t="shared" si="9"/>
        <v>1</v>
      </c>
      <c r="H26" s="5" t="str">
        <f t="shared" si="10"/>
        <v>n</v>
      </c>
      <c r="I26" s="5">
        <f>VLOOKUP(B26,data!$B$13:$D$20,3,TRUE)</f>
        <v>4</v>
      </c>
      <c r="J26" s="5">
        <f t="shared" si="5"/>
        <v>0</v>
      </c>
      <c r="K26" s="5">
        <f t="shared" si="5"/>
        <v>0</v>
      </c>
      <c r="L26" s="5">
        <f t="shared" si="5"/>
        <v>0</v>
      </c>
      <c r="M26" s="5">
        <f t="shared" si="5"/>
        <v>1</v>
      </c>
      <c r="N26" s="5">
        <f t="shared" si="5"/>
        <v>0</v>
      </c>
      <c r="O26" s="5">
        <f t="shared" si="5"/>
        <v>0</v>
      </c>
      <c r="P26" s="1023" t="str">
        <f>IF(J26=1,SUM(J$23:J26),"")</f>
        <v/>
      </c>
      <c r="Q26" s="13" t="str">
        <f t="shared" si="6"/>
        <v/>
      </c>
      <c r="R26" s="5" t="str">
        <f t="shared" si="11"/>
        <v/>
      </c>
      <c r="S26" s="989" t="str">
        <f t="shared" si="31"/>
        <v/>
      </c>
      <c r="T26" s="989" t="str">
        <f t="shared" si="32"/>
        <v/>
      </c>
      <c r="U26" s="1023" t="str">
        <f>IF(K26=1,SUM(K$23:K26),"")</f>
        <v/>
      </c>
      <c r="V26" s="13" t="str">
        <f t="shared" si="12"/>
        <v/>
      </c>
      <c r="W26" s="5" t="str">
        <f t="shared" si="13"/>
        <v/>
      </c>
      <c r="X26" s="989" t="str">
        <f t="shared" si="14"/>
        <v/>
      </c>
      <c r="Y26" s="989" t="str">
        <f t="shared" si="15"/>
        <v/>
      </c>
      <c r="Z26" s="1023" t="str">
        <f>IF(L26=1,SUM(L$23:L26),"")</f>
        <v/>
      </c>
      <c r="AA26" s="13" t="str">
        <f t="shared" si="33"/>
        <v/>
      </c>
      <c r="AB26" s="5" t="str">
        <f t="shared" si="16"/>
        <v/>
      </c>
      <c r="AC26" s="989" t="str">
        <f t="shared" si="17"/>
        <v/>
      </c>
      <c r="AD26" s="989" t="str">
        <f t="shared" si="18"/>
        <v/>
      </c>
      <c r="AE26" s="1023">
        <f>IF(M26=1,SUM(M$23:M26),"")</f>
        <v>3</v>
      </c>
      <c r="AF26" s="13">
        <f t="shared" si="19"/>
        <v>46113</v>
      </c>
      <c r="AG26" s="5" t="str">
        <f t="shared" si="20"/>
        <v/>
      </c>
      <c r="AH26" s="989">
        <f t="shared" si="21"/>
        <v>1</v>
      </c>
      <c r="AI26" s="989" t="str">
        <f t="shared" si="22"/>
        <v>n</v>
      </c>
      <c r="AJ26" s="1023" t="str">
        <f>IF(N26=1,SUM(N$23:N26),"")</f>
        <v/>
      </c>
      <c r="AK26" s="13" t="str">
        <f t="shared" si="23"/>
        <v/>
      </c>
      <c r="AL26" s="5" t="str">
        <f t="shared" si="24"/>
        <v/>
      </c>
      <c r="AM26" s="989" t="str">
        <f t="shared" si="25"/>
        <v/>
      </c>
      <c r="AN26" s="989" t="str">
        <f t="shared" si="26"/>
        <v/>
      </c>
      <c r="AO26" s="1023" t="str">
        <f>IF(O26=1,SUM(O$23:O26),"")</f>
        <v/>
      </c>
      <c r="AP26" s="13" t="str">
        <f t="shared" si="27"/>
        <v/>
      </c>
      <c r="AQ26" s="5" t="str">
        <f t="shared" si="28"/>
        <v/>
      </c>
      <c r="AR26" s="989" t="str">
        <f t="shared" si="29"/>
        <v/>
      </c>
      <c r="AS26" s="989" t="str">
        <f t="shared" si="30"/>
        <v/>
      </c>
    </row>
    <row r="27" spans="1:45" x14ac:dyDescent="0.35">
      <c r="A27">
        <v>4</v>
      </c>
      <c r="B27" s="1">
        <f t="shared" si="7"/>
        <v>46113</v>
      </c>
      <c r="C27" s="992" t="str">
        <f>IF(OR($C$21="",$C$21=0,$D$18=0),"n",IF(C26="b","b",IF(LOOKUP(advanced!$M$45,$B$23:$B$36)=B27,"b","n")))</f>
        <v>n</v>
      </c>
      <c r="D27" s="992" t="str">
        <f>IF(OR($D$21="",$D$21=0,$D$17=0),"n",IF(D26="c","c",IF(LOOKUP(advanced!$M$37,$B$23:$B$36)=B27,"c","n")))</f>
        <v>n</v>
      </c>
      <c r="E27" s="27" t="str">
        <f t="array" ref="E27">IF(VLOOKUP(B27,$D$5:$G$18,2,FALSE)="","",VLOOKUP(B27,$D$5:$G$18,2,FALSE)-IF(OR($B$39:$B$48=B27)=TRUE,VLOOKUP(B27,$B$39:$E$48,4,FALSE),0))</f>
        <v/>
      </c>
      <c r="F27" s="992" t="str">
        <f t="shared" si="8"/>
        <v>nn</v>
      </c>
      <c r="G27" s="5">
        <f t="shared" si="9"/>
        <v>1</v>
      </c>
      <c r="H27" s="5" t="str">
        <f t="shared" si="10"/>
        <v>n</v>
      </c>
      <c r="I27" s="5">
        <f>VLOOKUP(B27,data!$B$13:$D$20,3,TRUE)</f>
        <v>4</v>
      </c>
      <c r="J27" s="5">
        <f t="shared" si="5"/>
        <v>0</v>
      </c>
      <c r="K27" s="5">
        <f t="shared" si="5"/>
        <v>0</v>
      </c>
      <c r="L27" s="5">
        <f t="shared" si="5"/>
        <v>0</v>
      </c>
      <c r="M27" s="5">
        <f t="shared" si="5"/>
        <v>1</v>
      </c>
      <c r="N27" s="5">
        <f t="shared" si="5"/>
        <v>0</v>
      </c>
      <c r="O27" s="5">
        <f t="shared" si="5"/>
        <v>0</v>
      </c>
      <c r="P27" s="1023" t="str">
        <f>IF(J27=1,SUM(J$23:J27),"")</f>
        <v/>
      </c>
      <c r="Q27" s="13" t="str">
        <f t="shared" si="6"/>
        <v/>
      </c>
      <c r="R27" s="5" t="str">
        <f t="shared" si="11"/>
        <v/>
      </c>
      <c r="S27" s="989" t="str">
        <f t="shared" si="31"/>
        <v/>
      </c>
      <c r="T27" s="989" t="str">
        <f t="shared" si="32"/>
        <v/>
      </c>
      <c r="U27" s="1023" t="str">
        <f>IF(K27=1,SUM(K$23:K27),"")</f>
        <v/>
      </c>
      <c r="V27" s="13" t="str">
        <f t="shared" si="12"/>
        <v/>
      </c>
      <c r="W27" s="5" t="str">
        <f t="shared" si="13"/>
        <v/>
      </c>
      <c r="X27" s="989" t="str">
        <f t="shared" si="14"/>
        <v/>
      </c>
      <c r="Y27" s="989" t="str">
        <f t="shared" si="15"/>
        <v/>
      </c>
      <c r="Z27" s="1023" t="str">
        <f>IF(L27=1,SUM(L$23:L27),"")</f>
        <v/>
      </c>
      <c r="AA27" s="13" t="str">
        <f t="shared" si="33"/>
        <v/>
      </c>
      <c r="AB27" s="5" t="str">
        <f t="shared" si="16"/>
        <v/>
      </c>
      <c r="AC27" s="989" t="str">
        <f t="shared" si="17"/>
        <v/>
      </c>
      <c r="AD27" s="989" t="str">
        <f t="shared" si="18"/>
        <v/>
      </c>
      <c r="AE27" s="1023">
        <f>IF(M27=1,SUM(M$23:M27),"")</f>
        <v>4</v>
      </c>
      <c r="AF27" s="13">
        <f t="shared" si="19"/>
        <v>46113</v>
      </c>
      <c r="AG27" s="5" t="str">
        <f t="shared" si="20"/>
        <v/>
      </c>
      <c r="AH27" s="989">
        <f t="shared" si="21"/>
        <v>1</v>
      </c>
      <c r="AI27" s="989" t="str">
        <f t="shared" si="22"/>
        <v>n</v>
      </c>
      <c r="AJ27" s="1023" t="str">
        <f>IF(N27=1,SUM(N$23:N27),"")</f>
        <v/>
      </c>
      <c r="AK27" s="13" t="str">
        <f t="shared" si="23"/>
        <v/>
      </c>
      <c r="AL27" s="5" t="str">
        <f t="shared" si="24"/>
        <v/>
      </c>
      <c r="AM27" s="989" t="str">
        <f t="shared" si="25"/>
        <v/>
      </c>
      <c r="AN27" s="989" t="str">
        <f t="shared" si="26"/>
        <v/>
      </c>
      <c r="AO27" s="1023" t="str">
        <f>IF(O27=1,SUM(O$23:O27),"")</f>
        <v/>
      </c>
      <c r="AP27" s="13" t="str">
        <f t="shared" si="27"/>
        <v/>
      </c>
      <c r="AQ27" s="5" t="str">
        <f t="shared" si="28"/>
        <v/>
      </c>
      <c r="AR27" s="989" t="str">
        <f t="shared" si="29"/>
        <v/>
      </c>
      <c r="AS27" s="989" t="str">
        <f t="shared" si="30"/>
        <v/>
      </c>
    </row>
    <row r="28" spans="1:45" x14ac:dyDescent="0.35">
      <c r="A28">
        <v>5</v>
      </c>
      <c r="B28" s="1">
        <f t="shared" si="7"/>
        <v>46113</v>
      </c>
      <c r="C28" s="992" t="str">
        <f>IF(OR($C$21="",$C$21=0,$D$18=0),"n",IF(C27="b","b",IF(LOOKUP(advanced!$M$45,$B$23:$B$36)=B28,"b","n")))</f>
        <v>n</v>
      </c>
      <c r="D28" s="992" t="str">
        <f>IF(OR($D$21="",$D$21=0,$D$17=0),"n",IF(D27="c","c",IF(LOOKUP(advanced!$M$37,$B$23:$B$36)=B28,"c","n")))</f>
        <v>n</v>
      </c>
      <c r="E28" s="27" t="str">
        <f t="array" ref="E28">IF(VLOOKUP(B28,$D$5:$G$18,2,FALSE)="","",VLOOKUP(B28,$D$5:$G$18,2,FALSE)-IF(OR($B$39:$B$48=B28)=TRUE,VLOOKUP(B28,$B$39:$E$48,4,FALSE),0))</f>
        <v/>
      </c>
      <c r="F28" s="992" t="str">
        <f t="shared" si="8"/>
        <v>nn</v>
      </c>
      <c r="G28" s="5">
        <f t="shared" si="9"/>
        <v>1</v>
      </c>
      <c r="H28" s="5" t="str">
        <f t="shared" si="10"/>
        <v>n</v>
      </c>
      <c r="I28" s="5">
        <f>VLOOKUP(B28,data!$B$13:$D$20,3,TRUE)</f>
        <v>4</v>
      </c>
      <c r="J28" s="5">
        <f t="shared" si="5"/>
        <v>0</v>
      </c>
      <c r="K28" s="5">
        <f t="shared" si="5"/>
        <v>0</v>
      </c>
      <c r="L28" s="5">
        <f t="shared" si="5"/>
        <v>0</v>
      </c>
      <c r="M28" s="5">
        <f t="shared" si="5"/>
        <v>1</v>
      </c>
      <c r="N28" s="5">
        <f t="shared" si="5"/>
        <v>0</v>
      </c>
      <c r="O28" s="5">
        <f t="shared" si="5"/>
        <v>0</v>
      </c>
      <c r="P28" s="1023" t="str">
        <f>IF(J28=1,SUM(J$23:J28),"")</f>
        <v/>
      </c>
      <c r="Q28" s="13" t="str">
        <f t="shared" si="6"/>
        <v/>
      </c>
      <c r="R28" s="5" t="str">
        <f t="shared" si="11"/>
        <v/>
      </c>
      <c r="S28" s="989" t="str">
        <f t="shared" si="31"/>
        <v/>
      </c>
      <c r="T28" s="989" t="str">
        <f t="shared" si="32"/>
        <v/>
      </c>
      <c r="U28" s="1023" t="str">
        <f>IF(K28=1,SUM(K$23:K28),"")</f>
        <v/>
      </c>
      <c r="V28" s="13" t="str">
        <f t="shared" si="12"/>
        <v/>
      </c>
      <c r="W28" s="5" t="str">
        <f t="shared" si="13"/>
        <v/>
      </c>
      <c r="X28" s="989" t="str">
        <f t="shared" si="14"/>
        <v/>
      </c>
      <c r="Y28" s="989" t="str">
        <f t="shared" si="15"/>
        <v/>
      </c>
      <c r="Z28" s="1023" t="str">
        <f>IF(L28=1,SUM(L$23:L28),"")</f>
        <v/>
      </c>
      <c r="AA28" s="13" t="str">
        <f t="shared" si="33"/>
        <v/>
      </c>
      <c r="AB28" s="5" t="str">
        <f t="shared" si="16"/>
        <v/>
      </c>
      <c r="AC28" s="989" t="str">
        <f t="shared" si="17"/>
        <v/>
      </c>
      <c r="AD28" s="989" t="str">
        <f t="shared" si="18"/>
        <v/>
      </c>
      <c r="AE28" s="1023">
        <f>IF(M28=1,SUM(M$23:M28),"")</f>
        <v>5</v>
      </c>
      <c r="AF28" s="13">
        <f t="shared" si="19"/>
        <v>46113</v>
      </c>
      <c r="AG28" s="5" t="str">
        <f t="shared" si="20"/>
        <v/>
      </c>
      <c r="AH28" s="989">
        <f t="shared" si="21"/>
        <v>1</v>
      </c>
      <c r="AI28" s="989" t="str">
        <f t="shared" si="22"/>
        <v>n</v>
      </c>
      <c r="AJ28" s="1023" t="str">
        <f>IF(N28=1,SUM(N$23:N28),"")</f>
        <v/>
      </c>
      <c r="AK28" s="13" t="str">
        <f t="shared" si="23"/>
        <v/>
      </c>
      <c r="AL28" s="5" t="str">
        <f t="shared" si="24"/>
        <v/>
      </c>
      <c r="AM28" s="989" t="str">
        <f t="shared" si="25"/>
        <v/>
      </c>
      <c r="AN28" s="989" t="str">
        <f t="shared" si="26"/>
        <v/>
      </c>
      <c r="AO28" s="1023" t="str">
        <f>IF(O28=1,SUM(O$23:O28),"")</f>
        <v/>
      </c>
      <c r="AP28" s="13" t="str">
        <f t="shared" si="27"/>
        <v/>
      </c>
      <c r="AQ28" s="5" t="str">
        <f t="shared" si="28"/>
        <v/>
      </c>
      <c r="AR28" s="989" t="str">
        <f t="shared" si="29"/>
        <v/>
      </c>
      <c r="AS28" s="989" t="str">
        <f t="shared" si="30"/>
        <v/>
      </c>
    </row>
    <row r="29" spans="1:45" x14ac:dyDescent="0.35">
      <c r="A29">
        <v>6</v>
      </c>
      <c r="B29" s="1">
        <f t="shared" si="7"/>
        <v>46113</v>
      </c>
      <c r="C29" s="992" t="str">
        <f>IF(OR($C$21="",$C$21=0,$D$18=0),"n",IF(C28="b","b",IF(LOOKUP(advanced!$M$45,$B$23:$B$36)=B29,"b","n")))</f>
        <v>n</v>
      </c>
      <c r="D29" s="992" t="str">
        <f>IF(OR($D$21="",$D$21=0,$D$17=0),"n",IF(D28="c","c",IF(LOOKUP(advanced!$M$37,$B$23:$B$36)=B29,"c","n")))</f>
        <v>n</v>
      </c>
      <c r="E29" s="27" t="str">
        <f t="array" ref="E29">IF(VLOOKUP(B29,$D$5:$G$18,2,FALSE)="","",VLOOKUP(B29,$D$5:$G$18,2,FALSE)-IF(OR($B$39:$B$48=B29)=TRUE,VLOOKUP(B29,$B$39:$E$48,4,FALSE),0))</f>
        <v/>
      </c>
      <c r="F29" s="992" t="str">
        <f t="shared" si="8"/>
        <v>nn</v>
      </c>
      <c r="G29" s="5">
        <f t="shared" si="9"/>
        <v>1</v>
      </c>
      <c r="H29" s="5" t="str">
        <f t="shared" si="10"/>
        <v>n</v>
      </c>
      <c r="I29" s="5">
        <f>VLOOKUP(B29,data!$B$13:$D$20,3,TRUE)</f>
        <v>4</v>
      </c>
      <c r="J29" s="5">
        <f t="shared" si="5"/>
        <v>0</v>
      </c>
      <c r="K29" s="5">
        <f t="shared" si="5"/>
        <v>0</v>
      </c>
      <c r="L29" s="5">
        <f t="shared" si="5"/>
        <v>0</v>
      </c>
      <c r="M29" s="5">
        <f t="shared" si="5"/>
        <v>1</v>
      </c>
      <c r="N29" s="5">
        <f t="shared" si="5"/>
        <v>0</v>
      </c>
      <c r="O29" s="5">
        <f t="shared" si="5"/>
        <v>0</v>
      </c>
      <c r="P29" s="1023" t="str">
        <f>IF(J29=1,SUM(J$23:J29),"")</f>
        <v/>
      </c>
      <c r="Q29" s="13" t="str">
        <f t="shared" si="6"/>
        <v/>
      </c>
      <c r="R29" s="5" t="str">
        <f t="shared" si="11"/>
        <v/>
      </c>
      <c r="S29" s="989" t="str">
        <f t="shared" si="31"/>
        <v/>
      </c>
      <c r="T29" s="989" t="str">
        <f t="shared" si="32"/>
        <v/>
      </c>
      <c r="U29" s="1023" t="str">
        <f>IF(K29=1,SUM(K$23:K29),"")</f>
        <v/>
      </c>
      <c r="V29" s="13" t="str">
        <f t="shared" si="12"/>
        <v/>
      </c>
      <c r="W29" s="5" t="str">
        <f t="shared" si="13"/>
        <v/>
      </c>
      <c r="X29" s="989" t="str">
        <f t="shared" si="14"/>
        <v/>
      </c>
      <c r="Y29" s="989" t="str">
        <f t="shared" si="15"/>
        <v/>
      </c>
      <c r="Z29" s="1023" t="str">
        <f>IF(L29=1,SUM(L$23:L29),"")</f>
        <v/>
      </c>
      <c r="AA29" s="13" t="str">
        <f t="shared" si="33"/>
        <v/>
      </c>
      <c r="AB29" s="5" t="str">
        <f t="shared" si="16"/>
        <v/>
      </c>
      <c r="AC29" s="989" t="str">
        <f t="shared" si="17"/>
        <v/>
      </c>
      <c r="AD29" s="989" t="str">
        <f t="shared" si="18"/>
        <v/>
      </c>
      <c r="AE29" s="1023">
        <f>IF(M29=1,SUM(M$23:M29),"")</f>
        <v>6</v>
      </c>
      <c r="AF29" s="13">
        <f t="shared" si="19"/>
        <v>46113</v>
      </c>
      <c r="AG29" s="5" t="str">
        <f t="shared" si="20"/>
        <v/>
      </c>
      <c r="AH29" s="989">
        <f t="shared" si="21"/>
        <v>1</v>
      </c>
      <c r="AI29" s="989" t="str">
        <f t="shared" si="22"/>
        <v>n</v>
      </c>
      <c r="AJ29" s="1023" t="str">
        <f>IF(N29=1,SUM(N$23:N29),"")</f>
        <v/>
      </c>
      <c r="AK29" s="13" t="str">
        <f t="shared" si="23"/>
        <v/>
      </c>
      <c r="AL29" s="5" t="str">
        <f t="shared" si="24"/>
        <v/>
      </c>
      <c r="AM29" s="989" t="str">
        <f t="shared" si="25"/>
        <v/>
      </c>
      <c r="AN29" s="989" t="str">
        <f t="shared" si="26"/>
        <v/>
      </c>
      <c r="AO29" s="1023" t="str">
        <f>IF(O29=1,SUM(O$23:O29),"")</f>
        <v/>
      </c>
      <c r="AP29" s="13" t="str">
        <f t="shared" si="27"/>
        <v/>
      </c>
      <c r="AQ29" s="5" t="str">
        <f t="shared" si="28"/>
        <v/>
      </c>
      <c r="AR29" s="989" t="str">
        <f t="shared" si="29"/>
        <v/>
      </c>
      <c r="AS29" s="989" t="str">
        <f t="shared" si="30"/>
        <v/>
      </c>
    </row>
    <row r="30" spans="1:45" x14ac:dyDescent="0.35">
      <c r="A30">
        <v>7</v>
      </c>
      <c r="B30" s="1">
        <f t="shared" si="7"/>
        <v>46113</v>
      </c>
      <c r="C30" s="992" t="str">
        <f>IF(OR($C$21="",$C$21=0,$D$18=0),"n",IF(C29="b","b",IF(LOOKUP(advanced!$M$45,$B$23:$B$36)=B30,"b","n")))</f>
        <v>n</v>
      </c>
      <c r="D30" s="992" t="str">
        <f>IF(OR($D$21="",$D$21=0,$D$17=0),"n",IF(D29="c","c",IF(LOOKUP(advanced!$M$37,$B$23:$B$36)=B30,"c","n")))</f>
        <v>n</v>
      </c>
      <c r="E30" s="27" t="str">
        <f t="array" ref="E30">IF(VLOOKUP(B30,$D$5:$G$18,2,FALSE)="","",VLOOKUP(B30,$D$5:$G$18,2,FALSE)-IF(OR($B$39:$B$48=B30)=TRUE,VLOOKUP(B30,$B$39:$E$48,4,FALSE),0))</f>
        <v/>
      </c>
      <c r="F30" s="992" t="str">
        <f t="shared" si="8"/>
        <v>nn</v>
      </c>
      <c r="G30" s="5">
        <f t="shared" si="9"/>
        <v>1</v>
      </c>
      <c r="H30" s="5" t="str">
        <f t="shared" si="10"/>
        <v>n</v>
      </c>
      <c r="I30" s="5">
        <f>VLOOKUP(B30,data!$B$13:$D$20,3,TRUE)</f>
        <v>4</v>
      </c>
      <c r="J30" s="5">
        <f t="shared" si="5"/>
        <v>0</v>
      </c>
      <c r="K30" s="5">
        <f t="shared" si="5"/>
        <v>0</v>
      </c>
      <c r="L30" s="5">
        <f t="shared" si="5"/>
        <v>0</v>
      </c>
      <c r="M30" s="5">
        <f t="shared" si="5"/>
        <v>1</v>
      </c>
      <c r="N30" s="5">
        <f t="shared" si="5"/>
        <v>0</v>
      </c>
      <c r="O30" s="5">
        <f t="shared" si="5"/>
        <v>0</v>
      </c>
      <c r="P30" s="1023" t="str">
        <f>IF(J30=1,SUM(J$23:J30),"")</f>
        <v/>
      </c>
      <c r="Q30" s="13" t="str">
        <f t="shared" si="6"/>
        <v/>
      </c>
      <c r="R30" s="5" t="str">
        <f t="shared" si="11"/>
        <v/>
      </c>
      <c r="S30" s="989" t="str">
        <f t="shared" si="31"/>
        <v/>
      </c>
      <c r="T30" s="989" t="str">
        <f t="shared" si="32"/>
        <v/>
      </c>
      <c r="U30" s="1023" t="str">
        <f>IF(K30=1,SUM(K$23:K30),"")</f>
        <v/>
      </c>
      <c r="V30" s="13" t="str">
        <f t="shared" si="12"/>
        <v/>
      </c>
      <c r="W30" s="5" t="str">
        <f t="shared" si="13"/>
        <v/>
      </c>
      <c r="X30" s="989" t="str">
        <f t="shared" si="14"/>
        <v/>
      </c>
      <c r="Y30" s="989" t="str">
        <f t="shared" si="15"/>
        <v/>
      </c>
      <c r="Z30" s="1023" t="str">
        <f>IF(L30=1,SUM(L$23:L30),"")</f>
        <v/>
      </c>
      <c r="AA30" s="13" t="str">
        <f t="shared" si="33"/>
        <v/>
      </c>
      <c r="AB30" s="5" t="str">
        <f t="shared" si="16"/>
        <v/>
      </c>
      <c r="AC30" s="989" t="str">
        <f t="shared" si="17"/>
        <v/>
      </c>
      <c r="AD30" s="989" t="str">
        <f t="shared" si="18"/>
        <v/>
      </c>
      <c r="AE30" s="1023">
        <f>IF(M30=1,SUM(M$23:M30),"")</f>
        <v>7</v>
      </c>
      <c r="AF30" s="13">
        <f t="shared" si="19"/>
        <v>46113</v>
      </c>
      <c r="AG30" s="5" t="str">
        <f t="shared" si="20"/>
        <v/>
      </c>
      <c r="AH30" s="989">
        <f t="shared" si="21"/>
        <v>1</v>
      </c>
      <c r="AI30" s="989" t="str">
        <f t="shared" si="22"/>
        <v>n</v>
      </c>
      <c r="AJ30" s="1023" t="str">
        <f>IF(N30=1,SUM(N$23:N30),"")</f>
        <v/>
      </c>
      <c r="AK30" s="13" t="str">
        <f t="shared" si="23"/>
        <v/>
      </c>
      <c r="AL30" s="5" t="str">
        <f t="shared" si="24"/>
        <v/>
      </c>
      <c r="AM30" s="989" t="str">
        <f t="shared" si="25"/>
        <v/>
      </c>
      <c r="AN30" s="989" t="str">
        <f t="shared" si="26"/>
        <v/>
      </c>
      <c r="AO30" s="1023" t="str">
        <f>IF(O30=1,SUM(O$23:O30),"")</f>
        <v/>
      </c>
      <c r="AP30" s="13" t="str">
        <f t="shared" si="27"/>
        <v/>
      </c>
      <c r="AQ30" s="5" t="str">
        <f t="shared" si="28"/>
        <v/>
      </c>
      <c r="AR30" s="989" t="str">
        <f t="shared" si="29"/>
        <v/>
      </c>
      <c r="AS30" s="989" t="str">
        <f t="shared" si="30"/>
        <v/>
      </c>
    </row>
    <row r="31" spans="1:45" x14ac:dyDescent="0.35">
      <c r="A31">
        <v>8</v>
      </c>
      <c r="B31" s="1">
        <f t="shared" si="7"/>
        <v>46113</v>
      </c>
      <c r="C31" s="992" t="str">
        <f>IF(OR($C$21="",$C$21=0,$D$18=0),"n",IF(C30="b","b",IF(LOOKUP(advanced!$M$45,$B$23:$B$36)=B31,"b","n")))</f>
        <v>n</v>
      </c>
      <c r="D31" s="992" t="str">
        <f>IF(OR($D$21="",$D$21=0,$D$17=0),"n",IF(D30="c","c",IF(LOOKUP(advanced!$M$37,$B$23:$B$36)=B31,"c","n")))</f>
        <v>n</v>
      </c>
      <c r="E31" s="27" t="str">
        <f t="array" ref="E31">IF(VLOOKUP(B31,$D$5:$G$18,2,FALSE)="","",VLOOKUP(B31,$D$5:$G$18,2,FALSE)-IF(OR($B$39:$B$48=B31)=TRUE,VLOOKUP(B31,$B$39:$E$48,4,FALSE),0))</f>
        <v/>
      </c>
      <c r="F31" s="992" t="str">
        <f t="shared" si="8"/>
        <v>nn</v>
      </c>
      <c r="G31" s="5">
        <f t="shared" si="9"/>
        <v>1</v>
      </c>
      <c r="H31" s="5" t="str">
        <f t="shared" si="10"/>
        <v>n</v>
      </c>
      <c r="I31" s="5">
        <f>VLOOKUP(B31,data!$B$13:$D$20,3,TRUE)</f>
        <v>4</v>
      </c>
      <c r="J31" s="5">
        <f t="shared" si="5"/>
        <v>0</v>
      </c>
      <c r="K31" s="5">
        <f t="shared" si="5"/>
        <v>0</v>
      </c>
      <c r="L31" s="5">
        <f t="shared" si="5"/>
        <v>0</v>
      </c>
      <c r="M31" s="5">
        <f t="shared" si="5"/>
        <v>1</v>
      </c>
      <c r="N31" s="5">
        <f t="shared" si="5"/>
        <v>0</v>
      </c>
      <c r="O31" s="5">
        <f t="shared" si="5"/>
        <v>0</v>
      </c>
      <c r="P31" s="1023" t="str">
        <f>IF(J31=1,SUM(J$23:J31),"")</f>
        <v/>
      </c>
      <c r="Q31" s="13" t="str">
        <f t="shared" si="6"/>
        <v/>
      </c>
      <c r="R31" s="5" t="str">
        <f t="shared" si="11"/>
        <v/>
      </c>
      <c r="S31" s="989" t="str">
        <f t="shared" si="31"/>
        <v/>
      </c>
      <c r="T31" s="989" t="str">
        <f t="shared" si="32"/>
        <v/>
      </c>
      <c r="U31" s="1023" t="str">
        <f>IF(K31=1,SUM(K$23:K31),"")</f>
        <v/>
      </c>
      <c r="V31" s="13" t="str">
        <f t="shared" si="12"/>
        <v/>
      </c>
      <c r="W31" s="5" t="str">
        <f t="shared" si="13"/>
        <v/>
      </c>
      <c r="X31" s="989" t="str">
        <f t="shared" si="14"/>
        <v/>
      </c>
      <c r="Y31" s="989" t="str">
        <f t="shared" si="15"/>
        <v/>
      </c>
      <c r="Z31" s="1023" t="str">
        <f>IF(L31=1,SUM(L$23:L31),"")</f>
        <v/>
      </c>
      <c r="AA31" s="13" t="str">
        <f t="shared" si="33"/>
        <v/>
      </c>
      <c r="AB31" s="5" t="str">
        <f t="shared" si="16"/>
        <v/>
      </c>
      <c r="AC31" s="989" t="str">
        <f t="shared" si="17"/>
        <v/>
      </c>
      <c r="AD31" s="989" t="str">
        <f t="shared" si="18"/>
        <v/>
      </c>
      <c r="AE31" s="1023">
        <f>IF(M31=1,SUM(M$23:M31),"")</f>
        <v>8</v>
      </c>
      <c r="AF31" s="13">
        <f t="shared" si="19"/>
        <v>46113</v>
      </c>
      <c r="AG31" s="5" t="str">
        <f t="shared" si="20"/>
        <v/>
      </c>
      <c r="AH31" s="989">
        <f t="shared" si="21"/>
        <v>1</v>
      </c>
      <c r="AI31" s="989" t="str">
        <f t="shared" si="22"/>
        <v>n</v>
      </c>
      <c r="AJ31" s="1023" t="str">
        <f>IF(N31=1,SUM(N$23:N31),"")</f>
        <v/>
      </c>
      <c r="AK31" s="13" t="str">
        <f t="shared" si="23"/>
        <v/>
      </c>
      <c r="AL31" s="5" t="str">
        <f t="shared" si="24"/>
        <v/>
      </c>
      <c r="AM31" s="989" t="str">
        <f t="shared" si="25"/>
        <v/>
      </c>
      <c r="AN31" s="989" t="str">
        <f t="shared" si="26"/>
        <v/>
      </c>
      <c r="AO31" s="1023" t="str">
        <f>IF(O31=1,SUM(O$23:O31),"")</f>
        <v/>
      </c>
      <c r="AP31" s="13" t="str">
        <f t="shared" si="27"/>
        <v/>
      </c>
      <c r="AQ31" s="5" t="str">
        <f t="shared" si="28"/>
        <v/>
      </c>
      <c r="AR31" s="989" t="str">
        <f t="shared" si="29"/>
        <v/>
      </c>
      <c r="AS31" s="989" t="str">
        <f t="shared" si="30"/>
        <v/>
      </c>
    </row>
    <row r="32" spans="1:45" x14ac:dyDescent="0.35">
      <c r="A32">
        <v>9</v>
      </c>
      <c r="B32" s="1">
        <f t="shared" si="7"/>
        <v>46113</v>
      </c>
      <c r="C32" s="992" t="str">
        <f>IF(OR($C$21="",$C$21=0,$D$18=0),"n",IF(C31="b","b",IF(LOOKUP(advanced!$M$45,$B$23:$B$36)=B32,"b","n")))</f>
        <v>n</v>
      </c>
      <c r="D32" s="992" t="str">
        <f>IF(OR($D$21="",$D$21=0,$D$17=0),"n",IF(D31="c","c",IF(LOOKUP(advanced!$M$37,$B$23:$B$36)=B32,"c","n")))</f>
        <v>n</v>
      </c>
      <c r="E32" s="27" t="str">
        <f t="array" ref="E32">IF(VLOOKUP(B32,$D$5:$G$18,2,FALSE)="","",VLOOKUP(B32,$D$5:$G$18,2,FALSE)-IF(OR($B$39:$B$48=B32)=TRUE,VLOOKUP(B32,$B$39:$E$48,4,FALSE),0))</f>
        <v/>
      </c>
      <c r="F32" s="992" t="str">
        <f t="shared" si="8"/>
        <v>nn</v>
      </c>
      <c r="G32" s="5">
        <f t="shared" si="9"/>
        <v>1</v>
      </c>
      <c r="H32" s="5" t="str">
        <f t="shared" si="10"/>
        <v>n</v>
      </c>
      <c r="I32" s="5">
        <f>VLOOKUP(B32,data!$B$13:$D$20,3,TRUE)</f>
        <v>4</v>
      </c>
      <c r="J32" s="5">
        <f t="shared" si="5"/>
        <v>0</v>
      </c>
      <c r="K32" s="5">
        <f t="shared" si="5"/>
        <v>0</v>
      </c>
      <c r="L32" s="5">
        <f t="shared" si="5"/>
        <v>0</v>
      </c>
      <c r="M32" s="5">
        <f t="shared" si="5"/>
        <v>1</v>
      </c>
      <c r="N32" s="5">
        <f t="shared" si="5"/>
        <v>0</v>
      </c>
      <c r="O32" s="5">
        <f t="shared" si="5"/>
        <v>0</v>
      </c>
      <c r="P32" s="1023" t="str">
        <f>IF(J32=1,SUM(J$23:J32),"")</f>
        <v/>
      </c>
      <c r="Q32" s="13" t="str">
        <f t="shared" si="6"/>
        <v/>
      </c>
      <c r="R32" s="5" t="str">
        <f t="shared" si="11"/>
        <v/>
      </c>
      <c r="S32" s="989" t="str">
        <f t="shared" si="31"/>
        <v/>
      </c>
      <c r="T32" s="989" t="str">
        <f t="shared" si="32"/>
        <v/>
      </c>
      <c r="U32" s="1023" t="str">
        <f>IF(K32=1,SUM(K$23:K32),"")</f>
        <v/>
      </c>
      <c r="V32" s="13" t="str">
        <f t="shared" si="12"/>
        <v/>
      </c>
      <c r="W32" s="5" t="str">
        <f t="shared" si="13"/>
        <v/>
      </c>
      <c r="X32" s="989" t="str">
        <f t="shared" si="14"/>
        <v/>
      </c>
      <c r="Y32" s="989" t="str">
        <f t="shared" si="15"/>
        <v/>
      </c>
      <c r="Z32" s="1023" t="str">
        <f>IF(L32=1,SUM(L$23:L32),"")</f>
        <v/>
      </c>
      <c r="AA32" s="13" t="str">
        <f t="shared" si="33"/>
        <v/>
      </c>
      <c r="AB32" s="5" t="str">
        <f t="shared" si="16"/>
        <v/>
      </c>
      <c r="AC32" s="989" t="str">
        <f t="shared" si="17"/>
        <v/>
      </c>
      <c r="AD32" s="989" t="str">
        <f t="shared" si="18"/>
        <v/>
      </c>
      <c r="AE32" s="1023">
        <f>IF(M32=1,SUM(M$23:M32),"")</f>
        <v>9</v>
      </c>
      <c r="AF32" s="13">
        <f t="shared" si="19"/>
        <v>46113</v>
      </c>
      <c r="AG32" s="5" t="str">
        <f t="shared" si="20"/>
        <v/>
      </c>
      <c r="AH32" s="989">
        <f t="shared" si="21"/>
        <v>1</v>
      </c>
      <c r="AI32" s="989" t="str">
        <f t="shared" si="22"/>
        <v>n</v>
      </c>
      <c r="AJ32" s="1023" t="str">
        <f>IF(N32=1,SUM(N$23:N32),"")</f>
        <v/>
      </c>
      <c r="AK32" s="13" t="str">
        <f t="shared" si="23"/>
        <v/>
      </c>
      <c r="AL32" s="5" t="str">
        <f t="shared" si="24"/>
        <v/>
      </c>
      <c r="AM32" s="989" t="str">
        <f t="shared" si="25"/>
        <v/>
      </c>
      <c r="AN32" s="989" t="str">
        <f t="shared" si="26"/>
        <v/>
      </c>
      <c r="AO32" s="1023" t="str">
        <f>IF(O32=1,SUM(O$23:O32),"")</f>
        <v/>
      </c>
      <c r="AP32" s="13" t="str">
        <f t="shared" si="27"/>
        <v/>
      </c>
      <c r="AQ32" s="5" t="str">
        <f t="shared" si="28"/>
        <v/>
      </c>
      <c r="AR32" s="989" t="str">
        <f t="shared" si="29"/>
        <v/>
      </c>
      <c r="AS32" s="989" t="str">
        <f t="shared" si="30"/>
        <v/>
      </c>
    </row>
    <row r="33" spans="1:45" x14ac:dyDescent="0.35">
      <c r="A33">
        <v>10</v>
      </c>
      <c r="B33" s="1">
        <f t="shared" si="7"/>
        <v>46113</v>
      </c>
      <c r="C33" s="992" t="str">
        <f>IF(OR($C$21="",$C$21=0,$D$18=0),"n",IF(C32="b","b",IF(LOOKUP(advanced!$M$45,$B$23:$B$36)=B33,"b","n")))</f>
        <v>n</v>
      </c>
      <c r="D33" s="992" t="str">
        <f>IF(OR($D$21="",$D$21=0,$D$17=0),"n",IF(D32="c","c",IF(LOOKUP(advanced!$M$37,$B$23:$B$36)=B33,"c","n")))</f>
        <v>n</v>
      </c>
      <c r="E33" s="27" t="str">
        <f t="array" ref="E33">IF(VLOOKUP(B33,$D$5:$G$18,2,FALSE)="","",VLOOKUP(B33,$D$5:$G$18,2,FALSE)-IF(OR($B$39:$B$48=B33)=TRUE,VLOOKUP(B33,$B$39:$E$48,4,FALSE),0))</f>
        <v/>
      </c>
      <c r="F33" s="992" t="str">
        <f t="shared" si="8"/>
        <v>nn</v>
      </c>
      <c r="G33" s="5">
        <f t="shared" si="9"/>
        <v>1</v>
      </c>
      <c r="H33" s="5" t="str">
        <f t="shared" si="10"/>
        <v>n</v>
      </c>
      <c r="I33" s="5">
        <f>VLOOKUP(B33,data!$B$13:$D$20,3,TRUE)</f>
        <v>4</v>
      </c>
      <c r="J33" s="5">
        <f t="shared" si="5"/>
        <v>0</v>
      </c>
      <c r="K33" s="5">
        <f t="shared" si="5"/>
        <v>0</v>
      </c>
      <c r="L33" s="5">
        <f t="shared" si="5"/>
        <v>0</v>
      </c>
      <c r="M33" s="5">
        <f t="shared" si="5"/>
        <v>1</v>
      </c>
      <c r="N33" s="5">
        <f t="shared" si="5"/>
        <v>0</v>
      </c>
      <c r="O33" s="5">
        <f t="shared" si="5"/>
        <v>0</v>
      </c>
      <c r="P33" s="1023" t="str">
        <f>IF(J33=1,SUM(J$23:J33),"")</f>
        <v/>
      </c>
      <c r="Q33" s="13" t="str">
        <f t="shared" si="6"/>
        <v/>
      </c>
      <c r="R33" s="5" t="str">
        <f t="shared" si="11"/>
        <v/>
      </c>
      <c r="S33" s="989" t="str">
        <f t="shared" si="31"/>
        <v/>
      </c>
      <c r="T33" s="989" t="str">
        <f t="shared" si="32"/>
        <v/>
      </c>
      <c r="U33" s="1023" t="str">
        <f>IF(K33=1,SUM(K$23:K33),"")</f>
        <v/>
      </c>
      <c r="V33" s="13" t="str">
        <f t="shared" si="12"/>
        <v/>
      </c>
      <c r="W33" s="5" t="str">
        <f t="shared" si="13"/>
        <v/>
      </c>
      <c r="X33" s="989" t="str">
        <f t="shared" si="14"/>
        <v/>
      </c>
      <c r="Y33" s="989" t="str">
        <f t="shared" si="15"/>
        <v/>
      </c>
      <c r="Z33" s="1023" t="str">
        <f>IF(L33=1,SUM(L$23:L33),"")</f>
        <v/>
      </c>
      <c r="AA33" s="13" t="str">
        <f t="shared" si="33"/>
        <v/>
      </c>
      <c r="AB33" s="5" t="str">
        <f t="shared" si="16"/>
        <v/>
      </c>
      <c r="AC33" s="989" t="str">
        <f t="shared" si="17"/>
        <v/>
      </c>
      <c r="AD33" s="989" t="str">
        <f t="shared" si="18"/>
        <v/>
      </c>
      <c r="AE33" s="1023">
        <f>IF(M33=1,SUM(M$23:M33),"")</f>
        <v>10</v>
      </c>
      <c r="AF33" s="13">
        <f t="shared" si="19"/>
        <v>46113</v>
      </c>
      <c r="AG33" s="5" t="str">
        <f t="shared" si="20"/>
        <v/>
      </c>
      <c r="AH33" s="989">
        <f t="shared" si="21"/>
        <v>1</v>
      </c>
      <c r="AI33" s="989" t="str">
        <f t="shared" si="22"/>
        <v>n</v>
      </c>
      <c r="AJ33" s="1023" t="str">
        <f>IF(N33=1,SUM(N$23:N33),"")</f>
        <v/>
      </c>
      <c r="AK33" s="13" t="str">
        <f t="shared" si="23"/>
        <v/>
      </c>
      <c r="AL33" s="5" t="str">
        <f t="shared" si="24"/>
        <v/>
      </c>
      <c r="AM33" s="989" t="str">
        <f t="shared" si="25"/>
        <v/>
      </c>
      <c r="AN33" s="989" t="str">
        <f t="shared" si="26"/>
        <v/>
      </c>
      <c r="AO33" s="1023" t="str">
        <f>IF(O33=1,SUM(O$23:O33),"")</f>
        <v/>
      </c>
      <c r="AP33" s="13" t="str">
        <f t="shared" si="27"/>
        <v/>
      </c>
      <c r="AQ33" s="5" t="str">
        <f t="shared" si="28"/>
        <v/>
      </c>
      <c r="AR33" s="989" t="str">
        <f t="shared" si="29"/>
        <v/>
      </c>
      <c r="AS33" s="989" t="str">
        <f t="shared" si="30"/>
        <v/>
      </c>
    </row>
    <row r="34" spans="1:45" x14ac:dyDescent="0.35">
      <c r="A34">
        <v>11</v>
      </c>
      <c r="B34" s="1">
        <f t="shared" si="7"/>
        <v>46113</v>
      </c>
      <c r="C34" s="992" t="str">
        <f>IF(OR($C$21="",$C$21=0,$D$18=0),"n",IF(C33="b","b",IF(LOOKUP(advanced!$M$45,$B$23:$B$36)=B34,"b","n")))</f>
        <v>n</v>
      </c>
      <c r="D34" s="992" t="str">
        <f>IF(OR($D$21="",$D$21=0,$D$17=0),"n",IF(D33="c","c",IF(LOOKUP(advanced!$M$37,$B$23:$B$36)=B34,"c","n")))</f>
        <v>n</v>
      </c>
      <c r="E34" s="27" t="str">
        <f t="array" ref="E34">IF(VLOOKUP(B34,$D$5:$G$18,2,FALSE)="","",VLOOKUP(B34,$D$5:$G$18,2,FALSE)-IF(OR($B$39:$B$48=B34)=TRUE,VLOOKUP(B34,$B$39:$E$48,4,FALSE),0))</f>
        <v/>
      </c>
      <c r="F34" s="992" t="str">
        <f t="shared" si="8"/>
        <v>nn</v>
      </c>
      <c r="G34" s="5">
        <f t="shared" si="9"/>
        <v>1</v>
      </c>
      <c r="H34" s="5" t="str">
        <f t="shared" si="10"/>
        <v>n</v>
      </c>
      <c r="I34" s="5">
        <f>VLOOKUP(B34,data!$B$13:$D$20,3,TRUE)</f>
        <v>4</v>
      </c>
      <c r="J34" s="5">
        <f t="shared" si="5"/>
        <v>0</v>
      </c>
      <c r="K34" s="5">
        <f t="shared" si="5"/>
        <v>0</v>
      </c>
      <c r="L34" s="5">
        <f t="shared" si="5"/>
        <v>0</v>
      </c>
      <c r="M34" s="5">
        <f t="shared" si="5"/>
        <v>1</v>
      </c>
      <c r="N34" s="5">
        <f t="shared" si="5"/>
        <v>0</v>
      </c>
      <c r="O34" s="5">
        <f t="shared" si="5"/>
        <v>0</v>
      </c>
      <c r="P34" s="1023" t="str">
        <f>IF(J34=1,SUM(J$23:J34),"")</f>
        <v/>
      </c>
      <c r="Q34" s="13" t="str">
        <f t="shared" si="6"/>
        <v/>
      </c>
      <c r="R34" s="5" t="str">
        <f t="shared" si="11"/>
        <v/>
      </c>
      <c r="S34" s="989" t="str">
        <f t="shared" si="31"/>
        <v/>
      </c>
      <c r="T34" s="989" t="str">
        <f t="shared" si="32"/>
        <v/>
      </c>
      <c r="U34" s="1023" t="str">
        <f>IF(K34=1,SUM(K$23:K34),"")</f>
        <v/>
      </c>
      <c r="V34" s="13" t="str">
        <f t="shared" si="12"/>
        <v/>
      </c>
      <c r="W34" s="5" t="str">
        <f t="shared" si="13"/>
        <v/>
      </c>
      <c r="X34" s="989" t="str">
        <f t="shared" si="14"/>
        <v/>
      </c>
      <c r="Y34" s="989" t="str">
        <f t="shared" si="15"/>
        <v/>
      </c>
      <c r="Z34" s="1023" t="str">
        <f>IF(L34=1,SUM(L$23:L34),"")</f>
        <v/>
      </c>
      <c r="AA34" s="13" t="str">
        <f t="shared" si="33"/>
        <v/>
      </c>
      <c r="AB34" s="5" t="str">
        <f t="shared" si="16"/>
        <v/>
      </c>
      <c r="AC34" s="989" t="str">
        <f t="shared" si="17"/>
        <v/>
      </c>
      <c r="AD34" s="989" t="str">
        <f t="shared" si="18"/>
        <v/>
      </c>
      <c r="AE34" s="1023">
        <f>IF(M34=1,SUM(M$23:M34),"")</f>
        <v>11</v>
      </c>
      <c r="AF34" s="13">
        <f t="shared" si="19"/>
        <v>46113</v>
      </c>
      <c r="AG34" s="5" t="str">
        <f t="shared" si="20"/>
        <v/>
      </c>
      <c r="AH34" s="989">
        <f t="shared" si="21"/>
        <v>1</v>
      </c>
      <c r="AI34" s="989" t="str">
        <f t="shared" si="22"/>
        <v>n</v>
      </c>
      <c r="AJ34" s="1023" t="str">
        <f>IF(N34=1,SUM(N$23:N34),"")</f>
        <v/>
      </c>
      <c r="AK34" s="13" t="str">
        <f t="shared" si="23"/>
        <v/>
      </c>
      <c r="AL34" s="5" t="str">
        <f t="shared" si="24"/>
        <v/>
      </c>
      <c r="AM34" s="989" t="str">
        <f t="shared" si="25"/>
        <v/>
      </c>
      <c r="AN34" s="989" t="str">
        <f t="shared" si="26"/>
        <v/>
      </c>
      <c r="AO34" s="1023" t="str">
        <f>IF(O34=1,SUM(O$23:O34),"")</f>
        <v/>
      </c>
      <c r="AP34" s="13" t="str">
        <f t="shared" si="27"/>
        <v/>
      </c>
      <c r="AQ34" s="5" t="str">
        <f t="shared" si="28"/>
        <v/>
      </c>
      <c r="AR34" s="989" t="str">
        <f t="shared" si="29"/>
        <v/>
      </c>
      <c r="AS34" s="989" t="str">
        <f t="shared" si="30"/>
        <v/>
      </c>
    </row>
    <row r="35" spans="1:45" x14ac:dyDescent="0.35">
      <c r="A35">
        <v>12</v>
      </c>
      <c r="B35" s="1">
        <f t="shared" si="7"/>
        <v>46113</v>
      </c>
      <c r="C35" s="992" t="str">
        <f>IF(OR($C$21="",$C$21=0,$D$18=0),"n",IF(C34="b","b",IF(LOOKUP(advanced!$M$45,$B$23:$B$36)=B35,"b","n")))</f>
        <v>n</v>
      </c>
      <c r="D35" s="992" t="str">
        <f>IF(OR($D$21="",$D$21=0,$D$17=0),"n",IF(D34="c","c",IF(LOOKUP(advanced!$M$37,$B$23:$B$36)=B35,"c","n")))</f>
        <v>n</v>
      </c>
      <c r="E35" s="27" t="str">
        <f t="array" ref="E35">IF(VLOOKUP(B35,$D$5:$G$18,2,FALSE)="","",VLOOKUP(B35,$D$5:$G$18,2,FALSE)-IF(OR($B$39:$B$48=B35)=TRUE,VLOOKUP(B35,$B$39:$E$48,4,FALSE),0))</f>
        <v/>
      </c>
      <c r="F35" s="992" t="str">
        <f t="shared" si="8"/>
        <v>nn</v>
      </c>
      <c r="G35" s="5">
        <f t="shared" si="9"/>
        <v>1</v>
      </c>
      <c r="H35" s="5" t="str">
        <f t="shared" si="10"/>
        <v>n</v>
      </c>
      <c r="I35" s="5">
        <f>VLOOKUP(B35,data!$B$13:$D$20,3,TRUE)</f>
        <v>4</v>
      </c>
      <c r="J35" s="5">
        <f t="shared" si="5"/>
        <v>0</v>
      </c>
      <c r="K35" s="5">
        <f t="shared" si="5"/>
        <v>0</v>
      </c>
      <c r="L35" s="5">
        <f t="shared" si="5"/>
        <v>0</v>
      </c>
      <c r="M35" s="5">
        <f t="shared" si="5"/>
        <v>1</v>
      </c>
      <c r="N35" s="5">
        <f t="shared" si="5"/>
        <v>0</v>
      </c>
      <c r="O35" s="5">
        <f t="shared" si="5"/>
        <v>0</v>
      </c>
      <c r="P35" s="1023" t="str">
        <f>IF(J35=1,SUM(J$23:J35),"")</f>
        <v/>
      </c>
      <c r="Q35" s="13" t="str">
        <f t="shared" si="6"/>
        <v/>
      </c>
      <c r="R35" s="5" t="str">
        <f t="shared" si="11"/>
        <v/>
      </c>
      <c r="S35" s="989" t="str">
        <f t="shared" si="31"/>
        <v/>
      </c>
      <c r="T35" s="989" t="str">
        <f t="shared" si="32"/>
        <v/>
      </c>
      <c r="U35" s="1023" t="str">
        <f>IF(K35=1,SUM(K$23:K35),"")</f>
        <v/>
      </c>
      <c r="V35" s="13" t="str">
        <f t="shared" si="12"/>
        <v/>
      </c>
      <c r="W35" s="5" t="str">
        <f t="shared" si="13"/>
        <v/>
      </c>
      <c r="X35" s="989" t="str">
        <f t="shared" si="14"/>
        <v/>
      </c>
      <c r="Y35" s="989" t="str">
        <f t="shared" si="15"/>
        <v/>
      </c>
      <c r="Z35" s="1023" t="str">
        <f>IF(L35=1,SUM(L$23:L35),"")</f>
        <v/>
      </c>
      <c r="AA35" s="13" t="str">
        <f t="shared" si="33"/>
        <v/>
      </c>
      <c r="AB35" s="5" t="str">
        <f t="shared" si="16"/>
        <v/>
      </c>
      <c r="AC35" s="989" t="str">
        <f t="shared" si="17"/>
        <v/>
      </c>
      <c r="AD35" s="989" t="str">
        <f t="shared" si="18"/>
        <v/>
      </c>
      <c r="AE35" s="1023">
        <f>IF(M35=1,SUM(M$23:M35),"")</f>
        <v>12</v>
      </c>
      <c r="AF35" s="13">
        <f t="shared" si="19"/>
        <v>46113</v>
      </c>
      <c r="AG35" s="5" t="str">
        <f t="shared" si="20"/>
        <v/>
      </c>
      <c r="AH35" s="989">
        <f t="shared" si="21"/>
        <v>1</v>
      </c>
      <c r="AI35" s="989" t="str">
        <f t="shared" si="22"/>
        <v>n</v>
      </c>
      <c r="AJ35" s="1023" t="str">
        <f>IF(N35=1,SUM(N$23:N35),"")</f>
        <v/>
      </c>
      <c r="AK35" s="13" t="str">
        <f t="shared" si="23"/>
        <v/>
      </c>
      <c r="AL35" s="5" t="str">
        <f t="shared" si="24"/>
        <v/>
      </c>
      <c r="AM35" s="989" t="str">
        <f t="shared" si="25"/>
        <v/>
      </c>
      <c r="AN35" s="989" t="str">
        <f t="shared" si="26"/>
        <v/>
      </c>
      <c r="AO35" s="1023" t="str">
        <f>IF(O35=1,SUM(O$23:O35),"")</f>
        <v/>
      </c>
      <c r="AP35" s="13" t="str">
        <f t="shared" si="27"/>
        <v/>
      </c>
      <c r="AQ35" s="5" t="str">
        <f t="shared" si="28"/>
        <v/>
      </c>
      <c r="AR35" s="989" t="str">
        <f t="shared" si="29"/>
        <v/>
      </c>
      <c r="AS35" s="989" t="str">
        <f t="shared" si="30"/>
        <v/>
      </c>
    </row>
    <row r="36" spans="1:45" x14ac:dyDescent="0.35">
      <c r="A36" s="1200">
        <v>13</v>
      </c>
      <c r="B36" s="2245">
        <f t="shared" si="7"/>
        <v>46114</v>
      </c>
      <c r="C36" s="2246"/>
      <c r="D36" s="2246"/>
      <c r="E36" s="1200"/>
      <c r="F36" s="2246"/>
      <c r="G36" s="1200"/>
      <c r="H36" s="1200"/>
      <c r="I36" s="1200"/>
      <c r="J36" s="1200"/>
      <c r="K36" s="1200"/>
      <c r="L36" s="1200"/>
      <c r="M36" s="1200"/>
      <c r="N36" s="1200"/>
      <c r="O36" s="1200"/>
      <c r="P36" s="2247" t="str">
        <f>IF(J36=1,SUM(J$23:J36),"")</f>
        <v/>
      </c>
      <c r="Q36" s="2248" t="str">
        <f>IF(J36=1,B36,"")</f>
        <v/>
      </c>
      <c r="R36" s="1218" t="str">
        <f>IF(J36=1,VLOOKUP(B36,$B$3:$C$16,2,FALSE),"")</f>
        <v/>
      </c>
      <c r="S36" s="2249" t="str">
        <f>IF(J36=1,VLOOKUP(B36,$B$3:$D$16,3,FALSE),"")</f>
        <v/>
      </c>
      <c r="T36" s="2249" t="str">
        <f>IF(J36=1,VLOOKUP(B36,$B$3:$E$16,4,FALSE),"")</f>
        <v/>
      </c>
      <c r="U36" s="2247" t="str">
        <f>IF(K36=1,SUM(K$23:K36),"")</f>
        <v/>
      </c>
      <c r="V36" s="2245"/>
      <c r="W36" s="1218" t="str">
        <f>IF(K36=1,VLOOKUP(B36,$B$3:$C$16,2,FALSE),"")</f>
        <v/>
      </c>
      <c r="X36" s="2249" t="str">
        <f>IF(K36=1,VLOOKUP(B36,$B$3:$D$16,3,FALSE),"")</f>
        <v/>
      </c>
      <c r="Y36" s="2249" t="str">
        <f>IF(K36=1,VLOOKUP(B36,$B$3:$E$16,4,FALSE),"")</f>
        <v/>
      </c>
      <c r="Z36" s="2247" t="str">
        <f>IF(L36=1,SUM(L$23:L36),"")</f>
        <v/>
      </c>
      <c r="AA36" s="2245" t="str">
        <f>IF(L36=1,B36,"")</f>
        <v/>
      </c>
      <c r="AB36" s="1218" t="str">
        <f>IF(L36=1,VLOOKUP(B36,$B$3:$C$16,2,FALSE),"")</f>
        <v/>
      </c>
      <c r="AC36" s="2249" t="str">
        <f>IF(L36=1,VLOOKUP(B36,$B$3:$D$16,3,FALSE),"")</f>
        <v/>
      </c>
      <c r="AD36" s="2249" t="str">
        <f>IF(L36=1,VLOOKUP(B36,$B$3:$E$16,4,FALSE),"")</f>
        <v/>
      </c>
      <c r="AE36" s="2247" t="str">
        <f>IF(M36=1,SUM(M$23:M36),"")</f>
        <v/>
      </c>
      <c r="AF36" s="2245" t="str">
        <f>IF(M36=1,B36,"")</f>
        <v/>
      </c>
      <c r="AG36" s="1218" t="str">
        <f>IF(M36=1,VLOOKUP(B36,$B$3:$C$16,2,FALSE),"")</f>
        <v/>
      </c>
      <c r="AH36" s="2249" t="str">
        <f>IF(M36=1,VLOOKUP(B36,$B$3:$D$16,3,FALSE),"")</f>
        <v/>
      </c>
      <c r="AI36" s="2249" t="str">
        <f>IF(M36=1,VLOOKUP(B36,$B$3:$E$16,4,FALSE),"")</f>
        <v/>
      </c>
      <c r="AJ36" s="2247" t="str">
        <f>IF(N36=1,SUM(N$23:N36),"")</f>
        <v/>
      </c>
      <c r="AK36" s="2245" t="str">
        <f>IF(N36=1,B36,"")</f>
        <v/>
      </c>
      <c r="AL36" s="1218" t="str">
        <f>IF(N36=1,VLOOKUP(B36,$B$3:$C$16,2,FALSE),"")</f>
        <v/>
      </c>
      <c r="AM36" s="2249" t="str">
        <f>IF(N36=1,VLOOKUP(B36,$B$3:$D$16,3,FALSE),"")</f>
        <v/>
      </c>
      <c r="AN36" s="2249" t="str">
        <f>IF(N36=1,VLOOKUP(B36,$B$3:$E$16,4,FALSE),"")</f>
        <v/>
      </c>
      <c r="AO36" s="2247" t="str">
        <f>IF(O36=1,SUM(O$23:O36),"")</f>
        <v/>
      </c>
      <c r="AP36" s="2245" t="str">
        <f>IF(O36=1,B36,"")</f>
        <v/>
      </c>
      <c r="AQ36" s="1218" t="str">
        <f>IF(O36=1,VLOOKUP(B36,$B$3:$C$16,2,FALSE),"")</f>
        <v/>
      </c>
      <c r="AR36" s="2249" t="str">
        <f>IF(O36=1,VLOOKUP(B36,$B$3:$D$16,3,FALSE),"")</f>
        <v/>
      </c>
      <c r="AS36" s="2249" t="str">
        <f>IF(O36=1,VLOOKUP(B36,$B$3:$E$16,4,FALSE),"")</f>
        <v/>
      </c>
    </row>
    <row r="39" spans="1:45" x14ac:dyDescent="0.35">
      <c r="A39" s="28" t="s">
        <v>550</v>
      </c>
      <c r="B39" s="1024">
        <f>IF(advanced!M54&lt;&gt;"",advanced!M54,$D$19)</f>
        <v>46113</v>
      </c>
      <c r="C39" s="7"/>
      <c r="D39" s="7"/>
      <c r="E39" s="993">
        <f>advanced!O54</f>
        <v>0</v>
      </c>
      <c r="F39" s="27"/>
      <c r="G39" s="5"/>
      <c r="H39" s="5"/>
      <c r="R39" s="2335">
        <f>E23</f>
        <v>0</v>
      </c>
      <c r="W39" s="2334" t="str">
        <f>IF(K23=1,VLOOKUP($B23,$B$24:$E$35,4,FALSE),"")</f>
        <v/>
      </c>
      <c r="AB39" s="2333" t="str">
        <f>IF(L23=1,VLOOKUP($B23,$B$24:$E$35,4,FALSE),"")</f>
        <v/>
      </c>
      <c r="AG39" s="2334" t="str">
        <f>IF(M23=1,VLOOKUP($B23,$B$24:$E$35,4,FALSE),"")</f>
        <v/>
      </c>
      <c r="AL39" s="2334" t="str">
        <f>IF(N23=1,VLOOKUP($B23,$B$24:$E$35,4,FALSE),"")</f>
        <v/>
      </c>
      <c r="AQ39" s="2334" t="str">
        <f>IF(O3=1,VLOOKUP($B23,$B$24:$E$35,4,FALSE),"")</f>
        <v/>
      </c>
    </row>
    <row r="40" spans="1:45" x14ac:dyDescent="0.35">
      <c r="A40" s="28" t="s">
        <v>1291</v>
      </c>
      <c r="B40" s="1024">
        <f>IF(advanced!N54="",$D$19,IF(advanced!N54+1=B41,advanced!N54,advanced!N54+1))</f>
        <v>46113</v>
      </c>
      <c r="C40" s="7"/>
      <c r="D40" s="7"/>
      <c r="E40" s="7">
        <v>0</v>
      </c>
      <c r="F40" s="27"/>
      <c r="R40" s="2334" t="str">
        <f>IF(J24=1,VLOOKUP($B24,$D$5:$G$18,2,FALSE),"")</f>
        <v/>
      </c>
      <c r="W40" s="2334" t="str">
        <f t="shared" ref="W40:W51" si="34">IF(K24=1,VLOOKUP($B24,$B$24:$E$35,4,FALSE),"")</f>
        <v/>
      </c>
      <c r="AB40" s="2333" t="str">
        <f t="shared" ref="AB40:AB51" si="35">IF(L24=1,VLOOKUP($B24,$B$24:$E$35,4,FALSE),"")</f>
        <v/>
      </c>
      <c r="AG40" s="2334" t="str">
        <f t="shared" ref="AG40:AG51" si="36">IF(M24=1,VLOOKUP($B24,$B$24:$E$35,4,FALSE),"")</f>
        <v/>
      </c>
      <c r="AL40" s="2334" t="str">
        <f t="shared" ref="AL40:AL51" si="37">IF(N24=1,VLOOKUP($B24,$B$24:$E$35,4,FALSE),"")</f>
        <v/>
      </c>
      <c r="AQ40" s="2334" t="str">
        <f t="shared" ref="AQ40:AQ51" si="38">IF(O4=1,VLOOKUP($B24,$B$24:$E$35,4,FALSE),"")</f>
        <v/>
      </c>
    </row>
    <row r="41" spans="1:45" x14ac:dyDescent="0.35">
      <c r="A41" s="28" t="s">
        <v>550</v>
      </c>
      <c r="B41" s="1024">
        <f>IF(advanced!M55&lt;&gt;"",advanced!M55,$D$19)</f>
        <v>46113</v>
      </c>
      <c r="C41" s="7"/>
      <c r="D41" s="7"/>
      <c r="E41" s="993">
        <f>advanced!O55</f>
        <v>0</v>
      </c>
      <c r="F41" s="27"/>
      <c r="R41" s="2334" t="str">
        <f t="shared" ref="R41:R51" si="39">IF(J25=1,VLOOKUP($B25,$D$5:$G$18,2,FALSE),"")</f>
        <v/>
      </c>
      <c r="W41" s="2334" t="str">
        <f t="shared" si="34"/>
        <v/>
      </c>
      <c r="AB41" s="2333" t="str">
        <f t="shared" si="35"/>
        <v/>
      </c>
      <c r="AG41" s="2334" t="str">
        <f t="shared" si="36"/>
        <v/>
      </c>
      <c r="AL41" s="2334" t="str">
        <f t="shared" si="37"/>
        <v/>
      </c>
      <c r="AQ41" s="2334" t="str">
        <f t="shared" si="38"/>
        <v/>
      </c>
    </row>
    <row r="42" spans="1:45" x14ac:dyDescent="0.35">
      <c r="A42" s="28" t="s">
        <v>1291</v>
      </c>
      <c r="B42" s="1024">
        <f>IF(advanced!N55="",$D$19,IF(advanced!N55+1=B43,advanced!N55,advanced!N55+1))</f>
        <v>46113</v>
      </c>
      <c r="C42" s="7"/>
      <c r="D42" s="7"/>
      <c r="E42" s="7">
        <v>0</v>
      </c>
      <c r="F42" s="27"/>
      <c r="R42" s="2334" t="str">
        <f t="shared" si="39"/>
        <v/>
      </c>
      <c r="W42" s="2334" t="str">
        <f t="shared" si="34"/>
        <v/>
      </c>
      <c r="AB42" s="2333" t="str">
        <f t="shared" si="35"/>
        <v/>
      </c>
      <c r="AG42" s="2334" t="str">
        <f t="shared" si="36"/>
        <v/>
      </c>
      <c r="AL42" s="2334" t="str">
        <f t="shared" si="37"/>
        <v/>
      </c>
      <c r="AQ42" s="2334" t="str">
        <f t="shared" si="38"/>
        <v/>
      </c>
    </row>
    <row r="43" spans="1:45" x14ac:dyDescent="0.35">
      <c r="A43" s="28" t="s">
        <v>550</v>
      </c>
      <c r="B43" s="1024">
        <f>IF(advanced!M56&lt;&gt;"",advanced!M56,$D$19)</f>
        <v>46113</v>
      </c>
      <c r="C43" s="7"/>
      <c r="D43" s="7"/>
      <c r="E43" s="993">
        <f>advanced!O56</f>
        <v>0</v>
      </c>
      <c r="F43" s="27"/>
      <c r="R43" s="2334" t="str">
        <f t="shared" si="39"/>
        <v/>
      </c>
      <c r="W43" s="2334" t="str">
        <f t="shared" si="34"/>
        <v/>
      </c>
      <c r="AB43" s="2333" t="str">
        <f t="shared" si="35"/>
        <v/>
      </c>
      <c r="AG43" s="2334" t="str">
        <f t="shared" si="36"/>
        <v/>
      </c>
      <c r="AL43" s="2334" t="str">
        <f t="shared" si="37"/>
        <v/>
      </c>
      <c r="AQ43" s="2334" t="str">
        <f t="shared" si="38"/>
        <v/>
      </c>
    </row>
    <row r="44" spans="1:45" x14ac:dyDescent="0.35">
      <c r="A44" s="28" t="s">
        <v>1291</v>
      </c>
      <c r="B44" s="1024">
        <f>IF(advanced!N56="",$D$19,IF(advanced!N56+1=B45,advanced!N56,advanced!N56+1))</f>
        <v>46113</v>
      </c>
      <c r="C44" s="7"/>
      <c r="D44" s="7"/>
      <c r="E44" s="7">
        <v>0</v>
      </c>
      <c r="F44" s="27"/>
      <c r="R44" s="2334" t="str">
        <f t="shared" si="39"/>
        <v/>
      </c>
      <c r="W44" s="2334" t="str">
        <f t="shared" si="34"/>
        <v/>
      </c>
      <c r="AB44" s="2333" t="str">
        <f t="shared" si="35"/>
        <v/>
      </c>
      <c r="AG44" s="2334" t="str">
        <f t="shared" si="36"/>
        <v/>
      </c>
      <c r="AL44" s="2334" t="str">
        <f t="shared" si="37"/>
        <v/>
      </c>
      <c r="AQ44" s="2334" t="str">
        <f t="shared" si="38"/>
        <v/>
      </c>
    </row>
    <row r="45" spans="1:45" x14ac:dyDescent="0.35">
      <c r="A45" s="28" t="s">
        <v>550</v>
      </c>
      <c r="B45" s="1024">
        <f>IF(advanced!M57&lt;&gt;"",advanced!M57,$D$19)</f>
        <v>46113</v>
      </c>
      <c r="C45" s="7"/>
      <c r="D45" s="7"/>
      <c r="E45" s="993">
        <f>advanced!O57</f>
        <v>0</v>
      </c>
      <c r="F45" s="27"/>
      <c r="R45" s="2334" t="str">
        <f t="shared" si="39"/>
        <v/>
      </c>
      <c r="W45" s="2334" t="str">
        <f t="shared" si="34"/>
        <v/>
      </c>
      <c r="AB45" s="2333" t="str">
        <f t="shared" si="35"/>
        <v/>
      </c>
      <c r="AG45" s="2334" t="str">
        <f t="shared" si="36"/>
        <v/>
      </c>
      <c r="AL45" s="2334" t="str">
        <f t="shared" si="37"/>
        <v/>
      </c>
      <c r="AQ45" s="2334" t="str">
        <f t="shared" si="38"/>
        <v/>
      </c>
    </row>
    <row r="46" spans="1:45" x14ac:dyDescent="0.35">
      <c r="A46" s="28" t="s">
        <v>1291</v>
      </c>
      <c r="B46" s="1024">
        <f>IF(advanced!N57="",$D$19,IF(advanced!N57+1=B47,advanced!N57,advanced!N57+1))</f>
        <v>46113</v>
      </c>
      <c r="C46" s="7"/>
      <c r="D46" s="7"/>
      <c r="E46" s="7">
        <v>0</v>
      </c>
      <c r="F46" s="27"/>
      <c r="R46" s="2334" t="str">
        <f t="shared" si="39"/>
        <v/>
      </c>
      <c r="W46" s="2334" t="str">
        <f t="shared" si="34"/>
        <v/>
      </c>
      <c r="AB46" s="2333" t="str">
        <f t="shared" si="35"/>
        <v/>
      </c>
      <c r="AG46" s="2334" t="str">
        <f t="shared" si="36"/>
        <v/>
      </c>
      <c r="AL46" s="2334" t="str">
        <f t="shared" si="37"/>
        <v/>
      </c>
      <c r="AQ46" s="2334" t="str">
        <f t="shared" si="38"/>
        <v/>
      </c>
    </row>
    <row r="47" spans="1:45" x14ac:dyDescent="0.35">
      <c r="A47" s="28" t="s">
        <v>550</v>
      </c>
      <c r="B47" s="1024">
        <f>IF(advanced!M58&lt;&gt;"",advanced!M58,$D$19)</f>
        <v>46113</v>
      </c>
      <c r="C47" s="7"/>
      <c r="D47" s="7"/>
      <c r="E47" s="993">
        <f>advanced!O58</f>
        <v>0</v>
      </c>
      <c r="F47" s="27"/>
      <c r="R47" s="2334" t="str">
        <f t="shared" si="39"/>
        <v/>
      </c>
      <c r="W47" s="2334" t="str">
        <f t="shared" si="34"/>
        <v/>
      </c>
      <c r="AB47" s="2333" t="str">
        <f t="shared" si="35"/>
        <v/>
      </c>
      <c r="AG47" s="2334" t="str">
        <f t="shared" si="36"/>
        <v/>
      </c>
      <c r="AL47" s="2334" t="str">
        <f t="shared" si="37"/>
        <v/>
      </c>
      <c r="AQ47" s="2334" t="str">
        <f t="shared" si="38"/>
        <v/>
      </c>
    </row>
    <row r="48" spans="1:45" x14ac:dyDescent="0.35">
      <c r="A48" s="28" t="s">
        <v>1291</v>
      </c>
      <c r="B48" s="1024">
        <f>IF(advanced!N58="",$D$19,IF(advanced!N58+1=B49,advanced!N58,advanced!N58+1))</f>
        <v>46113</v>
      </c>
      <c r="C48" s="7"/>
      <c r="D48" s="7"/>
      <c r="E48" s="7">
        <v>0</v>
      </c>
      <c r="F48" s="27"/>
      <c r="R48" s="2334" t="str">
        <f t="shared" si="39"/>
        <v/>
      </c>
      <c r="W48" s="2334" t="str">
        <f t="shared" si="34"/>
        <v/>
      </c>
      <c r="AB48" s="2333" t="str">
        <f t="shared" si="35"/>
        <v/>
      </c>
      <c r="AG48" s="2334" t="str">
        <f t="shared" si="36"/>
        <v/>
      </c>
      <c r="AL48" s="2334" t="str">
        <f t="shared" si="37"/>
        <v/>
      </c>
      <c r="AQ48" s="2334" t="str">
        <f t="shared" si="38"/>
        <v/>
      </c>
    </row>
    <row r="49" spans="6:43" x14ac:dyDescent="0.35">
      <c r="F49" s="27"/>
      <c r="R49" s="2334" t="str">
        <f t="shared" si="39"/>
        <v/>
      </c>
      <c r="W49" s="2334" t="str">
        <f t="shared" si="34"/>
        <v/>
      </c>
      <c r="AB49" s="2333" t="str">
        <f t="shared" si="35"/>
        <v/>
      </c>
      <c r="AG49" s="2334" t="str">
        <f t="shared" si="36"/>
        <v/>
      </c>
      <c r="AL49" s="2334" t="str">
        <f t="shared" si="37"/>
        <v/>
      </c>
      <c r="AQ49" s="2334" t="str">
        <f t="shared" si="38"/>
        <v/>
      </c>
    </row>
    <row r="50" spans="6:43" x14ac:dyDescent="0.35">
      <c r="F50" s="27"/>
      <c r="R50" s="2334" t="str">
        <f t="shared" si="39"/>
        <v/>
      </c>
      <c r="W50" s="2334" t="str">
        <f t="shared" si="34"/>
        <v/>
      </c>
      <c r="AB50" s="2333" t="str">
        <f t="shared" si="35"/>
        <v/>
      </c>
      <c r="AG50" s="2334" t="str">
        <f t="shared" si="36"/>
        <v/>
      </c>
      <c r="AL50" s="2334" t="str">
        <f t="shared" si="37"/>
        <v/>
      </c>
      <c r="AQ50" s="2334" t="str">
        <f t="shared" si="38"/>
        <v/>
      </c>
    </row>
    <row r="51" spans="6:43" x14ac:dyDescent="0.35">
      <c r="F51" s="27"/>
      <c r="R51" s="2334" t="str">
        <f t="shared" si="39"/>
        <v/>
      </c>
      <c r="W51" s="2334" t="str">
        <f t="shared" si="34"/>
        <v/>
      </c>
      <c r="AB51" s="2333" t="str">
        <f t="shared" si="35"/>
        <v/>
      </c>
      <c r="AG51" s="2334" t="str">
        <f t="shared" si="36"/>
        <v/>
      </c>
      <c r="AL51" s="2334" t="str">
        <f t="shared" si="37"/>
        <v/>
      </c>
      <c r="AQ51" s="2334" t="str">
        <f t="shared" si="38"/>
        <v/>
      </c>
    </row>
    <row r="54" spans="6:43" x14ac:dyDescent="0.35">
      <c r="L54" s="5"/>
    </row>
    <row r="55" spans="6:43" x14ac:dyDescent="0.35">
      <c r="L55" s="5"/>
    </row>
    <row r="56" spans="6:43" x14ac:dyDescent="0.35">
      <c r="L56" s="5"/>
    </row>
    <row r="57" spans="6:43" x14ac:dyDescent="0.35">
      <c r="L57" s="5"/>
    </row>
    <row r="58" spans="6:43" x14ac:dyDescent="0.35">
      <c r="L58" s="5"/>
    </row>
    <row r="59" spans="6:43" x14ac:dyDescent="0.35">
      <c r="L59" s="5"/>
    </row>
    <row r="60" spans="6:43" x14ac:dyDescent="0.35">
      <c r="L60" s="5"/>
    </row>
    <row r="61" spans="6:43" x14ac:dyDescent="0.35">
      <c r="L61" s="5"/>
    </row>
    <row r="62" spans="6:43" x14ac:dyDescent="0.35">
      <c r="L62" s="5"/>
    </row>
    <row r="63" spans="6:43" x14ac:dyDescent="0.35">
      <c r="L63" s="5"/>
    </row>
    <row r="64" spans="6:43" x14ac:dyDescent="0.35">
      <c r="L64" s="5"/>
    </row>
    <row r="65" spans="12:12" x14ac:dyDescent="0.35">
      <c r="L65" s="5"/>
    </row>
    <row r="66" spans="12:12" x14ac:dyDescent="0.35">
      <c r="L66" s="5"/>
    </row>
    <row r="67" spans="12:12" x14ac:dyDescent="0.35">
      <c r="L67" s="5"/>
    </row>
    <row r="68" spans="12:12" x14ac:dyDescent="0.35">
      <c r="L68" s="5"/>
    </row>
    <row r="69" spans="12:12" x14ac:dyDescent="0.35">
      <c r="L69" s="5"/>
    </row>
    <row r="70" spans="12:12" x14ac:dyDescent="0.35">
      <c r="L70" s="5"/>
    </row>
    <row r="71" spans="12:12" x14ac:dyDescent="0.35">
      <c r="L71" s="5"/>
    </row>
    <row r="72" spans="12:12" x14ac:dyDescent="0.35">
      <c r="L72" s="5"/>
    </row>
    <row r="73" spans="12:12" x14ac:dyDescent="0.35">
      <c r="L73" s="5"/>
    </row>
    <row r="74" spans="12:12" x14ac:dyDescent="0.35">
      <c r="L74" s="5"/>
    </row>
    <row r="75" spans="12:12" x14ac:dyDescent="0.35">
      <c r="L75" s="5"/>
    </row>
    <row r="76" spans="12:12" x14ac:dyDescent="0.35">
      <c r="L76" s="5"/>
    </row>
    <row r="77" spans="12:12" x14ac:dyDescent="0.35">
      <c r="L77" s="5"/>
    </row>
    <row r="78" spans="12:12" x14ac:dyDescent="0.35">
      <c r="L78" s="5"/>
    </row>
    <row r="79" spans="12:12" x14ac:dyDescent="0.35">
      <c r="L79" s="5"/>
    </row>
    <row r="80" spans="12:12" x14ac:dyDescent="0.35">
      <c r="L80" s="5"/>
    </row>
  </sheetData>
  <sheetProtection password="BCD8" sheet="1" objects="1" scenarios="1"/>
  <phoneticPr fontId="0" type="noConversion"/>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39DD8-1508-49E9-8459-DE75C76D9815}">
  <sheetPr codeName="Sheet45">
    <tabColor rgb="FFFF0000"/>
  </sheetPr>
  <dimension ref="A1:DG388"/>
  <sheetViews>
    <sheetView workbookViewId="0">
      <pane ySplit="2" topLeftCell="A3" activePane="bottomLeft" state="frozen"/>
      <selection activeCell="I9" sqref="I9"/>
      <selection pane="bottomLeft"/>
    </sheetView>
  </sheetViews>
  <sheetFormatPr defaultColWidth="9.08984375" defaultRowHeight="14.5" x14ac:dyDescent="0.35"/>
  <cols>
    <col min="1" max="1" width="12.90625" style="997" customWidth="1"/>
    <col min="2" max="2" width="10.08984375" style="997" hidden="1" customWidth="1"/>
    <col min="3" max="3" width="9.08984375" style="997" hidden="1" customWidth="1"/>
    <col min="4" max="4" width="11" style="997" hidden="1" customWidth="1"/>
    <col min="5" max="5" width="9.08984375" style="997" hidden="1" customWidth="1"/>
    <col min="6" max="8" width="10.08984375" style="997" hidden="1" customWidth="1"/>
    <col min="9" max="15" width="9.08984375" style="997" hidden="1" customWidth="1"/>
    <col min="16" max="16" width="9.08984375" style="1032" hidden="1" customWidth="1"/>
    <col min="17" max="24" width="9.08984375" style="997" hidden="1" customWidth="1"/>
    <col min="25" max="28" width="12.08984375" style="997" hidden="1" customWidth="1"/>
    <col min="29" max="29" width="9.08984375" style="997" hidden="1" customWidth="1"/>
    <col min="30" max="30" width="13.453125" style="997" hidden="1" customWidth="1"/>
    <col min="31" max="31" width="12.6328125" style="997" hidden="1" customWidth="1"/>
    <col min="32" max="32" width="9.08984375" style="997" hidden="1" customWidth="1"/>
    <col min="33" max="33" width="14.08984375" style="997" hidden="1" customWidth="1"/>
    <col min="34" max="34" width="10.54296875" style="997" hidden="1" customWidth="1"/>
    <col min="35" max="40" width="9.08984375" style="997" hidden="1" customWidth="1"/>
    <col min="41" max="41" width="9.08984375" style="1002" hidden="1" customWidth="1"/>
    <col min="42" max="42" width="15.453125" style="1002" hidden="1" customWidth="1"/>
    <col min="43" max="43" width="10" style="1002" hidden="1" customWidth="1"/>
    <col min="44" max="46" width="11.54296875" style="1002" hidden="1" customWidth="1"/>
    <col min="47" max="47" width="22" style="1002" hidden="1" customWidth="1"/>
    <col min="48" max="50" width="11.54296875" style="1002" hidden="1" customWidth="1"/>
    <col min="51" max="51" width="11.54296875" style="2371" hidden="1" customWidth="1"/>
    <col min="52" max="52" width="15.36328125" style="1002" hidden="1" customWidth="1"/>
    <col min="53" max="53" width="12.54296875" style="2371" hidden="1" customWidth="1"/>
    <col min="54" max="54" width="12.36328125" style="1002" hidden="1" customWidth="1"/>
    <col min="55" max="55" width="10" style="1002" hidden="1" customWidth="1"/>
    <col min="56" max="56" width="11.1796875" style="1002" hidden="1" customWidth="1"/>
    <col min="57" max="58" width="10" style="1002" hidden="1" customWidth="1"/>
    <col min="59" max="82" width="11.54296875" style="1002" hidden="1" customWidth="1"/>
    <col min="83" max="83" width="13.90625" style="1002" hidden="1" customWidth="1"/>
    <col min="84" max="85" width="5.6328125" style="1002" hidden="1" customWidth="1"/>
    <col min="86" max="87" width="10.08984375" style="997" hidden="1" customWidth="1"/>
    <col min="88" max="88" width="10.90625" style="997" hidden="1" customWidth="1"/>
    <col min="89" max="89" width="10.08984375" style="997" hidden="1" customWidth="1"/>
    <col min="90" max="100" width="9.08984375" style="997" hidden="1" customWidth="1"/>
    <col min="101" max="101" width="13.90625" style="997" hidden="1" customWidth="1"/>
    <col min="102" max="104" width="8.90625" hidden="1" customWidth="1"/>
    <col min="105" max="105" width="16" customWidth="1"/>
    <col min="106" max="16384" width="9.08984375" style="997"/>
  </cols>
  <sheetData>
    <row r="1" spans="1:111" x14ac:dyDescent="0.35">
      <c r="T1" s="2334"/>
      <c r="X1" s="998" t="s">
        <v>539</v>
      </c>
      <c r="Z1" s="1044" t="s">
        <v>1940</v>
      </c>
      <c r="AC1" s="1045" t="s">
        <v>581</v>
      </c>
      <c r="AD1" s="997" t="str">
        <f>global!H14</f>
        <v>Enter Levying Authority</v>
      </c>
      <c r="AE1" s="997" t="str">
        <f>VLOOKUP(AD1,authorities!A:I,9,FALSE)</f>
        <v>RV limit</v>
      </c>
      <c r="AH1" s="1025"/>
      <c r="AI1" s="1025"/>
      <c r="AJ1" s="999">
        <f>CK11</f>
        <v>11</v>
      </c>
      <c r="AK1" s="999"/>
      <c r="AL1" s="999"/>
      <c r="AM1" s="1002"/>
      <c r="AN1" s="1002"/>
      <c r="AR1" s="1000" t="s">
        <v>1936</v>
      </c>
      <c r="AS1" s="997"/>
      <c r="AT1" s="1000" t="s">
        <v>548</v>
      </c>
      <c r="AU1" s="1001">
        <f>data!C63</f>
        <v>1000000000000</v>
      </c>
      <c r="AV1" s="997" t="b">
        <f>advanced!AJ8</f>
        <v>0</v>
      </c>
      <c r="AW1" s="997"/>
      <c r="AX1" s="997" t="s">
        <v>456</v>
      </c>
      <c r="AY1" s="2374">
        <f>reliefs!D15*-1</f>
        <v>-110000</v>
      </c>
      <c r="BA1" s="2372" t="s">
        <v>2899</v>
      </c>
      <c r="BB1" s="997"/>
      <c r="BC1" s="997"/>
      <c r="BD1" s="997"/>
      <c r="BE1" s="997"/>
      <c r="BG1" s="997"/>
      <c r="BH1" s="2441" t="s">
        <v>2941</v>
      </c>
      <c r="BI1" s="2442"/>
      <c r="BJ1" s="2442"/>
      <c r="BK1" s="2442"/>
      <c r="BL1" s="2442"/>
      <c r="BM1" s="2442"/>
      <c r="BN1" s="2442"/>
      <c r="BO1" s="2442"/>
      <c r="BP1" s="2443" t="s">
        <v>2942</v>
      </c>
      <c r="BQ1" s="2443" t="s">
        <v>2942</v>
      </c>
      <c r="BR1" s="2442"/>
      <c r="BS1" s="2442"/>
      <c r="BT1" s="2442"/>
      <c r="BU1" s="2442"/>
      <c r="BV1" s="2442"/>
      <c r="BW1" s="2442"/>
      <c r="BX1" s="2442"/>
      <c r="BY1" s="2442"/>
      <c r="BZ1" s="2442"/>
      <c r="CA1" s="2442"/>
      <c r="CB1" s="2442"/>
      <c r="CC1" s="2442"/>
      <c r="CD1" s="2334"/>
      <c r="CE1" s="2444"/>
      <c r="CH1" s="1027" t="s">
        <v>251</v>
      </c>
      <c r="CI1" s="1028" t="s">
        <v>660</v>
      </c>
      <c r="CJ1" s="1028" t="s">
        <v>267</v>
      </c>
      <c r="CK1" s="1028" t="s">
        <v>527</v>
      </c>
      <c r="CL1" s="1028" t="s">
        <v>47</v>
      </c>
      <c r="CM1" s="1029" t="s">
        <v>516</v>
      </c>
      <c r="CN1" s="1029" t="s">
        <v>517</v>
      </c>
      <c r="CO1" s="1029" t="s">
        <v>518</v>
      </c>
      <c r="CP1" s="1029" t="s">
        <v>519</v>
      </c>
      <c r="CQ1" s="2293" t="s">
        <v>320</v>
      </c>
      <c r="CR1" s="1028" t="s">
        <v>540</v>
      </c>
      <c r="CS1" s="1028" t="s">
        <v>541</v>
      </c>
      <c r="CT1" s="1028" t="s">
        <v>542</v>
      </c>
      <c r="CU1" s="1028" t="s">
        <v>547</v>
      </c>
      <c r="CV1" s="1030" t="b">
        <f ca="1">codes!I20</f>
        <v>1</v>
      </c>
      <c r="CW1" s="2294" t="s">
        <v>2811</v>
      </c>
    </row>
    <row r="2" spans="1:111" x14ac:dyDescent="0.35">
      <c r="A2" s="997" t="s">
        <v>549</v>
      </c>
      <c r="B2" s="997" t="s">
        <v>550</v>
      </c>
      <c r="C2" s="997" t="s">
        <v>269</v>
      </c>
      <c r="D2" s="997" t="s">
        <v>267</v>
      </c>
      <c r="E2" s="1002" t="s">
        <v>279</v>
      </c>
      <c r="F2" s="997" t="s">
        <v>551</v>
      </c>
      <c r="G2" s="997" t="s">
        <v>2656</v>
      </c>
      <c r="H2" s="997" t="s">
        <v>563</v>
      </c>
      <c r="I2" s="997" t="s">
        <v>421</v>
      </c>
      <c r="J2" s="997" t="s">
        <v>564</v>
      </c>
      <c r="K2" s="997" t="s">
        <v>565</v>
      </c>
      <c r="L2" s="997" t="s">
        <v>308</v>
      </c>
      <c r="M2" s="997" t="s">
        <v>566</v>
      </c>
      <c r="N2" s="997" t="s">
        <v>567</v>
      </c>
      <c r="O2" s="997" t="s">
        <v>568</v>
      </c>
      <c r="P2" s="1032" t="s">
        <v>569</v>
      </c>
      <c r="Q2" s="997" t="s">
        <v>794</v>
      </c>
      <c r="R2" s="997" t="s">
        <v>570</v>
      </c>
      <c r="S2" s="997" t="s">
        <v>657</v>
      </c>
      <c r="T2" s="2442" t="s">
        <v>571</v>
      </c>
      <c r="U2" s="997" t="s">
        <v>935</v>
      </c>
      <c r="V2" s="1000" t="s">
        <v>1939</v>
      </c>
      <c r="W2" s="1000" t="s">
        <v>1935</v>
      </c>
      <c r="X2" s="998" t="b">
        <f>advanced!AJ7</f>
        <v>0</v>
      </c>
      <c r="Y2" s="997" t="s">
        <v>580</v>
      </c>
      <c r="Z2" s="1045" t="b">
        <f>OR(global!D4=1,global!D4=2)</f>
        <v>0</v>
      </c>
      <c r="AA2" s="1043" t="s">
        <v>596</v>
      </c>
      <c r="AB2" s="1043" t="s">
        <v>1941</v>
      </c>
      <c r="AC2" s="1045" t="b">
        <f>global!D4=1</f>
        <v>0</v>
      </c>
      <c r="AD2" s="997" t="s">
        <v>582</v>
      </c>
      <c r="AE2" s="997" t="s">
        <v>583</v>
      </c>
      <c r="AF2" s="997" t="s">
        <v>584</v>
      </c>
      <c r="AG2" s="1000" t="s">
        <v>1934</v>
      </c>
      <c r="AH2" s="1026" t="s">
        <v>274</v>
      </c>
      <c r="AI2" s="997" t="s">
        <v>585</v>
      </c>
      <c r="AJ2" s="997" t="s">
        <v>586</v>
      </c>
      <c r="AK2" s="997" t="s">
        <v>587</v>
      </c>
      <c r="AL2" s="997" t="s">
        <v>588</v>
      </c>
      <c r="AO2" s="1002" t="s">
        <v>589</v>
      </c>
      <c r="AP2" s="997" t="s">
        <v>590</v>
      </c>
      <c r="AQ2" s="1043" t="s">
        <v>527</v>
      </c>
      <c r="AR2" s="1000" t="s">
        <v>1937</v>
      </c>
      <c r="AS2" s="997"/>
      <c r="AT2" s="1004" t="s">
        <v>272</v>
      </c>
      <c r="AU2" s="1004" t="s">
        <v>591</v>
      </c>
      <c r="AV2" s="1004" t="s">
        <v>592</v>
      </c>
      <c r="AW2" s="1004" t="s">
        <v>593</v>
      </c>
      <c r="AX2" s="1004" t="s">
        <v>594</v>
      </c>
      <c r="AY2" s="2375" t="s">
        <v>595</v>
      </c>
      <c r="AZ2" s="1043" t="s">
        <v>3045</v>
      </c>
      <c r="BA2" s="2373" t="b">
        <f>reliefs!E32</f>
        <v>0</v>
      </c>
      <c r="BC2" s="1005" t="s">
        <v>2913</v>
      </c>
      <c r="BD2" s="1005" t="s">
        <v>2901</v>
      </c>
      <c r="BE2" s="1005" t="s">
        <v>2914</v>
      </c>
      <c r="BF2" s="1005">
        <v>2021</v>
      </c>
      <c r="BG2" s="1004" t="s">
        <v>3044</v>
      </c>
      <c r="BH2" s="2441" t="s">
        <v>596</v>
      </c>
      <c r="BI2" s="2441" t="s">
        <v>43</v>
      </c>
      <c r="BJ2" s="2441" t="s">
        <v>2925</v>
      </c>
      <c r="BK2" s="2441" t="s">
        <v>2926</v>
      </c>
      <c r="BL2" s="2441" t="s">
        <v>2927</v>
      </c>
      <c r="BM2" s="2441" t="s">
        <v>2928</v>
      </c>
      <c r="BN2" s="2441" t="s">
        <v>1739</v>
      </c>
      <c r="BO2" s="2441" t="s">
        <v>2929</v>
      </c>
      <c r="BP2" s="2441" t="s">
        <v>58</v>
      </c>
      <c r="BQ2" s="2441" t="s">
        <v>2930</v>
      </c>
      <c r="BR2" s="2441" t="s">
        <v>2931</v>
      </c>
      <c r="BS2" s="2441" t="s">
        <v>2932</v>
      </c>
      <c r="BT2" s="2441" t="s">
        <v>2933</v>
      </c>
      <c r="BU2" s="2441" t="s">
        <v>2934</v>
      </c>
      <c r="BV2" s="2441" t="s">
        <v>2935</v>
      </c>
      <c r="BW2" s="2441" t="s">
        <v>2936</v>
      </c>
      <c r="BX2" s="2441" t="s">
        <v>2937</v>
      </c>
      <c r="BY2" s="2441" t="s">
        <v>2938</v>
      </c>
      <c r="BZ2" s="2441" t="s">
        <v>527</v>
      </c>
      <c r="CA2" s="2441" t="s">
        <v>563</v>
      </c>
      <c r="CB2" s="2441" t="s">
        <v>2939</v>
      </c>
      <c r="CC2" s="2334" t="s">
        <v>2940</v>
      </c>
      <c r="CD2" s="2443" t="s">
        <v>2944</v>
      </c>
      <c r="CE2" s="2443" t="s">
        <v>2953</v>
      </c>
      <c r="CH2" s="1031">
        <f>data!B13</f>
        <v>45017</v>
      </c>
      <c r="CI2" s="997">
        <v>1</v>
      </c>
      <c r="CJ2" s="1003">
        <f>data!E13</f>
        <v>45382</v>
      </c>
      <c r="CK2" s="1002">
        <f t="shared" ref="CK2:CK7" si="0">(CJ2-CH2)+1</f>
        <v>366</v>
      </c>
      <c r="CL2" s="1032">
        <f>data!C53</f>
        <v>0.499</v>
      </c>
      <c r="CM2" s="1033">
        <f ca="1">nncalc1!$D$31*$CV$1</f>
        <v>0</v>
      </c>
      <c r="CN2" s="1033">
        <f ca="1">nccalc1!$D$31*$CV$1</f>
        <v>0</v>
      </c>
      <c r="CO2" s="1033">
        <f ca="1">bncalc1!$D$31*$CV$1</f>
        <v>0</v>
      </c>
      <c r="CP2" s="1033">
        <f ca="1">bccalc1!$D$31*$CV$1</f>
        <v>0</v>
      </c>
      <c r="CQ2" s="997">
        <f>data!E53</f>
        <v>1.4E-2</v>
      </c>
      <c r="CR2" s="997">
        <f>CU2+1</f>
        <v>15001</v>
      </c>
      <c r="CS2" s="997">
        <f>data!F33</f>
        <v>1.2999999999999999E-2</v>
      </c>
      <c r="CT2" s="997">
        <f>data!C33</f>
        <v>12000</v>
      </c>
      <c r="CU2" s="997">
        <f>data!D33</f>
        <v>15000</v>
      </c>
      <c r="CV2" s="1034">
        <f>data!E33</f>
        <v>51000</v>
      </c>
      <c r="CW2" s="997">
        <f>data!L53</f>
        <v>0</v>
      </c>
    </row>
    <row r="3" spans="1:111" x14ac:dyDescent="0.35">
      <c r="A3" s="997">
        <v>1</v>
      </c>
      <c r="B3" s="1003">
        <f>CH2</f>
        <v>45017</v>
      </c>
      <c r="C3" s="997">
        <f>IF(OR(B3=0,B3=""),"",1)</f>
        <v>1</v>
      </c>
      <c r="D3" s="1003">
        <f>$CJ$2</f>
        <v>45382</v>
      </c>
      <c r="E3" s="1002" t="str">
        <f>VLOOKUP(B3,input_engine_o!$B$23:$F$35,5,FALSE)</f>
        <v>nn</v>
      </c>
      <c r="F3" s="1003">
        <f>B3</f>
        <v>45017</v>
      </c>
      <c r="G3" s="1003">
        <f>IF(B3="","",IF(C4=C3,F4-1,D3))</f>
        <v>45382</v>
      </c>
      <c r="H3" s="1002">
        <f>IF(B3&lt;&gt;"",G3-F3+1,0)</f>
        <v>366</v>
      </c>
      <c r="I3" s="997">
        <f t="shared" ref="I3:I14" si="1">IF(AP3&gt;0,K3*P3,HLOOKUP(E3,$CM$1:$CP$9,1+$C$3,FALSE))</f>
        <v>0</v>
      </c>
      <c r="J3" s="997">
        <f t="shared" ref="J3:J14" si="2">I3/$CK$2</f>
        <v>0</v>
      </c>
      <c r="K3" s="997">
        <f t="shared" ref="K3:K14" si="3">HLOOKUP(E3,$CM$1:$CP$10,10,FALSE)</f>
        <v>0</v>
      </c>
      <c r="L3" s="997">
        <f>input_engine_o!E23</f>
        <v>0</v>
      </c>
      <c r="M3" s="1002" t="str">
        <f>IF(L3&lt;K3,"down","up")</f>
        <v>up</v>
      </c>
      <c r="N3" s="1002">
        <f>IF(OR(B3="",K3=0),0,IF(M3="down",J3*L3/K3*H3,0))</f>
        <v>0</v>
      </c>
      <c r="O3" s="1002">
        <f t="shared" ref="O3:O14" si="4">IF(B3="","",IF(M3="up",((J3*H3)+((L3-K3)*P3/$CK$2*H3)),0))</f>
        <v>0</v>
      </c>
      <c r="P3" s="1032">
        <f>$CL$2</f>
        <v>0.499</v>
      </c>
      <c r="Q3" s="997">
        <f>IF(M3="down",N3,O3)</f>
        <v>0</v>
      </c>
      <c r="R3" s="997">
        <f>IF(B3="",0,IF(U3=TRUE,(Q3/AH3)+AC3+(AD3/AH3),(Q3)+Y3+Z3+AC3+AD3))</f>
        <v>0</v>
      </c>
      <c r="S3" s="1006">
        <f>input_engine_o!S23</f>
        <v>1</v>
      </c>
      <c r="T3" s="2442">
        <f ca="1">$CV$1*(IF(AND(AF3="y",L3&lt;AG3),0,R3*S3))+CB3+AZ3</f>
        <v>0</v>
      </c>
      <c r="U3" s="997" t="b">
        <f>AND(V3=TRUE,L3&lt;=W3,AF3="n",X3=FALSE)</f>
        <v>0</v>
      </c>
      <c r="V3" s="997" t="b">
        <f>advanced!$I$22="y"</f>
        <v>0</v>
      </c>
      <c r="W3" s="997">
        <f>data!$D$33</f>
        <v>15000</v>
      </c>
      <c r="X3" s="997" t="b">
        <f>$X$2</f>
        <v>0</v>
      </c>
      <c r="Y3" s="997">
        <f>IF(B3="",0,IF(AND($X$2=FALSE,AF3="n",OR(L3&lt;$CV$2,U3=TRUE,BX3=TRUE)),0,L3*$CS$2/$CK$2*H3))</f>
        <v>0</v>
      </c>
      <c r="Z3" s="997">
        <f t="shared" ref="Z3:Z14" si="5">IF(B3="",0,IF(AND($Z$2=TRUE,L3&gt;AA3),L3*AB3*H3/AQ3,0))</f>
        <v>0</v>
      </c>
      <c r="AA3" s="1002">
        <f>data!$G$53</f>
        <v>75000</v>
      </c>
      <c r="AB3" s="1002">
        <f>data!$F$53</f>
        <v>0.02</v>
      </c>
      <c r="AC3" s="997">
        <f>IF(B3="",0,L3*($CQ$2-IF(L3&lt;$CV$2,CW$2,0))/$CK$2*H3)*$AC$2/IF(U3=TRUE,AH3,1)</f>
        <v>0</v>
      </c>
      <c r="AD3" s="997">
        <f>IF(B3="",0,(IF($AE$1=authorities!$I$1,0,IF(L3&gt;AE3,VLOOKUP($AD$1,authorities!A:H,C3+1,FALSE),0)))*L3/$CK$2*H3)</f>
        <v>0</v>
      </c>
      <c r="AE3" s="997">
        <f>IF($AE$1=authorities!$I$1,0,$AE$1)</f>
        <v>0</v>
      </c>
      <c r="AF3" s="1006" t="str">
        <f>input_engine_o!T23</f>
        <v>n</v>
      </c>
      <c r="AG3" s="1002">
        <f>data!$C$43</f>
        <v>2900</v>
      </c>
      <c r="AH3" s="1007">
        <f t="shared" ref="AH3:AH14" si="6">IF(L3&lt;=$CT$2,5000000,IF(L3&gt;$CU$2,1,IF(MID((($CU$2-$CT$2)/(L3-$CT$2)),6,1)="5",ROUND((($CU$2-$CT$2)/(L3-$CT$2))-0.0001,3),ROUND(($CU$2-$CT$2)/(L3-$CT$2),3))))</f>
        <v>5000000</v>
      </c>
      <c r="AI3" s="997">
        <f>IF(L3&lt;&gt;"",1,0)</f>
        <v>1</v>
      </c>
      <c r="AJ3" s="997" t="b">
        <f t="shared" ref="AJ3:AJ14" si="7">IF(AP3&gt;0,FALSE,HLOOKUP(E3,$CM$1:$CP$17,$AJ$1+1,FALSE))</f>
        <v>0</v>
      </c>
      <c r="AL3" s="997">
        <f>IF(OR(H3=0,F3="",K3=L3,AJ3=FALSE),0,IF(L3&lt;K3,1,0.01))</f>
        <v>0</v>
      </c>
      <c r="AO3" s="1002">
        <f>IF(advanced!I36&gt;0,0,IF(L3=0,1,0))</f>
        <v>1</v>
      </c>
      <c r="AP3" s="1002">
        <f>AO3</f>
        <v>1</v>
      </c>
      <c r="AQ3" s="1002">
        <f>$CK$2</f>
        <v>366</v>
      </c>
      <c r="AR3" s="997">
        <f ca="1">$CV$1*IF(AND(AF3="y",L3&lt;AG3),0,R3*S3)+CB3</f>
        <v>0</v>
      </c>
      <c r="AS3" s="997"/>
      <c r="AT3" s="997">
        <f>L3</f>
        <v>0</v>
      </c>
      <c r="AU3" s="997" t="b">
        <f t="shared" ref="AU3:AU14" si="8">AT3&lt;$AU$1</f>
        <v>1</v>
      </c>
      <c r="AV3" s="997" t="b">
        <f t="shared" ref="AV3:AV53" si="9">$AV$1</f>
        <v>0</v>
      </c>
      <c r="AW3" s="997" t="b">
        <f t="shared" ref="AW3:AW14" si="10">AF3="n"</f>
        <v>1</v>
      </c>
      <c r="AX3" s="997">
        <f>AU3*AV3*AW3*IF(S3=0,0,1)</f>
        <v>0</v>
      </c>
      <c r="AY3" s="2370">
        <f ca="1">AR3/reliefs!$D$7*AX3*-1</f>
        <v>0</v>
      </c>
      <c r="AZ3" s="1002">
        <f ca="1">$AY$15/$BG$15*H3*AX3</f>
        <v>0</v>
      </c>
      <c r="BA3" s="2371">
        <f>IF(BE3="y",BD3,BC3)</f>
        <v>0</v>
      </c>
      <c r="BB3" s="1043" t="s">
        <v>2912</v>
      </c>
      <c r="BC3" s="2371">
        <f>reliefs!E30</f>
        <v>0</v>
      </c>
      <c r="BD3" s="2381">
        <f>advanced!AN12</f>
        <v>0</v>
      </c>
      <c r="BE3" s="2380" t="str">
        <f>advanced!AN13</f>
        <v>n</v>
      </c>
      <c r="BF3" s="2369">
        <v>0</v>
      </c>
      <c r="BG3" s="997">
        <f>H3*AX3</f>
        <v>0</v>
      </c>
      <c r="BH3" s="997">
        <f>data!$G$33</f>
        <v>15000</v>
      </c>
      <c r="BI3" s="1001">
        <f>advanced!I9</f>
        <v>0</v>
      </c>
      <c r="BJ3" s="997">
        <f>IF(BI3&lt;=12000,5000000,IF(BI3&gt;15000,1,IF(MID((3000/(BI3-12000)),6,1)="5",ROUND((3000/(BI3-12000))-0.0001,3),ROUND(3000/(BI3-12000),3))))</f>
        <v>5000000</v>
      </c>
      <c r="BK3" s="997">
        <f>calc1!D144</f>
        <v>0.499</v>
      </c>
      <c r="BL3" s="997" t="b">
        <f>BI3&lt;BH3</f>
        <v>1</v>
      </c>
      <c r="BM3" s="997" t="b">
        <f>advanced!AJ5</f>
        <v>0</v>
      </c>
      <c r="BN3" s="997">
        <f>BI3*BK3/BJ3</f>
        <v>0</v>
      </c>
      <c r="BO3" s="997">
        <f>I3/IF(U3=TRUE,AH3,1)</f>
        <v>0</v>
      </c>
      <c r="BP3" s="997"/>
      <c r="BQ3" s="997"/>
      <c r="BR3" s="997">
        <f t="shared" ref="BR3:BR14" si="11">BN3+600</f>
        <v>600</v>
      </c>
      <c r="BS3" s="997"/>
      <c r="BT3" s="997" t="b">
        <f t="shared" ref="BT3:BT14" si="12">BO3&gt;BR3</f>
        <v>0</v>
      </c>
      <c r="BU3" s="997" t="b">
        <f>X2=FALSE</f>
        <v>1</v>
      </c>
      <c r="BV3" s="997" t="b">
        <f t="shared" ref="BV3:BV14" si="13">AW3</f>
        <v>1</v>
      </c>
      <c r="BW3" s="997" t="b">
        <f>BV3</f>
        <v>1</v>
      </c>
      <c r="BX3" s="997" t="b">
        <f>BL3+BM3+BT3+BU3+BV3+BW3=6</f>
        <v>0</v>
      </c>
      <c r="BY3" s="997">
        <f>(BR3-BO3)</f>
        <v>600</v>
      </c>
      <c r="BZ3" s="997">
        <f>AQ3</f>
        <v>366</v>
      </c>
      <c r="CA3" s="997">
        <f>H3</f>
        <v>366</v>
      </c>
      <c r="CB3" s="997">
        <f>BY3/BZ3*CA3*BX3</f>
        <v>0</v>
      </c>
      <c r="CC3" s="997">
        <f>CB3</f>
        <v>0</v>
      </c>
      <c r="CD3" s="997">
        <f>BR3</f>
        <v>600</v>
      </c>
      <c r="CE3" s="1002" t="b">
        <f>advanced!AJ11</f>
        <v>0</v>
      </c>
      <c r="CH3" s="1031">
        <f>data!B14</f>
        <v>45383</v>
      </c>
      <c r="CI3" s="997">
        <v>2</v>
      </c>
      <c r="CJ3" s="1003">
        <f>data!E14</f>
        <v>45747</v>
      </c>
      <c r="CK3" s="1002">
        <f t="shared" si="0"/>
        <v>365</v>
      </c>
      <c r="CL3" s="1032">
        <f>data!C54</f>
        <v>0.499</v>
      </c>
      <c r="CM3" s="1033">
        <f ca="1">nncalc1!$E$31*$CV$1</f>
        <v>0</v>
      </c>
      <c r="CN3" s="1033">
        <f ca="1">nccalc1!$E$31*$CV$1</f>
        <v>0</v>
      </c>
      <c r="CO3" s="1033">
        <f ca="1">bncalc1!$E$31*$CV$1</f>
        <v>0</v>
      </c>
      <c r="CP3" s="1033">
        <f ca="1">bccalc1!$E$31*$CV$1</f>
        <v>0</v>
      </c>
      <c r="CQ3" s="997">
        <f>data!E54</f>
        <v>1.8000000000000002E-2</v>
      </c>
      <c r="CS3" s="997">
        <f>data!F34</f>
        <v>4.7000000000000042E-2</v>
      </c>
      <c r="CT3" s="997">
        <f>data!C34</f>
        <v>12000</v>
      </c>
      <c r="CU3" s="997">
        <f>data!D34</f>
        <v>15000</v>
      </c>
      <c r="CV3" s="1034">
        <f>data!E34</f>
        <v>51000</v>
      </c>
      <c r="CW3" s="997">
        <f>data!L54</f>
        <v>2.0000000000000018E-3</v>
      </c>
    </row>
    <row r="4" spans="1:111" x14ac:dyDescent="0.35">
      <c r="A4" s="997">
        <f t="shared" ref="A4:A14" si="14">A3+1</f>
        <v>2</v>
      </c>
      <c r="B4" s="1003" t="str">
        <f>IF(input_engine_o!$P$21&gt;A3,VLOOKUP(A4,input_engine_o!$P$23:$T$35,2,FALSE),"")</f>
        <v/>
      </c>
      <c r="C4" s="997" t="str">
        <f t="shared" ref="C4:C14" si="15">IF(OR(B4=0,B4=""),"",1)</f>
        <v/>
      </c>
      <c r="D4" s="1003">
        <f t="shared" ref="D4:D14" si="16">$CJ$2</f>
        <v>45382</v>
      </c>
      <c r="E4" s="1002" t="str">
        <f>IF(B4="",E3,VLOOKUP(B4,input_engine_o!$B$23:$F$35,5,FALSE))</f>
        <v>nn</v>
      </c>
      <c r="F4" s="1003" t="str">
        <f t="shared" ref="F4:F14" si="17">B4</f>
        <v/>
      </c>
      <c r="G4" s="1003" t="str">
        <f t="shared" ref="G4:G13" si="18">IF(B4="","",IF(C5=C4,F5-1,D4))</f>
        <v/>
      </c>
      <c r="H4" s="1002">
        <f t="shared" ref="H4:H14" si="19">IF(B4&lt;&gt;"",G4-F4+1,0)</f>
        <v>0</v>
      </c>
      <c r="I4" s="997">
        <f t="shared" si="1"/>
        <v>0</v>
      </c>
      <c r="J4" s="997">
        <f t="shared" si="2"/>
        <v>0</v>
      </c>
      <c r="K4" s="997">
        <f t="shared" si="3"/>
        <v>0</v>
      </c>
      <c r="L4" s="997" t="str">
        <f>IF(input_engine_o!$P$21&gt;A3,VLOOKUP(A4,input_engine_o!$P$23:$T$36,3,FALSE),"")</f>
        <v/>
      </c>
      <c r="M4" s="1002" t="str">
        <f t="shared" ref="M4:M14" si="20">IF(L4&lt;K4,"down","up")</f>
        <v>up</v>
      </c>
      <c r="N4" s="1002" t="str">
        <f>IF(B4="","",IF(M4="down",J4*L4/K4*H4,0))</f>
        <v/>
      </c>
      <c r="O4" s="1002" t="str">
        <f t="shared" si="4"/>
        <v/>
      </c>
      <c r="P4" s="1032">
        <f t="shared" ref="P4:P14" si="21">$CL$2</f>
        <v>0.499</v>
      </c>
      <c r="Q4" s="997" t="str">
        <f t="shared" ref="Q4:Q14" si="22">IF(M4="down",N4,O4)</f>
        <v/>
      </c>
      <c r="R4" s="997">
        <f t="shared" ref="R4:R14" si="23">IF(B4="",0,IF(U4=TRUE,(Q4/AH4)+AC4+(AD4/AH4),(Q4)+Y4+Z4+AC4+AD4))</f>
        <v>0</v>
      </c>
      <c r="S4" s="1006">
        <f>IF(input_engine_o!$P$21&gt;A3,VLOOKUP(A4,input_engine_o!$P$23:$T$35,4,FALSE),0)</f>
        <v>0</v>
      </c>
      <c r="T4" s="2442">
        <f t="shared" ref="T4:T14" ca="1" si="24">$CV$1*(IF(AND(AF4="y",L4&lt;AG4),0,R4*S4))+CB4+AZ4</f>
        <v>0</v>
      </c>
      <c r="U4" s="997" t="b">
        <f t="shared" ref="U4:U14" si="25">AND(V4=TRUE,L4&lt;=W4,AF4="n",X4=FALSE)</f>
        <v>0</v>
      </c>
      <c r="V4" s="997" t="b">
        <f>advanced!$I$22="y"</f>
        <v>0</v>
      </c>
      <c r="W4" s="997">
        <f>data!$D$33</f>
        <v>15000</v>
      </c>
      <c r="X4" s="997" t="b">
        <f t="shared" ref="X4:X53" si="26">$X$2</f>
        <v>0</v>
      </c>
      <c r="Y4" s="997">
        <f t="shared" ref="Y4:Y14" si="27">IF(B4="",0,IF(AND($X$2=FALSE,AF4="n",OR(L4&lt;$CV$2,U4=TRUE,BX4=TRUE)),0,L4*$CS$2/$CK$2*H4))</f>
        <v>0</v>
      </c>
      <c r="Z4" s="997">
        <f t="shared" si="5"/>
        <v>0</v>
      </c>
      <c r="AA4" s="1002">
        <f>data!$G$53</f>
        <v>75000</v>
      </c>
      <c r="AB4" s="1002">
        <f>data!$F$53</f>
        <v>0.02</v>
      </c>
      <c r="AC4" s="997">
        <f t="shared" ref="AC4:AC14" si="28">IF(B4="",0,L4*($CQ$2-IF(L4&lt;$CV$2,CW$2,0))/$CK$2*H4)*$AC$2/IF(U4=TRUE,AH4,1)</f>
        <v>0</v>
      </c>
      <c r="AD4" s="997">
        <f>IF(B4="",0,(IF($AE$1=authorities!$I$1,0,IF(L4&gt;AE4,VLOOKUP($AD$1,authorities!A:H,C4+1,FALSE),0)))*L4/$CK$2*H4)</f>
        <v>0</v>
      </c>
      <c r="AE4" s="997">
        <f>IF($AE$1=authorities!$I$1,0,$AE$1)</f>
        <v>0</v>
      </c>
      <c r="AF4" s="1002">
        <f>IF(input_engine_o!$P$21&gt;A3,VLOOKUP(A4,input_engine_o!$P$23:$T$35,5,FALSE),0)</f>
        <v>0</v>
      </c>
      <c r="AG4" s="1002">
        <f>data!$C$43</f>
        <v>2900</v>
      </c>
      <c r="AH4" s="1007">
        <f t="shared" si="6"/>
        <v>1</v>
      </c>
      <c r="AI4" s="997">
        <f t="shared" ref="AI4:AI14" si="29">IF(L4&lt;&gt;"",1,0)</f>
        <v>0</v>
      </c>
      <c r="AJ4" s="997" t="b">
        <f t="shared" si="7"/>
        <v>0</v>
      </c>
      <c r="AL4" s="997">
        <f t="shared" ref="AL4:AL14" si="30">IF(OR(H4=0,F4="",K4=L4,AJ4=FALSE),0,IF(L4&lt;K4,1,0.01))</f>
        <v>0</v>
      </c>
      <c r="AO4" s="1002">
        <f t="shared" ref="AO4:AO27" si="31">IF(L4=0,1,0)</f>
        <v>0</v>
      </c>
      <c r="AP4" s="1002">
        <f>SUM(AO3:AO4)</f>
        <v>1</v>
      </c>
      <c r="AQ4" s="1002">
        <f t="shared" ref="AQ4:AQ14" si="32">$CK$2</f>
        <v>366</v>
      </c>
      <c r="AR4" s="997">
        <f t="shared" ref="AR4:AR40" ca="1" si="33">$CV$1*IF(AND(AF4="y",L4&lt;AG4),0,R4*S4)+CB4</f>
        <v>0</v>
      </c>
      <c r="AS4" s="997"/>
      <c r="AT4" s="997">
        <f t="shared" ref="AT4:AT14" si="34">IF(L4="",AT3,L4)</f>
        <v>0</v>
      </c>
      <c r="AU4" s="997" t="b">
        <f t="shared" si="8"/>
        <v>1</v>
      </c>
      <c r="AV4" s="997" t="b">
        <f t="shared" si="9"/>
        <v>0</v>
      </c>
      <c r="AW4" s="997" t="b">
        <f t="shared" si="10"/>
        <v>0</v>
      </c>
      <c r="AX4" s="997">
        <f t="shared" ref="AX4:AX14" si="35">AU4*AV4*AW4*IF(S4=0,0,1)</f>
        <v>0</v>
      </c>
      <c r="AY4" s="2370">
        <f ca="1">AR4/reliefs!$D$7*AX4*-1</f>
        <v>0</v>
      </c>
      <c r="AZ4" s="1002">
        <f t="shared" ref="AZ4:AZ14" ca="1" si="36">$AY$15/$BG$15*H4*AX4</f>
        <v>0</v>
      </c>
      <c r="BA4" s="2370"/>
      <c r="BB4" s="997"/>
      <c r="BC4" s="997"/>
      <c r="BD4" s="997"/>
      <c r="BE4" s="997"/>
      <c r="BG4" s="997">
        <f t="shared" ref="BG4:BG14" si="37">H4*AX4</f>
        <v>0</v>
      </c>
      <c r="BH4" s="997">
        <f t="shared" ref="BH4:BN4" si="38">BH3</f>
        <v>15000</v>
      </c>
      <c r="BI4" s="1001">
        <f t="shared" si="38"/>
        <v>0</v>
      </c>
      <c r="BJ4" s="997">
        <f t="shared" si="38"/>
        <v>5000000</v>
      </c>
      <c r="BK4" s="997">
        <f t="shared" si="38"/>
        <v>0.499</v>
      </c>
      <c r="BL4" s="997" t="b">
        <f t="shared" si="38"/>
        <v>1</v>
      </c>
      <c r="BM4" s="997" t="b">
        <f t="shared" si="38"/>
        <v>0</v>
      </c>
      <c r="BN4" s="997">
        <f t="shared" si="38"/>
        <v>0</v>
      </c>
      <c r="BO4" s="997">
        <f t="shared" ref="BO4:BO16" si="39">I4/IF(U4=TRUE,AH4,1)</f>
        <v>0</v>
      </c>
      <c r="BP4" s="997"/>
      <c r="BQ4" s="997"/>
      <c r="BR4" s="997">
        <f t="shared" si="11"/>
        <v>600</v>
      </c>
      <c r="BS4" s="997"/>
      <c r="BT4" s="997" t="b">
        <f t="shared" si="12"/>
        <v>0</v>
      </c>
      <c r="BU4" s="997" t="b">
        <f>BU3</f>
        <v>1</v>
      </c>
      <c r="BV4" s="997" t="b">
        <f t="shared" si="13"/>
        <v>0</v>
      </c>
      <c r="BW4" s="997" t="b">
        <f t="shared" ref="BW4:BW14" si="40">AND(BW3=TRUE,BV4=TRUE)</f>
        <v>0</v>
      </c>
      <c r="BX4" s="997" t="b">
        <f t="shared" ref="BX4:BX14" si="41">BL4+BM4+BT4+BU4+BV4+BW4=6</f>
        <v>0</v>
      </c>
      <c r="BY4" s="997">
        <f t="shared" ref="BY4:BY16" si="42">(BR4-BO4)</f>
        <v>600</v>
      </c>
      <c r="BZ4" s="997">
        <f t="shared" ref="BZ4:BZ16" si="43">AQ4</f>
        <v>366</v>
      </c>
      <c r="CA4" s="997">
        <f>H4</f>
        <v>0</v>
      </c>
      <c r="CB4" s="997">
        <f t="shared" ref="CB4:CB14" si="44">BY4/BZ4*CA4*BX4</f>
        <v>0</v>
      </c>
      <c r="CC4" s="997">
        <f>CB4</f>
        <v>0</v>
      </c>
      <c r="CD4" s="997">
        <f>CD3</f>
        <v>600</v>
      </c>
      <c r="CE4" s="1002" t="b">
        <f>CE3</f>
        <v>0</v>
      </c>
      <c r="CH4" s="1031">
        <f>data!B15</f>
        <v>45748</v>
      </c>
      <c r="CI4" s="997">
        <v>3</v>
      </c>
      <c r="CJ4" s="1003">
        <f>data!E15</f>
        <v>46112</v>
      </c>
      <c r="CK4" s="1002">
        <f t="shared" si="0"/>
        <v>365</v>
      </c>
      <c r="CL4" s="1032">
        <f>data!C55</f>
        <v>0.499</v>
      </c>
      <c r="CM4" s="1033">
        <f ca="1">nncalc1!$F$31*$CV$1</f>
        <v>0</v>
      </c>
      <c r="CN4" s="1033">
        <f ca="1">nccalc1!$F$31*$CV$1</f>
        <v>0</v>
      </c>
      <c r="CO4" s="1033">
        <f ca="1">bncalc1!$F$31*$CV$1</f>
        <v>0</v>
      </c>
      <c r="CP4" s="1033">
        <f ca="1">bccalc1!$F$31*$CV$1</f>
        <v>0</v>
      </c>
      <c r="CQ4" s="997">
        <f>data!E55</f>
        <v>2.1999999999999999E-2</v>
      </c>
      <c r="CS4" s="997">
        <f>data!F35</f>
        <v>5.600000000000005E-2</v>
      </c>
      <c r="CT4" s="997">
        <f>data!C35</f>
        <v>12000</v>
      </c>
      <c r="CU4" s="997">
        <f>data!D35</f>
        <v>15000</v>
      </c>
      <c r="CV4" s="1034">
        <f>data!E35</f>
        <v>51000</v>
      </c>
      <c r="CW4" s="997">
        <f>data!L55</f>
        <v>1.9999999999999983E-3</v>
      </c>
    </row>
    <row r="5" spans="1:111" x14ac:dyDescent="0.35">
      <c r="A5" s="997">
        <f t="shared" si="14"/>
        <v>3</v>
      </c>
      <c r="B5" s="1003" t="str">
        <f>IF(input_engine_o!$P$21&gt;A4,VLOOKUP(A5,input_engine_o!$P$23:$T$35,2,FALSE),"")</f>
        <v/>
      </c>
      <c r="C5" s="997" t="str">
        <f t="shared" si="15"/>
        <v/>
      </c>
      <c r="D5" s="1003">
        <f t="shared" si="16"/>
        <v>45382</v>
      </c>
      <c r="E5" s="1002" t="str">
        <f>IF(B5="",E4,VLOOKUP(B5,input_engine_o!$B$23:$F$35,5,FALSE))</f>
        <v>nn</v>
      </c>
      <c r="F5" s="1003" t="str">
        <f t="shared" si="17"/>
        <v/>
      </c>
      <c r="G5" s="1003" t="str">
        <f t="shared" si="18"/>
        <v/>
      </c>
      <c r="H5" s="1002">
        <f t="shared" si="19"/>
        <v>0</v>
      </c>
      <c r="I5" s="997">
        <f t="shared" si="1"/>
        <v>0</v>
      </c>
      <c r="J5" s="997">
        <f t="shared" si="2"/>
        <v>0</v>
      </c>
      <c r="K5" s="997">
        <f t="shared" si="3"/>
        <v>0</v>
      </c>
      <c r="L5" s="997" t="str">
        <f>IF(input_engine_o!$P$21&gt;A4,VLOOKUP(A5,input_engine_o!$P$23:$T$36,3,FALSE),"")</f>
        <v/>
      </c>
      <c r="M5" s="1002" t="str">
        <f t="shared" si="20"/>
        <v>up</v>
      </c>
      <c r="N5" s="1002" t="str">
        <f t="shared" ref="N5:N14" si="45">IF(B5="","",IF(M5="down",J5*L5/K5*H5,0))</f>
        <v/>
      </c>
      <c r="O5" s="1002" t="str">
        <f t="shared" si="4"/>
        <v/>
      </c>
      <c r="P5" s="1032">
        <f t="shared" si="21"/>
        <v>0.499</v>
      </c>
      <c r="Q5" s="997" t="str">
        <f t="shared" si="22"/>
        <v/>
      </c>
      <c r="R5" s="997">
        <f t="shared" si="23"/>
        <v>0</v>
      </c>
      <c r="S5" s="1006">
        <f>IF(input_engine_o!$P$21&gt;A4,VLOOKUP(A5,input_engine_o!$P$23:$T$35,4,FALSE),0)</f>
        <v>0</v>
      </c>
      <c r="T5" s="2442">
        <f t="shared" ca="1" si="24"/>
        <v>0</v>
      </c>
      <c r="U5" s="997" t="b">
        <f t="shared" si="25"/>
        <v>0</v>
      </c>
      <c r="V5" s="997" t="b">
        <f>advanced!$I$22="y"</f>
        <v>0</v>
      </c>
      <c r="W5" s="997">
        <f>data!$D$33</f>
        <v>15000</v>
      </c>
      <c r="X5" s="997" t="b">
        <f t="shared" si="26"/>
        <v>0</v>
      </c>
      <c r="Y5" s="997">
        <f t="shared" si="27"/>
        <v>0</v>
      </c>
      <c r="Z5" s="997">
        <f t="shared" si="5"/>
        <v>0</v>
      </c>
      <c r="AA5" s="1002">
        <f>data!$G$53</f>
        <v>75000</v>
      </c>
      <c r="AB5" s="1002">
        <f>data!$F$53</f>
        <v>0.02</v>
      </c>
      <c r="AC5" s="997">
        <f t="shared" si="28"/>
        <v>0</v>
      </c>
      <c r="AD5" s="997">
        <f>IF(B5="",0,(IF($AE$1=authorities!$I$1,0,IF(L5&gt;AE5,VLOOKUP($AD$1,authorities!A:H,C5+1,FALSE),0)))*L5/$CK$2*H5)</f>
        <v>0</v>
      </c>
      <c r="AE5" s="997">
        <f>IF($AE$1=authorities!$I$1,0,$AE$1)</f>
        <v>0</v>
      </c>
      <c r="AF5" s="1002">
        <f>IF(input_engine_o!$P$21&gt;A4,VLOOKUP(A5,input_engine_o!$P$23:$T$35,5,FALSE),0)</f>
        <v>0</v>
      </c>
      <c r="AG5" s="1002">
        <f>data!$C$43</f>
        <v>2900</v>
      </c>
      <c r="AH5" s="1007">
        <f t="shared" si="6"/>
        <v>1</v>
      </c>
      <c r="AI5" s="997">
        <f t="shared" si="29"/>
        <v>0</v>
      </c>
      <c r="AJ5" s="997" t="b">
        <f t="shared" si="7"/>
        <v>0</v>
      </c>
      <c r="AL5" s="997">
        <f t="shared" si="30"/>
        <v>0</v>
      </c>
      <c r="AO5" s="1002">
        <f t="shared" si="31"/>
        <v>0</v>
      </c>
      <c r="AP5" s="1002">
        <f>SUM($AO$3:AO5)</f>
        <v>1</v>
      </c>
      <c r="AQ5" s="1002">
        <f t="shared" si="32"/>
        <v>366</v>
      </c>
      <c r="AR5" s="997">
        <f t="shared" ca="1" si="33"/>
        <v>0</v>
      </c>
      <c r="AS5" s="997"/>
      <c r="AT5" s="997">
        <f t="shared" si="34"/>
        <v>0</v>
      </c>
      <c r="AU5" s="997" t="b">
        <f t="shared" si="8"/>
        <v>1</v>
      </c>
      <c r="AV5" s="997" t="b">
        <f t="shared" si="9"/>
        <v>0</v>
      </c>
      <c r="AW5" s="997" t="b">
        <f t="shared" si="10"/>
        <v>0</v>
      </c>
      <c r="AX5" s="997">
        <f t="shared" si="35"/>
        <v>0</v>
      </c>
      <c r="AY5" s="2370">
        <f ca="1">AR5/reliefs!$D$7*AX5*-1</f>
        <v>0</v>
      </c>
      <c r="AZ5" s="1002">
        <f t="shared" ca="1" si="36"/>
        <v>0</v>
      </c>
      <c r="BA5" s="2370"/>
      <c r="BB5" s="997"/>
      <c r="BC5" s="997"/>
      <c r="BD5" s="997"/>
      <c r="BE5" s="997"/>
      <c r="BG5" s="997">
        <f t="shared" si="37"/>
        <v>0</v>
      </c>
      <c r="BH5" s="997">
        <f t="shared" ref="BH5:BH40" si="46">BH4</f>
        <v>15000</v>
      </c>
      <c r="BI5" s="1001">
        <f t="shared" ref="BI5:BI40" si="47">BI4</f>
        <v>0</v>
      </c>
      <c r="BJ5" s="997">
        <f t="shared" ref="BJ5:BJ40" si="48">BJ4</f>
        <v>5000000</v>
      </c>
      <c r="BK5" s="997">
        <f t="shared" ref="BK5:BK40" si="49">BK4</f>
        <v>0.499</v>
      </c>
      <c r="BL5" s="997" t="b">
        <f t="shared" ref="BL5:BL40" si="50">BL4</f>
        <v>1</v>
      </c>
      <c r="BM5" s="997" t="b">
        <f t="shared" ref="BM5:BN40" si="51">BM4</f>
        <v>0</v>
      </c>
      <c r="BN5" s="997">
        <f t="shared" ref="BN5:BN27" si="52">BN4</f>
        <v>0</v>
      </c>
      <c r="BO5" s="997">
        <f t="shared" si="39"/>
        <v>0</v>
      </c>
      <c r="BP5" s="997"/>
      <c r="BQ5" s="997"/>
      <c r="BR5" s="997">
        <f t="shared" si="11"/>
        <v>600</v>
      </c>
      <c r="BS5" s="997"/>
      <c r="BT5" s="997" t="b">
        <f t="shared" si="12"/>
        <v>0</v>
      </c>
      <c r="BU5" s="997" t="b">
        <f t="shared" ref="BU5:BU14" si="53">BU4</f>
        <v>1</v>
      </c>
      <c r="BV5" s="997" t="b">
        <f t="shared" si="13"/>
        <v>0</v>
      </c>
      <c r="BW5" s="997" t="b">
        <f t="shared" si="40"/>
        <v>0</v>
      </c>
      <c r="BX5" s="997" t="b">
        <f t="shared" si="41"/>
        <v>0</v>
      </c>
      <c r="BY5" s="997">
        <f t="shared" si="42"/>
        <v>600</v>
      </c>
      <c r="BZ5" s="997">
        <f t="shared" si="43"/>
        <v>366</v>
      </c>
      <c r="CA5" s="997">
        <f t="shared" ref="CA5:CA14" si="54">H5</f>
        <v>0</v>
      </c>
      <c r="CB5" s="997">
        <f t="shared" si="44"/>
        <v>0</v>
      </c>
      <c r="CC5" s="997">
        <f t="shared" ref="CC5:CC27" si="55">CB5</f>
        <v>0</v>
      </c>
      <c r="CD5" s="997">
        <f t="shared" ref="CD5:CD14" si="56">CD4</f>
        <v>600</v>
      </c>
      <c r="CE5" s="1002" t="b">
        <f t="shared" ref="CE5:CE41" si="57">CE4</f>
        <v>0</v>
      </c>
      <c r="CH5" s="1031">
        <f>data!B16</f>
        <v>46113</v>
      </c>
      <c r="CI5" s="997">
        <v>4</v>
      </c>
      <c r="CJ5" s="1003">
        <f>data!E16</f>
        <v>46477</v>
      </c>
      <c r="CK5" s="1002">
        <f t="shared" si="0"/>
        <v>365</v>
      </c>
      <c r="CL5" s="1032">
        <f>data!C56</f>
        <v>0.51900000000000002</v>
      </c>
      <c r="CM5" s="1033">
        <f ca="1">nncalc1!$G$31*$CV$1</f>
        <v>0</v>
      </c>
      <c r="CN5" s="1033">
        <f ca="1">nccalc1!$G$31*$CV$1</f>
        <v>0</v>
      </c>
      <c r="CO5" s="1033">
        <f ca="1">bncalc1!$G$31*$CV$1</f>
        <v>0</v>
      </c>
      <c r="CP5" s="1033">
        <f ca="1">bccalc1!$G$31*$CV$1</f>
        <v>0</v>
      </c>
      <c r="CQ5" s="997">
        <f>data!E56</f>
        <v>8.0000000000000002E-3</v>
      </c>
      <c r="CS5" s="997">
        <f>data!F36</f>
        <v>5.600000000000005E-2</v>
      </c>
      <c r="CT5" s="997">
        <f>data!C36</f>
        <v>12000</v>
      </c>
      <c r="CU5" s="997">
        <f>data!D36</f>
        <v>15000</v>
      </c>
      <c r="CV5" s="1034">
        <f>data!E36</f>
        <v>51000</v>
      </c>
      <c r="CW5" s="997">
        <f>data!L56</f>
        <v>8.0000000000000002E-3</v>
      </c>
    </row>
    <row r="6" spans="1:111" x14ac:dyDescent="0.35">
      <c r="A6" s="997">
        <f t="shared" si="14"/>
        <v>4</v>
      </c>
      <c r="B6" s="1003" t="str">
        <f>IF(input_engine_o!$P$21&gt;A5,VLOOKUP(A6,input_engine_o!$P$23:$T$35,2,FALSE),"")</f>
        <v/>
      </c>
      <c r="C6" s="997" t="str">
        <f t="shared" si="15"/>
        <v/>
      </c>
      <c r="D6" s="1003">
        <f t="shared" si="16"/>
        <v>45382</v>
      </c>
      <c r="E6" s="1002" t="str">
        <f>IF(B6="",E5,VLOOKUP(B6,input_engine_o!$B$23:$F$35,5,FALSE))</f>
        <v>nn</v>
      </c>
      <c r="F6" s="1003" t="str">
        <f t="shared" si="17"/>
        <v/>
      </c>
      <c r="G6" s="1003" t="str">
        <f t="shared" si="18"/>
        <v/>
      </c>
      <c r="H6" s="1002">
        <f t="shared" si="19"/>
        <v>0</v>
      </c>
      <c r="I6" s="997">
        <f t="shared" si="1"/>
        <v>0</v>
      </c>
      <c r="J6" s="997">
        <f t="shared" si="2"/>
        <v>0</v>
      </c>
      <c r="K6" s="997">
        <f t="shared" si="3"/>
        <v>0</v>
      </c>
      <c r="L6" s="997" t="str">
        <f>IF(input_engine_o!$P$21&gt;A5,VLOOKUP(A6,input_engine_o!$P$23:$T$36,3,FALSE),"")</f>
        <v/>
      </c>
      <c r="M6" s="1002" t="str">
        <f t="shared" si="20"/>
        <v>up</v>
      </c>
      <c r="N6" s="1002" t="str">
        <f t="shared" si="45"/>
        <v/>
      </c>
      <c r="O6" s="1002" t="str">
        <f t="shared" si="4"/>
        <v/>
      </c>
      <c r="P6" s="1032">
        <f t="shared" si="21"/>
        <v>0.499</v>
      </c>
      <c r="Q6" s="997" t="str">
        <f t="shared" si="22"/>
        <v/>
      </c>
      <c r="R6" s="997">
        <f t="shared" si="23"/>
        <v>0</v>
      </c>
      <c r="S6" s="1006">
        <f>IF(input_engine_o!$P$21&gt;A5,VLOOKUP(A6,input_engine_o!$P$23:$T$35,4,FALSE),0)</f>
        <v>0</v>
      </c>
      <c r="T6" s="2442">
        <f t="shared" ca="1" si="24"/>
        <v>0</v>
      </c>
      <c r="U6" s="997" t="b">
        <f t="shared" si="25"/>
        <v>0</v>
      </c>
      <c r="V6" s="997" t="b">
        <f>advanced!$I$22="y"</f>
        <v>0</v>
      </c>
      <c r="W6" s="997">
        <f>data!$D$33</f>
        <v>15000</v>
      </c>
      <c r="X6" s="997" t="b">
        <f t="shared" si="26"/>
        <v>0</v>
      </c>
      <c r="Y6" s="997">
        <f t="shared" si="27"/>
        <v>0</v>
      </c>
      <c r="Z6" s="997">
        <f t="shared" si="5"/>
        <v>0</v>
      </c>
      <c r="AA6" s="1002">
        <f>data!$G$53</f>
        <v>75000</v>
      </c>
      <c r="AB6" s="1002">
        <f>data!$F$53</f>
        <v>0.02</v>
      </c>
      <c r="AC6" s="997">
        <f t="shared" si="28"/>
        <v>0</v>
      </c>
      <c r="AD6" s="997">
        <f>IF(B6="",0,(IF($AE$1=authorities!$I$1,0,IF(L6&gt;AE6,VLOOKUP($AD$1,authorities!A:H,C6+1,FALSE),0)))*L6/$CK$2*H6)</f>
        <v>0</v>
      </c>
      <c r="AE6" s="997">
        <f>IF($AE$1=authorities!$I$1,0,$AE$1)</f>
        <v>0</v>
      </c>
      <c r="AF6" s="1002">
        <f>IF(input_engine_o!$P$21&gt;A5,VLOOKUP(A6,input_engine_o!$P$23:$T$35,5,FALSE),0)</f>
        <v>0</v>
      </c>
      <c r="AG6" s="1002">
        <f>data!$C$43</f>
        <v>2900</v>
      </c>
      <c r="AH6" s="1007">
        <f t="shared" si="6"/>
        <v>1</v>
      </c>
      <c r="AI6" s="997">
        <f t="shared" si="29"/>
        <v>0</v>
      </c>
      <c r="AJ6" s="997" t="b">
        <f t="shared" si="7"/>
        <v>0</v>
      </c>
      <c r="AL6" s="997">
        <f t="shared" si="30"/>
        <v>0</v>
      </c>
      <c r="AO6" s="1002">
        <f t="shared" si="31"/>
        <v>0</v>
      </c>
      <c r="AP6" s="1002">
        <f>SUM($AO$3:AO6)</f>
        <v>1</v>
      </c>
      <c r="AQ6" s="1002">
        <f t="shared" si="32"/>
        <v>366</v>
      </c>
      <c r="AR6" s="997">
        <f t="shared" ca="1" si="33"/>
        <v>0</v>
      </c>
      <c r="AS6" s="997"/>
      <c r="AT6" s="997">
        <f t="shared" si="34"/>
        <v>0</v>
      </c>
      <c r="AU6" s="997" t="b">
        <f t="shared" si="8"/>
        <v>1</v>
      </c>
      <c r="AV6" s="997" t="b">
        <f t="shared" si="9"/>
        <v>0</v>
      </c>
      <c r="AW6" s="997" t="b">
        <f t="shared" si="10"/>
        <v>0</v>
      </c>
      <c r="AX6" s="997">
        <f t="shared" si="35"/>
        <v>0</v>
      </c>
      <c r="AY6" s="2370">
        <f ca="1">AR6/reliefs!$D$7*AX6*-1</f>
        <v>0</v>
      </c>
      <c r="AZ6" s="1002">
        <f t="shared" ca="1" si="36"/>
        <v>0</v>
      </c>
      <c r="BA6" s="2370"/>
      <c r="BB6" s="997"/>
      <c r="BC6" s="997"/>
      <c r="BD6" s="997"/>
      <c r="BE6" s="997"/>
      <c r="BG6" s="997">
        <f t="shared" si="37"/>
        <v>0</v>
      </c>
      <c r="BH6" s="997">
        <f t="shared" si="46"/>
        <v>15000</v>
      </c>
      <c r="BI6" s="1001">
        <f t="shared" si="47"/>
        <v>0</v>
      </c>
      <c r="BJ6" s="997">
        <f t="shared" si="48"/>
        <v>5000000</v>
      </c>
      <c r="BK6" s="997">
        <f t="shared" si="49"/>
        <v>0.499</v>
      </c>
      <c r="BL6" s="997" t="b">
        <f t="shared" si="50"/>
        <v>1</v>
      </c>
      <c r="BM6" s="997" t="b">
        <f t="shared" si="51"/>
        <v>0</v>
      </c>
      <c r="BN6" s="997">
        <f t="shared" si="52"/>
        <v>0</v>
      </c>
      <c r="BO6" s="997">
        <f t="shared" si="39"/>
        <v>0</v>
      </c>
      <c r="BP6" s="997"/>
      <c r="BQ6" s="997"/>
      <c r="BR6" s="997">
        <f t="shared" si="11"/>
        <v>600</v>
      </c>
      <c r="BS6" s="997"/>
      <c r="BT6" s="997" t="b">
        <f t="shared" si="12"/>
        <v>0</v>
      </c>
      <c r="BU6" s="997" t="b">
        <f t="shared" si="53"/>
        <v>1</v>
      </c>
      <c r="BV6" s="997" t="b">
        <f t="shared" si="13"/>
        <v>0</v>
      </c>
      <c r="BW6" s="997" t="b">
        <f t="shared" si="40"/>
        <v>0</v>
      </c>
      <c r="BX6" s="997" t="b">
        <f t="shared" si="41"/>
        <v>0</v>
      </c>
      <c r="BY6" s="997">
        <f t="shared" si="42"/>
        <v>600</v>
      </c>
      <c r="BZ6" s="997">
        <f t="shared" si="43"/>
        <v>366</v>
      </c>
      <c r="CA6" s="997">
        <f t="shared" si="54"/>
        <v>0</v>
      </c>
      <c r="CB6" s="997">
        <f t="shared" si="44"/>
        <v>0</v>
      </c>
      <c r="CC6" s="997">
        <f t="shared" si="55"/>
        <v>0</v>
      </c>
      <c r="CD6" s="997">
        <f t="shared" si="56"/>
        <v>600</v>
      </c>
      <c r="CE6" s="1002" t="b">
        <f t="shared" si="57"/>
        <v>0</v>
      </c>
      <c r="CH6" s="1031">
        <f>data!B17</f>
        <v>46478</v>
      </c>
      <c r="CI6" s="997">
        <v>5</v>
      </c>
      <c r="CJ6" s="1003">
        <f>data!E17</f>
        <v>46843</v>
      </c>
      <c r="CK6" s="1002">
        <f t="shared" si="0"/>
        <v>366</v>
      </c>
      <c r="CL6" s="1032">
        <f>data!C57</f>
        <v>0.54</v>
      </c>
      <c r="CM6" s="1033">
        <f ca="1">nncalc1!$H$31*$CV$1</f>
        <v>0</v>
      </c>
      <c r="CN6" s="1033">
        <f ca="1">nccalc1!$H$31*$CV$1</f>
        <v>0</v>
      </c>
      <c r="CO6" s="1033">
        <f ca="1">bncalc1!$H$31*$CV$1</f>
        <v>0</v>
      </c>
      <c r="CP6" s="1033">
        <f ca="1">bccalc1!$H$31*$CV$1</f>
        <v>0</v>
      </c>
      <c r="CQ6" s="997">
        <f>data!E57</f>
        <v>8.0000000000000002E-3</v>
      </c>
      <c r="CS6" s="997">
        <f>data!F37</f>
        <v>5.600000000000005E-2</v>
      </c>
      <c r="CT6" s="997">
        <f>data!C37</f>
        <v>12000</v>
      </c>
      <c r="CU6" s="997">
        <f>data!D37</f>
        <v>15000</v>
      </c>
      <c r="CV6" s="1034">
        <f>data!E37</f>
        <v>51000</v>
      </c>
      <c r="CW6" s="997">
        <f>data!L57</f>
        <v>8.0000000000000002E-3</v>
      </c>
    </row>
    <row r="7" spans="1:111" x14ac:dyDescent="0.35">
      <c r="A7" s="997">
        <f t="shared" si="14"/>
        <v>5</v>
      </c>
      <c r="B7" s="1003" t="str">
        <f>IF(input_engine_o!$P$21&gt;A6,VLOOKUP(A7,input_engine_o!$P$23:$T$35,2,FALSE),"")</f>
        <v/>
      </c>
      <c r="C7" s="997" t="str">
        <f t="shared" si="15"/>
        <v/>
      </c>
      <c r="D7" s="1003">
        <f t="shared" si="16"/>
        <v>45382</v>
      </c>
      <c r="E7" s="1002" t="str">
        <f>IF(B7="",E6,VLOOKUP(B7,input_engine_o!$B$23:$F$35,5,FALSE))</f>
        <v>nn</v>
      </c>
      <c r="F7" s="1003" t="str">
        <f t="shared" si="17"/>
        <v/>
      </c>
      <c r="G7" s="1003" t="str">
        <f t="shared" si="18"/>
        <v/>
      </c>
      <c r="H7" s="1002">
        <f t="shared" si="19"/>
        <v>0</v>
      </c>
      <c r="I7" s="997">
        <f t="shared" si="1"/>
        <v>0</v>
      </c>
      <c r="J7" s="997">
        <f t="shared" si="2"/>
        <v>0</v>
      </c>
      <c r="K7" s="997">
        <f t="shared" si="3"/>
        <v>0</v>
      </c>
      <c r="L7" s="997" t="str">
        <f>IF(input_engine_o!$P$21&gt;A6,VLOOKUP(A7,input_engine_o!$P$23:$T$36,3,FALSE),"")</f>
        <v/>
      </c>
      <c r="M7" s="1002" t="str">
        <f t="shared" si="20"/>
        <v>up</v>
      </c>
      <c r="N7" s="1002" t="str">
        <f t="shared" si="45"/>
        <v/>
      </c>
      <c r="O7" s="1002" t="str">
        <f t="shared" si="4"/>
        <v/>
      </c>
      <c r="P7" s="1032">
        <f t="shared" si="21"/>
        <v>0.499</v>
      </c>
      <c r="Q7" s="997" t="str">
        <f t="shared" si="22"/>
        <v/>
      </c>
      <c r="R7" s="997">
        <f t="shared" si="23"/>
        <v>0</v>
      </c>
      <c r="S7" s="1006">
        <f>IF(input_engine_o!$P$21&gt;A6,VLOOKUP(A7,input_engine_o!$P$23:$T$35,4,FALSE),0)</f>
        <v>0</v>
      </c>
      <c r="T7" s="2442">
        <f t="shared" ca="1" si="24"/>
        <v>0</v>
      </c>
      <c r="U7" s="997" t="b">
        <f t="shared" si="25"/>
        <v>0</v>
      </c>
      <c r="V7" s="997" t="b">
        <f>advanced!$I$22="y"</f>
        <v>0</v>
      </c>
      <c r="W7" s="997">
        <f>data!$D$33</f>
        <v>15000</v>
      </c>
      <c r="X7" s="997" t="b">
        <f t="shared" si="26"/>
        <v>0</v>
      </c>
      <c r="Y7" s="997">
        <f t="shared" si="27"/>
        <v>0</v>
      </c>
      <c r="Z7" s="997">
        <f t="shared" si="5"/>
        <v>0</v>
      </c>
      <c r="AA7" s="1002">
        <f>data!$G$53</f>
        <v>75000</v>
      </c>
      <c r="AB7" s="1002">
        <f>data!$F$53</f>
        <v>0.02</v>
      </c>
      <c r="AC7" s="997">
        <f t="shared" si="28"/>
        <v>0</v>
      </c>
      <c r="AD7" s="997">
        <f>IF(B7="",0,(IF($AE$1=authorities!$I$1,0,IF(L7&gt;AE7,VLOOKUP($AD$1,authorities!A:H,C7+1,FALSE),0)))*L7/$CK$2*H7)</f>
        <v>0</v>
      </c>
      <c r="AE7" s="997">
        <f>IF($AE$1=authorities!$I$1,0,$AE$1)</f>
        <v>0</v>
      </c>
      <c r="AF7" s="1002">
        <f>IF(input_engine_o!$P$21&gt;A6,VLOOKUP(A7,input_engine_o!$P$23:$T$35,5,FALSE),0)</f>
        <v>0</v>
      </c>
      <c r="AG7" s="1002">
        <f>data!$C$43</f>
        <v>2900</v>
      </c>
      <c r="AH7" s="1007">
        <f t="shared" si="6"/>
        <v>1</v>
      </c>
      <c r="AI7" s="997">
        <f t="shared" si="29"/>
        <v>0</v>
      </c>
      <c r="AJ7" s="997" t="b">
        <f t="shared" si="7"/>
        <v>0</v>
      </c>
      <c r="AL7" s="997">
        <f t="shared" si="30"/>
        <v>0</v>
      </c>
      <c r="AO7" s="1002">
        <f t="shared" si="31"/>
        <v>0</v>
      </c>
      <c r="AP7" s="1002">
        <f>SUM($AO$3:AO7)</f>
        <v>1</v>
      </c>
      <c r="AQ7" s="1002">
        <f t="shared" si="32"/>
        <v>366</v>
      </c>
      <c r="AR7" s="997">
        <f t="shared" ca="1" si="33"/>
        <v>0</v>
      </c>
      <c r="AS7" s="997"/>
      <c r="AT7" s="997">
        <f t="shared" si="34"/>
        <v>0</v>
      </c>
      <c r="AU7" s="997" t="b">
        <f t="shared" si="8"/>
        <v>1</v>
      </c>
      <c r="AV7" s="997" t="b">
        <f t="shared" si="9"/>
        <v>0</v>
      </c>
      <c r="AW7" s="997" t="b">
        <f t="shared" si="10"/>
        <v>0</v>
      </c>
      <c r="AX7" s="997">
        <f t="shared" si="35"/>
        <v>0</v>
      </c>
      <c r="AY7" s="2370">
        <f ca="1">AR7/reliefs!$D$7*AX7*-1</f>
        <v>0</v>
      </c>
      <c r="AZ7" s="1002">
        <f t="shared" ca="1" si="36"/>
        <v>0</v>
      </c>
      <c r="BA7" s="2370"/>
      <c r="BB7" s="997"/>
      <c r="BC7" s="997"/>
      <c r="BD7" s="997"/>
      <c r="BE7" s="997"/>
      <c r="BG7" s="997">
        <f t="shared" si="37"/>
        <v>0</v>
      </c>
      <c r="BH7" s="997">
        <f t="shared" si="46"/>
        <v>15000</v>
      </c>
      <c r="BI7" s="1001">
        <f t="shared" si="47"/>
        <v>0</v>
      </c>
      <c r="BJ7" s="997">
        <f t="shared" si="48"/>
        <v>5000000</v>
      </c>
      <c r="BK7" s="997">
        <f t="shared" si="49"/>
        <v>0.499</v>
      </c>
      <c r="BL7" s="997" t="b">
        <f t="shared" si="50"/>
        <v>1</v>
      </c>
      <c r="BM7" s="997" t="b">
        <f t="shared" si="51"/>
        <v>0</v>
      </c>
      <c r="BN7" s="997">
        <f t="shared" si="52"/>
        <v>0</v>
      </c>
      <c r="BO7" s="997">
        <f t="shared" si="39"/>
        <v>0</v>
      </c>
      <c r="BP7" s="997"/>
      <c r="BQ7" s="997"/>
      <c r="BR7" s="997">
        <f t="shared" si="11"/>
        <v>600</v>
      </c>
      <c r="BS7" s="997"/>
      <c r="BT7" s="997" t="b">
        <f t="shared" si="12"/>
        <v>0</v>
      </c>
      <c r="BU7" s="997" t="b">
        <f t="shared" si="53"/>
        <v>1</v>
      </c>
      <c r="BV7" s="997" t="b">
        <f t="shared" si="13"/>
        <v>0</v>
      </c>
      <c r="BW7" s="997" t="b">
        <f t="shared" si="40"/>
        <v>0</v>
      </c>
      <c r="BX7" s="997" t="b">
        <f t="shared" si="41"/>
        <v>0</v>
      </c>
      <c r="BY7" s="997">
        <f t="shared" si="42"/>
        <v>600</v>
      </c>
      <c r="BZ7" s="997">
        <f t="shared" si="43"/>
        <v>366</v>
      </c>
      <c r="CA7" s="997">
        <f t="shared" si="54"/>
        <v>0</v>
      </c>
      <c r="CB7" s="997">
        <f t="shared" si="44"/>
        <v>0</v>
      </c>
      <c r="CC7" s="997">
        <f t="shared" si="55"/>
        <v>0</v>
      </c>
      <c r="CD7" s="997">
        <f t="shared" si="56"/>
        <v>600</v>
      </c>
      <c r="CE7" s="1002" t="b">
        <f t="shared" si="57"/>
        <v>0</v>
      </c>
      <c r="CH7" s="1031">
        <f>data!B18</f>
        <v>46844</v>
      </c>
      <c r="CI7" s="997">
        <v>6</v>
      </c>
      <c r="CJ7" s="1003">
        <f>data!E18</f>
        <v>47208</v>
      </c>
      <c r="CK7" s="1002">
        <f t="shared" si="0"/>
        <v>365</v>
      </c>
      <c r="CL7" s="1032">
        <f>data!C58</f>
        <v>0.56200000000000006</v>
      </c>
      <c r="CM7" s="1033">
        <f ca="1">nncalc1!$I$31*$CV$1</f>
        <v>0</v>
      </c>
      <c r="CN7" s="1033">
        <f ca="1">nccalc1!$I$31*$CV$1</f>
        <v>0</v>
      </c>
      <c r="CO7" s="1033">
        <f ca="1">bncalc1!$I$31*$CV$1</f>
        <v>0</v>
      </c>
      <c r="CP7" s="1033">
        <f ca="1">bccalc1!$I$31*$CV$1</f>
        <v>0</v>
      </c>
      <c r="CQ7" s="997">
        <f>data!E58</f>
        <v>1.2E-2</v>
      </c>
      <c r="CS7" s="997">
        <f>data!F38</f>
        <v>5.600000000000005E-2</v>
      </c>
      <c r="CT7" s="997">
        <f>data!C38</f>
        <v>12000</v>
      </c>
      <c r="CU7" s="997">
        <f>data!D38</f>
        <v>15000</v>
      </c>
      <c r="CV7" s="1034">
        <f>data!E38</f>
        <v>51000</v>
      </c>
      <c r="CW7" s="997">
        <f>data!L58</f>
        <v>1.2E-2</v>
      </c>
    </row>
    <row r="8" spans="1:111" x14ac:dyDescent="0.35">
      <c r="A8" s="997">
        <f t="shared" si="14"/>
        <v>6</v>
      </c>
      <c r="B8" s="1003" t="str">
        <f>IF(input_engine_o!$P$21&gt;A7,VLOOKUP(A8,input_engine_o!$P$23:$T$35,2,FALSE),"")</f>
        <v/>
      </c>
      <c r="C8" s="997" t="str">
        <f t="shared" si="15"/>
        <v/>
      </c>
      <c r="D8" s="1003">
        <f t="shared" si="16"/>
        <v>45382</v>
      </c>
      <c r="E8" s="1002" t="str">
        <f>IF(B8="",E7,VLOOKUP(B8,input_engine_o!$B$23:$F$35,5,FALSE))</f>
        <v>nn</v>
      </c>
      <c r="F8" s="1003" t="str">
        <f t="shared" si="17"/>
        <v/>
      </c>
      <c r="G8" s="1003" t="str">
        <f t="shared" si="18"/>
        <v/>
      </c>
      <c r="H8" s="1002">
        <f t="shared" si="19"/>
        <v>0</v>
      </c>
      <c r="I8" s="997">
        <f t="shared" si="1"/>
        <v>0</v>
      </c>
      <c r="J8" s="997">
        <f t="shared" si="2"/>
        <v>0</v>
      </c>
      <c r="K8" s="997">
        <f t="shared" si="3"/>
        <v>0</v>
      </c>
      <c r="L8" s="997" t="str">
        <f>IF(input_engine_o!$P$21&gt;A7,VLOOKUP(A8,input_engine_o!$P$23:$T$36,3,FALSE),"")</f>
        <v/>
      </c>
      <c r="M8" s="1002" t="str">
        <f t="shared" si="20"/>
        <v>up</v>
      </c>
      <c r="N8" s="1002" t="str">
        <f t="shared" si="45"/>
        <v/>
      </c>
      <c r="O8" s="1002" t="str">
        <f t="shared" si="4"/>
        <v/>
      </c>
      <c r="P8" s="1032">
        <f t="shared" si="21"/>
        <v>0.499</v>
      </c>
      <c r="Q8" s="997" t="str">
        <f t="shared" si="22"/>
        <v/>
      </c>
      <c r="R8" s="997">
        <f t="shared" si="23"/>
        <v>0</v>
      </c>
      <c r="S8" s="1006">
        <f>IF(input_engine_o!$P$21&gt;A7,VLOOKUP(A8,input_engine_o!$P$23:$T$35,4,FALSE),0)</f>
        <v>0</v>
      </c>
      <c r="T8" s="2442">
        <f t="shared" ca="1" si="24"/>
        <v>0</v>
      </c>
      <c r="U8" s="997" t="b">
        <f t="shared" si="25"/>
        <v>0</v>
      </c>
      <c r="V8" s="997" t="b">
        <f>advanced!$I$22="y"</f>
        <v>0</v>
      </c>
      <c r="W8" s="997">
        <f>data!$D$33</f>
        <v>15000</v>
      </c>
      <c r="X8" s="997" t="b">
        <f t="shared" si="26"/>
        <v>0</v>
      </c>
      <c r="Y8" s="997">
        <f t="shared" si="27"/>
        <v>0</v>
      </c>
      <c r="Z8" s="997">
        <f t="shared" si="5"/>
        <v>0</v>
      </c>
      <c r="AA8" s="1002">
        <f>data!$G$53</f>
        <v>75000</v>
      </c>
      <c r="AB8" s="1002">
        <f>data!$F$53</f>
        <v>0.02</v>
      </c>
      <c r="AC8" s="997">
        <f t="shared" si="28"/>
        <v>0</v>
      </c>
      <c r="AD8" s="997">
        <f>IF(B8="",0,(IF($AE$1=authorities!$I$1,0,IF(L8&gt;AE8,VLOOKUP($AD$1,authorities!A:H,C8+1,FALSE),0)))*L8/$CK$2*H8)</f>
        <v>0</v>
      </c>
      <c r="AE8" s="997">
        <f>IF($AE$1=authorities!$I$1,0,$AE$1)</f>
        <v>0</v>
      </c>
      <c r="AF8" s="1002">
        <f>IF(input_engine_o!$P$21&gt;A7,VLOOKUP(A8,input_engine_o!$P$23:$T$35,5,FALSE),0)</f>
        <v>0</v>
      </c>
      <c r="AG8" s="1002">
        <f>data!$C$43</f>
        <v>2900</v>
      </c>
      <c r="AH8" s="1007">
        <f t="shared" si="6"/>
        <v>1</v>
      </c>
      <c r="AI8" s="997">
        <f t="shared" si="29"/>
        <v>0</v>
      </c>
      <c r="AJ8" s="997" t="b">
        <f t="shared" si="7"/>
        <v>0</v>
      </c>
      <c r="AL8" s="997">
        <f t="shared" si="30"/>
        <v>0</v>
      </c>
      <c r="AO8" s="1002">
        <f t="shared" si="31"/>
        <v>0</v>
      </c>
      <c r="AP8" s="1002">
        <f>SUM($AO$3:AO8)</f>
        <v>1</v>
      </c>
      <c r="AQ8" s="1002">
        <f t="shared" si="32"/>
        <v>366</v>
      </c>
      <c r="AR8" s="997">
        <f t="shared" ca="1" si="33"/>
        <v>0</v>
      </c>
      <c r="AS8" s="997"/>
      <c r="AT8" s="997">
        <f t="shared" si="34"/>
        <v>0</v>
      </c>
      <c r="AU8" s="997" t="b">
        <f t="shared" si="8"/>
        <v>1</v>
      </c>
      <c r="AV8" s="997" t="b">
        <f t="shared" si="9"/>
        <v>0</v>
      </c>
      <c r="AW8" s="997" t="b">
        <f t="shared" si="10"/>
        <v>0</v>
      </c>
      <c r="AX8" s="997">
        <f t="shared" si="35"/>
        <v>0</v>
      </c>
      <c r="AY8" s="2370">
        <f ca="1">AR8/reliefs!$D$7*AX8*-1</f>
        <v>0</v>
      </c>
      <c r="AZ8" s="1002">
        <f t="shared" ca="1" si="36"/>
        <v>0</v>
      </c>
      <c r="BA8" s="2370"/>
      <c r="BB8" s="997"/>
      <c r="BC8" s="997"/>
      <c r="BD8" s="997"/>
      <c r="BE8" s="997"/>
      <c r="BG8" s="997">
        <f t="shared" si="37"/>
        <v>0</v>
      </c>
      <c r="BH8" s="997">
        <f t="shared" si="46"/>
        <v>15000</v>
      </c>
      <c r="BI8" s="1001">
        <f t="shared" si="47"/>
        <v>0</v>
      </c>
      <c r="BJ8" s="997">
        <f t="shared" si="48"/>
        <v>5000000</v>
      </c>
      <c r="BK8" s="997">
        <f t="shared" si="49"/>
        <v>0.499</v>
      </c>
      <c r="BL8" s="997" t="b">
        <f t="shared" si="50"/>
        <v>1</v>
      </c>
      <c r="BM8" s="997" t="b">
        <f t="shared" si="51"/>
        <v>0</v>
      </c>
      <c r="BN8" s="997">
        <f t="shared" si="52"/>
        <v>0</v>
      </c>
      <c r="BO8" s="997">
        <f t="shared" si="39"/>
        <v>0</v>
      </c>
      <c r="BP8" s="997"/>
      <c r="BQ8" s="997"/>
      <c r="BR8" s="997">
        <f t="shared" si="11"/>
        <v>600</v>
      </c>
      <c r="BS8" s="997"/>
      <c r="BT8" s="997" t="b">
        <f t="shared" si="12"/>
        <v>0</v>
      </c>
      <c r="BU8" s="997" t="b">
        <f t="shared" si="53"/>
        <v>1</v>
      </c>
      <c r="BV8" s="997" t="b">
        <f t="shared" si="13"/>
        <v>0</v>
      </c>
      <c r="BW8" s="997" t="b">
        <f t="shared" si="40"/>
        <v>0</v>
      </c>
      <c r="BX8" s="997" t="b">
        <f t="shared" si="41"/>
        <v>0</v>
      </c>
      <c r="BY8" s="997">
        <f t="shared" si="42"/>
        <v>600</v>
      </c>
      <c r="BZ8" s="997">
        <f t="shared" si="43"/>
        <v>366</v>
      </c>
      <c r="CA8" s="997">
        <f t="shared" si="54"/>
        <v>0</v>
      </c>
      <c r="CB8" s="997">
        <f t="shared" si="44"/>
        <v>0</v>
      </c>
      <c r="CC8" s="997">
        <f t="shared" si="55"/>
        <v>0</v>
      </c>
      <c r="CD8" s="997">
        <f t="shared" si="56"/>
        <v>600</v>
      </c>
      <c r="CE8" s="1002" t="b">
        <f t="shared" si="57"/>
        <v>0</v>
      </c>
      <c r="CH8" s="1031"/>
      <c r="CJ8" s="1003"/>
      <c r="CK8" s="1002"/>
      <c r="CM8" s="1033"/>
      <c r="CN8" s="1033"/>
      <c r="CO8" s="1033"/>
      <c r="CP8" s="1033"/>
      <c r="CV8" s="1034"/>
    </row>
    <row r="9" spans="1:111" x14ac:dyDescent="0.35">
      <c r="A9" s="997">
        <f t="shared" si="14"/>
        <v>7</v>
      </c>
      <c r="B9" s="1003" t="str">
        <f>IF(input_engine_o!$P$21&gt;A8,VLOOKUP(A9,input_engine_o!$P$23:$T$35,2,FALSE),"")</f>
        <v/>
      </c>
      <c r="C9" s="997" t="str">
        <f t="shared" si="15"/>
        <v/>
      </c>
      <c r="D9" s="1003">
        <f t="shared" si="16"/>
        <v>45382</v>
      </c>
      <c r="E9" s="1002" t="str">
        <f>IF(B9="",E8,VLOOKUP(B9,input_engine_o!$B$23:$F$35,5,FALSE))</f>
        <v>nn</v>
      </c>
      <c r="F9" s="1003" t="str">
        <f t="shared" si="17"/>
        <v/>
      </c>
      <c r="G9" s="1003" t="str">
        <f t="shared" si="18"/>
        <v/>
      </c>
      <c r="H9" s="1002">
        <f t="shared" si="19"/>
        <v>0</v>
      </c>
      <c r="I9" s="997">
        <f t="shared" si="1"/>
        <v>0</v>
      </c>
      <c r="J9" s="997">
        <f t="shared" si="2"/>
        <v>0</v>
      </c>
      <c r="K9" s="997">
        <f t="shared" si="3"/>
        <v>0</v>
      </c>
      <c r="L9" s="997" t="str">
        <f>IF(input_engine_o!$P$21&gt;A8,VLOOKUP(A9,input_engine_o!$P$23:$T$36,3,FALSE),"")</f>
        <v/>
      </c>
      <c r="M9" s="1002" t="str">
        <f t="shared" si="20"/>
        <v>up</v>
      </c>
      <c r="N9" s="1002" t="str">
        <f t="shared" si="45"/>
        <v/>
      </c>
      <c r="O9" s="1002" t="str">
        <f t="shared" si="4"/>
        <v/>
      </c>
      <c r="P9" s="1032">
        <f t="shared" si="21"/>
        <v>0.499</v>
      </c>
      <c r="Q9" s="997" t="str">
        <f t="shared" si="22"/>
        <v/>
      </c>
      <c r="R9" s="997">
        <f t="shared" si="23"/>
        <v>0</v>
      </c>
      <c r="S9" s="1006">
        <f>IF(input_engine_o!$P$21&gt;A8,VLOOKUP(A9,input_engine_o!$P$23:$T$35,4,FALSE),0)</f>
        <v>0</v>
      </c>
      <c r="T9" s="2442">
        <f t="shared" ca="1" si="24"/>
        <v>0</v>
      </c>
      <c r="U9" s="997" t="b">
        <f t="shared" si="25"/>
        <v>0</v>
      </c>
      <c r="V9" s="997" t="b">
        <f>advanced!$I$22="y"</f>
        <v>0</v>
      </c>
      <c r="W9" s="997">
        <f>data!$D$33</f>
        <v>15000</v>
      </c>
      <c r="X9" s="997" t="b">
        <f t="shared" si="26"/>
        <v>0</v>
      </c>
      <c r="Y9" s="997">
        <f t="shared" si="27"/>
        <v>0</v>
      </c>
      <c r="Z9" s="997">
        <f t="shared" si="5"/>
        <v>0</v>
      </c>
      <c r="AA9" s="1002">
        <f>data!$G$53</f>
        <v>75000</v>
      </c>
      <c r="AB9" s="1002">
        <f>data!$F$53</f>
        <v>0.02</v>
      </c>
      <c r="AC9" s="997">
        <f t="shared" si="28"/>
        <v>0</v>
      </c>
      <c r="AD9" s="997">
        <f>IF(B9="",0,(IF($AE$1=authorities!$I$1,0,IF(L9&gt;AE9,VLOOKUP($AD$1,authorities!A:H,C9+1,FALSE),0)))*L9/$CK$2*H9)</f>
        <v>0</v>
      </c>
      <c r="AE9" s="997">
        <f>IF($AE$1=authorities!$I$1,0,$AE$1)</f>
        <v>0</v>
      </c>
      <c r="AF9" s="1002">
        <f>IF(input_engine_o!$P$21&gt;A8,VLOOKUP(A9,input_engine_o!$P$23:$T$35,5,FALSE),0)</f>
        <v>0</v>
      </c>
      <c r="AG9" s="1002">
        <f>data!$C$43</f>
        <v>2900</v>
      </c>
      <c r="AH9" s="1007">
        <f t="shared" si="6"/>
        <v>1</v>
      </c>
      <c r="AI9" s="997">
        <f t="shared" si="29"/>
        <v>0</v>
      </c>
      <c r="AJ9" s="997" t="b">
        <f t="shared" si="7"/>
        <v>0</v>
      </c>
      <c r="AL9" s="997">
        <f t="shared" si="30"/>
        <v>0</v>
      </c>
      <c r="AO9" s="1002">
        <f t="shared" si="31"/>
        <v>0</v>
      </c>
      <c r="AP9" s="1002">
        <f>SUM($AO$3:AO9)</f>
        <v>1</v>
      </c>
      <c r="AQ9" s="1002">
        <f t="shared" si="32"/>
        <v>366</v>
      </c>
      <c r="AR9" s="997">
        <f t="shared" ca="1" si="33"/>
        <v>0</v>
      </c>
      <c r="AS9" s="997"/>
      <c r="AT9" s="997">
        <f t="shared" si="34"/>
        <v>0</v>
      </c>
      <c r="AU9" s="997" t="b">
        <f t="shared" si="8"/>
        <v>1</v>
      </c>
      <c r="AV9" s="997" t="b">
        <f t="shared" si="9"/>
        <v>0</v>
      </c>
      <c r="AW9" s="997" t="b">
        <f t="shared" si="10"/>
        <v>0</v>
      </c>
      <c r="AX9" s="997">
        <f t="shared" si="35"/>
        <v>0</v>
      </c>
      <c r="AY9" s="2370">
        <f ca="1">AR9/reliefs!$D$7*AX9*-1</f>
        <v>0</v>
      </c>
      <c r="AZ9" s="1002">
        <f t="shared" ca="1" si="36"/>
        <v>0</v>
      </c>
      <c r="BA9" s="2370"/>
      <c r="BB9" s="997"/>
      <c r="BC9" s="997"/>
      <c r="BD9" s="997"/>
      <c r="BE9" s="997"/>
      <c r="BG9" s="997">
        <f t="shared" si="37"/>
        <v>0</v>
      </c>
      <c r="BH9" s="997">
        <f t="shared" si="46"/>
        <v>15000</v>
      </c>
      <c r="BI9" s="1001">
        <f t="shared" si="47"/>
        <v>0</v>
      </c>
      <c r="BJ9" s="997">
        <f t="shared" si="48"/>
        <v>5000000</v>
      </c>
      <c r="BK9" s="997">
        <f t="shared" si="49"/>
        <v>0.499</v>
      </c>
      <c r="BL9" s="997" t="b">
        <f t="shared" si="50"/>
        <v>1</v>
      </c>
      <c r="BM9" s="997" t="b">
        <f t="shared" si="51"/>
        <v>0</v>
      </c>
      <c r="BN9" s="997">
        <f t="shared" si="52"/>
        <v>0</v>
      </c>
      <c r="BO9" s="997">
        <f t="shared" si="39"/>
        <v>0</v>
      </c>
      <c r="BP9" s="997"/>
      <c r="BQ9" s="997"/>
      <c r="BR9" s="997">
        <f t="shared" si="11"/>
        <v>600</v>
      </c>
      <c r="BS9" s="997"/>
      <c r="BT9" s="997" t="b">
        <f t="shared" si="12"/>
        <v>0</v>
      </c>
      <c r="BU9" s="997" t="b">
        <f t="shared" si="53"/>
        <v>1</v>
      </c>
      <c r="BV9" s="997" t="b">
        <f t="shared" si="13"/>
        <v>0</v>
      </c>
      <c r="BW9" s="997" t="b">
        <f t="shared" si="40"/>
        <v>0</v>
      </c>
      <c r="BX9" s="997" t="b">
        <f t="shared" si="41"/>
        <v>0</v>
      </c>
      <c r="BY9" s="997">
        <f t="shared" si="42"/>
        <v>600</v>
      </c>
      <c r="BZ9" s="997">
        <f t="shared" si="43"/>
        <v>366</v>
      </c>
      <c r="CA9" s="997">
        <f t="shared" si="54"/>
        <v>0</v>
      </c>
      <c r="CB9" s="997">
        <f t="shared" si="44"/>
        <v>0</v>
      </c>
      <c r="CC9" s="997">
        <f t="shared" si="55"/>
        <v>0</v>
      </c>
      <c r="CD9" s="997">
        <f t="shared" si="56"/>
        <v>600</v>
      </c>
      <c r="CE9" s="1002" t="b">
        <f t="shared" si="57"/>
        <v>0</v>
      </c>
      <c r="CH9" s="1031"/>
      <c r="CJ9" s="1003"/>
      <c r="CK9" s="1002"/>
      <c r="CM9" s="1035">
        <v>0</v>
      </c>
      <c r="CN9" s="1035">
        <v>0</v>
      </c>
      <c r="CO9" s="1035">
        <v>0</v>
      </c>
      <c r="CP9" s="1035">
        <v>0</v>
      </c>
      <c r="CV9" s="1034"/>
    </row>
    <row r="10" spans="1:111" x14ac:dyDescent="0.35">
      <c r="A10" s="997">
        <f t="shared" si="14"/>
        <v>8</v>
      </c>
      <c r="B10" s="1003" t="str">
        <f>IF(input_engine_o!$P$21&gt;A9,VLOOKUP(A10,input_engine_o!$P$23:$T$35,2,FALSE),"")</f>
        <v/>
      </c>
      <c r="C10" s="997" t="str">
        <f t="shared" si="15"/>
        <v/>
      </c>
      <c r="D10" s="1003">
        <f t="shared" si="16"/>
        <v>45382</v>
      </c>
      <c r="E10" s="1002" t="str">
        <f>IF(B10="",E9,VLOOKUP(B10,input_engine_o!$B$23:$F$35,5,FALSE))</f>
        <v>nn</v>
      </c>
      <c r="F10" s="1003" t="str">
        <f t="shared" si="17"/>
        <v/>
      </c>
      <c r="G10" s="1003" t="str">
        <f t="shared" si="18"/>
        <v/>
      </c>
      <c r="H10" s="1002">
        <f t="shared" si="19"/>
        <v>0</v>
      </c>
      <c r="I10" s="997">
        <f t="shared" si="1"/>
        <v>0</v>
      </c>
      <c r="J10" s="997">
        <f t="shared" si="2"/>
        <v>0</v>
      </c>
      <c r="K10" s="997">
        <f t="shared" si="3"/>
        <v>0</v>
      </c>
      <c r="L10" s="997" t="str">
        <f>IF(input_engine_o!$P$21&gt;A9,VLOOKUP(A10,input_engine_o!$P$23:$T$36,3,FALSE),"")</f>
        <v/>
      </c>
      <c r="M10" s="1002" t="str">
        <f t="shared" si="20"/>
        <v>up</v>
      </c>
      <c r="N10" s="1002" t="str">
        <f t="shared" si="45"/>
        <v/>
      </c>
      <c r="O10" s="1002" t="str">
        <f t="shared" si="4"/>
        <v/>
      </c>
      <c r="P10" s="1032">
        <f t="shared" si="21"/>
        <v>0.499</v>
      </c>
      <c r="Q10" s="997" t="str">
        <f t="shared" si="22"/>
        <v/>
      </c>
      <c r="R10" s="997">
        <f t="shared" si="23"/>
        <v>0</v>
      </c>
      <c r="S10" s="1006">
        <f>IF(input_engine_o!$P$21&gt;A9,VLOOKUP(A10,input_engine_o!$P$23:$T$35,4,FALSE),0)</f>
        <v>0</v>
      </c>
      <c r="T10" s="2442">
        <f t="shared" ca="1" si="24"/>
        <v>0</v>
      </c>
      <c r="U10" s="997" t="b">
        <f t="shared" si="25"/>
        <v>0</v>
      </c>
      <c r="V10" s="997" t="b">
        <f>advanced!$I$22="y"</f>
        <v>0</v>
      </c>
      <c r="W10" s="997">
        <f>data!$D$33</f>
        <v>15000</v>
      </c>
      <c r="X10" s="997" t="b">
        <f t="shared" si="26"/>
        <v>0</v>
      </c>
      <c r="Y10" s="997">
        <f t="shared" si="27"/>
        <v>0</v>
      </c>
      <c r="Z10" s="997">
        <f t="shared" si="5"/>
        <v>0</v>
      </c>
      <c r="AA10" s="1002">
        <f>data!$G$53</f>
        <v>75000</v>
      </c>
      <c r="AB10" s="1002">
        <f>data!$F$53</f>
        <v>0.02</v>
      </c>
      <c r="AC10" s="997">
        <f t="shared" si="28"/>
        <v>0</v>
      </c>
      <c r="AD10" s="997">
        <f>IF(B10="",0,(IF($AE$1=authorities!$I$1,0,IF(L10&gt;AE10,VLOOKUP($AD$1,authorities!A:H,C10+1,FALSE),0)))*L10/$CK$2*H10)</f>
        <v>0</v>
      </c>
      <c r="AE10" s="997">
        <f>IF($AE$1=authorities!$I$1,0,$AE$1)</f>
        <v>0</v>
      </c>
      <c r="AF10" s="1002">
        <f>IF(input_engine_o!$P$21&gt;A9,VLOOKUP(A10,input_engine_o!$P$23:$T$35,5,FALSE),0)</f>
        <v>0</v>
      </c>
      <c r="AG10" s="1002">
        <f>data!$C$43</f>
        <v>2900</v>
      </c>
      <c r="AH10" s="1007">
        <f t="shared" si="6"/>
        <v>1</v>
      </c>
      <c r="AI10" s="997">
        <f t="shared" si="29"/>
        <v>0</v>
      </c>
      <c r="AJ10" s="997" t="b">
        <f t="shared" si="7"/>
        <v>0</v>
      </c>
      <c r="AL10" s="997">
        <f t="shared" si="30"/>
        <v>0</v>
      </c>
      <c r="AO10" s="1002">
        <f t="shared" si="31"/>
        <v>0</v>
      </c>
      <c r="AP10" s="1002">
        <f>SUM($AO$3:AO10)</f>
        <v>1</v>
      </c>
      <c r="AQ10" s="1002">
        <f t="shared" si="32"/>
        <v>366</v>
      </c>
      <c r="AR10" s="997">
        <f t="shared" ca="1" si="33"/>
        <v>0</v>
      </c>
      <c r="AS10" s="997"/>
      <c r="AT10" s="997">
        <f t="shared" si="34"/>
        <v>0</v>
      </c>
      <c r="AU10" s="997" t="b">
        <f t="shared" si="8"/>
        <v>1</v>
      </c>
      <c r="AV10" s="997" t="b">
        <f t="shared" si="9"/>
        <v>0</v>
      </c>
      <c r="AW10" s="997" t="b">
        <f t="shared" si="10"/>
        <v>0</v>
      </c>
      <c r="AX10" s="997">
        <f t="shared" si="35"/>
        <v>0</v>
      </c>
      <c r="AY10" s="2370">
        <f ca="1">AR10/reliefs!$D$7*AX10*-1</f>
        <v>0</v>
      </c>
      <c r="AZ10" s="1002">
        <f t="shared" ca="1" si="36"/>
        <v>0</v>
      </c>
      <c r="BA10" s="2370"/>
      <c r="BB10" s="997"/>
      <c r="BC10" s="997"/>
      <c r="BD10" s="997"/>
      <c r="BE10" s="997"/>
      <c r="BG10" s="997">
        <f t="shared" si="37"/>
        <v>0</v>
      </c>
      <c r="BH10" s="997">
        <f t="shared" si="46"/>
        <v>15000</v>
      </c>
      <c r="BI10" s="1001">
        <f t="shared" si="47"/>
        <v>0</v>
      </c>
      <c r="BJ10" s="997">
        <f t="shared" si="48"/>
        <v>5000000</v>
      </c>
      <c r="BK10" s="997">
        <f t="shared" si="49"/>
        <v>0.499</v>
      </c>
      <c r="BL10" s="997" t="b">
        <f t="shared" si="50"/>
        <v>1</v>
      </c>
      <c r="BM10" s="997" t="b">
        <f t="shared" si="51"/>
        <v>0</v>
      </c>
      <c r="BN10" s="997">
        <f t="shared" si="52"/>
        <v>0</v>
      </c>
      <c r="BO10" s="997">
        <f t="shared" si="39"/>
        <v>0</v>
      </c>
      <c r="BP10" s="997"/>
      <c r="BQ10" s="997"/>
      <c r="BR10" s="997">
        <f t="shared" si="11"/>
        <v>600</v>
      </c>
      <c r="BS10" s="997"/>
      <c r="BT10" s="997" t="b">
        <f t="shared" si="12"/>
        <v>0</v>
      </c>
      <c r="BU10" s="997" t="b">
        <f t="shared" si="53"/>
        <v>1</v>
      </c>
      <c r="BV10" s="997" t="b">
        <f t="shared" si="13"/>
        <v>0</v>
      </c>
      <c r="BW10" s="997" t="b">
        <f t="shared" si="40"/>
        <v>0</v>
      </c>
      <c r="BX10" s="997" t="b">
        <f t="shared" si="41"/>
        <v>0</v>
      </c>
      <c r="BY10" s="997">
        <f t="shared" si="42"/>
        <v>600</v>
      </c>
      <c r="BZ10" s="997">
        <f t="shared" si="43"/>
        <v>366</v>
      </c>
      <c r="CA10" s="997">
        <f t="shared" si="54"/>
        <v>0</v>
      </c>
      <c r="CB10" s="997">
        <f t="shared" si="44"/>
        <v>0</v>
      </c>
      <c r="CC10" s="997">
        <f t="shared" si="55"/>
        <v>0</v>
      </c>
      <c r="CD10" s="997">
        <f t="shared" si="56"/>
        <v>600</v>
      </c>
      <c r="CE10" s="1002" t="b">
        <f t="shared" si="57"/>
        <v>0</v>
      </c>
      <c r="CH10" s="1036"/>
      <c r="CM10" s="1037">
        <f>nncalc1!$D$5</f>
        <v>0</v>
      </c>
      <c r="CN10" s="1037">
        <f>nccalc1!$D$5</f>
        <v>0</v>
      </c>
      <c r="CO10" s="1037">
        <f>bncalc1!$D$5</f>
        <v>0</v>
      </c>
      <c r="CP10" s="1037">
        <f>bccalc1!$D$5</f>
        <v>0</v>
      </c>
      <c r="CV10" s="1034"/>
    </row>
    <row r="11" spans="1:111" x14ac:dyDescent="0.35">
      <c r="A11" s="997">
        <f t="shared" si="14"/>
        <v>9</v>
      </c>
      <c r="B11" s="1003" t="str">
        <f>IF(input_engine_o!$P$21&gt;A10,VLOOKUP(A11,input_engine_o!$P$23:$T$35,2,FALSE),"")</f>
        <v/>
      </c>
      <c r="C11" s="997" t="str">
        <f t="shared" si="15"/>
        <v/>
      </c>
      <c r="D11" s="1003">
        <f t="shared" si="16"/>
        <v>45382</v>
      </c>
      <c r="E11" s="1002" t="str">
        <f>IF(B11="",E10,VLOOKUP(B11,input_engine_o!$B$23:$F$35,5,FALSE))</f>
        <v>nn</v>
      </c>
      <c r="F11" s="1003" t="str">
        <f t="shared" si="17"/>
        <v/>
      </c>
      <c r="G11" s="1003" t="str">
        <f t="shared" si="18"/>
        <v/>
      </c>
      <c r="H11" s="1002">
        <f t="shared" si="19"/>
        <v>0</v>
      </c>
      <c r="I11" s="997">
        <f t="shared" si="1"/>
        <v>0</v>
      </c>
      <c r="J11" s="997">
        <f t="shared" si="2"/>
        <v>0</v>
      </c>
      <c r="K11" s="997">
        <f t="shared" si="3"/>
        <v>0</v>
      </c>
      <c r="L11" s="997" t="str">
        <f>IF(input_engine_o!$P$21&gt;A10,VLOOKUP(A11,input_engine_o!$P$23:$T$36,3,FALSE),"")</f>
        <v/>
      </c>
      <c r="M11" s="1002" t="str">
        <f t="shared" si="20"/>
        <v>up</v>
      </c>
      <c r="N11" s="1002" t="str">
        <f t="shared" si="45"/>
        <v/>
      </c>
      <c r="O11" s="1002" t="str">
        <f t="shared" si="4"/>
        <v/>
      </c>
      <c r="P11" s="1032">
        <f t="shared" si="21"/>
        <v>0.499</v>
      </c>
      <c r="Q11" s="997" t="str">
        <f t="shared" si="22"/>
        <v/>
      </c>
      <c r="R11" s="997">
        <f t="shared" si="23"/>
        <v>0</v>
      </c>
      <c r="S11" s="1006">
        <f>IF(input_engine_o!$P$21&gt;A10,VLOOKUP(A11,input_engine_o!$P$23:$T$35,4,FALSE),0)</f>
        <v>0</v>
      </c>
      <c r="T11" s="2442">
        <f t="shared" ca="1" si="24"/>
        <v>0</v>
      </c>
      <c r="U11" s="997" t="b">
        <f t="shared" si="25"/>
        <v>0</v>
      </c>
      <c r="V11" s="997" t="b">
        <f>advanced!$I$22="y"</f>
        <v>0</v>
      </c>
      <c r="W11" s="997">
        <f>data!$D$33</f>
        <v>15000</v>
      </c>
      <c r="X11" s="997" t="b">
        <f t="shared" si="26"/>
        <v>0</v>
      </c>
      <c r="Y11" s="997">
        <f t="shared" si="27"/>
        <v>0</v>
      </c>
      <c r="Z11" s="997">
        <f t="shared" si="5"/>
        <v>0</v>
      </c>
      <c r="AA11" s="1002">
        <f>data!$G$53</f>
        <v>75000</v>
      </c>
      <c r="AB11" s="1002">
        <f>data!$F$53</f>
        <v>0.02</v>
      </c>
      <c r="AC11" s="997">
        <f t="shared" si="28"/>
        <v>0</v>
      </c>
      <c r="AD11" s="997">
        <f>IF(B11="",0,(IF($AE$1=authorities!$I$1,0,IF(L11&gt;AE11,VLOOKUP($AD$1,authorities!A:H,C11+1,FALSE),0)))*L11/$CK$2*H11)</f>
        <v>0</v>
      </c>
      <c r="AE11" s="997">
        <f>IF($AE$1=authorities!$I$1,0,$AE$1)</f>
        <v>0</v>
      </c>
      <c r="AF11" s="1002">
        <f>IF(input_engine_o!$P$21&gt;A10,VLOOKUP(A11,input_engine_o!$P$23:$T$35,5,FALSE),0)</f>
        <v>0</v>
      </c>
      <c r="AG11" s="1002">
        <f>data!$C$43</f>
        <v>2900</v>
      </c>
      <c r="AH11" s="1007">
        <f t="shared" si="6"/>
        <v>1</v>
      </c>
      <c r="AI11" s="997">
        <f t="shared" si="29"/>
        <v>0</v>
      </c>
      <c r="AJ11" s="997" t="b">
        <f t="shared" si="7"/>
        <v>0</v>
      </c>
      <c r="AL11" s="997">
        <f t="shared" si="30"/>
        <v>0</v>
      </c>
      <c r="AO11" s="1002">
        <f t="shared" si="31"/>
        <v>0</v>
      </c>
      <c r="AP11" s="1002">
        <f>SUM($AO$3:AO11)</f>
        <v>1</v>
      </c>
      <c r="AQ11" s="1002">
        <f t="shared" si="32"/>
        <v>366</v>
      </c>
      <c r="AR11" s="997">
        <f t="shared" ca="1" si="33"/>
        <v>0</v>
      </c>
      <c r="AS11" s="997"/>
      <c r="AT11" s="997">
        <f t="shared" si="34"/>
        <v>0</v>
      </c>
      <c r="AU11" s="997" t="b">
        <f t="shared" si="8"/>
        <v>1</v>
      </c>
      <c r="AV11" s="997" t="b">
        <f t="shared" si="9"/>
        <v>0</v>
      </c>
      <c r="AW11" s="997" t="b">
        <f t="shared" si="10"/>
        <v>0</v>
      </c>
      <c r="AX11" s="997">
        <f t="shared" si="35"/>
        <v>0</v>
      </c>
      <c r="AY11" s="2370">
        <f ca="1">AR11/reliefs!$D$7*AX11*-1</f>
        <v>0</v>
      </c>
      <c r="AZ11" s="1002">
        <f t="shared" ca="1" si="36"/>
        <v>0</v>
      </c>
      <c r="BA11" s="2370"/>
      <c r="BB11" s="997"/>
      <c r="BC11" s="997"/>
      <c r="BD11" s="997"/>
      <c r="BE11" s="997"/>
      <c r="BG11" s="997">
        <f t="shared" si="37"/>
        <v>0</v>
      </c>
      <c r="BH11" s="997">
        <f t="shared" si="46"/>
        <v>15000</v>
      </c>
      <c r="BI11" s="1001">
        <f t="shared" si="47"/>
        <v>0</v>
      </c>
      <c r="BJ11" s="997">
        <f t="shared" si="48"/>
        <v>5000000</v>
      </c>
      <c r="BK11" s="997">
        <f t="shared" si="49"/>
        <v>0.499</v>
      </c>
      <c r="BL11" s="997" t="b">
        <f t="shared" si="50"/>
        <v>1</v>
      </c>
      <c r="BM11" s="997" t="b">
        <f t="shared" si="51"/>
        <v>0</v>
      </c>
      <c r="BN11" s="997">
        <f t="shared" si="52"/>
        <v>0</v>
      </c>
      <c r="BO11" s="997">
        <f t="shared" si="39"/>
        <v>0</v>
      </c>
      <c r="BP11" s="997"/>
      <c r="BQ11" s="997"/>
      <c r="BR11" s="997">
        <f t="shared" si="11"/>
        <v>600</v>
      </c>
      <c r="BS11" s="997"/>
      <c r="BT11" s="997" t="b">
        <f t="shared" si="12"/>
        <v>0</v>
      </c>
      <c r="BU11" s="997" t="b">
        <f t="shared" si="53"/>
        <v>1</v>
      </c>
      <c r="BV11" s="997" t="b">
        <f t="shared" si="13"/>
        <v>0</v>
      </c>
      <c r="BW11" s="997" t="b">
        <f t="shared" si="40"/>
        <v>0</v>
      </c>
      <c r="BX11" s="997" t="b">
        <f t="shared" si="41"/>
        <v>0</v>
      </c>
      <c r="BY11" s="997">
        <f t="shared" si="42"/>
        <v>600</v>
      </c>
      <c r="BZ11" s="997">
        <f t="shared" si="43"/>
        <v>366</v>
      </c>
      <c r="CA11" s="997">
        <f t="shared" si="54"/>
        <v>0</v>
      </c>
      <c r="CB11" s="997">
        <f t="shared" si="44"/>
        <v>0</v>
      </c>
      <c r="CC11" s="997">
        <f t="shared" si="55"/>
        <v>0</v>
      </c>
      <c r="CD11" s="997">
        <f t="shared" si="56"/>
        <v>600</v>
      </c>
      <c r="CE11" s="1002" t="b">
        <f t="shared" si="57"/>
        <v>0</v>
      </c>
      <c r="CH11" s="1036"/>
      <c r="CK11" s="997">
        <f>ROW()</f>
        <v>11</v>
      </c>
      <c r="CL11" s="1038" t="s">
        <v>586</v>
      </c>
      <c r="CM11" s="1038"/>
      <c r="CN11" s="1038"/>
      <c r="CO11" s="1038"/>
      <c r="CP11" s="1038"/>
      <c r="CV11" s="1034"/>
    </row>
    <row r="12" spans="1:111" x14ac:dyDescent="0.35">
      <c r="A12" s="997">
        <f t="shared" si="14"/>
        <v>10</v>
      </c>
      <c r="B12" s="1003" t="str">
        <f>IF(input_engine_o!$P$21&gt;A11,VLOOKUP(A12,input_engine_o!$P$23:$T$35,2,FALSE),"")</f>
        <v/>
      </c>
      <c r="C12" s="997" t="str">
        <f t="shared" si="15"/>
        <v/>
      </c>
      <c r="D12" s="1003">
        <f t="shared" si="16"/>
        <v>45382</v>
      </c>
      <c r="E12" s="1002" t="str">
        <f>IF(B12="",E11,VLOOKUP(B12,input_engine_o!$B$23:$F$35,5,FALSE))</f>
        <v>nn</v>
      </c>
      <c r="F12" s="1003" t="str">
        <f t="shared" si="17"/>
        <v/>
      </c>
      <c r="G12" s="1003" t="str">
        <f t="shared" si="18"/>
        <v/>
      </c>
      <c r="H12" s="1002">
        <f t="shared" si="19"/>
        <v>0</v>
      </c>
      <c r="I12" s="997">
        <f t="shared" si="1"/>
        <v>0</v>
      </c>
      <c r="J12" s="997">
        <f t="shared" si="2"/>
        <v>0</v>
      </c>
      <c r="K12" s="997">
        <f t="shared" si="3"/>
        <v>0</v>
      </c>
      <c r="L12" s="997" t="str">
        <f>IF(input_engine_o!$P$21&gt;A11,VLOOKUP(A12,input_engine_o!$P$23:$T$36,3,FALSE),"")</f>
        <v/>
      </c>
      <c r="M12" s="1002" t="str">
        <f t="shared" si="20"/>
        <v>up</v>
      </c>
      <c r="N12" s="1002" t="str">
        <f t="shared" si="45"/>
        <v/>
      </c>
      <c r="O12" s="1002" t="str">
        <f t="shared" si="4"/>
        <v/>
      </c>
      <c r="P12" s="1032">
        <f t="shared" si="21"/>
        <v>0.499</v>
      </c>
      <c r="Q12" s="997" t="str">
        <f t="shared" si="22"/>
        <v/>
      </c>
      <c r="R12" s="997">
        <f t="shared" si="23"/>
        <v>0</v>
      </c>
      <c r="S12" s="1006">
        <f>IF(input_engine_o!$P$21&gt;A11,VLOOKUP(A12,input_engine_o!$P$23:$T$35,4,FALSE),0)</f>
        <v>0</v>
      </c>
      <c r="T12" s="2442">
        <f t="shared" ca="1" si="24"/>
        <v>0</v>
      </c>
      <c r="U12" s="997" t="b">
        <f t="shared" si="25"/>
        <v>0</v>
      </c>
      <c r="V12" s="997" t="b">
        <f>advanced!$I$22="y"</f>
        <v>0</v>
      </c>
      <c r="W12" s="997">
        <f>data!$D$33</f>
        <v>15000</v>
      </c>
      <c r="X12" s="997" t="b">
        <f t="shared" si="26"/>
        <v>0</v>
      </c>
      <c r="Y12" s="997">
        <f t="shared" si="27"/>
        <v>0</v>
      </c>
      <c r="Z12" s="997">
        <f t="shared" si="5"/>
        <v>0</v>
      </c>
      <c r="AA12" s="1002">
        <f>data!$G$53</f>
        <v>75000</v>
      </c>
      <c r="AB12" s="1002">
        <f>data!$F$53</f>
        <v>0.02</v>
      </c>
      <c r="AC12" s="997">
        <f t="shared" si="28"/>
        <v>0</v>
      </c>
      <c r="AD12" s="997">
        <f>IF(B12="",0,(IF($AE$1=authorities!$I$1,0,IF(L12&gt;AE12,VLOOKUP($AD$1,authorities!A:H,C12+1,FALSE),0)))*L12/$CK$2*H12)</f>
        <v>0</v>
      </c>
      <c r="AE12" s="997">
        <f>IF($AE$1=authorities!$I$1,0,$AE$1)</f>
        <v>0</v>
      </c>
      <c r="AF12" s="1002">
        <f>IF(input_engine_o!$P$21&gt;A11,VLOOKUP(A12,input_engine_o!$P$23:$T$35,5,FALSE),0)</f>
        <v>0</v>
      </c>
      <c r="AG12" s="1002">
        <f>data!$C$43</f>
        <v>2900</v>
      </c>
      <c r="AH12" s="1007">
        <f t="shared" si="6"/>
        <v>1</v>
      </c>
      <c r="AI12" s="997">
        <f t="shared" si="29"/>
        <v>0</v>
      </c>
      <c r="AJ12" s="997" t="b">
        <f t="shared" si="7"/>
        <v>0</v>
      </c>
      <c r="AL12" s="997">
        <f t="shared" si="30"/>
        <v>0</v>
      </c>
      <c r="AO12" s="1002">
        <f t="shared" si="31"/>
        <v>0</v>
      </c>
      <c r="AP12" s="1002">
        <f>SUM($AO$3:AO12)</f>
        <v>1</v>
      </c>
      <c r="AQ12" s="1002">
        <f t="shared" si="32"/>
        <v>366</v>
      </c>
      <c r="AR12" s="997">
        <f t="shared" ca="1" si="33"/>
        <v>0</v>
      </c>
      <c r="AS12" s="997"/>
      <c r="AT12" s="997">
        <f t="shared" si="34"/>
        <v>0</v>
      </c>
      <c r="AU12" s="997" t="b">
        <f t="shared" si="8"/>
        <v>1</v>
      </c>
      <c r="AV12" s="997" t="b">
        <f t="shared" si="9"/>
        <v>0</v>
      </c>
      <c r="AW12" s="997" t="b">
        <f t="shared" si="10"/>
        <v>0</v>
      </c>
      <c r="AX12" s="997">
        <f t="shared" si="35"/>
        <v>0</v>
      </c>
      <c r="AY12" s="2370">
        <f ca="1">AR12/reliefs!$D$7*AX12*-1</f>
        <v>0</v>
      </c>
      <c r="AZ12" s="1002">
        <f t="shared" ca="1" si="36"/>
        <v>0</v>
      </c>
      <c r="BA12" s="2370"/>
      <c r="BB12" s="997"/>
      <c r="BC12" s="997"/>
      <c r="BD12" s="997"/>
      <c r="BE12" s="997"/>
      <c r="BG12" s="997">
        <f t="shared" si="37"/>
        <v>0</v>
      </c>
      <c r="BH12" s="997">
        <f t="shared" si="46"/>
        <v>15000</v>
      </c>
      <c r="BI12" s="1001">
        <f t="shared" si="47"/>
        <v>0</v>
      </c>
      <c r="BJ12" s="997">
        <f t="shared" si="48"/>
        <v>5000000</v>
      </c>
      <c r="BK12" s="997">
        <f t="shared" si="49"/>
        <v>0.499</v>
      </c>
      <c r="BL12" s="997" t="b">
        <f t="shared" si="50"/>
        <v>1</v>
      </c>
      <c r="BM12" s="997" t="b">
        <f t="shared" si="51"/>
        <v>0</v>
      </c>
      <c r="BN12" s="997">
        <f t="shared" si="52"/>
        <v>0</v>
      </c>
      <c r="BO12" s="997">
        <f t="shared" si="39"/>
        <v>0</v>
      </c>
      <c r="BP12" s="997"/>
      <c r="BQ12" s="997"/>
      <c r="BR12" s="997">
        <f t="shared" si="11"/>
        <v>600</v>
      </c>
      <c r="BS12" s="997"/>
      <c r="BT12" s="997" t="b">
        <f t="shared" si="12"/>
        <v>0</v>
      </c>
      <c r="BU12" s="997" t="b">
        <f t="shared" si="53"/>
        <v>1</v>
      </c>
      <c r="BV12" s="997" t="b">
        <f t="shared" si="13"/>
        <v>0</v>
      </c>
      <c r="BW12" s="997" t="b">
        <f t="shared" si="40"/>
        <v>0</v>
      </c>
      <c r="BX12" s="997" t="b">
        <f t="shared" si="41"/>
        <v>0</v>
      </c>
      <c r="BY12" s="997">
        <f t="shared" si="42"/>
        <v>600</v>
      </c>
      <c r="BZ12" s="997">
        <f t="shared" si="43"/>
        <v>366</v>
      </c>
      <c r="CA12" s="997">
        <f t="shared" si="54"/>
        <v>0</v>
      </c>
      <c r="CB12" s="997">
        <f t="shared" si="44"/>
        <v>0</v>
      </c>
      <c r="CC12" s="997">
        <f t="shared" si="55"/>
        <v>0</v>
      </c>
      <c r="CD12" s="997">
        <f t="shared" si="56"/>
        <v>600</v>
      </c>
      <c r="CE12" s="1002" t="b">
        <f t="shared" si="57"/>
        <v>0</v>
      </c>
      <c r="CH12" s="1036"/>
      <c r="CL12" s="1038">
        <f t="shared" ref="CL12:CL17" si="58">CI2</f>
        <v>1</v>
      </c>
      <c r="CM12" s="1038" t="b">
        <f>nncalc1!$D$30</f>
        <v>0</v>
      </c>
      <c r="CN12" s="1038" t="b">
        <f>nccalc1!$D$30</f>
        <v>0</v>
      </c>
      <c r="CO12" s="1038" t="b">
        <f>bncalc1!$D$30</f>
        <v>0</v>
      </c>
      <c r="CP12" s="1038" t="b">
        <f>bccalc1!$D$30</f>
        <v>0</v>
      </c>
      <c r="CV12" s="1034"/>
    </row>
    <row r="13" spans="1:111" x14ac:dyDescent="0.35">
      <c r="A13" s="997">
        <f t="shared" si="14"/>
        <v>11</v>
      </c>
      <c r="B13" s="1003" t="str">
        <f>IF(input_engine_o!$P$21&gt;A12,VLOOKUP(A13,input_engine_o!$P$23:$T$35,2,FALSE),"")</f>
        <v/>
      </c>
      <c r="C13" s="997" t="str">
        <f t="shared" si="15"/>
        <v/>
      </c>
      <c r="D13" s="1003">
        <f t="shared" si="16"/>
        <v>45382</v>
      </c>
      <c r="E13" s="1002" t="str">
        <f>IF(B13="",E12,VLOOKUP(B13,input_engine_o!$B$23:$F$35,5,FALSE))</f>
        <v>nn</v>
      </c>
      <c r="F13" s="1003" t="str">
        <f t="shared" si="17"/>
        <v/>
      </c>
      <c r="G13" s="1003" t="str">
        <f t="shared" si="18"/>
        <v/>
      </c>
      <c r="H13" s="1002">
        <f t="shared" si="19"/>
        <v>0</v>
      </c>
      <c r="I13" s="997">
        <f t="shared" si="1"/>
        <v>0</v>
      </c>
      <c r="J13" s="997">
        <f t="shared" si="2"/>
        <v>0</v>
      </c>
      <c r="K13" s="997">
        <f t="shared" si="3"/>
        <v>0</v>
      </c>
      <c r="L13" s="997" t="str">
        <f>IF(input_engine_o!$P$21&gt;A12,VLOOKUP(A13,input_engine_o!$P$23:$T$36,3,FALSE),"")</f>
        <v/>
      </c>
      <c r="M13" s="1002" t="str">
        <f t="shared" si="20"/>
        <v>up</v>
      </c>
      <c r="N13" s="1002" t="str">
        <f t="shared" si="45"/>
        <v/>
      </c>
      <c r="O13" s="1002" t="str">
        <f t="shared" si="4"/>
        <v/>
      </c>
      <c r="P13" s="1032">
        <f t="shared" si="21"/>
        <v>0.499</v>
      </c>
      <c r="Q13" s="997" t="str">
        <f t="shared" si="22"/>
        <v/>
      </c>
      <c r="R13" s="997">
        <f t="shared" si="23"/>
        <v>0</v>
      </c>
      <c r="S13" s="1006">
        <f>IF(input_engine_o!$P$21&gt;A12,VLOOKUP(A13,input_engine_o!$P$23:$T$35,4,FALSE),0)</f>
        <v>0</v>
      </c>
      <c r="T13" s="2442">
        <f t="shared" ca="1" si="24"/>
        <v>0</v>
      </c>
      <c r="U13" s="997" t="b">
        <f t="shared" si="25"/>
        <v>0</v>
      </c>
      <c r="V13" s="997" t="b">
        <f>advanced!$I$22="y"</f>
        <v>0</v>
      </c>
      <c r="W13" s="997">
        <f>data!$D$33</f>
        <v>15000</v>
      </c>
      <c r="X13" s="997" t="b">
        <f t="shared" si="26"/>
        <v>0</v>
      </c>
      <c r="Y13" s="997">
        <f t="shared" si="27"/>
        <v>0</v>
      </c>
      <c r="Z13" s="997">
        <f t="shared" si="5"/>
        <v>0</v>
      </c>
      <c r="AA13" s="1002">
        <f>data!$G$53</f>
        <v>75000</v>
      </c>
      <c r="AB13" s="1002">
        <f>data!$F$53</f>
        <v>0.02</v>
      </c>
      <c r="AC13" s="997">
        <f t="shared" si="28"/>
        <v>0</v>
      </c>
      <c r="AD13" s="997">
        <f>IF(B13="",0,(IF($AE$1=authorities!$I$1,0,IF(L13&gt;AE13,VLOOKUP($AD$1,authorities!A:H,C13+1,FALSE),0)))*L13/$CK$2*H13)</f>
        <v>0</v>
      </c>
      <c r="AE13" s="997">
        <f>IF($AE$1=authorities!$I$1,0,$AE$1)</f>
        <v>0</v>
      </c>
      <c r="AF13" s="1002">
        <f>IF(input_engine_o!$P$21&gt;A12,VLOOKUP(A13,input_engine_o!$P$23:$T$35,5,FALSE),0)</f>
        <v>0</v>
      </c>
      <c r="AG13" s="1002">
        <f>data!$C$43</f>
        <v>2900</v>
      </c>
      <c r="AH13" s="1007">
        <f t="shared" si="6"/>
        <v>1</v>
      </c>
      <c r="AI13" s="997">
        <f t="shared" si="29"/>
        <v>0</v>
      </c>
      <c r="AJ13" s="997" t="b">
        <f t="shared" si="7"/>
        <v>0</v>
      </c>
      <c r="AL13" s="997">
        <f t="shared" si="30"/>
        <v>0</v>
      </c>
      <c r="AO13" s="1002">
        <f t="shared" si="31"/>
        <v>0</v>
      </c>
      <c r="AP13" s="1002">
        <f>SUM($AO$3:AO13)</f>
        <v>1</v>
      </c>
      <c r="AQ13" s="1002">
        <f t="shared" si="32"/>
        <v>366</v>
      </c>
      <c r="AR13" s="997">
        <f t="shared" ca="1" si="33"/>
        <v>0</v>
      </c>
      <c r="AS13" s="997"/>
      <c r="AT13" s="997">
        <f t="shared" si="34"/>
        <v>0</v>
      </c>
      <c r="AU13" s="997" t="b">
        <f t="shared" si="8"/>
        <v>1</v>
      </c>
      <c r="AV13" s="997" t="b">
        <f t="shared" si="9"/>
        <v>0</v>
      </c>
      <c r="AW13" s="997" t="b">
        <f t="shared" si="10"/>
        <v>0</v>
      </c>
      <c r="AX13" s="997">
        <f t="shared" si="35"/>
        <v>0</v>
      </c>
      <c r="AY13" s="2370">
        <f ca="1">AR13/reliefs!$D$7*AX13*-1</f>
        <v>0</v>
      </c>
      <c r="AZ13" s="1002">
        <f t="shared" ca="1" si="36"/>
        <v>0</v>
      </c>
      <c r="BA13" s="2370"/>
      <c r="BB13" s="997"/>
      <c r="BC13" s="997"/>
      <c r="BD13" s="997"/>
      <c r="BE13" s="997"/>
      <c r="BG13" s="997">
        <f t="shared" si="37"/>
        <v>0</v>
      </c>
      <c r="BH13" s="997">
        <f t="shared" si="46"/>
        <v>15000</v>
      </c>
      <c r="BI13" s="1001">
        <f t="shared" si="47"/>
        <v>0</v>
      </c>
      <c r="BJ13" s="997">
        <f t="shared" si="48"/>
        <v>5000000</v>
      </c>
      <c r="BK13" s="997">
        <f t="shared" si="49"/>
        <v>0.499</v>
      </c>
      <c r="BL13" s="997" t="b">
        <f t="shared" si="50"/>
        <v>1</v>
      </c>
      <c r="BM13" s="997" t="b">
        <f t="shared" si="51"/>
        <v>0</v>
      </c>
      <c r="BN13" s="997">
        <f t="shared" si="52"/>
        <v>0</v>
      </c>
      <c r="BO13" s="997">
        <f t="shared" si="39"/>
        <v>0</v>
      </c>
      <c r="BP13" s="997"/>
      <c r="BQ13" s="997"/>
      <c r="BR13" s="997">
        <f t="shared" si="11"/>
        <v>600</v>
      </c>
      <c r="BS13" s="997"/>
      <c r="BT13" s="997" t="b">
        <f t="shared" si="12"/>
        <v>0</v>
      </c>
      <c r="BU13" s="997" t="b">
        <f t="shared" si="53"/>
        <v>1</v>
      </c>
      <c r="BV13" s="997" t="b">
        <f t="shared" si="13"/>
        <v>0</v>
      </c>
      <c r="BW13" s="997" t="b">
        <f t="shared" si="40"/>
        <v>0</v>
      </c>
      <c r="BX13" s="997" t="b">
        <f t="shared" si="41"/>
        <v>0</v>
      </c>
      <c r="BY13" s="997">
        <f t="shared" si="42"/>
        <v>600</v>
      </c>
      <c r="BZ13" s="997">
        <f t="shared" si="43"/>
        <v>366</v>
      </c>
      <c r="CA13" s="997">
        <f t="shared" si="54"/>
        <v>0</v>
      </c>
      <c r="CB13" s="997">
        <f t="shared" si="44"/>
        <v>0</v>
      </c>
      <c r="CC13" s="997">
        <f t="shared" si="55"/>
        <v>0</v>
      </c>
      <c r="CD13" s="997">
        <f t="shared" si="56"/>
        <v>600</v>
      </c>
      <c r="CE13" s="1002" t="b">
        <f t="shared" si="57"/>
        <v>0</v>
      </c>
      <c r="CH13" s="1036"/>
      <c r="CL13" s="1038">
        <f t="shared" si="58"/>
        <v>2</v>
      </c>
      <c r="CM13" s="1038" t="b">
        <f>nncalc1!$E$30</f>
        <v>0</v>
      </c>
      <c r="CN13" s="1038" t="b">
        <f>nccalc1!$E$30</f>
        <v>0</v>
      </c>
      <c r="CO13" s="1038" t="b">
        <f>bncalc1!$E$30</f>
        <v>0</v>
      </c>
      <c r="CP13" s="1038" t="b">
        <f>bccalc1!$E$30</f>
        <v>0</v>
      </c>
      <c r="CV13" s="1034"/>
    </row>
    <row r="14" spans="1:111" x14ac:dyDescent="0.35">
      <c r="A14" s="997">
        <f t="shared" si="14"/>
        <v>12</v>
      </c>
      <c r="B14" s="1003" t="str">
        <f>IF(input_engine_o!$P$21&gt;A13,VLOOKUP(A14,input_engine_o!$P$23:$T$35,2,FALSE),"")</f>
        <v/>
      </c>
      <c r="C14" s="997" t="str">
        <f t="shared" si="15"/>
        <v/>
      </c>
      <c r="D14" s="1003">
        <f t="shared" si="16"/>
        <v>45382</v>
      </c>
      <c r="E14" s="1002" t="str">
        <f>IF(B14="",E13,VLOOKUP(B14,input_engine_o!$B$23:$F$35,5,FALSE))</f>
        <v>nn</v>
      </c>
      <c r="F14" s="1003" t="str">
        <f t="shared" si="17"/>
        <v/>
      </c>
      <c r="G14" s="1003" t="str">
        <f>IF(B14="","",IF(#REF!=C14,#REF!-1,D14))</f>
        <v/>
      </c>
      <c r="H14" s="1002">
        <f t="shared" si="19"/>
        <v>0</v>
      </c>
      <c r="I14" s="997">
        <f t="shared" si="1"/>
        <v>0</v>
      </c>
      <c r="J14" s="997">
        <f t="shared" si="2"/>
        <v>0</v>
      </c>
      <c r="K14" s="997">
        <f t="shared" si="3"/>
        <v>0</v>
      </c>
      <c r="L14" s="997" t="str">
        <f>IF(input_engine_o!$P$21&gt;A13,VLOOKUP(A14,input_engine_o!$P$23:$T$36,3,FALSE),"")</f>
        <v/>
      </c>
      <c r="M14" s="1002" t="str">
        <f t="shared" si="20"/>
        <v>up</v>
      </c>
      <c r="N14" s="1002" t="str">
        <f t="shared" si="45"/>
        <v/>
      </c>
      <c r="O14" s="1002" t="str">
        <f t="shared" si="4"/>
        <v/>
      </c>
      <c r="P14" s="1032">
        <f t="shared" si="21"/>
        <v>0.499</v>
      </c>
      <c r="Q14" s="997" t="str">
        <f t="shared" si="22"/>
        <v/>
      </c>
      <c r="R14" s="997">
        <f t="shared" si="23"/>
        <v>0</v>
      </c>
      <c r="S14" s="1006">
        <f>IF(input_engine_o!$P$21&gt;A13,VLOOKUP(A14,input_engine_o!$P$23:$T$35,4,FALSE),0)</f>
        <v>0</v>
      </c>
      <c r="T14" s="2442">
        <f t="shared" ca="1" si="24"/>
        <v>0</v>
      </c>
      <c r="U14" s="997" t="b">
        <f t="shared" si="25"/>
        <v>0</v>
      </c>
      <c r="V14" s="997" t="b">
        <f>advanced!$I$22="y"</f>
        <v>0</v>
      </c>
      <c r="W14" s="997">
        <f>data!$D$33</f>
        <v>15000</v>
      </c>
      <c r="X14" s="997" t="b">
        <f t="shared" si="26"/>
        <v>0</v>
      </c>
      <c r="Y14" s="997">
        <f t="shared" si="27"/>
        <v>0</v>
      </c>
      <c r="Z14" s="997">
        <f t="shared" si="5"/>
        <v>0</v>
      </c>
      <c r="AA14" s="1002">
        <f>data!$G$53</f>
        <v>75000</v>
      </c>
      <c r="AB14" s="1002">
        <f>data!$F$53</f>
        <v>0.02</v>
      </c>
      <c r="AC14" s="997">
        <f t="shared" si="28"/>
        <v>0</v>
      </c>
      <c r="AD14" s="997">
        <f>IF(B14="",0,(IF($AE$1=authorities!$I$1,0,IF(L14&gt;AE14,VLOOKUP($AD$1,authorities!A:H,C14+1,FALSE),0)))*L14/$CK$2*H14)</f>
        <v>0</v>
      </c>
      <c r="AE14" s="997">
        <f>IF($AE$1=authorities!$I$1,0,$AE$1)</f>
        <v>0</v>
      </c>
      <c r="AF14" s="1002">
        <f>IF(input_engine_o!$P$21&gt;A13,VLOOKUP(A14,input_engine_o!$P$23:$T$35,5,FALSE),0)</f>
        <v>0</v>
      </c>
      <c r="AG14" s="1002">
        <f>data!$C$43</f>
        <v>2900</v>
      </c>
      <c r="AH14" s="1007">
        <f t="shared" si="6"/>
        <v>1</v>
      </c>
      <c r="AI14" s="997">
        <f t="shared" si="29"/>
        <v>0</v>
      </c>
      <c r="AJ14" s="997" t="b">
        <f t="shared" si="7"/>
        <v>0</v>
      </c>
      <c r="AL14" s="997">
        <f t="shared" si="30"/>
        <v>0</v>
      </c>
      <c r="AO14" s="1002">
        <f t="shared" si="31"/>
        <v>0</v>
      </c>
      <c r="AP14" s="1002">
        <f>SUM($AO$3:AO14)</f>
        <v>1</v>
      </c>
      <c r="AQ14" s="1002">
        <f t="shared" si="32"/>
        <v>366</v>
      </c>
      <c r="AR14" s="997">
        <f t="shared" ca="1" si="33"/>
        <v>0</v>
      </c>
      <c r="AS14" s="997"/>
      <c r="AT14" s="997">
        <f t="shared" si="34"/>
        <v>0</v>
      </c>
      <c r="AU14" s="997" t="b">
        <f t="shared" si="8"/>
        <v>1</v>
      </c>
      <c r="AV14" s="997" t="b">
        <f t="shared" si="9"/>
        <v>0</v>
      </c>
      <c r="AW14" s="997" t="b">
        <f t="shared" si="10"/>
        <v>0</v>
      </c>
      <c r="AX14" s="997">
        <f t="shared" si="35"/>
        <v>0</v>
      </c>
      <c r="AY14" s="2370">
        <f ca="1">AR14/reliefs!$D$7*AX14*-1</f>
        <v>0</v>
      </c>
      <c r="AZ14" s="1002">
        <f t="shared" ca="1" si="36"/>
        <v>0</v>
      </c>
      <c r="BA14" s="2370"/>
      <c r="BB14" s="997"/>
      <c r="BC14" s="997"/>
      <c r="BD14" s="997"/>
      <c r="BE14" s="997"/>
      <c r="BG14" s="997">
        <f t="shared" si="37"/>
        <v>0</v>
      </c>
      <c r="BH14" s="997">
        <f t="shared" si="46"/>
        <v>15000</v>
      </c>
      <c r="BI14" s="1001">
        <f t="shared" si="47"/>
        <v>0</v>
      </c>
      <c r="BJ14" s="997">
        <f t="shared" si="48"/>
        <v>5000000</v>
      </c>
      <c r="BK14" s="997">
        <f t="shared" si="49"/>
        <v>0.499</v>
      </c>
      <c r="BL14" s="997" t="b">
        <f t="shared" si="50"/>
        <v>1</v>
      </c>
      <c r="BM14" s="997" t="b">
        <f t="shared" si="51"/>
        <v>0</v>
      </c>
      <c r="BN14" s="997">
        <f t="shared" si="52"/>
        <v>0</v>
      </c>
      <c r="BO14" s="997">
        <f t="shared" si="39"/>
        <v>0</v>
      </c>
      <c r="BP14" s="997"/>
      <c r="BQ14" s="997"/>
      <c r="BR14" s="997">
        <f t="shared" si="11"/>
        <v>600</v>
      </c>
      <c r="BS14" s="997"/>
      <c r="BT14" s="997" t="b">
        <f t="shared" si="12"/>
        <v>0</v>
      </c>
      <c r="BU14" s="997" t="b">
        <f t="shared" si="53"/>
        <v>1</v>
      </c>
      <c r="BV14" s="997" t="b">
        <f t="shared" si="13"/>
        <v>0</v>
      </c>
      <c r="BW14" s="997" t="b">
        <f t="shared" si="40"/>
        <v>0</v>
      </c>
      <c r="BX14" s="997" t="b">
        <f t="shared" si="41"/>
        <v>0</v>
      </c>
      <c r="BY14" s="997">
        <f t="shared" si="42"/>
        <v>600</v>
      </c>
      <c r="BZ14" s="997">
        <f t="shared" si="43"/>
        <v>366</v>
      </c>
      <c r="CA14" s="997">
        <f t="shared" si="54"/>
        <v>0</v>
      </c>
      <c r="CB14" s="997">
        <f t="shared" si="44"/>
        <v>0</v>
      </c>
      <c r="CC14" s="997">
        <f t="shared" si="55"/>
        <v>0</v>
      </c>
      <c r="CD14" s="997">
        <f t="shared" si="56"/>
        <v>600</v>
      </c>
      <c r="CE14" s="1002" t="b">
        <f t="shared" si="57"/>
        <v>0</v>
      </c>
      <c r="CH14" s="1036"/>
      <c r="CL14" s="1038">
        <f t="shared" si="58"/>
        <v>3</v>
      </c>
      <c r="CM14" s="1038" t="b">
        <f>nncalc1!$F$30</f>
        <v>0</v>
      </c>
      <c r="CN14" s="1038" t="b">
        <f>nccalc1!$F$30</f>
        <v>0</v>
      </c>
      <c r="CO14" s="1038" t="b">
        <f>bncalc1!$F$30</f>
        <v>0</v>
      </c>
      <c r="CP14" s="1038" t="b">
        <f>bccalc1!$F$30</f>
        <v>0</v>
      </c>
      <c r="CV14" s="1034"/>
    </row>
    <row r="15" spans="1:111" x14ac:dyDescent="0.35">
      <c r="B15" s="1003"/>
      <c r="H15" s="1002"/>
      <c r="T15" s="2445">
        <f ca="1">ROUND(SUM(T3:T14),2)</f>
        <v>0</v>
      </c>
      <c r="U15" s="1008">
        <f>U3+U4+U5+U6+U7+U8+U9+U10+U11+U12+U13+U14</f>
        <v>0</v>
      </c>
      <c r="V15" s="1008"/>
      <c r="W15" s="1008"/>
      <c r="X15" s="1008"/>
      <c r="AH15" s="1007"/>
      <c r="AI15" s="1009">
        <f>SUM(AI3:AI14)</f>
        <v>1</v>
      </c>
      <c r="AJ15" s="1002">
        <f>AJ14+AJ13+AJ12+AJ11+AJ10+AJ9+AJ8+AJ7+AJ6+AJ5+AJ4+AJ3</f>
        <v>0</v>
      </c>
      <c r="AK15" s="997" t="str">
        <f>IF(AJ15=12,"Phased",IF(AJ15=0,"True","***"))</f>
        <v>True</v>
      </c>
      <c r="AL15" s="1002">
        <f>SUM(AL3:AL14)</f>
        <v>0</v>
      </c>
      <c r="AM15" s="1010">
        <f>IF(AL15&lt;1,AL15,INT(AL15))</f>
        <v>0</v>
      </c>
      <c r="AN15" s="1010" t="str">
        <f>IF(AL15-AM15&lt;&gt;0,"N/J + T",IF(AND(0&lt;AL15,AL15&lt;1),"P + T",IF(AL15&gt;=1,"N/J","")))</f>
        <v/>
      </c>
      <c r="AP15" s="1002">
        <f>SUM($AO$3:AO15)</f>
        <v>1</v>
      </c>
      <c r="AR15" s="997"/>
      <c r="AY15" s="2371">
        <f ca="1">IF(SUM(AY3:AY14)&lt;$AY$1,$AY$1,SUM(AY3:AY14))</f>
        <v>0</v>
      </c>
      <c r="BA15" s="2371">
        <f ca="1">BA3+(AY15*-1)</f>
        <v>0</v>
      </c>
      <c r="BB15" s="1043" t="s">
        <v>2902</v>
      </c>
      <c r="BC15" s="15">
        <f>reliefs!D16</f>
        <v>315000</v>
      </c>
      <c r="BG15" s="1002">
        <f>SUM(BG3:BG14)+0.0000001</f>
        <v>9.9999999999999995E-8</v>
      </c>
      <c r="BH15" s="997">
        <f t="shared" si="46"/>
        <v>15000</v>
      </c>
      <c r="BI15" s="1001">
        <f t="shared" si="47"/>
        <v>0</v>
      </c>
      <c r="BJ15" s="997">
        <f t="shared" si="48"/>
        <v>5000000</v>
      </c>
      <c r="BK15" s="997">
        <f t="shared" si="49"/>
        <v>0.499</v>
      </c>
      <c r="BL15" s="997" t="b">
        <f t="shared" si="50"/>
        <v>1</v>
      </c>
      <c r="BM15" s="997" t="b">
        <f t="shared" si="51"/>
        <v>0</v>
      </c>
      <c r="BN15" s="997"/>
      <c r="BR15" s="997"/>
      <c r="BT15" s="997"/>
      <c r="BU15" s="997"/>
      <c r="BV15" s="997"/>
      <c r="BW15" s="997"/>
      <c r="CE15" s="1002" t="b">
        <f t="shared" si="57"/>
        <v>0</v>
      </c>
      <c r="CH15" s="1036"/>
      <c r="CL15" s="1038">
        <f t="shared" si="58"/>
        <v>4</v>
      </c>
      <c r="CM15" s="1038" t="b">
        <f>nncalc1!$G$30</f>
        <v>0</v>
      </c>
      <c r="CN15" s="1038" t="b">
        <f>nccalc1!$G$30</f>
        <v>0</v>
      </c>
      <c r="CO15" s="1038" t="b">
        <f>bncalc1!$G$30</f>
        <v>0</v>
      </c>
      <c r="CP15" s="1038" t="b">
        <f>bccalc1!$G$30</f>
        <v>0</v>
      </c>
      <c r="CV15" s="1034"/>
      <c r="DG15" s="1002"/>
    </row>
    <row r="16" spans="1:111" x14ac:dyDescent="0.35">
      <c r="A16" s="997">
        <v>0</v>
      </c>
      <c r="B16" s="1003">
        <f>CH3</f>
        <v>45383</v>
      </c>
      <c r="C16" s="997">
        <f>IF(OR(B16=0,B16=""),"",2)</f>
        <v>2</v>
      </c>
      <c r="D16" s="1003">
        <f>$CJ$3</f>
        <v>45747</v>
      </c>
      <c r="E16" s="1002" t="str">
        <f ca="1">IF(B16=B17,E17,OFFSET(E2,AI15,0))</f>
        <v>nn</v>
      </c>
      <c r="F16" s="1003">
        <f>B16</f>
        <v>45383</v>
      </c>
      <c r="G16" s="1003">
        <f>IF(B16="","",IF(C17=C16,F17-1,D16))</f>
        <v>45747</v>
      </c>
      <c r="H16" s="1002">
        <f>IF(B16&lt;&gt;"",G16-F16+1,0)</f>
        <v>365</v>
      </c>
      <c r="I16" s="997">
        <f t="shared" ref="I16:I27" ca="1" si="59">IF(AP16&gt;0,K16*P16,HLOOKUP(E16,$CM$1:$CP$9,1+$C$16,FALSE))</f>
        <v>0</v>
      </c>
      <c r="J16" s="997">
        <f t="shared" ref="J16:J27" ca="1" si="60">I16/$CK$3</f>
        <v>0</v>
      </c>
      <c r="K16" s="997">
        <f t="shared" ref="K16:K27" ca="1" si="61">HLOOKUP(E16,$CM$1:$CP$10,10,FALSE)</f>
        <v>0</v>
      </c>
      <c r="L16" s="997">
        <f ca="1">IF(B16=B17,L17,OFFSET(L2,AI15,0))</f>
        <v>0</v>
      </c>
      <c r="M16" s="1002" t="str">
        <f ca="1">IF(L16&lt;K16,"down","up")</f>
        <v>up</v>
      </c>
      <c r="N16" s="1002">
        <f ca="1">IF(OR(B16="",K16=0),0,IF(M16="down",J16*L16/K16*H16,0))</f>
        <v>0</v>
      </c>
      <c r="O16" s="1002">
        <f t="shared" ref="O16:O27" ca="1" si="62">IF(B16="","",IF(M16="up",((J16*H16)+((L16-K16)*P16/$CK$3*H16)),0))</f>
        <v>0</v>
      </c>
      <c r="P16" s="1032">
        <f>$CL$3</f>
        <v>0.499</v>
      </c>
      <c r="Q16" s="997">
        <f ca="1">IF(M16="down",N16,O16)</f>
        <v>0</v>
      </c>
      <c r="R16" s="997">
        <f ca="1">IF(B16="",0,IF(U16=TRUE,(Q16/AH16)+AC16+(AD16/AH16),(Q16)+Y16+Z16+AC16+AD16))</f>
        <v>0</v>
      </c>
      <c r="S16" s="1006">
        <f ca="1">IF(B16=B17,S17,OFFSET(S2,AI15,0))</f>
        <v>1</v>
      </c>
      <c r="T16" s="2442">
        <f ca="1">$CV$1*(IF(AND(AF16="y",L16&lt;AG16),0,R16*S16))+CB16+AZ16</f>
        <v>0</v>
      </c>
      <c r="U16" s="997" t="b">
        <f ca="1">AND(V16=TRUE,L16&lt;=W16,AF16="n",X16=FALSE)</f>
        <v>0</v>
      </c>
      <c r="V16" s="997" t="b">
        <f>advanced!$I$23="y"</f>
        <v>0</v>
      </c>
      <c r="W16" s="997">
        <f>data!$D$34</f>
        <v>15000</v>
      </c>
      <c r="X16" s="997" t="b">
        <f t="shared" si="26"/>
        <v>0</v>
      </c>
      <c r="Y16" s="997">
        <f ca="1">IF(B16="",0,IF(OR(L16&lt;$CV$3,U16=TRUE,BX16=TRUE),0,L16*$CS$3/$CK$3*H16))</f>
        <v>0</v>
      </c>
      <c r="Z16" s="997">
        <f t="shared" ref="Z16:Z27" ca="1" si="63">IF(B16="",0,IF(AND($Z$2=TRUE,L16&gt;AA16),L16*AB16*H16/AQ16,0))</f>
        <v>0</v>
      </c>
      <c r="AA16" s="1002">
        <f>data!$G$54</f>
        <v>75000</v>
      </c>
      <c r="AB16" s="1002">
        <f>data!$F$54</f>
        <v>0.02</v>
      </c>
      <c r="AC16" s="997">
        <f ca="1">IF(B16="",0,L16*($CQ$3-IF(L16&lt;$CV$3,CW$3,0))/$CK$3*H16)*$AC$2/IF(U16=TRUE,AH16,1)</f>
        <v>0</v>
      </c>
      <c r="AD16" s="997">
        <f ca="1">IF(B16="",0,(IF($AE$1=authorities!$I$1,0,IF(L16&gt;AE16,VLOOKUP($AD$1,authorities!A:H,C16+1,FALSE),0)))*L16/$CK$3*H16)</f>
        <v>0</v>
      </c>
      <c r="AE16" s="997">
        <f>IF($AE$1=authorities!$I$1,0,$AE$1)</f>
        <v>0</v>
      </c>
      <c r="AF16" s="1006" t="str">
        <f ca="1">IF(B16=B17,AF17,OFFSET(AF2,AI15,0))</f>
        <v>n</v>
      </c>
      <c r="AG16" s="1002">
        <f>data!$C$44</f>
        <v>2900</v>
      </c>
      <c r="AH16" s="1007">
        <f t="shared" ref="AH16:AH27" ca="1" si="64">IF(L16&lt;=$CT$3,5000000,IF(L16&gt;$CU$3,1,IF(MID((($CU$3-$CT$3)/(L16-$CT$3)),6,1)="5",ROUND((($CU$3-$CT$3)/(L16-$CT$3))-0.0001,3),ROUND(($CU$3-$CT$3)/(L16-$CT$3),3))))</f>
        <v>5000000</v>
      </c>
      <c r="AI16" s="997">
        <f ca="1">IF(L16&lt;&gt;"",1,0)</f>
        <v>1</v>
      </c>
      <c r="AJ16" s="997" t="b">
        <f ca="1">IF(AP16&gt;0,FALSE,HLOOKUP(E16,$CM$1:$CP$17,$AJ$1+2,FALSE))</f>
        <v>0</v>
      </c>
      <c r="AL16" s="997">
        <f ca="1">IF(OR(H16=0,F16="",K16=L16,AJ16=FALSE),0,IF(L16&lt;K16,1,0.01))</f>
        <v>0</v>
      </c>
      <c r="AO16" s="1002">
        <f t="shared" ca="1" si="31"/>
        <v>1</v>
      </c>
      <c r="AP16" s="1002">
        <f ca="1">SUM($AO$3:AO16)</f>
        <v>2</v>
      </c>
      <c r="AQ16" s="1002">
        <f>$CK$3</f>
        <v>365</v>
      </c>
      <c r="AR16" s="997">
        <f t="shared" ca="1" si="33"/>
        <v>0</v>
      </c>
      <c r="AT16" s="997">
        <f ca="1">L16</f>
        <v>0</v>
      </c>
      <c r="AU16" s="997" t="b">
        <f t="shared" ref="AU16:AU27" ca="1" si="65">AT16&lt;$AU$1</f>
        <v>1</v>
      </c>
      <c r="AV16" s="997" t="b">
        <f t="shared" si="9"/>
        <v>0</v>
      </c>
      <c r="AW16" s="997" t="b">
        <f t="shared" ref="AW16:AW27" ca="1" si="66">AF16="n"</f>
        <v>1</v>
      </c>
      <c r="AX16" s="997">
        <f ca="1">AU16*AV16*AW16*IF(S16=0,0,1)</f>
        <v>0</v>
      </c>
      <c r="AY16" s="2370">
        <f ca="1">AR16/reliefs!$E$7*AX16*-1</f>
        <v>0</v>
      </c>
      <c r="AZ16" s="1002">
        <f ca="1">$AY$28/$BG$28*H16*AX16</f>
        <v>0</v>
      </c>
      <c r="BA16" s="2370"/>
      <c r="BB16" s="997"/>
      <c r="BC16" s="997"/>
      <c r="BD16" s="997"/>
      <c r="BE16" s="997"/>
      <c r="BG16" s="997">
        <f ca="1">H16*AX16</f>
        <v>0</v>
      </c>
      <c r="BH16" s="997">
        <f t="shared" si="46"/>
        <v>15000</v>
      </c>
      <c r="BI16" s="1001">
        <f t="shared" si="47"/>
        <v>0</v>
      </c>
      <c r="BJ16" s="997">
        <f t="shared" si="48"/>
        <v>5000000</v>
      </c>
      <c r="BK16" s="997">
        <f t="shared" si="49"/>
        <v>0.499</v>
      </c>
      <c r="BL16" s="997" t="b">
        <f t="shared" si="50"/>
        <v>1</v>
      </c>
      <c r="BM16" s="997" t="b">
        <f t="shared" si="51"/>
        <v>0</v>
      </c>
      <c r="BN16" s="997">
        <f>CD14</f>
        <v>600</v>
      </c>
      <c r="BO16" s="997">
        <f t="shared" ca="1" si="39"/>
        <v>0</v>
      </c>
      <c r="BP16" s="997"/>
      <c r="BQ16" s="997"/>
      <c r="BR16" s="997">
        <f>BN16+600</f>
        <v>1200</v>
      </c>
      <c r="BS16" s="997"/>
      <c r="BT16" s="997" t="b">
        <f ca="1">BO16&gt;BR16</f>
        <v>0</v>
      </c>
      <c r="BU16" s="997" t="b">
        <f>BU14</f>
        <v>1</v>
      </c>
      <c r="BV16" s="997" t="b">
        <f ca="1">AW16</f>
        <v>1</v>
      </c>
      <c r="BW16" s="997" t="b">
        <f ca="1">BV16</f>
        <v>1</v>
      </c>
      <c r="BX16" s="997" t="b">
        <f ca="1">IF(CE16=TRUE,FALSE,BL16+BM16+BT16+BU16+BV16+BW16=6)</f>
        <v>0</v>
      </c>
      <c r="BY16" s="997">
        <f t="shared" ca="1" si="42"/>
        <v>1200</v>
      </c>
      <c r="BZ16" s="997">
        <f t="shared" si="43"/>
        <v>365</v>
      </c>
      <c r="CA16" s="997">
        <f>H16</f>
        <v>365</v>
      </c>
      <c r="CB16" s="997">
        <f ca="1">BY16/BZ16*CA16*BX16</f>
        <v>0</v>
      </c>
      <c r="CC16" s="997">
        <f t="shared" ca="1" si="55"/>
        <v>0</v>
      </c>
      <c r="CD16" s="997">
        <f>BR16</f>
        <v>1200</v>
      </c>
      <c r="CE16" s="1002" t="b">
        <f t="shared" si="57"/>
        <v>0</v>
      </c>
      <c r="CH16" s="1036"/>
      <c r="CL16" s="1038">
        <f t="shared" si="58"/>
        <v>5</v>
      </c>
      <c r="CM16" s="1038" t="b">
        <f>nncalc1!$H$30</f>
        <v>0</v>
      </c>
      <c r="CN16" s="1038" t="b">
        <f>nccalc1!$H$30</f>
        <v>0</v>
      </c>
      <c r="CO16" s="1038" t="b">
        <f>bncalc1!$H$30</f>
        <v>0</v>
      </c>
      <c r="CP16" s="1038" t="b">
        <f>bccalc1!$H$30</f>
        <v>0</v>
      </c>
      <c r="CV16" s="1034"/>
      <c r="DB16" s="1001"/>
      <c r="DG16" s="1002"/>
    </row>
    <row r="17" spans="1:111" x14ac:dyDescent="0.35">
      <c r="A17" s="997">
        <f t="shared" ref="A17:A27" si="67">A16+1</f>
        <v>1</v>
      </c>
      <c r="B17" s="1003" t="str">
        <f>IF(input_engine_o!$U$21&gt;A16,VLOOKUP(A17,input_engine_o!$U$23:$Y$35,2,FALSE),"")</f>
        <v/>
      </c>
      <c r="C17" s="997" t="str">
        <f t="shared" ref="C17:C27" si="68">IF(OR(B17=0,B17=""),"",2)</f>
        <v/>
      </c>
      <c r="D17" s="1003">
        <f t="shared" ref="D17:D27" si="69">$CJ$3</f>
        <v>45747</v>
      </c>
      <c r="E17" s="1002" t="str">
        <f ca="1">IF(B17="",E16,VLOOKUP(B17,input_engine_o!$B$23:$F$35,5,FALSE))</f>
        <v>nn</v>
      </c>
      <c r="F17" s="1003" t="str">
        <f t="shared" ref="F17:F27" si="70">B17</f>
        <v/>
      </c>
      <c r="G17" s="1003" t="str">
        <f t="shared" ref="G17:G26" si="71">IF(B17="","",IF(C18=C17,F18-1,D17))</f>
        <v/>
      </c>
      <c r="H17" s="1002">
        <f t="shared" ref="H17:H27" si="72">IF(B17&lt;&gt;"",G17-F17+1,0)</f>
        <v>0</v>
      </c>
      <c r="I17" s="997">
        <f t="shared" ca="1" si="59"/>
        <v>0</v>
      </c>
      <c r="J17" s="997">
        <f t="shared" ca="1" si="60"/>
        <v>0</v>
      </c>
      <c r="K17" s="997">
        <f t="shared" ca="1" si="61"/>
        <v>0</v>
      </c>
      <c r="L17" s="997" t="str">
        <f>IF(input_engine_o!$U$21&gt;A16,VLOOKUP(A17,input_engine_o!$U$23:$Y$36,3,FALSE),"")</f>
        <v/>
      </c>
      <c r="M17" s="1002" t="str">
        <f t="shared" ref="M17:M27" ca="1" si="73">IF(L17&lt;K17,"down","up")</f>
        <v>up</v>
      </c>
      <c r="N17" s="1002" t="str">
        <f>IF(B17="","",IF(M17="down",J17*L17/K17*H17,0))</f>
        <v/>
      </c>
      <c r="O17" s="1002" t="str">
        <f t="shared" si="62"/>
        <v/>
      </c>
      <c r="P17" s="1032">
        <f t="shared" ref="P17:P27" si="74">$CL$3</f>
        <v>0.499</v>
      </c>
      <c r="Q17" s="997" t="str">
        <f t="shared" ref="Q17:Q27" ca="1" si="75">IF(M17="down",N17,O17)</f>
        <v/>
      </c>
      <c r="R17" s="997">
        <f t="shared" ref="R17:R27" si="76">IF(B17="",0,IF(U17=TRUE,(Q17/AH17)+AC17+(AD17/AH17),(Q17)+Y17+Z17+AC17+AD17))</f>
        <v>0</v>
      </c>
      <c r="S17" s="1006">
        <f>IF(input_engine_o!$U$21&gt;A16,VLOOKUP(A17,input_engine_o!$U$23:$Y$35,4,FALSE),0)</f>
        <v>0</v>
      </c>
      <c r="T17" s="2442">
        <f t="shared" ref="T17:T27" ca="1" si="77">$CV$1*(IF(AND(AF17="y",L17&lt;AG17),0,R17*S17))+CB17+AZ17</f>
        <v>0</v>
      </c>
      <c r="U17" s="997" t="b">
        <f t="shared" ref="U17:U27" si="78">AND(V17=TRUE,L17&lt;=W17,AF17="n",X17=FALSE)</f>
        <v>0</v>
      </c>
      <c r="V17" s="997" t="b">
        <f>advanced!$I$23="y"</f>
        <v>0</v>
      </c>
      <c r="W17" s="997">
        <f>data!$D$34</f>
        <v>15000</v>
      </c>
      <c r="X17" s="997" t="b">
        <f t="shared" si="26"/>
        <v>0</v>
      </c>
      <c r="Y17" s="997">
        <f t="shared" ref="Y17:Y27" si="79">IF(B17="",0,IF(OR(L17&lt;$CV$3,U17=TRUE,BX17=TRUE),0,L17*$CS$3/$CK$3*H17))</f>
        <v>0</v>
      </c>
      <c r="Z17" s="997">
        <f t="shared" si="63"/>
        <v>0</v>
      </c>
      <c r="AA17" s="1002">
        <f>data!$G$54</f>
        <v>75000</v>
      </c>
      <c r="AB17" s="1002">
        <f>data!$F$54</f>
        <v>0.02</v>
      </c>
      <c r="AC17" s="997">
        <f t="shared" ref="AC17:AC27" si="80">IF(B17="",0,L17*($CQ$3-IF(L17&lt;$CV$3,CW$3,0))/$CK$3*H17)*$AC$2/IF(U17=TRUE,AH17,1)</f>
        <v>0</v>
      </c>
      <c r="AD17" s="997">
        <f>IF(B17="",0,(IF($AE$1=authorities!$I$1,0,IF(L17&gt;AE17,VLOOKUP($AD$1,authorities!A:H,C17+1,FALSE),0)))*L17/$CK$3*H17)</f>
        <v>0</v>
      </c>
      <c r="AE17" s="997">
        <f>IF($AE$1=authorities!$I$1,0,$AE$1)</f>
        <v>0</v>
      </c>
      <c r="AF17" s="1002">
        <f>IF(input_engine_o!$U$21&gt;A16,VLOOKUP(A17,input_engine_o!$U$23:$Y$35,5,FALSE),0)</f>
        <v>0</v>
      </c>
      <c r="AG17" s="1002">
        <f>data!$C$44</f>
        <v>2900</v>
      </c>
      <c r="AH17" s="1007">
        <f t="shared" si="64"/>
        <v>1</v>
      </c>
      <c r="AI17" s="997">
        <f t="shared" ref="AI17:AI27" si="81">IF(L17&lt;&gt;"",1,0)</f>
        <v>0</v>
      </c>
      <c r="AJ17" s="997" t="b">
        <f t="shared" ref="AJ17:AJ27" ca="1" si="82">IF(AP17&gt;0,FALSE,HLOOKUP(E17,$CM$1:$CP$17,$AJ$1+2,FALSE))</f>
        <v>0</v>
      </c>
      <c r="AL17" s="997">
        <f t="shared" ref="AL17:AL27" ca="1" si="83">IF(OR(H17=0,F17="",K17=L17,AJ17=FALSE),0,IF(L17&lt;K17,1,0.01))</f>
        <v>0</v>
      </c>
      <c r="AO17" s="1002">
        <f t="shared" si="31"/>
        <v>0</v>
      </c>
      <c r="AP17" s="1002">
        <f ca="1">SUM($AO$3:AO17)</f>
        <v>2</v>
      </c>
      <c r="AQ17" s="1002">
        <f t="shared" ref="AQ17:AQ27" si="84">$CK$3</f>
        <v>365</v>
      </c>
      <c r="AR17" s="997">
        <f t="shared" ca="1" si="33"/>
        <v>0</v>
      </c>
      <c r="AT17" s="997">
        <f t="shared" ref="AT17:AT27" ca="1" si="85">IF(L17="",AT16,L17)</f>
        <v>0</v>
      </c>
      <c r="AU17" s="997" t="b">
        <f t="shared" ca="1" si="65"/>
        <v>1</v>
      </c>
      <c r="AV17" s="997" t="b">
        <f t="shared" si="9"/>
        <v>0</v>
      </c>
      <c r="AW17" s="997" t="b">
        <f t="shared" si="66"/>
        <v>0</v>
      </c>
      <c r="AX17" s="997">
        <f t="shared" ref="AX17:AX27" ca="1" si="86">AU17*AV17*AW17*IF(S17=0,0,1)</f>
        <v>0</v>
      </c>
      <c r="AY17" s="2370">
        <f ca="1">AR17/reliefs!$E$7*AX17*-1</f>
        <v>0</v>
      </c>
      <c r="AZ17" s="1002">
        <f t="shared" ref="AZ17:AZ27" ca="1" si="87">$AY$28/$BG$28*H17*AX17</f>
        <v>0</v>
      </c>
      <c r="BA17" s="2370"/>
      <c r="BB17" s="997"/>
      <c r="BC17" s="997"/>
      <c r="BD17" s="997"/>
      <c r="BE17" s="997"/>
      <c r="BG17" s="997">
        <f t="shared" ref="BG17:BG27" ca="1" si="88">H17*AX17</f>
        <v>0</v>
      </c>
      <c r="BH17" s="997">
        <f t="shared" si="46"/>
        <v>15000</v>
      </c>
      <c r="BI17" s="1001">
        <f t="shared" si="47"/>
        <v>0</v>
      </c>
      <c r="BJ17" s="997">
        <f t="shared" si="48"/>
        <v>5000000</v>
      </c>
      <c r="BK17" s="997">
        <f t="shared" si="49"/>
        <v>0.499</v>
      </c>
      <c r="BL17" s="997" t="b">
        <f t="shared" si="50"/>
        <v>1</v>
      </c>
      <c r="BM17" s="997" t="b">
        <f t="shared" si="51"/>
        <v>0</v>
      </c>
      <c r="BN17" s="997">
        <f t="shared" si="52"/>
        <v>600</v>
      </c>
      <c r="BO17" s="997">
        <f t="shared" ref="BO17:BO27" ca="1" si="89">I17/IF(U17=TRUE,AH17,1)</f>
        <v>0</v>
      </c>
      <c r="BP17" s="997"/>
      <c r="BQ17" s="997"/>
      <c r="BR17" s="997">
        <f t="shared" ref="BR17:BR40" si="90">BN17+600</f>
        <v>1200</v>
      </c>
      <c r="BS17" s="997"/>
      <c r="BT17" s="997" t="b">
        <f t="shared" ref="BT17:BT27" ca="1" si="91">BO17&gt;BR17</f>
        <v>0</v>
      </c>
      <c r="BU17" s="997" t="b">
        <f>BU16</f>
        <v>1</v>
      </c>
      <c r="BV17" s="997" t="b">
        <f t="shared" ref="BV17:BV27" si="92">AW17</f>
        <v>0</v>
      </c>
      <c r="BW17" s="997" t="b">
        <f t="shared" ref="BW17:BW27" ca="1" si="93">AND(BW16=TRUE,BV17=TRUE)</f>
        <v>0</v>
      </c>
      <c r="BX17" s="997" t="b">
        <f t="shared" ref="BX17:BX41" ca="1" si="94">IF(CE17=TRUE,FALSE,BL17+BM17+BT17+BU17+BV17+BW17=6)</f>
        <v>0</v>
      </c>
      <c r="BY17" s="997">
        <f t="shared" ref="BY17:BY27" ca="1" si="95">(BR17-BO17)</f>
        <v>1200</v>
      </c>
      <c r="BZ17" s="997">
        <f t="shared" ref="BZ17:BZ27" si="96">AQ17</f>
        <v>365</v>
      </c>
      <c r="CA17" s="997">
        <f t="shared" ref="CA17:CA27" si="97">H17</f>
        <v>0</v>
      </c>
      <c r="CB17" s="997">
        <f t="shared" ref="CB17:CB27" ca="1" si="98">BY17/BZ17*CA17*BX17</f>
        <v>0</v>
      </c>
      <c r="CC17" s="997">
        <f t="shared" ca="1" si="55"/>
        <v>0</v>
      </c>
      <c r="CD17" s="997">
        <f>CD16</f>
        <v>1200</v>
      </c>
      <c r="CE17" s="1002" t="b">
        <f t="shared" si="57"/>
        <v>0</v>
      </c>
      <c r="CH17" s="1036"/>
      <c r="CL17" s="1038">
        <f t="shared" si="58"/>
        <v>6</v>
      </c>
      <c r="CM17" s="1038" t="b">
        <f>nncalc1!$I$30</f>
        <v>0</v>
      </c>
      <c r="CN17" s="1038" t="b">
        <f>nccalc1!$I$30</f>
        <v>0</v>
      </c>
      <c r="CO17" s="1038" t="b">
        <f>bncalc1!$I$30</f>
        <v>0</v>
      </c>
      <c r="CP17" s="1038" t="b">
        <f>bccalc1!$I$30</f>
        <v>0</v>
      </c>
      <c r="CV17" s="1034"/>
      <c r="DB17" s="1001"/>
      <c r="DG17" s="1002"/>
    </row>
    <row r="18" spans="1:111" ht="15" thickBot="1" x14ac:dyDescent="0.4">
      <c r="A18" s="997">
        <f t="shared" si="67"/>
        <v>2</v>
      </c>
      <c r="B18" s="1003" t="str">
        <f>IF(input_engine_o!$U$21&gt;A17,VLOOKUP(A18,input_engine_o!$U$23:$Y$35,2,FALSE),"")</f>
        <v/>
      </c>
      <c r="C18" s="997" t="str">
        <f t="shared" si="68"/>
        <v/>
      </c>
      <c r="D18" s="1003">
        <f t="shared" si="69"/>
        <v>45747</v>
      </c>
      <c r="E18" s="1002" t="str">
        <f ca="1">IF(B18="",E17,VLOOKUP(B18,input_engine_o!$B$23:$F$35,5,FALSE))</f>
        <v>nn</v>
      </c>
      <c r="F18" s="1003" t="str">
        <f t="shared" si="70"/>
        <v/>
      </c>
      <c r="G18" s="1003" t="str">
        <f t="shared" si="71"/>
        <v/>
      </c>
      <c r="H18" s="1002">
        <f t="shared" si="72"/>
        <v>0</v>
      </c>
      <c r="I18" s="997">
        <f t="shared" ca="1" si="59"/>
        <v>0</v>
      </c>
      <c r="J18" s="997">
        <f t="shared" ca="1" si="60"/>
        <v>0</v>
      </c>
      <c r="K18" s="997">
        <f t="shared" ca="1" si="61"/>
        <v>0</v>
      </c>
      <c r="L18" s="997" t="str">
        <f>IF(input_engine_o!$U$21&gt;A17,VLOOKUP(A18,input_engine_o!$U$23:$Y$36,3,FALSE),"")</f>
        <v/>
      </c>
      <c r="M18" s="1002" t="str">
        <f t="shared" ca="1" si="73"/>
        <v>up</v>
      </c>
      <c r="N18" s="1002" t="str">
        <f t="shared" ref="N18:N27" si="99">IF(B18="","",IF(M18="down",J18*L18/K18*H18,0))</f>
        <v/>
      </c>
      <c r="O18" s="1002" t="str">
        <f t="shared" si="62"/>
        <v/>
      </c>
      <c r="P18" s="1032">
        <f t="shared" si="74"/>
        <v>0.499</v>
      </c>
      <c r="Q18" s="997" t="str">
        <f t="shared" ca="1" si="75"/>
        <v/>
      </c>
      <c r="R18" s="997">
        <f t="shared" si="76"/>
        <v>0</v>
      </c>
      <c r="S18" s="1006">
        <f>IF(input_engine_o!$U$21&gt;A17,VLOOKUP(A18,input_engine_o!$U$23:$Y$35,4,FALSE),0)</f>
        <v>0</v>
      </c>
      <c r="T18" s="2442">
        <f t="shared" ca="1" si="77"/>
        <v>0</v>
      </c>
      <c r="U18" s="997" t="b">
        <f t="shared" si="78"/>
        <v>0</v>
      </c>
      <c r="V18" s="997" t="b">
        <f>advanced!$I$23="y"</f>
        <v>0</v>
      </c>
      <c r="W18" s="997">
        <f>data!$D$34</f>
        <v>15000</v>
      </c>
      <c r="X18" s="997" t="b">
        <f t="shared" si="26"/>
        <v>0</v>
      </c>
      <c r="Y18" s="997">
        <f t="shared" si="79"/>
        <v>0</v>
      </c>
      <c r="Z18" s="997">
        <f t="shared" si="63"/>
        <v>0</v>
      </c>
      <c r="AA18" s="1002">
        <f>data!$G$54</f>
        <v>75000</v>
      </c>
      <c r="AB18" s="1002">
        <f>data!$F$54</f>
        <v>0.02</v>
      </c>
      <c r="AC18" s="997">
        <f t="shared" si="80"/>
        <v>0</v>
      </c>
      <c r="AD18" s="997">
        <f>IF(B18="",0,(IF($AE$1=authorities!$I$1,0,IF(L18&gt;AE18,VLOOKUP($AD$1,authorities!A:H,C18+1,FALSE),0)))*L18/$CK$3*H18)</f>
        <v>0</v>
      </c>
      <c r="AE18" s="997">
        <f>IF($AE$1=authorities!$I$1,0,$AE$1)</f>
        <v>0</v>
      </c>
      <c r="AF18" s="1002">
        <f>IF(input_engine_o!$U$21&gt;A17,VLOOKUP(A18,input_engine_o!$U$23:$Y$35,5,FALSE),0)</f>
        <v>0</v>
      </c>
      <c r="AG18" s="1002">
        <f>data!$C$44</f>
        <v>2900</v>
      </c>
      <c r="AH18" s="1007">
        <f t="shared" si="64"/>
        <v>1</v>
      </c>
      <c r="AI18" s="997">
        <f t="shared" si="81"/>
        <v>0</v>
      </c>
      <c r="AJ18" s="997" t="b">
        <f t="shared" ca="1" si="82"/>
        <v>0</v>
      </c>
      <c r="AL18" s="997">
        <f t="shared" ca="1" si="83"/>
        <v>0</v>
      </c>
      <c r="AO18" s="1002">
        <f t="shared" si="31"/>
        <v>0</v>
      </c>
      <c r="AP18" s="1002">
        <f ca="1">SUM($AO$3:AO18)</f>
        <v>2</v>
      </c>
      <c r="AQ18" s="1002">
        <f t="shared" si="84"/>
        <v>365</v>
      </c>
      <c r="AR18" s="997">
        <f t="shared" ca="1" si="33"/>
        <v>0</v>
      </c>
      <c r="AT18" s="997">
        <f t="shared" ca="1" si="85"/>
        <v>0</v>
      </c>
      <c r="AU18" s="997" t="b">
        <f t="shared" ca="1" si="65"/>
        <v>1</v>
      </c>
      <c r="AV18" s="997" t="b">
        <f t="shared" si="9"/>
        <v>0</v>
      </c>
      <c r="AW18" s="997" t="b">
        <f t="shared" si="66"/>
        <v>0</v>
      </c>
      <c r="AX18" s="997">
        <f t="shared" ca="1" si="86"/>
        <v>0</v>
      </c>
      <c r="AY18" s="2370">
        <f ca="1">AR18/reliefs!$E$7*AX18*-1</f>
        <v>0</v>
      </c>
      <c r="AZ18" s="1002">
        <f t="shared" ca="1" si="87"/>
        <v>0</v>
      </c>
      <c r="BA18" s="2370"/>
      <c r="BB18" s="997"/>
      <c r="BC18" s="997"/>
      <c r="BD18" s="997"/>
      <c r="BE18" s="997"/>
      <c r="BG18" s="997">
        <f t="shared" ca="1" si="88"/>
        <v>0</v>
      </c>
      <c r="BH18" s="997">
        <f t="shared" si="46"/>
        <v>15000</v>
      </c>
      <c r="BI18" s="1001">
        <f t="shared" si="47"/>
        <v>0</v>
      </c>
      <c r="BJ18" s="997">
        <f t="shared" si="48"/>
        <v>5000000</v>
      </c>
      <c r="BK18" s="997">
        <f t="shared" si="49"/>
        <v>0.499</v>
      </c>
      <c r="BL18" s="997" t="b">
        <f t="shared" si="50"/>
        <v>1</v>
      </c>
      <c r="BM18" s="997" t="b">
        <f t="shared" si="51"/>
        <v>0</v>
      </c>
      <c r="BN18" s="997">
        <f t="shared" si="52"/>
        <v>600</v>
      </c>
      <c r="BO18" s="997">
        <f t="shared" ca="1" si="89"/>
        <v>0</v>
      </c>
      <c r="BP18" s="997"/>
      <c r="BQ18" s="997"/>
      <c r="BR18" s="997">
        <f t="shared" si="90"/>
        <v>1200</v>
      </c>
      <c r="BS18" s="997"/>
      <c r="BT18" s="997" t="b">
        <f t="shared" ca="1" si="91"/>
        <v>0</v>
      </c>
      <c r="BU18" s="997" t="b">
        <f t="shared" ref="BU18:BU27" si="100">BU17</f>
        <v>1</v>
      </c>
      <c r="BV18" s="997" t="b">
        <f t="shared" si="92"/>
        <v>0</v>
      </c>
      <c r="BW18" s="997" t="b">
        <f t="shared" ca="1" si="93"/>
        <v>0</v>
      </c>
      <c r="BX18" s="997" t="b">
        <f t="shared" ca="1" si="94"/>
        <v>0</v>
      </c>
      <c r="BY18" s="997">
        <f t="shared" ca="1" si="95"/>
        <v>1200</v>
      </c>
      <c r="BZ18" s="997">
        <f t="shared" si="96"/>
        <v>365</v>
      </c>
      <c r="CA18" s="997">
        <f t="shared" si="97"/>
        <v>0</v>
      </c>
      <c r="CB18" s="997">
        <f t="shared" ca="1" si="98"/>
        <v>0</v>
      </c>
      <c r="CC18" s="997">
        <f t="shared" ca="1" si="55"/>
        <v>0</v>
      </c>
      <c r="CD18" s="997">
        <f t="shared" ref="CD18:CD27" si="101">CD17</f>
        <v>1200</v>
      </c>
      <c r="CE18" s="1002" t="b">
        <f t="shared" si="57"/>
        <v>0</v>
      </c>
      <c r="CH18" s="1039"/>
      <c r="CI18" s="1040"/>
      <c r="CJ18" s="1040"/>
      <c r="CK18" s="1040"/>
      <c r="CL18" s="1040"/>
      <c r="CM18" s="1040"/>
      <c r="CN18" s="1040"/>
      <c r="CO18" s="1040"/>
      <c r="CP18" s="1040"/>
      <c r="CQ18" s="1040"/>
      <c r="CR18" s="1040"/>
      <c r="CS18" s="1040"/>
      <c r="CT18" s="1040"/>
      <c r="CU18" s="1040"/>
      <c r="CV18" s="1041"/>
      <c r="DB18" s="1001"/>
      <c r="DG18" s="1002"/>
    </row>
    <row r="19" spans="1:111" x14ac:dyDescent="0.35">
      <c r="A19" s="997">
        <f t="shared" si="67"/>
        <v>3</v>
      </c>
      <c r="B19" s="1003" t="str">
        <f>IF(input_engine_o!$U$21&gt;A18,VLOOKUP(A19,input_engine_o!$U$23:$Y$35,2,FALSE),"")</f>
        <v/>
      </c>
      <c r="C19" s="997" t="str">
        <f t="shared" si="68"/>
        <v/>
      </c>
      <c r="D19" s="1003">
        <f t="shared" si="69"/>
        <v>45747</v>
      </c>
      <c r="E19" s="1002" t="str">
        <f ca="1">IF(B19="",E18,VLOOKUP(B19,input_engine_o!$B$23:$F$35,5,FALSE))</f>
        <v>nn</v>
      </c>
      <c r="F19" s="1003" t="str">
        <f t="shared" si="70"/>
        <v/>
      </c>
      <c r="G19" s="1003" t="str">
        <f t="shared" si="71"/>
        <v/>
      </c>
      <c r="H19" s="1002">
        <f t="shared" si="72"/>
        <v>0</v>
      </c>
      <c r="I19" s="997">
        <f t="shared" ca="1" si="59"/>
        <v>0</v>
      </c>
      <c r="J19" s="997">
        <f t="shared" ca="1" si="60"/>
        <v>0</v>
      </c>
      <c r="K19" s="997">
        <f t="shared" ca="1" si="61"/>
        <v>0</v>
      </c>
      <c r="L19" s="997" t="str">
        <f>IF(input_engine_o!$U$21&gt;A18,VLOOKUP(A19,input_engine_o!$U$23:$Y$36,3,FALSE),"")</f>
        <v/>
      </c>
      <c r="M19" s="1002" t="str">
        <f t="shared" ca="1" si="73"/>
        <v>up</v>
      </c>
      <c r="N19" s="1002" t="str">
        <f t="shared" si="99"/>
        <v/>
      </c>
      <c r="O19" s="1002" t="str">
        <f t="shared" si="62"/>
        <v/>
      </c>
      <c r="P19" s="1032">
        <f t="shared" si="74"/>
        <v>0.499</v>
      </c>
      <c r="Q19" s="997" t="str">
        <f t="shared" ca="1" si="75"/>
        <v/>
      </c>
      <c r="R19" s="997">
        <f t="shared" si="76"/>
        <v>0</v>
      </c>
      <c r="S19" s="1006">
        <f>IF(input_engine_o!$U$21&gt;A18,VLOOKUP(A19,input_engine_o!$U$23:$Y$35,4,FALSE),0)</f>
        <v>0</v>
      </c>
      <c r="T19" s="2442">
        <f t="shared" ca="1" si="77"/>
        <v>0</v>
      </c>
      <c r="U19" s="997" t="b">
        <f t="shared" si="78"/>
        <v>0</v>
      </c>
      <c r="V19" s="997" t="b">
        <f>advanced!$I$23="y"</f>
        <v>0</v>
      </c>
      <c r="W19" s="997">
        <f>data!$D$34</f>
        <v>15000</v>
      </c>
      <c r="X19" s="997" t="b">
        <f t="shared" si="26"/>
        <v>0</v>
      </c>
      <c r="Y19" s="997">
        <f t="shared" si="79"/>
        <v>0</v>
      </c>
      <c r="Z19" s="997">
        <f t="shared" si="63"/>
        <v>0</v>
      </c>
      <c r="AA19" s="1002">
        <f>data!$G$54</f>
        <v>75000</v>
      </c>
      <c r="AB19" s="1002">
        <f>data!$F$54</f>
        <v>0.02</v>
      </c>
      <c r="AC19" s="997">
        <f t="shared" si="80"/>
        <v>0</v>
      </c>
      <c r="AD19" s="997">
        <f>IF(B19="",0,(IF($AE$1=authorities!$I$1,0,IF(L19&gt;AE19,VLOOKUP($AD$1,authorities!A:H,C19+1,FALSE),0)))*L19/$CK$3*H19)</f>
        <v>0</v>
      </c>
      <c r="AE19" s="997">
        <f>IF($AE$1=authorities!$I$1,0,$AE$1)</f>
        <v>0</v>
      </c>
      <c r="AF19" s="1002">
        <f>IF(input_engine_o!$U$21&gt;A18,VLOOKUP(A19,input_engine_o!$U$23:$Y$35,5,FALSE),0)</f>
        <v>0</v>
      </c>
      <c r="AG19" s="1002">
        <f>data!$C$44</f>
        <v>2900</v>
      </c>
      <c r="AH19" s="1007">
        <f t="shared" si="64"/>
        <v>1</v>
      </c>
      <c r="AI19" s="997">
        <f t="shared" si="81"/>
        <v>0</v>
      </c>
      <c r="AJ19" s="997" t="b">
        <f t="shared" ca="1" si="82"/>
        <v>0</v>
      </c>
      <c r="AL19" s="997">
        <f t="shared" ca="1" si="83"/>
        <v>0</v>
      </c>
      <c r="AO19" s="1002">
        <f t="shared" si="31"/>
        <v>0</v>
      </c>
      <c r="AP19" s="1002">
        <f ca="1">SUM($AO$3:AO19)</f>
        <v>2</v>
      </c>
      <c r="AQ19" s="1002">
        <f t="shared" si="84"/>
        <v>365</v>
      </c>
      <c r="AR19" s="997">
        <f t="shared" ca="1" si="33"/>
        <v>0</v>
      </c>
      <c r="AT19" s="997">
        <f t="shared" ca="1" si="85"/>
        <v>0</v>
      </c>
      <c r="AU19" s="997" t="b">
        <f t="shared" ca="1" si="65"/>
        <v>1</v>
      </c>
      <c r="AV19" s="997" t="b">
        <f t="shared" si="9"/>
        <v>0</v>
      </c>
      <c r="AW19" s="997" t="b">
        <f t="shared" si="66"/>
        <v>0</v>
      </c>
      <c r="AX19" s="997">
        <f t="shared" ca="1" si="86"/>
        <v>0</v>
      </c>
      <c r="AY19" s="2370">
        <f ca="1">AR19/reliefs!$E$7*AX19*-1</f>
        <v>0</v>
      </c>
      <c r="AZ19" s="1002">
        <f t="shared" ca="1" si="87"/>
        <v>0</v>
      </c>
      <c r="BA19" s="2370"/>
      <c r="BB19" s="997"/>
      <c r="BC19" s="997"/>
      <c r="BD19" s="997"/>
      <c r="BE19" s="997"/>
      <c r="BG19" s="997">
        <f t="shared" ca="1" si="88"/>
        <v>0</v>
      </c>
      <c r="BH19" s="997">
        <f t="shared" si="46"/>
        <v>15000</v>
      </c>
      <c r="BI19" s="1001">
        <f t="shared" si="47"/>
        <v>0</v>
      </c>
      <c r="BJ19" s="997">
        <f t="shared" si="48"/>
        <v>5000000</v>
      </c>
      <c r="BK19" s="997">
        <f t="shared" si="49"/>
        <v>0.499</v>
      </c>
      <c r="BL19" s="997" t="b">
        <f t="shared" si="50"/>
        <v>1</v>
      </c>
      <c r="BM19" s="997" t="b">
        <f t="shared" si="51"/>
        <v>0</v>
      </c>
      <c r="BN19" s="997">
        <f t="shared" si="52"/>
        <v>600</v>
      </c>
      <c r="BO19" s="997">
        <f t="shared" ca="1" si="89"/>
        <v>0</v>
      </c>
      <c r="BP19" s="997"/>
      <c r="BQ19" s="997"/>
      <c r="BR19" s="997">
        <f t="shared" si="90"/>
        <v>1200</v>
      </c>
      <c r="BS19" s="997"/>
      <c r="BT19" s="997" t="b">
        <f t="shared" ca="1" si="91"/>
        <v>0</v>
      </c>
      <c r="BU19" s="997" t="b">
        <f t="shared" si="100"/>
        <v>1</v>
      </c>
      <c r="BV19" s="997" t="b">
        <f t="shared" si="92"/>
        <v>0</v>
      </c>
      <c r="BW19" s="997" t="b">
        <f t="shared" ca="1" si="93"/>
        <v>0</v>
      </c>
      <c r="BX19" s="997" t="b">
        <f t="shared" ca="1" si="94"/>
        <v>0</v>
      </c>
      <c r="BY19" s="997">
        <f t="shared" ca="1" si="95"/>
        <v>1200</v>
      </c>
      <c r="BZ19" s="997">
        <f t="shared" si="96"/>
        <v>365</v>
      </c>
      <c r="CA19" s="997">
        <f t="shared" si="97"/>
        <v>0</v>
      </c>
      <c r="CB19" s="997">
        <f t="shared" ca="1" si="98"/>
        <v>0</v>
      </c>
      <c r="CC19" s="997">
        <f t="shared" ca="1" si="55"/>
        <v>0</v>
      </c>
      <c r="CD19" s="997">
        <f t="shared" si="101"/>
        <v>1200</v>
      </c>
      <c r="CE19" s="1002" t="b">
        <f t="shared" si="57"/>
        <v>0</v>
      </c>
      <c r="DB19" s="1001"/>
      <c r="DG19" s="1002"/>
    </row>
    <row r="20" spans="1:111" customFormat="1" x14ac:dyDescent="0.35">
      <c r="A20" s="997">
        <f t="shared" si="67"/>
        <v>4</v>
      </c>
      <c r="B20" s="1003" t="str">
        <f>IF(input_engine_o!$U$21&gt;A19,VLOOKUP(A20,input_engine_o!$U$23:$Y$35,2,FALSE),"")</f>
        <v/>
      </c>
      <c r="C20" s="997" t="str">
        <f t="shared" si="68"/>
        <v/>
      </c>
      <c r="D20" s="1003">
        <f t="shared" si="69"/>
        <v>45747</v>
      </c>
      <c r="E20" s="1002" t="str">
        <f ca="1">IF(B20="",E19,VLOOKUP(B20,input_engine_o!$B$23:$F$35,5,FALSE))</f>
        <v>nn</v>
      </c>
      <c r="F20" s="1003" t="str">
        <f t="shared" si="70"/>
        <v/>
      </c>
      <c r="G20" s="1003" t="str">
        <f t="shared" si="71"/>
        <v/>
      </c>
      <c r="H20" s="1002">
        <f t="shared" si="72"/>
        <v>0</v>
      </c>
      <c r="I20" s="997">
        <f t="shared" ca="1" si="59"/>
        <v>0</v>
      </c>
      <c r="J20" s="997">
        <f t="shared" ca="1" si="60"/>
        <v>0</v>
      </c>
      <c r="K20" s="997">
        <f t="shared" ca="1" si="61"/>
        <v>0</v>
      </c>
      <c r="L20" s="997" t="str">
        <f>IF(input_engine_o!$U$21&gt;A19,VLOOKUP(A20,input_engine_o!$U$23:$Y$36,3,FALSE),"")</f>
        <v/>
      </c>
      <c r="M20" s="1002" t="str">
        <f t="shared" ca="1" si="73"/>
        <v>up</v>
      </c>
      <c r="N20" s="1002" t="str">
        <f t="shared" si="99"/>
        <v/>
      </c>
      <c r="O20" s="1002" t="str">
        <f t="shared" si="62"/>
        <v/>
      </c>
      <c r="P20" s="1032">
        <f t="shared" si="74"/>
        <v>0.499</v>
      </c>
      <c r="Q20" s="997" t="str">
        <f t="shared" ca="1" si="75"/>
        <v/>
      </c>
      <c r="R20" s="997">
        <f t="shared" si="76"/>
        <v>0</v>
      </c>
      <c r="S20" s="1006">
        <f>IF(input_engine_o!$U$21&gt;A19,VLOOKUP(A20,input_engine_o!$U$23:$Y$35,4,FALSE),0)</f>
        <v>0</v>
      </c>
      <c r="T20" s="2442">
        <f t="shared" ca="1" si="77"/>
        <v>0</v>
      </c>
      <c r="U20" s="997" t="b">
        <f t="shared" si="78"/>
        <v>0</v>
      </c>
      <c r="V20" s="997" t="b">
        <f>advanced!$I$23="y"</f>
        <v>0</v>
      </c>
      <c r="W20" s="997">
        <f>data!$D$34</f>
        <v>15000</v>
      </c>
      <c r="X20" s="997" t="b">
        <f t="shared" si="26"/>
        <v>0</v>
      </c>
      <c r="Y20" s="997">
        <f t="shared" si="79"/>
        <v>0</v>
      </c>
      <c r="Z20" s="997">
        <f t="shared" si="63"/>
        <v>0</v>
      </c>
      <c r="AA20" s="1002">
        <f>data!$G$54</f>
        <v>75000</v>
      </c>
      <c r="AB20" s="1002">
        <f>data!$F$54</f>
        <v>0.02</v>
      </c>
      <c r="AC20" s="997">
        <f t="shared" si="80"/>
        <v>0</v>
      </c>
      <c r="AD20" s="997">
        <f>IF(B20="",0,(IF($AE$1=authorities!$I$1,0,IF(L20&gt;AE20,VLOOKUP($AD$1,authorities!A:H,C20+1,FALSE),0)))*L20/$CK$3*H20)</f>
        <v>0</v>
      </c>
      <c r="AE20" s="997">
        <f>IF($AE$1=authorities!$I$1,0,$AE$1)</f>
        <v>0</v>
      </c>
      <c r="AF20" s="1002">
        <f>IF(input_engine_o!$U$21&gt;A19,VLOOKUP(A20,input_engine_o!$U$23:$Y$35,5,FALSE),0)</f>
        <v>0</v>
      </c>
      <c r="AG20" s="1002">
        <f>data!$C$44</f>
        <v>2900</v>
      </c>
      <c r="AH20" s="1007">
        <f t="shared" si="64"/>
        <v>1</v>
      </c>
      <c r="AI20" s="997">
        <f t="shared" si="81"/>
        <v>0</v>
      </c>
      <c r="AJ20" s="997" t="b">
        <f t="shared" ca="1" si="82"/>
        <v>0</v>
      </c>
      <c r="AK20" s="997"/>
      <c r="AL20" s="997">
        <f t="shared" ca="1" si="83"/>
        <v>0</v>
      </c>
      <c r="AM20" s="997"/>
      <c r="AN20" s="997"/>
      <c r="AO20" s="1002">
        <f t="shared" si="31"/>
        <v>0</v>
      </c>
      <c r="AP20" s="1002">
        <f ca="1">SUM($AO$3:AO20)</f>
        <v>2</v>
      </c>
      <c r="AQ20" s="1002">
        <f t="shared" si="84"/>
        <v>365</v>
      </c>
      <c r="AR20" s="997">
        <f t="shared" ca="1" si="33"/>
        <v>0</v>
      </c>
      <c r="AS20" s="5"/>
      <c r="AT20" s="997">
        <f t="shared" ca="1" si="85"/>
        <v>0</v>
      </c>
      <c r="AU20" s="997" t="b">
        <f t="shared" ca="1" si="65"/>
        <v>1</v>
      </c>
      <c r="AV20" s="997" t="b">
        <f t="shared" si="9"/>
        <v>0</v>
      </c>
      <c r="AW20" s="997" t="b">
        <f t="shared" si="66"/>
        <v>0</v>
      </c>
      <c r="AX20" s="997">
        <f t="shared" ca="1" si="86"/>
        <v>0</v>
      </c>
      <c r="AY20" s="2370">
        <f ca="1">AR20/reliefs!$E$7*AX20*-1</f>
        <v>0</v>
      </c>
      <c r="AZ20" s="1002">
        <f t="shared" ca="1" si="87"/>
        <v>0</v>
      </c>
      <c r="BA20" s="2370"/>
      <c r="BB20" s="997"/>
      <c r="BC20" s="997"/>
      <c r="BD20" s="997"/>
      <c r="BE20" s="997"/>
      <c r="BF20" s="1002"/>
      <c r="BG20" s="997">
        <f t="shared" ca="1" si="88"/>
        <v>0</v>
      </c>
      <c r="BH20" s="997">
        <f t="shared" si="46"/>
        <v>15000</v>
      </c>
      <c r="BI20" s="1001">
        <f t="shared" si="47"/>
        <v>0</v>
      </c>
      <c r="BJ20" s="997">
        <f t="shared" si="48"/>
        <v>5000000</v>
      </c>
      <c r="BK20" s="997">
        <f t="shared" si="49"/>
        <v>0.499</v>
      </c>
      <c r="BL20" s="997" t="b">
        <f t="shared" si="50"/>
        <v>1</v>
      </c>
      <c r="BM20" s="997" t="b">
        <f t="shared" si="51"/>
        <v>0</v>
      </c>
      <c r="BN20" s="997">
        <f t="shared" si="52"/>
        <v>600</v>
      </c>
      <c r="BO20" s="997">
        <f t="shared" ca="1" si="89"/>
        <v>0</v>
      </c>
      <c r="BP20" s="997"/>
      <c r="BQ20" s="997"/>
      <c r="BR20" s="997">
        <f t="shared" si="90"/>
        <v>1200</v>
      </c>
      <c r="BS20" s="997"/>
      <c r="BT20" s="997" t="b">
        <f t="shared" ca="1" si="91"/>
        <v>0</v>
      </c>
      <c r="BU20" s="997" t="b">
        <f t="shared" si="100"/>
        <v>1</v>
      </c>
      <c r="BV20" s="997" t="b">
        <f t="shared" si="92"/>
        <v>0</v>
      </c>
      <c r="BW20" s="997" t="b">
        <f t="shared" ca="1" si="93"/>
        <v>0</v>
      </c>
      <c r="BX20" s="997" t="b">
        <f t="shared" ca="1" si="94"/>
        <v>0</v>
      </c>
      <c r="BY20" s="997">
        <f t="shared" ca="1" si="95"/>
        <v>1200</v>
      </c>
      <c r="BZ20" s="997">
        <f t="shared" si="96"/>
        <v>365</v>
      </c>
      <c r="CA20" s="997">
        <f t="shared" si="97"/>
        <v>0</v>
      </c>
      <c r="CB20" s="997">
        <f t="shared" ca="1" si="98"/>
        <v>0</v>
      </c>
      <c r="CC20" s="997">
        <f t="shared" ca="1" si="55"/>
        <v>0</v>
      </c>
      <c r="CD20" s="997">
        <f t="shared" si="101"/>
        <v>1200</v>
      </c>
      <c r="CE20" s="1002" t="b">
        <f t="shared" si="57"/>
        <v>0</v>
      </c>
      <c r="CF20" s="5"/>
      <c r="CG20" s="5"/>
    </row>
    <row r="21" spans="1:111" customFormat="1" x14ac:dyDescent="0.35">
      <c r="A21" s="997">
        <f t="shared" si="67"/>
        <v>5</v>
      </c>
      <c r="B21" s="1003" t="str">
        <f>IF(input_engine_o!$U$21&gt;A20,VLOOKUP(A21,input_engine_o!$U$23:$Y$35,2,FALSE),"")</f>
        <v/>
      </c>
      <c r="C21" s="997" t="str">
        <f t="shared" si="68"/>
        <v/>
      </c>
      <c r="D21" s="1003">
        <f t="shared" si="69"/>
        <v>45747</v>
      </c>
      <c r="E21" s="1002" t="str">
        <f ca="1">IF(B21="",E20,VLOOKUP(B21,input_engine_o!$B$23:$F$35,5,FALSE))</f>
        <v>nn</v>
      </c>
      <c r="F21" s="1003" t="str">
        <f t="shared" si="70"/>
        <v/>
      </c>
      <c r="G21" s="1003" t="str">
        <f t="shared" si="71"/>
        <v/>
      </c>
      <c r="H21" s="1002">
        <f t="shared" si="72"/>
        <v>0</v>
      </c>
      <c r="I21" s="997">
        <f t="shared" ca="1" si="59"/>
        <v>0</v>
      </c>
      <c r="J21" s="997">
        <f t="shared" ca="1" si="60"/>
        <v>0</v>
      </c>
      <c r="K21" s="997">
        <f t="shared" ca="1" si="61"/>
        <v>0</v>
      </c>
      <c r="L21" s="997" t="str">
        <f>IF(input_engine_o!$U$21&gt;A20,VLOOKUP(A21,input_engine_o!$U$23:$Y$36,3,FALSE),"")</f>
        <v/>
      </c>
      <c r="M21" s="1002" t="str">
        <f t="shared" ca="1" si="73"/>
        <v>up</v>
      </c>
      <c r="N21" s="1002" t="str">
        <f t="shared" si="99"/>
        <v/>
      </c>
      <c r="O21" s="1002" t="str">
        <f t="shared" si="62"/>
        <v/>
      </c>
      <c r="P21" s="1032">
        <f t="shared" si="74"/>
        <v>0.499</v>
      </c>
      <c r="Q21" s="997" t="str">
        <f t="shared" ca="1" si="75"/>
        <v/>
      </c>
      <c r="R21" s="997">
        <f t="shared" si="76"/>
        <v>0</v>
      </c>
      <c r="S21" s="1006">
        <f>IF(input_engine_o!$U$21&gt;A20,VLOOKUP(A21,input_engine_o!$U$23:$Y$35,4,FALSE),0)</f>
        <v>0</v>
      </c>
      <c r="T21" s="2442">
        <f t="shared" ca="1" si="77"/>
        <v>0</v>
      </c>
      <c r="U21" s="997" t="b">
        <f t="shared" si="78"/>
        <v>0</v>
      </c>
      <c r="V21" s="997" t="b">
        <f>advanced!$I$23="y"</f>
        <v>0</v>
      </c>
      <c r="W21" s="997">
        <f>data!$D$34</f>
        <v>15000</v>
      </c>
      <c r="X21" s="997" t="b">
        <f t="shared" si="26"/>
        <v>0</v>
      </c>
      <c r="Y21" s="997">
        <f t="shared" si="79"/>
        <v>0</v>
      </c>
      <c r="Z21" s="997">
        <f t="shared" si="63"/>
        <v>0</v>
      </c>
      <c r="AA21" s="1002">
        <f>data!$G$54</f>
        <v>75000</v>
      </c>
      <c r="AB21" s="1002">
        <f>data!$F$54</f>
        <v>0.02</v>
      </c>
      <c r="AC21" s="997">
        <f t="shared" si="80"/>
        <v>0</v>
      </c>
      <c r="AD21" s="997">
        <f>IF(B21="",0,(IF($AE$1=authorities!$I$1,0,IF(L21&gt;AE21,VLOOKUP($AD$1,authorities!A:H,C21+1,FALSE),0)))*L21/$CK$3*H21)</f>
        <v>0</v>
      </c>
      <c r="AE21" s="997">
        <f>IF($AE$1=authorities!$I$1,0,$AE$1)</f>
        <v>0</v>
      </c>
      <c r="AF21" s="1002">
        <f>IF(input_engine_o!$U$21&gt;A20,VLOOKUP(A21,input_engine_o!$U$23:$Y$35,5,FALSE),0)</f>
        <v>0</v>
      </c>
      <c r="AG21" s="1002">
        <f>data!$C$44</f>
        <v>2900</v>
      </c>
      <c r="AH21" s="1007">
        <f t="shared" si="64"/>
        <v>1</v>
      </c>
      <c r="AI21" s="997">
        <f t="shared" si="81"/>
        <v>0</v>
      </c>
      <c r="AJ21" s="997" t="b">
        <f t="shared" ca="1" si="82"/>
        <v>0</v>
      </c>
      <c r="AK21" s="997"/>
      <c r="AL21" s="997">
        <f t="shared" ca="1" si="83"/>
        <v>0</v>
      </c>
      <c r="AM21" s="997"/>
      <c r="AN21" s="997"/>
      <c r="AO21" s="1002">
        <f t="shared" si="31"/>
        <v>0</v>
      </c>
      <c r="AP21" s="1002">
        <f ca="1">SUM($AO$3:AO21)</f>
        <v>2</v>
      </c>
      <c r="AQ21" s="1002">
        <f t="shared" si="84"/>
        <v>365</v>
      </c>
      <c r="AR21" s="997">
        <f t="shared" ca="1" si="33"/>
        <v>0</v>
      </c>
      <c r="AS21" s="5"/>
      <c r="AT21" s="997">
        <f t="shared" ca="1" si="85"/>
        <v>0</v>
      </c>
      <c r="AU21" s="997" t="b">
        <f t="shared" ca="1" si="65"/>
        <v>1</v>
      </c>
      <c r="AV21" s="997" t="b">
        <f t="shared" si="9"/>
        <v>0</v>
      </c>
      <c r="AW21" s="997" t="b">
        <f t="shared" si="66"/>
        <v>0</v>
      </c>
      <c r="AX21" s="997">
        <f t="shared" ca="1" si="86"/>
        <v>0</v>
      </c>
      <c r="AY21" s="2370">
        <f ca="1">AR21/reliefs!$E$7*AX21*-1</f>
        <v>0</v>
      </c>
      <c r="AZ21" s="1002">
        <f t="shared" ca="1" si="87"/>
        <v>0</v>
      </c>
      <c r="BA21" s="2370"/>
      <c r="BB21" s="997"/>
      <c r="BC21" s="997"/>
      <c r="BD21" s="997"/>
      <c r="BE21" s="997"/>
      <c r="BF21" s="1002"/>
      <c r="BG21" s="997">
        <f t="shared" ca="1" si="88"/>
        <v>0</v>
      </c>
      <c r="BH21" s="997">
        <f t="shared" si="46"/>
        <v>15000</v>
      </c>
      <c r="BI21" s="1001">
        <f t="shared" si="47"/>
        <v>0</v>
      </c>
      <c r="BJ21" s="997">
        <f t="shared" si="48"/>
        <v>5000000</v>
      </c>
      <c r="BK21" s="997">
        <f t="shared" si="49"/>
        <v>0.499</v>
      </c>
      <c r="BL21" s="997" t="b">
        <f t="shared" si="50"/>
        <v>1</v>
      </c>
      <c r="BM21" s="997" t="b">
        <f t="shared" si="51"/>
        <v>0</v>
      </c>
      <c r="BN21" s="997">
        <f t="shared" si="52"/>
        <v>600</v>
      </c>
      <c r="BO21" s="997">
        <f t="shared" ca="1" si="89"/>
        <v>0</v>
      </c>
      <c r="BP21" s="997"/>
      <c r="BQ21" s="997"/>
      <c r="BR21" s="997">
        <f t="shared" si="90"/>
        <v>1200</v>
      </c>
      <c r="BS21" s="997"/>
      <c r="BT21" s="997" t="b">
        <f t="shared" ca="1" si="91"/>
        <v>0</v>
      </c>
      <c r="BU21" s="997" t="b">
        <f t="shared" si="100"/>
        <v>1</v>
      </c>
      <c r="BV21" s="997" t="b">
        <f t="shared" si="92"/>
        <v>0</v>
      </c>
      <c r="BW21" s="997" t="b">
        <f t="shared" ca="1" si="93"/>
        <v>0</v>
      </c>
      <c r="BX21" s="997" t="b">
        <f t="shared" ca="1" si="94"/>
        <v>0</v>
      </c>
      <c r="BY21" s="997">
        <f t="shared" ca="1" si="95"/>
        <v>1200</v>
      </c>
      <c r="BZ21" s="997">
        <f t="shared" si="96"/>
        <v>365</v>
      </c>
      <c r="CA21" s="997">
        <f t="shared" si="97"/>
        <v>0</v>
      </c>
      <c r="CB21" s="997">
        <f t="shared" ca="1" si="98"/>
        <v>0</v>
      </c>
      <c r="CC21" s="997">
        <f t="shared" ca="1" si="55"/>
        <v>0</v>
      </c>
      <c r="CD21" s="997">
        <f t="shared" si="101"/>
        <v>1200</v>
      </c>
      <c r="CE21" s="1002" t="b">
        <f t="shared" si="57"/>
        <v>0</v>
      </c>
      <c r="CF21" s="5"/>
      <c r="CG21" s="5"/>
    </row>
    <row r="22" spans="1:111" customFormat="1" x14ac:dyDescent="0.35">
      <c r="A22" s="997">
        <f t="shared" si="67"/>
        <v>6</v>
      </c>
      <c r="B22" s="1003" t="str">
        <f>IF(input_engine_o!$U$21&gt;A21,VLOOKUP(A22,input_engine_o!$U$23:$Y$35,2,FALSE),"")</f>
        <v/>
      </c>
      <c r="C22" s="997" t="str">
        <f t="shared" si="68"/>
        <v/>
      </c>
      <c r="D22" s="1003">
        <f t="shared" si="69"/>
        <v>45747</v>
      </c>
      <c r="E22" s="1002" t="str">
        <f ca="1">IF(B22="",E21,VLOOKUP(B22,input_engine_o!$B$23:$F$35,5,FALSE))</f>
        <v>nn</v>
      </c>
      <c r="F22" s="1003" t="str">
        <f t="shared" si="70"/>
        <v/>
      </c>
      <c r="G22" s="1003" t="str">
        <f t="shared" si="71"/>
        <v/>
      </c>
      <c r="H22" s="1002">
        <f t="shared" si="72"/>
        <v>0</v>
      </c>
      <c r="I22" s="997">
        <f t="shared" ca="1" si="59"/>
        <v>0</v>
      </c>
      <c r="J22" s="997">
        <f t="shared" ca="1" si="60"/>
        <v>0</v>
      </c>
      <c r="K22" s="997">
        <f t="shared" ca="1" si="61"/>
        <v>0</v>
      </c>
      <c r="L22" s="997" t="str">
        <f>IF(input_engine_o!$U$21&gt;A21,VLOOKUP(A22,input_engine_o!$U$23:$Y$36,3,FALSE),"")</f>
        <v/>
      </c>
      <c r="M22" s="1002" t="str">
        <f t="shared" ca="1" si="73"/>
        <v>up</v>
      </c>
      <c r="N22" s="1002" t="str">
        <f t="shared" si="99"/>
        <v/>
      </c>
      <c r="O22" s="1002" t="str">
        <f t="shared" si="62"/>
        <v/>
      </c>
      <c r="P22" s="1032">
        <f t="shared" si="74"/>
        <v>0.499</v>
      </c>
      <c r="Q22" s="997" t="str">
        <f t="shared" ca="1" si="75"/>
        <v/>
      </c>
      <c r="R22" s="997">
        <f t="shared" si="76"/>
        <v>0</v>
      </c>
      <c r="S22" s="1006">
        <f>IF(input_engine_o!$U$21&gt;A21,VLOOKUP(A22,input_engine_o!$U$23:$Y$35,4,FALSE),0)</f>
        <v>0</v>
      </c>
      <c r="T22" s="2442">
        <f t="shared" ca="1" si="77"/>
        <v>0</v>
      </c>
      <c r="U22" s="997" t="b">
        <f t="shared" si="78"/>
        <v>0</v>
      </c>
      <c r="V22" s="997" t="b">
        <f>advanced!$I$23="y"</f>
        <v>0</v>
      </c>
      <c r="W22" s="997">
        <f>data!$D$34</f>
        <v>15000</v>
      </c>
      <c r="X22" s="997" t="b">
        <f t="shared" si="26"/>
        <v>0</v>
      </c>
      <c r="Y22" s="997">
        <f t="shared" si="79"/>
        <v>0</v>
      </c>
      <c r="Z22" s="997">
        <f t="shared" si="63"/>
        <v>0</v>
      </c>
      <c r="AA22" s="1002">
        <f>data!$G$54</f>
        <v>75000</v>
      </c>
      <c r="AB22" s="1002">
        <f>data!$F$54</f>
        <v>0.02</v>
      </c>
      <c r="AC22" s="997">
        <f t="shared" si="80"/>
        <v>0</v>
      </c>
      <c r="AD22" s="997">
        <f>IF(B22="",0,(IF($AE$1=authorities!$I$1,0,IF(L22&gt;AE22,VLOOKUP($AD$1,authorities!A:H,C22+1,FALSE),0)))*L22/$CK$3*H22)</f>
        <v>0</v>
      </c>
      <c r="AE22" s="997">
        <f>IF($AE$1=authorities!$I$1,0,$AE$1)</f>
        <v>0</v>
      </c>
      <c r="AF22" s="1002">
        <f>IF(input_engine_o!$U$21&gt;A21,VLOOKUP(A22,input_engine_o!$U$23:$Y$35,5,FALSE),0)</f>
        <v>0</v>
      </c>
      <c r="AG22" s="1002">
        <f>data!$C$44</f>
        <v>2900</v>
      </c>
      <c r="AH22" s="1007">
        <f t="shared" si="64"/>
        <v>1</v>
      </c>
      <c r="AI22" s="997">
        <f t="shared" si="81"/>
        <v>0</v>
      </c>
      <c r="AJ22" s="997" t="b">
        <f t="shared" ca="1" si="82"/>
        <v>0</v>
      </c>
      <c r="AK22" s="997"/>
      <c r="AL22" s="997">
        <f t="shared" ca="1" si="83"/>
        <v>0</v>
      </c>
      <c r="AM22" s="997"/>
      <c r="AN22" s="997"/>
      <c r="AO22" s="1002">
        <f t="shared" si="31"/>
        <v>0</v>
      </c>
      <c r="AP22" s="1002">
        <f ca="1">SUM($AO$3:AO22)</f>
        <v>2</v>
      </c>
      <c r="AQ22" s="1002">
        <f t="shared" si="84"/>
        <v>365</v>
      </c>
      <c r="AR22" s="997">
        <f t="shared" ca="1" si="33"/>
        <v>0</v>
      </c>
      <c r="AS22" s="5"/>
      <c r="AT22" s="997">
        <f t="shared" ca="1" si="85"/>
        <v>0</v>
      </c>
      <c r="AU22" s="997" t="b">
        <f t="shared" ca="1" si="65"/>
        <v>1</v>
      </c>
      <c r="AV22" s="997" t="b">
        <f t="shared" si="9"/>
        <v>0</v>
      </c>
      <c r="AW22" s="997" t="b">
        <f t="shared" si="66"/>
        <v>0</v>
      </c>
      <c r="AX22" s="997">
        <f t="shared" ca="1" si="86"/>
        <v>0</v>
      </c>
      <c r="AY22" s="2370">
        <f ca="1">AR22/reliefs!$E$7*AX22*-1</f>
        <v>0</v>
      </c>
      <c r="AZ22" s="1002">
        <f t="shared" ca="1" si="87"/>
        <v>0</v>
      </c>
      <c r="BA22" s="2370"/>
      <c r="BB22" s="997"/>
      <c r="BC22" s="997"/>
      <c r="BD22" s="997"/>
      <c r="BE22" s="997"/>
      <c r="BF22" s="1002"/>
      <c r="BG22" s="997">
        <f t="shared" ca="1" si="88"/>
        <v>0</v>
      </c>
      <c r="BH22" s="997">
        <f t="shared" si="46"/>
        <v>15000</v>
      </c>
      <c r="BI22" s="1001">
        <f t="shared" si="47"/>
        <v>0</v>
      </c>
      <c r="BJ22" s="997">
        <f t="shared" si="48"/>
        <v>5000000</v>
      </c>
      <c r="BK22" s="997">
        <f t="shared" si="49"/>
        <v>0.499</v>
      </c>
      <c r="BL22" s="997" t="b">
        <f t="shared" si="50"/>
        <v>1</v>
      </c>
      <c r="BM22" s="997" t="b">
        <f t="shared" si="51"/>
        <v>0</v>
      </c>
      <c r="BN22" s="997">
        <f t="shared" si="52"/>
        <v>600</v>
      </c>
      <c r="BO22" s="997">
        <f t="shared" ca="1" si="89"/>
        <v>0</v>
      </c>
      <c r="BP22" s="997"/>
      <c r="BQ22" s="997"/>
      <c r="BR22" s="997">
        <f t="shared" si="90"/>
        <v>1200</v>
      </c>
      <c r="BS22" s="997"/>
      <c r="BT22" s="997" t="b">
        <f t="shared" ca="1" si="91"/>
        <v>0</v>
      </c>
      <c r="BU22" s="997" t="b">
        <f t="shared" si="100"/>
        <v>1</v>
      </c>
      <c r="BV22" s="997" t="b">
        <f t="shared" si="92"/>
        <v>0</v>
      </c>
      <c r="BW22" s="997" t="b">
        <f t="shared" ca="1" si="93"/>
        <v>0</v>
      </c>
      <c r="BX22" s="997" t="b">
        <f t="shared" ca="1" si="94"/>
        <v>0</v>
      </c>
      <c r="BY22" s="997">
        <f t="shared" ca="1" si="95"/>
        <v>1200</v>
      </c>
      <c r="BZ22" s="997">
        <f t="shared" si="96"/>
        <v>365</v>
      </c>
      <c r="CA22" s="997">
        <f t="shared" si="97"/>
        <v>0</v>
      </c>
      <c r="CB22" s="997">
        <f t="shared" ca="1" si="98"/>
        <v>0</v>
      </c>
      <c r="CC22" s="997">
        <f t="shared" ca="1" si="55"/>
        <v>0</v>
      </c>
      <c r="CD22" s="997">
        <f t="shared" si="101"/>
        <v>1200</v>
      </c>
      <c r="CE22" s="1002" t="b">
        <f t="shared" si="57"/>
        <v>0</v>
      </c>
      <c r="CF22" s="5"/>
      <c r="CG22" s="5"/>
    </row>
    <row r="23" spans="1:111" customFormat="1" x14ac:dyDescent="0.35">
      <c r="A23" s="997">
        <f t="shared" si="67"/>
        <v>7</v>
      </c>
      <c r="B23" s="1003" t="str">
        <f>IF(input_engine_o!$U$21&gt;A22,VLOOKUP(A23,input_engine_o!$U$23:$Y$35,2,FALSE),"")</f>
        <v/>
      </c>
      <c r="C23" s="997" t="str">
        <f t="shared" si="68"/>
        <v/>
      </c>
      <c r="D23" s="1003">
        <f t="shared" si="69"/>
        <v>45747</v>
      </c>
      <c r="E23" s="1002" t="str">
        <f ca="1">IF(B23="",E22,VLOOKUP(B23,input_engine_o!$B$23:$F$35,5,FALSE))</f>
        <v>nn</v>
      </c>
      <c r="F23" s="1003" t="str">
        <f t="shared" si="70"/>
        <v/>
      </c>
      <c r="G23" s="1003" t="str">
        <f t="shared" si="71"/>
        <v/>
      </c>
      <c r="H23" s="1002">
        <f t="shared" si="72"/>
        <v>0</v>
      </c>
      <c r="I23" s="997">
        <f t="shared" ca="1" si="59"/>
        <v>0</v>
      </c>
      <c r="J23" s="997">
        <f t="shared" ca="1" si="60"/>
        <v>0</v>
      </c>
      <c r="K23" s="997">
        <f t="shared" ca="1" si="61"/>
        <v>0</v>
      </c>
      <c r="L23" s="997" t="str">
        <f>IF(input_engine_o!$U$21&gt;A22,VLOOKUP(A23,input_engine_o!$U$23:$Y$36,3,FALSE),"")</f>
        <v/>
      </c>
      <c r="M23" s="1002" t="str">
        <f t="shared" ca="1" si="73"/>
        <v>up</v>
      </c>
      <c r="N23" s="1002" t="str">
        <f t="shared" si="99"/>
        <v/>
      </c>
      <c r="O23" s="1002" t="str">
        <f t="shared" si="62"/>
        <v/>
      </c>
      <c r="P23" s="1032">
        <f t="shared" si="74"/>
        <v>0.499</v>
      </c>
      <c r="Q23" s="997" t="str">
        <f t="shared" ca="1" si="75"/>
        <v/>
      </c>
      <c r="R23" s="997">
        <f t="shared" si="76"/>
        <v>0</v>
      </c>
      <c r="S23" s="1006">
        <f>IF(input_engine_o!$U$21&gt;A22,VLOOKUP(A23,input_engine_o!$U$23:$Y$35,4,FALSE),0)</f>
        <v>0</v>
      </c>
      <c r="T23" s="2442">
        <f t="shared" ca="1" si="77"/>
        <v>0</v>
      </c>
      <c r="U23" s="997" t="b">
        <f t="shared" si="78"/>
        <v>0</v>
      </c>
      <c r="V23" s="997" t="b">
        <f>advanced!$I$23="y"</f>
        <v>0</v>
      </c>
      <c r="W23" s="997">
        <f>data!$D$34</f>
        <v>15000</v>
      </c>
      <c r="X23" s="997" t="b">
        <f t="shared" si="26"/>
        <v>0</v>
      </c>
      <c r="Y23" s="997">
        <f t="shared" si="79"/>
        <v>0</v>
      </c>
      <c r="Z23" s="997">
        <f t="shared" si="63"/>
        <v>0</v>
      </c>
      <c r="AA23" s="1002">
        <f>data!$G$54</f>
        <v>75000</v>
      </c>
      <c r="AB23" s="1002">
        <f>data!$F$54</f>
        <v>0.02</v>
      </c>
      <c r="AC23" s="997">
        <f t="shared" si="80"/>
        <v>0</v>
      </c>
      <c r="AD23" s="997">
        <f>IF(B23="",0,(IF($AE$1=authorities!$I$1,0,IF(L23&gt;AE23,VLOOKUP($AD$1,authorities!A:H,C23+1,FALSE),0)))*L23/$CK$3*H23)</f>
        <v>0</v>
      </c>
      <c r="AE23" s="997">
        <f>IF($AE$1=authorities!$I$1,0,$AE$1)</f>
        <v>0</v>
      </c>
      <c r="AF23" s="1002">
        <f>IF(input_engine_o!$U$21&gt;A22,VLOOKUP(A23,input_engine_o!$U$23:$Y$35,5,FALSE),0)</f>
        <v>0</v>
      </c>
      <c r="AG23" s="1002">
        <f>data!$C$44</f>
        <v>2900</v>
      </c>
      <c r="AH23" s="1007">
        <f t="shared" si="64"/>
        <v>1</v>
      </c>
      <c r="AI23" s="997">
        <f t="shared" si="81"/>
        <v>0</v>
      </c>
      <c r="AJ23" s="997" t="b">
        <f t="shared" ca="1" si="82"/>
        <v>0</v>
      </c>
      <c r="AK23" s="997"/>
      <c r="AL23" s="997">
        <f t="shared" ca="1" si="83"/>
        <v>0</v>
      </c>
      <c r="AM23" s="997"/>
      <c r="AN23" s="997"/>
      <c r="AO23" s="1002">
        <f t="shared" si="31"/>
        <v>0</v>
      </c>
      <c r="AP23" s="1002">
        <f ca="1">SUM($AO$3:AO23)</f>
        <v>2</v>
      </c>
      <c r="AQ23" s="1002">
        <f t="shared" si="84"/>
        <v>365</v>
      </c>
      <c r="AR23" s="997">
        <f t="shared" ca="1" si="33"/>
        <v>0</v>
      </c>
      <c r="AS23" s="5"/>
      <c r="AT23" s="997">
        <f t="shared" ca="1" si="85"/>
        <v>0</v>
      </c>
      <c r="AU23" s="997" t="b">
        <f t="shared" ca="1" si="65"/>
        <v>1</v>
      </c>
      <c r="AV23" s="997" t="b">
        <f t="shared" si="9"/>
        <v>0</v>
      </c>
      <c r="AW23" s="997" t="b">
        <f t="shared" si="66"/>
        <v>0</v>
      </c>
      <c r="AX23" s="997">
        <f t="shared" ca="1" si="86"/>
        <v>0</v>
      </c>
      <c r="AY23" s="2370">
        <f ca="1">AR23/reliefs!$E$7*AX23*-1</f>
        <v>0</v>
      </c>
      <c r="AZ23" s="1002">
        <f t="shared" ca="1" si="87"/>
        <v>0</v>
      </c>
      <c r="BA23" s="2370"/>
      <c r="BB23" s="997"/>
      <c r="BC23" s="997"/>
      <c r="BD23" s="997"/>
      <c r="BE23" s="997"/>
      <c r="BF23" s="1002"/>
      <c r="BG23" s="997">
        <f t="shared" ca="1" si="88"/>
        <v>0</v>
      </c>
      <c r="BH23" s="997">
        <f t="shared" si="46"/>
        <v>15000</v>
      </c>
      <c r="BI23" s="1001">
        <f t="shared" si="47"/>
        <v>0</v>
      </c>
      <c r="BJ23" s="997">
        <f t="shared" si="48"/>
        <v>5000000</v>
      </c>
      <c r="BK23" s="997">
        <f t="shared" si="49"/>
        <v>0.499</v>
      </c>
      <c r="BL23" s="997" t="b">
        <f t="shared" si="50"/>
        <v>1</v>
      </c>
      <c r="BM23" s="997" t="b">
        <f t="shared" si="51"/>
        <v>0</v>
      </c>
      <c r="BN23" s="997">
        <f t="shared" si="52"/>
        <v>600</v>
      </c>
      <c r="BO23" s="997">
        <f t="shared" ca="1" si="89"/>
        <v>0</v>
      </c>
      <c r="BP23" s="997"/>
      <c r="BQ23" s="997"/>
      <c r="BR23" s="997">
        <f t="shared" si="90"/>
        <v>1200</v>
      </c>
      <c r="BS23" s="997"/>
      <c r="BT23" s="997" t="b">
        <f t="shared" ca="1" si="91"/>
        <v>0</v>
      </c>
      <c r="BU23" s="997" t="b">
        <f t="shared" si="100"/>
        <v>1</v>
      </c>
      <c r="BV23" s="997" t="b">
        <f t="shared" si="92"/>
        <v>0</v>
      </c>
      <c r="BW23" s="997" t="b">
        <f t="shared" ca="1" si="93"/>
        <v>0</v>
      </c>
      <c r="BX23" s="997" t="b">
        <f t="shared" ca="1" si="94"/>
        <v>0</v>
      </c>
      <c r="BY23" s="997">
        <f t="shared" ca="1" si="95"/>
        <v>1200</v>
      </c>
      <c r="BZ23" s="997">
        <f t="shared" si="96"/>
        <v>365</v>
      </c>
      <c r="CA23" s="997">
        <f t="shared" si="97"/>
        <v>0</v>
      </c>
      <c r="CB23" s="997">
        <f t="shared" ca="1" si="98"/>
        <v>0</v>
      </c>
      <c r="CC23" s="997">
        <f t="shared" ca="1" si="55"/>
        <v>0</v>
      </c>
      <c r="CD23" s="997">
        <f t="shared" si="101"/>
        <v>1200</v>
      </c>
      <c r="CE23" s="1002" t="b">
        <f t="shared" si="57"/>
        <v>0</v>
      </c>
      <c r="CF23" s="5"/>
      <c r="CG23" s="5"/>
    </row>
    <row r="24" spans="1:111" customFormat="1" x14ac:dyDescent="0.35">
      <c r="A24" s="997">
        <f t="shared" si="67"/>
        <v>8</v>
      </c>
      <c r="B24" s="1003" t="str">
        <f>IF(input_engine_o!$U$21&gt;A23,VLOOKUP(A24,input_engine_o!$U$23:$Y$35,2,FALSE),"")</f>
        <v/>
      </c>
      <c r="C24" s="997" t="str">
        <f t="shared" si="68"/>
        <v/>
      </c>
      <c r="D24" s="1003">
        <f t="shared" si="69"/>
        <v>45747</v>
      </c>
      <c r="E24" s="1002" t="str">
        <f ca="1">IF(B24="",E23,VLOOKUP(B24,input_engine_o!$B$23:$F$35,5,FALSE))</f>
        <v>nn</v>
      </c>
      <c r="F24" s="1003" t="str">
        <f t="shared" si="70"/>
        <v/>
      </c>
      <c r="G24" s="1003" t="str">
        <f t="shared" si="71"/>
        <v/>
      </c>
      <c r="H24" s="1002">
        <f t="shared" si="72"/>
        <v>0</v>
      </c>
      <c r="I24" s="997">
        <f t="shared" ca="1" si="59"/>
        <v>0</v>
      </c>
      <c r="J24" s="997">
        <f t="shared" ca="1" si="60"/>
        <v>0</v>
      </c>
      <c r="K24" s="997">
        <f t="shared" ca="1" si="61"/>
        <v>0</v>
      </c>
      <c r="L24" s="997" t="str">
        <f>IF(input_engine_o!$U$21&gt;A23,VLOOKUP(A24,input_engine_o!$U$23:$Y$36,3,FALSE),"")</f>
        <v/>
      </c>
      <c r="M24" s="1002" t="str">
        <f t="shared" ca="1" si="73"/>
        <v>up</v>
      </c>
      <c r="N24" s="1002" t="str">
        <f t="shared" si="99"/>
        <v/>
      </c>
      <c r="O24" s="1002" t="str">
        <f t="shared" si="62"/>
        <v/>
      </c>
      <c r="P24" s="1032">
        <f t="shared" si="74"/>
        <v>0.499</v>
      </c>
      <c r="Q24" s="997" t="str">
        <f t="shared" ca="1" si="75"/>
        <v/>
      </c>
      <c r="R24" s="997">
        <f t="shared" si="76"/>
        <v>0</v>
      </c>
      <c r="S24" s="1006">
        <f>IF(input_engine_o!$U$21&gt;A23,VLOOKUP(A24,input_engine_o!$U$23:$Y$35,4,FALSE),0)</f>
        <v>0</v>
      </c>
      <c r="T24" s="2442">
        <f t="shared" ca="1" si="77"/>
        <v>0</v>
      </c>
      <c r="U24" s="997" t="b">
        <f t="shared" si="78"/>
        <v>0</v>
      </c>
      <c r="V24" s="997" t="b">
        <f>advanced!$I$23="y"</f>
        <v>0</v>
      </c>
      <c r="W24" s="997">
        <f>data!$D$34</f>
        <v>15000</v>
      </c>
      <c r="X24" s="997" t="b">
        <f t="shared" si="26"/>
        <v>0</v>
      </c>
      <c r="Y24" s="997">
        <f t="shared" si="79"/>
        <v>0</v>
      </c>
      <c r="Z24" s="997">
        <f t="shared" si="63"/>
        <v>0</v>
      </c>
      <c r="AA24" s="1002">
        <f>data!$G$54</f>
        <v>75000</v>
      </c>
      <c r="AB24" s="1002">
        <f>data!$F$54</f>
        <v>0.02</v>
      </c>
      <c r="AC24" s="997">
        <f t="shared" si="80"/>
        <v>0</v>
      </c>
      <c r="AD24" s="997">
        <f>IF(B24="",0,(IF($AE$1=authorities!$I$1,0,IF(L24&gt;AE24,VLOOKUP($AD$1,authorities!A:H,C24+1,FALSE),0)))*L24/$CK$3*H24)</f>
        <v>0</v>
      </c>
      <c r="AE24" s="997">
        <f>IF($AE$1=authorities!$I$1,0,$AE$1)</f>
        <v>0</v>
      </c>
      <c r="AF24" s="1002">
        <f>IF(input_engine_o!$U$21&gt;A23,VLOOKUP(A24,input_engine_o!$U$23:$Y$35,5,FALSE),0)</f>
        <v>0</v>
      </c>
      <c r="AG24" s="1002">
        <f>data!$C$44</f>
        <v>2900</v>
      </c>
      <c r="AH24" s="1007">
        <f t="shared" si="64"/>
        <v>1</v>
      </c>
      <c r="AI24" s="997">
        <f t="shared" si="81"/>
        <v>0</v>
      </c>
      <c r="AJ24" s="997" t="b">
        <f t="shared" ca="1" si="82"/>
        <v>0</v>
      </c>
      <c r="AK24" s="997"/>
      <c r="AL24" s="997">
        <f t="shared" ca="1" si="83"/>
        <v>0</v>
      </c>
      <c r="AM24" s="997"/>
      <c r="AN24" s="997"/>
      <c r="AO24" s="1002">
        <f t="shared" si="31"/>
        <v>0</v>
      </c>
      <c r="AP24" s="1002">
        <f ca="1">SUM($AO$3:AO24)</f>
        <v>2</v>
      </c>
      <c r="AQ24" s="1002">
        <f t="shared" si="84"/>
        <v>365</v>
      </c>
      <c r="AR24" s="997">
        <f t="shared" ca="1" si="33"/>
        <v>0</v>
      </c>
      <c r="AS24" s="5"/>
      <c r="AT24" s="997">
        <f t="shared" ca="1" si="85"/>
        <v>0</v>
      </c>
      <c r="AU24" s="997" t="b">
        <f t="shared" ca="1" si="65"/>
        <v>1</v>
      </c>
      <c r="AV24" s="997" t="b">
        <f t="shared" si="9"/>
        <v>0</v>
      </c>
      <c r="AW24" s="997" t="b">
        <f t="shared" si="66"/>
        <v>0</v>
      </c>
      <c r="AX24" s="997">
        <f t="shared" ca="1" si="86"/>
        <v>0</v>
      </c>
      <c r="AY24" s="2370">
        <f ca="1">AR24/reliefs!$E$7*AX24*-1</f>
        <v>0</v>
      </c>
      <c r="AZ24" s="1002">
        <f t="shared" ca="1" si="87"/>
        <v>0</v>
      </c>
      <c r="BA24" s="2370"/>
      <c r="BB24" s="997"/>
      <c r="BC24" s="997"/>
      <c r="BD24" s="997"/>
      <c r="BE24" s="997"/>
      <c r="BF24" s="1002"/>
      <c r="BG24" s="997">
        <f t="shared" ca="1" si="88"/>
        <v>0</v>
      </c>
      <c r="BH24" s="997">
        <f t="shared" si="46"/>
        <v>15000</v>
      </c>
      <c r="BI24" s="1001">
        <f t="shared" si="47"/>
        <v>0</v>
      </c>
      <c r="BJ24" s="997">
        <f t="shared" si="48"/>
        <v>5000000</v>
      </c>
      <c r="BK24" s="997">
        <f t="shared" si="49"/>
        <v>0.499</v>
      </c>
      <c r="BL24" s="997" t="b">
        <f t="shared" si="50"/>
        <v>1</v>
      </c>
      <c r="BM24" s="997" t="b">
        <f t="shared" si="51"/>
        <v>0</v>
      </c>
      <c r="BN24" s="997">
        <f t="shared" si="52"/>
        <v>600</v>
      </c>
      <c r="BO24" s="997">
        <f t="shared" ca="1" si="89"/>
        <v>0</v>
      </c>
      <c r="BP24" s="997"/>
      <c r="BQ24" s="997"/>
      <c r="BR24" s="997">
        <f t="shared" si="90"/>
        <v>1200</v>
      </c>
      <c r="BS24" s="997"/>
      <c r="BT24" s="997" t="b">
        <f t="shared" ca="1" si="91"/>
        <v>0</v>
      </c>
      <c r="BU24" s="997" t="b">
        <f t="shared" si="100"/>
        <v>1</v>
      </c>
      <c r="BV24" s="997" t="b">
        <f t="shared" si="92"/>
        <v>0</v>
      </c>
      <c r="BW24" s="997" t="b">
        <f t="shared" ca="1" si="93"/>
        <v>0</v>
      </c>
      <c r="BX24" s="997" t="b">
        <f t="shared" ca="1" si="94"/>
        <v>0</v>
      </c>
      <c r="BY24" s="997">
        <f t="shared" ca="1" si="95"/>
        <v>1200</v>
      </c>
      <c r="BZ24" s="997">
        <f t="shared" si="96"/>
        <v>365</v>
      </c>
      <c r="CA24" s="997">
        <f t="shared" si="97"/>
        <v>0</v>
      </c>
      <c r="CB24" s="997">
        <f t="shared" ca="1" si="98"/>
        <v>0</v>
      </c>
      <c r="CC24" s="997">
        <f t="shared" ca="1" si="55"/>
        <v>0</v>
      </c>
      <c r="CD24" s="997">
        <f t="shared" si="101"/>
        <v>1200</v>
      </c>
      <c r="CE24" s="1002" t="b">
        <f t="shared" si="57"/>
        <v>0</v>
      </c>
      <c r="CF24" s="5"/>
      <c r="CG24" s="5"/>
    </row>
    <row r="25" spans="1:111" customFormat="1" x14ac:dyDescent="0.35">
      <c r="A25" s="997">
        <f t="shared" si="67"/>
        <v>9</v>
      </c>
      <c r="B25" s="1003" t="str">
        <f>IF(input_engine_o!$U$21&gt;A24,VLOOKUP(A25,input_engine_o!$U$23:$Y$35,2,FALSE),"")</f>
        <v/>
      </c>
      <c r="C25" s="997" t="str">
        <f t="shared" si="68"/>
        <v/>
      </c>
      <c r="D25" s="1003">
        <f t="shared" si="69"/>
        <v>45747</v>
      </c>
      <c r="E25" s="1002" t="str">
        <f ca="1">IF(B25="",E24,VLOOKUP(B25,input_engine_o!$B$23:$F$35,5,FALSE))</f>
        <v>nn</v>
      </c>
      <c r="F25" s="1003" t="str">
        <f t="shared" si="70"/>
        <v/>
      </c>
      <c r="G25" s="1003" t="str">
        <f t="shared" si="71"/>
        <v/>
      </c>
      <c r="H25" s="1002">
        <f t="shared" si="72"/>
        <v>0</v>
      </c>
      <c r="I25" s="997">
        <f t="shared" ca="1" si="59"/>
        <v>0</v>
      </c>
      <c r="J25" s="997">
        <f t="shared" ca="1" si="60"/>
        <v>0</v>
      </c>
      <c r="K25" s="997">
        <f t="shared" ca="1" si="61"/>
        <v>0</v>
      </c>
      <c r="L25" s="997" t="str">
        <f>IF(input_engine_o!$U$21&gt;A24,VLOOKUP(A25,input_engine_o!$U$23:$Y$36,3,FALSE),"")</f>
        <v/>
      </c>
      <c r="M25" s="1002" t="str">
        <f t="shared" ca="1" si="73"/>
        <v>up</v>
      </c>
      <c r="N25" s="1002" t="str">
        <f t="shared" si="99"/>
        <v/>
      </c>
      <c r="O25" s="1002" t="str">
        <f t="shared" si="62"/>
        <v/>
      </c>
      <c r="P25" s="1032">
        <f t="shared" si="74"/>
        <v>0.499</v>
      </c>
      <c r="Q25" s="997" t="str">
        <f t="shared" ca="1" si="75"/>
        <v/>
      </c>
      <c r="R25" s="997">
        <f t="shared" si="76"/>
        <v>0</v>
      </c>
      <c r="S25" s="1006">
        <f>IF(input_engine_o!$U$21&gt;A24,VLOOKUP(A25,input_engine_o!$U$23:$Y$35,4,FALSE),0)</f>
        <v>0</v>
      </c>
      <c r="T25" s="2442">
        <f t="shared" ca="1" si="77"/>
        <v>0</v>
      </c>
      <c r="U25" s="997" t="b">
        <f t="shared" si="78"/>
        <v>0</v>
      </c>
      <c r="V25" s="997" t="b">
        <f>advanced!$I$23="y"</f>
        <v>0</v>
      </c>
      <c r="W25" s="997">
        <f>data!$D$34</f>
        <v>15000</v>
      </c>
      <c r="X25" s="997" t="b">
        <f t="shared" si="26"/>
        <v>0</v>
      </c>
      <c r="Y25" s="997">
        <f t="shared" si="79"/>
        <v>0</v>
      </c>
      <c r="Z25" s="997">
        <f t="shared" si="63"/>
        <v>0</v>
      </c>
      <c r="AA25" s="1002">
        <f>data!$G$54</f>
        <v>75000</v>
      </c>
      <c r="AB25" s="1002">
        <f>data!$F$54</f>
        <v>0.02</v>
      </c>
      <c r="AC25" s="997">
        <f t="shared" si="80"/>
        <v>0</v>
      </c>
      <c r="AD25" s="997">
        <f>IF(B25="",0,(IF($AE$1=authorities!$I$1,0,IF(L25&gt;AE25,VLOOKUP($AD$1,authorities!A:H,C25+1,FALSE),0)))*L25/$CK$3*H25)</f>
        <v>0</v>
      </c>
      <c r="AE25" s="997">
        <f>IF($AE$1=authorities!$I$1,0,$AE$1)</f>
        <v>0</v>
      </c>
      <c r="AF25" s="1002">
        <f>IF(input_engine_o!$U$21&gt;A24,VLOOKUP(A25,input_engine_o!$U$23:$Y$35,5,FALSE),0)</f>
        <v>0</v>
      </c>
      <c r="AG25" s="1002">
        <f>data!$C$44</f>
        <v>2900</v>
      </c>
      <c r="AH25" s="1007">
        <f t="shared" si="64"/>
        <v>1</v>
      </c>
      <c r="AI25" s="997">
        <f t="shared" si="81"/>
        <v>0</v>
      </c>
      <c r="AJ25" s="997" t="b">
        <f t="shared" ca="1" si="82"/>
        <v>0</v>
      </c>
      <c r="AK25" s="997"/>
      <c r="AL25" s="997">
        <f t="shared" ca="1" si="83"/>
        <v>0</v>
      </c>
      <c r="AM25" s="997"/>
      <c r="AN25" s="997"/>
      <c r="AO25" s="1002">
        <f t="shared" si="31"/>
        <v>0</v>
      </c>
      <c r="AP25" s="1002">
        <f ca="1">SUM($AO$3:AO25)</f>
        <v>2</v>
      </c>
      <c r="AQ25" s="1002">
        <f t="shared" si="84"/>
        <v>365</v>
      </c>
      <c r="AR25" s="997">
        <f t="shared" ca="1" si="33"/>
        <v>0</v>
      </c>
      <c r="AS25" s="5"/>
      <c r="AT25" s="997">
        <f t="shared" ca="1" si="85"/>
        <v>0</v>
      </c>
      <c r="AU25" s="997" t="b">
        <f t="shared" ca="1" si="65"/>
        <v>1</v>
      </c>
      <c r="AV25" s="997" t="b">
        <f t="shared" si="9"/>
        <v>0</v>
      </c>
      <c r="AW25" s="997" t="b">
        <f t="shared" si="66"/>
        <v>0</v>
      </c>
      <c r="AX25" s="997">
        <f t="shared" ca="1" si="86"/>
        <v>0</v>
      </c>
      <c r="AY25" s="2370">
        <f ca="1">AR25/reliefs!$E$7*AX25*-1</f>
        <v>0</v>
      </c>
      <c r="AZ25" s="1002">
        <f t="shared" ca="1" si="87"/>
        <v>0</v>
      </c>
      <c r="BA25" s="2370"/>
      <c r="BB25" s="997"/>
      <c r="BC25" s="997"/>
      <c r="BD25" s="997"/>
      <c r="BE25" s="997"/>
      <c r="BF25" s="1002"/>
      <c r="BG25" s="997">
        <f t="shared" ca="1" si="88"/>
        <v>0</v>
      </c>
      <c r="BH25" s="997">
        <f t="shared" si="46"/>
        <v>15000</v>
      </c>
      <c r="BI25" s="1001">
        <f t="shared" si="47"/>
        <v>0</v>
      </c>
      <c r="BJ25" s="997">
        <f t="shared" si="48"/>
        <v>5000000</v>
      </c>
      <c r="BK25" s="997">
        <f t="shared" si="49"/>
        <v>0.499</v>
      </c>
      <c r="BL25" s="997" t="b">
        <f t="shared" si="50"/>
        <v>1</v>
      </c>
      <c r="BM25" s="997" t="b">
        <f t="shared" si="51"/>
        <v>0</v>
      </c>
      <c r="BN25" s="997">
        <f t="shared" si="52"/>
        <v>600</v>
      </c>
      <c r="BO25" s="997">
        <f t="shared" ca="1" si="89"/>
        <v>0</v>
      </c>
      <c r="BP25" s="997"/>
      <c r="BQ25" s="997"/>
      <c r="BR25" s="997">
        <f t="shared" si="90"/>
        <v>1200</v>
      </c>
      <c r="BS25" s="997"/>
      <c r="BT25" s="997" t="b">
        <f t="shared" ca="1" si="91"/>
        <v>0</v>
      </c>
      <c r="BU25" s="997" t="b">
        <f t="shared" si="100"/>
        <v>1</v>
      </c>
      <c r="BV25" s="997" t="b">
        <f t="shared" si="92"/>
        <v>0</v>
      </c>
      <c r="BW25" s="997" t="b">
        <f t="shared" ca="1" si="93"/>
        <v>0</v>
      </c>
      <c r="BX25" s="997" t="b">
        <f t="shared" ca="1" si="94"/>
        <v>0</v>
      </c>
      <c r="BY25" s="997">
        <f t="shared" ca="1" si="95"/>
        <v>1200</v>
      </c>
      <c r="BZ25" s="997">
        <f t="shared" si="96"/>
        <v>365</v>
      </c>
      <c r="CA25" s="997">
        <f t="shared" si="97"/>
        <v>0</v>
      </c>
      <c r="CB25" s="997">
        <f t="shared" ca="1" si="98"/>
        <v>0</v>
      </c>
      <c r="CC25" s="997">
        <f t="shared" ca="1" si="55"/>
        <v>0</v>
      </c>
      <c r="CD25" s="997">
        <f t="shared" si="101"/>
        <v>1200</v>
      </c>
      <c r="CE25" s="1002" t="b">
        <f t="shared" si="57"/>
        <v>0</v>
      </c>
      <c r="CF25" s="5"/>
      <c r="CG25" s="5"/>
    </row>
    <row r="26" spans="1:111" customFormat="1" x14ac:dyDescent="0.35">
      <c r="A26" s="997">
        <f t="shared" si="67"/>
        <v>10</v>
      </c>
      <c r="B26" s="1003" t="str">
        <f>IF(input_engine_o!$U$21&gt;A25,VLOOKUP(A26,input_engine_o!$U$23:$Y$35,2,FALSE),"")</f>
        <v/>
      </c>
      <c r="C26" s="997" t="str">
        <f t="shared" si="68"/>
        <v/>
      </c>
      <c r="D26" s="1003">
        <f t="shared" si="69"/>
        <v>45747</v>
      </c>
      <c r="E26" s="1002" t="str">
        <f ca="1">IF(B26="",E25,VLOOKUP(B26,input_engine_o!$B$23:$F$35,5,FALSE))</f>
        <v>nn</v>
      </c>
      <c r="F26" s="1003" t="str">
        <f t="shared" si="70"/>
        <v/>
      </c>
      <c r="G26" s="1003" t="str">
        <f t="shared" si="71"/>
        <v/>
      </c>
      <c r="H26" s="1002">
        <f t="shared" si="72"/>
        <v>0</v>
      </c>
      <c r="I26" s="997">
        <f t="shared" ca="1" si="59"/>
        <v>0</v>
      </c>
      <c r="J26" s="997">
        <f t="shared" ca="1" si="60"/>
        <v>0</v>
      </c>
      <c r="K26" s="997">
        <f t="shared" ca="1" si="61"/>
        <v>0</v>
      </c>
      <c r="L26" s="997" t="str">
        <f>IF(input_engine_o!$U$21&gt;A25,VLOOKUP(A26,input_engine_o!$U$23:$Y$36,3,FALSE),"")</f>
        <v/>
      </c>
      <c r="M26" s="1002" t="str">
        <f t="shared" ca="1" si="73"/>
        <v>up</v>
      </c>
      <c r="N26" s="1002" t="str">
        <f t="shared" si="99"/>
        <v/>
      </c>
      <c r="O26" s="1002" t="str">
        <f t="shared" si="62"/>
        <v/>
      </c>
      <c r="P26" s="1032">
        <f t="shared" si="74"/>
        <v>0.499</v>
      </c>
      <c r="Q26" s="997" t="str">
        <f t="shared" ca="1" si="75"/>
        <v/>
      </c>
      <c r="R26" s="997">
        <f t="shared" si="76"/>
        <v>0</v>
      </c>
      <c r="S26" s="1006">
        <f>IF(input_engine_o!$U$21&gt;A25,VLOOKUP(A26,input_engine_o!$U$23:$Y$35,4,FALSE),0)</f>
        <v>0</v>
      </c>
      <c r="T26" s="2442">
        <f t="shared" ca="1" si="77"/>
        <v>0</v>
      </c>
      <c r="U26" s="997" t="b">
        <f t="shared" si="78"/>
        <v>0</v>
      </c>
      <c r="V26" s="997" t="b">
        <f>advanced!$I$23="y"</f>
        <v>0</v>
      </c>
      <c r="W26" s="997">
        <f>data!$D$34</f>
        <v>15000</v>
      </c>
      <c r="X26" s="997" t="b">
        <f t="shared" si="26"/>
        <v>0</v>
      </c>
      <c r="Y26" s="997">
        <f t="shared" si="79"/>
        <v>0</v>
      </c>
      <c r="Z26" s="997">
        <f t="shared" si="63"/>
        <v>0</v>
      </c>
      <c r="AA26" s="1002">
        <f>data!$G$54</f>
        <v>75000</v>
      </c>
      <c r="AB26" s="1002">
        <f>data!$F$54</f>
        <v>0.02</v>
      </c>
      <c r="AC26" s="997">
        <f t="shared" si="80"/>
        <v>0</v>
      </c>
      <c r="AD26" s="997">
        <f>IF(B26="",0,(IF($AE$1=authorities!$I$1,0,IF(L26&gt;AE26,VLOOKUP($AD$1,authorities!A:H,C26+1,FALSE),0)))*L26/$CK$3*H26)</f>
        <v>0</v>
      </c>
      <c r="AE26" s="997">
        <f>IF($AE$1=authorities!$I$1,0,$AE$1)</f>
        <v>0</v>
      </c>
      <c r="AF26" s="1002">
        <f>IF(input_engine_o!$U$21&gt;A25,VLOOKUP(A26,input_engine_o!$U$23:$Y$35,5,FALSE),0)</f>
        <v>0</v>
      </c>
      <c r="AG26" s="1002">
        <f>data!$C$44</f>
        <v>2900</v>
      </c>
      <c r="AH26" s="1007">
        <f t="shared" si="64"/>
        <v>1</v>
      </c>
      <c r="AI26" s="997">
        <f t="shared" si="81"/>
        <v>0</v>
      </c>
      <c r="AJ26" s="997" t="b">
        <f t="shared" ca="1" si="82"/>
        <v>0</v>
      </c>
      <c r="AK26" s="997"/>
      <c r="AL26" s="997">
        <f t="shared" ca="1" si="83"/>
        <v>0</v>
      </c>
      <c r="AM26" s="997"/>
      <c r="AN26" s="997"/>
      <c r="AO26" s="1002">
        <f t="shared" si="31"/>
        <v>0</v>
      </c>
      <c r="AP26" s="1002">
        <f ca="1">SUM($AO$3:AO26)</f>
        <v>2</v>
      </c>
      <c r="AQ26" s="1002">
        <f t="shared" si="84"/>
        <v>365</v>
      </c>
      <c r="AR26" s="997">
        <f t="shared" ca="1" si="33"/>
        <v>0</v>
      </c>
      <c r="AS26" s="5"/>
      <c r="AT26" s="997">
        <f t="shared" ca="1" si="85"/>
        <v>0</v>
      </c>
      <c r="AU26" s="997" t="b">
        <f t="shared" ca="1" si="65"/>
        <v>1</v>
      </c>
      <c r="AV26" s="997" t="b">
        <f t="shared" si="9"/>
        <v>0</v>
      </c>
      <c r="AW26" s="997" t="b">
        <f t="shared" si="66"/>
        <v>0</v>
      </c>
      <c r="AX26" s="997">
        <f t="shared" ca="1" si="86"/>
        <v>0</v>
      </c>
      <c r="AY26" s="2370">
        <f ca="1">AR26/reliefs!$E$7*AX26*-1</f>
        <v>0</v>
      </c>
      <c r="AZ26" s="1002">
        <f t="shared" ca="1" si="87"/>
        <v>0</v>
      </c>
      <c r="BA26" s="2370"/>
      <c r="BB26" s="997"/>
      <c r="BC26" s="997"/>
      <c r="BD26" s="997"/>
      <c r="BE26" s="997"/>
      <c r="BF26" s="1002"/>
      <c r="BG26" s="997">
        <f t="shared" ca="1" si="88"/>
        <v>0</v>
      </c>
      <c r="BH26" s="997">
        <f t="shared" si="46"/>
        <v>15000</v>
      </c>
      <c r="BI26" s="1001">
        <f t="shared" si="47"/>
        <v>0</v>
      </c>
      <c r="BJ26" s="997">
        <f t="shared" si="48"/>
        <v>5000000</v>
      </c>
      <c r="BK26" s="997">
        <f t="shared" si="49"/>
        <v>0.499</v>
      </c>
      <c r="BL26" s="997" t="b">
        <f t="shared" si="50"/>
        <v>1</v>
      </c>
      <c r="BM26" s="997" t="b">
        <f t="shared" si="51"/>
        <v>0</v>
      </c>
      <c r="BN26" s="997">
        <f t="shared" si="52"/>
        <v>600</v>
      </c>
      <c r="BO26" s="997">
        <f t="shared" ca="1" si="89"/>
        <v>0</v>
      </c>
      <c r="BP26" s="997"/>
      <c r="BQ26" s="997"/>
      <c r="BR26" s="997">
        <f t="shared" si="90"/>
        <v>1200</v>
      </c>
      <c r="BS26" s="997"/>
      <c r="BT26" s="997" t="b">
        <f t="shared" ca="1" si="91"/>
        <v>0</v>
      </c>
      <c r="BU26" s="997" t="b">
        <f t="shared" si="100"/>
        <v>1</v>
      </c>
      <c r="BV26" s="997" t="b">
        <f t="shared" si="92"/>
        <v>0</v>
      </c>
      <c r="BW26" s="997" t="b">
        <f t="shared" ca="1" si="93"/>
        <v>0</v>
      </c>
      <c r="BX26" s="997" t="b">
        <f t="shared" ca="1" si="94"/>
        <v>0</v>
      </c>
      <c r="BY26" s="997">
        <f t="shared" ca="1" si="95"/>
        <v>1200</v>
      </c>
      <c r="BZ26" s="997">
        <f t="shared" si="96"/>
        <v>365</v>
      </c>
      <c r="CA26" s="997">
        <f t="shared" si="97"/>
        <v>0</v>
      </c>
      <c r="CB26" s="997">
        <f t="shared" ca="1" si="98"/>
        <v>0</v>
      </c>
      <c r="CC26" s="997">
        <f t="shared" ca="1" si="55"/>
        <v>0</v>
      </c>
      <c r="CD26" s="997">
        <f t="shared" si="101"/>
        <v>1200</v>
      </c>
      <c r="CE26" s="1002" t="b">
        <f t="shared" si="57"/>
        <v>0</v>
      </c>
      <c r="CF26" s="5"/>
      <c r="CG26" s="5"/>
    </row>
    <row r="27" spans="1:111" customFormat="1" x14ac:dyDescent="0.35">
      <c r="A27" s="997">
        <f t="shared" si="67"/>
        <v>11</v>
      </c>
      <c r="B27" s="1003" t="str">
        <f>IF(input_engine_o!$U$21&gt;A26,VLOOKUP(A27,input_engine_o!$U$23:$Y$35,2,FALSE),"")</f>
        <v/>
      </c>
      <c r="C27" s="997" t="str">
        <f t="shared" si="68"/>
        <v/>
      </c>
      <c r="D27" s="1003">
        <f t="shared" si="69"/>
        <v>45747</v>
      </c>
      <c r="E27" s="1002" t="str">
        <f ca="1">IF(B27="",E26,VLOOKUP(B27,input_engine_o!$B$23:$F$35,5,FALSE))</f>
        <v>nn</v>
      </c>
      <c r="F27" s="1003" t="str">
        <f t="shared" si="70"/>
        <v/>
      </c>
      <c r="G27" s="1003" t="str">
        <f>IF(B27="","",IF(#REF!=C27,#REF!-1,D27))</f>
        <v/>
      </c>
      <c r="H27" s="1002">
        <f t="shared" si="72"/>
        <v>0</v>
      </c>
      <c r="I27" s="997">
        <f t="shared" ca="1" si="59"/>
        <v>0</v>
      </c>
      <c r="J27" s="997">
        <f t="shared" ca="1" si="60"/>
        <v>0</v>
      </c>
      <c r="K27" s="997">
        <f t="shared" ca="1" si="61"/>
        <v>0</v>
      </c>
      <c r="L27" s="997" t="str">
        <f>IF(input_engine_o!$U$21&gt;A26,VLOOKUP(A27,input_engine_o!$U$23:$Y$36,3,FALSE),"")</f>
        <v/>
      </c>
      <c r="M27" s="1002" t="str">
        <f t="shared" ca="1" si="73"/>
        <v>up</v>
      </c>
      <c r="N27" s="1002" t="str">
        <f t="shared" si="99"/>
        <v/>
      </c>
      <c r="O27" s="1002" t="str">
        <f t="shared" si="62"/>
        <v/>
      </c>
      <c r="P27" s="1032">
        <f t="shared" si="74"/>
        <v>0.499</v>
      </c>
      <c r="Q27" s="997" t="str">
        <f t="shared" ca="1" si="75"/>
        <v/>
      </c>
      <c r="R27" s="997">
        <f t="shared" si="76"/>
        <v>0</v>
      </c>
      <c r="S27" s="1006">
        <f>IF(input_engine_o!$U$21&gt;A26,VLOOKUP(A27,input_engine_o!$U$23:$Y$35,4,FALSE),0)</f>
        <v>0</v>
      </c>
      <c r="T27" s="2442">
        <f t="shared" ca="1" si="77"/>
        <v>0</v>
      </c>
      <c r="U27" s="997" t="b">
        <f t="shared" si="78"/>
        <v>0</v>
      </c>
      <c r="V27" s="997" t="b">
        <f>advanced!$I$23="y"</f>
        <v>0</v>
      </c>
      <c r="W27" s="997">
        <f>data!$D$34</f>
        <v>15000</v>
      </c>
      <c r="X27" s="997" t="b">
        <f t="shared" si="26"/>
        <v>0</v>
      </c>
      <c r="Y27" s="997">
        <f t="shared" si="79"/>
        <v>0</v>
      </c>
      <c r="Z27" s="997">
        <f t="shared" si="63"/>
        <v>0</v>
      </c>
      <c r="AA27" s="1002">
        <f>data!$G$54</f>
        <v>75000</v>
      </c>
      <c r="AB27" s="1002">
        <f>data!$F$54</f>
        <v>0.02</v>
      </c>
      <c r="AC27" s="997">
        <f t="shared" si="80"/>
        <v>0</v>
      </c>
      <c r="AD27" s="997">
        <f>IF(B27="",0,(IF($AE$1=authorities!$I$1,0,IF(L27&gt;AE27,VLOOKUP($AD$1,authorities!A:H,C27+1,FALSE),0)))*L27/$CK$3*H27)</f>
        <v>0</v>
      </c>
      <c r="AE27" s="997">
        <f>IF($AE$1=authorities!$I$1,0,$AE$1)</f>
        <v>0</v>
      </c>
      <c r="AF27" s="1002">
        <f>IF(input_engine_o!$U$21&gt;A26,VLOOKUP(A27,input_engine_o!$U$23:$Y$35,5,FALSE),0)</f>
        <v>0</v>
      </c>
      <c r="AG27" s="1002">
        <f>data!$C$44</f>
        <v>2900</v>
      </c>
      <c r="AH27" s="1007">
        <f t="shared" si="64"/>
        <v>1</v>
      </c>
      <c r="AI27" s="997">
        <f t="shared" si="81"/>
        <v>0</v>
      </c>
      <c r="AJ27" s="997" t="b">
        <f t="shared" ca="1" si="82"/>
        <v>0</v>
      </c>
      <c r="AK27" s="997"/>
      <c r="AL27" s="997">
        <f t="shared" ca="1" si="83"/>
        <v>0</v>
      </c>
      <c r="AM27" s="997"/>
      <c r="AN27" s="997"/>
      <c r="AO27" s="1002">
        <f t="shared" si="31"/>
        <v>0</v>
      </c>
      <c r="AP27" s="1002">
        <f ca="1">SUM($AO$3:AO27)</f>
        <v>2</v>
      </c>
      <c r="AQ27" s="1002">
        <f t="shared" si="84"/>
        <v>365</v>
      </c>
      <c r="AR27" s="997">
        <f t="shared" ca="1" si="33"/>
        <v>0</v>
      </c>
      <c r="AS27" s="5"/>
      <c r="AT27" s="997">
        <f t="shared" ca="1" si="85"/>
        <v>0</v>
      </c>
      <c r="AU27" s="997" t="b">
        <f t="shared" ca="1" si="65"/>
        <v>1</v>
      </c>
      <c r="AV27" s="997" t="b">
        <f t="shared" si="9"/>
        <v>0</v>
      </c>
      <c r="AW27" s="997" t="b">
        <f t="shared" si="66"/>
        <v>0</v>
      </c>
      <c r="AX27" s="997">
        <f t="shared" ca="1" si="86"/>
        <v>0</v>
      </c>
      <c r="AY27" s="2370">
        <f ca="1">AR27/reliefs!$E$7*AX27*-1</f>
        <v>0</v>
      </c>
      <c r="AZ27" s="1002">
        <f t="shared" ca="1" si="87"/>
        <v>0</v>
      </c>
      <c r="BA27" s="2372" t="s">
        <v>2905</v>
      </c>
      <c r="BB27" s="1000" t="s">
        <v>2903</v>
      </c>
      <c r="BC27" s="997"/>
      <c r="BD27" s="1000" t="s">
        <v>2904</v>
      </c>
      <c r="BE27" s="997"/>
      <c r="BF27" s="1002"/>
      <c r="BG27" s="997">
        <f t="shared" ca="1" si="88"/>
        <v>0</v>
      </c>
      <c r="BH27" s="997">
        <f t="shared" si="46"/>
        <v>15000</v>
      </c>
      <c r="BI27" s="1001">
        <f t="shared" si="47"/>
        <v>0</v>
      </c>
      <c r="BJ27" s="997">
        <f t="shared" si="48"/>
        <v>5000000</v>
      </c>
      <c r="BK27" s="997">
        <f t="shared" si="49"/>
        <v>0.499</v>
      </c>
      <c r="BL27" s="997" t="b">
        <f t="shared" si="50"/>
        <v>1</v>
      </c>
      <c r="BM27" s="997" t="b">
        <f t="shared" si="51"/>
        <v>0</v>
      </c>
      <c r="BN27" s="997">
        <f t="shared" si="52"/>
        <v>600</v>
      </c>
      <c r="BO27" s="997">
        <f t="shared" ca="1" si="89"/>
        <v>0</v>
      </c>
      <c r="BP27" s="997"/>
      <c r="BQ27" s="997"/>
      <c r="BR27" s="997">
        <f t="shared" si="90"/>
        <v>1200</v>
      </c>
      <c r="BS27" s="997"/>
      <c r="BT27" s="997" t="b">
        <f t="shared" ca="1" si="91"/>
        <v>0</v>
      </c>
      <c r="BU27" s="997" t="b">
        <f t="shared" si="100"/>
        <v>1</v>
      </c>
      <c r="BV27" s="997" t="b">
        <f t="shared" si="92"/>
        <v>0</v>
      </c>
      <c r="BW27" s="997" t="b">
        <f t="shared" ca="1" si="93"/>
        <v>0</v>
      </c>
      <c r="BX27" s="997" t="b">
        <f t="shared" ca="1" si="94"/>
        <v>0</v>
      </c>
      <c r="BY27" s="997">
        <f t="shared" ca="1" si="95"/>
        <v>1200</v>
      </c>
      <c r="BZ27" s="997">
        <f t="shared" si="96"/>
        <v>365</v>
      </c>
      <c r="CA27" s="997">
        <f t="shared" si="97"/>
        <v>0</v>
      </c>
      <c r="CB27" s="997">
        <f t="shared" ca="1" si="98"/>
        <v>0</v>
      </c>
      <c r="CC27" s="997">
        <f t="shared" ca="1" si="55"/>
        <v>0</v>
      </c>
      <c r="CD27" s="997">
        <f t="shared" si="101"/>
        <v>1200</v>
      </c>
      <c r="CE27" s="1002" t="b">
        <f t="shared" si="57"/>
        <v>0</v>
      </c>
      <c r="CF27" s="5"/>
      <c r="CG27" s="5"/>
    </row>
    <row r="28" spans="1:111" customFormat="1" x14ac:dyDescent="0.35">
      <c r="P28" s="1042"/>
      <c r="T28" s="2445">
        <f ca="1">ROUND(SUM(T16:T27),2)</f>
        <v>0</v>
      </c>
      <c r="U28" s="1008">
        <f ca="1">U16+U17+U18+U19+U20+U21+U22+U23+U24+U25+U26+U27</f>
        <v>0</v>
      </c>
      <c r="AI28" s="1009">
        <f ca="1">SUM(AI16:AI27)</f>
        <v>1</v>
      </c>
      <c r="AJ28" s="1002">
        <f ca="1">AJ27+AJ26+AJ25+AJ24+AJ23+AJ22+AJ21+AJ20+AJ19+AJ18+AJ17+AJ16</f>
        <v>0</v>
      </c>
      <c r="AK28" s="997" t="str">
        <f ca="1">IF(AJ28=12,"Phased",IF(AJ28=0,"True","***"))</f>
        <v>True</v>
      </c>
      <c r="AL28" s="1002">
        <f ca="1">SUM(AL16:AL27)</f>
        <v>0</v>
      </c>
      <c r="AM28" s="1010">
        <f ca="1">IF(AL28&lt;1,AL28,INT(AL28))</f>
        <v>0</v>
      </c>
      <c r="AN28" s="1010" t="str">
        <f ca="1">IF(AL28-AM28&lt;&gt;0,"N/J + T",IF(AND(0&lt;AL28,AL28&lt;1),"P + T",IF(AL28&gt;=1,"N/J","")))</f>
        <v/>
      </c>
      <c r="AO28" s="5"/>
      <c r="AP28" s="1002">
        <f ca="1">SUM($AO$3:AO28)</f>
        <v>2</v>
      </c>
      <c r="AQ28" s="5"/>
      <c r="AR28" s="997"/>
      <c r="AS28" s="5"/>
      <c r="AT28" s="5"/>
      <c r="AU28" s="5"/>
      <c r="AV28" s="5"/>
      <c r="AW28" s="5"/>
      <c r="AX28" s="5"/>
      <c r="AY28" s="2371">
        <f ca="1">IF(SUM(AY16:AY27)&lt;BA28,BA28,SUM(AY16:AY27))</f>
        <v>0</v>
      </c>
      <c r="AZ28" s="5"/>
      <c r="BA28" s="2371">
        <f ca="1">MIN(BB28,BD28)*-1</f>
        <v>-110000</v>
      </c>
      <c r="BB28" s="15">
        <f ca="1">BC28-BA15</f>
        <v>315000</v>
      </c>
      <c r="BC28" s="15">
        <f>reliefs!E16</f>
        <v>315000</v>
      </c>
      <c r="BD28" s="15">
        <f>reliefs!E15</f>
        <v>110000</v>
      </c>
      <c r="BE28" s="5"/>
      <c r="BF28" s="5"/>
      <c r="BG28" s="1002">
        <f ca="1">SUM(BG16:BG27)+0.0000001</f>
        <v>9.9999999999999995E-8</v>
      </c>
      <c r="BH28" s="997">
        <f t="shared" si="46"/>
        <v>15000</v>
      </c>
      <c r="BI28" s="1001">
        <f t="shared" si="47"/>
        <v>0</v>
      </c>
      <c r="BJ28" s="997">
        <f t="shared" si="48"/>
        <v>5000000</v>
      </c>
      <c r="BK28" s="997">
        <f t="shared" si="49"/>
        <v>0.499</v>
      </c>
      <c r="BL28" s="997" t="b">
        <f t="shared" si="50"/>
        <v>1</v>
      </c>
      <c r="BM28" s="997" t="b">
        <f t="shared" si="51"/>
        <v>0</v>
      </c>
      <c r="BN28" s="5"/>
      <c r="BO28" s="5"/>
      <c r="BP28" s="5"/>
      <c r="BQ28" s="5"/>
      <c r="BR28" s="997"/>
      <c r="BS28" s="5"/>
      <c r="BT28" s="997"/>
      <c r="BU28" s="997"/>
      <c r="BV28" s="997"/>
      <c r="BW28" s="997" t="b">
        <f ca="1">AND(BW27=TRUE,BV28=TRUE)</f>
        <v>0</v>
      </c>
      <c r="BX28" s="997" t="b">
        <f t="shared" ca="1" si="94"/>
        <v>0</v>
      </c>
      <c r="BY28" s="5"/>
      <c r="BZ28" s="5"/>
      <c r="CA28" s="5"/>
      <c r="CB28" s="5"/>
      <c r="CC28" s="5"/>
      <c r="CD28" s="5"/>
      <c r="CE28" s="1002" t="b">
        <f t="shared" si="57"/>
        <v>0</v>
      </c>
      <c r="CF28" s="5"/>
      <c r="CG28" s="5"/>
    </row>
    <row r="29" spans="1:111" customFormat="1" x14ac:dyDescent="0.35">
      <c r="A29" s="997">
        <v>0</v>
      </c>
      <c r="B29" s="1003">
        <f>CH4</f>
        <v>45748</v>
      </c>
      <c r="C29" s="997">
        <f>IF(OR(B29=0,B29=""),"",3)</f>
        <v>3</v>
      </c>
      <c r="D29" s="1003">
        <f>$CJ$4</f>
        <v>46112</v>
      </c>
      <c r="E29" s="1002" t="str">
        <f ca="1">IF(B29=B30,E30,OFFSET(E15,AI28,0))</f>
        <v>nn</v>
      </c>
      <c r="F29" s="1003">
        <f>B29</f>
        <v>45748</v>
      </c>
      <c r="G29" s="1003">
        <f>IF(B29="","",IF(C30=C29,F30-1,D29))</f>
        <v>46112</v>
      </c>
      <c r="H29" s="1002">
        <f>IF(B29&lt;&gt;"",G29-F29+1,0)</f>
        <v>365</v>
      </c>
      <c r="I29" s="997">
        <f t="shared" ref="I29:I40" ca="1" si="102">IF(AP29&gt;0,K29*P29,HLOOKUP(E29,$CM$1:$CP$9,1+$C$29,FALSE))</f>
        <v>0</v>
      </c>
      <c r="J29" s="997">
        <f t="shared" ref="J29:J40" ca="1" si="103">I29/$CK$4</f>
        <v>0</v>
      </c>
      <c r="K29" s="997">
        <f t="shared" ref="K29:K40" ca="1" si="104">HLOOKUP(E29,$CM$1:$CP$10,10,FALSE)</f>
        <v>0</v>
      </c>
      <c r="L29" s="997">
        <f ca="1">IF(B29=B30,L30,OFFSET(L15,AI28,0))</f>
        <v>0</v>
      </c>
      <c r="M29" s="1002" t="str">
        <f ca="1">IF(L29&lt;K29,"down","up")</f>
        <v>up</v>
      </c>
      <c r="N29" s="1002">
        <f ca="1">IF(OR(B29="",K29=0),0,IF(M29="down",J29*L29/K29*H29,0))</f>
        <v>0</v>
      </c>
      <c r="O29" s="1002">
        <f t="shared" ref="O29:O40" ca="1" si="105">IF(B29="","",IF(M29="up",((J29*H29)+((L29-K29)*P29/$CK$4*H29)),0))</f>
        <v>0</v>
      </c>
      <c r="P29" s="1032">
        <f>$CL$4</f>
        <v>0.499</v>
      </c>
      <c r="Q29" s="997">
        <f ca="1">IF(M29="down",N29,O29)</f>
        <v>0</v>
      </c>
      <c r="R29" s="997">
        <f ca="1">IF(B29="",0,IF(U29=TRUE,(Q29/AH29)+AC29+(AD29/AH29),(Q29)+Y29+Z29+AC29+AD29))</f>
        <v>0</v>
      </c>
      <c r="S29" s="1006">
        <f ca="1">IF(B29=B30,S30,OFFSET(S15,AI28,0))</f>
        <v>1</v>
      </c>
      <c r="T29" s="2442">
        <f ca="1">$CV$1*(IF(AND(AF29="y",L29&lt;AG29),0,R29*S29))+CB29+AZ29</f>
        <v>0</v>
      </c>
      <c r="U29" s="997" t="b">
        <f ca="1">AND(V29=TRUE,L29&lt;=W29,AF29="n",X29=FALSE)</f>
        <v>0</v>
      </c>
      <c r="V29" s="997" t="b">
        <f>advanced!$I$24="y"</f>
        <v>0</v>
      </c>
      <c r="W29" s="997">
        <f>data!$D$35</f>
        <v>15000</v>
      </c>
      <c r="X29" s="997" t="b">
        <f t="shared" si="26"/>
        <v>0</v>
      </c>
      <c r="Y29" s="997">
        <f ca="1">IF(B29="",0,IF(OR(L29&lt;$CV$4,U29=TRUE,BX29=TRUE),0,L29*$CS$4/$CK$4*H29))</f>
        <v>0</v>
      </c>
      <c r="Z29" s="997">
        <f t="shared" ref="Z29:Z40" ca="1" si="106">IF(B29="",0,IF(AND($Z$2=TRUE,L29&gt;AA29),L29*AB29*H29/AQ29,0))</f>
        <v>0</v>
      </c>
      <c r="AA29" s="1002">
        <f>data!$G$55</f>
        <v>75000</v>
      </c>
      <c r="AB29" s="1002">
        <f>data!$F$55</f>
        <v>0.02</v>
      </c>
      <c r="AC29" s="997">
        <f ca="1">IF(B29="",0,L29*($CQ$4-IF(L29&lt;$CV$4,CW$4,0))/$CK$4*H29)*$AC$2/IF(U29=TRUE,AH29,1)</f>
        <v>0</v>
      </c>
      <c r="AD29" s="997">
        <f ca="1">IF(B29="",0,(IF($AE$1=authorities!$I$1,0,IF(L29&gt;AE29,VLOOKUP($AD$1,authorities!A:H,C29+1,FALSE),0)))*L29/$CK$4*H29)</f>
        <v>0</v>
      </c>
      <c r="AE29" s="997">
        <f>IF($AE$1=authorities!$I$1,0,$AE$1)</f>
        <v>0</v>
      </c>
      <c r="AF29" s="1006" t="str">
        <f ca="1">IF(B29=B30,AF30,OFFSET(AF15,AI28,0))</f>
        <v>n</v>
      </c>
      <c r="AG29" s="1002">
        <f>data!$C$45</f>
        <v>2900</v>
      </c>
      <c r="AH29" s="1007">
        <f t="shared" ref="AH29:AH40" ca="1" si="107">IF(L29&lt;=$CT$4,5000000,IF(L29&gt;$CU$4,1,IF(MID((($CU$4-$CT$4)/(L29-$CT$4)),6,1)="5",ROUND((($CU$4-$CT$4)/(L29-$CT$4))-0.0001,3),ROUND(($CU$4-$CT$4)/(L29-$CT$4),3))))</f>
        <v>5000000</v>
      </c>
      <c r="AI29" s="997">
        <f ca="1">IF(L29&lt;&gt;"",1,0)</f>
        <v>1</v>
      </c>
      <c r="AJ29" s="997" t="b">
        <f ca="1">IF(AP29&gt;0,FALSE,HLOOKUP(E29,$CM$1:$CP$17,$AJ$1+3,FALSE))</f>
        <v>0</v>
      </c>
      <c r="AK29" s="997"/>
      <c r="AL29" s="997">
        <f ca="1">IF(OR(H29=0,F29="",K29=L29,AJ29=FALSE),0,IF(L29&lt;K29,1,0.01))</f>
        <v>0</v>
      </c>
      <c r="AM29" s="997"/>
      <c r="AN29" s="997"/>
      <c r="AO29" s="1002">
        <f t="shared" ref="AO29:AO40" ca="1" si="108">IF(L29=0,1,0)</f>
        <v>1</v>
      </c>
      <c r="AP29" s="1002">
        <f ca="1">SUM($AO$3:AO29)</f>
        <v>3</v>
      </c>
      <c r="AQ29" s="1002">
        <f>$CK$4</f>
        <v>365</v>
      </c>
      <c r="AR29" s="997">
        <f t="shared" ca="1" si="33"/>
        <v>0</v>
      </c>
      <c r="AS29" s="1002"/>
      <c r="AT29" s="997">
        <f ca="1">L29</f>
        <v>0</v>
      </c>
      <c r="AU29" s="997" t="b">
        <f t="shared" ref="AU29:AU40" ca="1" si="109">AT29&lt;$AU$1</f>
        <v>1</v>
      </c>
      <c r="AV29" s="997" t="b">
        <f t="shared" si="9"/>
        <v>0</v>
      </c>
      <c r="AW29" s="997" t="b">
        <f t="shared" ref="AW29:AW40" ca="1" si="110">AF29="n"</f>
        <v>1</v>
      </c>
      <c r="AX29" s="997">
        <f ca="1">AU29*AV29*AW29*IF(S29=0,0,1)</f>
        <v>0</v>
      </c>
      <c r="AY29" s="2370">
        <f ca="1">AR29/reliefs!$F$7*AX29*-1</f>
        <v>0</v>
      </c>
      <c r="AZ29" s="1002">
        <f ca="1">$AY$41/$BG$41*H29*AX29</f>
        <v>0</v>
      </c>
      <c r="BA29" s="2370"/>
      <c r="BB29" s="997"/>
      <c r="BC29" s="997"/>
      <c r="BD29" s="997"/>
      <c r="BE29" s="997"/>
      <c r="BF29" s="1002"/>
      <c r="BG29" s="997">
        <f ca="1">H29*AX29</f>
        <v>0</v>
      </c>
      <c r="BH29" s="997">
        <f t="shared" si="46"/>
        <v>15000</v>
      </c>
      <c r="BI29" s="1001">
        <f t="shared" si="47"/>
        <v>0</v>
      </c>
      <c r="BJ29" s="997">
        <f t="shared" si="48"/>
        <v>5000000</v>
      </c>
      <c r="BK29" s="997">
        <f t="shared" si="49"/>
        <v>0.499</v>
      </c>
      <c r="BL29" s="997" t="b">
        <f t="shared" si="50"/>
        <v>1</v>
      </c>
      <c r="BM29" s="997" t="b">
        <f t="shared" si="51"/>
        <v>0</v>
      </c>
      <c r="BN29" s="997">
        <f>CD27</f>
        <v>1200</v>
      </c>
      <c r="BO29" s="997">
        <f t="shared" ref="BO29:BO40" ca="1" si="111">I29/IF(U29=TRUE,AH29,1)</f>
        <v>0</v>
      </c>
      <c r="BP29" s="997"/>
      <c r="BQ29" s="997"/>
      <c r="BR29" s="997">
        <f t="shared" si="90"/>
        <v>1800</v>
      </c>
      <c r="BS29" s="997"/>
      <c r="BT29" s="997" t="b">
        <f ca="1">BO29&gt;BR29</f>
        <v>0</v>
      </c>
      <c r="BU29" s="997" t="b">
        <f>BU27</f>
        <v>1</v>
      </c>
      <c r="BV29" s="997" t="b">
        <f ca="1">AW29</f>
        <v>1</v>
      </c>
      <c r="BW29" s="997" t="b">
        <f ca="1">BV29</f>
        <v>1</v>
      </c>
      <c r="BX29" s="997" t="b">
        <f t="shared" ca="1" si="94"/>
        <v>0</v>
      </c>
      <c r="BY29" s="997">
        <f t="shared" ref="BY29:BY40" ca="1" si="112">(BR29-BO29)</f>
        <v>1800</v>
      </c>
      <c r="BZ29" s="997">
        <f t="shared" ref="BZ29:BZ40" si="113">AQ29</f>
        <v>365</v>
      </c>
      <c r="CA29" s="997">
        <f>H29</f>
        <v>365</v>
      </c>
      <c r="CB29" s="997">
        <f ca="1">BY29/BZ29*CA29*BX29</f>
        <v>0</v>
      </c>
      <c r="CC29" s="997">
        <f t="shared" ref="CC29:CC40" ca="1" si="114">CB29</f>
        <v>0</v>
      </c>
      <c r="CD29" s="997"/>
      <c r="CE29" s="1002" t="b">
        <f t="shared" si="57"/>
        <v>0</v>
      </c>
      <c r="CF29" s="5"/>
      <c r="CG29" s="5"/>
    </row>
    <row r="30" spans="1:111" customFormat="1" x14ac:dyDescent="0.35">
      <c r="A30" s="997">
        <f t="shared" ref="A30:A40" si="115">A29+1</f>
        <v>1</v>
      </c>
      <c r="B30" s="1003" t="str">
        <f>IF(input_engine_o!$Z$21&gt;A29,VLOOKUP(A30,input_engine_o!$Z$23:$AD$35,2,FALSE),"")</f>
        <v/>
      </c>
      <c r="C30" s="997" t="str">
        <f t="shared" ref="C30:C40" si="116">IF(OR(B30=0,B30=""),"",3)</f>
        <v/>
      </c>
      <c r="D30" s="1003">
        <f t="shared" ref="D30:D40" si="117">$CJ$4</f>
        <v>46112</v>
      </c>
      <c r="E30" s="1002" t="str">
        <f ca="1">IF(B30="",E29,VLOOKUP(B30,input_engine_o!$B$23:$F$35,5,FALSE))</f>
        <v>nn</v>
      </c>
      <c r="F30" s="1003" t="str">
        <f t="shared" ref="F30:F40" si="118">B30</f>
        <v/>
      </c>
      <c r="G30" s="1003" t="str">
        <f t="shared" ref="G30:G39" si="119">IF(B30="","",IF(C31=C30,F31-1,D30))</f>
        <v/>
      </c>
      <c r="H30" s="1002">
        <f t="shared" ref="H30:H40" si="120">IF(B30&lt;&gt;"",G30-F30+1,0)</f>
        <v>0</v>
      </c>
      <c r="I30" s="997">
        <f t="shared" ca="1" si="102"/>
        <v>0</v>
      </c>
      <c r="J30" s="997">
        <f t="shared" ca="1" si="103"/>
        <v>0</v>
      </c>
      <c r="K30" s="997">
        <f t="shared" ca="1" si="104"/>
        <v>0</v>
      </c>
      <c r="L30" s="997" t="str">
        <f>IF(input_engine_o!$Z$21&gt;A29,VLOOKUP(A30,input_engine_o!$Z$23:$AD$36,3,FALSE),"")</f>
        <v/>
      </c>
      <c r="M30" s="1002" t="str">
        <f t="shared" ref="M30:M40" ca="1" si="121">IF(L30&lt;K30,"down","up")</f>
        <v>up</v>
      </c>
      <c r="N30" s="1002" t="str">
        <f>IF(B30="","",IF(M30="down",J30*L30/K30*H30,0))</f>
        <v/>
      </c>
      <c r="O30" s="1002" t="str">
        <f t="shared" si="105"/>
        <v/>
      </c>
      <c r="P30" s="1032">
        <f t="shared" ref="P30:P40" si="122">$CL$4</f>
        <v>0.499</v>
      </c>
      <c r="Q30" s="997" t="str">
        <f t="shared" ref="Q30:Q40" ca="1" si="123">IF(M30="down",N30,O30)</f>
        <v/>
      </c>
      <c r="R30" s="997">
        <f t="shared" ref="R30:R40" si="124">IF(B30="",0,IF(U30=TRUE,(Q30/AH30)+AC30+(AD30/AH30),(Q30)+Y30+Z30+AC30+AD30))</f>
        <v>0</v>
      </c>
      <c r="S30" s="1006">
        <f>IF(input_engine_o!$Z$21&gt;A29,VLOOKUP(A30,input_engine_o!$Z$23:$AD$35,4,FALSE),0)</f>
        <v>0</v>
      </c>
      <c r="T30" s="2442">
        <f t="shared" ref="T30:T40" ca="1" si="125">$CV$1*(IF(AND(AF30="y",L30&lt;AG30),0,R30*S30))+CB30+AZ30</f>
        <v>0</v>
      </c>
      <c r="U30" s="997" t="b">
        <f t="shared" ref="U30:U40" si="126">AND(V30=TRUE,L30&lt;=W30,AF30="n",X30=FALSE)</f>
        <v>0</v>
      </c>
      <c r="V30" s="997" t="b">
        <f>advanced!$I$24="y"</f>
        <v>0</v>
      </c>
      <c r="W30" s="997">
        <f>data!$D$35</f>
        <v>15000</v>
      </c>
      <c r="X30" s="997" t="b">
        <f t="shared" si="26"/>
        <v>0</v>
      </c>
      <c r="Y30" s="997">
        <f t="shared" ref="Y30:Y40" si="127">IF(B30="",0,IF(OR(L30&lt;$CV$4,U30=TRUE,BX30=TRUE),0,L30*$CS$4/$CK$4*H30))</f>
        <v>0</v>
      </c>
      <c r="Z30" s="997">
        <f t="shared" si="106"/>
        <v>0</v>
      </c>
      <c r="AA30" s="1002">
        <f>data!$G$55</f>
        <v>75000</v>
      </c>
      <c r="AB30" s="1002">
        <f>data!$F$55</f>
        <v>0.02</v>
      </c>
      <c r="AC30" s="997">
        <f t="shared" ref="AC30:AC40" si="128">IF(B30="",0,L30*($CQ$4-IF(L30&lt;$CV$4,CW$4,0))/$CK$4*H30)*$AC$2/IF(U30=TRUE,AH30,1)</f>
        <v>0</v>
      </c>
      <c r="AD30" s="997">
        <f>IF(B30="",0,(IF($AE$1=authorities!$I$1,0,IF(L30&gt;AE30,VLOOKUP($AD$1,authorities!A:H,C30+1,FALSE),0)))*L30/$CK$4*H30)</f>
        <v>0</v>
      </c>
      <c r="AE30" s="997">
        <f>IF($AE$1=authorities!$I$1,0,$AE$1)</f>
        <v>0</v>
      </c>
      <c r="AF30" s="1002">
        <f>IF(input_engine_o!$Z$21&gt;A29,VLOOKUP(A30,input_engine_o!$Z$23:$AD$35,5,FALSE),0)</f>
        <v>0</v>
      </c>
      <c r="AG30" s="1002">
        <f>data!$C$45</f>
        <v>2900</v>
      </c>
      <c r="AH30" s="1007">
        <f t="shared" si="107"/>
        <v>1</v>
      </c>
      <c r="AI30" s="997">
        <f t="shared" ref="AI30:AI40" si="129">IF(L30&lt;&gt;"",1,0)</f>
        <v>0</v>
      </c>
      <c r="AJ30" s="997" t="b">
        <f t="shared" ref="AJ30:AJ40" ca="1" si="130">IF(AP30&gt;0,FALSE,HLOOKUP(E30,$CM$1:$CP$17,$AJ$1+3,FALSE))</f>
        <v>0</v>
      </c>
      <c r="AK30" s="997"/>
      <c r="AL30" s="997">
        <f t="shared" ref="AL30:AL40" ca="1" si="131">IF(OR(H30=0,F30="",K30=L30,AJ30=FALSE),0,IF(L30&lt;K30,1,0.01))</f>
        <v>0</v>
      </c>
      <c r="AM30" s="997"/>
      <c r="AN30" s="997"/>
      <c r="AO30" s="1002">
        <f t="shared" si="108"/>
        <v>0</v>
      </c>
      <c r="AP30" s="1002">
        <f ca="1">SUM($AO$3:AO30)</f>
        <v>3</v>
      </c>
      <c r="AQ30" s="1002">
        <f t="shared" ref="AQ30:AQ40" si="132">$CK$4</f>
        <v>365</v>
      </c>
      <c r="AR30" s="997">
        <f t="shared" ca="1" si="33"/>
        <v>0</v>
      </c>
      <c r="AS30" s="1002"/>
      <c r="AT30" s="997">
        <f t="shared" ref="AT30:AT40" ca="1" si="133">IF(L30="",AT29,L30)</f>
        <v>0</v>
      </c>
      <c r="AU30" s="997" t="b">
        <f t="shared" ca="1" si="109"/>
        <v>1</v>
      </c>
      <c r="AV30" s="997" t="b">
        <f t="shared" si="9"/>
        <v>0</v>
      </c>
      <c r="AW30" s="997" t="b">
        <f t="shared" si="110"/>
        <v>0</v>
      </c>
      <c r="AX30" s="997">
        <f t="shared" ref="AX30:AX40" ca="1" si="134">AU30*AV30*AW30*IF(S30=0,0,1)</f>
        <v>0</v>
      </c>
      <c r="AY30" s="2370">
        <f ca="1">AR30/reliefs!$F$7*AX30*-1</f>
        <v>0</v>
      </c>
      <c r="AZ30" s="1002">
        <f t="shared" ref="AZ30:AZ40" ca="1" si="135">$AY$41/$BG$41*H30*AX30</f>
        <v>0</v>
      </c>
      <c r="BA30" s="2370"/>
      <c r="BB30" s="997"/>
      <c r="BC30" s="997"/>
      <c r="BD30" s="997"/>
      <c r="BE30" s="997"/>
      <c r="BF30" s="1002"/>
      <c r="BG30" s="997">
        <f t="shared" ref="BG30:BG40" ca="1" si="136">H30*AX30</f>
        <v>0</v>
      </c>
      <c r="BH30" s="997">
        <f t="shared" si="46"/>
        <v>15000</v>
      </c>
      <c r="BI30" s="1001">
        <f t="shared" si="47"/>
        <v>0</v>
      </c>
      <c r="BJ30" s="997">
        <f t="shared" si="48"/>
        <v>5000000</v>
      </c>
      <c r="BK30" s="997">
        <f t="shared" si="49"/>
        <v>0.499</v>
      </c>
      <c r="BL30" s="997" t="b">
        <f t="shared" si="50"/>
        <v>1</v>
      </c>
      <c r="BM30" s="997" t="b">
        <f t="shared" si="51"/>
        <v>0</v>
      </c>
      <c r="BN30" s="997">
        <f>BN29</f>
        <v>1200</v>
      </c>
      <c r="BO30" s="997">
        <f t="shared" ca="1" si="111"/>
        <v>0</v>
      </c>
      <c r="BP30" s="997"/>
      <c r="BQ30" s="997"/>
      <c r="BR30" s="997">
        <f t="shared" si="90"/>
        <v>1800</v>
      </c>
      <c r="BS30" s="997"/>
      <c r="BT30" s="997" t="b">
        <f t="shared" ref="BT30:BT40" ca="1" si="137">BO30&gt;BR30</f>
        <v>0</v>
      </c>
      <c r="BU30" s="997" t="b">
        <f>BU29</f>
        <v>1</v>
      </c>
      <c r="BV30" s="997" t="b">
        <f t="shared" ref="BV30:BV40" si="138">AW30</f>
        <v>0</v>
      </c>
      <c r="BW30" s="997" t="b">
        <f t="shared" ref="BW30:BW40" ca="1" si="139">AND(BW29=TRUE,BV30=TRUE)</f>
        <v>0</v>
      </c>
      <c r="BX30" s="997" t="b">
        <f t="shared" ca="1" si="94"/>
        <v>0</v>
      </c>
      <c r="BY30" s="997">
        <f t="shared" ca="1" si="112"/>
        <v>1800</v>
      </c>
      <c r="BZ30" s="997">
        <f t="shared" si="113"/>
        <v>365</v>
      </c>
      <c r="CA30" s="997">
        <f t="shared" ref="CA30:CA40" si="140">H30</f>
        <v>0</v>
      </c>
      <c r="CB30" s="997">
        <f t="shared" ref="CB30:CB40" ca="1" si="141">BY30/BZ30*CA30*BX30</f>
        <v>0</v>
      </c>
      <c r="CC30" s="997">
        <f t="shared" ca="1" si="114"/>
        <v>0</v>
      </c>
      <c r="CD30" s="997"/>
      <c r="CE30" s="1002" t="b">
        <f t="shared" si="57"/>
        <v>0</v>
      </c>
      <c r="CF30" s="5"/>
      <c r="CG30" s="5"/>
    </row>
    <row r="31" spans="1:111" customFormat="1" x14ac:dyDescent="0.35">
      <c r="A31" s="997">
        <f t="shared" si="115"/>
        <v>2</v>
      </c>
      <c r="B31" s="1003" t="str">
        <f>IF(input_engine_o!$Z$21&gt;A30,VLOOKUP(A31,input_engine_o!$Z$23:$AD$35,2,FALSE),"")</f>
        <v/>
      </c>
      <c r="C31" s="997" t="str">
        <f t="shared" si="116"/>
        <v/>
      </c>
      <c r="D31" s="1003">
        <f t="shared" si="117"/>
        <v>46112</v>
      </c>
      <c r="E31" s="1002" t="str">
        <f ca="1">IF(B31="",E30,VLOOKUP(B31,input_engine_o!$B$23:$F$35,5,FALSE))</f>
        <v>nn</v>
      </c>
      <c r="F31" s="1003" t="str">
        <f t="shared" si="118"/>
        <v/>
      </c>
      <c r="G31" s="1003" t="str">
        <f t="shared" si="119"/>
        <v/>
      </c>
      <c r="H31" s="1002">
        <f t="shared" si="120"/>
        <v>0</v>
      </c>
      <c r="I31" s="997">
        <f t="shared" ca="1" si="102"/>
        <v>0</v>
      </c>
      <c r="J31" s="997">
        <f t="shared" ca="1" si="103"/>
        <v>0</v>
      </c>
      <c r="K31" s="997">
        <f t="shared" ca="1" si="104"/>
        <v>0</v>
      </c>
      <c r="L31" s="997" t="str">
        <f>IF(input_engine_o!$Z$21&gt;A30,VLOOKUP(A31,input_engine_o!$Z$23:$AD$36,3,FALSE),"")</f>
        <v/>
      </c>
      <c r="M31" s="1002" t="str">
        <f t="shared" ca="1" si="121"/>
        <v>up</v>
      </c>
      <c r="N31" s="1002" t="str">
        <f t="shared" ref="N31:N40" si="142">IF(B31="","",IF(M31="down",J31*L31/K31*H31,0))</f>
        <v/>
      </c>
      <c r="O31" s="1002" t="str">
        <f t="shared" si="105"/>
        <v/>
      </c>
      <c r="P31" s="1032">
        <f t="shared" si="122"/>
        <v>0.499</v>
      </c>
      <c r="Q31" s="997" t="str">
        <f t="shared" ca="1" si="123"/>
        <v/>
      </c>
      <c r="R31" s="997">
        <f t="shared" si="124"/>
        <v>0</v>
      </c>
      <c r="S31" s="1006">
        <f>IF(input_engine_o!$Z$21&gt;A30,VLOOKUP(A31,input_engine_o!$Z$23:$AD$35,4,FALSE),0)</f>
        <v>0</v>
      </c>
      <c r="T31" s="2442">
        <f t="shared" ca="1" si="125"/>
        <v>0</v>
      </c>
      <c r="U31" s="997" t="b">
        <f t="shared" si="126"/>
        <v>0</v>
      </c>
      <c r="V31" s="997" t="b">
        <f>advanced!$I$24="y"</f>
        <v>0</v>
      </c>
      <c r="W31" s="997">
        <f>data!$D$35</f>
        <v>15000</v>
      </c>
      <c r="X31" s="997" t="b">
        <f t="shared" si="26"/>
        <v>0</v>
      </c>
      <c r="Y31" s="997">
        <f t="shared" si="127"/>
        <v>0</v>
      </c>
      <c r="Z31" s="997">
        <f t="shared" si="106"/>
        <v>0</v>
      </c>
      <c r="AA31" s="1002">
        <f>data!$G$55</f>
        <v>75000</v>
      </c>
      <c r="AB31" s="1002">
        <f>data!$F$55</f>
        <v>0.02</v>
      </c>
      <c r="AC31" s="997">
        <f t="shared" si="128"/>
        <v>0</v>
      </c>
      <c r="AD31" s="997">
        <f>IF(B31="",0,(IF($AE$1=authorities!$I$1,0,IF(L31&gt;AE31,VLOOKUP($AD$1,authorities!A:H,C31+1,FALSE),0)))*L31/$CK$4*H31)</f>
        <v>0</v>
      </c>
      <c r="AE31" s="997">
        <f>IF($AE$1=authorities!$I$1,0,$AE$1)</f>
        <v>0</v>
      </c>
      <c r="AF31" s="1002">
        <f>IF(input_engine_o!$Z$21&gt;A30,VLOOKUP(A31,input_engine_o!$Z$23:$AD$35,5,FALSE),0)</f>
        <v>0</v>
      </c>
      <c r="AG31" s="1002">
        <f>data!$C$45</f>
        <v>2900</v>
      </c>
      <c r="AH31" s="1007">
        <f t="shared" si="107"/>
        <v>1</v>
      </c>
      <c r="AI31" s="997">
        <f t="shared" si="129"/>
        <v>0</v>
      </c>
      <c r="AJ31" s="997" t="b">
        <f t="shared" ca="1" si="130"/>
        <v>0</v>
      </c>
      <c r="AK31" s="997"/>
      <c r="AL31" s="997">
        <f t="shared" ca="1" si="131"/>
        <v>0</v>
      </c>
      <c r="AM31" s="997"/>
      <c r="AN31" s="997"/>
      <c r="AO31" s="1002">
        <f t="shared" si="108"/>
        <v>0</v>
      </c>
      <c r="AP31" s="1002">
        <f ca="1">SUM($AO$3:AO31)</f>
        <v>3</v>
      </c>
      <c r="AQ31" s="1002">
        <f t="shared" si="132"/>
        <v>365</v>
      </c>
      <c r="AR31" s="997">
        <f t="shared" ca="1" si="33"/>
        <v>0</v>
      </c>
      <c r="AS31" s="1002"/>
      <c r="AT31" s="997">
        <f t="shared" ca="1" si="133"/>
        <v>0</v>
      </c>
      <c r="AU31" s="997" t="b">
        <f t="shared" ca="1" si="109"/>
        <v>1</v>
      </c>
      <c r="AV31" s="997" t="b">
        <f t="shared" si="9"/>
        <v>0</v>
      </c>
      <c r="AW31" s="997" t="b">
        <f t="shared" si="110"/>
        <v>0</v>
      </c>
      <c r="AX31" s="997">
        <f t="shared" ca="1" si="134"/>
        <v>0</v>
      </c>
      <c r="AY31" s="2370">
        <f ca="1">AR31/reliefs!$F$7*AX31*-1</f>
        <v>0</v>
      </c>
      <c r="AZ31" s="1002">
        <f t="shared" ca="1" si="135"/>
        <v>0</v>
      </c>
      <c r="BA31" s="2370"/>
      <c r="BB31" s="997"/>
      <c r="BC31" s="997"/>
      <c r="BD31" s="997"/>
      <c r="BE31" s="997"/>
      <c r="BF31" s="1002"/>
      <c r="BG31" s="997">
        <f t="shared" ca="1" si="136"/>
        <v>0</v>
      </c>
      <c r="BH31" s="997">
        <f t="shared" si="46"/>
        <v>15000</v>
      </c>
      <c r="BI31" s="1001">
        <f t="shared" si="47"/>
        <v>0</v>
      </c>
      <c r="BJ31" s="997">
        <f t="shared" si="48"/>
        <v>5000000</v>
      </c>
      <c r="BK31" s="997">
        <f t="shared" si="49"/>
        <v>0.499</v>
      </c>
      <c r="BL31" s="997" t="b">
        <f t="shared" si="50"/>
        <v>1</v>
      </c>
      <c r="BM31" s="997" t="b">
        <f t="shared" si="51"/>
        <v>0</v>
      </c>
      <c r="BN31" s="997">
        <f t="shared" si="51"/>
        <v>1200</v>
      </c>
      <c r="BO31" s="997">
        <f t="shared" ca="1" si="111"/>
        <v>0</v>
      </c>
      <c r="BP31" s="997"/>
      <c r="BQ31" s="997"/>
      <c r="BR31" s="997">
        <f t="shared" si="90"/>
        <v>1800</v>
      </c>
      <c r="BS31" s="997"/>
      <c r="BT31" s="997" t="b">
        <f t="shared" ca="1" si="137"/>
        <v>0</v>
      </c>
      <c r="BU31" s="997" t="b">
        <f t="shared" ref="BU31:BU40" si="143">BU30</f>
        <v>1</v>
      </c>
      <c r="BV31" s="997" t="b">
        <f t="shared" si="138"/>
        <v>0</v>
      </c>
      <c r="BW31" s="997" t="b">
        <f t="shared" ca="1" si="139"/>
        <v>0</v>
      </c>
      <c r="BX31" s="997" t="b">
        <f t="shared" ca="1" si="94"/>
        <v>0</v>
      </c>
      <c r="BY31" s="997">
        <f t="shared" ca="1" si="112"/>
        <v>1800</v>
      </c>
      <c r="BZ31" s="997">
        <f t="shared" si="113"/>
        <v>365</v>
      </c>
      <c r="CA31" s="997">
        <f t="shared" si="140"/>
        <v>0</v>
      </c>
      <c r="CB31" s="997">
        <f t="shared" ca="1" si="141"/>
        <v>0</v>
      </c>
      <c r="CC31" s="997">
        <f t="shared" ca="1" si="114"/>
        <v>0</v>
      </c>
      <c r="CD31" s="997"/>
      <c r="CE31" s="1002" t="b">
        <f t="shared" si="57"/>
        <v>0</v>
      </c>
      <c r="CF31" s="5"/>
      <c r="CG31" s="5"/>
    </row>
    <row r="32" spans="1:111" customFormat="1" x14ac:dyDescent="0.35">
      <c r="A32" s="997">
        <f t="shared" si="115"/>
        <v>3</v>
      </c>
      <c r="B32" s="1003" t="str">
        <f>IF(input_engine_o!$Z$21&gt;A31,VLOOKUP(A32,input_engine_o!$Z$23:$AD$35,2,FALSE),"")</f>
        <v/>
      </c>
      <c r="C32" s="997" t="str">
        <f t="shared" si="116"/>
        <v/>
      </c>
      <c r="D32" s="1003">
        <f t="shared" si="117"/>
        <v>46112</v>
      </c>
      <c r="E32" s="1002" t="str">
        <f ca="1">IF(B32="",E31,VLOOKUP(B32,input_engine_o!$B$23:$F$35,5,FALSE))</f>
        <v>nn</v>
      </c>
      <c r="F32" s="1003" t="str">
        <f t="shared" si="118"/>
        <v/>
      </c>
      <c r="G32" s="1003" t="str">
        <f t="shared" si="119"/>
        <v/>
      </c>
      <c r="H32" s="1002">
        <f t="shared" si="120"/>
        <v>0</v>
      </c>
      <c r="I32" s="997">
        <f t="shared" ca="1" si="102"/>
        <v>0</v>
      </c>
      <c r="J32" s="997">
        <f t="shared" ca="1" si="103"/>
        <v>0</v>
      </c>
      <c r="K32" s="997">
        <f t="shared" ca="1" si="104"/>
        <v>0</v>
      </c>
      <c r="L32" s="997" t="str">
        <f>IF(input_engine_o!$Z$21&gt;A31,VLOOKUP(A32,input_engine_o!$Z$23:$AD$36,3,FALSE),"")</f>
        <v/>
      </c>
      <c r="M32" s="1002" t="str">
        <f t="shared" ca="1" si="121"/>
        <v>up</v>
      </c>
      <c r="N32" s="1002" t="str">
        <f t="shared" si="142"/>
        <v/>
      </c>
      <c r="O32" s="1002" t="str">
        <f t="shared" si="105"/>
        <v/>
      </c>
      <c r="P32" s="1032">
        <f t="shared" si="122"/>
        <v>0.499</v>
      </c>
      <c r="Q32" s="997" t="str">
        <f t="shared" ca="1" si="123"/>
        <v/>
      </c>
      <c r="R32" s="997">
        <f t="shared" si="124"/>
        <v>0</v>
      </c>
      <c r="S32" s="1006">
        <f>IF(input_engine_o!$Z$21&gt;A31,VLOOKUP(A32,input_engine_o!$Z$23:$AD$35,4,FALSE),0)</f>
        <v>0</v>
      </c>
      <c r="T32" s="2442">
        <f t="shared" ca="1" si="125"/>
        <v>0</v>
      </c>
      <c r="U32" s="997" t="b">
        <f t="shared" si="126"/>
        <v>0</v>
      </c>
      <c r="V32" s="997" t="b">
        <f>advanced!$I$24="y"</f>
        <v>0</v>
      </c>
      <c r="W32" s="997">
        <f>data!$D$35</f>
        <v>15000</v>
      </c>
      <c r="X32" s="997" t="b">
        <f t="shared" si="26"/>
        <v>0</v>
      </c>
      <c r="Y32" s="997">
        <f t="shared" si="127"/>
        <v>0</v>
      </c>
      <c r="Z32" s="997">
        <f t="shared" si="106"/>
        <v>0</v>
      </c>
      <c r="AA32" s="1002">
        <f>data!$G$55</f>
        <v>75000</v>
      </c>
      <c r="AB32" s="1002">
        <f>data!$F$55</f>
        <v>0.02</v>
      </c>
      <c r="AC32" s="997">
        <f t="shared" si="128"/>
        <v>0</v>
      </c>
      <c r="AD32" s="997">
        <f>IF(B32="",0,(IF($AE$1=authorities!$I$1,0,IF(L32&gt;AE32,VLOOKUP($AD$1,authorities!A:H,C32+1,FALSE),0)))*L32/$CK$4*H32)</f>
        <v>0</v>
      </c>
      <c r="AE32" s="997">
        <f>IF($AE$1=authorities!$I$1,0,$AE$1)</f>
        <v>0</v>
      </c>
      <c r="AF32" s="1002">
        <f>IF(input_engine_o!$Z$21&gt;A31,VLOOKUP(A32,input_engine_o!$Z$23:$AD$35,5,FALSE),0)</f>
        <v>0</v>
      </c>
      <c r="AG32" s="1002">
        <f>data!$C$45</f>
        <v>2900</v>
      </c>
      <c r="AH32" s="1007">
        <f t="shared" si="107"/>
        <v>1</v>
      </c>
      <c r="AI32" s="997">
        <f t="shared" si="129"/>
        <v>0</v>
      </c>
      <c r="AJ32" s="997" t="b">
        <f t="shared" ca="1" si="130"/>
        <v>0</v>
      </c>
      <c r="AK32" s="997"/>
      <c r="AL32" s="997">
        <f t="shared" ca="1" si="131"/>
        <v>0</v>
      </c>
      <c r="AM32" s="997"/>
      <c r="AN32" s="997"/>
      <c r="AO32" s="1002">
        <f t="shared" si="108"/>
        <v>0</v>
      </c>
      <c r="AP32" s="1002">
        <f ca="1">SUM($AO$3:AO32)</f>
        <v>3</v>
      </c>
      <c r="AQ32" s="1002">
        <f t="shared" si="132"/>
        <v>365</v>
      </c>
      <c r="AR32" s="997">
        <f t="shared" ca="1" si="33"/>
        <v>0</v>
      </c>
      <c r="AS32" s="1002"/>
      <c r="AT32" s="997">
        <f t="shared" ca="1" si="133"/>
        <v>0</v>
      </c>
      <c r="AU32" s="997" t="b">
        <f t="shared" ca="1" si="109"/>
        <v>1</v>
      </c>
      <c r="AV32" s="997" t="b">
        <f t="shared" si="9"/>
        <v>0</v>
      </c>
      <c r="AW32" s="997" t="b">
        <f t="shared" si="110"/>
        <v>0</v>
      </c>
      <c r="AX32" s="997">
        <f t="shared" ca="1" si="134"/>
        <v>0</v>
      </c>
      <c r="AY32" s="2370">
        <f ca="1">AR32/reliefs!$F$7*AX32*-1</f>
        <v>0</v>
      </c>
      <c r="AZ32" s="1002">
        <f t="shared" ca="1" si="135"/>
        <v>0</v>
      </c>
      <c r="BA32" s="2370"/>
      <c r="BB32" s="997"/>
      <c r="BC32" s="997"/>
      <c r="BD32" s="997"/>
      <c r="BE32" s="997"/>
      <c r="BF32" s="1002"/>
      <c r="BG32" s="997">
        <f t="shared" ca="1" si="136"/>
        <v>0</v>
      </c>
      <c r="BH32" s="997">
        <f t="shared" si="46"/>
        <v>15000</v>
      </c>
      <c r="BI32" s="1001">
        <f t="shared" si="47"/>
        <v>0</v>
      </c>
      <c r="BJ32" s="997">
        <f t="shared" si="48"/>
        <v>5000000</v>
      </c>
      <c r="BK32" s="997">
        <f t="shared" si="49"/>
        <v>0.499</v>
      </c>
      <c r="BL32" s="997" t="b">
        <f t="shared" si="50"/>
        <v>1</v>
      </c>
      <c r="BM32" s="997" t="b">
        <f t="shared" si="51"/>
        <v>0</v>
      </c>
      <c r="BN32" s="997">
        <f t="shared" si="51"/>
        <v>1200</v>
      </c>
      <c r="BO32" s="997">
        <f t="shared" ca="1" si="111"/>
        <v>0</v>
      </c>
      <c r="BP32" s="997"/>
      <c r="BQ32" s="997"/>
      <c r="BR32" s="997">
        <f t="shared" si="90"/>
        <v>1800</v>
      </c>
      <c r="BS32" s="997"/>
      <c r="BT32" s="997" t="b">
        <f t="shared" ca="1" si="137"/>
        <v>0</v>
      </c>
      <c r="BU32" s="997" t="b">
        <f t="shared" si="143"/>
        <v>1</v>
      </c>
      <c r="BV32" s="997" t="b">
        <f t="shared" si="138"/>
        <v>0</v>
      </c>
      <c r="BW32" s="997" t="b">
        <f t="shared" ca="1" si="139"/>
        <v>0</v>
      </c>
      <c r="BX32" s="997" t="b">
        <f t="shared" ca="1" si="94"/>
        <v>0</v>
      </c>
      <c r="BY32" s="997">
        <f t="shared" ca="1" si="112"/>
        <v>1800</v>
      </c>
      <c r="BZ32" s="997">
        <f t="shared" si="113"/>
        <v>365</v>
      </c>
      <c r="CA32" s="997">
        <f t="shared" si="140"/>
        <v>0</v>
      </c>
      <c r="CB32" s="997">
        <f t="shared" ca="1" si="141"/>
        <v>0</v>
      </c>
      <c r="CC32" s="997">
        <f t="shared" ca="1" si="114"/>
        <v>0</v>
      </c>
      <c r="CD32" s="997"/>
      <c r="CE32" s="1002" t="b">
        <f t="shared" si="57"/>
        <v>0</v>
      </c>
      <c r="CF32" s="5"/>
      <c r="CG32" s="5"/>
    </row>
    <row r="33" spans="1:85" customFormat="1" x14ac:dyDescent="0.35">
      <c r="A33" s="997">
        <f t="shared" si="115"/>
        <v>4</v>
      </c>
      <c r="B33" s="1003" t="str">
        <f>IF(input_engine_o!$Z$21&gt;A32,VLOOKUP(A33,input_engine_o!$Z$23:$AD$35,2,FALSE),"")</f>
        <v/>
      </c>
      <c r="C33" s="997" t="str">
        <f t="shared" si="116"/>
        <v/>
      </c>
      <c r="D33" s="1003">
        <f t="shared" si="117"/>
        <v>46112</v>
      </c>
      <c r="E33" s="1002" t="str">
        <f ca="1">IF(B33="",E32,VLOOKUP(B33,input_engine_o!$B$23:$F$35,5,FALSE))</f>
        <v>nn</v>
      </c>
      <c r="F33" s="1003" t="str">
        <f t="shared" si="118"/>
        <v/>
      </c>
      <c r="G33" s="1003" t="str">
        <f t="shared" si="119"/>
        <v/>
      </c>
      <c r="H33" s="1002">
        <f t="shared" si="120"/>
        <v>0</v>
      </c>
      <c r="I33" s="997">
        <f t="shared" ca="1" si="102"/>
        <v>0</v>
      </c>
      <c r="J33" s="997">
        <f t="shared" ca="1" si="103"/>
        <v>0</v>
      </c>
      <c r="K33" s="997">
        <f t="shared" ca="1" si="104"/>
        <v>0</v>
      </c>
      <c r="L33" s="997" t="str">
        <f>IF(input_engine_o!$Z$21&gt;A32,VLOOKUP(A33,input_engine_o!$Z$23:$AD$36,3,FALSE),"")</f>
        <v/>
      </c>
      <c r="M33" s="1002" t="str">
        <f t="shared" ca="1" si="121"/>
        <v>up</v>
      </c>
      <c r="N33" s="1002" t="str">
        <f t="shared" si="142"/>
        <v/>
      </c>
      <c r="O33" s="1002" t="str">
        <f t="shared" si="105"/>
        <v/>
      </c>
      <c r="P33" s="1032">
        <f t="shared" si="122"/>
        <v>0.499</v>
      </c>
      <c r="Q33" s="997" t="str">
        <f t="shared" ca="1" si="123"/>
        <v/>
      </c>
      <c r="R33" s="997">
        <f t="shared" si="124"/>
        <v>0</v>
      </c>
      <c r="S33" s="1006">
        <f>IF(input_engine_o!$Z$21&gt;A32,VLOOKUP(A33,input_engine_o!$Z$23:$AD$35,4,FALSE),0)</f>
        <v>0</v>
      </c>
      <c r="T33" s="2442">
        <f t="shared" ca="1" si="125"/>
        <v>0</v>
      </c>
      <c r="U33" s="997" t="b">
        <f t="shared" si="126"/>
        <v>0</v>
      </c>
      <c r="V33" s="997" t="b">
        <f>advanced!$I$24="y"</f>
        <v>0</v>
      </c>
      <c r="W33" s="997">
        <f>data!$D$35</f>
        <v>15000</v>
      </c>
      <c r="X33" s="997" t="b">
        <f t="shared" si="26"/>
        <v>0</v>
      </c>
      <c r="Y33" s="997">
        <f t="shared" si="127"/>
        <v>0</v>
      </c>
      <c r="Z33" s="997">
        <f t="shared" si="106"/>
        <v>0</v>
      </c>
      <c r="AA33" s="1002">
        <f>data!$G$55</f>
        <v>75000</v>
      </c>
      <c r="AB33" s="1002">
        <f>data!$F$55</f>
        <v>0.02</v>
      </c>
      <c r="AC33" s="997">
        <f t="shared" si="128"/>
        <v>0</v>
      </c>
      <c r="AD33" s="997">
        <f>IF(B33="",0,(IF($AE$1=authorities!$I$1,0,IF(L33&gt;AE33,VLOOKUP($AD$1,authorities!A:H,C33+1,FALSE),0)))*L33/$CK$4*H33)</f>
        <v>0</v>
      </c>
      <c r="AE33" s="997">
        <f>IF($AE$1=authorities!$I$1,0,$AE$1)</f>
        <v>0</v>
      </c>
      <c r="AF33" s="1002">
        <f>IF(input_engine_o!$Z$21&gt;A32,VLOOKUP(A33,input_engine_o!$Z$23:$AD$35,5,FALSE),0)</f>
        <v>0</v>
      </c>
      <c r="AG33" s="1002">
        <f>data!$C$45</f>
        <v>2900</v>
      </c>
      <c r="AH33" s="1007">
        <f t="shared" si="107"/>
        <v>1</v>
      </c>
      <c r="AI33" s="997">
        <f t="shared" si="129"/>
        <v>0</v>
      </c>
      <c r="AJ33" s="997" t="b">
        <f t="shared" ca="1" si="130"/>
        <v>0</v>
      </c>
      <c r="AK33" s="997"/>
      <c r="AL33" s="997">
        <f t="shared" ca="1" si="131"/>
        <v>0</v>
      </c>
      <c r="AM33" s="997"/>
      <c r="AN33" s="997"/>
      <c r="AO33" s="1002">
        <f t="shared" si="108"/>
        <v>0</v>
      </c>
      <c r="AP33" s="1002">
        <f ca="1">SUM($AO$3:AO33)</f>
        <v>3</v>
      </c>
      <c r="AQ33" s="1002">
        <f t="shared" si="132"/>
        <v>365</v>
      </c>
      <c r="AR33" s="997">
        <f t="shared" ca="1" si="33"/>
        <v>0</v>
      </c>
      <c r="AS33" s="5"/>
      <c r="AT33" s="997">
        <f t="shared" ca="1" si="133"/>
        <v>0</v>
      </c>
      <c r="AU33" s="997" t="b">
        <f t="shared" ca="1" si="109"/>
        <v>1</v>
      </c>
      <c r="AV33" s="997" t="b">
        <f t="shared" si="9"/>
        <v>0</v>
      </c>
      <c r="AW33" s="997" t="b">
        <f t="shared" si="110"/>
        <v>0</v>
      </c>
      <c r="AX33" s="997">
        <f t="shared" ca="1" si="134"/>
        <v>0</v>
      </c>
      <c r="AY33" s="2370">
        <f ca="1">AR33/reliefs!$F$7*AX33*-1</f>
        <v>0</v>
      </c>
      <c r="AZ33" s="1002">
        <f t="shared" ca="1" si="135"/>
        <v>0</v>
      </c>
      <c r="BA33" s="2370"/>
      <c r="BB33" s="997"/>
      <c r="BC33" s="997"/>
      <c r="BD33" s="997"/>
      <c r="BE33" s="997"/>
      <c r="BF33" s="1002"/>
      <c r="BG33" s="997">
        <f t="shared" ca="1" si="136"/>
        <v>0</v>
      </c>
      <c r="BH33" s="997">
        <f t="shared" si="46"/>
        <v>15000</v>
      </c>
      <c r="BI33" s="1001">
        <f t="shared" si="47"/>
        <v>0</v>
      </c>
      <c r="BJ33" s="997">
        <f t="shared" si="48"/>
        <v>5000000</v>
      </c>
      <c r="BK33" s="997">
        <f t="shared" si="49"/>
        <v>0.499</v>
      </c>
      <c r="BL33" s="997" t="b">
        <f t="shared" si="50"/>
        <v>1</v>
      </c>
      <c r="BM33" s="997" t="b">
        <f t="shared" si="51"/>
        <v>0</v>
      </c>
      <c r="BN33" s="997">
        <f t="shared" si="51"/>
        <v>1200</v>
      </c>
      <c r="BO33" s="997">
        <f t="shared" ca="1" si="111"/>
        <v>0</v>
      </c>
      <c r="BP33" s="997"/>
      <c r="BQ33" s="997"/>
      <c r="BR33" s="997">
        <f t="shared" si="90"/>
        <v>1800</v>
      </c>
      <c r="BS33" s="997"/>
      <c r="BT33" s="997" t="b">
        <f t="shared" ca="1" si="137"/>
        <v>0</v>
      </c>
      <c r="BU33" s="997" t="b">
        <f t="shared" si="143"/>
        <v>1</v>
      </c>
      <c r="BV33" s="997" t="b">
        <f t="shared" si="138"/>
        <v>0</v>
      </c>
      <c r="BW33" s="997" t="b">
        <f t="shared" ca="1" si="139"/>
        <v>0</v>
      </c>
      <c r="BX33" s="997" t="b">
        <f t="shared" ca="1" si="94"/>
        <v>0</v>
      </c>
      <c r="BY33" s="997">
        <f t="shared" ca="1" si="112"/>
        <v>1800</v>
      </c>
      <c r="BZ33" s="997">
        <f t="shared" si="113"/>
        <v>365</v>
      </c>
      <c r="CA33" s="997">
        <f t="shared" si="140"/>
        <v>0</v>
      </c>
      <c r="CB33" s="997">
        <f t="shared" ca="1" si="141"/>
        <v>0</v>
      </c>
      <c r="CC33" s="997">
        <f t="shared" ca="1" si="114"/>
        <v>0</v>
      </c>
      <c r="CD33" s="997"/>
      <c r="CE33" s="1002" t="b">
        <f t="shared" si="57"/>
        <v>0</v>
      </c>
      <c r="CF33" s="5"/>
      <c r="CG33" s="5"/>
    </row>
    <row r="34" spans="1:85" customFormat="1" x14ac:dyDescent="0.35">
      <c r="A34" s="997">
        <f t="shared" si="115"/>
        <v>5</v>
      </c>
      <c r="B34" s="1003" t="str">
        <f>IF(input_engine_o!$Z$21&gt;A33,VLOOKUP(A34,input_engine_o!$Z$23:$AD$35,2,FALSE),"")</f>
        <v/>
      </c>
      <c r="C34" s="997" t="str">
        <f t="shared" si="116"/>
        <v/>
      </c>
      <c r="D34" s="1003">
        <f t="shared" si="117"/>
        <v>46112</v>
      </c>
      <c r="E34" s="1002" t="str">
        <f ca="1">IF(B34="",E33,VLOOKUP(B34,input_engine_o!$B$23:$F$35,5,FALSE))</f>
        <v>nn</v>
      </c>
      <c r="F34" s="1003" t="str">
        <f t="shared" si="118"/>
        <v/>
      </c>
      <c r="G34" s="1003" t="str">
        <f t="shared" si="119"/>
        <v/>
      </c>
      <c r="H34" s="1002">
        <f t="shared" si="120"/>
        <v>0</v>
      </c>
      <c r="I34" s="997">
        <f t="shared" ca="1" si="102"/>
        <v>0</v>
      </c>
      <c r="J34" s="997">
        <f t="shared" ca="1" si="103"/>
        <v>0</v>
      </c>
      <c r="K34" s="997">
        <f t="shared" ca="1" si="104"/>
        <v>0</v>
      </c>
      <c r="L34" s="997" t="str">
        <f>IF(input_engine_o!$Z$21&gt;A33,VLOOKUP(A34,input_engine_o!$Z$23:$AD$36,3,FALSE),"")</f>
        <v/>
      </c>
      <c r="M34" s="1002" t="str">
        <f t="shared" ca="1" si="121"/>
        <v>up</v>
      </c>
      <c r="N34" s="1002" t="str">
        <f t="shared" si="142"/>
        <v/>
      </c>
      <c r="O34" s="1002" t="str">
        <f t="shared" si="105"/>
        <v/>
      </c>
      <c r="P34" s="1032">
        <f t="shared" si="122"/>
        <v>0.499</v>
      </c>
      <c r="Q34" s="997" t="str">
        <f t="shared" ca="1" si="123"/>
        <v/>
      </c>
      <c r="R34" s="997">
        <f t="shared" si="124"/>
        <v>0</v>
      </c>
      <c r="S34" s="1006">
        <f>IF(input_engine_o!$Z$21&gt;A33,VLOOKUP(A34,input_engine_o!$Z$23:$AD$35,4,FALSE),0)</f>
        <v>0</v>
      </c>
      <c r="T34" s="2442">
        <f t="shared" ca="1" si="125"/>
        <v>0</v>
      </c>
      <c r="U34" s="997" t="b">
        <f t="shared" si="126"/>
        <v>0</v>
      </c>
      <c r="V34" s="997" t="b">
        <f>advanced!$I$24="y"</f>
        <v>0</v>
      </c>
      <c r="W34" s="997">
        <f>data!$D$35</f>
        <v>15000</v>
      </c>
      <c r="X34" s="997" t="b">
        <f t="shared" si="26"/>
        <v>0</v>
      </c>
      <c r="Y34" s="997">
        <f t="shared" si="127"/>
        <v>0</v>
      </c>
      <c r="Z34" s="997">
        <f t="shared" si="106"/>
        <v>0</v>
      </c>
      <c r="AA34" s="1002">
        <f>data!$G$55</f>
        <v>75000</v>
      </c>
      <c r="AB34" s="1002">
        <f>data!$F$55</f>
        <v>0.02</v>
      </c>
      <c r="AC34" s="997">
        <f t="shared" si="128"/>
        <v>0</v>
      </c>
      <c r="AD34" s="997">
        <f>IF(B34="",0,(IF($AE$1=authorities!$I$1,0,IF(L34&gt;AE34,VLOOKUP($AD$1,authorities!A:H,C34+1,FALSE),0)))*L34/$CK$4*H34)</f>
        <v>0</v>
      </c>
      <c r="AE34" s="997">
        <f>IF($AE$1=authorities!$I$1,0,$AE$1)</f>
        <v>0</v>
      </c>
      <c r="AF34" s="1002">
        <f>IF(input_engine_o!$Z$21&gt;A33,VLOOKUP(A34,input_engine_o!$Z$23:$AD$35,5,FALSE),0)</f>
        <v>0</v>
      </c>
      <c r="AG34" s="1002">
        <f>data!$C$45</f>
        <v>2900</v>
      </c>
      <c r="AH34" s="1007">
        <f t="shared" si="107"/>
        <v>1</v>
      </c>
      <c r="AI34" s="997">
        <f t="shared" si="129"/>
        <v>0</v>
      </c>
      <c r="AJ34" s="997" t="b">
        <f t="shared" ca="1" si="130"/>
        <v>0</v>
      </c>
      <c r="AK34" s="997"/>
      <c r="AL34" s="997">
        <f t="shared" ca="1" si="131"/>
        <v>0</v>
      </c>
      <c r="AM34" s="997"/>
      <c r="AN34" s="997"/>
      <c r="AO34" s="1002">
        <f t="shared" si="108"/>
        <v>0</v>
      </c>
      <c r="AP34" s="1002">
        <f ca="1">SUM($AO$3:AO34)</f>
        <v>3</v>
      </c>
      <c r="AQ34" s="1002">
        <f t="shared" si="132"/>
        <v>365</v>
      </c>
      <c r="AR34" s="997">
        <f t="shared" ca="1" si="33"/>
        <v>0</v>
      </c>
      <c r="AS34" s="5"/>
      <c r="AT34" s="997">
        <f t="shared" ca="1" si="133"/>
        <v>0</v>
      </c>
      <c r="AU34" s="997" t="b">
        <f t="shared" ca="1" si="109"/>
        <v>1</v>
      </c>
      <c r="AV34" s="997" t="b">
        <f t="shared" si="9"/>
        <v>0</v>
      </c>
      <c r="AW34" s="997" t="b">
        <f t="shared" si="110"/>
        <v>0</v>
      </c>
      <c r="AX34" s="997">
        <f t="shared" ca="1" si="134"/>
        <v>0</v>
      </c>
      <c r="AY34" s="2370">
        <f ca="1">AR34/reliefs!$F$7*AX34*-1</f>
        <v>0</v>
      </c>
      <c r="AZ34" s="1002">
        <f t="shared" ca="1" si="135"/>
        <v>0</v>
      </c>
      <c r="BA34" s="2370"/>
      <c r="BB34" s="997"/>
      <c r="BC34" s="997"/>
      <c r="BD34" s="997"/>
      <c r="BE34" s="997"/>
      <c r="BF34" s="1002"/>
      <c r="BG34" s="997">
        <f t="shared" ca="1" si="136"/>
        <v>0</v>
      </c>
      <c r="BH34" s="997">
        <f t="shared" si="46"/>
        <v>15000</v>
      </c>
      <c r="BI34" s="1001">
        <f t="shared" si="47"/>
        <v>0</v>
      </c>
      <c r="BJ34" s="997">
        <f t="shared" si="48"/>
        <v>5000000</v>
      </c>
      <c r="BK34" s="997">
        <f t="shared" si="49"/>
        <v>0.499</v>
      </c>
      <c r="BL34" s="997" t="b">
        <f t="shared" si="50"/>
        <v>1</v>
      </c>
      <c r="BM34" s="997" t="b">
        <f t="shared" si="51"/>
        <v>0</v>
      </c>
      <c r="BN34" s="997">
        <f t="shared" si="51"/>
        <v>1200</v>
      </c>
      <c r="BO34" s="997">
        <f t="shared" ca="1" si="111"/>
        <v>0</v>
      </c>
      <c r="BP34" s="997"/>
      <c r="BQ34" s="997"/>
      <c r="BR34" s="997">
        <f t="shared" si="90"/>
        <v>1800</v>
      </c>
      <c r="BS34" s="997"/>
      <c r="BT34" s="997" t="b">
        <f t="shared" ca="1" si="137"/>
        <v>0</v>
      </c>
      <c r="BU34" s="997" t="b">
        <f t="shared" si="143"/>
        <v>1</v>
      </c>
      <c r="BV34" s="997" t="b">
        <f t="shared" si="138"/>
        <v>0</v>
      </c>
      <c r="BW34" s="997" t="b">
        <f t="shared" ca="1" si="139"/>
        <v>0</v>
      </c>
      <c r="BX34" s="997" t="b">
        <f t="shared" ca="1" si="94"/>
        <v>0</v>
      </c>
      <c r="BY34" s="997">
        <f t="shared" ca="1" si="112"/>
        <v>1800</v>
      </c>
      <c r="BZ34" s="997">
        <f t="shared" si="113"/>
        <v>365</v>
      </c>
      <c r="CA34" s="997">
        <f t="shared" si="140"/>
        <v>0</v>
      </c>
      <c r="CB34" s="997">
        <f t="shared" ca="1" si="141"/>
        <v>0</v>
      </c>
      <c r="CC34" s="997">
        <f t="shared" ca="1" si="114"/>
        <v>0</v>
      </c>
      <c r="CD34" s="997"/>
      <c r="CE34" s="1002" t="b">
        <f t="shared" si="57"/>
        <v>0</v>
      </c>
      <c r="CF34" s="5"/>
      <c r="CG34" s="5"/>
    </row>
    <row r="35" spans="1:85" customFormat="1" x14ac:dyDescent="0.35">
      <c r="A35" s="997">
        <f t="shared" si="115"/>
        <v>6</v>
      </c>
      <c r="B35" s="1003" t="str">
        <f>IF(input_engine_o!$Z$21&gt;A34,VLOOKUP(A35,input_engine_o!$Z$23:$AD$35,2,FALSE),"")</f>
        <v/>
      </c>
      <c r="C35" s="997" t="str">
        <f t="shared" si="116"/>
        <v/>
      </c>
      <c r="D35" s="1003">
        <f t="shared" si="117"/>
        <v>46112</v>
      </c>
      <c r="E35" s="1002" t="str">
        <f ca="1">IF(B35="",E34,VLOOKUP(B35,input_engine_o!$B$23:$F$35,5,FALSE))</f>
        <v>nn</v>
      </c>
      <c r="F35" s="1003" t="str">
        <f t="shared" si="118"/>
        <v/>
      </c>
      <c r="G35" s="1003" t="str">
        <f t="shared" si="119"/>
        <v/>
      </c>
      <c r="H35" s="1002">
        <f t="shared" si="120"/>
        <v>0</v>
      </c>
      <c r="I35" s="997">
        <f t="shared" ca="1" si="102"/>
        <v>0</v>
      </c>
      <c r="J35" s="997">
        <f t="shared" ca="1" si="103"/>
        <v>0</v>
      </c>
      <c r="K35" s="997">
        <f t="shared" ca="1" si="104"/>
        <v>0</v>
      </c>
      <c r="L35" s="997" t="str">
        <f>IF(input_engine_o!$Z$21&gt;A34,VLOOKUP(A35,input_engine_o!$Z$23:$AD$36,3,FALSE),"")</f>
        <v/>
      </c>
      <c r="M35" s="1002" t="str">
        <f t="shared" ca="1" si="121"/>
        <v>up</v>
      </c>
      <c r="N35" s="1002" t="str">
        <f t="shared" si="142"/>
        <v/>
      </c>
      <c r="O35" s="1002" t="str">
        <f t="shared" si="105"/>
        <v/>
      </c>
      <c r="P35" s="1032">
        <f t="shared" si="122"/>
        <v>0.499</v>
      </c>
      <c r="Q35" s="997" t="str">
        <f t="shared" ca="1" si="123"/>
        <v/>
      </c>
      <c r="R35" s="997">
        <f t="shared" si="124"/>
        <v>0</v>
      </c>
      <c r="S35" s="1006">
        <f>IF(input_engine_o!$Z$21&gt;A34,VLOOKUP(A35,input_engine_o!$Z$23:$AD$35,4,FALSE),0)</f>
        <v>0</v>
      </c>
      <c r="T35" s="2442">
        <f t="shared" ca="1" si="125"/>
        <v>0</v>
      </c>
      <c r="U35" s="997" t="b">
        <f t="shared" si="126"/>
        <v>0</v>
      </c>
      <c r="V35" s="997" t="b">
        <f>advanced!$I$24="y"</f>
        <v>0</v>
      </c>
      <c r="W35" s="997">
        <f>data!$D$35</f>
        <v>15000</v>
      </c>
      <c r="X35" s="997" t="b">
        <f t="shared" si="26"/>
        <v>0</v>
      </c>
      <c r="Y35" s="997">
        <f t="shared" si="127"/>
        <v>0</v>
      </c>
      <c r="Z35" s="997">
        <f t="shared" si="106"/>
        <v>0</v>
      </c>
      <c r="AA35" s="1002">
        <f>data!$G$55</f>
        <v>75000</v>
      </c>
      <c r="AB35" s="1002">
        <f>data!$F$55</f>
        <v>0.02</v>
      </c>
      <c r="AC35" s="997">
        <f t="shared" si="128"/>
        <v>0</v>
      </c>
      <c r="AD35" s="997">
        <f>IF(B35="",0,(IF($AE$1=authorities!$I$1,0,IF(L35&gt;AE35,VLOOKUP($AD$1,authorities!A:H,C35+1,FALSE),0)))*L35/$CK$4*H35)</f>
        <v>0</v>
      </c>
      <c r="AE35" s="997">
        <f>IF($AE$1=authorities!$I$1,0,$AE$1)</f>
        <v>0</v>
      </c>
      <c r="AF35" s="1002">
        <f>IF(input_engine_o!$Z$21&gt;A34,VLOOKUP(A35,input_engine_o!$Z$23:$AD$35,5,FALSE),0)</f>
        <v>0</v>
      </c>
      <c r="AG35" s="1002">
        <f>data!$C$45</f>
        <v>2900</v>
      </c>
      <c r="AH35" s="1007">
        <f t="shared" si="107"/>
        <v>1</v>
      </c>
      <c r="AI35" s="997">
        <f t="shared" si="129"/>
        <v>0</v>
      </c>
      <c r="AJ35" s="997" t="b">
        <f t="shared" ca="1" si="130"/>
        <v>0</v>
      </c>
      <c r="AK35" s="997"/>
      <c r="AL35" s="997">
        <f t="shared" ca="1" si="131"/>
        <v>0</v>
      </c>
      <c r="AM35" s="997"/>
      <c r="AN35" s="997"/>
      <c r="AO35" s="1002">
        <f t="shared" si="108"/>
        <v>0</v>
      </c>
      <c r="AP35" s="1002">
        <f ca="1">SUM($AO$3:AO35)</f>
        <v>3</v>
      </c>
      <c r="AQ35" s="1002">
        <f t="shared" si="132"/>
        <v>365</v>
      </c>
      <c r="AR35" s="997">
        <f t="shared" ca="1" si="33"/>
        <v>0</v>
      </c>
      <c r="AS35" s="5"/>
      <c r="AT35" s="997">
        <f t="shared" ca="1" si="133"/>
        <v>0</v>
      </c>
      <c r="AU35" s="997" t="b">
        <f t="shared" ca="1" si="109"/>
        <v>1</v>
      </c>
      <c r="AV35" s="997" t="b">
        <f t="shared" si="9"/>
        <v>0</v>
      </c>
      <c r="AW35" s="997" t="b">
        <f t="shared" si="110"/>
        <v>0</v>
      </c>
      <c r="AX35" s="997">
        <f t="shared" ca="1" si="134"/>
        <v>0</v>
      </c>
      <c r="AY35" s="2370">
        <f ca="1">AR35/reliefs!$F$7*AX35*-1</f>
        <v>0</v>
      </c>
      <c r="AZ35" s="1002">
        <f t="shared" ca="1" si="135"/>
        <v>0</v>
      </c>
      <c r="BA35" s="2370"/>
      <c r="BB35" s="997"/>
      <c r="BC35" s="997"/>
      <c r="BD35" s="997"/>
      <c r="BE35" s="997"/>
      <c r="BF35" s="1002"/>
      <c r="BG35" s="997">
        <f t="shared" ca="1" si="136"/>
        <v>0</v>
      </c>
      <c r="BH35" s="997">
        <f t="shared" si="46"/>
        <v>15000</v>
      </c>
      <c r="BI35" s="1001">
        <f t="shared" si="47"/>
        <v>0</v>
      </c>
      <c r="BJ35" s="997">
        <f t="shared" si="48"/>
        <v>5000000</v>
      </c>
      <c r="BK35" s="997">
        <f t="shared" si="49"/>
        <v>0.499</v>
      </c>
      <c r="BL35" s="997" t="b">
        <f t="shared" si="50"/>
        <v>1</v>
      </c>
      <c r="BM35" s="997" t="b">
        <f t="shared" si="51"/>
        <v>0</v>
      </c>
      <c r="BN35" s="997">
        <f t="shared" si="51"/>
        <v>1200</v>
      </c>
      <c r="BO35" s="997">
        <f t="shared" ca="1" si="111"/>
        <v>0</v>
      </c>
      <c r="BP35" s="997"/>
      <c r="BQ35" s="997"/>
      <c r="BR35" s="997">
        <f t="shared" si="90"/>
        <v>1800</v>
      </c>
      <c r="BS35" s="997"/>
      <c r="BT35" s="997" t="b">
        <f t="shared" ca="1" si="137"/>
        <v>0</v>
      </c>
      <c r="BU35" s="997" t="b">
        <f t="shared" si="143"/>
        <v>1</v>
      </c>
      <c r="BV35" s="997" t="b">
        <f t="shared" si="138"/>
        <v>0</v>
      </c>
      <c r="BW35" s="997" t="b">
        <f t="shared" ca="1" si="139"/>
        <v>0</v>
      </c>
      <c r="BX35" s="997" t="b">
        <f t="shared" ca="1" si="94"/>
        <v>0</v>
      </c>
      <c r="BY35" s="997">
        <f t="shared" ca="1" si="112"/>
        <v>1800</v>
      </c>
      <c r="BZ35" s="997">
        <f t="shared" si="113"/>
        <v>365</v>
      </c>
      <c r="CA35" s="997">
        <f t="shared" si="140"/>
        <v>0</v>
      </c>
      <c r="CB35" s="997">
        <f t="shared" ca="1" si="141"/>
        <v>0</v>
      </c>
      <c r="CC35" s="997">
        <f t="shared" ca="1" si="114"/>
        <v>0</v>
      </c>
      <c r="CD35" s="997"/>
      <c r="CE35" s="1002" t="b">
        <f t="shared" si="57"/>
        <v>0</v>
      </c>
      <c r="CF35" s="5"/>
      <c r="CG35" s="5"/>
    </row>
    <row r="36" spans="1:85" customFormat="1" x14ac:dyDescent="0.35">
      <c r="A36" s="997">
        <f t="shared" si="115"/>
        <v>7</v>
      </c>
      <c r="B36" s="1003" t="str">
        <f>IF(input_engine_o!$Z$21&gt;A35,VLOOKUP(A36,input_engine_o!$Z$23:$AD$35,2,FALSE),"")</f>
        <v/>
      </c>
      <c r="C36" s="997" t="str">
        <f t="shared" si="116"/>
        <v/>
      </c>
      <c r="D36" s="1003">
        <f t="shared" si="117"/>
        <v>46112</v>
      </c>
      <c r="E36" s="1002" t="str">
        <f ca="1">IF(B36="",E35,VLOOKUP(B36,input_engine_o!$B$23:$F$35,5,FALSE))</f>
        <v>nn</v>
      </c>
      <c r="F36" s="1003" t="str">
        <f t="shared" si="118"/>
        <v/>
      </c>
      <c r="G36" s="1003" t="str">
        <f t="shared" si="119"/>
        <v/>
      </c>
      <c r="H36" s="1002">
        <f t="shared" si="120"/>
        <v>0</v>
      </c>
      <c r="I36" s="997">
        <f t="shared" ca="1" si="102"/>
        <v>0</v>
      </c>
      <c r="J36" s="997">
        <f t="shared" ca="1" si="103"/>
        <v>0</v>
      </c>
      <c r="K36" s="997">
        <f t="shared" ca="1" si="104"/>
        <v>0</v>
      </c>
      <c r="L36" s="997" t="str">
        <f>IF(input_engine_o!$Z$21&gt;A35,VLOOKUP(A36,input_engine_o!$Z$23:$AD$36,3,FALSE),"")</f>
        <v/>
      </c>
      <c r="M36" s="1002" t="str">
        <f t="shared" ca="1" si="121"/>
        <v>up</v>
      </c>
      <c r="N36" s="1002" t="str">
        <f t="shared" si="142"/>
        <v/>
      </c>
      <c r="O36" s="1002" t="str">
        <f t="shared" si="105"/>
        <v/>
      </c>
      <c r="P36" s="1032">
        <f t="shared" si="122"/>
        <v>0.499</v>
      </c>
      <c r="Q36" s="997" t="str">
        <f t="shared" ca="1" si="123"/>
        <v/>
      </c>
      <c r="R36" s="997">
        <f t="shared" si="124"/>
        <v>0</v>
      </c>
      <c r="S36" s="1006">
        <f>IF(input_engine_o!$Z$21&gt;A35,VLOOKUP(A36,input_engine_o!$Z$23:$AD$35,4,FALSE),0)</f>
        <v>0</v>
      </c>
      <c r="T36" s="2442">
        <f t="shared" ca="1" si="125"/>
        <v>0</v>
      </c>
      <c r="U36" s="997" t="b">
        <f t="shared" si="126"/>
        <v>0</v>
      </c>
      <c r="V36" s="997" t="b">
        <f>advanced!$I$24="y"</f>
        <v>0</v>
      </c>
      <c r="W36" s="997">
        <f>data!$D$35</f>
        <v>15000</v>
      </c>
      <c r="X36" s="997" t="b">
        <f t="shared" si="26"/>
        <v>0</v>
      </c>
      <c r="Y36" s="997">
        <f t="shared" si="127"/>
        <v>0</v>
      </c>
      <c r="Z36" s="997">
        <f t="shared" si="106"/>
        <v>0</v>
      </c>
      <c r="AA36" s="1002">
        <f>data!$G$55</f>
        <v>75000</v>
      </c>
      <c r="AB36" s="1002">
        <f>data!$F$55</f>
        <v>0.02</v>
      </c>
      <c r="AC36" s="997">
        <f t="shared" si="128"/>
        <v>0</v>
      </c>
      <c r="AD36" s="997">
        <f>IF(B36="",0,(IF($AE$1=authorities!$I$1,0,IF(L36&gt;AE36,VLOOKUP($AD$1,authorities!A:H,C36+1,FALSE),0)))*L36/$CK$4*H36)</f>
        <v>0</v>
      </c>
      <c r="AE36" s="997">
        <f>IF($AE$1=authorities!$I$1,0,$AE$1)</f>
        <v>0</v>
      </c>
      <c r="AF36" s="1002">
        <f>IF(input_engine_o!$Z$21&gt;A35,VLOOKUP(A36,input_engine_o!$Z$23:$AD$35,5,FALSE),0)</f>
        <v>0</v>
      </c>
      <c r="AG36" s="1002">
        <f>data!$C$45</f>
        <v>2900</v>
      </c>
      <c r="AH36" s="1007">
        <f t="shared" si="107"/>
        <v>1</v>
      </c>
      <c r="AI36" s="997">
        <f t="shared" si="129"/>
        <v>0</v>
      </c>
      <c r="AJ36" s="997" t="b">
        <f t="shared" ca="1" si="130"/>
        <v>0</v>
      </c>
      <c r="AK36" s="997"/>
      <c r="AL36" s="997">
        <f t="shared" ca="1" si="131"/>
        <v>0</v>
      </c>
      <c r="AM36" s="997"/>
      <c r="AN36" s="997"/>
      <c r="AO36" s="1002">
        <f t="shared" si="108"/>
        <v>0</v>
      </c>
      <c r="AP36" s="1002">
        <f ca="1">SUM($AO$3:AO36)</f>
        <v>3</v>
      </c>
      <c r="AQ36" s="1002">
        <f t="shared" si="132"/>
        <v>365</v>
      </c>
      <c r="AR36" s="997">
        <f t="shared" ca="1" si="33"/>
        <v>0</v>
      </c>
      <c r="AS36" s="5"/>
      <c r="AT36" s="997">
        <f t="shared" ca="1" si="133"/>
        <v>0</v>
      </c>
      <c r="AU36" s="997" t="b">
        <f t="shared" ca="1" si="109"/>
        <v>1</v>
      </c>
      <c r="AV36" s="997" t="b">
        <f t="shared" si="9"/>
        <v>0</v>
      </c>
      <c r="AW36" s="997" t="b">
        <f t="shared" si="110"/>
        <v>0</v>
      </c>
      <c r="AX36" s="997">
        <f t="shared" ca="1" si="134"/>
        <v>0</v>
      </c>
      <c r="AY36" s="2370">
        <f ca="1">AR36/reliefs!$F$7*AX36*-1</f>
        <v>0</v>
      </c>
      <c r="AZ36" s="1002">
        <f t="shared" ca="1" si="135"/>
        <v>0</v>
      </c>
      <c r="BA36" s="2370"/>
      <c r="BB36" s="997"/>
      <c r="BC36" s="997"/>
      <c r="BD36" s="997"/>
      <c r="BE36" s="997"/>
      <c r="BF36" s="1002"/>
      <c r="BG36" s="997">
        <f t="shared" ca="1" si="136"/>
        <v>0</v>
      </c>
      <c r="BH36" s="997">
        <f t="shared" si="46"/>
        <v>15000</v>
      </c>
      <c r="BI36" s="1001">
        <f t="shared" si="47"/>
        <v>0</v>
      </c>
      <c r="BJ36" s="997">
        <f t="shared" si="48"/>
        <v>5000000</v>
      </c>
      <c r="BK36" s="997">
        <f t="shared" si="49"/>
        <v>0.499</v>
      </c>
      <c r="BL36" s="997" t="b">
        <f t="shared" si="50"/>
        <v>1</v>
      </c>
      <c r="BM36" s="997" t="b">
        <f t="shared" si="51"/>
        <v>0</v>
      </c>
      <c r="BN36" s="997">
        <f t="shared" si="51"/>
        <v>1200</v>
      </c>
      <c r="BO36" s="997">
        <f t="shared" ca="1" si="111"/>
        <v>0</v>
      </c>
      <c r="BP36" s="997"/>
      <c r="BQ36" s="997"/>
      <c r="BR36" s="997">
        <f t="shared" si="90"/>
        <v>1800</v>
      </c>
      <c r="BS36" s="997"/>
      <c r="BT36" s="997" t="b">
        <f t="shared" ca="1" si="137"/>
        <v>0</v>
      </c>
      <c r="BU36" s="997" t="b">
        <f t="shared" si="143"/>
        <v>1</v>
      </c>
      <c r="BV36" s="997" t="b">
        <f t="shared" si="138"/>
        <v>0</v>
      </c>
      <c r="BW36" s="997" t="b">
        <f t="shared" ca="1" si="139"/>
        <v>0</v>
      </c>
      <c r="BX36" s="997" t="b">
        <f t="shared" ca="1" si="94"/>
        <v>0</v>
      </c>
      <c r="BY36" s="997">
        <f t="shared" ca="1" si="112"/>
        <v>1800</v>
      </c>
      <c r="BZ36" s="997">
        <f t="shared" si="113"/>
        <v>365</v>
      </c>
      <c r="CA36" s="997">
        <f t="shared" si="140"/>
        <v>0</v>
      </c>
      <c r="CB36" s="997">
        <f t="shared" ca="1" si="141"/>
        <v>0</v>
      </c>
      <c r="CC36" s="997">
        <f t="shared" ca="1" si="114"/>
        <v>0</v>
      </c>
      <c r="CD36" s="997"/>
      <c r="CE36" s="1002" t="b">
        <f t="shared" si="57"/>
        <v>0</v>
      </c>
      <c r="CF36" s="5"/>
      <c r="CG36" s="5"/>
    </row>
    <row r="37" spans="1:85" customFormat="1" x14ac:dyDescent="0.35">
      <c r="A37" s="997">
        <f t="shared" si="115"/>
        <v>8</v>
      </c>
      <c r="B37" s="1003" t="str">
        <f>IF(input_engine_o!$Z$21&gt;A36,VLOOKUP(A37,input_engine_o!$Z$23:$AD$35,2,FALSE),"")</f>
        <v/>
      </c>
      <c r="C37" s="997" t="str">
        <f t="shared" si="116"/>
        <v/>
      </c>
      <c r="D37" s="1003">
        <f t="shared" si="117"/>
        <v>46112</v>
      </c>
      <c r="E37" s="1002" t="str">
        <f ca="1">IF(B37="",E36,VLOOKUP(B37,input_engine_o!$B$23:$F$35,5,FALSE))</f>
        <v>nn</v>
      </c>
      <c r="F37" s="1003" t="str">
        <f t="shared" si="118"/>
        <v/>
      </c>
      <c r="G37" s="1003" t="str">
        <f t="shared" si="119"/>
        <v/>
      </c>
      <c r="H37" s="1002">
        <f t="shared" si="120"/>
        <v>0</v>
      </c>
      <c r="I37" s="997">
        <f t="shared" ca="1" si="102"/>
        <v>0</v>
      </c>
      <c r="J37" s="997">
        <f t="shared" ca="1" si="103"/>
        <v>0</v>
      </c>
      <c r="K37" s="997">
        <f t="shared" ca="1" si="104"/>
        <v>0</v>
      </c>
      <c r="L37" s="997" t="str">
        <f>IF(input_engine_o!$Z$21&gt;A36,VLOOKUP(A37,input_engine_o!$Z$23:$AD$36,3,FALSE),"")</f>
        <v/>
      </c>
      <c r="M37" s="1002" t="str">
        <f t="shared" ca="1" si="121"/>
        <v>up</v>
      </c>
      <c r="N37" s="1002" t="str">
        <f t="shared" si="142"/>
        <v/>
      </c>
      <c r="O37" s="1002" t="str">
        <f t="shared" si="105"/>
        <v/>
      </c>
      <c r="P37" s="1032">
        <f t="shared" si="122"/>
        <v>0.499</v>
      </c>
      <c r="Q37" s="997" t="str">
        <f t="shared" ca="1" si="123"/>
        <v/>
      </c>
      <c r="R37" s="997">
        <f t="shared" si="124"/>
        <v>0</v>
      </c>
      <c r="S37" s="1006">
        <f>IF(input_engine_o!$Z$21&gt;A36,VLOOKUP(A37,input_engine_o!$Z$23:$AD$35,4,FALSE),0)</f>
        <v>0</v>
      </c>
      <c r="T37" s="2442">
        <f t="shared" ca="1" si="125"/>
        <v>0</v>
      </c>
      <c r="U37" s="997" t="b">
        <f t="shared" si="126"/>
        <v>0</v>
      </c>
      <c r="V37" s="997" t="b">
        <f>advanced!$I$24="y"</f>
        <v>0</v>
      </c>
      <c r="W37" s="997">
        <f>data!$D$35</f>
        <v>15000</v>
      </c>
      <c r="X37" s="997" t="b">
        <f t="shared" si="26"/>
        <v>0</v>
      </c>
      <c r="Y37" s="997">
        <f t="shared" si="127"/>
        <v>0</v>
      </c>
      <c r="Z37" s="997">
        <f t="shared" si="106"/>
        <v>0</v>
      </c>
      <c r="AA37" s="1002">
        <f>data!$G$55</f>
        <v>75000</v>
      </c>
      <c r="AB37" s="1002">
        <f>data!$F$55</f>
        <v>0.02</v>
      </c>
      <c r="AC37" s="997">
        <f t="shared" si="128"/>
        <v>0</v>
      </c>
      <c r="AD37" s="997">
        <f>IF(B37="",0,(IF($AE$1=authorities!$I$1,0,IF(L37&gt;AE37,VLOOKUP($AD$1,authorities!A:H,C37+1,FALSE),0)))*L37/$CK$4*H37)</f>
        <v>0</v>
      </c>
      <c r="AE37" s="997">
        <f>IF($AE$1=authorities!$I$1,0,$AE$1)</f>
        <v>0</v>
      </c>
      <c r="AF37" s="1002">
        <f>IF(input_engine_o!$Z$21&gt;A36,VLOOKUP(A37,input_engine_o!$Z$23:$AD$35,5,FALSE),0)</f>
        <v>0</v>
      </c>
      <c r="AG37" s="1002">
        <f>data!$C$45</f>
        <v>2900</v>
      </c>
      <c r="AH37" s="1007">
        <f t="shared" si="107"/>
        <v>1</v>
      </c>
      <c r="AI37" s="997">
        <f t="shared" si="129"/>
        <v>0</v>
      </c>
      <c r="AJ37" s="997" t="b">
        <f t="shared" ca="1" si="130"/>
        <v>0</v>
      </c>
      <c r="AK37" s="997"/>
      <c r="AL37" s="997">
        <f t="shared" ca="1" si="131"/>
        <v>0</v>
      </c>
      <c r="AM37" s="997"/>
      <c r="AN37" s="997"/>
      <c r="AO37" s="1002">
        <f t="shared" si="108"/>
        <v>0</v>
      </c>
      <c r="AP37" s="1002">
        <f ca="1">SUM($AO$3:AO37)</f>
        <v>3</v>
      </c>
      <c r="AQ37" s="1002">
        <f t="shared" si="132"/>
        <v>365</v>
      </c>
      <c r="AR37" s="997">
        <f t="shared" ca="1" si="33"/>
        <v>0</v>
      </c>
      <c r="AS37" s="5"/>
      <c r="AT37" s="997">
        <f t="shared" ca="1" si="133"/>
        <v>0</v>
      </c>
      <c r="AU37" s="997" t="b">
        <f t="shared" ca="1" si="109"/>
        <v>1</v>
      </c>
      <c r="AV37" s="997" t="b">
        <f t="shared" si="9"/>
        <v>0</v>
      </c>
      <c r="AW37" s="997" t="b">
        <f t="shared" si="110"/>
        <v>0</v>
      </c>
      <c r="AX37" s="997">
        <f t="shared" ca="1" si="134"/>
        <v>0</v>
      </c>
      <c r="AY37" s="2370">
        <f ca="1">AR37/reliefs!$F$7*AX37*-1</f>
        <v>0</v>
      </c>
      <c r="AZ37" s="1002">
        <f t="shared" ca="1" si="135"/>
        <v>0</v>
      </c>
      <c r="BA37" s="2370"/>
      <c r="BB37" s="997"/>
      <c r="BC37" s="997"/>
      <c r="BD37" s="997"/>
      <c r="BE37" s="997"/>
      <c r="BF37" s="1002"/>
      <c r="BG37" s="997">
        <f t="shared" ca="1" si="136"/>
        <v>0</v>
      </c>
      <c r="BH37" s="997">
        <f t="shared" si="46"/>
        <v>15000</v>
      </c>
      <c r="BI37" s="1001">
        <f t="shared" si="47"/>
        <v>0</v>
      </c>
      <c r="BJ37" s="997">
        <f t="shared" si="48"/>
        <v>5000000</v>
      </c>
      <c r="BK37" s="997">
        <f t="shared" si="49"/>
        <v>0.499</v>
      </c>
      <c r="BL37" s="997" t="b">
        <f t="shared" si="50"/>
        <v>1</v>
      </c>
      <c r="BM37" s="997" t="b">
        <f t="shared" si="51"/>
        <v>0</v>
      </c>
      <c r="BN37" s="997">
        <f t="shared" si="51"/>
        <v>1200</v>
      </c>
      <c r="BO37" s="997">
        <f t="shared" ca="1" si="111"/>
        <v>0</v>
      </c>
      <c r="BP37" s="997"/>
      <c r="BQ37" s="997"/>
      <c r="BR37" s="997">
        <f t="shared" si="90"/>
        <v>1800</v>
      </c>
      <c r="BS37" s="997"/>
      <c r="BT37" s="997" t="b">
        <f t="shared" ca="1" si="137"/>
        <v>0</v>
      </c>
      <c r="BU37" s="997" t="b">
        <f t="shared" si="143"/>
        <v>1</v>
      </c>
      <c r="BV37" s="997" t="b">
        <f t="shared" si="138"/>
        <v>0</v>
      </c>
      <c r="BW37" s="997" t="b">
        <f t="shared" ca="1" si="139"/>
        <v>0</v>
      </c>
      <c r="BX37" s="997" t="b">
        <f t="shared" ca="1" si="94"/>
        <v>0</v>
      </c>
      <c r="BY37" s="997">
        <f t="shared" ca="1" si="112"/>
        <v>1800</v>
      </c>
      <c r="BZ37" s="997">
        <f t="shared" si="113"/>
        <v>365</v>
      </c>
      <c r="CA37" s="997">
        <f t="shared" si="140"/>
        <v>0</v>
      </c>
      <c r="CB37" s="997">
        <f t="shared" ca="1" si="141"/>
        <v>0</v>
      </c>
      <c r="CC37" s="997">
        <f t="shared" ca="1" si="114"/>
        <v>0</v>
      </c>
      <c r="CD37" s="997"/>
      <c r="CE37" s="1002" t="b">
        <f t="shared" si="57"/>
        <v>0</v>
      </c>
      <c r="CF37" s="5"/>
      <c r="CG37" s="5"/>
    </row>
    <row r="38" spans="1:85" customFormat="1" x14ac:dyDescent="0.35">
      <c r="A38" s="997">
        <f t="shared" si="115"/>
        <v>9</v>
      </c>
      <c r="B38" s="1003" t="str">
        <f>IF(input_engine_o!$Z$21&gt;A37,VLOOKUP(A38,input_engine_o!$Z$23:$AD$35,2,FALSE),"")</f>
        <v/>
      </c>
      <c r="C38" s="997" t="str">
        <f t="shared" si="116"/>
        <v/>
      </c>
      <c r="D38" s="1003">
        <f t="shared" si="117"/>
        <v>46112</v>
      </c>
      <c r="E38" s="1002" t="str">
        <f ca="1">IF(B38="",E37,VLOOKUP(B38,input_engine_o!$B$23:$F$35,5,FALSE))</f>
        <v>nn</v>
      </c>
      <c r="F38" s="1003" t="str">
        <f t="shared" si="118"/>
        <v/>
      </c>
      <c r="G38" s="1003" t="str">
        <f t="shared" si="119"/>
        <v/>
      </c>
      <c r="H38" s="1002">
        <f t="shared" si="120"/>
        <v>0</v>
      </c>
      <c r="I38" s="997">
        <f t="shared" ca="1" si="102"/>
        <v>0</v>
      </c>
      <c r="J38" s="997">
        <f t="shared" ca="1" si="103"/>
        <v>0</v>
      </c>
      <c r="K38" s="997">
        <f t="shared" ca="1" si="104"/>
        <v>0</v>
      </c>
      <c r="L38" s="997" t="str">
        <f>IF(input_engine_o!$Z$21&gt;A37,VLOOKUP(A38,input_engine_o!$Z$23:$AD$36,3,FALSE),"")</f>
        <v/>
      </c>
      <c r="M38" s="1002" t="str">
        <f t="shared" ca="1" si="121"/>
        <v>up</v>
      </c>
      <c r="N38" s="1002" t="str">
        <f t="shared" si="142"/>
        <v/>
      </c>
      <c r="O38" s="1002" t="str">
        <f t="shared" si="105"/>
        <v/>
      </c>
      <c r="P38" s="1032">
        <f t="shared" si="122"/>
        <v>0.499</v>
      </c>
      <c r="Q38" s="997" t="str">
        <f t="shared" ca="1" si="123"/>
        <v/>
      </c>
      <c r="R38" s="997">
        <f t="shared" si="124"/>
        <v>0</v>
      </c>
      <c r="S38" s="1006">
        <f>IF(input_engine_o!$Z$21&gt;A37,VLOOKUP(A38,input_engine_o!$Z$23:$AD$35,4,FALSE),0)</f>
        <v>0</v>
      </c>
      <c r="T38" s="2442">
        <f t="shared" ca="1" si="125"/>
        <v>0</v>
      </c>
      <c r="U38" s="997" t="b">
        <f t="shared" si="126"/>
        <v>0</v>
      </c>
      <c r="V38" s="997" t="b">
        <f>advanced!$I$24="y"</f>
        <v>0</v>
      </c>
      <c r="W38" s="997">
        <f>data!$D$35</f>
        <v>15000</v>
      </c>
      <c r="X38" s="997" t="b">
        <f t="shared" si="26"/>
        <v>0</v>
      </c>
      <c r="Y38" s="997">
        <f t="shared" si="127"/>
        <v>0</v>
      </c>
      <c r="Z38" s="997">
        <f t="shared" si="106"/>
        <v>0</v>
      </c>
      <c r="AA38" s="1002">
        <f>data!$G$55</f>
        <v>75000</v>
      </c>
      <c r="AB38" s="1002">
        <f>data!$F$55</f>
        <v>0.02</v>
      </c>
      <c r="AC38" s="997">
        <f t="shared" si="128"/>
        <v>0</v>
      </c>
      <c r="AD38" s="997">
        <f>IF(B38="",0,(IF($AE$1=authorities!$I$1,0,IF(L38&gt;AE38,VLOOKUP($AD$1,authorities!A:H,C38+1,FALSE),0)))*L38/$CK$4*H38)</f>
        <v>0</v>
      </c>
      <c r="AE38" s="997">
        <f>IF($AE$1=authorities!$I$1,0,$AE$1)</f>
        <v>0</v>
      </c>
      <c r="AF38" s="1002">
        <f>IF(input_engine_o!$Z$21&gt;A37,VLOOKUP(A38,input_engine_o!$Z$23:$AD$35,5,FALSE),0)</f>
        <v>0</v>
      </c>
      <c r="AG38" s="1002">
        <f>data!$C$45</f>
        <v>2900</v>
      </c>
      <c r="AH38" s="1007">
        <f t="shared" si="107"/>
        <v>1</v>
      </c>
      <c r="AI38" s="997">
        <f t="shared" si="129"/>
        <v>0</v>
      </c>
      <c r="AJ38" s="997" t="b">
        <f t="shared" ca="1" si="130"/>
        <v>0</v>
      </c>
      <c r="AK38" s="997"/>
      <c r="AL38" s="997">
        <f t="shared" ca="1" si="131"/>
        <v>0</v>
      </c>
      <c r="AM38" s="997"/>
      <c r="AN38" s="997"/>
      <c r="AO38" s="1002">
        <f t="shared" si="108"/>
        <v>0</v>
      </c>
      <c r="AP38" s="1002">
        <f ca="1">SUM($AO$3:AO38)</f>
        <v>3</v>
      </c>
      <c r="AQ38" s="1002">
        <f t="shared" si="132"/>
        <v>365</v>
      </c>
      <c r="AR38" s="997">
        <f t="shared" ca="1" si="33"/>
        <v>0</v>
      </c>
      <c r="AS38" s="5"/>
      <c r="AT38" s="997">
        <f t="shared" ca="1" si="133"/>
        <v>0</v>
      </c>
      <c r="AU38" s="997" t="b">
        <f t="shared" ca="1" si="109"/>
        <v>1</v>
      </c>
      <c r="AV38" s="997" t="b">
        <f t="shared" si="9"/>
        <v>0</v>
      </c>
      <c r="AW38" s="997" t="b">
        <f t="shared" si="110"/>
        <v>0</v>
      </c>
      <c r="AX38" s="997">
        <f t="shared" ca="1" si="134"/>
        <v>0</v>
      </c>
      <c r="AY38" s="2370">
        <f ca="1">AR38/reliefs!$F$7*AX38*-1</f>
        <v>0</v>
      </c>
      <c r="AZ38" s="1002">
        <f t="shared" ca="1" si="135"/>
        <v>0</v>
      </c>
      <c r="BA38" s="2370"/>
      <c r="BB38" s="997"/>
      <c r="BC38" s="997"/>
      <c r="BD38" s="997"/>
      <c r="BE38" s="997"/>
      <c r="BF38" s="1002"/>
      <c r="BG38" s="997">
        <f t="shared" ca="1" si="136"/>
        <v>0</v>
      </c>
      <c r="BH38" s="997">
        <f t="shared" si="46"/>
        <v>15000</v>
      </c>
      <c r="BI38" s="1001">
        <f t="shared" si="47"/>
        <v>0</v>
      </c>
      <c r="BJ38" s="997">
        <f t="shared" si="48"/>
        <v>5000000</v>
      </c>
      <c r="BK38" s="997">
        <f t="shared" si="49"/>
        <v>0.499</v>
      </c>
      <c r="BL38" s="997" t="b">
        <f t="shared" si="50"/>
        <v>1</v>
      </c>
      <c r="BM38" s="997" t="b">
        <f t="shared" si="51"/>
        <v>0</v>
      </c>
      <c r="BN38" s="997">
        <f t="shared" si="51"/>
        <v>1200</v>
      </c>
      <c r="BO38" s="997">
        <f t="shared" ca="1" si="111"/>
        <v>0</v>
      </c>
      <c r="BP38" s="997"/>
      <c r="BQ38" s="997"/>
      <c r="BR38" s="997">
        <f t="shared" si="90"/>
        <v>1800</v>
      </c>
      <c r="BS38" s="997"/>
      <c r="BT38" s="997" t="b">
        <f t="shared" ca="1" si="137"/>
        <v>0</v>
      </c>
      <c r="BU38" s="997" t="b">
        <f t="shared" si="143"/>
        <v>1</v>
      </c>
      <c r="BV38" s="997" t="b">
        <f t="shared" si="138"/>
        <v>0</v>
      </c>
      <c r="BW38" s="997" t="b">
        <f t="shared" ca="1" si="139"/>
        <v>0</v>
      </c>
      <c r="BX38" s="997" t="b">
        <f t="shared" ca="1" si="94"/>
        <v>0</v>
      </c>
      <c r="BY38" s="997">
        <f t="shared" ca="1" si="112"/>
        <v>1800</v>
      </c>
      <c r="BZ38" s="997">
        <f t="shared" si="113"/>
        <v>365</v>
      </c>
      <c r="CA38" s="997">
        <f t="shared" si="140"/>
        <v>0</v>
      </c>
      <c r="CB38" s="997">
        <f t="shared" ca="1" si="141"/>
        <v>0</v>
      </c>
      <c r="CC38" s="997">
        <f t="shared" ca="1" si="114"/>
        <v>0</v>
      </c>
      <c r="CD38" s="997"/>
      <c r="CE38" s="1002" t="b">
        <f t="shared" si="57"/>
        <v>0</v>
      </c>
      <c r="CF38" s="5"/>
      <c r="CG38" s="5"/>
    </row>
    <row r="39" spans="1:85" customFormat="1" x14ac:dyDescent="0.35">
      <c r="A39" s="997">
        <f t="shared" si="115"/>
        <v>10</v>
      </c>
      <c r="B39" s="1003" t="str">
        <f>IF(input_engine_o!$Z$21&gt;A38,VLOOKUP(A39,input_engine_o!$Z$23:$AD$35,2,FALSE),"")</f>
        <v/>
      </c>
      <c r="C39" s="997" t="str">
        <f t="shared" si="116"/>
        <v/>
      </c>
      <c r="D39" s="1003">
        <f t="shared" si="117"/>
        <v>46112</v>
      </c>
      <c r="E39" s="1002" t="str">
        <f ca="1">IF(B39="",E38,VLOOKUP(B39,input_engine_o!$B$23:$F$35,5,FALSE))</f>
        <v>nn</v>
      </c>
      <c r="F39" s="1003" t="str">
        <f t="shared" si="118"/>
        <v/>
      </c>
      <c r="G39" s="1003" t="str">
        <f t="shared" si="119"/>
        <v/>
      </c>
      <c r="H39" s="1002">
        <f t="shared" si="120"/>
        <v>0</v>
      </c>
      <c r="I39" s="997">
        <f t="shared" ca="1" si="102"/>
        <v>0</v>
      </c>
      <c r="J39" s="997">
        <f t="shared" ca="1" si="103"/>
        <v>0</v>
      </c>
      <c r="K39" s="997">
        <f t="shared" ca="1" si="104"/>
        <v>0</v>
      </c>
      <c r="L39" s="997" t="str">
        <f>IF(input_engine_o!$Z$21&gt;A38,VLOOKUP(A39,input_engine_o!$Z$23:$AD$36,3,FALSE),"")</f>
        <v/>
      </c>
      <c r="M39" s="1002" t="str">
        <f t="shared" ca="1" si="121"/>
        <v>up</v>
      </c>
      <c r="N39" s="1002" t="str">
        <f t="shared" si="142"/>
        <v/>
      </c>
      <c r="O39" s="1002" t="str">
        <f t="shared" si="105"/>
        <v/>
      </c>
      <c r="P39" s="1032">
        <f t="shared" si="122"/>
        <v>0.499</v>
      </c>
      <c r="Q39" s="997" t="str">
        <f t="shared" ca="1" si="123"/>
        <v/>
      </c>
      <c r="R39" s="997">
        <f t="shared" si="124"/>
        <v>0</v>
      </c>
      <c r="S39" s="1006">
        <f>IF(input_engine_o!$Z$21&gt;A38,VLOOKUP(A39,input_engine_o!$Z$23:$AD$35,4,FALSE),0)</f>
        <v>0</v>
      </c>
      <c r="T39" s="2442">
        <f t="shared" ca="1" si="125"/>
        <v>0</v>
      </c>
      <c r="U39" s="997" t="b">
        <f t="shared" si="126"/>
        <v>0</v>
      </c>
      <c r="V39" s="997" t="b">
        <f>advanced!$I$24="y"</f>
        <v>0</v>
      </c>
      <c r="W39" s="997">
        <f>data!$D$35</f>
        <v>15000</v>
      </c>
      <c r="X39" s="997" t="b">
        <f t="shared" si="26"/>
        <v>0</v>
      </c>
      <c r="Y39" s="997">
        <f t="shared" si="127"/>
        <v>0</v>
      </c>
      <c r="Z39" s="997">
        <f t="shared" si="106"/>
        <v>0</v>
      </c>
      <c r="AA39" s="1002">
        <f>data!$G$55</f>
        <v>75000</v>
      </c>
      <c r="AB39" s="1002">
        <f>data!$F$55</f>
        <v>0.02</v>
      </c>
      <c r="AC39" s="997">
        <f t="shared" si="128"/>
        <v>0</v>
      </c>
      <c r="AD39" s="997">
        <f>IF(B39="",0,(IF($AE$1=authorities!$I$1,0,IF(L39&gt;AE39,VLOOKUP($AD$1,authorities!A:H,C39+1,FALSE),0)))*L39/$CK$4*H39)</f>
        <v>0</v>
      </c>
      <c r="AE39" s="997">
        <f>IF($AE$1=authorities!$I$1,0,$AE$1)</f>
        <v>0</v>
      </c>
      <c r="AF39" s="1002">
        <f>IF(input_engine_o!$Z$21&gt;A38,VLOOKUP(A39,input_engine_o!$Z$23:$AD$35,5,FALSE),0)</f>
        <v>0</v>
      </c>
      <c r="AG39" s="1002">
        <f>data!$C$45</f>
        <v>2900</v>
      </c>
      <c r="AH39" s="1007">
        <f t="shared" si="107"/>
        <v>1</v>
      </c>
      <c r="AI39" s="997">
        <f t="shared" si="129"/>
        <v>0</v>
      </c>
      <c r="AJ39" s="997" t="b">
        <f t="shared" ca="1" si="130"/>
        <v>0</v>
      </c>
      <c r="AK39" s="997"/>
      <c r="AL39" s="997">
        <f t="shared" ca="1" si="131"/>
        <v>0</v>
      </c>
      <c r="AM39" s="997"/>
      <c r="AN39" s="997"/>
      <c r="AO39" s="1002">
        <f t="shared" si="108"/>
        <v>0</v>
      </c>
      <c r="AP39" s="1002">
        <f ca="1">SUM($AO$3:AO39)</f>
        <v>3</v>
      </c>
      <c r="AQ39" s="1002">
        <f t="shared" si="132"/>
        <v>365</v>
      </c>
      <c r="AR39" s="997">
        <f t="shared" ca="1" si="33"/>
        <v>0</v>
      </c>
      <c r="AS39" s="5"/>
      <c r="AT39" s="997">
        <f t="shared" ca="1" si="133"/>
        <v>0</v>
      </c>
      <c r="AU39" s="997" t="b">
        <f t="shared" ca="1" si="109"/>
        <v>1</v>
      </c>
      <c r="AV39" s="997" t="b">
        <f t="shared" si="9"/>
        <v>0</v>
      </c>
      <c r="AW39" s="997" t="b">
        <f t="shared" si="110"/>
        <v>0</v>
      </c>
      <c r="AX39" s="997">
        <f t="shared" ca="1" si="134"/>
        <v>0</v>
      </c>
      <c r="AY39" s="2370">
        <f ca="1">AR39/reliefs!$F$7*AX39*-1</f>
        <v>0</v>
      </c>
      <c r="AZ39" s="1002">
        <f t="shared" ca="1" si="135"/>
        <v>0</v>
      </c>
      <c r="BA39" s="2370"/>
      <c r="BB39" s="997"/>
      <c r="BC39" s="997"/>
      <c r="BD39" s="997"/>
      <c r="BE39" s="997"/>
      <c r="BF39" s="1002"/>
      <c r="BG39" s="997">
        <f t="shared" ca="1" si="136"/>
        <v>0</v>
      </c>
      <c r="BH39" s="997">
        <f t="shared" si="46"/>
        <v>15000</v>
      </c>
      <c r="BI39" s="1001">
        <f t="shared" si="47"/>
        <v>0</v>
      </c>
      <c r="BJ39" s="997">
        <f t="shared" si="48"/>
        <v>5000000</v>
      </c>
      <c r="BK39" s="997">
        <f t="shared" si="49"/>
        <v>0.499</v>
      </c>
      <c r="BL39" s="997" t="b">
        <f t="shared" si="50"/>
        <v>1</v>
      </c>
      <c r="BM39" s="997" t="b">
        <f t="shared" si="51"/>
        <v>0</v>
      </c>
      <c r="BN39" s="997">
        <f t="shared" si="51"/>
        <v>1200</v>
      </c>
      <c r="BO39" s="997">
        <f t="shared" ca="1" si="111"/>
        <v>0</v>
      </c>
      <c r="BP39" s="997"/>
      <c r="BQ39" s="997"/>
      <c r="BR39" s="997">
        <f t="shared" si="90"/>
        <v>1800</v>
      </c>
      <c r="BS39" s="997"/>
      <c r="BT39" s="997" t="b">
        <f t="shared" ca="1" si="137"/>
        <v>0</v>
      </c>
      <c r="BU39" s="997" t="b">
        <f t="shared" si="143"/>
        <v>1</v>
      </c>
      <c r="BV39" s="997" t="b">
        <f t="shared" si="138"/>
        <v>0</v>
      </c>
      <c r="BW39" s="997" t="b">
        <f t="shared" ca="1" si="139"/>
        <v>0</v>
      </c>
      <c r="BX39" s="997" t="b">
        <f t="shared" ca="1" si="94"/>
        <v>0</v>
      </c>
      <c r="BY39" s="997">
        <f t="shared" ca="1" si="112"/>
        <v>1800</v>
      </c>
      <c r="BZ39" s="997">
        <f t="shared" si="113"/>
        <v>365</v>
      </c>
      <c r="CA39" s="997">
        <f t="shared" si="140"/>
        <v>0</v>
      </c>
      <c r="CB39" s="997">
        <f t="shared" ca="1" si="141"/>
        <v>0</v>
      </c>
      <c r="CC39" s="997">
        <f t="shared" ca="1" si="114"/>
        <v>0</v>
      </c>
      <c r="CD39" s="997"/>
      <c r="CE39" s="1002" t="b">
        <f t="shared" si="57"/>
        <v>0</v>
      </c>
      <c r="CF39" s="5"/>
      <c r="CG39" s="5"/>
    </row>
    <row r="40" spans="1:85" customFormat="1" x14ac:dyDescent="0.35">
      <c r="A40" s="997">
        <f t="shared" si="115"/>
        <v>11</v>
      </c>
      <c r="B40" s="1003" t="str">
        <f>IF(input_engine_o!$Z$21&gt;A39,VLOOKUP(A40,input_engine_o!$Z$23:$AD$35,2,FALSE),"")</f>
        <v/>
      </c>
      <c r="C40" s="997" t="str">
        <f t="shared" si="116"/>
        <v/>
      </c>
      <c r="D40" s="1003">
        <f t="shared" si="117"/>
        <v>46112</v>
      </c>
      <c r="E40" s="1002" t="str">
        <f ca="1">IF(B40="",E39,VLOOKUP(B40,input_engine_o!$B$23:$F$35,5,FALSE))</f>
        <v>nn</v>
      </c>
      <c r="F40" s="1003" t="str">
        <f t="shared" si="118"/>
        <v/>
      </c>
      <c r="G40" s="1003" t="str">
        <f>IF(B40="","",IF(#REF!=C40,#REF!-1,D40))</f>
        <v/>
      </c>
      <c r="H40" s="1002">
        <f t="shared" si="120"/>
        <v>0</v>
      </c>
      <c r="I40" s="997">
        <f t="shared" ca="1" si="102"/>
        <v>0</v>
      </c>
      <c r="J40" s="997">
        <f t="shared" ca="1" si="103"/>
        <v>0</v>
      </c>
      <c r="K40" s="997">
        <f t="shared" ca="1" si="104"/>
        <v>0</v>
      </c>
      <c r="L40" s="997" t="str">
        <f>IF(input_engine_o!$Z$21&gt;A39,VLOOKUP(A40,input_engine_o!$Z$23:$AD$36,3,FALSE),"")</f>
        <v/>
      </c>
      <c r="M40" s="1002" t="str">
        <f t="shared" ca="1" si="121"/>
        <v>up</v>
      </c>
      <c r="N40" s="1002" t="str">
        <f t="shared" si="142"/>
        <v/>
      </c>
      <c r="O40" s="1002" t="str">
        <f t="shared" si="105"/>
        <v/>
      </c>
      <c r="P40" s="1032">
        <f t="shared" si="122"/>
        <v>0.499</v>
      </c>
      <c r="Q40" s="997" t="str">
        <f t="shared" ca="1" si="123"/>
        <v/>
      </c>
      <c r="R40" s="997">
        <f t="shared" si="124"/>
        <v>0</v>
      </c>
      <c r="S40" s="1006">
        <f>IF(input_engine_o!$Z$21&gt;A39,VLOOKUP(A40,input_engine_o!$Z$23:$AD$35,4,FALSE),0)</f>
        <v>0</v>
      </c>
      <c r="T40" s="2442">
        <f t="shared" ca="1" si="125"/>
        <v>0</v>
      </c>
      <c r="U40" s="997" t="b">
        <f t="shared" si="126"/>
        <v>0</v>
      </c>
      <c r="V40" s="997" t="b">
        <f>advanced!$I$24="y"</f>
        <v>0</v>
      </c>
      <c r="W40" s="997">
        <f>data!$D$35</f>
        <v>15000</v>
      </c>
      <c r="X40" s="997" t="b">
        <f t="shared" si="26"/>
        <v>0</v>
      </c>
      <c r="Y40" s="997">
        <f t="shared" si="127"/>
        <v>0</v>
      </c>
      <c r="Z40" s="997">
        <f t="shared" si="106"/>
        <v>0</v>
      </c>
      <c r="AA40" s="1002">
        <f>data!$G$55</f>
        <v>75000</v>
      </c>
      <c r="AB40" s="1002">
        <f>data!$F$55</f>
        <v>0.02</v>
      </c>
      <c r="AC40" s="997">
        <f t="shared" si="128"/>
        <v>0</v>
      </c>
      <c r="AD40" s="997">
        <f>IF(B40="",0,(IF($AE$1=authorities!$I$1,0,IF(L40&gt;AE40,VLOOKUP($AD$1,authorities!A:H,C40+1,FALSE),0)))*L40/$CK$4*H40)</f>
        <v>0</v>
      </c>
      <c r="AE40" s="997">
        <f>IF($AE$1=authorities!$I$1,0,$AE$1)</f>
        <v>0</v>
      </c>
      <c r="AF40" s="1002">
        <f>IF(input_engine_o!$Z$21&gt;A39,VLOOKUP(A40,input_engine_o!$Z$23:$AD$35,5,FALSE),0)</f>
        <v>0</v>
      </c>
      <c r="AG40" s="1002">
        <f>data!$C$45</f>
        <v>2900</v>
      </c>
      <c r="AH40" s="1007">
        <f t="shared" si="107"/>
        <v>1</v>
      </c>
      <c r="AI40" s="997">
        <f t="shared" si="129"/>
        <v>0</v>
      </c>
      <c r="AJ40" s="997" t="b">
        <f t="shared" ca="1" si="130"/>
        <v>0</v>
      </c>
      <c r="AK40" s="997"/>
      <c r="AL40" s="997">
        <f t="shared" ca="1" si="131"/>
        <v>0</v>
      </c>
      <c r="AM40" s="997"/>
      <c r="AN40" s="997"/>
      <c r="AO40" s="1002">
        <f t="shared" si="108"/>
        <v>0</v>
      </c>
      <c r="AP40" s="1002">
        <f ca="1">SUM($AO$3:AO40)</f>
        <v>3</v>
      </c>
      <c r="AQ40" s="1002">
        <f t="shared" si="132"/>
        <v>365</v>
      </c>
      <c r="AR40" s="997">
        <f t="shared" ca="1" si="33"/>
        <v>0</v>
      </c>
      <c r="AS40" s="5"/>
      <c r="AT40" s="997">
        <f t="shared" ca="1" si="133"/>
        <v>0</v>
      </c>
      <c r="AU40" s="997" t="b">
        <f t="shared" ca="1" si="109"/>
        <v>1</v>
      </c>
      <c r="AV40" s="997" t="b">
        <f t="shared" si="9"/>
        <v>0</v>
      </c>
      <c r="AW40" s="997" t="b">
        <f t="shared" si="110"/>
        <v>0</v>
      </c>
      <c r="AX40" s="997">
        <f t="shared" ca="1" si="134"/>
        <v>0</v>
      </c>
      <c r="AY40" s="2370">
        <f ca="1">AR40/reliefs!$F$7*AX40*-1</f>
        <v>0</v>
      </c>
      <c r="AZ40" s="1002">
        <f t="shared" ca="1" si="135"/>
        <v>0</v>
      </c>
      <c r="BA40" s="2372" t="s">
        <v>2905</v>
      </c>
      <c r="BB40" s="1000" t="s">
        <v>2903</v>
      </c>
      <c r="BC40" s="997"/>
      <c r="BD40" s="1000" t="s">
        <v>2904</v>
      </c>
      <c r="BE40" s="997"/>
      <c r="BF40" s="1002"/>
      <c r="BG40" s="997">
        <f t="shared" ca="1" si="136"/>
        <v>0</v>
      </c>
      <c r="BH40" s="997">
        <f t="shared" si="46"/>
        <v>15000</v>
      </c>
      <c r="BI40" s="1001">
        <f t="shared" si="47"/>
        <v>0</v>
      </c>
      <c r="BJ40" s="997">
        <f t="shared" si="48"/>
        <v>5000000</v>
      </c>
      <c r="BK40" s="997">
        <f t="shared" si="49"/>
        <v>0.499</v>
      </c>
      <c r="BL40" s="997" t="b">
        <f t="shared" si="50"/>
        <v>1</v>
      </c>
      <c r="BM40" s="997" t="b">
        <f t="shared" si="51"/>
        <v>0</v>
      </c>
      <c r="BN40" s="997">
        <f t="shared" si="51"/>
        <v>1200</v>
      </c>
      <c r="BO40" s="997">
        <f t="shared" ca="1" si="111"/>
        <v>0</v>
      </c>
      <c r="BP40" s="997"/>
      <c r="BQ40" s="997"/>
      <c r="BR40" s="997">
        <f t="shared" si="90"/>
        <v>1800</v>
      </c>
      <c r="BS40" s="997"/>
      <c r="BT40" s="997" t="b">
        <f t="shared" ca="1" si="137"/>
        <v>0</v>
      </c>
      <c r="BU40" s="997" t="b">
        <f t="shared" si="143"/>
        <v>1</v>
      </c>
      <c r="BV40" s="997" t="b">
        <f t="shared" si="138"/>
        <v>0</v>
      </c>
      <c r="BW40" s="997" t="b">
        <f t="shared" ca="1" si="139"/>
        <v>0</v>
      </c>
      <c r="BX40" s="997" t="b">
        <f t="shared" ca="1" si="94"/>
        <v>0</v>
      </c>
      <c r="BY40" s="997">
        <f t="shared" ca="1" si="112"/>
        <v>1800</v>
      </c>
      <c r="BZ40" s="997">
        <f t="shared" si="113"/>
        <v>365</v>
      </c>
      <c r="CA40" s="997">
        <f t="shared" si="140"/>
        <v>0</v>
      </c>
      <c r="CB40" s="997">
        <f t="shared" ca="1" si="141"/>
        <v>0</v>
      </c>
      <c r="CC40" s="997">
        <f t="shared" ca="1" si="114"/>
        <v>0</v>
      </c>
      <c r="CD40" s="997"/>
      <c r="CE40" s="1002" t="b">
        <f t="shared" si="57"/>
        <v>0</v>
      </c>
      <c r="CF40" s="5"/>
      <c r="CG40" s="5"/>
    </row>
    <row r="41" spans="1:85" customFormat="1" x14ac:dyDescent="0.35">
      <c r="P41" s="1042"/>
      <c r="T41" s="2445">
        <f ca="1">ROUND(SUM(T29:T40),2)</f>
        <v>0</v>
      </c>
      <c r="U41" s="1008">
        <f ca="1">U29+U30+U31+U32+U33+U34+U35+U36+U37+U38+U39+U40</f>
        <v>0</v>
      </c>
      <c r="AI41" s="1009">
        <f ca="1">SUM(AI29:AI40)</f>
        <v>1</v>
      </c>
      <c r="AJ41" s="1002">
        <f ca="1">AJ40+AJ39+AJ38+AJ37+AJ36+AJ35+AJ34+AJ33+AJ32+AJ31+AJ30+AJ29</f>
        <v>0</v>
      </c>
      <c r="AK41" s="997" t="str">
        <f ca="1">IF(AJ41=12,"Phased",IF(AJ41=0,"True","***"))</f>
        <v>True</v>
      </c>
      <c r="AL41" s="1002">
        <f ca="1">SUM(AL29:AL40)</f>
        <v>0</v>
      </c>
      <c r="AM41" s="1010">
        <f ca="1">IF(AL41&lt;1,AL41,INT(AL41))</f>
        <v>0</v>
      </c>
      <c r="AN41" s="1010" t="str">
        <f ca="1">IF(AL41-AM41&lt;&gt;0,"N/J + T",IF(AND(0&lt;AL41,AL41&lt;1),"P + T",IF(AL41&gt;=1,"N/J","")))</f>
        <v/>
      </c>
      <c r="AO41" s="5"/>
      <c r="AP41" s="1002">
        <f ca="1">SUM($AO$3:AO41)</f>
        <v>3</v>
      </c>
      <c r="AQ41" s="5"/>
      <c r="AR41" s="5"/>
      <c r="AS41" s="5"/>
      <c r="AT41" s="5"/>
      <c r="AU41" s="5"/>
      <c r="AV41" s="5"/>
      <c r="AW41" s="5"/>
      <c r="AX41" s="5"/>
      <c r="AY41" s="2371">
        <f ca="1">IF(SUM(AY29:AY40)&lt;BA41,BA41,SUM(AY29:AY40))</f>
        <v>0</v>
      </c>
      <c r="AZ41" s="5"/>
      <c r="BA41" s="2371">
        <f ca="1">MIN(BB41,BD41)*-1</f>
        <v>-110000</v>
      </c>
      <c r="BB41" s="15">
        <f ca="1">BC41-(AY28*-1)-(AY15*-1)</f>
        <v>315000</v>
      </c>
      <c r="BC41" s="15">
        <f>reliefs!F16</f>
        <v>315000</v>
      </c>
      <c r="BD41" s="15">
        <f>reliefs!F15</f>
        <v>110000</v>
      </c>
      <c r="BE41" s="5"/>
      <c r="BF41" s="5"/>
      <c r="BG41" s="1002">
        <f ca="1">SUM(BG29:BG40)+0.0000001</f>
        <v>9.9999999999999995E-8</v>
      </c>
      <c r="BH41" s="997"/>
      <c r="BI41" s="1001"/>
      <c r="BJ41" s="5"/>
      <c r="BK41" s="5"/>
      <c r="BL41" s="5"/>
      <c r="BM41" s="5"/>
      <c r="BN41" s="5"/>
      <c r="BO41" s="5"/>
      <c r="BP41" s="5"/>
      <c r="BQ41" s="5"/>
      <c r="BR41" s="997"/>
      <c r="BS41" s="5"/>
      <c r="BT41" s="997"/>
      <c r="BU41" s="997"/>
      <c r="BV41" s="997"/>
      <c r="BW41" s="997" t="b">
        <f ca="1">AND(BW40=TRUE,BV41=TRUE)</f>
        <v>0</v>
      </c>
      <c r="BX41" s="997" t="b">
        <f t="shared" ca="1" si="94"/>
        <v>0</v>
      </c>
      <c r="BY41" s="5"/>
      <c r="BZ41" s="5"/>
      <c r="CA41" s="5"/>
      <c r="CB41" s="5"/>
      <c r="CC41" s="5"/>
      <c r="CD41" s="5"/>
      <c r="CE41" s="1002" t="b">
        <f t="shared" si="57"/>
        <v>0</v>
      </c>
      <c r="CF41" s="5"/>
      <c r="CG41" s="5"/>
    </row>
    <row r="42" spans="1:85" s="2396" customFormat="1" x14ac:dyDescent="0.35">
      <c r="A42" s="2388">
        <v>0</v>
      </c>
      <c r="B42" s="2389">
        <f>CH5</f>
        <v>46113</v>
      </c>
      <c r="C42" s="2388">
        <f>IF(OR(B42=0,B42=""),"",4)</f>
        <v>4</v>
      </c>
      <c r="D42" s="2389">
        <f>$CJ$5</f>
        <v>46477</v>
      </c>
      <c r="E42" s="2390" t="str">
        <f ca="1">IF(B42=B43,E43,OFFSET(E28,AI41,0))</f>
        <v>nn</v>
      </c>
      <c r="F42" s="2389">
        <f>B42</f>
        <v>46113</v>
      </c>
      <c r="G42" s="2389">
        <f>IF(B42="","",IF(C43=C42,F43-1,D42))</f>
        <v>46112</v>
      </c>
      <c r="H42" s="2390">
        <f>IF(B42&lt;&gt;"",G42-F42+1,0)</f>
        <v>0</v>
      </c>
      <c r="I42" s="2388">
        <f t="shared" ref="I42:I53" ca="1" si="144">IF(AP42&gt;0,K42*P42,HLOOKUP(E42,$CM$1:$CP$9,1+$C$42,FALSE))</f>
        <v>0</v>
      </c>
      <c r="J42" s="2388">
        <f t="shared" ref="J42:J53" ca="1" si="145">I42/$CK$5</f>
        <v>0</v>
      </c>
      <c r="K42" s="2388">
        <f t="shared" ref="K42:K53" ca="1" si="146">HLOOKUP(E42,$CM$1:$CP$10,10,FALSE)</f>
        <v>0</v>
      </c>
      <c r="L42" s="2388" t="str">
        <f ca="1">IF(B42=B43,L43,OFFSET(L28,AI41,0))</f>
        <v/>
      </c>
      <c r="M42" s="2390" t="str">
        <f ca="1">IF(L42&lt;K42,"down","up")</f>
        <v>up</v>
      </c>
      <c r="N42" s="2390">
        <f ca="1">IF(OR(B42="",K42=0),0,IF(M42="down",J42*L42/K42*H42,0))</f>
        <v>0</v>
      </c>
      <c r="O42" s="2390" t="e">
        <f t="shared" ref="O42:O53" ca="1" si="147">IF(B42="","",IF(M42="up",((J42*H42)+((L42-K42)*P42/$CK$5*H42)),0))</f>
        <v>#VALUE!</v>
      </c>
      <c r="P42" s="2391">
        <f>$CL$5</f>
        <v>0.51900000000000002</v>
      </c>
      <c r="Q42" s="2388" t="e">
        <f ca="1">IF(M42="down",N42,O42)</f>
        <v>#VALUE!</v>
      </c>
      <c r="R42" s="2388" t="e">
        <f ca="1">IF(B42="",0,IF(U42=TRUE,(Q42/AH42)+AC42+(AD42/AH42),(Q42)+Y42+Z42+AC42+AD42))</f>
        <v>#VALUE!</v>
      </c>
      <c r="S42" s="2392">
        <f ca="1">IF(B42=B43,S43,OFFSET(S28,AI41,0))</f>
        <v>1</v>
      </c>
      <c r="T42" s="2442" t="e">
        <f t="shared" ref="T42:T53" ca="1" si="148">$CV$1*IF(AND(AF42="y",L42&lt;AG42),0,R42*S42)+AY42+CD42</f>
        <v>#VALUE!</v>
      </c>
      <c r="U42" s="2388" t="b">
        <f ca="1">AND(V42=TRUE,L42&lt;=W42,AF42="n",X42=FALSE)</f>
        <v>0</v>
      </c>
      <c r="V42" s="2388" t="b">
        <f>advanced!$I$25="y"</f>
        <v>0</v>
      </c>
      <c r="W42" s="2388">
        <f>data!$D$36</f>
        <v>15000</v>
      </c>
      <c r="X42" s="2388" t="b">
        <f t="shared" si="26"/>
        <v>0</v>
      </c>
      <c r="Y42" s="2388" t="e">
        <f ca="1">IF(B42="",0,IF(OR(L42&lt;$CV$5,U42=TRUE),0,L42*$CS$5/$CK$5*H42))</f>
        <v>#VALUE!</v>
      </c>
      <c r="Z42" s="2388">
        <f t="shared" ref="Z42:Z53" ca="1" si="149">IF(B42="",0,IF(AND($Z$2=TRUE,L42&gt;AA42),L42*AB42*H42/AQ42,0))</f>
        <v>0</v>
      </c>
      <c r="AA42" s="2390">
        <f>data!$G$56</f>
        <v>75000</v>
      </c>
      <c r="AB42" s="2390">
        <f>data!$F$56</f>
        <v>0.02</v>
      </c>
      <c r="AC42" s="2388" t="e">
        <f ca="1">IF(B42="",0,L42*($CQ$5-IF(L42&lt;$CV$5,CW$5,0))/$CK$5*H42)*$AC$2/IF(U42=TRUE,AH42,1)</f>
        <v>#VALUE!</v>
      </c>
      <c r="AD42" s="2388" t="e">
        <f ca="1">IF(B42="",0,(IF($AE$1=authorities!$I$1,0,IF(L42&gt;AE42,VLOOKUP($AD$1,authorities!A:H,C42+1,FALSE),0)))*L42/$CK$5*H42)</f>
        <v>#VALUE!</v>
      </c>
      <c r="AE42" s="2388">
        <f>IF($AE$1=authorities!$I$1,0,$AE$1)</f>
        <v>0</v>
      </c>
      <c r="AF42" s="2392" t="str">
        <f ca="1">IF(B42=B43,AF43,OFFSET(AF28,AI41,0))</f>
        <v>n</v>
      </c>
      <c r="AG42" s="2390">
        <f>data!$C$46</f>
        <v>2900</v>
      </c>
      <c r="AH42" s="2393">
        <f ca="1">IF(L42&lt;=$CT$5,5000000,IF(L42&gt;$CU$5,1,IF(MID((($CU$5-$CT$5)/(L42-$CT$5)),6,1)="5",ROUND((($CU$5-$CT$5)/(L42-$CT$5))-0.0001,3),ROUND(($CU$5-$CT$5)/(L42-$CT$5),3))))</f>
        <v>1</v>
      </c>
      <c r="AI42" s="2388">
        <f ca="1">IF(L42&lt;&gt;"",1,0)</f>
        <v>0</v>
      </c>
      <c r="AJ42" s="2388" t="b">
        <f ca="1">IF(AP42&gt;0,FALSE,HLOOKUP(E42,$CM$1:$CP$17,$AJ$1+4,FALSE))</f>
        <v>0</v>
      </c>
      <c r="AK42" s="2388"/>
      <c r="AL42" s="2388">
        <f ca="1">IF(OR(H42=0,F42="",K42=L42,AJ42=FALSE),0,IF(L42&lt;K42,1,0.01))</f>
        <v>0</v>
      </c>
      <c r="AM42" s="2388"/>
      <c r="AN42" s="2388"/>
      <c r="AO42" s="2390">
        <f t="shared" ref="AO42:AO53" ca="1" si="150">IF(L42=0,1,0)</f>
        <v>0</v>
      </c>
      <c r="AP42" s="2390">
        <f ca="1">SUM($AO$3:AO42)</f>
        <v>3</v>
      </c>
      <c r="AQ42" s="2390">
        <f t="shared" ref="AQ42:AQ53" si="151">$CK$5</f>
        <v>365</v>
      </c>
      <c r="AR42" s="2388" t="e">
        <f t="shared" ref="AR42:AR53" ca="1" si="152">$CV$1*IF(AND(AF42="y",L42&lt;AG42),0,R42*S42)</f>
        <v>#VALUE!</v>
      </c>
      <c r="AS42" s="2390"/>
      <c r="AT42" s="2388" t="str">
        <f ca="1">L42</f>
        <v/>
      </c>
      <c r="AU42" s="2388" t="b">
        <f t="shared" ref="AU42:AU53" ca="1" si="153">AT42&lt;$AU$1</f>
        <v>0</v>
      </c>
      <c r="AV42" s="2388" t="b">
        <f t="shared" si="9"/>
        <v>0</v>
      </c>
      <c r="AW42" s="2388" t="b">
        <f t="shared" ref="AW42:AW53" ca="1" si="154">AF42="n"</f>
        <v>1</v>
      </c>
      <c r="AX42" s="2388">
        <f ca="1">AU42*AV42*AW42*IF(S42=0,0,1)</f>
        <v>0</v>
      </c>
      <c r="AY42" s="2394" t="e">
        <f ca="1">AR42/reliefs!$G$7*AX42*-1</f>
        <v>#VALUE!</v>
      </c>
      <c r="AZ42" s="2390"/>
      <c r="BA42" s="2394"/>
      <c r="BB42" s="2388"/>
      <c r="BC42" s="2388"/>
      <c r="BD42" s="2388"/>
      <c r="BE42" s="2388"/>
      <c r="BF42" s="2390"/>
      <c r="BG42" s="2388"/>
      <c r="BH42" s="2388"/>
      <c r="BI42" s="2388"/>
      <c r="BJ42" s="2388"/>
      <c r="BK42" s="2388"/>
      <c r="BL42" s="2388"/>
      <c r="BM42" s="2388"/>
      <c r="BN42" s="2388"/>
      <c r="BO42" s="2388"/>
      <c r="BP42" s="2388"/>
      <c r="BQ42" s="2388"/>
      <c r="BR42" s="2388"/>
      <c r="BS42" s="2388"/>
      <c r="BT42" s="2388"/>
      <c r="BU42" s="2388"/>
      <c r="BV42" s="2388"/>
      <c r="BW42" s="2388"/>
      <c r="BX42" s="2388"/>
      <c r="BY42" s="2388"/>
      <c r="BZ42" s="2388"/>
      <c r="CA42" s="2388"/>
      <c r="CB42" s="2388"/>
      <c r="CC42" s="2388"/>
      <c r="CD42" s="2388"/>
      <c r="CE42" s="2395"/>
      <c r="CF42" s="2395"/>
      <c r="CG42" s="2395"/>
    </row>
    <row r="43" spans="1:85" s="2396" customFormat="1" x14ac:dyDescent="0.35">
      <c r="A43" s="2388">
        <f t="shared" ref="A43:A53" si="155">A42+1</f>
        <v>1</v>
      </c>
      <c r="B43" s="2389">
        <f>IF(input_engine_o!$AE$21&gt;A42,VLOOKUP(A43,input_engine_o!$AE$23:$AI$35,2,FALSE),"")</f>
        <v>46113</v>
      </c>
      <c r="C43" s="2388">
        <f t="shared" ref="C43:C53" si="156">IF(OR(B43=0,B43=""),"",4)</f>
        <v>4</v>
      </c>
      <c r="D43" s="2389">
        <f t="shared" ref="D43:D53" si="157">$CJ$5</f>
        <v>46477</v>
      </c>
      <c r="E43" s="2390" t="str">
        <f>IF(B43="",E42,VLOOKUP(B43,input_engine_o!$B$23:$F$35,5,FALSE))</f>
        <v>nn</v>
      </c>
      <c r="F43" s="2389">
        <f t="shared" ref="F43:F53" si="158">B43</f>
        <v>46113</v>
      </c>
      <c r="G43" s="2389">
        <f t="shared" ref="G43:G52" si="159">IF(B43="","",IF(C44=C43,F44-1,D43))</f>
        <v>46112</v>
      </c>
      <c r="H43" s="2390">
        <f t="shared" ref="H43:H53" si="160">IF(B43&lt;&gt;"",G43-F43+1,0)</f>
        <v>0</v>
      </c>
      <c r="I43" s="2388">
        <f t="shared" ca="1" si="144"/>
        <v>0</v>
      </c>
      <c r="J43" s="2388">
        <f t="shared" ca="1" si="145"/>
        <v>0</v>
      </c>
      <c r="K43" s="2388">
        <f t="shared" si="146"/>
        <v>0</v>
      </c>
      <c r="L43" s="2388" t="str">
        <f>IF(input_engine_o!$AE$21&gt;A42,VLOOKUP(A43,input_engine_o!$AE$23:$AI$36,3,FALSE),"")</f>
        <v/>
      </c>
      <c r="M43" s="2390" t="str">
        <f t="shared" ref="M43:M53" si="161">IF(L43&lt;K43,"down","up")</f>
        <v>up</v>
      </c>
      <c r="N43" s="2390">
        <f>IF(B43="","",IF(M43="down",J43*L43/K43*H43,0))</f>
        <v>0</v>
      </c>
      <c r="O43" s="2390" t="e">
        <f t="shared" ca="1" si="147"/>
        <v>#VALUE!</v>
      </c>
      <c r="P43" s="2391">
        <f t="shared" ref="P43:P53" si="162">$CL$5</f>
        <v>0.51900000000000002</v>
      </c>
      <c r="Q43" s="2388" t="e">
        <f t="shared" ref="Q43:Q53" ca="1" si="163">IF(M43="down",N43,O43)</f>
        <v>#VALUE!</v>
      </c>
      <c r="R43" s="2388" t="e">
        <f t="shared" ref="R43:R53" ca="1" si="164">IF(B43="",0,IF(U43=TRUE,(Q43/AH43)+AC43+(AD43/AH43),(Q43)+Y43+Z43+AC43+AD43))</f>
        <v>#VALUE!</v>
      </c>
      <c r="S43" s="2392">
        <f>IF(input_engine_o!$AE$21&gt;A42,VLOOKUP(A43,input_engine_o!$AE$23:$AI$35,4,FALSE),0)</f>
        <v>1</v>
      </c>
      <c r="T43" s="2442" t="e">
        <f t="shared" ca="1" si="148"/>
        <v>#VALUE!</v>
      </c>
      <c r="U43" s="2388" t="b">
        <f t="shared" ref="U43:U53" si="165">AND(V43=TRUE,L43&lt;=W43,AF43="n",X43=FALSE)</f>
        <v>0</v>
      </c>
      <c r="V43" s="2388" t="b">
        <f>advanced!$I$25="y"</f>
        <v>0</v>
      </c>
      <c r="W43" s="2388">
        <f>data!$D$36</f>
        <v>15000</v>
      </c>
      <c r="X43" s="2388" t="b">
        <f t="shared" si="26"/>
        <v>0</v>
      </c>
      <c r="Y43" s="2388" t="e">
        <f t="shared" ref="Y43:Y53" si="166">IF(B43="",0,IF(OR(L43&lt;$CV$5,U43=TRUE),0,L43*$CS$5/$CK$5*H43))</f>
        <v>#VALUE!</v>
      </c>
      <c r="Z43" s="2388">
        <f t="shared" si="149"/>
        <v>0</v>
      </c>
      <c r="AA43" s="2390">
        <f>data!$G$56</f>
        <v>75000</v>
      </c>
      <c r="AB43" s="2390">
        <f>data!$F$56</f>
        <v>0.02</v>
      </c>
      <c r="AC43" s="2388" t="e">
        <f t="shared" ref="AC43:AC53" si="167">IF(B43="",0,L43*($CQ$5-IF(L43&lt;$CV$5,CW$5,0))/$CK$5*H43)*$AC$2/IF(U43=TRUE,AH43,1)</f>
        <v>#VALUE!</v>
      </c>
      <c r="AD43" s="2388" t="e">
        <f>IF(B43="",0,(IF($AE$1=authorities!$I$1,0,IF(L43&gt;AE43,VLOOKUP($AD$1,authorities!A:H,C43+1,FALSE),0)))*L43/$CK$5*H43)</f>
        <v>#VALUE!</v>
      </c>
      <c r="AE43" s="2388">
        <f>IF($AE$1=authorities!$I$1,0,$AE$1)</f>
        <v>0</v>
      </c>
      <c r="AF43" s="2390" t="str">
        <f>IF(input_engine_o!$AE$21&gt;A42,VLOOKUP(A43,input_engine_o!$AE$23:$AI$35,5,FALSE),0)</f>
        <v>n</v>
      </c>
      <c r="AG43" s="2390">
        <f>data!$C$46</f>
        <v>2900</v>
      </c>
      <c r="AH43" s="2393">
        <f t="shared" ref="AH43:AH53" si="168">IF(L43&lt;=$CT$5,5000000,IF(L43&gt;$CU$5,1,IF(MID((($CU$5-$CT$5)/(L43-$CT$5)),6,1)="5",ROUND((($CU$5-$CT$5)/(L43-$CT$5))-0.0001,3),ROUND(($CU$5-$CT$5)/(L43-$CT$5),3))))</f>
        <v>1</v>
      </c>
      <c r="AI43" s="2388">
        <f t="shared" ref="AI43:AI53" si="169">IF(L43&lt;&gt;"",1,0)</f>
        <v>0</v>
      </c>
      <c r="AJ43" s="2388" t="b">
        <f t="shared" ref="AJ43:AJ53" ca="1" si="170">IF(AP43&gt;0,FALSE,HLOOKUP(E43,$CM$1:$CP$17,$AJ$1+4,FALSE))</f>
        <v>0</v>
      </c>
      <c r="AK43" s="2388"/>
      <c r="AL43" s="2388">
        <f t="shared" ref="AL43:AL53" ca="1" si="171">IF(OR(H43=0,F43="",K43=L43,AJ43=FALSE),0,IF(L43&lt;K43,1,0.01))</f>
        <v>0</v>
      </c>
      <c r="AM43" s="2388"/>
      <c r="AN43" s="2388"/>
      <c r="AO43" s="2390">
        <f t="shared" si="150"/>
        <v>0</v>
      </c>
      <c r="AP43" s="2390">
        <f ca="1">SUM($AO$3:AO43)</f>
        <v>3</v>
      </c>
      <c r="AQ43" s="2390">
        <f t="shared" si="151"/>
        <v>365</v>
      </c>
      <c r="AR43" s="2388" t="e">
        <f t="shared" ca="1" si="152"/>
        <v>#VALUE!</v>
      </c>
      <c r="AS43" s="2390"/>
      <c r="AT43" s="2388" t="str">
        <f t="shared" ref="AT43:AT53" ca="1" si="172">IF(L43="",AT42,L43)</f>
        <v/>
      </c>
      <c r="AU43" s="2388" t="b">
        <f t="shared" ca="1" si="153"/>
        <v>0</v>
      </c>
      <c r="AV43" s="2388" t="b">
        <f t="shared" si="9"/>
        <v>0</v>
      </c>
      <c r="AW43" s="2388" t="b">
        <f t="shared" si="154"/>
        <v>1</v>
      </c>
      <c r="AX43" s="2388">
        <f t="shared" ref="AX43:AX53" ca="1" si="173">0*AU43*AV43*AW43*IF(S43=0,0,1)</f>
        <v>0</v>
      </c>
      <c r="AY43" s="2394" t="e">
        <f ca="1">AR43/reliefs!$G$7*AX43*-1</f>
        <v>#VALUE!</v>
      </c>
      <c r="AZ43" s="2390"/>
      <c r="BA43" s="2394"/>
      <c r="BB43" s="2388"/>
      <c r="BC43" s="2388"/>
      <c r="BD43" s="2388"/>
      <c r="BE43" s="2388"/>
      <c r="BF43" s="2390"/>
      <c r="BG43" s="2388"/>
      <c r="BH43" s="2388"/>
      <c r="BI43" s="2388"/>
      <c r="BJ43" s="2388"/>
      <c r="BK43" s="2388"/>
      <c r="BL43" s="2388"/>
      <c r="BM43" s="2388"/>
      <c r="BN43" s="2388"/>
      <c r="BO43" s="2388"/>
      <c r="BP43" s="2388"/>
      <c r="BQ43" s="2388"/>
      <c r="BR43" s="2388"/>
      <c r="BS43" s="2388"/>
      <c r="BT43" s="2388"/>
      <c r="BU43" s="2388"/>
      <c r="BV43" s="2388"/>
      <c r="BW43" s="2388"/>
      <c r="BX43" s="2388"/>
      <c r="BY43" s="2388"/>
      <c r="BZ43" s="2388"/>
      <c r="CA43" s="2388"/>
      <c r="CB43" s="2388"/>
      <c r="CC43" s="2388"/>
      <c r="CD43" s="2388"/>
      <c r="CE43" s="2395"/>
      <c r="CF43" s="2395"/>
      <c r="CG43" s="2395"/>
    </row>
    <row r="44" spans="1:85" s="2396" customFormat="1" x14ac:dyDescent="0.35">
      <c r="A44" s="2388">
        <f t="shared" si="155"/>
        <v>2</v>
      </c>
      <c r="B44" s="2389">
        <f>IF(input_engine_o!$AE$21&gt;A43,VLOOKUP(A44,input_engine_o!$AE$23:$AI$35,2,FALSE),"")</f>
        <v>46113</v>
      </c>
      <c r="C44" s="2388">
        <f t="shared" si="156"/>
        <v>4</v>
      </c>
      <c r="D44" s="2389">
        <f t="shared" si="157"/>
        <v>46477</v>
      </c>
      <c r="E44" s="2390" t="str">
        <f>IF(B44="",E43,VLOOKUP(B44,input_engine_o!$B$23:$F$35,5,FALSE))</f>
        <v>nn</v>
      </c>
      <c r="F44" s="2389">
        <f t="shared" si="158"/>
        <v>46113</v>
      </c>
      <c r="G44" s="2389">
        <f t="shared" si="159"/>
        <v>46112</v>
      </c>
      <c r="H44" s="2390">
        <f t="shared" si="160"/>
        <v>0</v>
      </c>
      <c r="I44" s="2388">
        <f t="shared" ca="1" si="144"/>
        <v>0</v>
      </c>
      <c r="J44" s="2388">
        <f t="shared" ca="1" si="145"/>
        <v>0</v>
      </c>
      <c r="K44" s="2388">
        <f t="shared" si="146"/>
        <v>0</v>
      </c>
      <c r="L44" s="2388" t="str">
        <f>IF(input_engine_o!$AE$21&gt;A43,VLOOKUP(A44,input_engine_o!$AE$23:$AI$36,3,FALSE),"")</f>
        <v/>
      </c>
      <c r="M44" s="2390" t="str">
        <f t="shared" si="161"/>
        <v>up</v>
      </c>
      <c r="N44" s="2390">
        <f t="shared" ref="N44:N53" si="174">IF(B44="","",IF(M44="down",J44*L44/K44*H44,0))</f>
        <v>0</v>
      </c>
      <c r="O44" s="2390" t="e">
        <f t="shared" ca="1" si="147"/>
        <v>#VALUE!</v>
      </c>
      <c r="P44" s="2391">
        <f t="shared" si="162"/>
        <v>0.51900000000000002</v>
      </c>
      <c r="Q44" s="2388" t="e">
        <f t="shared" ca="1" si="163"/>
        <v>#VALUE!</v>
      </c>
      <c r="R44" s="2388" t="e">
        <f t="shared" ca="1" si="164"/>
        <v>#VALUE!</v>
      </c>
      <c r="S44" s="2392">
        <f>IF(input_engine_o!$AE$21&gt;A43,VLOOKUP(A44,input_engine_o!$AE$23:$AI$35,4,FALSE),0)</f>
        <v>1</v>
      </c>
      <c r="T44" s="2442" t="e">
        <f t="shared" ca="1" si="148"/>
        <v>#VALUE!</v>
      </c>
      <c r="U44" s="2388" t="b">
        <f t="shared" si="165"/>
        <v>0</v>
      </c>
      <c r="V44" s="2388" t="b">
        <f>advanced!$I$25="y"</f>
        <v>0</v>
      </c>
      <c r="W44" s="2388">
        <f>data!$D$36</f>
        <v>15000</v>
      </c>
      <c r="X44" s="2388" t="b">
        <f t="shared" si="26"/>
        <v>0</v>
      </c>
      <c r="Y44" s="2388" t="e">
        <f t="shared" si="166"/>
        <v>#VALUE!</v>
      </c>
      <c r="Z44" s="2388">
        <f t="shared" si="149"/>
        <v>0</v>
      </c>
      <c r="AA44" s="2390">
        <f>data!$G$56</f>
        <v>75000</v>
      </c>
      <c r="AB44" s="2390">
        <f>data!$F$56</f>
        <v>0.02</v>
      </c>
      <c r="AC44" s="2388" t="e">
        <f t="shared" si="167"/>
        <v>#VALUE!</v>
      </c>
      <c r="AD44" s="2388" t="e">
        <f>IF(B44="",0,(IF($AE$1=authorities!$I$1,0,IF(L44&gt;AE44,VLOOKUP($AD$1,authorities!A:H,C44+1,FALSE),0)))*L44/$CK$5*H44)</f>
        <v>#VALUE!</v>
      </c>
      <c r="AE44" s="2388">
        <f>IF($AE$1=authorities!$I$1,0,$AE$1)</f>
        <v>0</v>
      </c>
      <c r="AF44" s="2390" t="str">
        <f>IF(input_engine_o!$AE$21&gt;A43,VLOOKUP(A44,input_engine_o!$AE$23:$AI$35,5,FALSE),0)</f>
        <v>n</v>
      </c>
      <c r="AG44" s="2390">
        <f>data!$C$46</f>
        <v>2900</v>
      </c>
      <c r="AH44" s="2393">
        <f t="shared" si="168"/>
        <v>1</v>
      </c>
      <c r="AI44" s="2388">
        <f t="shared" si="169"/>
        <v>0</v>
      </c>
      <c r="AJ44" s="2388" t="b">
        <f t="shared" ca="1" si="170"/>
        <v>0</v>
      </c>
      <c r="AK44" s="2388"/>
      <c r="AL44" s="2388">
        <f t="shared" ca="1" si="171"/>
        <v>0</v>
      </c>
      <c r="AM44" s="2388"/>
      <c r="AN44" s="2388"/>
      <c r="AO44" s="2390">
        <f t="shared" si="150"/>
        <v>0</v>
      </c>
      <c r="AP44" s="2390">
        <f ca="1">SUM($AO$3:AO44)</f>
        <v>3</v>
      </c>
      <c r="AQ44" s="2390">
        <f t="shared" si="151"/>
        <v>365</v>
      </c>
      <c r="AR44" s="2388" t="e">
        <f t="shared" ca="1" si="152"/>
        <v>#VALUE!</v>
      </c>
      <c r="AS44" s="2390"/>
      <c r="AT44" s="2388" t="str">
        <f t="shared" ca="1" si="172"/>
        <v/>
      </c>
      <c r="AU44" s="2388" t="b">
        <f t="shared" ca="1" si="153"/>
        <v>0</v>
      </c>
      <c r="AV44" s="2388" t="b">
        <f t="shared" si="9"/>
        <v>0</v>
      </c>
      <c r="AW44" s="2388" t="b">
        <f t="shared" si="154"/>
        <v>1</v>
      </c>
      <c r="AX44" s="2388">
        <f t="shared" ca="1" si="173"/>
        <v>0</v>
      </c>
      <c r="AY44" s="2394" t="e">
        <f ca="1">AR44/reliefs!$G$7*AX44*-1</f>
        <v>#VALUE!</v>
      </c>
      <c r="AZ44" s="2390"/>
      <c r="BA44" s="2394"/>
      <c r="BB44" s="2388"/>
      <c r="BC44" s="2388"/>
      <c r="BD44" s="2388"/>
      <c r="BE44" s="2388"/>
      <c r="BF44" s="2390"/>
      <c r="BG44" s="2388"/>
      <c r="BH44" s="2388"/>
      <c r="BI44" s="2388"/>
      <c r="BJ44" s="2388"/>
      <c r="BK44" s="2388"/>
      <c r="BL44" s="2388"/>
      <c r="BM44" s="2388"/>
      <c r="BN44" s="2388"/>
      <c r="BO44" s="2388"/>
      <c r="BP44" s="2388"/>
      <c r="BQ44" s="2388"/>
      <c r="BR44" s="2388"/>
      <c r="BS44" s="2388"/>
      <c r="BT44" s="2388"/>
      <c r="BU44" s="2388"/>
      <c r="BV44" s="2388"/>
      <c r="BW44" s="2388"/>
      <c r="BX44" s="2388"/>
      <c r="BY44" s="2388"/>
      <c r="BZ44" s="2388"/>
      <c r="CA44" s="2388"/>
      <c r="CB44" s="2388"/>
      <c r="CC44" s="2388"/>
      <c r="CD44" s="2388"/>
      <c r="CE44" s="2395"/>
      <c r="CF44" s="2395"/>
      <c r="CG44" s="2395"/>
    </row>
    <row r="45" spans="1:85" s="2396" customFormat="1" x14ac:dyDescent="0.35">
      <c r="A45" s="2388">
        <f t="shared" si="155"/>
        <v>3</v>
      </c>
      <c r="B45" s="2389">
        <f>IF(input_engine_o!$AE$21&gt;A44,VLOOKUP(A45,input_engine_o!$AE$23:$AI$35,2,FALSE),"")</f>
        <v>46113</v>
      </c>
      <c r="C45" s="2388">
        <f t="shared" si="156"/>
        <v>4</v>
      </c>
      <c r="D45" s="2389">
        <f t="shared" si="157"/>
        <v>46477</v>
      </c>
      <c r="E45" s="2390" t="str">
        <f>IF(B45="",E44,VLOOKUP(B45,input_engine_o!$B$23:$F$35,5,FALSE))</f>
        <v>nn</v>
      </c>
      <c r="F45" s="2389">
        <f t="shared" si="158"/>
        <v>46113</v>
      </c>
      <c r="G45" s="2389">
        <f t="shared" si="159"/>
        <v>46112</v>
      </c>
      <c r="H45" s="2390">
        <f t="shared" si="160"/>
        <v>0</v>
      </c>
      <c r="I45" s="2388">
        <f t="shared" ca="1" si="144"/>
        <v>0</v>
      </c>
      <c r="J45" s="2388">
        <f t="shared" ca="1" si="145"/>
        <v>0</v>
      </c>
      <c r="K45" s="2388">
        <f t="shared" si="146"/>
        <v>0</v>
      </c>
      <c r="L45" s="2388" t="str">
        <f>IF(input_engine_o!$AE$21&gt;A44,VLOOKUP(A45,input_engine_o!$AE$23:$AI$36,3,FALSE),"")</f>
        <v/>
      </c>
      <c r="M45" s="2390" t="str">
        <f t="shared" si="161"/>
        <v>up</v>
      </c>
      <c r="N45" s="2390">
        <f t="shared" si="174"/>
        <v>0</v>
      </c>
      <c r="O45" s="2390" t="e">
        <f t="shared" ca="1" si="147"/>
        <v>#VALUE!</v>
      </c>
      <c r="P45" s="2391">
        <f t="shared" si="162"/>
        <v>0.51900000000000002</v>
      </c>
      <c r="Q45" s="2388" t="e">
        <f t="shared" ca="1" si="163"/>
        <v>#VALUE!</v>
      </c>
      <c r="R45" s="2388" t="e">
        <f t="shared" ca="1" si="164"/>
        <v>#VALUE!</v>
      </c>
      <c r="S45" s="2392">
        <f>IF(input_engine_o!$AE$21&gt;A44,VLOOKUP(A45,input_engine_o!$AE$23:$AI$35,4,FALSE),0)</f>
        <v>1</v>
      </c>
      <c r="T45" s="2442" t="e">
        <f t="shared" ca="1" si="148"/>
        <v>#VALUE!</v>
      </c>
      <c r="U45" s="2388" t="b">
        <f t="shared" si="165"/>
        <v>0</v>
      </c>
      <c r="V45" s="2388" t="b">
        <f>advanced!$I$25="y"</f>
        <v>0</v>
      </c>
      <c r="W45" s="2388">
        <f>data!$D$36</f>
        <v>15000</v>
      </c>
      <c r="X45" s="2388" t="b">
        <f t="shared" si="26"/>
        <v>0</v>
      </c>
      <c r="Y45" s="2388" t="e">
        <f t="shared" si="166"/>
        <v>#VALUE!</v>
      </c>
      <c r="Z45" s="2388">
        <f t="shared" si="149"/>
        <v>0</v>
      </c>
      <c r="AA45" s="2390">
        <f>data!$G$56</f>
        <v>75000</v>
      </c>
      <c r="AB45" s="2390">
        <f>data!$F$56</f>
        <v>0.02</v>
      </c>
      <c r="AC45" s="2388" t="e">
        <f t="shared" si="167"/>
        <v>#VALUE!</v>
      </c>
      <c r="AD45" s="2388" t="e">
        <f>IF(B45="",0,(IF($AE$1=authorities!$I$1,0,IF(L45&gt;AE45,VLOOKUP($AD$1,authorities!A:H,C45+1,FALSE),0)))*L45/$CK$5*H45)</f>
        <v>#VALUE!</v>
      </c>
      <c r="AE45" s="2388">
        <f>IF($AE$1=authorities!$I$1,0,$AE$1)</f>
        <v>0</v>
      </c>
      <c r="AF45" s="2390" t="str">
        <f>IF(input_engine_o!$AE$21&gt;A44,VLOOKUP(A45,input_engine_o!$AE$23:$AI$35,5,FALSE),0)</f>
        <v>n</v>
      </c>
      <c r="AG45" s="2390">
        <f>data!$C$46</f>
        <v>2900</v>
      </c>
      <c r="AH45" s="2393">
        <f t="shared" si="168"/>
        <v>1</v>
      </c>
      <c r="AI45" s="2388">
        <f t="shared" si="169"/>
        <v>0</v>
      </c>
      <c r="AJ45" s="2388" t="b">
        <f t="shared" ca="1" si="170"/>
        <v>0</v>
      </c>
      <c r="AK45" s="2388"/>
      <c r="AL45" s="2388">
        <f t="shared" ca="1" si="171"/>
        <v>0</v>
      </c>
      <c r="AM45" s="2388"/>
      <c r="AN45" s="2388"/>
      <c r="AO45" s="2390">
        <f t="shared" si="150"/>
        <v>0</v>
      </c>
      <c r="AP45" s="2390">
        <f ca="1">SUM($AO$3:AO45)</f>
        <v>3</v>
      </c>
      <c r="AQ45" s="2390">
        <f t="shared" si="151"/>
        <v>365</v>
      </c>
      <c r="AR45" s="2388" t="e">
        <f t="shared" ca="1" si="152"/>
        <v>#VALUE!</v>
      </c>
      <c r="AS45" s="2390"/>
      <c r="AT45" s="2388" t="str">
        <f t="shared" ca="1" si="172"/>
        <v/>
      </c>
      <c r="AU45" s="2388" t="b">
        <f t="shared" ca="1" si="153"/>
        <v>0</v>
      </c>
      <c r="AV45" s="2388" t="b">
        <f t="shared" si="9"/>
        <v>0</v>
      </c>
      <c r="AW45" s="2388" t="b">
        <f t="shared" si="154"/>
        <v>1</v>
      </c>
      <c r="AX45" s="2388">
        <f t="shared" ca="1" si="173"/>
        <v>0</v>
      </c>
      <c r="AY45" s="2394" t="e">
        <f ca="1">AR45/reliefs!$G$7*AX45*-1</f>
        <v>#VALUE!</v>
      </c>
      <c r="AZ45" s="2390"/>
      <c r="BA45" s="2394"/>
      <c r="BB45" s="2388"/>
      <c r="BC45" s="2388"/>
      <c r="BD45" s="2388"/>
      <c r="BE45" s="2388"/>
      <c r="BF45" s="2390"/>
      <c r="BG45" s="2388"/>
      <c r="BH45" s="2388"/>
      <c r="BI45" s="2388"/>
      <c r="BJ45" s="2388"/>
      <c r="BK45" s="2388"/>
      <c r="BL45" s="2388"/>
      <c r="BM45" s="2388"/>
      <c r="BN45" s="2388"/>
      <c r="BO45" s="2388"/>
      <c r="BP45" s="2388"/>
      <c r="BQ45" s="2388"/>
      <c r="BR45" s="2388"/>
      <c r="BS45" s="2388"/>
      <c r="BT45" s="2388"/>
      <c r="BU45" s="2388"/>
      <c r="BV45" s="2388"/>
      <c r="BW45" s="2388"/>
      <c r="BX45" s="2388"/>
      <c r="BY45" s="2388"/>
      <c r="BZ45" s="2388"/>
      <c r="CA45" s="2388"/>
      <c r="CB45" s="2388"/>
      <c r="CC45" s="2388"/>
      <c r="CD45" s="2388"/>
      <c r="CE45" s="2395"/>
      <c r="CF45" s="2395"/>
      <c r="CG45" s="2395"/>
    </row>
    <row r="46" spans="1:85" s="2396" customFormat="1" x14ac:dyDescent="0.35">
      <c r="A46" s="2388">
        <f t="shared" si="155"/>
        <v>4</v>
      </c>
      <c r="B46" s="2389">
        <f>IF(input_engine_o!$AE$21&gt;A45,VLOOKUP(A46,input_engine_o!$AE$23:$AI$35,2,FALSE),"")</f>
        <v>46113</v>
      </c>
      <c r="C46" s="2388">
        <f t="shared" si="156"/>
        <v>4</v>
      </c>
      <c r="D46" s="2389">
        <f t="shared" si="157"/>
        <v>46477</v>
      </c>
      <c r="E46" s="2390" t="str">
        <f>IF(B46="",E45,VLOOKUP(B46,input_engine_o!$B$23:$F$35,5,FALSE))</f>
        <v>nn</v>
      </c>
      <c r="F46" s="2389">
        <f t="shared" si="158"/>
        <v>46113</v>
      </c>
      <c r="G46" s="2389">
        <f t="shared" si="159"/>
        <v>46112</v>
      </c>
      <c r="H46" s="2390">
        <f t="shared" si="160"/>
        <v>0</v>
      </c>
      <c r="I46" s="2388">
        <f t="shared" ca="1" si="144"/>
        <v>0</v>
      </c>
      <c r="J46" s="2388">
        <f t="shared" ca="1" si="145"/>
        <v>0</v>
      </c>
      <c r="K46" s="2388">
        <f t="shared" si="146"/>
        <v>0</v>
      </c>
      <c r="L46" s="2388" t="str">
        <f>IF(input_engine_o!$AE$21&gt;A45,VLOOKUP(A46,input_engine_o!$AE$23:$AI$36,3,FALSE),"")</f>
        <v/>
      </c>
      <c r="M46" s="2390" t="str">
        <f t="shared" si="161"/>
        <v>up</v>
      </c>
      <c r="N46" s="2390">
        <f t="shared" si="174"/>
        <v>0</v>
      </c>
      <c r="O46" s="2390" t="e">
        <f t="shared" ca="1" si="147"/>
        <v>#VALUE!</v>
      </c>
      <c r="P46" s="2391">
        <f t="shared" si="162"/>
        <v>0.51900000000000002</v>
      </c>
      <c r="Q46" s="2388" t="e">
        <f t="shared" ca="1" si="163"/>
        <v>#VALUE!</v>
      </c>
      <c r="R46" s="2388" t="e">
        <f t="shared" ca="1" si="164"/>
        <v>#VALUE!</v>
      </c>
      <c r="S46" s="2392">
        <f>IF(input_engine_o!$AE$21&gt;A45,VLOOKUP(A46,input_engine_o!$AE$23:$AI$35,4,FALSE),0)</f>
        <v>1</v>
      </c>
      <c r="T46" s="2442" t="e">
        <f t="shared" ca="1" si="148"/>
        <v>#VALUE!</v>
      </c>
      <c r="U46" s="2388" t="b">
        <f t="shared" si="165"/>
        <v>0</v>
      </c>
      <c r="V46" s="2388" t="b">
        <f>advanced!$I$25="y"</f>
        <v>0</v>
      </c>
      <c r="W46" s="2388">
        <f>data!$D$36</f>
        <v>15000</v>
      </c>
      <c r="X46" s="2388" t="b">
        <f t="shared" si="26"/>
        <v>0</v>
      </c>
      <c r="Y46" s="2388" t="e">
        <f t="shared" si="166"/>
        <v>#VALUE!</v>
      </c>
      <c r="Z46" s="2388">
        <f t="shared" si="149"/>
        <v>0</v>
      </c>
      <c r="AA46" s="2390">
        <f>data!$G$56</f>
        <v>75000</v>
      </c>
      <c r="AB46" s="2390">
        <f>data!$F$56</f>
        <v>0.02</v>
      </c>
      <c r="AC46" s="2388" t="e">
        <f t="shared" si="167"/>
        <v>#VALUE!</v>
      </c>
      <c r="AD46" s="2388" t="e">
        <f>IF(B46="",0,(IF($AE$1=authorities!$I$1,0,IF(L46&gt;AE46,VLOOKUP($AD$1,authorities!A:H,C46+1,FALSE),0)))*L46/$CK$5*H46)</f>
        <v>#VALUE!</v>
      </c>
      <c r="AE46" s="2388">
        <f>IF($AE$1=authorities!$I$1,0,$AE$1)</f>
        <v>0</v>
      </c>
      <c r="AF46" s="2390" t="str">
        <f>IF(input_engine_o!$AE$21&gt;A45,VLOOKUP(A46,input_engine_o!$AE$23:$AI$35,5,FALSE),0)</f>
        <v>n</v>
      </c>
      <c r="AG46" s="2390">
        <f>data!$C$46</f>
        <v>2900</v>
      </c>
      <c r="AH46" s="2393">
        <f t="shared" si="168"/>
        <v>1</v>
      </c>
      <c r="AI46" s="2388">
        <f t="shared" si="169"/>
        <v>0</v>
      </c>
      <c r="AJ46" s="2388" t="b">
        <f t="shared" ca="1" si="170"/>
        <v>0</v>
      </c>
      <c r="AK46" s="2388"/>
      <c r="AL46" s="2388">
        <f t="shared" ca="1" si="171"/>
        <v>0</v>
      </c>
      <c r="AM46" s="2388"/>
      <c r="AN46" s="2388"/>
      <c r="AO46" s="2390">
        <f t="shared" si="150"/>
        <v>0</v>
      </c>
      <c r="AP46" s="2390">
        <f ca="1">SUM($AO$3:AO46)</f>
        <v>3</v>
      </c>
      <c r="AQ46" s="2390">
        <f t="shared" si="151"/>
        <v>365</v>
      </c>
      <c r="AR46" s="2388" t="e">
        <f t="shared" ca="1" si="152"/>
        <v>#VALUE!</v>
      </c>
      <c r="AS46" s="2395"/>
      <c r="AT46" s="2388" t="str">
        <f t="shared" ca="1" si="172"/>
        <v/>
      </c>
      <c r="AU46" s="2388" t="b">
        <f t="shared" ca="1" si="153"/>
        <v>0</v>
      </c>
      <c r="AV46" s="2388" t="b">
        <f t="shared" si="9"/>
        <v>0</v>
      </c>
      <c r="AW46" s="2388" t="b">
        <f t="shared" si="154"/>
        <v>1</v>
      </c>
      <c r="AX46" s="2388">
        <f t="shared" ca="1" si="173"/>
        <v>0</v>
      </c>
      <c r="AY46" s="2394" t="e">
        <f ca="1">AR46/reliefs!$G$7*AX46*-1</f>
        <v>#VALUE!</v>
      </c>
      <c r="AZ46" s="2395"/>
      <c r="BA46" s="2394"/>
      <c r="BB46" s="2388"/>
      <c r="BC46" s="2388"/>
      <c r="BD46" s="2388"/>
      <c r="BE46" s="2388"/>
      <c r="BF46" s="2390"/>
      <c r="BG46" s="2388"/>
      <c r="BH46" s="2388"/>
      <c r="BI46" s="2388"/>
      <c r="BJ46" s="2388"/>
      <c r="BK46" s="2388"/>
      <c r="BL46" s="2388"/>
      <c r="BM46" s="2388"/>
      <c r="BN46" s="2388"/>
      <c r="BO46" s="2388"/>
      <c r="BP46" s="2388"/>
      <c r="BQ46" s="2388"/>
      <c r="BR46" s="2388"/>
      <c r="BS46" s="2388"/>
      <c r="BT46" s="2388"/>
      <c r="BU46" s="2388"/>
      <c r="BV46" s="2388"/>
      <c r="BW46" s="2388"/>
      <c r="BX46" s="2388"/>
      <c r="BY46" s="2388"/>
      <c r="BZ46" s="2388"/>
      <c r="CA46" s="2388"/>
      <c r="CB46" s="2388"/>
      <c r="CC46" s="2388"/>
      <c r="CD46" s="2388"/>
      <c r="CE46" s="2395"/>
      <c r="CF46" s="2395"/>
      <c r="CG46" s="2395"/>
    </row>
    <row r="47" spans="1:85" s="2396" customFormat="1" x14ac:dyDescent="0.35">
      <c r="A47" s="2388">
        <f t="shared" si="155"/>
        <v>5</v>
      </c>
      <c r="B47" s="2389">
        <f>IF(input_engine_o!$AE$21&gt;A46,VLOOKUP(A47,input_engine_o!$AE$23:$AI$35,2,FALSE),"")</f>
        <v>46113</v>
      </c>
      <c r="C47" s="2388">
        <f t="shared" si="156"/>
        <v>4</v>
      </c>
      <c r="D47" s="2389">
        <f t="shared" si="157"/>
        <v>46477</v>
      </c>
      <c r="E47" s="2390" t="str">
        <f>IF(B47="",E46,VLOOKUP(B47,input_engine_o!$B$23:$F$35,5,FALSE))</f>
        <v>nn</v>
      </c>
      <c r="F47" s="2389">
        <f t="shared" si="158"/>
        <v>46113</v>
      </c>
      <c r="G47" s="2389">
        <f t="shared" si="159"/>
        <v>46112</v>
      </c>
      <c r="H47" s="2390">
        <f t="shared" si="160"/>
        <v>0</v>
      </c>
      <c r="I47" s="2388">
        <f t="shared" ca="1" si="144"/>
        <v>0</v>
      </c>
      <c r="J47" s="2388">
        <f t="shared" ca="1" si="145"/>
        <v>0</v>
      </c>
      <c r="K47" s="2388">
        <f t="shared" si="146"/>
        <v>0</v>
      </c>
      <c r="L47" s="2388" t="str">
        <f>IF(input_engine_o!$AE$21&gt;A46,VLOOKUP(A47,input_engine_o!$AE$23:$AI$36,3,FALSE),"")</f>
        <v/>
      </c>
      <c r="M47" s="2390" t="str">
        <f t="shared" si="161"/>
        <v>up</v>
      </c>
      <c r="N47" s="2390">
        <f t="shared" si="174"/>
        <v>0</v>
      </c>
      <c r="O47" s="2390" t="e">
        <f t="shared" ca="1" si="147"/>
        <v>#VALUE!</v>
      </c>
      <c r="P47" s="2391">
        <f t="shared" si="162"/>
        <v>0.51900000000000002</v>
      </c>
      <c r="Q47" s="2388" t="e">
        <f t="shared" ca="1" si="163"/>
        <v>#VALUE!</v>
      </c>
      <c r="R47" s="2388" t="e">
        <f t="shared" ca="1" si="164"/>
        <v>#VALUE!</v>
      </c>
      <c r="S47" s="2392">
        <f>IF(input_engine_o!$AE$21&gt;A46,VLOOKUP(A47,input_engine_o!$AE$23:$AI$35,4,FALSE),0)</f>
        <v>1</v>
      </c>
      <c r="T47" s="2442" t="e">
        <f t="shared" ca="1" si="148"/>
        <v>#VALUE!</v>
      </c>
      <c r="U47" s="2388" t="b">
        <f t="shared" si="165"/>
        <v>0</v>
      </c>
      <c r="V47" s="2388" t="b">
        <f>advanced!$I$25="y"</f>
        <v>0</v>
      </c>
      <c r="W47" s="2388">
        <f>data!$D$36</f>
        <v>15000</v>
      </c>
      <c r="X47" s="2388" t="b">
        <f t="shared" si="26"/>
        <v>0</v>
      </c>
      <c r="Y47" s="2388" t="e">
        <f t="shared" si="166"/>
        <v>#VALUE!</v>
      </c>
      <c r="Z47" s="2388">
        <f t="shared" si="149"/>
        <v>0</v>
      </c>
      <c r="AA47" s="2390">
        <f>data!$G$56</f>
        <v>75000</v>
      </c>
      <c r="AB47" s="2390">
        <f>data!$F$56</f>
        <v>0.02</v>
      </c>
      <c r="AC47" s="2388" t="e">
        <f t="shared" si="167"/>
        <v>#VALUE!</v>
      </c>
      <c r="AD47" s="2388" t="e">
        <f>IF(B47="",0,(IF($AE$1=authorities!$I$1,0,IF(L47&gt;AE47,VLOOKUP($AD$1,authorities!A:H,C47+1,FALSE),0)))*L47/$CK$5*H47)</f>
        <v>#VALUE!</v>
      </c>
      <c r="AE47" s="2388">
        <f>IF($AE$1=authorities!$I$1,0,$AE$1)</f>
        <v>0</v>
      </c>
      <c r="AF47" s="2390" t="str">
        <f>IF(input_engine_o!$AE$21&gt;A46,VLOOKUP(A47,input_engine_o!$AE$23:$AI$35,5,FALSE),0)</f>
        <v>n</v>
      </c>
      <c r="AG47" s="2390">
        <f>data!$C$46</f>
        <v>2900</v>
      </c>
      <c r="AH47" s="2393">
        <f t="shared" si="168"/>
        <v>1</v>
      </c>
      <c r="AI47" s="2388">
        <f t="shared" si="169"/>
        <v>0</v>
      </c>
      <c r="AJ47" s="2388" t="b">
        <f t="shared" ca="1" si="170"/>
        <v>0</v>
      </c>
      <c r="AK47" s="2388"/>
      <c r="AL47" s="2388">
        <f t="shared" ca="1" si="171"/>
        <v>0</v>
      </c>
      <c r="AM47" s="2388"/>
      <c r="AN47" s="2388"/>
      <c r="AO47" s="2390">
        <f t="shared" si="150"/>
        <v>0</v>
      </c>
      <c r="AP47" s="2390">
        <f ca="1">SUM($AO$3:AO47)</f>
        <v>3</v>
      </c>
      <c r="AQ47" s="2390">
        <f t="shared" si="151"/>
        <v>365</v>
      </c>
      <c r="AR47" s="2388" t="e">
        <f t="shared" ca="1" si="152"/>
        <v>#VALUE!</v>
      </c>
      <c r="AS47" s="2395"/>
      <c r="AT47" s="2388" t="str">
        <f t="shared" ca="1" si="172"/>
        <v/>
      </c>
      <c r="AU47" s="2388" t="b">
        <f t="shared" ca="1" si="153"/>
        <v>0</v>
      </c>
      <c r="AV47" s="2388" t="b">
        <f t="shared" si="9"/>
        <v>0</v>
      </c>
      <c r="AW47" s="2388" t="b">
        <f t="shared" si="154"/>
        <v>1</v>
      </c>
      <c r="AX47" s="2388">
        <f t="shared" ca="1" si="173"/>
        <v>0</v>
      </c>
      <c r="AY47" s="2394" t="e">
        <f ca="1">AR47/reliefs!$G$7*AX47*-1</f>
        <v>#VALUE!</v>
      </c>
      <c r="AZ47" s="2395"/>
      <c r="BA47" s="2394"/>
      <c r="BB47" s="2388"/>
      <c r="BC47" s="2388"/>
      <c r="BD47" s="2388"/>
      <c r="BE47" s="2388"/>
      <c r="BF47" s="2390"/>
      <c r="BG47" s="2388"/>
      <c r="BH47" s="2388"/>
      <c r="BI47" s="2388"/>
      <c r="BJ47" s="2388"/>
      <c r="BK47" s="2388"/>
      <c r="BL47" s="2388"/>
      <c r="BM47" s="2388"/>
      <c r="BN47" s="2388"/>
      <c r="BO47" s="2388"/>
      <c r="BP47" s="2388"/>
      <c r="BQ47" s="2388"/>
      <c r="BR47" s="2388"/>
      <c r="BS47" s="2388"/>
      <c r="BT47" s="2388"/>
      <c r="BU47" s="2388"/>
      <c r="BV47" s="2388"/>
      <c r="BW47" s="2388"/>
      <c r="BX47" s="2388"/>
      <c r="BY47" s="2388"/>
      <c r="BZ47" s="2388"/>
      <c r="CA47" s="2388"/>
      <c r="CB47" s="2388"/>
      <c r="CC47" s="2388"/>
      <c r="CD47" s="2388"/>
      <c r="CE47" s="2395"/>
      <c r="CF47" s="2395"/>
      <c r="CG47" s="2395"/>
    </row>
    <row r="48" spans="1:85" s="2396" customFormat="1" x14ac:dyDescent="0.35">
      <c r="A48" s="2388">
        <f t="shared" si="155"/>
        <v>6</v>
      </c>
      <c r="B48" s="2389">
        <f>IF(input_engine_o!$AE$21&gt;A47,VLOOKUP(A48,input_engine_o!$AE$23:$AI$35,2,FALSE),"")</f>
        <v>46113</v>
      </c>
      <c r="C48" s="2388">
        <f t="shared" si="156"/>
        <v>4</v>
      </c>
      <c r="D48" s="2389">
        <f t="shared" si="157"/>
        <v>46477</v>
      </c>
      <c r="E48" s="2390" t="str">
        <f>IF(B48="",E47,VLOOKUP(B48,input_engine_o!$B$23:$F$35,5,FALSE))</f>
        <v>nn</v>
      </c>
      <c r="F48" s="2389">
        <f t="shared" si="158"/>
        <v>46113</v>
      </c>
      <c r="G48" s="2389">
        <f t="shared" si="159"/>
        <v>46112</v>
      </c>
      <c r="H48" s="2390">
        <f t="shared" si="160"/>
        <v>0</v>
      </c>
      <c r="I48" s="2388">
        <f t="shared" ca="1" si="144"/>
        <v>0</v>
      </c>
      <c r="J48" s="2388">
        <f t="shared" ca="1" si="145"/>
        <v>0</v>
      </c>
      <c r="K48" s="2388">
        <f t="shared" si="146"/>
        <v>0</v>
      </c>
      <c r="L48" s="2388" t="str">
        <f>IF(input_engine_o!$AE$21&gt;A47,VLOOKUP(A48,input_engine_o!$AE$23:$AI$36,3,FALSE),"")</f>
        <v/>
      </c>
      <c r="M48" s="2390" t="str">
        <f t="shared" si="161"/>
        <v>up</v>
      </c>
      <c r="N48" s="2390">
        <f t="shared" si="174"/>
        <v>0</v>
      </c>
      <c r="O48" s="2390" t="e">
        <f t="shared" ca="1" si="147"/>
        <v>#VALUE!</v>
      </c>
      <c r="P48" s="2391">
        <f t="shared" si="162"/>
        <v>0.51900000000000002</v>
      </c>
      <c r="Q48" s="2388" t="e">
        <f t="shared" ca="1" si="163"/>
        <v>#VALUE!</v>
      </c>
      <c r="R48" s="2388" t="e">
        <f t="shared" ca="1" si="164"/>
        <v>#VALUE!</v>
      </c>
      <c r="S48" s="2392">
        <f>IF(input_engine_o!$AE$21&gt;A47,VLOOKUP(A48,input_engine_o!$AE$23:$AI$35,4,FALSE),0)</f>
        <v>1</v>
      </c>
      <c r="T48" s="2442" t="e">
        <f t="shared" ca="1" si="148"/>
        <v>#VALUE!</v>
      </c>
      <c r="U48" s="2388" t="b">
        <f t="shared" si="165"/>
        <v>0</v>
      </c>
      <c r="V48" s="2388" t="b">
        <f>advanced!$I$25="y"</f>
        <v>0</v>
      </c>
      <c r="W48" s="2388">
        <f>data!$D$36</f>
        <v>15000</v>
      </c>
      <c r="X48" s="2388" t="b">
        <f t="shared" si="26"/>
        <v>0</v>
      </c>
      <c r="Y48" s="2388" t="e">
        <f t="shared" si="166"/>
        <v>#VALUE!</v>
      </c>
      <c r="Z48" s="2388">
        <f t="shared" si="149"/>
        <v>0</v>
      </c>
      <c r="AA48" s="2390">
        <f>data!$G$56</f>
        <v>75000</v>
      </c>
      <c r="AB48" s="2390">
        <f>data!$F$56</f>
        <v>0.02</v>
      </c>
      <c r="AC48" s="2388" t="e">
        <f t="shared" si="167"/>
        <v>#VALUE!</v>
      </c>
      <c r="AD48" s="2388" t="e">
        <f>IF(B48="",0,(IF($AE$1=authorities!$I$1,0,IF(L48&gt;AE48,VLOOKUP($AD$1,authorities!A:H,C48+1,FALSE),0)))*L48/$CK$5*H48)</f>
        <v>#VALUE!</v>
      </c>
      <c r="AE48" s="2388">
        <f>IF($AE$1=authorities!$I$1,0,$AE$1)</f>
        <v>0</v>
      </c>
      <c r="AF48" s="2390" t="str">
        <f>IF(input_engine_o!$AE$21&gt;A47,VLOOKUP(A48,input_engine_o!$AE$23:$AI$35,5,FALSE),0)</f>
        <v>n</v>
      </c>
      <c r="AG48" s="2390">
        <f>data!$C$46</f>
        <v>2900</v>
      </c>
      <c r="AH48" s="2393">
        <f t="shared" si="168"/>
        <v>1</v>
      </c>
      <c r="AI48" s="2388">
        <f t="shared" si="169"/>
        <v>0</v>
      </c>
      <c r="AJ48" s="2388" t="b">
        <f t="shared" ca="1" si="170"/>
        <v>0</v>
      </c>
      <c r="AK48" s="2388"/>
      <c r="AL48" s="2388">
        <f t="shared" ca="1" si="171"/>
        <v>0</v>
      </c>
      <c r="AM48" s="2388"/>
      <c r="AN48" s="2388"/>
      <c r="AO48" s="2390">
        <f t="shared" si="150"/>
        <v>0</v>
      </c>
      <c r="AP48" s="2390">
        <f ca="1">SUM($AO$3:AO48)</f>
        <v>3</v>
      </c>
      <c r="AQ48" s="2390">
        <f t="shared" si="151"/>
        <v>365</v>
      </c>
      <c r="AR48" s="2388" t="e">
        <f t="shared" ca="1" si="152"/>
        <v>#VALUE!</v>
      </c>
      <c r="AS48" s="2395"/>
      <c r="AT48" s="2388" t="str">
        <f t="shared" ca="1" si="172"/>
        <v/>
      </c>
      <c r="AU48" s="2388" t="b">
        <f t="shared" ca="1" si="153"/>
        <v>0</v>
      </c>
      <c r="AV48" s="2388" t="b">
        <f t="shared" si="9"/>
        <v>0</v>
      </c>
      <c r="AW48" s="2388" t="b">
        <f t="shared" si="154"/>
        <v>1</v>
      </c>
      <c r="AX48" s="2388">
        <f t="shared" ca="1" si="173"/>
        <v>0</v>
      </c>
      <c r="AY48" s="2394" t="e">
        <f ca="1">AR48/reliefs!$G$7*AX48*-1</f>
        <v>#VALUE!</v>
      </c>
      <c r="AZ48" s="2395"/>
      <c r="BA48" s="2394"/>
      <c r="BB48" s="2388"/>
      <c r="BC48" s="2388"/>
      <c r="BD48" s="2388"/>
      <c r="BE48" s="2388"/>
      <c r="BF48" s="2390"/>
      <c r="BG48" s="2388"/>
      <c r="BH48" s="2388"/>
      <c r="BI48" s="2388"/>
      <c r="BJ48" s="2388"/>
      <c r="BK48" s="2388"/>
      <c r="BL48" s="2388"/>
      <c r="BM48" s="2388"/>
      <c r="BN48" s="2388"/>
      <c r="BO48" s="2388"/>
      <c r="BP48" s="2388"/>
      <c r="BQ48" s="2388"/>
      <c r="BR48" s="2388"/>
      <c r="BS48" s="2388"/>
      <c r="BT48" s="2388"/>
      <c r="BU48" s="2388"/>
      <c r="BV48" s="2388"/>
      <c r="BW48" s="2388"/>
      <c r="BX48" s="2388"/>
      <c r="BY48" s="2388"/>
      <c r="BZ48" s="2388"/>
      <c r="CA48" s="2388"/>
      <c r="CB48" s="2388"/>
      <c r="CC48" s="2388"/>
      <c r="CD48" s="2388"/>
      <c r="CE48" s="2395"/>
      <c r="CF48" s="2395"/>
      <c r="CG48" s="2395"/>
    </row>
    <row r="49" spans="1:85" s="2396" customFormat="1" x14ac:dyDescent="0.35">
      <c r="A49" s="2388">
        <f t="shared" si="155"/>
        <v>7</v>
      </c>
      <c r="B49" s="2389">
        <f>IF(input_engine_o!$AE$21&gt;A48,VLOOKUP(A49,input_engine_o!$AE$23:$AI$35,2,FALSE),"")</f>
        <v>46113</v>
      </c>
      <c r="C49" s="2388">
        <f t="shared" si="156"/>
        <v>4</v>
      </c>
      <c r="D49" s="2389">
        <f t="shared" si="157"/>
        <v>46477</v>
      </c>
      <c r="E49" s="2390" t="str">
        <f>IF(B49="",E48,VLOOKUP(B49,input_engine_o!$B$23:$F$35,5,FALSE))</f>
        <v>nn</v>
      </c>
      <c r="F49" s="2389">
        <f t="shared" si="158"/>
        <v>46113</v>
      </c>
      <c r="G49" s="2389">
        <f t="shared" si="159"/>
        <v>46112</v>
      </c>
      <c r="H49" s="2390">
        <f t="shared" si="160"/>
        <v>0</v>
      </c>
      <c r="I49" s="2388">
        <f t="shared" ca="1" si="144"/>
        <v>0</v>
      </c>
      <c r="J49" s="2388">
        <f t="shared" ca="1" si="145"/>
        <v>0</v>
      </c>
      <c r="K49" s="2388">
        <f t="shared" si="146"/>
        <v>0</v>
      </c>
      <c r="L49" s="2388" t="str">
        <f>IF(input_engine_o!$AE$21&gt;A48,VLOOKUP(A49,input_engine_o!$AE$23:$AI$36,3,FALSE),"")</f>
        <v/>
      </c>
      <c r="M49" s="2390" t="str">
        <f t="shared" si="161"/>
        <v>up</v>
      </c>
      <c r="N49" s="2390">
        <f t="shared" si="174"/>
        <v>0</v>
      </c>
      <c r="O49" s="2390" t="e">
        <f t="shared" ca="1" si="147"/>
        <v>#VALUE!</v>
      </c>
      <c r="P49" s="2391">
        <f t="shared" si="162"/>
        <v>0.51900000000000002</v>
      </c>
      <c r="Q49" s="2388" t="e">
        <f t="shared" ca="1" si="163"/>
        <v>#VALUE!</v>
      </c>
      <c r="R49" s="2388" t="e">
        <f t="shared" ca="1" si="164"/>
        <v>#VALUE!</v>
      </c>
      <c r="S49" s="2392">
        <f>IF(input_engine_o!$AE$21&gt;A48,VLOOKUP(A49,input_engine_o!$AE$23:$AI$35,4,FALSE),0)</f>
        <v>1</v>
      </c>
      <c r="T49" s="2442" t="e">
        <f t="shared" ca="1" si="148"/>
        <v>#VALUE!</v>
      </c>
      <c r="U49" s="2388" t="b">
        <f t="shared" si="165"/>
        <v>0</v>
      </c>
      <c r="V49" s="2388" t="b">
        <f>advanced!$I$25="y"</f>
        <v>0</v>
      </c>
      <c r="W49" s="2388">
        <f>data!$D$36</f>
        <v>15000</v>
      </c>
      <c r="X49" s="2388" t="b">
        <f t="shared" si="26"/>
        <v>0</v>
      </c>
      <c r="Y49" s="2388" t="e">
        <f t="shared" si="166"/>
        <v>#VALUE!</v>
      </c>
      <c r="Z49" s="2388">
        <f t="shared" si="149"/>
        <v>0</v>
      </c>
      <c r="AA49" s="2390">
        <f>data!$G$56</f>
        <v>75000</v>
      </c>
      <c r="AB49" s="2390">
        <f>data!$F$56</f>
        <v>0.02</v>
      </c>
      <c r="AC49" s="2388" t="e">
        <f t="shared" si="167"/>
        <v>#VALUE!</v>
      </c>
      <c r="AD49" s="2388" t="e">
        <f>IF(B49="",0,(IF($AE$1=authorities!$I$1,0,IF(L49&gt;AE49,VLOOKUP($AD$1,authorities!A:H,C49+1,FALSE),0)))*L49/$CK$5*H49)</f>
        <v>#VALUE!</v>
      </c>
      <c r="AE49" s="2388">
        <f>IF($AE$1=authorities!$I$1,0,$AE$1)</f>
        <v>0</v>
      </c>
      <c r="AF49" s="2390" t="str">
        <f>IF(input_engine_o!$AE$21&gt;A48,VLOOKUP(A49,input_engine_o!$AE$23:$AI$35,5,FALSE),0)</f>
        <v>n</v>
      </c>
      <c r="AG49" s="2390">
        <f>data!$C$46</f>
        <v>2900</v>
      </c>
      <c r="AH49" s="2393">
        <f t="shared" si="168"/>
        <v>1</v>
      </c>
      <c r="AI49" s="2388">
        <f t="shared" si="169"/>
        <v>0</v>
      </c>
      <c r="AJ49" s="2388" t="b">
        <f t="shared" ca="1" si="170"/>
        <v>0</v>
      </c>
      <c r="AK49" s="2388"/>
      <c r="AL49" s="2388">
        <f t="shared" ca="1" si="171"/>
        <v>0</v>
      </c>
      <c r="AM49" s="2388"/>
      <c r="AN49" s="2388"/>
      <c r="AO49" s="2390">
        <f t="shared" si="150"/>
        <v>0</v>
      </c>
      <c r="AP49" s="2390">
        <f ca="1">SUM($AO$3:AO49)</f>
        <v>3</v>
      </c>
      <c r="AQ49" s="2390">
        <f t="shared" si="151"/>
        <v>365</v>
      </c>
      <c r="AR49" s="2388" t="e">
        <f t="shared" ca="1" si="152"/>
        <v>#VALUE!</v>
      </c>
      <c r="AS49" s="2395"/>
      <c r="AT49" s="2388" t="str">
        <f t="shared" ca="1" si="172"/>
        <v/>
      </c>
      <c r="AU49" s="2388" t="b">
        <f t="shared" ca="1" si="153"/>
        <v>0</v>
      </c>
      <c r="AV49" s="2388" t="b">
        <f t="shared" si="9"/>
        <v>0</v>
      </c>
      <c r="AW49" s="2388" t="b">
        <f t="shared" si="154"/>
        <v>1</v>
      </c>
      <c r="AX49" s="2388">
        <f t="shared" ca="1" si="173"/>
        <v>0</v>
      </c>
      <c r="AY49" s="2394" t="e">
        <f ca="1">AR49/reliefs!$G$7*AX49*-1</f>
        <v>#VALUE!</v>
      </c>
      <c r="AZ49" s="2395"/>
      <c r="BA49" s="2394"/>
      <c r="BB49" s="2388"/>
      <c r="BC49" s="2388"/>
      <c r="BD49" s="2388"/>
      <c r="BE49" s="2388"/>
      <c r="BF49" s="2390"/>
      <c r="BG49" s="2388"/>
      <c r="BH49" s="2388"/>
      <c r="BI49" s="2388"/>
      <c r="BJ49" s="2388"/>
      <c r="BK49" s="2388"/>
      <c r="BL49" s="2388"/>
      <c r="BM49" s="2388"/>
      <c r="BN49" s="2388"/>
      <c r="BO49" s="2388"/>
      <c r="BP49" s="2388"/>
      <c r="BQ49" s="2388"/>
      <c r="BR49" s="2388"/>
      <c r="BS49" s="2388"/>
      <c r="BT49" s="2388"/>
      <c r="BU49" s="2388"/>
      <c r="BV49" s="2388"/>
      <c r="BW49" s="2388"/>
      <c r="BX49" s="2388"/>
      <c r="BY49" s="2388"/>
      <c r="BZ49" s="2388"/>
      <c r="CA49" s="2388"/>
      <c r="CB49" s="2388"/>
      <c r="CC49" s="2388"/>
      <c r="CD49" s="2388"/>
      <c r="CE49" s="2395"/>
      <c r="CF49" s="2395"/>
      <c r="CG49" s="2395"/>
    </row>
    <row r="50" spans="1:85" s="2396" customFormat="1" x14ac:dyDescent="0.35">
      <c r="A50" s="2388">
        <f t="shared" si="155"/>
        <v>8</v>
      </c>
      <c r="B50" s="2389">
        <f>IF(input_engine_o!$AE$21&gt;A49,VLOOKUP(A50,input_engine_o!$AE$23:$AI$35,2,FALSE),"")</f>
        <v>46113</v>
      </c>
      <c r="C50" s="2388">
        <f t="shared" si="156"/>
        <v>4</v>
      </c>
      <c r="D50" s="2389">
        <f t="shared" si="157"/>
        <v>46477</v>
      </c>
      <c r="E50" s="2390" t="str">
        <f>IF(B50="",E49,VLOOKUP(B50,input_engine_o!$B$23:$F$35,5,FALSE))</f>
        <v>nn</v>
      </c>
      <c r="F50" s="2389">
        <f t="shared" si="158"/>
        <v>46113</v>
      </c>
      <c r="G50" s="2389">
        <f t="shared" si="159"/>
        <v>46112</v>
      </c>
      <c r="H50" s="2390">
        <f t="shared" si="160"/>
        <v>0</v>
      </c>
      <c r="I50" s="2388">
        <f t="shared" ca="1" si="144"/>
        <v>0</v>
      </c>
      <c r="J50" s="2388">
        <f t="shared" ca="1" si="145"/>
        <v>0</v>
      </c>
      <c r="K50" s="2388">
        <f t="shared" si="146"/>
        <v>0</v>
      </c>
      <c r="L50" s="2388" t="str">
        <f>IF(input_engine_o!$AE$21&gt;A49,VLOOKUP(A50,input_engine_o!$AE$23:$AI$36,3,FALSE),"")</f>
        <v/>
      </c>
      <c r="M50" s="2390" t="str">
        <f t="shared" si="161"/>
        <v>up</v>
      </c>
      <c r="N50" s="2390">
        <f t="shared" si="174"/>
        <v>0</v>
      </c>
      <c r="O50" s="2390" t="e">
        <f t="shared" ca="1" si="147"/>
        <v>#VALUE!</v>
      </c>
      <c r="P50" s="2391">
        <f t="shared" si="162"/>
        <v>0.51900000000000002</v>
      </c>
      <c r="Q50" s="2388" t="e">
        <f t="shared" ca="1" si="163"/>
        <v>#VALUE!</v>
      </c>
      <c r="R50" s="2388" t="e">
        <f t="shared" ca="1" si="164"/>
        <v>#VALUE!</v>
      </c>
      <c r="S50" s="2392">
        <f>IF(input_engine_o!$AE$21&gt;A49,VLOOKUP(A50,input_engine_o!$AE$23:$AI$35,4,FALSE),0)</f>
        <v>1</v>
      </c>
      <c r="T50" s="2442" t="e">
        <f t="shared" ca="1" si="148"/>
        <v>#VALUE!</v>
      </c>
      <c r="U50" s="2388" t="b">
        <f t="shared" si="165"/>
        <v>0</v>
      </c>
      <c r="V50" s="2388" t="b">
        <f>advanced!$I$25="y"</f>
        <v>0</v>
      </c>
      <c r="W50" s="2388">
        <f>data!$D$36</f>
        <v>15000</v>
      </c>
      <c r="X50" s="2388" t="b">
        <f t="shared" si="26"/>
        <v>0</v>
      </c>
      <c r="Y50" s="2388" t="e">
        <f t="shared" si="166"/>
        <v>#VALUE!</v>
      </c>
      <c r="Z50" s="2388">
        <f t="shared" si="149"/>
        <v>0</v>
      </c>
      <c r="AA50" s="2390">
        <f>data!$G$56</f>
        <v>75000</v>
      </c>
      <c r="AB50" s="2390">
        <f>data!$F$56</f>
        <v>0.02</v>
      </c>
      <c r="AC50" s="2388" t="e">
        <f t="shared" si="167"/>
        <v>#VALUE!</v>
      </c>
      <c r="AD50" s="2388" t="e">
        <f>IF(B50="",0,(IF($AE$1=authorities!$I$1,0,IF(L50&gt;AE50,VLOOKUP($AD$1,authorities!A:H,C50+1,FALSE),0)))*L50/$CK$5*H50)</f>
        <v>#VALUE!</v>
      </c>
      <c r="AE50" s="2388">
        <f>IF($AE$1=authorities!$I$1,0,$AE$1)</f>
        <v>0</v>
      </c>
      <c r="AF50" s="2390" t="str">
        <f>IF(input_engine_o!$AE$21&gt;A49,VLOOKUP(A50,input_engine_o!$AE$23:$AI$35,5,FALSE),0)</f>
        <v>n</v>
      </c>
      <c r="AG50" s="2390">
        <f>data!$C$46</f>
        <v>2900</v>
      </c>
      <c r="AH50" s="2393">
        <f t="shared" si="168"/>
        <v>1</v>
      </c>
      <c r="AI50" s="2388">
        <f t="shared" si="169"/>
        <v>0</v>
      </c>
      <c r="AJ50" s="2388" t="b">
        <f t="shared" ca="1" si="170"/>
        <v>0</v>
      </c>
      <c r="AK50" s="2388"/>
      <c r="AL50" s="2388">
        <f t="shared" ca="1" si="171"/>
        <v>0</v>
      </c>
      <c r="AM50" s="2388"/>
      <c r="AN50" s="2388"/>
      <c r="AO50" s="2390">
        <f t="shared" si="150"/>
        <v>0</v>
      </c>
      <c r="AP50" s="2390">
        <f ca="1">SUM($AO$3:AO50)</f>
        <v>3</v>
      </c>
      <c r="AQ50" s="2390">
        <f t="shared" si="151"/>
        <v>365</v>
      </c>
      <c r="AR50" s="2388" t="e">
        <f t="shared" ca="1" si="152"/>
        <v>#VALUE!</v>
      </c>
      <c r="AS50" s="2395"/>
      <c r="AT50" s="2388" t="str">
        <f t="shared" ca="1" si="172"/>
        <v/>
      </c>
      <c r="AU50" s="2388" t="b">
        <f t="shared" ca="1" si="153"/>
        <v>0</v>
      </c>
      <c r="AV50" s="2388" t="b">
        <f t="shared" si="9"/>
        <v>0</v>
      </c>
      <c r="AW50" s="2388" t="b">
        <f t="shared" si="154"/>
        <v>1</v>
      </c>
      <c r="AX50" s="2388">
        <f t="shared" ca="1" si="173"/>
        <v>0</v>
      </c>
      <c r="AY50" s="2394" t="e">
        <f ca="1">AR50/reliefs!$G$7*AX50*-1</f>
        <v>#VALUE!</v>
      </c>
      <c r="AZ50" s="2395"/>
      <c r="BA50" s="2394"/>
      <c r="BB50" s="2388"/>
      <c r="BC50" s="2388"/>
      <c r="BD50" s="2388"/>
      <c r="BE50" s="2388"/>
      <c r="BF50" s="2390"/>
      <c r="BG50" s="2388"/>
      <c r="BH50" s="2388"/>
      <c r="BI50" s="2388"/>
      <c r="BJ50" s="2388"/>
      <c r="BK50" s="2388"/>
      <c r="BL50" s="2388"/>
      <c r="BM50" s="2388"/>
      <c r="BN50" s="2388"/>
      <c r="BO50" s="2388"/>
      <c r="BP50" s="2388"/>
      <c r="BQ50" s="2388"/>
      <c r="BR50" s="2388"/>
      <c r="BS50" s="2388"/>
      <c r="BT50" s="2388"/>
      <c r="BU50" s="2388"/>
      <c r="BV50" s="2388"/>
      <c r="BW50" s="2388"/>
      <c r="BX50" s="2388"/>
      <c r="BY50" s="2388"/>
      <c r="BZ50" s="2388"/>
      <c r="CA50" s="2388"/>
      <c r="CB50" s="2388"/>
      <c r="CC50" s="2388"/>
      <c r="CD50" s="2388"/>
      <c r="CE50" s="2395"/>
      <c r="CF50" s="2395"/>
      <c r="CG50" s="2395"/>
    </row>
    <row r="51" spans="1:85" s="2396" customFormat="1" x14ac:dyDescent="0.35">
      <c r="A51" s="2388">
        <f t="shared" si="155"/>
        <v>9</v>
      </c>
      <c r="B51" s="2389">
        <f>IF(input_engine_o!$AE$21&gt;A50,VLOOKUP(A51,input_engine_o!$AE$23:$AI$35,2,FALSE),"")</f>
        <v>46113</v>
      </c>
      <c r="C51" s="2388">
        <f t="shared" si="156"/>
        <v>4</v>
      </c>
      <c r="D51" s="2389">
        <f t="shared" si="157"/>
        <v>46477</v>
      </c>
      <c r="E51" s="2390" t="str">
        <f>IF(B51="",E50,VLOOKUP(B51,input_engine_o!$B$23:$F$35,5,FALSE))</f>
        <v>nn</v>
      </c>
      <c r="F51" s="2389">
        <f t="shared" si="158"/>
        <v>46113</v>
      </c>
      <c r="G51" s="2389">
        <f t="shared" si="159"/>
        <v>46112</v>
      </c>
      <c r="H51" s="2390">
        <f t="shared" si="160"/>
        <v>0</v>
      </c>
      <c r="I51" s="2388">
        <f t="shared" ca="1" si="144"/>
        <v>0</v>
      </c>
      <c r="J51" s="2388">
        <f t="shared" ca="1" si="145"/>
        <v>0</v>
      </c>
      <c r="K51" s="2388">
        <f t="shared" si="146"/>
        <v>0</v>
      </c>
      <c r="L51" s="2388" t="str">
        <f>IF(input_engine_o!$AE$21&gt;A50,VLOOKUP(A51,input_engine_o!$AE$23:$AI$36,3,FALSE),"")</f>
        <v/>
      </c>
      <c r="M51" s="2390" t="str">
        <f t="shared" si="161"/>
        <v>up</v>
      </c>
      <c r="N51" s="2390">
        <f t="shared" si="174"/>
        <v>0</v>
      </c>
      <c r="O51" s="2390" t="e">
        <f t="shared" ca="1" si="147"/>
        <v>#VALUE!</v>
      </c>
      <c r="P51" s="2391">
        <f t="shared" si="162"/>
        <v>0.51900000000000002</v>
      </c>
      <c r="Q51" s="2388" t="e">
        <f t="shared" ca="1" si="163"/>
        <v>#VALUE!</v>
      </c>
      <c r="R51" s="2388" t="e">
        <f t="shared" ca="1" si="164"/>
        <v>#VALUE!</v>
      </c>
      <c r="S51" s="2392">
        <f>IF(input_engine_o!$AE$21&gt;A50,VLOOKUP(A51,input_engine_o!$AE$23:$AI$35,4,FALSE),0)</f>
        <v>1</v>
      </c>
      <c r="T51" s="2442" t="e">
        <f t="shared" ca="1" si="148"/>
        <v>#VALUE!</v>
      </c>
      <c r="U51" s="2388" t="b">
        <f t="shared" si="165"/>
        <v>0</v>
      </c>
      <c r="V51" s="2388" t="b">
        <f>advanced!$I$25="y"</f>
        <v>0</v>
      </c>
      <c r="W51" s="2388">
        <f>data!$D$36</f>
        <v>15000</v>
      </c>
      <c r="X51" s="2388" t="b">
        <f t="shared" si="26"/>
        <v>0</v>
      </c>
      <c r="Y51" s="2388" t="e">
        <f t="shared" si="166"/>
        <v>#VALUE!</v>
      </c>
      <c r="Z51" s="2388">
        <f t="shared" si="149"/>
        <v>0</v>
      </c>
      <c r="AA51" s="2390">
        <f>data!$G$56</f>
        <v>75000</v>
      </c>
      <c r="AB51" s="2390">
        <f>data!$F$56</f>
        <v>0.02</v>
      </c>
      <c r="AC51" s="2388" t="e">
        <f t="shared" si="167"/>
        <v>#VALUE!</v>
      </c>
      <c r="AD51" s="2388" t="e">
        <f>IF(B51="",0,(IF($AE$1=authorities!$I$1,0,IF(L51&gt;AE51,VLOOKUP($AD$1,authorities!A:H,C51+1,FALSE),0)))*L51/$CK$5*H51)</f>
        <v>#VALUE!</v>
      </c>
      <c r="AE51" s="2388">
        <f>IF($AE$1=authorities!$I$1,0,$AE$1)</f>
        <v>0</v>
      </c>
      <c r="AF51" s="2390" t="str">
        <f>IF(input_engine_o!$AE$21&gt;A50,VLOOKUP(A51,input_engine_o!$AE$23:$AI$35,5,FALSE),0)</f>
        <v>n</v>
      </c>
      <c r="AG51" s="2390">
        <f>data!$C$46</f>
        <v>2900</v>
      </c>
      <c r="AH51" s="2393">
        <f t="shared" si="168"/>
        <v>1</v>
      </c>
      <c r="AI51" s="2388">
        <f t="shared" si="169"/>
        <v>0</v>
      </c>
      <c r="AJ51" s="2388" t="b">
        <f t="shared" ca="1" si="170"/>
        <v>0</v>
      </c>
      <c r="AK51" s="2388"/>
      <c r="AL51" s="2388">
        <f t="shared" ca="1" si="171"/>
        <v>0</v>
      </c>
      <c r="AM51" s="2388"/>
      <c r="AN51" s="2388"/>
      <c r="AO51" s="2390">
        <f t="shared" si="150"/>
        <v>0</v>
      </c>
      <c r="AP51" s="2390">
        <f ca="1">SUM($AO$3:AO51)</f>
        <v>3</v>
      </c>
      <c r="AQ51" s="2390">
        <f t="shared" si="151"/>
        <v>365</v>
      </c>
      <c r="AR51" s="2388" t="e">
        <f t="shared" ca="1" si="152"/>
        <v>#VALUE!</v>
      </c>
      <c r="AS51" s="2395"/>
      <c r="AT51" s="2388" t="str">
        <f t="shared" ca="1" si="172"/>
        <v/>
      </c>
      <c r="AU51" s="2388" t="b">
        <f t="shared" ca="1" si="153"/>
        <v>0</v>
      </c>
      <c r="AV51" s="2388" t="b">
        <f t="shared" si="9"/>
        <v>0</v>
      </c>
      <c r="AW51" s="2388" t="b">
        <f t="shared" si="154"/>
        <v>1</v>
      </c>
      <c r="AX51" s="2388">
        <f t="shared" ca="1" si="173"/>
        <v>0</v>
      </c>
      <c r="AY51" s="2394" t="e">
        <f ca="1">AR51/reliefs!$G$7*AX51*-1</f>
        <v>#VALUE!</v>
      </c>
      <c r="AZ51" s="2395"/>
      <c r="BA51" s="2394"/>
      <c r="BB51" s="2388"/>
      <c r="BC51" s="2388"/>
      <c r="BD51" s="2388"/>
      <c r="BE51" s="2388"/>
      <c r="BF51" s="2390"/>
      <c r="BG51" s="2388"/>
      <c r="BH51" s="2388"/>
      <c r="BI51" s="2388"/>
      <c r="BJ51" s="2388"/>
      <c r="BK51" s="2388"/>
      <c r="BL51" s="2388"/>
      <c r="BM51" s="2388"/>
      <c r="BN51" s="2388"/>
      <c r="BO51" s="2388"/>
      <c r="BP51" s="2388"/>
      <c r="BQ51" s="2388"/>
      <c r="BR51" s="2388"/>
      <c r="BS51" s="2388"/>
      <c r="BT51" s="2388"/>
      <c r="BU51" s="2388"/>
      <c r="BV51" s="2388"/>
      <c r="BW51" s="2388"/>
      <c r="BX51" s="2388"/>
      <c r="BY51" s="2388"/>
      <c r="BZ51" s="2388"/>
      <c r="CA51" s="2388"/>
      <c r="CB51" s="2388"/>
      <c r="CC51" s="2388"/>
      <c r="CD51" s="2388"/>
      <c r="CE51" s="2395"/>
      <c r="CF51" s="2395"/>
      <c r="CG51" s="2395"/>
    </row>
    <row r="52" spans="1:85" s="2396" customFormat="1" x14ac:dyDescent="0.35">
      <c r="A52" s="2388">
        <f t="shared" si="155"/>
        <v>10</v>
      </c>
      <c r="B52" s="2389">
        <f>IF(input_engine_o!$AE$21&gt;A51,VLOOKUP(A52,input_engine_o!$AE$23:$AI$35,2,FALSE),"")</f>
        <v>46113</v>
      </c>
      <c r="C52" s="2388">
        <f t="shared" si="156"/>
        <v>4</v>
      </c>
      <c r="D52" s="2389">
        <f t="shared" si="157"/>
        <v>46477</v>
      </c>
      <c r="E52" s="2390" t="str">
        <f>IF(B52="",E51,VLOOKUP(B52,input_engine_o!$B$23:$F$35,5,FALSE))</f>
        <v>nn</v>
      </c>
      <c r="F52" s="2389">
        <f t="shared" si="158"/>
        <v>46113</v>
      </c>
      <c r="G52" s="2389">
        <f t="shared" si="159"/>
        <v>46112</v>
      </c>
      <c r="H52" s="2390">
        <f t="shared" si="160"/>
        <v>0</v>
      </c>
      <c r="I52" s="2388">
        <f t="shared" ca="1" si="144"/>
        <v>0</v>
      </c>
      <c r="J52" s="2388">
        <f t="shared" ca="1" si="145"/>
        <v>0</v>
      </c>
      <c r="K52" s="2388">
        <f t="shared" si="146"/>
        <v>0</v>
      </c>
      <c r="L52" s="2388" t="str">
        <f>IF(input_engine_o!$AE$21&gt;A51,VLOOKUP(A52,input_engine_o!$AE$23:$AI$36,3,FALSE),"")</f>
        <v/>
      </c>
      <c r="M52" s="2390" t="str">
        <f t="shared" si="161"/>
        <v>up</v>
      </c>
      <c r="N52" s="2390">
        <f t="shared" si="174"/>
        <v>0</v>
      </c>
      <c r="O52" s="2390" t="e">
        <f t="shared" ca="1" si="147"/>
        <v>#VALUE!</v>
      </c>
      <c r="P52" s="2391">
        <f t="shared" si="162"/>
        <v>0.51900000000000002</v>
      </c>
      <c r="Q52" s="2388" t="e">
        <f t="shared" ca="1" si="163"/>
        <v>#VALUE!</v>
      </c>
      <c r="R52" s="2388" t="e">
        <f t="shared" ca="1" si="164"/>
        <v>#VALUE!</v>
      </c>
      <c r="S52" s="2392">
        <f>IF(input_engine_o!$AE$21&gt;A51,VLOOKUP(A52,input_engine_o!$AE$23:$AI$35,4,FALSE),0)</f>
        <v>1</v>
      </c>
      <c r="T52" s="2442" t="e">
        <f t="shared" ca="1" si="148"/>
        <v>#VALUE!</v>
      </c>
      <c r="U52" s="2388" t="b">
        <f t="shared" si="165"/>
        <v>0</v>
      </c>
      <c r="V52" s="2388" t="b">
        <f>advanced!$I$25="y"</f>
        <v>0</v>
      </c>
      <c r="W52" s="2388">
        <f>data!$D$36</f>
        <v>15000</v>
      </c>
      <c r="X52" s="2388" t="b">
        <f t="shared" si="26"/>
        <v>0</v>
      </c>
      <c r="Y52" s="2388" t="e">
        <f t="shared" si="166"/>
        <v>#VALUE!</v>
      </c>
      <c r="Z52" s="2388">
        <f t="shared" si="149"/>
        <v>0</v>
      </c>
      <c r="AA52" s="2390">
        <f>data!$G$56</f>
        <v>75000</v>
      </c>
      <c r="AB52" s="2390">
        <f>data!$F$56</f>
        <v>0.02</v>
      </c>
      <c r="AC52" s="2388" t="e">
        <f t="shared" si="167"/>
        <v>#VALUE!</v>
      </c>
      <c r="AD52" s="2388" t="e">
        <f>IF(B52="",0,(IF($AE$1=authorities!$I$1,0,IF(L52&gt;AE52,VLOOKUP($AD$1,authorities!A:H,C52+1,FALSE),0)))*L52/$CK$5*H52)</f>
        <v>#VALUE!</v>
      </c>
      <c r="AE52" s="2388">
        <f>IF($AE$1=authorities!$I$1,0,$AE$1)</f>
        <v>0</v>
      </c>
      <c r="AF52" s="2390" t="str">
        <f>IF(input_engine_o!$AE$21&gt;A51,VLOOKUP(A52,input_engine_o!$AE$23:$AI$35,5,FALSE),0)</f>
        <v>n</v>
      </c>
      <c r="AG52" s="2390">
        <f>data!$C$46</f>
        <v>2900</v>
      </c>
      <c r="AH52" s="2393">
        <f t="shared" si="168"/>
        <v>1</v>
      </c>
      <c r="AI52" s="2388">
        <f t="shared" si="169"/>
        <v>0</v>
      </c>
      <c r="AJ52" s="2388" t="b">
        <f t="shared" ca="1" si="170"/>
        <v>0</v>
      </c>
      <c r="AK52" s="2388"/>
      <c r="AL52" s="2388">
        <f t="shared" ca="1" si="171"/>
        <v>0</v>
      </c>
      <c r="AM52" s="2388"/>
      <c r="AN52" s="2388"/>
      <c r="AO52" s="2390">
        <f t="shared" si="150"/>
        <v>0</v>
      </c>
      <c r="AP52" s="2390">
        <f ca="1">SUM($AO$3:AO52)</f>
        <v>3</v>
      </c>
      <c r="AQ52" s="2390">
        <f t="shared" si="151"/>
        <v>365</v>
      </c>
      <c r="AR52" s="2388" t="e">
        <f t="shared" ca="1" si="152"/>
        <v>#VALUE!</v>
      </c>
      <c r="AS52" s="2395"/>
      <c r="AT52" s="2388" t="str">
        <f t="shared" ca="1" si="172"/>
        <v/>
      </c>
      <c r="AU52" s="2388" t="b">
        <f t="shared" ca="1" si="153"/>
        <v>0</v>
      </c>
      <c r="AV52" s="2388" t="b">
        <f t="shared" si="9"/>
        <v>0</v>
      </c>
      <c r="AW52" s="2388" t="b">
        <f t="shared" si="154"/>
        <v>1</v>
      </c>
      <c r="AX52" s="2388">
        <f t="shared" ca="1" si="173"/>
        <v>0</v>
      </c>
      <c r="AY52" s="2394" t="e">
        <f ca="1">AR52/reliefs!$G$7*AX52*-1</f>
        <v>#VALUE!</v>
      </c>
      <c r="AZ52" s="2395"/>
      <c r="BA52" s="2394"/>
      <c r="BB52" s="2388"/>
      <c r="BC52" s="2388"/>
      <c r="BD52" s="2388"/>
      <c r="BE52" s="2388"/>
      <c r="BF52" s="2390"/>
      <c r="BG52" s="2388"/>
      <c r="BH52" s="2388"/>
      <c r="BI52" s="2388"/>
      <c r="BJ52" s="2388"/>
      <c r="BK52" s="2388"/>
      <c r="BL52" s="2388"/>
      <c r="BM52" s="2388"/>
      <c r="BN52" s="2388"/>
      <c r="BO52" s="2388"/>
      <c r="BP52" s="2388"/>
      <c r="BQ52" s="2388"/>
      <c r="BR52" s="2388"/>
      <c r="BS52" s="2388"/>
      <c r="BT52" s="2388"/>
      <c r="BU52" s="2388"/>
      <c r="BV52" s="2388"/>
      <c r="BW52" s="2388"/>
      <c r="BX52" s="2388"/>
      <c r="BY52" s="2388"/>
      <c r="BZ52" s="2388"/>
      <c r="CA52" s="2388"/>
      <c r="CB52" s="2388"/>
      <c r="CC52" s="2388"/>
      <c r="CD52" s="2388"/>
      <c r="CE52" s="2395"/>
      <c r="CF52" s="2395"/>
      <c r="CG52" s="2395"/>
    </row>
    <row r="53" spans="1:85" s="2396" customFormat="1" x14ac:dyDescent="0.35">
      <c r="A53" s="2388">
        <f t="shared" si="155"/>
        <v>11</v>
      </c>
      <c r="B53" s="2389">
        <f>IF(input_engine_o!$AE$21&gt;A52,VLOOKUP(A53,input_engine_o!$AE$23:$AI$35,2,FALSE),"")</f>
        <v>46113</v>
      </c>
      <c r="C53" s="2388">
        <f t="shared" si="156"/>
        <v>4</v>
      </c>
      <c r="D53" s="2389">
        <f t="shared" si="157"/>
        <v>46477</v>
      </c>
      <c r="E53" s="2390" t="str">
        <f>IF(B53="",E52,VLOOKUP(B53,input_engine_o!$B$23:$F$35,5,FALSE))</f>
        <v>nn</v>
      </c>
      <c r="F53" s="2389">
        <f t="shared" si="158"/>
        <v>46113</v>
      </c>
      <c r="G53" s="2389" t="e">
        <f>IF(B53="","",IF(#REF!=C53,#REF!-1,D53))</f>
        <v>#REF!</v>
      </c>
      <c r="H53" s="2390" t="e">
        <f t="shared" si="160"/>
        <v>#REF!</v>
      </c>
      <c r="I53" s="2388">
        <f t="shared" ca="1" si="144"/>
        <v>0</v>
      </c>
      <c r="J53" s="2388">
        <f t="shared" ca="1" si="145"/>
        <v>0</v>
      </c>
      <c r="K53" s="2388">
        <f t="shared" si="146"/>
        <v>0</v>
      </c>
      <c r="L53" s="2388" t="str">
        <f>IF(input_engine_o!$AE$21&gt;A52,VLOOKUP(A53,input_engine_o!$AE$23:$AI$36,3,FALSE),"")</f>
        <v/>
      </c>
      <c r="M53" s="2390" t="str">
        <f t="shared" si="161"/>
        <v>up</v>
      </c>
      <c r="N53" s="2390">
        <f t="shared" si="174"/>
        <v>0</v>
      </c>
      <c r="O53" s="2390" t="e">
        <f t="shared" ca="1" si="147"/>
        <v>#REF!</v>
      </c>
      <c r="P53" s="2391">
        <f t="shared" si="162"/>
        <v>0.51900000000000002</v>
      </c>
      <c r="Q53" s="2388" t="e">
        <f t="shared" ca="1" si="163"/>
        <v>#REF!</v>
      </c>
      <c r="R53" s="2388" t="e">
        <f t="shared" ca="1" si="164"/>
        <v>#REF!</v>
      </c>
      <c r="S53" s="2392">
        <f>IF(input_engine_o!$AE$21&gt;A52,VLOOKUP(A53,input_engine_o!$AE$23:$AI$35,4,FALSE),0)</f>
        <v>1</v>
      </c>
      <c r="T53" s="2442" t="e">
        <f t="shared" ca="1" si="148"/>
        <v>#REF!</v>
      </c>
      <c r="U53" s="2388" t="b">
        <f t="shared" si="165"/>
        <v>0</v>
      </c>
      <c r="V53" s="2388" t="b">
        <f>advanced!$I$25="y"</f>
        <v>0</v>
      </c>
      <c r="W53" s="2388">
        <f>data!$D$36</f>
        <v>15000</v>
      </c>
      <c r="X53" s="2388" t="b">
        <f t="shared" si="26"/>
        <v>0</v>
      </c>
      <c r="Y53" s="2388" t="e">
        <f t="shared" si="166"/>
        <v>#VALUE!</v>
      </c>
      <c r="Z53" s="2388">
        <f t="shared" si="149"/>
        <v>0</v>
      </c>
      <c r="AA53" s="2390">
        <f>data!$G$56</f>
        <v>75000</v>
      </c>
      <c r="AB53" s="2390">
        <f>data!$F$56</f>
        <v>0.02</v>
      </c>
      <c r="AC53" s="2388" t="e">
        <f t="shared" si="167"/>
        <v>#VALUE!</v>
      </c>
      <c r="AD53" s="2388" t="e">
        <f>IF(B53="",0,(IF($AE$1=authorities!$I$1,0,IF(L53&gt;AE53,VLOOKUP($AD$1,authorities!A:H,C53+1,FALSE),0)))*L53/$CK$5*H53)</f>
        <v>#VALUE!</v>
      </c>
      <c r="AE53" s="2388">
        <f>IF($AE$1=authorities!$I$1,0,$AE$1)</f>
        <v>0</v>
      </c>
      <c r="AF53" s="2390" t="str">
        <f>IF(input_engine_o!$AE$21&gt;A52,VLOOKUP(A53,input_engine_o!$AE$23:$AI$35,5,FALSE),0)</f>
        <v>n</v>
      </c>
      <c r="AG53" s="2390">
        <f>data!$C$46</f>
        <v>2900</v>
      </c>
      <c r="AH53" s="2393">
        <f t="shared" si="168"/>
        <v>1</v>
      </c>
      <c r="AI53" s="2388">
        <f t="shared" si="169"/>
        <v>0</v>
      </c>
      <c r="AJ53" s="2388" t="b">
        <f t="shared" ca="1" si="170"/>
        <v>0</v>
      </c>
      <c r="AK53" s="2388"/>
      <c r="AL53" s="2388" t="e">
        <f t="shared" ca="1" si="171"/>
        <v>#REF!</v>
      </c>
      <c r="AM53" s="2388"/>
      <c r="AN53" s="2388"/>
      <c r="AO53" s="2390">
        <f t="shared" si="150"/>
        <v>0</v>
      </c>
      <c r="AP53" s="2390">
        <f ca="1">SUM($AO$3:AO53)</f>
        <v>3</v>
      </c>
      <c r="AQ53" s="2390">
        <f t="shared" si="151"/>
        <v>365</v>
      </c>
      <c r="AR53" s="2388" t="e">
        <f t="shared" ca="1" si="152"/>
        <v>#REF!</v>
      </c>
      <c r="AS53" s="2395"/>
      <c r="AT53" s="2388" t="str">
        <f t="shared" ca="1" si="172"/>
        <v/>
      </c>
      <c r="AU53" s="2388" t="b">
        <f t="shared" ca="1" si="153"/>
        <v>0</v>
      </c>
      <c r="AV53" s="2388" t="b">
        <f t="shared" si="9"/>
        <v>0</v>
      </c>
      <c r="AW53" s="2388" t="b">
        <f t="shared" si="154"/>
        <v>1</v>
      </c>
      <c r="AX53" s="2388">
        <f t="shared" ca="1" si="173"/>
        <v>0</v>
      </c>
      <c r="AY53" s="2394" t="e">
        <f ca="1">AR53/reliefs!$G$7*AX53*-1</f>
        <v>#REF!</v>
      </c>
      <c r="AZ53" s="2395"/>
      <c r="BA53" s="2394"/>
      <c r="BB53" s="2388"/>
      <c r="BC53" s="2388"/>
      <c r="BD53" s="2388"/>
      <c r="BE53" s="2388"/>
      <c r="BF53" s="2390"/>
      <c r="BG53" s="2388"/>
      <c r="BH53" s="2388"/>
      <c r="BI53" s="2388"/>
      <c r="BJ53" s="2388"/>
      <c r="BK53" s="2388"/>
      <c r="BL53" s="2388"/>
      <c r="BM53" s="2388"/>
      <c r="BN53" s="2388"/>
      <c r="BO53" s="2388"/>
      <c r="BP53" s="2388"/>
      <c r="BQ53" s="2388"/>
      <c r="BR53" s="2388"/>
      <c r="BS53" s="2388"/>
      <c r="BT53" s="2388"/>
      <c r="BU53" s="2388"/>
      <c r="BV53" s="2388"/>
      <c r="BW53" s="2388"/>
      <c r="BX53" s="2388"/>
      <c r="BY53" s="2388"/>
      <c r="BZ53" s="2388"/>
      <c r="CA53" s="2388"/>
      <c r="CB53" s="2388"/>
      <c r="CC53" s="2388"/>
      <c r="CD53" s="2388"/>
      <c r="CE53" s="2395"/>
      <c r="CF53" s="2395"/>
      <c r="CG53" s="2395"/>
    </row>
    <row r="54" spans="1:85" customFormat="1" x14ac:dyDescent="0.35">
      <c r="P54" s="1042"/>
      <c r="T54" s="2445" t="e">
        <f ca="1">ROUND(SUM(T42:T53),2)</f>
        <v>#VALUE!</v>
      </c>
      <c r="U54" s="1008">
        <f ca="1">U42+U43+U44+U45+U46+U47+U48+U49+U50+U51+U52+U53</f>
        <v>0</v>
      </c>
      <c r="AI54" s="1009">
        <f ca="1">SUM(AI42:AI53)</f>
        <v>0</v>
      </c>
      <c r="AJ54" s="1002">
        <f ca="1">AJ53+AJ52+AJ51+AJ50+AJ49+AJ48+AJ47+AJ46+AJ45+AJ44+AJ43+AJ42</f>
        <v>0</v>
      </c>
      <c r="AK54" s="997" t="str">
        <f ca="1">IF(AJ54=12,"Phased",IF(AJ54=0,"True","***"))</f>
        <v>True</v>
      </c>
      <c r="AL54" s="1002" t="e">
        <f ca="1">SUM(AL42:AL53)</f>
        <v>#REF!</v>
      </c>
      <c r="AM54" s="1010" t="e">
        <f ca="1">IF(AL54&lt;1,AL54,INT(AL54))</f>
        <v>#REF!</v>
      </c>
      <c r="AN54" s="1010" t="e">
        <f ca="1">IF(AL54-AM54&lt;&gt;0,"N/J + T",IF(AND(0&lt;AL54,AL54&lt;1),"P + T",IF(AL54&gt;=1,"N/J","")))</f>
        <v>#REF!</v>
      </c>
      <c r="AO54" s="5"/>
      <c r="AP54" s="1002">
        <f ca="1">SUM($AO$3:AO54)</f>
        <v>3</v>
      </c>
      <c r="AQ54" s="5"/>
      <c r="AR54" s="5"/>
      <c r="AS54" s="5"/>
      <c r="AT54" s="5"/>
      <c r="AU54" s="5"/>
      <c r="AV54" s="5"/>
      <c r="AW54" s="5"/>
      <c r="AX54" s="5"/>
      <c r="AY54" s="15"/>
      <c r="AZ54" s="5"/>
      <c r="BA54" s="1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row>
    <row r="55" spans="1:85" customFormat="1" x14ac:dyDescent="0.35">
      <c r="P55" s="1042"/>
      <c r="AO55" s="5"/>
      <c r="AP55" s="1002"/>
      <c r="AQ55" s="5"/>
      <c r="AR55" s="5"/>
      <c r="AS55" s="5"/>
      <c r="AT55" s="5"/>
      <c r="AU55" s="5"/>
      <c r="AV55" s="5"/>
      <c r="AW55" s="5"/>
      <c r="AX55" s="5"/>
      <c r="AY55" s="15"/>
      <c r="AZ55" s="5"/>
      <c r="BA55" s="1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row>
    <row r="56" spans="1:85" customFormat="1" x14ac:dyDescent="0.35">
      <c r="P56" s="1042"/>
      <c r="AO56" s="5"/>
      <c r="AP56" s="1002"/>
      <c r="AQ56" s="5"/>
      <c r="AR56" s="5"/>
      <c r="AS56" s="5"/>
      <c r="AT56" s="5"/>
      <c r="AU56" s="5"/>
      <c r="AV56" s="5"/>
      <c r="AW56" s="5"/>
      <c r="AX56" s="5"/>
      <c r="AY56" s="15"/>
      <c r="AZ56" s="5"/>
      <c r="BA56" s="1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row>
    <row r="57" spans="1:85" customFormat="1" x14ac:dyDescent="0.35">
      <c r="P57" s="1042"/>
      <c r="AO57" s="5"/>
      <c r="AP57" s="1002"/>
      <c r="AQ57" s="5"/>
      <c r="AR57" s="5"/>
      <c r="AS57" s="5"/>
      <c r="AT57" s="5"/>
      <c r="AU57" s="5"/>
      <c r="AV57" s="5"/>
      <c r="AW57" s="5"/>
      <c r="AX57" s="5"/>
      <c r="AY57" s="15"/>
      <c r="AZ57" s="5"/>
      <c r="BA57" s="1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row>
    <row r="58" spans="1:85" customFormat="1" x14ac:dyDescent="0.35">
      <c r="P58" s="1042"/>
      <c r="AO58" s="5"/>
      <c r="AP58" s="1002"/>
      <c r="AQ58" s="5"/>
      <c r="AR58" s="5"/>
      <c r="AS58" s="5"/>
      <c r="AT58" s="5"/>
      <c r="AU58" s="5"/>
      <c r="AV58" s="5"/>
      <c r="AW58" s="5"/>
      <c r="AX58" s="5"/>
      <c r="AY58" s="15"/>
      <c r="AZ58" s="5"/>
      <c r="BA58" s="1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row>
    <row r="59" spans="1:85" customFormat="1" x14ac:dyDescent="0.35">
      <c r="P59" s="1042"/>
      <c r="AO59" s="5"/>
      <c r="AP59" s="1002"/>
      <c r="AQ59" s="5"/>
      <c r="AR59" s="5"/>
      <c r="AS59" s="5"/>
      <c r="AT59" s="5"/>
      <c r="AU59" s="5"/>
      <c r="AV59" s="5"/>
      <c r="AW59" s="5"/>
      <c r="AX59" s="5"/>
      <c r="AY59" s="15"/>
      <c r="AZ59" s="5"/>
      <c r="BA59" s="1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row>
    <row r="60" spans="1:85" customFormat="1" x14ac:dyDescent="0.35">
      <c r="P60" s="1042"/>
      <c r="AO60" s="5"/>
      <c r="AP60" s="1002"/>
      <c r="AQ60" s="5"/>
      <c r="AR60" s="5"/>
      <c r="AS60" s="5"/>
      <c r="AT60" s="5"/>
      <c r="AU60" s="5"/>
      <c r="AV60" s="5"/>
      <c r="AW60" s="5"/>
      <c r="AX60" s="5"/>
      <c r="AY60" s="15"/>
      <c r="AZ60" s="5"/>
      <c r="BA60" s="1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row>
    <row r="61" spans="1:85" customFormat="1" x14ac:dyDescent="0.35">
      <c r="P61" s="1042"/>
      <c r="AO61" s="5"/>
      <c r="AP61" s="1002"/>
      <c r="AQ61" s="5"/>
      <c r="AR61" s="5"/>
      <c r="AS61" s="5"/>
      <c r="AT61" s="5"/>
      <c r="AU61" s="5"/>
      <c r="AV61" s="5"/>
      <c r="AW61" s="5"/>
      <c r="AX61" s="5"/>
      <c r="AY61" s="15"/>
      <c r="AZ61" s="5"/>
      <c r="BA61" s="1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row>
    <row r="62" spans="1:85" customFormat="1" x14ac:dyDescent="0.35">
      <c r="P62" s="1042"/>
      <c r="AO62" s="5"/>
      <c r="AP62" s="1002"/>
      <c r="AQ62" s="5"/>
      <c r="AR62" s="5"/>
      <c r="AS62" s="5"/>
      <c r="AT62" s="5"/>
      <c r="AU62" s="5"/>
      <c r="AV62" s="5"/>
      <c r="AW62" s="5"/>
      <c r="AX62" s="5"/>
      <c r="AY62" s="15"/>
      <c r="AZ62" s="5"/>
      <c r="BA62" s="1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row>
    <row r="63" spans="1:85" customFormat="1" x14ac:dyDescent="0.35">
      <c r="P63" s="1042"/>
      <c r="AO63" s="5"/>
      <c r="AP63" s="1002"/>
      <c r="AQ63" s="5"/>
      <c r="AR63" s="5"/>
      <c r="AS63" s="5"/>
      <c r="AT63" s="5"/>
      <c r="AU63" s="5"/>
      <c r="AV63" s="5"/>
      <c r="AW63" s="5"/>
      <c r="AX63" s="5"/>
      <c r="AY63" s="15"/>
      <c r="AZ63" s="5"/>
      <c r="BA63" s="1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row>
    <row r="64" spans="1:85" customFormat="1" x14ac:dyDescent="0.35">
      <c r="P64" s="1042"/>
      <c r="AO64" s="5"/>
      <c r="AP64" s="1002"/>
      <c r="AQ64" s="5"/>
      <c r="AR64" s="5"/>
      <c r="AS64" s="5"/>
      <c r="AT64" s="5"/>
      <c r="AU64" s="5"/>
      <c r="AV64" s="5"/>
      <c r="AW64" s="5"/>
      <c r="AX64" s="5"/>
      <c r="AY64" s="15"/>
      <c r="AZ64" s="5"/>
      <c r="BA64" s="1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row>
    <row r="65" spans="16:85" customFormat="1" x14ac:dyDescent="0.35">
      <c r="P65" s="1042"/>
      <c r="AO65" s="5"/>
      <c r="AP65" s="1002"/>
      <c r="AQ65" s="5"/>
      <c r="AR65" s="5"/>
      <c r="AS65" s="5"/>
      <c r="AT65" s="5"/>
      <c r="AU65" s="5"/>
      <c r="AV65" s="5"/>
      <c r="AW65" s="5"/>
      <c r="AX65" s="5"/>
      <c r="AY65" s="15"/>
      <c r="AZ65" s="5"/>
      <c r="BA65" s="1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row>
    <row r="66" spans="16:85" customFormat="1" x14ac:dyDescent="0.35">
      <c r="P66" s="1042"/>
      <c r="AO66" s="5"/>
      <c r="AP66" s="1002"/>
      <c r="AQ66" s="5"/>
      <c r="AR66" s="5"/>
      <c r="AS66" s="5"/>
      <c r="AT66" s="5"/>
      <c r="AU66" s="5"/>
      <c r="AV66" s="5"/>
      <c r="AW66" s="5"/>
      <c r="AX66" s="5"/>
      <c r="AY66" s="15"/>
      <c r="AZ66" s="5"/>
      <c r="BA66" s="1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row>
    <row r="67" spans="16:85" customFormat="1" x14ac:dyDescent="0.35">
      <c r="P67" s="1042"/>
      <c r="AO67" s="5"/>
      <c r="AP67" s="1002"/>
      <c r="AQ67" s="5"/>
      <c r="AR67" s="5"/>
      <c r="AS67" s="5"/>
      <c r="AT67" s="5"/>
      <c r="AU67" s="5"/>
      <c r="AV67" s="5"/>
      <c r="AW67" s="5"/>
      <c r="AX67" s="5"/>
      <c r="AY67" s="15"/>
      <c r="AZ67" s="5"/>
      <c r="BA67" s="1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row>
    <row r="68" spans="16:85" customFormat="1" x14ac:dyDescent="0.35">
      <c r="P68" s="1042"/>
      <c r="AO68" s="5"/>
      <c r="AP68" s="1002"/>
      <c r="AQ68" s="5"/>
      <c r="AR68" s="5"/>
      <c r="AS68" s="5"/>
      <c r="AT68" s="5"/>
      <c r="AU68" s="5"/>
      <c r="AV68" s="5"/>
      <c r="AW68" s="5"/>
      <c r="AX68" s="5"/>
      <c r="AY68" s="15"/>
      <c r="AZ68" s="5"/>
      <c r="BA68" s="1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row>
    <row r="69" spans="16:85" customFormat="1" x14ac:dyDescent="0.35">
      <c r="P69" s="1042"/>
      <c r="AO69" s="5"/>
      <c r="AP69" s="1002"/>
      <c r="AQ69" s="5"/>
      <c r="AR69" s="5"/>
      <c r="AS69" s="5"/>
      <c r="AT69" s="5"/>
      <c r="AU69" s="5"/>
      <c r="AV69" s="5"/>
      <c r="AW69" s="5"/>
      <c r="AX69" s="5"/>
      <c r="AY69" s="15"/>
      <c r="AZ69" s="5"/>
      <c r="BA69" s="1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row>
    <row r="70" spans="16:85" customFormat="1" x14ac:dyDescent="0.35">
      <c r="P70" s="1042"/>
      <c r="AO70" s="5"/>
      <c r="AP70" s="1002"/>
      <c r="AQ70" s="5"/>
      <c r="AR70" s="5"/>
      <c r="AS70" s="5"/>
      <c r="AT70" s="5"/>
      <c r="AU70" s="5"/>
      <c r="AV70" s="5"/>
      <c r="AW70" s="5"/>
      <c r="AX70" s="5"/>
      <c r="AY70" s="15"/>
      <c r="AZ70" s="5"/>
      <c r="BA70" s="1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row>
    <row r="71" spans="16:85" customFormat="1" x14ac:dyDescent="0.35">
      <c r="P71" s="1042"/>
      <c r="AO71" s="5"/>
      <c r="AP71" s="1002"/>
      <c r="AQ71" s="5"/>
      <c r="AR71" s="5"/>
      <c r="AS71" s="5"/>
      <c r="AT71" s="5"/>
      <c r="AU71" s="5"/>
      <c r="AV71" s="5"/>
      <c r="AW71" s="5"/>
      <c r="AX71" s="5"/>
      <c r="AY71" s="15"/>
      <c r="AZ71" s="5"/>
      <c r="BA71" s="1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row>
    <row r="72" spans="16:85" customFormat="1" x14ac:dyDescent="0.35">
      <c r="P72" s="1042"/>
      <c r="AO72" s="5"/>
      <c r="AP72" s="1002"/>
      <c r="AQ72" s="5"/>
      <c r="AR72" s="5"/>
      <c r="AS72" s="5"/>
      <c r="AT72" s="5"/>
      <c r="AU72" s="5"/>
      <c r="AV72" s="5"/>
      <c r="AW72" s="5"/>
      <c r="AX72" s="5"/>
      <c r="AY72" s="15"/>
      <c r="AZ72" s="5"/>
      <c r="BA72" s="1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row>
    <row r="73" spans="16:85" customFormat="1" x14ac:dyDescent="0.35">
      <c r="P73" s="1042"/>
      <c r="AO73" s="5"/>
      <c r="AP73" s="1002"/>
      <c r="AQ73" s="5"/>
      <c r="AR73" s="5"/>
      <c r="AS73" s="5"/>
      <c r="AT73" s="5"/>
      <c r="AU73" s="5"/>
      <c r="AV73" s="5"/>
      <c r="AW73" s="5"/>
      <c r="AX73" s="5"/>
      <c r="AY73" s="15"/>
      <c r="AZ73" s="5"/>
      <c r="BA73" s="1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row>
    <row r="74" spans="16:85" customFormat="1" x14ac:dyDescent="0.35">
      <c r="P74" s="1042"/>
      <c r="AO74" s="5"/>
      <c r="AP74" s="1002"/>
      <c r="AQ74" s="5"/>
      <c r="AR74" s="5"/>
      <c r="AS74" s="5"/>
      <c r="AT74" s="5"/>
      <c r="AU74" s="5"/>
      <c r="AV74" s="5"/>
      <c r="AW74" s="5"/>
      <c r="AX74" s="5"/>
      <c r="AY74" s="15"/>
      <c r="AZ74" s="5"/>
      <c r="BA74" s="1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row>
    <row r="75" spans="16:85" customFormat="1" x14ac:dyDescent="0.35">
      <c r="P75" s="1042"/>
      <c r="AO75" s="5"/>
      <c r="AP75" s="1002"/>
      <c r="AQ75" s="5"/>
      <c r="AR75" s="5"/>
      <c r="AS75" s="5"/>
      <c r="AT75" s="5"/>
      <c r="AU75" s="5"/>
      <c r="AV75" s="5"/>
      <c r="AW75" s="5"/>
      <c r="AX75" s="5"/>
      <c r="AY75" s="15"/>
      <c r="AZ75" s="5"/>
      <c r="BA75" s="1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row>
    <row r="76" spans="16:85" customFormat="1" x14ac:dyDescent="0.35">
      <c r="P76" s="1042"/>
      <c r="AO76" s="5"/>
      <c r="AP76" s="1002"/>
      <c r="AQ76" s="5"/>
      <c r="AR76" s="5"/>
      <c r="AS76" s="5"/>
      <c r="AT76" s="5"/>
      <c r="AU76" s="5"/>
      <c r="AV76" s="5"/>
      <c r="AW76" s="5"/>
      <c r="AX76" s="5"/>
      <c r="AY76" s="15"/>
      <c r="AZ76" s="5"/>
      <c r="BA76" s="1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row>
    <row r="77" spans="16:85" customFormat="1" x14ac:dyDescent="0.35">
      <c r="P77" s="1042"/>
      <c r="AO77" s="5"/>
      <c r="AP77" s="1002"/>
      <c r="AQ77" s="5"/>
      <c r="AR77" s="5"/>
      <c r="AS77" s="5"/>
      <c r="AT77" s="5"/>
      <c r="AU77" s="5"/>
      <c r="AV77" s="5"/>
      <c r="AW77" s="5"/>
      <c r="AX77" s="5"/>
      <c r="AY77" s="15"/>
      <c r="AZ77" s="5"/>
      <c r="BA77" s="1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row>
    <row r="78" spans="16:85" customFormat="1" x14ac:dyDescent="0.35">
      <c r="P78" s="1042"/>
      <c r="AO78" s="5"/>
      <c r="AP78" s="1002"/>
      <c r="AQ78" s="5"/>
      <c r="AR78" s="5"/>
      <c r="AS78" s="5"/>
      <c r="AT78" s="5"/>
      <c r="AU78" s="5"/>
      <c r="AV78" s="5"/>
      <c r="AW78" s="5"/>
      <c r="AX78" s="5"/>
      <c r="AY78" s="15"/>
      <c r="AZ78" s="5"/>
      <c r="BA78" s="1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row>
    <row r="79" spans="16:85" customFormat="1" x14ac:dyDescent="0.35">
      <c r="P79" s="1042"/>
      <c r="AO79" s="5"/>
      <c r="AP79" s="1002"/>
      <c r="AQ79" s="5"/>
      <c r="AR79" s="5"/>
      <c r="AS79" s="5"/>
      <c r="AT79" s="5"/>
      <c r="AU79" s="5"/>
      <c r="AV79" s="5"/>
      <c r="AW79" s="5"/>
      <c r="AX79" s="5"/>
      <c r="AY79" s="15"/>
      <c r="AZ79" s="5"/>
      <c r="BA79" s="1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row>
    <row r="80" spans="16:85" customFormat="1" x14ac:dyDescent="0.35">
      <c r="P80" s="1042"/>
      <c r="AO80" s="5"/>
      <c r="AP80" s="1002"/>
      <c r="AQ80" s="5"/>
      <c r="AR80" s="5"/>
      <c r="AS80" s="5"/>
      <c r="AT80" s="5"/>
      <c r="AU80" s="5"/>
      <c r="AV80" s="5"/>
      <c r="AW80" s="5"/>
      <c r="AX80" s="5"/>
      <c r="AY80" s="15"/>
      <c r="AZ80" s="5"/>
      <c r="BA80" s="1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row>
    <row r="81" spans="16:85" customFormat="1" x14ac:dyDescent="0.35">
      <c r="P81" s="1042"/>
      <c r="AO81" s="5"/>
      <c r="AP81" s="5"/>
      <c r="AQ81" s="5"/>
      <c r="AR81" s="5"/>
      <c r="AS81" s="5"/>
      <c r="AT81" s="5"/>
      <c r="AU81" s="5"/>
      <c r="AV81" s="5"/>
      <c r="AW81" s="5"/>
      <c r="AX81" s="5"/>
      <c r="AY81" s="15"/>
      <c r="AZ81" s="5"/>
      <c r="BA81" s="1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row>
    <row r="82" spans="16:85" customFormat="1" x14ac:dyDescent="0.35">
      <c r="P82" s="1042"/>
      <c r="AO82" s="5"/>
      <c r="AP82" s="5"/>
      <c r="AQ82" s="5"/>
      <c r="AR82" s="5"/>
      <c r="AS82" s="5"/>
      <c r="AT82" s="5"/>
      <c r="AU82" s="5"/>
      <c r="AV82" s="5"/>
      <c r="AW82" s="5"/>
      <c r="AX82" s="5"/>
      <c r="AY82" s="15"/>
      <c r="AZ82" s="5"/>
      <c r="BA82" s="1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row>
    <row r="83" spans="16:85" customFormat="1" x14ac:dyDescent="0.35">
      <c r="P83" s="1042"/>
      <c r="AO83" s="5"/>
      <c r="AP83" s="5"/>
      <c r="AQ83" s="5"/>
      <c r="AR83" s="5"/>
      <c r="AS83" s="5"/>
      <c r="AT83" s="5"/>
      <c r="AU83" s="5"/>
      <c r="AV83" s="5"/>
      <c r="AW83" s="5"/>
      <c r="AX83" s="5"/>
      <c r="AY83" s="15"/>
      <c r="AZ83" s="5"/>
      <c r="BA83" s="1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row>
    <row r="84" spans="16:85" customFormat="1" x14ac:dyDescent="0.35">
      <c r="P84" s="1042"/>
      <c r="AO84" s="5"/>
      <c r="AP84" s="5"/>
      <c r="AQ84" s="5"/>
      <c r="AR84" s="5"/>
      <c r="AS84" s="5"/>
      <c r="AT84" s="5"/>
      <c r="AU84" s="5"/>
      <c r="AV84" s="5"/>
      <c r="AW84" s="5"/>
      <c r="AX84" s="5"/>
      <c r="AY84" s="15"/>
      <c r="AZ84" s="5"/>
      <c r="BA84" s="1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row>
    <row r="85" spans="16:85" customFormat="1" x14ac:dyDescent="0.35">
      <c r="P85" s="1042"/>
      <c r="AO85" s="5"/>
      <c r="AP85" s="5"/>
      <c r="AQ85" s="5"/>
      <c r="AR85" s="5"/>
      <c r="AS85" s="5"/>
      <c r="AT85" s="5"/>
      <c r="AU85" s="5"/>
      <c r="AV85" s="5"/>
      <c r="AW85" s="5"/>
      <c r="AX85" s="5"/>
      <c r="AY85" s="15"/>
      <c r="AZ85" s="5"/>
      <c r="BA85" s="1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row>
    <row r="86" spans="16:85" customFormat="1" x14ac:dyDescent="0.35">
      <c r="P86" s="1042"/>
      <c r="AO86" s="5"/>
      <c r="AP86" s="5"/>
      <c r="AQ86" s="5"/>
      <c r="AR86" s="5"/>
      <c r="AS86" s="5"/>
      <c r="AT86" s="5"/>
      <c r="AU86" s="5"/>
      <c r="AV86" s="5"/>
      <c r="AW86" s="5"/>
      <c r="AX86" s="5"/>
      <c r="AY86" s="15"/>
      <c r="AZ86" s="5"/>
      <c r="BA86" s="1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row>
    <row r="87" spans="16:85" customFormat="1" x14ac:dyDescent="0.35">
      <c r="P87" s="1042"/>
      <c r="AO87" s="5"/>
      <c r="AP87" s="5"/>
      <c r="AQ87" s="5"/>
      <c r="AR87" s="5"/>
      <c r="AS87" s="5"/>
      <c r="AT87" s="5"/>
      <c r="AU87" s="5"/>
      <c r="AV87" s="5"/>
      <c r="AW87" s="5"/>
      <c r="AX87" s="5"/>
      <c r="AY87" s="15"/>
      <c r="AZ87" s="5"/>
      <c r="BA87" s="1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row>
    <row r="88" spans="16:85" customFormat="1" x14ac:dyDescent="0.35">
      <c r="P88" s="1042"/>
      <c r="AO88" s="5"/>
      <c r="AP88" s="5"/>
      <c r="AQ88" s="5"/>
      <c r="AR88" s="5"/>
      <c r="AS88" s="5"/>
      <c r="AT88" s="5"/>
      <c r="AU88" s="5"/>
      <c r="AV88" s="5"/>
      <c r="AW88" s="5"/>
      <c r="AX88" s="5"/>
      <c r="AY88" s="15"/>
      <c r="AZ88" s="5"/>
      <c r="BA88" s="1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row>
    <row r="89" spans="16:85" customFormat="1" x14ac:dyDescent="0.35">
      <c r="P89" s="1042"/>
      <c r="AO89" s="5"/>
      <c r="AP89" s="5"/>
      <c r="AQ89" s="5"/>
      <c r="AR89" s="5"/>
      <c r="AS89" s="5"/>
      <c r="AT89" s="5"/>
      <c r="AU89" s="5"/>
      <c r="AV89" s="5"/>
      <c r="AW89" s="5"/>
      <c r="AX89" s="5"/>
      <c r="AY89" s="15"/>
      <c r="AZ89" s="5"/>
      <c r="BA89" s="1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row>
    <row r="90" spans="16:85" customFormat="1" x14ac:dyDescent="0.35">
      <c r="P90" s="1042"/>
      <c r="AO90" s="5"/>
      <c r="AP90" s="5"/>
      <c r="AQ90" s="5"/>
      <c r="AR90" s="5"/>
      <c r="AS90" s="5"/>
      <c r="AT90" s="5"/>
      <c r="AU90" s="5"/>
      <c r="AV90" s="5"/>
      <c r="AW90" s="5"/>
      <c r="AX90" s="5"/>
      <c r="AY90" s="15"/>
      <c r="AZ90" s="5"/>
      <c r="BA90" s="1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row>
    <row r="91" spans="16:85" customFormat="1" x14ac:dyDescent="0.35">
      <c r="P91" s="1042"/>
      <c r="AO91" s="5"/>
      <c r="AP91" s="5"/>
      <c r="AQ91" s="5"/>
      <c r="AR91" s="5"/>
      <c r="AS91" s="5"/>
      <c r="AT91" s="5"/>
      <c r="AU91" s="5"/>
      <c r="AV91" s="5"/>
      <c r="AW91" s="5"/>
      <c r="AX91" s="5"/>
      <c r="AY91" s="15"/>
      <c r="AZ91" s="5"/>
      <c r="BA91" s="1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row>
    <row r="92" spans="16:85" customFormat="1" x14ac:dyDescent="0.35">
      <c r="P92" s="1042"/>
      <c r="AO92" s="5"/>
      <c r="AP92" s="5"/>
      <c r="AQ92" s="5"/>
      <c r="AR92" s="5"/>
      <c r="AS92" s="5"/>
      <c r="AT92" s="5"/>
      <c r="AU92" s="5"/>
      <c r="AV92" s="5"/>
      <c r="AW92" s="5"/>
      <c r="AX92" s="5"/>
      <c r="AY92" s="15"/>
      <c r="AZ92" s="5"/>
      <c r="BA92" s="1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row>
    <row r="93" spans="16:85" customFormat="1" x14ac:dyDescent="0.35">
      <c r="P93" s="1042"/>
      <c r="AO93" s="5"/>
      <c r="AP93" s="5"/>
      <c r="AQ93" s="5"/>
      <c r="AR93" s="5"/>
      <c r="AS93" s="5"/>
      <c r="AT93" s="5"/>
      <c r="AU93" s="5"/>
      <c r="AV93" s="5"/>
      <c r="AW93" s="5"/>
      <c r="AX93" s="5"/>
      <c r="AY93" s="15"/>
      <c r="AZ93" s="5"/>
      <c r="BA93" s="1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row>
    <row r="94" spans="16:85" customFormat="1" x14ac:dyDescent="0.35">
      <c r="P94" s="1042"/>
      <c r="AO94" s="5"/>
      <c r="AP94" s="5"/>
      <c r="AQ94" s="5"/>
      <c r="AR94" s="5"/>
      <c r="AS94" s="5"/>
      <c r="AT94" s="5"/>
      <c r="AU94" s="5"/>
      <c r="AV94" s="5"/>
      <c r="AW94" s="5"/>
      <c r="AX94" s="5"/>
      <c r="AY94" s="15"/>
      <c r="AZ94" s="5"/>
      <c r="BA94" s="1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row>
    <row r="95" spans="16:85" customFormat="1" x14ac:dyDescent="0.35">
      <c r="P95" s="1042"/>
      <c r="AO95" s="5"/>
      <c r="AP95" s="5"/>
      <c r="AQ95" s="5"/>
      <c r="AR95" s="5"/>
      <c r="AS95" s="5"/>
      <c r="AT95" s="5"/>
      <c r="AU95" s="5"/>
      <c r="AV95" s="5"/>
      <c r="AW95" s="5"/>
      <c r="AX95" s="5"/>
      <c r="AY95" s="15"/>
      <c r="AZ95" s="5"/>
      <c r="BA95" s="1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row>
    <row r="96" spans="16:85" customFormat="1" x14ac:dyDescent="0.35">
      <c r="P96" s="1042"/>
      <c r="AO96" s="5"/>
      <c r="AP96" s="5"/>
      <c r="AQ96" s="5"/>
      <c r="AR96" s="5"/>
      <c r="AS96" s="5"/>
      <c r="AT96" s="5"/>
      <c r="AU96" s="5"/>
      <c r="AV96" s="5"/>
      <c r="AW96" s="5"/>
      <c r="AX96" s="5"/>
      <c r="AY96" s="15"/>
      <c r="AZ96" s="5"/>
      <c r="BA96" s="1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row>
    <row r="97" spans="16:85" customFormat="1" x14ac:dyDescent="0.35">
      <c r="P97" s="1042"/>
      <c r="AO97" s="5"/>
      <c r="AP97" s="5"/>
      <c r="AQ97" s="5"/>
      <c r="AR97" s="5"/>
      <c r="AS97" s="5"/>
      <c r="AT97" s="5"/>
      <c r="AU97" s="5"/>
      <c r="AV97" s="5"/>
      <c r="AW97" s="5"/>
      <c r="AX97" s="5"/>
      <c r="AY97" s="15"/>
      <c r="AZ97" s="5"/>
      <c r="BA97" s="1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row>
    <row r="98" spans="16:85" customFormat="1" x14ac:dyDescent="0.35">
      <c r="P98" s="1042"/>
      <c r="AO98" s="5"/>
      <c r="AP98" s="5"/>
      <c r="AQ98" s="5"/>
      <c r="AR98" s="5"/>
      <c r="AS98" s="5"/>
      <c r="AT98" s="5"/>
      <c r="AU98" s="5"/>
      <c r="AV98" s="5"/>
      <c r="AW98" s="5"/>
      <c r="AX98" s="5"/>
      <c r="AY98" s="15"/>
      <c r="AZ98" s="5"/>
      <c r="BA98" s="1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row>
    <row r="99" spans="16:85" customFormat="1" x14ac:dyDescent="0.35">
      <c r="P99" s="1042"/>
      <c r="AO99" s="5"/>
      <c r="AP99" s="5"/>
      <c r="AQ99" s="5"/>
      <c r="AR99" s="5"/>
      <c r="AS99" s="5"/>
      <c r="AT99" s="5"/>
      <c r="AU99" s="5"/>
      <c r="AV99" s="5"/>
      <c r="AW99" s="5"/>
      <c r="AX99" s="5"/>
      <c r="AY99" s="15"/>
      <c r="AZ99" s="5"/>
      <c r="BA99" s="1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row>
    <row r="100" spans="16:85" customFormat="1" x14ac:dyDescent="0.35">
      <c r="P100" s="1042"/>
      <c r="AO100" s="5"/>
      <c r="AP100" s="5"/>
      <c r="AQ100" s="5"/>
      <c r="AR100" s="5"/>
      <c r="AS100" s="5"/>
      <c r="AT100" s="5"/>
      <c r="AU100" s="5"/>
      <c r="AV100" s="5"/>
      <c r="AW100" s="5"/>
      <c r="AX100" s="5"/>
      <c r="AY100" s="15"/>
      <c r="AZ100" s="5"/>
      <c r="BA100" s="1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row>
    <row r="101" spans="16:85" customFormat="1" x14ac:dyDescent="0.35">
      <c r="P101" s="1042"/>
      <c r="AO101" s="5"/>
      <c r="AP101" s="5"/>
      <c r="AQ101" s="5"/>
      <c r="AR101" s="5"/>
      <c r="AS101" s="5"/>
      <c r="AT101" s="5"/>
      <c r="AU101" s="5"/>
      <c r="AV101" s="5"/>
      <c r="AW101" s="5"/>
      <c r="AX101" s="5"/>
      <c r="AY101" s="15"/>
      <c r="AZ101" s="5"/>
      <c r="BA101" s="1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row>
    <row r="102" spans="16:85" customFormat="1" x14ac:dyDescent="0.35">
      <c r="P102" s="1042"/>
      <c r="AO102" s="5"/>
      <c r="AP102" s="5"/>
      <c r="AQ102" s="5"/>
      <c r="AR102" s="5"/>
      <c r="AS102" s="5"/>
      <c r="AT102" s="5"/>
      <c r="AU102" s="5"/>
      <c r="AV102" s="5"/>
      <c r="AW102" s="5"/>
      <c r="AX102" s="5"/>
      <c r="AY102" s="15"/>
      <c r="AZ102" s="5"/>
      <c r="BA102" s="1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row>
    <row r="103" spans="16:85" customFormat="1" x14ac:dyDescent="0.35">
      <c r="P103" s="1042"/>
      <c r="AO103" s="5"/>
      <c r="AP103" s="5"/>
      <c r="AQ103" s="5"/>
      <c r="AR103" s="5"/>
      <c r="AS103" s="5"/>
      <c r="AT103" s="5"/>
      <c r="AU103" s="5"/>
      <c r="AV103" s="5"/>
      <c r="AW103" s="5"/>
      <c r="AX103" s="5"/>
      <c r="AY103" s="15"/>
      <c r="AZ103" s="5"/>
      <c r="BA103" s="1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row>
    <row r="104" spans="16:85" customFormat="1" x14ac:dyDescent="0.35">
      <c r="P104" s="1042"/>
      <c r="AO104" s="5"/>
      <c r="AP104" s="5"/>
      <c r="AQ104" s="5"/>
      <c r="AR104" s="5"/>
      <c r="AS104" s="5"/>
      <c r="AT104" s="5"/>
      <c r="AU104" s="5"/>
      <c r="AV104" s="5"/>
      <c r="AW104" s="5"/>
      <c r="AX104" s="5"/>
      <c r="AY104" s="15"/>
      <c r="AZ104" s="5"/>
      <c r="BA104" s="1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row>
    <row r="105" spans="16:85" customFormat="1" x14ac:dyDescent="0.35">
      <c r="P105" s="1042"/>
      <c r="AO105" s="5"/>
      <c r="AP105" s="5"/>
      <c r="AQ105" s="5"/>
      <c r="AR105" s="5"/>
      <c r="AS105" s="5"/>
      <c r="AT105" s="5"/>
      <c r="AU105" s="5"/>
      <c r="AV105" s="5"/>
      <c r="AW105" s="5"/>
      <c r="AX105" s="5"/>
      <c r="AY105" s="15"/>
      <c r="AZ105" s="5"/>
      <c r="BA105" s="1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row>
    <row r="106" spans="16:85" customFormat="1" x14ac:dyDescent="0.35">
      <c r="P106" s="1042"/>
      <c r="AO106" s="5"/>
      <c r="AP106" s="5"/>
      <c r="AQ106" s="5"/>
      <c r="AR106" s="5"/>
      <c r="AS106" s="5"/>
      <c r="AT106" s="5"/>
      <c r="AU106" s="5"/>
      <c r="AV106" s="5"/>
      <c r="AW106" s="5"/>
      <c r="AX106" s="5"/>
      <c r="AY106" s="15"/>
      <c r="AZ106" s="5"/>
      <c r="BA106" s="1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row>
    <row r="107" spans="16:85" customFormat="1" x14ac:dyDescent="0.35">
      <c r="P107" s="1042"/>
      <c r="AO107" s="5"/>
      <c r="AP107" s="5"/>
      <c r="AQ107" s="5"/>
      <c r="AR107" s="5"/>
      <c r="AS107" s="5"/>
      <c r="AT107" s="5"/>
      <c r="AU107" s="5"/>
      <c r="AV107" s="5"/>
      <c r="AW107" s="5"/>
      <c r="AX107" s="5"/>
      <c r="AY107" s="15"/>
      <c r="AZ107" s="5"/>
      <c r="BA107" s="1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row>
    <row r="108" spans="16:85" customFormat="1" x14ac:dyDescent="0.35">
      <c r="P108" s="1042"/>
      <c r="AO108" s="5"/>
      <c r="AP108" s="5"/>
      <c r="AQ108" s="5"/>
      <c r="AR108" s="5"/>
      <c r="AS108" s="5"/>
      <c r="AT108" s="5"/>
      <c r="AU108" s="5"/>
      <c r="AV108" s="5"/>
      <c r="AW108" s="5"/>
      <c r="AX108" s="5"/>
      <c r="AY108" s="15"/>
      <c r="AZ108" s="5"/>
      <c r="BA108" s="1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row>
    <row r="109" spans="16:85" customFormat="1" x14ac:dyDescent="0.35">
      <c r="P109" s="1042"/>
      <c r="AO109" s="5"/>
      <c r="AP109" s="5"/>
      <c r="AQ109" s="5"/>
      <c r="AR109" s="5"/>
      <c r="AS109" s="5"/>
      <c r="AT109" s="5"/>
      <c r="AU109" s="5"/>
      <c r="AV109" s="5"/>
      <c r="AW109" s="5"/>
      <c r="AX109" s="5"/>
      <c r="AY109" s="15"/>
      <c r="AZ109" s="5"/>
      <c r="BA109" s="1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row>
    <row r="110" spans="16:85" customFormat="1" x14ac:dyDescent="0.35">
      <c r="P110" s="1042"/>
      <c r="AO110" s="5"/>
      <c r="AP110" s="5"/>
      <c r="AQ110" s="5"/>
      <c r="AR110" s="5"/>
      <c r="AS110" s="5"/>
      <c r="AT110" s="5"/>
      <c r="AU110" s="5"/>
      <c r="AV110" s="5"/>
      <c r="AW110" s="5"/>
      <c r="AX110" s="5"/>
      <c r="AY110" s="15"/>
      <c r="AZ110" s="5"/>
      <c r="BA110" s="1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row>
    <row r="111" spans="16:85" customFormat="1" x14ac:dyDescent="0.35">
      <c r="P111" s="1042"/>
      <c r="AO111" s="5"/>
      <c r="AP111" s="5"/>
      <c r="AQ111" s="5"/>
      <c r="AR111" s="5"/>
      <c r="AS111" s="5"/>
      <c r="AT111" s="5"/>
      <c r="AU111" s="5"/>
      <c r="AV111" s="5"/>
      <c r="AW111" s="5"/>
      <c r="AX111" s="5"/>
      <c r="AY111" s="15"/>
      <c r="AZ111" s="5"/>
      <c r="BA111" s="1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row>
    <row r="112" spans="16:85" customFormat="1" x14ac:dyDescent="0.35">
      <c r="P112" s="1042"/>
      <c r="AO112" s="5"/>
      <c r="AP112" s="5"/>
      <c r="AQ112" s="5"/>
      <c r="AR112" s="5"/>
      <c r="AS112" s="5"/>
      <c r="AT112" s="5"/>
      <c r="AU112" s="5"/>
      <c r="AV112" s="5"/>
      <c r="AW112" s="5"/>
      <c r="AX112" s="5"/>
      <c r="AY112" s="15"/>
      <c r="AZ112" s="5"/>
      <c r="BA112" s="1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row>
    <row r="113" spans="16:85" customFormat="1" x14ac:dyDescent="0.35">
      <c r="P113" s="1042"/>
      <c r="AO113" s="5"/>
      <c r="AP113" s="5"/>
      <c r="AQ113" s="5"/>
      <c r="AR113" s="5"/>
      <c r="AS113" s="5"/>
      <c r="AT113" s="5"/>
      <c r="AU113" s="5"/>
      <c r="AV113" s="5"/>
      <c r="AW113" s="5"/>
      <c r="AX113" s="5"/>
      <c r="AY113" s="15"/>
      <c r="AZ113" s="5"/>
      <c r="BA113" s="1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row>
    <row r="114" spans="16:85" customFormat="1" x14ac:dyDescent="0.35">
      <c r="P114" s="1042"/>
      <c r="AO114" s="5"/>
      <c r="AP114" s="5"/>
      <c r="AQ114" s="5"/>
      <c r="AR114" s="5"/>
      <c r="AS114" s="5"/>
      <c r="AT114" s="5"/>
      <c r="AU114" s="5"/>
      <c r="AV114" s="5"/>
      <c r="AW114" s="5"/>
      <c r="AX114" s="5"/>
      <c r="AY114" s="15"/>
      <c r="AZ114" s="5"/>
      <c r="BA114" s="1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row>
    <row r="115" spans="16:85" customFormat="1" x14ac:dyDescent="0.35">
      <c r="P115" s="1042"/>
      <c r="AO115" s="5"/>
      <c r="AP115" s="5"/>
      <c r="AQ115" s="5"/>
      <c r="AR115" s="5"/>
      <c r="AS115" s="5"/>
      <c r="AT115" s="5"/>
      <c r="AU115" s="5"/>
      <c r="AV115" s="5"/>
      <c r="AW115" s="5"/>
      <c r="AX115" s="5"/>
      <c r="AY115" s="15"/>
      <c r="AZ115" s="5"/>
      <c r="BA115" s="1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row>
    <row r="116" spans="16:85" customFormat="1" x14ac:dyDescent="0.35">
      <c r="P116" s="1042"/>
      <c r="AO116" s="5"/>
      <c r="AP116" s="5"/>
      <c r="AQ116" s="5"/>
      <c r="AR116" s="5"/>
      <c r="AS116" s="5"/>
      <c r="AT116" s="5"/>
      <c r="AU116" s="5"/>
      <c r="AV116" s="5"/>
      <c r="AW116" s="5"/>
      <c r="AX116" s="5"/>
      <c r="AY116" s="15"/>
      <c r="AZ116" s="5"/>
      <c r="BA116" s="1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row>
    <row r="117" spans="16:85" customFormat="1" x14ac:dyDescent="0.35">
      <c r="P117" s="1042"/>
      <c r="AO117" s="5"/>
      <c r="AP117" s="5"/>
      <c r="AQ117" s="5"/>
      <c r="AR117" s="5"/>
      <c r="AS117" s="5"/>
      <c r="AT117" s="5"/>
      <c r="AU117" s="5"/>
      <c r="AV117" s="5"/>
      <c r="AW117" s="5"/>
      <c r="AX117" s="5"/>
      <c r="AY117" s="15"/>
      <c r="AZ117" s="5"/>
      <c r="BA117" s="1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row>
    <row r="118" spans="16:85" customFormat="1" x14ac:dyDescent="0.35">
      <c r="P118" s="1042"/>
      <c r="AO118" s="5"/>
      <c r="AP118" s="5"/>
      <c r="AQ118" s="5"/>
      <c r="AR118" s="5"/>
      <c r="AS118" s="5"/>
      <c r="AT118" s="5"/>
      <c r="AU118" s="5"/>
      <c r="AV118" s="5"/>
      <c r="AW118" s="5"/>
      <c r="AX118" s="5"/>
      <c r="AY118" s="15"/>
      <c r="AZ118" s="5"/>
      <c r="BA118" s="1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row>
    <row r="119" spans="16:85" customFormat="1" x14ac:dyDescent="0.35">
      <c r="P119" s="1042"/>
      <c r="AO119" s="5"/>
      <c r="AP119" s="5"/>
      <c r="AQ119" s="5"/>
      <c r="AR119" s="5"/>
      <c r="AS119" s="5"/>
      <c r="AT119" s="5"/>
      <c r="AU119" s="5"/>
      <c r="AV119" s="5"/>
      <c r="AW119" s="5"/>
      <c r="AX119" s="5"/>
      <c r="AY119" s="15"/>
      <c r="AZ119" s="5"/>
      <c r="BA119" s="1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row>
    <row r="120" spans="16:85" customFormat="1" x14ac:dyDescent="0.35">
      <c r="P120" s="1042"/>
      <c r="AO120" s="5"/>
      <c r="AP120" s="5"/>
      <c r="AQ120" s="5"/>
      <c r="AR120" s="5"/>
      <c r="AS120" s="5"/>
      <c r="AT120" s="5"/>
      <c r="AU120" s="5"/>
      <c r="AV120" s="5"/>
      <c r="AW120" s="5"/>
      <c r="AX120" s="5"/>
      <c r="AY120" s="15"/>
      <c r="AZ120" s="5"/>
      <c r="BA120" s="1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row>
    <row r="121" spans="16:85" customFormat="1" x14ac:dyDescent="0.35">
      <c r="P121" s="1042"/>
      <c r="AO121" s="5"/>
      <c r="AP121" s="5"/>
      <c r="AQ121" s="5"/>
      <c r="AR121" s="5"/>
      <c r="AS121" s="5"/>
      <c r="AT121" s="5"/>
      <c r="AU121" s="5"/>
      <c r="AV121" s="5"/>
      <c r="AW121" s="5"/>
      <c r="AX121" s="5"/>
      <c r="AY121" s="15"/>
      <c r="AZ121" s="5"/>
      <c r="BA121" s="1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row>
    <row r="122" spans="16:85" customFormat="1" x14ac:dyDescent="0.35">
      <c r="P122" s="1042"/>
      <c r="AO122" s="5"/>
      <c r="AP122" s="5"/>
      <c r="AQ122" s="5"/>
      <c r="AR122" s="5"/>
      <c r="AS122" s="5"/>
      <c r="AT122" s="5"/>
      <c r="AU122" s="5"/>
      <c r="AV122" s="5"/>
      <c r="AW122" s="5"/>
      <c r="AX122" s="5"/>
      <c r="AY122" s="15"/>
      <c r="AZ122" s="5"/>
      <c r="BA122" s="1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row>
    <row r="123" spans="16:85" customFormat="1" x14ac:dyDescent="0.35">
      <c r="P123" s="1042"/>
      <c r="AO123" s="5"/>
      <c r="AP123" s="5"/>
      <c r="AQ123" s="5"/>
      <c r="AR123" s="5"/>
      <c r="AS123" s="5"/>
      <c r="AT123" s="5"/>
      <c r="AU123" s="5"/>
      <c r="AV123" s="5"/>
      <c r="AW123" s="5"/>
      <c r="AX123" s="5"/>
      <c r="AY123" s="15"/>
      <c r="AZ123" s="5"/>
      <c r="BA123" s="1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row>
    <row r="124" spans="16:85" customFormat="1" x14ac:dyDescent="0.35">
      <c r="P124" s="1042"/>
      <c r="AO124" s="5"/>
      <c r="AP124" s="5"/>
      <c r="AQ124" s="5"/>
      <c r="AR124" s="5"/>
      <c r="AS124" s="5"/>
      <c r="AT124" s="5"/>
      <c r="AU124" s="5"/>
      <c r="AV124" s="5"/>
      <c r="AW124" s="5"/>
      <c r="AX124" s="5"/>
      <c r="AY124" s="15"/>
      <c r="AZ124" s="5"/>
      <c r="BA124" s="1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row>
    <row r="125" spans="16:85" customFormat="1" x14ac:dyDescent="0.35">
      <c r="P125" s="1042"/>
      <c r="AO125" s="5"/>
      <c r="AP125" s="5"/>
      <c r="AQ125" s="5"/>
      <c r="AR125" s="5"/>
      <c r="AS125" s="5"/>
      <c r="AT125" s="5"/>
      <c r="AU125" s="5"/>
      <c r="AV125" s="5"/>
      <c r="AW125" s="5"/>
      <c r="AX125" s="5"/>
      <c r="AY125" s="15"/>
      <c r="AZ125" s="5"/>
      <c r="BA125" s="1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row>
    <row r="126" spans="16:85" customFormat="1" x14ac:dyDescent="0.35">
      <c r="P126" s="1042"/>
      <c r="AO126" s="5"/>
      <c r="AP126" s="5"/>
      <c r="AQ126" s="5"/>
      <c r="AR126" s="5"/>
      <c r="AS126" s="5"/>
      <c r="AT126" s="5"/>
      <c r="AU126" s="5"/>
      <c r="AV126" s="5"/>
      <c r="AW126" s="5"/>
      <c r="AX126" s="5"/>
      <c r="AY126" s="15"/>
      <c r="AZ126" s="5"/>
      <c r="BA126" s="1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row>
    <row r="127" spans="16:85" customFormat="1" x14ac:dyDescent="0.35">
      <c r="P127" s="1042"/>
      <c r="AO127" s="5"/>
      <c r="AP127" s="5"/>
      <c r="AQ127" s="5"/>
      <c r="AR127" s="5"/>
      <c r="AS127" s="5"/>
      <c r="AT127" s="5"/>
      <c r="AU127" s="5"/>
      <c r="AV127" s="5"/>
      <c r="AW127" s="5"/>
      <c r="AX127" s="5"/>
      <c r="AY127" s="15"/>
      <c r="AZ127" s="5"/>
      <c r="BA127" s="1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row>
    <row r="128" spans="16:85" customFormat="1" x14ac:dyDescent="0.35">
      <c r="P128" s="1042"/>
      <c r="AO128" s="5"/>
      <c r="AP128" s="5"/>
      <c r="AQ128" s="5"/>
      <c r="AR128" s="5"/>
      <c r="AS128" s="5"/>
      <c r="AT128" s="5"/>
      <c r="AU128" s="5"/>
      <c r="AV128" s="5"/>
      <c r="AW128" s="5"/>
      <c r="AX128" s="5"/>
      <c r="AY128" s="15"/>
      <c r="AZ128" s="5"/>
      <c r="BA128" s="1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row>
    <row r="129" spans="16:85" customFormat="1" x14ac:dyDescent="0.35">
      <c r="P129" s="1042"/>
      <c r="AO129" s="5"/>
      <c r="AP129" s="5"/>
      <c r="AQ129" s="5"/>
      <c r="AR129" s="5"/>
      <c r="AS129" s="5"/>
      <c r="AT129" s="5"/>
      <c r="AU129" s="5"/>
      <c r="AV129" s="5"/>
      <c r="AW129" s="5"/>
      <c r="AX129" s="5"/>
      <c r="AY129" s="15"/>
      <c r="AZ129" s="5"/>
      <c r="BA129" s="1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row>
    <row r="130" spans="16:85" customFormat="1" x14ac:dyDescent="0.35">
      <c r="P130" s="1042"/>
      <c r="AO130" s="5"/>
      <c r="AP130" s="5"/>
      <c r="AQ130" s="5"/>
      <c r="AR130" s="5"/>
      <c r="AS130" s="5"/>
      <c r="AT130" s="5"/>
      <c r="AU130" s="5"/>
      <c r="AV130" s="5"/>
      <c r="AW130" s="5"/>
      <c r="AX130" s="5"/>
      <c r="AY130" s="15"/>
      <c r="AZ130" s="5"/>
      <c r="BA130" s="1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row>
    <row r="131" spans="16:85" customFormat="1" x14ac:dyDescent="0.35">
      <c r="P131" s="1042"/>
      <c r="AO131" s="5"/>
      <c r="AP131" s="5"/>
      <c r="AQ131" s="5"/>
      <c r="AR131" s="5"/>
      <c r="AS131" s="5"/>
      <c r="AT131" s="5"/>
      <c r="AU131" s="5"/>
      <c r="AV131" s="5"/>
      <c r="AW131" s="5"/>
      <c r="AX131" s="5"/>
      <c r="AY131" s="15"/>
      <c r="AZ131" s="5"/>
      <c r="BA131" s="1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row>
    <row r="132" spans="16:85" customFormat="1" x14ac:dyDescent="0.35">
      <c r="P132" s="1042"/>
      <c r="AO132" s="5"/>
      <c r="AP132" s="5"/>
      <c r="AQ132" s="5"/>
      <c r="AR132" s="5"/>
      <c r="AS132" s="5"/>
      <c r="AT132" s="5"/>
      <c r="AU132" s="5"/>
      <c r="AV132" s="5"/>
      <c r="AW132" s="5"/>
      <c r="AX132" s="5"/>
      <c r="AY132" s="15"/>
      <c r="AZ132" s="5"/>
      <c r="BA132" s="1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row>
    <row r="133" spans="16:85" customFormat="1" x14ac:dyDescent="0.35">
      <c r="P133" s="1042"/>
      <c r="AO133" s="5"/>
      <c r="AP133" s="5"/>
      <c r="AQ133" s="5"/>
      <c r="AR133" s="5"/>
      <c r="AS133" s="5"/>
      <c r="AT133" s="5"/>
      <c r="AU133" s="5"/>
      <c r="AV133" s="5"/>
      <c r="AW133" s="5"/>
      <c r="AX133" s="5"/>
      <c r="AY133" s="15"/>
      <c r="AZ133" s="5"/>
      <c r="BA133" s="1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row>
    <row r="134" spans="16:85" customFormat="1" x14ac:dyDescent="0.35">
      <c r="P134" s="1042"/>
      <c r="AO134" s="5"/>
      <c r="AP134" s="5"/>
      <c r="AQ134" s="5"/>
      <c r="AR134" s="5"/>
      <c r="AS134" s="5"/>
      <c r="AT134" s="5"/>
      <c r="AU134" s="5"/>
      <c r="AV134" s="5"/>
      <c r="AW134" s="5"/>
      <c r="AX134" s="5"/>
      <c r="AY134" s="15"/>
      <c r="AZ134" s="5"/>
      <c r="BA134" s="1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row>
    <row r="135" spans="16:85" customFormat="1" x14ac:dyDescent="0.35">
      <c r="P135" s="1042"/>
      <c r="AO135" s="5"/>
      <c r="AP135" s="5"/>
      <c r="AQ135" s="5"/>
      <c r="AR135" s="5"/>
      <c r="AS135" s="5"/>
      <c r="AT135" s="5"/>
      <c r="AU135" s="5"/>
      <c r="AV135" s="5"/>
      <c r="AW135" s="5"/>
      <c r="AX135" s="5"/>
      <c r="AY135" s="15"/>
      <c r="AZ135" s="5"/>
      <c r="BA135" s="1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row>
    <row r="136" spans="16:85" customFormat="1" x14ac:dyDescent="0.35">
      <c r="P136" s="1042"/>
      <c r="AO136" s="5"/>
      <c r="AP136" s="5"/>
      <c r="AQ136" s="5"/>
      <c r="AR136" s="5"/>
      <c r="AS136" s="5"/>
      <c r="AT136" s="5"/>
      <c r="AU136" s="5"/>
      <c r="AV136" s="5"/>
      <c r="AW136" s="5"/>
      <c r="AX136" s="5"/>
      <c r="AY136" s="15"/>
      <c r="AZ136" s="5"/>
      <c r="BA136" s="1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row>
    <row r="137" spans="16:85" customFormat="1" x14ac:dyDescent="0.35">
      <c r="P137" s="1042"/>
      <c r="AO137" s="5"/>
      <c r="AP137" s="5"/>
      <c r="AQ137" s="5"/>
      <c r="AR137" s="5"/>
      <c r="AS137" s="5"/>
      <c r="AT137" s="5"/>
      <c r="AU137" s="5"/>
      <c r="AV137" s="5"/>
      <c r="AW137" s="5"/>
      <c r="AX137" s="5"/>
      <c r="AY137" s="15"/>
      <c r="AZ137" s="5"/>
      <c r="BA137" s="1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row>
    <row r="138" spans="16:85" customFormat="1" x14ac:dyDescent="0.35">
      <c r="P138" s="1042"/>
      <c r="AO138" s="5"/>
      <c r="AP138" s="5"/>
      <c r="AQ138" s="5"/>
      <c r="AR138" s="5"/>
      <c r="AS138" s="5"/>
      <c r="AT138" s="5"/>
      <c r="AU138" s="5"/>
      <c r="AV138" s="5"/>
      <c r="AW138" s="5"/>
      <c r="AX138" s="5"/>
      <c r="AY138" s="15"/>
      <c r="AZ138" s="5"/>
      <c r="BA138" s="1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row>
    <row r="139" spans="16:85" customFormat="1" x14ac:dyDescent="0.35">
      <c r="P139" s="1042"/>
      <c r="AO139" s="5"/>
      <c r="AP139" s="5"/>
      <c r="AQ139" s="5"/>
      <c r="AR139" s="5"/>
      <c r="AS139" s="5"/>
      <c r="AT139" s="5"/>
      <c r="AU139" s="5"/>
      <c r="AV139" s="5"/>
      <c r="AW139" s="5"/>
      <c r="AX139" s="5"/>
      <c r="AY139" s="15"/>
      <c r="AZ139" s="5"/>
      <c r="BA139" s="1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row>
    <row r="140" spans="16:85" customFormat="1" x14ac:dyDescent="0.35">
      <c r="P140" s="1042"/>
      <c r="AO140" s="5"/>
      <c r="AP140" s="5"/>
      <c r="AQ140" s="5"/>
      <c r="AR140" s="5"/>
      <c r="AS140" s="5"/>
      <c r="AT140" s="5"/>
      <c r="AU140" s="5"/>
      <c r="AV140" s="5"/>
      <c r="AW140" s="5"/>
      <c r="AX140" s="5"/>
      <c r="AY140" s="15"/>
      <c r="AZ140" s="5"/>
      <c r="BA140" s="1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row>
    <row r="141" spans="16:85" customFormat="1" x14ac:dyDescent="0.35">
      <c r="P141" s="1042"/>
      <c r="AO141" s="5"/>
      <c r="AP141" s="5"/>
      <c r="AQ141" s="5"/>
      <c r="AR141" s="5"/>
      <c r="AS141" s="5"/>
      <c r="AT141" s="5"/>
      <c r="AU141" s="5"/>
      <c r="AV141" s="5"/>
      <c r="AW141" s="5"/>
      <c r="AX141" s="5"/>
      <c r="AY141" s="15"/>
      <c r="AZ141" s="5"/>
      <c r="BA141" s="1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row>
    <row r="142" spans="16:85" customFormat="1" x14ac:dyDescent="0.35">
      <c r="P142" s="1042"/>
      <c r="AO142" s="5"/>
      <c r="AP142" s="5"/>
      <c r="AQ142" s="5"/>
      <c r="AR142" s="5"/>
      <c r="AS142" s="5"/>
      <c r="AT142" s="5"/>
      <c r="AU142" s="5"/>
      <c r="AV142" s="5"/>
      <c r="AW142" s="5"/>
      <c r="AX142" s="5"/>
      <c r="AY142" s="15"/>
      <c r="AZ142" s="5"/>
      <c r="BA142" s="1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row>
    <row r="143" spans="16:85" customFormat="1" x14ac:dyDescent="0.35">
      <c r="P143" s="1042"/>
      <c r="AO143" s="5"/>
      <c r="AP143" s="5"/>
      <c r="AQ143" s="5"/>
      <c r="AR143" s="5"/>
      <c r="AS143" s="5"/>
      <c r="AT143" s="5"/>
      <c r="AU143" s="5"/>
      <c r="AV143" s="5"/>
      <c r="AW143" s="5"/>
      <c r="AX143" s="5"/>
      <c r="AY143" s="15"/>
      <c r="AZ143" s="5"/>
      <c r="BA143" s="1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row>
    <row r="144" spans="16:85" customFormat="1" x14ac:dyDescent="0.35">
      <c r="P144" s="1042"/>
      <c r="AO144" s="5"/>
      <c r="AP144" s="5"/>
      <c r="AQ144" s="5"/>
      <c r="AR144" s="5"/>
      <c r="AS144" s="5"/>
      <c r="AT144" s="5"/>
      <c r="AU144" s="5"/>
      <c r="AV144" s="5"/>
      <c r="AW144" s="5"/>
      <c r="AX144" s="5"/>
      <c r="AY144" s="15"/>
      <c r="AZ144" s="5"/>
      <c r="BA144" s="1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row>
    <row r="145" spans="16:85" customFormat="1" x14ac:dyDescent="0.35">
      <c r="P145" s="1042"/>
      <c r="AO145" s="5"/>
      <c r="AP145" s="5"/>
      <c r="AQ145" s="5"/>
      <c r="AR145" s="5"/>
      <c r="AS145" s="5"/>
      <c r="AT145" s="5"/>
      <c r="AU145" s="5"/>
      <c r="AV145" s="5"/>
      <c r="AW145" s="5"/>
      <c r="AX145" s="5"/>
      <c r="AY145" s="15"/>
      <c r="AZ145" s="5"/>
      <c r="BA145" s="1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row>
    <row r="146" spans="16:85" customFormat="1" x14ac:dyDescent="0.35">
      <c r="P146" s="1042"/>
      <c r="AO146" s="5"/>
      <c r="AP146" s="5"/>
      <c r="AQ146" s="5"/>
      <c r="AR146" s="5"/>
      <c r="AS146" s="5"/>
      <c r="AT146" s="5"/>
      <c r="AU146" s="5"/>
      <c r="AV146" s="5"/>
      <c r="AW146" s="5"/>
      <c r="AX146" s="5"/>
      <c r="AY146" s="15"/>
      <c r="AZ146" s="5"/>
      <c r="BA146" s="1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row>
    <row r="147" spans="16:85" customFormat="1" x14ac:dyDescent="0.35">
      <c r="P147" s="1042"/>
      <c r="AO147" s="5"/>
      <c r="AP147" s="5"/>
      <c r="AQ147" s="5"/>
      <c r="AR147" s="5"/>
      <c r="AS147" s="5"/>
      <c r="AT147" s="5"/>
      <c r="AU147" s="5"/>
      <c r="AV147" s="5"/>
      <c r="AW147" s="5"/>
      <c r="AX147" s="5"/>
      <c r="AY147" s="15"/>
      <c r="AZ147" s="5"/>
      <c r="BA147" s="1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row>
    <row r="148" spans="16:85" customFormat="1" x14ac:dyDescent="0.35">
      <c r="P148" s="1042"/>
      <c r="AO148" s="5"/>
      <c r="AP148" s="5"/>
      <c r="AQ148" s="5"/>
      <c r="AR148" s="5"/>
      <c r="AS148" s="5"/>
      <c r="AT148" s="5"/>
      <c r="AU148" s="5"/>
      <c r="AV148" s="5"/>
      <c r="AW148" s="5"/>
      <c r="AX148" s="5"/>
      <c r="AY148" s="15"/>
      <c r="AZ148" s="5"/>
      <c r="BA148" s="1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row>
    <row r="149" spans="16:85" customFormat="1" x14ac:dyDescent="0.35">
      <c r="P149" s="1042"/>
      <c r="AO149" s="5"/>
      <c r="AP149" s="5"/>
      <c r="AQ149" s="5"/>
      <c r="AR149" s="5"/>
      <c r="AS149" s="5"/>
      <c r="AT149" s="5"/>
      <c r="AU149" s="5"/>
      <c r="AV149" s="5"/>
      <c r="AW149" s="5"/>
      <c r="AX149" s="5"/>
      <c r="AY149" s="15"/>
      <c r="AZ149" s="5"/>
      <c r="BA149" s="1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row>
    <row r="150" spans="16:85" customFormat="1" x14ac:dyDescent="0.35">
      <c r="P150" s="1042"/>
      <c r="AO150" s="5"/>
      <c r="AP150" s="5"/>
      <c r="AQ150" s="5"/>
      <c r="AR150" s="5"/>
      <c r="AS150" s="5"/>
      <c r="AT150" s="5"/>
      <c r="AU150" s="5"/>
      <c r="AV150" s="5"/>
      <c r="AW150" s="5"/>
      <c r="AX150" s="5"/>
      <c r="AY150" s="15"/>
      <c r="AZ150" s="5"/>
      <c r="BA150" s="1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row>
    <row r="151" spans="16:85" customFormat="1" x14ac:dyDescent="0.35">
      <c r="P151" s="1042"/>
      <c r="AO151" s="5"/>
      <c r="AP151" s="5"/>
      <c r="AQ151" s="5"/>
      <c r="AR151" s="5"/>
      <c r="AS151" s="5"/>
      <c r="AT151" s="5"/>
      <c r="AU151" s="5"/>
      <c r="AV151" s="5"/>
      <c r="AW151" s="5"/>
      <c r="AX151" s="5"/>
      <c r="AY151" s="15"/>
      <c r="AZ151" s="5"/>
      <c r="BA151" s="1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row>
    <row r="152" spans="16:85" customFormat="1" x14ac:dyDescent="0.35">
      <c r="P152" s="1042"/>
      <c r="AO152" s="5"/>
      <c r="AP152" s="5"/>
      <c r="AQ152" s="5"/>
      <c r="AR152" s="5"/>
      <c r="AS152" s="5"/>
      <c r="AT152" s="5"/>
      <c r="AU152" s="5"/>
      <c r="AV152" s="5"/>
      <c r="AW152" s="5"/>
      <c r="AX152" s="5"/>
      <c r="AY152" s="15"/>
      <c r="AZ152" s="5"/>
      <c r="BA152" s="1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row>
    <row r="153" spans="16:85" customFormat="1" x14ac:dyDescent="0.35">
      <c r="P153" s="1042"/>
      <c r="AO153" s="5"/>
      <c r="AP153" s="5"/>
      <c r="AQ153" s="5"/>
      <c r="AR153" s="5"/>
      <c r="AS153" s="5"/>
      <c r="AT153" s="5"/>
      <c r="AU153" s="5"/>
      <c r="AV153" s="5"/>
      <c r="AW153" s="5"/>
      <c r="AX153" s="5"/>
      <c r="AY153" s="15"/>
      <c r="AZ153" s="5"/>
      <c r="BA153" s="1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row>
    <row r="154" spans="16:85" customFormat="1" x14ac:dyDescent="0.35">
      <c r="P154" s="1042"/>
      <c r="AO154" s="5"/>
      <c r="AP154" s="5"/>
      <c r="AQ154" s="5"/>
      <c r="AR154" s="5"/>
      <c r="AS154" s="5"/>
      <c r="AT154" s="5"/>
      <c r="AU154" s="5"/>
      <c r="AV154" s="5"/>
      <c r="AW154" s="5"/>
      <c r="AX154" s="5"/>
      <c r="AY154" s="15"/>
      <c r="AZ154" s="5"/>
      <c r="BA154" s="1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row>
    <row r="155" spans="16:85" customFormat="1" x14ac:dyDescent="0.35">
      <c r="P155" s="1042"/>
      <c r="AO155" s="5"/>
      <c r="AP155" s="5"/>
      <c r="AQ155" s="5"/>
      <c r="AR155" s="5"/>
      <c r="AS155" s="5"/>
      <c r="AT155" s="5"/>
      <c r="AU155" s="5"/>
      <c r="AV155" s="5"/>
      <c r="AW155" s="5"/>
      <c r="AX155" s="5"/>
      <c r="AY155" s="15"/>
      <c r="AZ155" s="5"/>
      <c r="BA155" s="1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row>
    <row r="156" spans="16:85" customFormat="1" x14ac:dyDescent="0.35">
      <c r="P156" s="1042"/>
      <c r="AO156" s="5"/>
      <c r="AP156" s="5"/>
      <c r="AQ156" s="5"/>
      <c r="AR156" s="5"/>
      <c r="AS156" s="5"/>
      <c r="AT156" s="5"/>
      <c r="AU156" s="5"/>
      <c r="AV156" s="5"/>
      <c r="AW156" s="5"/>
      <c r="AX156" s="5"/>
      <c r="AY156" s="15"/>
      <c r="AZ156" s="5"/>
      <c r="BA156" s="1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row>
    <row r="157" spans="16:85" customFormat="1" x14ac:dyDescent="0.35">
      <c r="P157" s="1042"/>
      <c r="AO157" s="5"/>
      <c r="AP157" s="5"/>
      <c r="AQ157" s="5"/>
      <c r="AR157" s="5"/>
      <c r="AS157" s="5"/>
      <c r="AT157" s="5"/>
      <c r="AU157" s="5"/>
      <c r="AV157" s="5"/>
      <c r="AW157" s="5"/>
      <c r="AX157" s="5"/>
      <c r="AY157" s="15"/>
      <c r="AZ157" s="5"/>
      <c r="BA157" s="1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row>
    <row r="158" spans="16:85" customFormat="1" x14ac:dyDescent="0.35">
      <c r="P158" s="1042"/>
      <c r="AO158" s="5"/>
      <c r="AP158" s="5"/>
      <c r="AQ158" s="5"/>
      <c r="AR158" s="5"/>
      <c r="AS158" s="5"/>
      <c r="AT158" s="5"/>
      <c r="AU158" s="5"/>
      <c r="AV158" s="5"/>
      <c r="AW158" s="5"/>
      <c r="AX158" s="5"/>
      <c r="AY158" s="15"/>
      <c r="AZ158" s="5"/>
      <c r="BA158" s="1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row>
    <row r="159" spans="16:85" customFormat="1" x14ac:dyDescent="0.35">
      <c r="P159" s="1042"/>
      <c r="AO159" s="5"/>
      <c r="AP159" s="5"/>
      <c r="AQ159" s="5"/>
      <c r="AR159" s="5"/>
      <c r="AS159" s="5"/>
      <c r="AT159" s="5"/>
      <c r="AU159" s="5"/>
      <c r="AV159" s="5"/>
      <c r="AW159" s="5"/>
      <c r="AX159" s="5"/>
      <c r="AY159" s="15"/>
      <c r="AZ159" s="5"/>
      <c r="BA159" s="1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row>
    <row r="160" spans="16:85" customFormat="1" x14ac:dyDescent="0.35">
      <c r="P160" s="1042"/>
      <c r="AO160" s="5"/>
      <c r="AP160" s="5"/>
      <c r="AQ160" s="5"/>
      <c r="AR160" s="5"/>
      <c r="AS160" s="5"/>
      <c r="AT160" s="5"/>
      <c r="AU160" s="5"/>
      <c r="AV160" s="5"/>
      <c r="AW160" s="5"/>
      <c r="AX160" s="5"/>
      <c r="AY160" s="15"/>
      <c r="AZ160" s="5"/>
      <c r="BA160" s="1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row>
    <row r="161" spans="16:85" customFormat="1" x14ac:dyDescent="0.35">
      <c r="P161" s="1042"/>
      <c r="AO161" s="5"/>
      <c r="AP161" s="5"/>
      <c r="AQ161" s="5"/>
      <c r="AR161" s="5"/>
      <c r="AS161" s="5"/>
      <c r="AT161" s="5"/>
      <c r="AU161" s="5"/>
      <c r="AV161" s="5"/>
      <c r="AW161" s="5"/>
      <c r="AX161" s="5"/>
      <c r="AY161" s="15"/>
      <c r="AZ161" s="5"/>
      <c r="BA161" s="1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row>
    <row r="162" spans="16:85" customFormat="1" x14ac:dyDescent="0.35">
      <c r="P162" s="1042"/>
      <c r="AO162" s="5"/>
      <c r="AP162" s="5"/>
      <c r="AQ162" s="5"/>
      <c r="AR162" s="5"/>
      <c r="AS162" s="5"/>
      <c r="AT162" s="5"/>
      <c r="AU162" s="5"/>
      <c r="AV162" s="5"/>
      <c r="AW162" s="5"/>
      <c r="AX162" s="5"/>
      <c r="AY162" s="15"/>
      <c r="AZ162" s="5"/>
      <c r="BA162" s="1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row>
    <row r="163" spans="16:85" customFormat="1" x14ac:dyDescent="0.35">
      <c r="P163" s="1042"/>
      <c r="AO163" s="5"/>
      <c r="AP163" s="5"/>
      <c r="AQ163" s="5"/>
      <c r="AR163" s="5"/>
      <c r="AS163" s="5"/>
      <c r="AT163" s="5"/>
      <c r="AU163" s="5"/>
      <c r="AV163" s="5"/>
      <c r="AW163" s="5"/>
      <c r="AX163" s="5"/>
      <c r="AY163" s="15"/>
      <c r="AZ163" s="5"/>
      <c r="BA163" s="1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row>
    <row r="164" spans="16:85" customFormat="1" x14ac:dyDescent="0.35">
      <c r="P164" s="1042"/>
      <c r="AO164" s="5"/>
      <c r="AP164" s="5"/>
      <c r="AQ164" s="5"/>
      <c r="AR164" s="5"/>
      <c r="AS164" s="5"/>
      <c r="AT164" s="5"/>
      <c r="AU164" s="5"/>
      <c r="AV164" s="5"/>
      <c r="AW164" s="5"/>
      <c r="AX164" s="5"/>
      <c r="AY164" s="15"/>
      <c r="AZ164" s="5"/>
      <c r="BA164" s="1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row>
    <row r="165" spans="16:85" customFormat="1" x14ac:dyDescent="0.35">
      <c r="P165" s="1042"/>
      <c r="AO165" s="5"/>
      <c r="AP165" s="5"/>
      <c r="AQ165" s="5"/>
      <c r="AR165" s="5"/>
      <c r="AS165" s="5"/>
      <c r="AT165" s="5"/>
      <c r="AU165" s="5"/>
      <c r="AV165" s="5"/>
      <c r="AW165" s="5"/>
      <c r="AX165" s="5"/>
      <c r="AY165" s="15"/>
      <c r="AZ165" s="5"/>
      <c r="BA165" s="1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row>
    <row r="166" spans="16:85" customFormat="1" x14ac:dyDescent="0.35">
      <c r="P166" s="1042"/>
      <c r="AO166" s="5"/>
      <c r="AP166" s="5"/>
      <c r="AQ166" s="5"/>
      <c r="AR166" s="5"/>
      <c r="AS166" s="5"/>
      <c r="AT166" s="5"/>
      <c r="AU166" s="5"/>
      <c r="AV166" s="5"/>
      <c r="AW166" s="5"/>
      <c r="AX166" s="5"/>
      <c r="AY166" s="15"/>
      <c r="AZ166" s="5"/>
      <c r="BA166" s="1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row>
    <row r="167" spans="16:85" customFormat="1" x14ac:dyDescent="0.35">
      <c r="P167" s="1042"/>
      <c r="AO167" s="5"/>
      <c r="AP167" s="5"/>
      <c r="AQ167" s="5"/>
      <c r="AR167" s="5"/>
      <c r="AS167" s="5"/>
      <c r="AT167" s="5"/>
      <c r="AU167" s="5"/>
      <c r="AV167" s="5"/>
      <c r="AW167" s="5"/>
      <c r="AX167" s="5"/>
      <c r="AY167" s="15"/>
      <c r="AZ167" s="5"/>
      <c r="BA167" s="1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row>
    <row r="168" spans="16:85" customFormat="1" x14ac:dyDescent="0.35">
      <c r="P168" s="1042"/>
      <c r="AO168" s="5"/>
      <c r="AP168" s="5"/>
      <c r="AQ168" s="5"/>
      <c r="AR168" s="5"/>
      <c r="AS168" s="5"/>
      <c r="AT168" s="5"/>
      <c r="AU168" s="5"/>
      <c r="AV168" s="5"/>
      <c r="AW168" s="5"/>
      <c r="AX168" s="5"/>
      <c r="AY168" s="15"/>
      <c r="AZ168" s="5"/>
      <c r="BA168" s="1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row>
    <row r="169" spans="16:85" customFormat="1" x14ac:dyDescent="0.35">
      <c r="P169" s="1042"/>
      <c r="AO169" s="5"/>
      <c r="AP169" s="5"/>
      <c r="AQ169" s="5"/>
      <c r="AR169" s="5"/>
      <c r="AS169" s="5"/>
      <c r="AT169" s="5"/>
      <c r="AU169" s="5"/>
      <c r="AV169" s="5"/>
      <c r="AW169" s="5"/>
      <c r="AX169" s="5"/>
      <c r="AY169" s="15"/>
      <c r="AZ169" s="5"/>
      <c r="BA169" s="1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row>
    <row r="170" spans="16:85" customFormat="1" x14ac:dyDescent="0.35">
      <c r="P170" s="1042"/>
      <c r="AO170" s="5"/>
      <c r="AP170" s="5"/>
      <c r="AQ170" s="5"/>
      <c r="AR170" s="5"/>
      <c r="AS170" s="5"/>
      <c r="AT170" s="5"/>
      <c r="AU170" s="5"/>
      <c r="AV170" s="5"/>
      <c r="AW170" s="5"/>
      <c r="AX170" s="5"/>
      <c r="AY170" s="15"/>
      <c r="AZ170" s="5"/>
      <c r="BA170" s="1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row>
    <row r="171" spans="16:85" customFormat="1" x14ac:dyDescent="0.35">
      <c r="P171" s="1042"/>
      <c r="AO171" s="5"/>
      <c r="AP171" s="5"/>
      <c r="AQ171" s="5"/>
      <c r="AR171" s="5"/>
      <c r="AS171" s="5"/>
      <c r="AT171" s="5"/>
      <c r="AU171" s="5"/>
      <c r="AV171" s="5"/>
      <c r="AW171" s="5"/>
      <c r="AX171" s="5"/>
      <c r="AY171" s="15"/>
      <c r="AZ171" s="5"/>
      <c r="BA171" s="1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row>
    <row r="172" spans="16:85" customFormat="1" x14ac:dyDescent="0.35">
      <c r="P172" s="1042"/>
      <c r="AO172" s="5"/>
      <c r="AP172" s="5"/>
      <c r="AQ172" s="5"/>
      <c r="AR172" s="5"/>
      <c r="AS172" s="5"/>
      <c r="AT172" s="5"/>
      <c r="AU172" s="5"/>
      <c r="AV172" s="5"/>
      <c r="AW172" s="5"/>
      <c r="AX172" s="5"/>
      <c r="AY172" s="15"/>
      <c r="AZ172" s="5"/>
      <c r="BA172" s="1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row>
    <row r="173" spans="16:85" customFormat="1" x14ac:dyDescent="0.35">
      <c r="P173" s="1042"/>
      <c r="AO173" s="5"/>
      <c r="AP173" s="5"/>
      <c r="AQ173" s="5"/>
      <c r="AR173" s="5"/>
      <c r="AS173" s="5"/>
      <c r="AT173" s="5"/>
      <c r="AU173" s="5"/>
      <c r="AV173" s="5"/>
      <c r="AW173" s="5"/>
      <c r="AX173" s="5"/>
      <c r="AY173" s="15"/>
      <c r="AZ173" s="5"/>
      <c r="BA173" s="1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row>
    <row r="174" spans="16:85" customFormat="1" x14ac:dyDescent="0.35">
      <c r="P174" s="1042"/>
      <c r="AO174" s="5"/>
      <c r="AP174" s="5"/>
      <c r="AQ174" s="5"/>
      <c r="AR174" s="5"/>
      <c r="AS174" s="5"/>
      <c r="AT174" s="5"/>
      <c r="AU174" s="5"/>
      <c r="AV174" s="5"/>
      <c r="AW174" s="5"/>
      <c r="AX174" s="5"/>
      <c r="AY174" s="15"/>
      <c r="AZ174" s="5"/>
      <c r="BA174" s="1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row>
    <row r="175" spans="16:85" customFormat="1" x14ac:dyDescent="0.35">
      <c r="P175" s="1042"/>
      <c r="AO175" s="5"/>
      <c r="AP175" s="5"/>
      <c r="AQ175" s="5"/>
      <c r="AR175" s="5"/>
      <c r="AS175" s="5"/>
      <c r="AT175" s="5"/>
      <c r="AU175" s="5"/>
      <c r="AV175" s="5"/>
      <c r="AW175" s="5"/>
      <c r="AX175" s="5"/>
      <c r="AY175" s="15"/>
      <c r="AZ175" s="5"/>
      <c r="BA175" s="1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row>
    <row r="176" spans="16:85" customFormat="1" x14ac:dyDescent="0.35">
      <c r="P176" s="1042"/>
      <c r="AO176" s="5"/>
      <c r="AP176" s="5"/>
      <c r="AQ176" s="5"/>
      <c r="AR176" s="5"/>
      <c r="AS176" s="5"/>
      <c r="AT176" s="5"/>
      <c r="AU176" s="5"/>
      <c r="AV176" s="5"/>
      <c r="AW176" s="5"/>
      <c r="AX176" s="5"/>
      <c r="AY176" s="15"/>
      <c r="AZ176" s="5"/>
      <c r="BA176" s="1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row>
    <row r="177" spans="16:85" customFormat="1" x14ac:dyDescent="0.35">
      <c r="P177" s="1042"/>
      <c r="AO177" s="5"/>
      <c r="AP177" s="5"/>
      <c r="AQ177" s="5"/>
      <c r="AR177" s="5"/>
      <c r="AS177" s="5"/>
      <c r="AT177" s="5"/>
      <c r="AU177" s="5"/>
      <c r="AV177" s="5"/>
      <c r="AW177" s="5"/>
      <c r="AX177" s="5"/>
      <c r="AY177" s="15"/>
      <c r="AZ177" s="5"/>
      <c r="BA177" s="1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row>
    <row r="178" spans="16:85" customFormat="1" x14ac:dyDescent="0.35">
      <c r="P178" s="1042"/>
      <c r="AO178" s="5"/>
      <c r="AP178" s="5"/>
      <c r="AQ178" s="5"/>
      <c r="AR178" s="5"/>
      <c r="AS178" s="5"/>
      <c r="AT178" s="5"/>
      <c r="AU178" s="5"/>
      <c r="AV178" s="5"/>
      <c r="AW178" s="5"/>
      <c r="AX178" s="5"/>
      <c r="AY178" s="15"/>
      <c r="AZ178" s="5"/>
      <c r="BA178" s="1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row>
    <row r="179" spans="16:85" customFormat="1" x14ac:dyDescent="0.35">
      <c r="P179" s="1042"/>
      <c r="AO179" s="5"/>
      <c r="AP179" s="5"/>
      <c r="AQ179" s="5"/>
      <c r="AR179" s="5"/>
      <c r="AS179" s="5"/>
      <c r="AT179" s="5"/>
      <c r="AU179" s="5"/>
      <c r="AV179" s="5"/>
      <c r="AW179" s="5"/>
      <c r="AX179" s="5"/>
      <c r="AY179" s="15"/>
      <c r="AZ179" s="5"/>
      <c r="BA179" s="1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row>
    <row r="180" spans="16:85" customFormat="1" x14ac:dyDescent="0.35">
      <c r="P180" s="1042"/>
      <c r="AO180" s="5"/>
      <c r="AP180" s="5"/>
      <c r="AQ180" s="5"/>
      <c r="AR180" s="5"/>
      <c r="AS180" s="5"/>
      <c r="AT180" s="5"/>
      <c r="AU180" s="5"/>
      <c r="AV180" s="5"/>
      <c r="AW180" s="5"/>
      <c r="AX180" s="5"/>
      <c r="AY180" s="15"/>
      <c r="AZ180" s="5"/>
      <c r="BA180" s="1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row>
    <row r="181" spans="16:85" customFormat="1" x14ac:dyDescent="0.35">
      <c r="P181" s="1042"/>
      <c r="AO181" s="5"/>
      <c r="AP181" s="5"/>
      <c r="AQ181" s="5"/>
      <c r="AR181" s="5"/>
      <c r="AS181" s="5"/>
      <c r="AT181" s="5"/>
      <c r="AU181" s="5"/>
      <c r="AV181" s="5"/>
      <c r="AW181" s="5"/>
      <c r="AX181" s="5"/>
      <c r="AY181" s="15"/>
      <c r="AZ181" s="5"/>
      <c r="BA181" s="1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row>
    <row r="182" spans="16:85" customFormat="1" x14ac:dyDescent="0.35">
      <c r="P182" s="1042"/>
      <c r="AO182" s="5"/>
      <c r="AP182" s="5"/>
      <c r="AQ182" s="5"/>
      <c r="AR182" s="5"/>
      <c r="AS182" s="5"/>
      <c r="AT182" s="5"/>
      <c r="AU182" s="5"/>
      <c r="AV182" s="5"/>
      <c r="AW182" s="5"/>
      <c r="AX182" s="5"/>
      <c r="AY182" s="15"/>
      <c r="AZ182" s="5"/>
      <c r="BA182" s="1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row>
    <row r="183" spans="16:85" customFormat="1" x14ac:dyDescent="0.35">
      <c r="P183" s="1042"/>
      <c r="AO183" s="5"/>
      <c r="AP183" s="5"/>
      <c r="AQ183" s="5"/>
      <c r="AR183" s="5"/>
      <c r="AS183" s="5"/>
      <c r="AT183" s="5"/>
      <c r="AU183" s="5"/>
      <c r="AV183" s="5"/>
      <c r="AW183" s="5"/>
      <c r="AX183" s="5"/>
      <c r="AY183" s="15"/>
      <c r="AZ183" s="5"/>
      <c r="BA183" s="1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row>
    <row r="184" spans="16:85" customFormat="1" x14ac:dyDescent="0.35">
      <c r="P184" s="1042"/>
      <c r="AO184" s="5"/>
      <c r="AP184" s="5"/>
      <c r="AQ184" s="5"/>
      <c r="AR184" s="5"/>
      <c r="AS184" s="5"/>
      <c r="AT184" s="5"/>
      <c r="AU184" s="5"/>
      <c r="AV184" s="5"/>
      <c r="AW184" s="5"/>
      <c r="AX184" s="5"/>
      <c r="AY184" s="15"/>
      <c r="AZ184" s="5"/>
      <c r="BA184" s="1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row>
    <row r="185" spans="16:85" customFormat="1" x14ac:dyDescent="0.35">
      <c r="P185" s="1042"/>
      <c r="AO185" s="5"/>
      <c r="AP185" s="5"/>
      <c r="AQ185" s="5"/>
      <c r="AR185" s="5"/>
      <c r="AS185" s="5"/>
      <c r="AT185" s="5"/>
      <c r="AU185" s="5"/>
      <c r="AV185" s="5"/>
      <c r="AW185" s="5"/>
      <c r="AX185" s="5"/>
      <c r="AY185" s="15"/>
      <c r="AZ185" s="5"/>
      <c r="BA185" s="1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row>
    <row r="186" spans="16:85" customFormat="1" x14ac:dyDescent="0.35">
      <c r="P186" s="1042"/>
      <c r="AO186" s="5"/>
      <c r="AP186" s="5"/>
      <c r="AQ186" s="5"/>
      <c r="AR186" s="5"/>
      <c r="AS186" s="5"/>
      <c r="AT186" s="5"/>
      <c r="AU186" s="5"/>
      <c r="AV186" s="5"/>
      <c r="AW186" s="5"/>
      <c r="AX186" s="5"/>
      <c r="AY186" s="15"/>
      <c r="AZ186" s="5"/>
      <c r="BA186" s="1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row>
    <row r="187" spans="16:85" customFormat="1" x14ac:dyDescent="0.35">
      <c r="P187" s="1042"/>
      <c r="AO187" s="5"/>
      <c r="AP187" s="5"/>
      <c r="AQ187" s="5"/>
      <c r="AR187" s="5"/>
      <c r="AS187" s="5"/>
      <c r="AT187" s="5"/>
      <c r="AU187" s="5"/>
      <c r="AV187" s="5"/>
      <c r="AW187" s="5"/>
      <c r="AX187" s="5"/>
      <c r="AY187" s="15"/>
      <c r="AZ187" s="5"/>
      <c r="BA187" s="1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row>
    <row r="188" spans="16:85" customFormat="1" x14ac:dyDescent="0.35">
      <c r="P188" s="1042"/>
      <c r="AO188" s="5"/>
      <c r="AP188" s="5"/>
      <c r="AQ188" s="5"/>
      <c r="AR188" s="5"/>
      <c r="AS188" s="5"/>
      <c r="AT188" s="5"/>
      <c r="AU188" s="5"/>
      <c r="AV188" s="5"/>
      <c r="AW188" s="5"/>
      <c r="AX188" s="5"/>
      <c r="AY188" s="15"/>
      <c r="AZ188" s="5"/>
      <c r="BA188" s="1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row>
    <row r="189" spans="16:85" customFormat="1" x14ac:dyDescent="0.35">
      <c r="P189" s="1042"/>
      <c r="AO189" s="5"/>
      <c r="AP189" s="5"/>
      <c r="AQ189" s="5"/>
      <c r="AR189" s="5"/>
      <c r="AS189" s="5"/>
      <c r="AT189" s="5"/>
      <c r="AU189" s="5"/>
      <c r="AV189" s="5"/>
      <c r="AW189" s="5"/>
      <c r="AX189" s="5"/>
      <c r="AY189" s="15"/>
      <c r="AZ189" s="5"/>
      <c r="BA189" s="1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row>
    <row r="190" spans="16:85" customFormat="1" x14ac:dyDescent="0.35">
      <c r="P190" s="1042"/>
      <c r="AO190" s="5"/>
      <c r="AP190" s="5"/>
      <c r="AQ190" s="5"/>
      <c r="AR190" s="5"/>
      <c r="AS190" s="5"/>
      <c r="AT190" s="5"/>
      <c r="AU190" s="5"/>
      <c r="AV190" s="5"/>
      <c r="AW190" s="5"/>
      <c r="AX190" s="5"/>
      <c r="AY190" s="15"/>
      <c r="AZ190" s="5"/>
      <c r="BA190" s="1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row>
    <row r="191" spans="16:85" customFormat="1" x14ac:dyDescent="0.35">
      <c r="P191" s="1042"/>
      <c r="AO191" s="5"/>
      <c r="AP191" s="5"/>
      <c r="AQ191" s="5"/>
      <c r="AR191" s="5"/>
      <c r="AS191" s="5"/>
      <c r="AT191" s="5"/>
      <c r="AU191" s="5"/>
      <c r="AV191" s="5"/>
      <c r="AW191" s="5"/>
      <c r="AX191" s="5"/>
      <c r="AY191" s="15"/>
      <c r="AZ191" s="5"/>
      <c r="BA191" s="1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row>
    <row r="192" spans="16:85" customFormat="1" x14ac:dyDescent="0.35">
      <c r="P192" s="1042"/>
      <c r="AO192" s="5"/>
      <c r="AP192" s="5"/>
      <c r="AQ192" s="5"/>
      <c r="AR192" s="5"/>
      <c r="AS192" s="5"/>
      <c r="AT192" s="5"/>
      <c r="AU192" s="5"/>
      <c r="AV192" s="5"/>
      <c r="AW192" s="5"/>
      <c r="AX192" s="5"/>
      <c r="AY192" s="15"/>
      <c r="AZ192" s="5"/>
      <c r="BA192" s="1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row>
    <row r="193" spans="16:85" customFormat="1" x14ac:dyDescent="0.35">
      <c r="P193" s="1042"/>
      <c r="AO193" s="5"/>
      <c r="AP193" s="5"/>
      <c r="AQ193" s="5"/>
      <c r="AR193" s="5"/>
      <c r="AS193" s="5"/>
      <c r="AT193" s="5"/>
      <c r="AU193" s="5"/>
      <c r="AV193" s="5"/>
      <c r="AW193" s="5"/>
      <c r="AX193" s="5"/>
      <c r="AY193" s="15"/>
      <c r="AZ193" s="5"/>
      <c r="BA193" s="1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row>
    <row r="194" spans="16:85" customFormat="1" x14ac:dyDescent="0.35">
      <c r="P194" s="1042"/>
      <c r="AO194" s="5"/>
      <c r="AP194" s="5"/>
      <c r="AQ194" s="5"/>
      <c r="AR194" s="5"/>
      <c r="AS194" s="5"/>
      <c r="AT194" s="5"/>
      <c r="AU194" s="5"/>
      <c r="AV194" s="5"/>
      <c r="AW194" s="5"/>
      <c r="AX194" s="5"/>
      <c r="AY194" s="15"/>
      <c r="AZ194" s="5"/>
      <c r="BA194" s="1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row>
    <row r="195" spans="16:85" customFormat="1" x14ac:dyDescent="0.35">
      <c r="P195" s="1042"/>
      <c r="AO195" s="5"/>
      <c r="AP195" s="5"/>
      <c r="AQ195" s="5"/>
      <c r="AR195" s="5"/>
      <c r="AS195" s="5"/>
      <c r="AT195" s="5"/>
      <c r="AU195" s="5"/>
      <c r="AV195" s="5"/>
      <c r="AW195" s="5"/>
      <c r="AX195" s="5"/>
      <c r="AY195" s="15"/>
      <c r="AZ195" s="5"/>
      <c r="BA195" s="1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row>
    <row r="196" spans="16:85" customFormat="1" x14ac:dyDescent="0.35">
      <c r="P196" s="1042"/>
      <c r="AO196" s="5"/>
      <c r="AP196" s="5"/>
      <c r="AQ196" s="5"/>
      <c r="AR196" s="5"/>
      <c r="AS196" s="5"/>
      <c r="AT196" s="5"/>
      <c r="AU196" s="5"/>
      <c r="AV196" s="5"/>
      <c r="AW196" s="5"/>
      <c r="AX196" s="5"/>
      <c r="AY196" s="15"/>
      <c r="AZ196" s="5"/>
      <c r="BA196" s="1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row>
    <row r="197" spans="16:85" customFormat="1" x14ac:dyDescent="0.35">
      <c r="P197" s="1042"/>
      <c r="AO197" s="5"/>
      <c r="AP197" s="5"/>
      <c r="AQ197" s="5"/>
      <c r="AR197" s="5"/>
      <c r="AS197" s="5"/>
      <c r="AT197" s="5"/>
      <c r="AU197" s="5"/>
      <c r="AV197" s="5"/>
      <c r="AW197" s="5"/>
      <c r="AX197" s="5"/>
      <c r="AY197" s="15"/>
      <c r="AZ197" s="5"/>
      <c r="BA197" s="1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row>
    <row r="198" spans="16:85" customFormat="1" x14ac:dyDescent="0.35">
      <c r="P198" s="1042"/>
      <c r="AO198" s="5"/>
      <c r="AP198" s="5"/>
      <c r="AQ198" s="5"/>
      <c r="AR198" s="5"/>
      <c r="AS198" s="5"/>
      <c r="AT198" s="5"/>
      <c r="AU198" s="5"/>
      <c r="AV198" s="5"/>
      <c r="AW198" s="5"/>
      <c r="AX198" s="5"/>
      <c r="AY198" s="15"/>
      <c r="AZ198" s="5"/>
      <c r="BA198" s="1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row>
    <row r="199" spans="16:85" customFormat="1" x14ac:dyDescent="0.35">
      <c r="P199" s="1042"/>
      <c r="AO199" s="5"/>
      <c r="AP199" s="5"/>
      <c r="AQ199" s="5"/>
      <c r="AR199" s="5"/>
      <c r="AS199" s="5"/>
      <c r="AT199" s="5"/>
      <c r="AU199" s="5"/>
      <c r="AV199" s="5"/>
      <c r="AW199" s="5"/>
      <c r="AX199" s="5"/>
      <c r="AY199" s="15"/>
      <c r="AZ199" s="5"/>
      <c r="BA199" s="1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row>
    <row r="200" spans="16:85" customFormat="1" x14ac:dyDescent="0.35">
      <c r="P200" s="1042"/>
      <c r="AO200" s="5"/>
      <c r="AP200" s="5"/>
      <c r="AQ200" s="5"/>
      <c r="AR200" s="5"/>
      <c r="AS200" s="5"/>
      <c r="AT200" s="5"/>
      <c r="AU200" s="5"/>
      <c r="AV200" s="5"/>
      <c r="AW200" s="5"/>
      <c r="AX200" s="5"/>
      <c r="AY200" s="15"/>
      <c r="AZ200" s="5"/>
      <c r="BA200" s="1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row>
    <row r="201" spans="16:85" customFormat="1" x14ac:dyDescent="0.35">
      <c r="P201" s="1042"/>
      <c r="AO201" s="5"/>
      <c r="AP201" s="5"/>
      <c r="AQ201" s="5"/>
      <c r="AR201" s="5"/>
      <c r="AS201" s="5"/>
      <c r="AT201" s="5"/>
      <c r="AU201" s="5"/>
      <c r="AV201" s="5"/>
      <c r="AW201" s="5"/>
      <c r="AX201" s="5"/>
      <c r="AY201" s="15"/>
      <c r="AZ201" s="5"/>
      <c r="BA201" s="1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row>
    <row r="202" spans="16:85" customFormat="1" x14ac:dyDescent="0.35">
      <c r="P202" s="1042"/>
      <c r="AO202" s="5"/>
      <c r="AP202" s="5"/>
      <c r="AQ202" s="5"/>
      <c r="AR202" s="5"/>
      <c r="AS202" s="5"/>
      <c r="AT202" s="5"/>
      <c r="AU202" s="5"/>
      <c r="AV202" s="5"/>
      <c r="AW202" s="5"/>
      <c r="AX202" s="5"/>
      <c r="AY202" s="15"/>
      <c r="AZ202" s="5"/>
      <c r="BA202" s="1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row>
    <row r="203" spans="16:85" customFormat="1" x14ac:dyDescent="0.35">
      <c r="P203" s="1042"/>
      <c r="AO203" s="5"/>
      <c r="AP203" s="5"/>
      <c r="AQ203" s="5"/>
      <c r="AR203" s="5"/>
      <c r="AS203" s="5"/>
      <c r="AT203" s="5"/>
      <c r="AU203" s="5"/>
      <c r="AV203" s="5"/>
      <c r="AW203" s="5"/>
      <c r="AX203" s="5"/>
      <c r="AY203" s="15"/>
      <c r="AZ203" s="5"/>
      <c r="BA203" s="1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row>
    <row r="204" spans="16:85" customFormat="1" x14ac:dyDescent="0.35">
      <c r="P204" s="1042"/>
      <c r="AO204" s="5"/>
      <c r="AP204" s="5"/>
      <c r="AQ204" s="5"/>
      <c r="AR204" s="5"/>
      <c r="AS204" s="5"/>
      <c r="AT204" s="5"/>
      <c r="AU204" s="5"/>
      <c r="AV204" s="5"/>
      <c r="AW204" s="5"/>
      <c r="AX204" s="5"/>
      <c r="AY204" s="15"/>
      <c r="AZ204" s="5"/>
      <c r="BA204" s="1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row>
    <row r="205" spans="16:85" customFormat="1" x14ac:dyDescent="0.35">
      <c r="P205" s="1042"/>
      <c r="AO205" s="5"/>
      <c r="AP205" s="5"/>
      <c r="AQ205" s="5"/>
      <c r="AR205" s="5"/>
      <c r="AS205" s="5"/>
      <c r="AT205" s="5"/>
      <c r="AU205" s="5"/>
      <c r="AV205" s="5"/>
      <c r="AW205" s="5"/>
      <c r="AX205" s="5"/>
      <c r="AY205" s="15"/>
      <c r="AZ205" s="5"/>
      <c r="BA205" s="1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row>
    <row r="206" spans="16:85" customFormat="1" x14ac:dyDescent="0.35">
      <c r="P206" s="1042"/>
      <c r="AO206" s="5"/>
      <c r="AP206" s="5"/>
      <c r="AQ206" s="5"/>
      <c r="AR206" s="5"/>
      <c r="AS206" s="5"/>
      <c r="AT206" s="5"/>
      <c r="AU206" s="5"/>
      <c r="AV206" s="5"/>
      <c r="AW206" s="5"/>
      <c r="AX206" s="5"/>
      <c r="AY206" s="15"/>
      <c r="AZ206" s="5"/>
      <c r="BA206" s="1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row>
    <row r="207" spans="16:85" customFormat="1" x14ac:dyDescent="0.35">
      <c r="P207" s="1042"/>
      <c r="AO207" s="5"/>
      <c r="AP207" s="5"/>
      <c r="AQ207" s="5"/>
      <c r="AR207" s="5"/>
      <c r="AS207" s="5"/>
      <c r="AT207" s="5"/>
      <c r="AU207" s="5"/>
      <c r="AV207" s="5"/>
      <c r="AW207" s="5"/>
      <c r="AX207" s="5"/>
      <c r="AY207" s="15"/>
      <c r="AZ207" s="5"/>
      <c r="BA207" s="1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row>
    <row r="208" spans="16:85" customFormat="1" x14ac:dyDescent="0.35">
      <c r="P208" s="1042"/>
      <c r="AO208" s="5"/>
      <c r="AP208" s="5"/>
      <c r="AQ208" s="5"/>
      <c r="AR208" s="5"/>
      <c r="AS208" s="5"/>
      <c r="AT208" s="5"/>
      <c r="AU208" s="5"/>
      <c r="AV208" s="5"/>
      <c r="AW208" s="5"/>
      <c r="AX208" s="5"/>
      <c r="AY208" s="15"/>
      <c r="AZ208" s="5"/>
      <c r="BA208" s="1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row>
    <row r="209" spans="16:85" customFormat="1" x14ac:dyDescent="0.35">
      <c r="P209" s="1042"/>
      <c r="AO209" s="5"/>
      <c r="AP209" s="5"/>
      <c r="AQ209" s="5"/>
      <c r="AR209" s="5"/>
      <c r="AS209" s="5"/>
      <c r="AT209" s="5"/>
      <c r="AU209" s="5"/>
      <c r="AV209" s="5"/>
      <c r="AW209" s="5"/>
      <c r="AX209" s="5"/>
      <c r="AY209" s="15"/>
      <c r="AZ209" s="5"/>
      <c r="BA209" s="1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row>
    <row r="210" spans="16:85" customFormat="1" x14ac:dyDescent="0.35">
      <c r="P210" s="1042"/>
      <c r="AO210" s="5"/>
      <c r="AP210" s="5"/>
      <c r="AQ210" s="5"/>
      <c r="AR210" s="5"/>
      <c r="AS210" s="5"/>
      <c r="AT210" s="5"/>
      <c r="AU210" s="5"/>
      <c r="AV210" s="5"/>
      <c r="AW210" s="5"/>
      <c r="AX210" s="5"/>
      <c r="AY210" s="15"/>
      <c r="AZ210" s="5"/>
      <c r="BA210" s="1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row>
    <row r="211" spans="16:85" customFormat="1" x14ac:dyDescent="0.35">
      <c r="P211" s="1042"/>
      <c r="AO211" s="5"/>
      <c r="AP211" s="5"/>
      <c r="AQ211" s="5"/>
      <c r="AR211" s="5"/>
      <c r="AS211" s="5"/>
      <c r="AT211" s="5"/>
      <c r="AU211" s="5"/>
      <c r="AV211" s="5"/>
      <c r="AW211" s="5"/>
      <c r="AX211" s="5"/>
      <c r="AY211" s="15"/>
      <c r="AZ211" s="5"/>
      <c r="BA211" s="1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row>
    <row r="212" spans="16:85" customFormat="1" x14ac:dyDescent="0.35">
      <c r="P212" s="1042"/>
      <c r="AO212" s="5"/>
      <c r="AP212" s="5"/>
      <c r="AQ212" s="5"/>
      <c r="AR212" s="5"/>
      <c r="AS212" s="5"/>
      <c r="AT212" s="5"/>
      <c r="AU212" s="5"/>
      <c r="AV212" s="5"/>
      <c r="AW212" s="5"/>
      <c r="AX212" s="5"/>
      <c r="AY212" s="15"/>
      <c r="AZ212" s="5"/>
      <c r="BA212" s="1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row>
    <row r="213" spans="16:85" customFormat="1" x14ac:dyDescent="0.35">
      <c r="P213" s="1042"/>
      <c r="AO213" s="5"/>
      <c r="AP213" s="5"/>
      <c r="AQ213" s="5"/>
      <c r="AR213" s="5"/>
      <c r="AS213" s="5"/>
      <c r="AT213" s="5"/>
      <c r="AU213" s="5"/>
      <c r="AV213" s="5"/>
      <c r="AW213" s="5"/>
      <c r="AX213" s="5"/>
      <c r="AY213" s="15"/>
      <c r="AZ213" s="5"/>
      <c r="BA213" s="1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row>
    <row r="214" spans="16:85" customFormat="1" x14ac:dyDescent="0.35">
      <c r="P214" s="1042"/>
      <c r="AO214" s="5"/>
      <c r="AP214" s="5"/>
      <c r="AQ214" s="5"/>
      <c r="AR214" s="5"/>
      <c r="AS214" s="5"/>
      <c r="AT214" s="5"/>
      <c r="AU214" s="5"/>
      <c r="AV214" s="5"/>
      <c r="AW214" s="5"/>
      <c r="AX214" s="5"/>
      <c r="AY214" s="15"/>
      <c r="AZ214" s="5"/>
      <c r="BA214" s="1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row>
    <row r="215" spans="16:85" customFormat="1" x14ac:dyDescent="0.35">
      <c r="P215" s="1042"/>
      <c r="AO215" s="5"/>
      <c r="AP215" s="5"/>
      <c r="AQ215" s="5"/>
      <c r="AR215" s="5"/>
      <c r="AS215" s="5"/>
      <c r="AT215" s="5"/>
      <c r="AU215" s="5"/>
      <c r="AV215" s="5"/>
      <c r="AW215" s="5"/>
      <c r="AX215" s="5"/>
      <c r="AY215" s="15"/>
      <c r="AZ215" s="5"/>
      <c r="BA215" s="1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row>
    <row r="216" spans="16:85" customFormat="1" x14ac:dyDescent="0.35">
      <c r="P216" s="1042"/>
      <c r="AO216" s="5"/>
      <c r="AP216" s="5"/>
      <c r="AQ216" s="5"/>
      <c r="AR216" s="5"/>
      <c r="AS216" s="5"/>
      <c r="AT216" s="5"/>
      <c r="AU216" s="5"/>
      <c r="AV216" s="5"/>
      <c r="AW216" s="5"/>
      <c r="AX216" s="5"/>
      <c r="AY216" s="15"/>
      <c r="AZ216" s="5"/>
      <c r="BA216" s="1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row>
    <row r="217" spans="16:85" customFormat="1" x14ac:dyDescent="0.35">
      <c r="P217" s="1042"/>
      <c r="AO217" s="5"/>
      <c r="AP217" s="5"/>
      <c r="AQ217" s="5"/>
      <c r="AR217" s="5"/>
      <c r="AS217" s="5"/>
      <c r="AT217" s="5"/>
      <c r="AU217" s="5"/>
      <c r="AV217" s="5"/>
      <c r="AW217" s="5"/>
      <c r="AX217" s="5"/>
      <c r="AY217" s="15"/>
      <c r="AZ217" s="5"/>
      <c r="BA217" s="1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row>
    <row r="218" spans="16:85" customFormat="1" x14ac:dyDescent="0.35">
      <c r="P218" s="1042"/>
      <c r="AO218" s="5"/>
      <c r="AP218" s="5"/>
      <c r="AQ218" s="5"/>
      <c r="AR218" s="5"/>
      <c r="AS218" s="5"/>
      <c r="AT218" s="5"/>
      <c r="AU218" s="5"/>
      <c r="AV218" s="5"/>
      <c r="AW218" s="5"/>
      <c r="AX218" s="5"/>
      <c r="AY218" s="15"/>
      <c r="AZ218" s="5"/>
      <c r="BA218" s="1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row>
    <row r="219" spans="16:85" customFormat="1" x14ac:dyDescent="0.35">
      <c r="P219" s="1042"/>
      <c r="AO219" s="5"/>
      <c r="AP219" s="5"/>
      <c r="AQ219" s="5"/>
      <c r="AR219" s="5"/>
      <c r="AS219" s="5"/>
      <c r="AT219" s="5"/>
      <c r="AU219" s="5"/>
      <c r="AV219" s="5"/>
      <c r="AW219" s="5"/>
      <c r="AX219" s="5"/>
      <c r="AY219" s="15"/>
      <c r="AZ219" s="5"/>
      <c r="BA219" s="1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row>
    <row r="220" spans="16:85" customFormat="1" x14ac:dyDescent="0.35">
      <c r="P220" s="1042"/>
      <c r="AO220" s="5"/>
      <c r="AP220" s="5"/>
      <c r="AQ220" s="5"/>
      <c r="AR220" s="5"/>
      <c r="AS220" s="5"/>
      <c r="AT220" s="5"/>
      <c r="AU220" s="5"/>
      <c r="AV220" s="5"/>
      <c r="AW220" s="5"/>
      <c r="AX220" s="5"/>
      <c r="AY220" s="15"/>
      <c r="AZ220" s="5"/>
      <c r="BA220" s="1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row>
    <row r="221" spans="16:85" customFormat="1" x14ac:dyDescent="0.35">
      <c r="P221" s="1042"/>
      <c r="AO221" s="5"/>
      <c r="AP221" s="5"/>
      <c r="AQ221" s="5"/>
      <c r="AR221" s="5"/>
      <c r="AS221" s="5"/>
      <c r="AT221" s="5"/>
      <c r="AU221" s="5"/>
      <c r="AV221" s="5"/>
      <c r="AW221" s="5"/>
      <c r="AX221" s="5"/>
      <c r="AY221" s="15"/>
      <c r="AZ221" s="5"/>
      <c r="BA221" s="1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row>
    <row r="222" spans="16:85" customFormat="1" x14ac:dyDescent="0.35">
      <c r="P222" s="1042"/>
      <c r="AO222" s="5"/>
      <c r="AP222" s="5"/>
      <c r="AQ222" s="5"/>
      <c r="AR222" s="5"/>
      <c r="AS222" s="5"/>
      <c r="AT222" s="5"/>
      <c r="AU222" s="5"/>
      <c r="AV222" s="5"/>
      <c r="AW222" s="5"/>
      <c r="AX222" s="5"/>
      <c r="AY222" s="15"/>
      <c r="AZ222" s="5"/>
      <c r="BA222" s="1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row>
    <row r="223" spans="16:85" customFormat="1" x14ac:dyDescent="0.35">
      <c r="P223" s="1042"/>
      <c r="AO223" s="5"/>
      <c r="AP223" s="5"/>
      <c r="AQ223" s="5"/>
      <c r="AR223" s="5"/>
      <c r="AS223" s="5"/>
      <c r="AT223" s="5"/>
      <c r="AU223" s="5"/>
      <c r="AV223" s="5"/>
      <c r="AW223" s="5"/>
      <c r="AX223" s="5"/>
      <c r="AY223" s="15"/>
      <c r="AZ223" s="5"/>
      <c r="BA223" s="1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row>
    <row r="224" spans="16:85" customFormat="1" x14ac:dyDescent="0.35">
      <c r="P224" s="1042"/>
      <c r="AO224" s="5"/>
      <c r="AP224" s="5"/>
      <c r="AQ224" s="5"/>
      <c r="AR224" s="5"/>
      <c r="AS224" s="5"/>
      <c r="AT224" s="5"/>
      <c r="AU224" s="5"/>
      <c r="AV224" s="5"/>
      <c r="AW224" s="5"/>
      <c r="AX224" s="5"/>
      <c r="AY224" s="15"/>
      <c r="AZ224" s="5"/>
      <c r="BA224" s="1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row>
    <row r="225" spans="16:85" customFormat="1" x14ac:dyDescent="0.35">
      <c r="P225" s="1042"/>
      <c r="AO225" s="5"/>
      <c r="AP225" s="5"/>
      <c r="AQ225" s="5"/>
      <c r="AR225" s="5"/>
      <c r="AS225" s="5"/>
      <c r="AT225" s="5"/>
      <c r="AU225" s="5"/>
      <c r="AV225" s="5"/>
      <c r="AW225" s="5"/>
      <c r="AX225" s="5"/>
      <c r="AY225" s="15"/>
      <c r="AZ225" s="5"/>
      <c r="BA225" s="1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row>
    <row r="226" spans="16:85" customFormat="1" x14ac:dyDescent="0.35">
      <c r="P226" s="1042"/>
      <c r="AO226" s="5"/>
      <c r="AP226" s="5"/>
      <c r="AQ226" s="5"/>
      <c r="AR226" s="5"/>
      <c r="AS226" s="5"/>
      <c r="AT226" s="5"/>
      <c r="AU226" s="5"/>
      <c r="AV226" s="5"/>
      <c r="AW226" s="5"/>
      <c r="AX226" s="5"/>
      <c r="AY226" s="15"/>
      <c r="AZ226" s="5"/>
      <c r="BA226" s="1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row>
    <row r="227" spans="16:85" customFormat="1" x14ac:dyDescent="0.35">
      <c r="P227" s="1042"/>
      <c r="AO227" s="5"/>
      <c r="AP227" s="5"/>
      <c r="AQ227" s="5"/>
      <c r="AR227" s="5"/>
      <c r="AS227" s="5"/>
      <c r="AT227" s="5"/>
      <c r="AU227" s="5"/>
      <c r="AV227" s="5"/>
      <c r="AW227" s="5"/>
      <c r="AX227" s="5"/>
      <c r="AY227" s="15"/>
      <c r="AZ227" s="5"/>
      <c r="BA227" s="1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row>
    <row r="228" spans="16:85" customFormat="1" x14ac:dyDescent="0.35">
      <c r="P228" s="1042"/>
      <c r="AO228" s="5"/>
      <c r="AP228" s="5"/>
      <c r="AQ228" s="5"/>
      <c r="AR228" s="5"/>
      <c r="AS228" s="5"/>
      <c r="AT228" s="5"/>
      <c r="AU228" s="5"/>
      <c r="AV228" s="5"/>
      <c r="AW228" s="5"/>
      <c r="AX228" s="5"/>
      <c r="AY228" s="15"/>
      <c r="AZ228" s="5"/>
      <c r="BA228" s="1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row>
    <row r="229" spans="16:85" customFormat="1" x14ac:dyDescent="0.35">
      <c r="P229" s="1042"/>
      <c r="AO229" s="5"/>
      <c r="AP229" s="5"/>
      <c r="AQ229" s="5"/>
      <c r="AR229" s="5"/>
      <c r="AS229" s="5"/>
      <c r="AT229" s="5"/>
      <c r="AU229" s="5"/>
      <c r="AV229" s="5"/>
      <c r="AW229" s="5"/>
      <c r="AX229" s="5"/>
      <c r="AY229" s="15"/>
      <c r="AZ229" s="5"/>
      <c r="BA229" s="1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row>
    <row r="230" spans="16:85" customFormat="1" x14ac:dyDescent="0.35">
      <c r="P230" s="1042"/>
      <c r="AO230" s="5"/>
      <c r="AP230" s="5"/>
      <c r="AQ230" s="5"/>
      <c r="AR230" s="5"/>
      <c r="AS230" s="5"/>
      <c r="AT230" s="5"/>
      <c r="AU230" s="5"/>
      <c r="AV230" s="5"/>
      <c r="AW230" s="5"/>
      <c r="AX230" s="5"/>
      <c r="AY230" s="15"/>
      <c r="AZ230" s="5"/>
      <c r="BA230" s="1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row>
    <row r="231" spans="16:85" customFormat="1" x14ac:dyDescent="0.35">
      <c r="P231" s="1042"/>
      <c r="AO231" s="5"/>
      <c r="AP231" s="5"/>
      <c r="AQ231" s="5"/>
      <c r="AR231" s="5"/>
      <c r="AS231" s="5"/>
      <c r="AT231" s="5"/>
      <c r="AU231" s="5"/>
      <c r="AV231" s="5"/>
      <c r="AW231" s="5"/>
      <c r="AX231" s="5"/>
      <c r="AY231" s="15"/>
      <c r="AZ231" s="5"/>
      <c r="BA231" s="1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row>
    <row r="232" spans="16:85" customFormat="1" x14ac:dyDescent="0.35">
      <c r="P232" s="1042"/>
      <c r="AO232" s="5"/>
      <c r="AP232" s="5"/>
      <c r="AQ232" s="5"/>
      <c r="AR232" s="5"/>
      <c r="AS232" s="5"/>
      <c r="AT232" s="5"/>
      <c r="AU232" s="5"/>
      <c r="AV232" s="5"/>
      <c r="AW232" s="5"/>
      <c r="AX232" s="5"/>
      <c r="AY232" s="15"/>
      <c r="AZ232" s="5"/>
      <c r="BA232" s="1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row>
    <row r="233" spans="16:85" customFormat="1" x14ac:dyDescent="0.35">
      <c r="P233" s="1042"/>
      <c r="AO233" s="5"/>
      <c r="AP233" s="5"/>
      <c r="AQ233" s="5"/>
      <c r="AR233" s="5"/>
      <c r="AS233" s="5"/>
      <c r="AT233" s="5"/>
      <c r="AU233" s="5"/>
      <c r="AV233" s="5"/>
      <c r="AW233" s="5"/>
      <c r="AX233" s="5"/>
      <c r="AY233" s="15"/>
      <c r="AZ233" s="5"/>
      <c r="BA233" s="1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row>
    <row r="234" spans="16:85" customFormat="1" x14ac:dyDescent="0.35">
      <c r="P234" s="1042"/>
      <c r="AO234" s="5"/>
      <c r="AP234" s="5"/>
      <c r="AQ234" s="5"/>
      <c r="AR234" s="5"/>
      <c r="AS234" s="5"/>
      <c r="AT234" s="5"/>
      <c r="AU234" s="5"/>
      <c r="AV234" s="5"/>
      <c r="AW234" s="5"/>
      <c r="AX234" s="5"/>
      <c r="AY234" s="15"/>
      <c r="AZ234" s="5"/>
      <c r="BA234" s="1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row>
    <row r="235" spans="16:85" customFormat="1" x14ac:dyDescent="0.35">
      <c r="P235" s="1042"/>
      <c r="AO235" s="5"/>
      <c r="AP235" s="5"/>
      <c r="AQ235" s="5"/>
      <c r="AR235" s="5"/>
      <c r="AS235" s="5"/>
      <c r="AT235" s="5"/>
      <c r="AU235" s="5"/>
      <c r="AV235" s="5"/>
      <c r="AW235" s="5"/>
      <c r="AX235" s="5"/>
      <c r="AY235" s="15"/>
      <c r="AZ235" s="5"/>
      <c r="BA235" s="1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row>
    <row r="236" spans="16:85" customFormat="1" x14ac:dyDescent="0.35">
      <c r="P236" s="1042"/>
      <c r="AO236" s="5"/>
      <c r="AP236" s="5"/>
      <c r="AQ236" s="5"/>
      <c r="AR236" s="5"/>
      <c r="AS236" s="5"/>
      <c r="AT236" s="5"/>
      <c r="AU236" s="5"/>
      <c r="AV236" s="5"/>
      <c r="AW236" s="5"/>
      <c r="AX236" s="5"/>
      <c r="AY236" s="15"/>
      <c r="AZ236" s="5"/>
      <c r="BA236" s="1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row>
    <row r="237" spans="16:85" customFormat="1" x14ac:dyDescent="0.35">
      <c r="P237" s="1042"/>
      <c r="AO237" s="5"/>
      <c r="AP237" s="5"/>
      <c r="AQ237" s="5"/>
      <c r="AR237" s="5"/>
      <c r="AS237" s="5"/>
      <c r="AT237" s="5"/>
      <c r="AU237" s="5"/>
      <c r="AV237" s="5"/>
      <c r="AW237" s="5"/>
      <c r="AX237" s="5"/>
      <c r="AY237" s="15"/>
      <c r="AZ237" s="5"/>
      <c r="BA237" s="1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row>
    <row r="238" spans="16:85" customFormat="1" x14ac:dyDescent="0.35">
      <c r="P238" s="1042"/>
      <c r="AO238" s="5"/>
      <c r="AP238" s="5"/>
      <c r="AQ238" s="5"/>
      <c r="AR238" s="5"/>
      <c r="AS238" s="5"/>
      <c r="AT238" s="5"/>
      <c r="AU238" s="5"/>
      <c r="AV238" s="5"/>
      <c r="AW238" s="5"/>
      <c r="AX238" s="5"/>
      <c r="AY238" s="15"/>
      <c r="AZ238" s="5"/>
      <c r="BA238" s="1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row>
    <row r="239" spans="16:85" customFormat="1" x14ac:dyDescent="0.35">
      <c r="P239" s="1042"/>
      <c r="AO239" s="5"/>
      <c r="AP239" s="5"/>
      <c r="AQ239" s="5"/>
      <c r="AR239" s="5"/>
      <c r="AS239" s="5"/>
      <c r="AT239" s="5"/>
      <c r="AU239" s="5"/>
      <c r="AV239" s="5"/>
      <c r="AW239" s="5"/>
      <c r="AX239" s="5"/>
      <c r="AY239" s="15"/>
      <c r="AZ239" s="5"/>
      <c r="BA239" s="1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row>
    <row r="240" spans="16:85" customFormat="1" x14ac:dyDescent="0.35">
      <c r="P240" s="1042"/>
      <c r="AO240" s="5"/>
      <c r="AP240" s="5"/>
      <c r="AQ240" s="5"/>
      <c r="AR240" s="5"/>
      <c r="AS240" s="5"/>
      <c r="AT240" s="5"/>
      <c r="AU240" s="5"/>
      <c r="AV240" s="5"/>
      <c r="AW240" s="5"/>
      <c r="AX240" s="5"/>
      <c r="AY240" s="15"/>
      <c r="AZ240" s="5"/>
      <c r="BA240" s="1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row>
    <row r="241" spans="16:85" customFormat="1" x14ac:dyDescent="0.35">
      <c r="P241" s="1042"/>
      <c r="AO241" s="5"/>
      <c r="AP241" s="5"/>
      <c r="AQ241" s="5"/>
      <c r="AR241" s="5"/>
      <c r="AS241" s="5"/>
      <c r="AT241" s="5"/>
      <c r="AU241" s="5"/>
      <c r="AV241" s="5"/>
      <c r="AW241" s="5"/>
      <c r="AX241" s="5"/>
      <c r="AY241" s="15"/>
      <c r="AZ241" s="5"/>
      <c r="BA241" s="1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row>
    <row r="242" spans="16:85" customFormat="1" x14ac:dyDescent="0.35">
      <c r="P242" s="1042"/>
      <c r="AO242" s="5"/>
      <c r="AP242" s="5"/>
      <c r="AQ242" s="5"/>
      <c r="AR242" s="5"/>
      <c r="AS242" s="5"/>
      <c r="AT242" s="5"/>
      <c r="AU242" s="5"/>
      <c r="AV242" s="5"/>
      <c r="AW242" s="5"/>
      <c r="AX242" s="5"/>
      <c r="AY242" s="15"/>
      <c r="AZ242" s="5"/>
      <c r="BA242" s="1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row>
    <row r="243" spans="16:85" customFormat="1" x14ac:dyDescent="0.35">
      <c r="P243" s="1042"/>
      <c r="AO243" s="5"/>
      <c r="AP243" s="5"/>
      <c r="AQ243" s="5"/>
      <c r="AR243" s="5"/>
      <c r="AS243" s="5"/>
      <c r="AT243" s="5"/>
      <c r="AU243" s="5"/>
      <c r="AV243" s="5"/>
      <c r="AW243" s="5"/>
      <c r="AX243" s="5"/>
      <c r="AY243" s="15"/>
      <c r="AZ243" s="5"/>
      <c r="BA243" s="1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row>
    <row r="244" spans="16:85" customFormat="1" x14ac:dyDescent="0.35">
      <c r="P244" s="1042"/>
      <c r="AO244" s="5"/>
      <c r="AP244" s="5"/>
      <c r="AQ244" s="5"/>
      <c r="AR244" s="5"/>
      <c r="AS244" s="5"/>
      <c r="AT244" s="5"/>
      <c r="AU244" s="5"/>
      <c r="AV244" s="5"/>
      <c r="AW244" s="5"/>
      <c r="AX244" s="5"/>
      <c r="AY244" s="15"/>
      <c r="AZ244" s="5"/>
      <c r="BA244" s="1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row>
    <row r="245" spans="16:85" customFormat="1" x14ac:dyDescent="0.35">
      <c r="P245" s="1042"/>
      <c r="AO245" s="5"/>
      <c r="AP245" s="5"/>
      <c r="AQ245" s="5"/>
      <c r="AR245" s="5"/>
      <c r="AS245" s="5"/>
      <c r="AT245" s="5"/>
      <c r="AU245" s="5"/>
      <c r="AV245" s="5"/>
      <c r="AW245" s="5"/>
      <c r="AX245" s="5"/>
      <c r="AY245" s="15"/>
      <c r="AZ245" s="5"/>
      <c r="BA245" s="1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row>
    <row r="246" spans="16:85" customFormat="1" x14ac:dyDescent="0.35">
      <c r="P246" s="1042"/>
      <c r="AO246" s="5"/>
      <c r="AP246" s="5"/>
      <c r="AQ246" s="5"/>
      <c r="AR246" s="5"/>
      <c r="AS246" s="5"/>
      <c r="AT246" s="5"/>
      <c r="AU246" s="5"/>
      <c r="AV246" s="5"/>
      <c r="AW246" s="5"/>
      <c r="AX246" s="5"/>
      <c r="AY246" s="15"/>
      <c r="AZ246" s="5"/>
      <c r="BA246" s="1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row>
    <row r="247" spans="16:85" customFormat="1" x14ac:dyDescent="0.35">
      <c r="P247" s="1042"/>
      <c r="AO247" s="5"/>
      <c r="AP247" s="5"/>
      <c r="AQ247" s="5"/>
      <c r="AR247" s="5"/>
      <c r="AS247" s="5"/>
      <c r="AT247" s="5"/>
      <c r="AU247" s="5"/>
      <c r="AV247" s="5"/>
      <c r="AW247" s="5"/>
      <c r="AX247" s="5"/>
      <c r="AY247" s="15"/>
      <c r="AZ247" s="5"/>
      <c r="BA247" s="1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row>
    <row r="248" spans="16:85" customFormat="1" x14ac:dyDescent="0.35">
      <c r="P248" s="1042"/>
      <c r="AO248" s="5"/>
      <c r="AP248" s="5"/>
      <c r="AQ248" s="5"/>
      <c r="AR248" s="5"/>
      <c r="AS248" s="5"/>
      <c r="AT248" s="5"/>
      <c r="AU248" s="5"/>
      <c r="AV248" s="5"/>
      <c r="AW248" s="5"/>
      <c r="AX248" s="5"/>
      <c r="AY248" s="15"/>
      <c r="AZ248" s="5"/>
      <c r="BA248" s="1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row>
    <row r="249" spans="16:85" customFormat="1" x14ac:dyDescent="0.35">
      <c r="P249" s="1042"/>
      <c r="AO249" s="5"/>
      <c r="AP249" s="5"/>
      <c r="AQ249" s="5"/>
      <c r="AR249" s="5"/>
      <c r="AS249" s="5"/>
      <c r="AT249" s="5"/>
      <c r="AU249" s="5"/>
      <c r="AV249" s="5"/>
      <c r="AW249" s="5"/>
      <c r="AX249" s="5"/>
      <c r="AY249" s="15"/>
      <c r="AZ249" s="5"/>
      <c r="BA249" s="1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row>
    <row r="250" spans="16:85" customFormat="1" x14ac:dyDescent="0.35">
      <c r="P250" s="1042"/>
      <c r="AO250" s="5"/>
      <c r="AP250" s="5"/>
      <c r="AQ250" s="5"/>
      <c r="AR250" s="5"/>
      <c r="AS250" s="5"/>
      <c r="AT250" s="5"/>
      <c r="AU250" s="5"/>
      <c r="AV250" s="5"/>
      <c r="AW250" s="5"/>
      <c r="AX250" s="5"/>
      <c r="AY250" s="15"/>
      <c r="AZ250" s="5"/>
      <c r="BA250" s="1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row>
    <row r="251" spans="16:85" customFormat="1" x14ac:dyDescent="0.35">
      <c r="P251" s="1042"/>
      <c r="AO251" s="5"/>
      <c r="AP251" s="5"/>
      <c r="AQ251" s="5"/>
      <c r="AR251" s="5"/>
      <c r="AS251" s="5"/>
      <c r="AT251" s="5"/>
      <c r="AU251" s="5"/>
      <c r="AV251" s="5"/>
      <c r="AW251" s="5"/>
      <c r="AX251" s="5"/>
      <c r="AY251" s="15"/>
      <c r="AZ251" s="5"/>
      <c r="BA251" s="1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row>
    <row r="252" spans="16:85" customFormat="1" x14ac:dyDescent="0.35">
      <c r="P252" s="1042"/>
      <c r="AO252" s="5"/>
      <c r="AP252" s="5"/>
      <c r="AQ252" s="5"/>
      <c r="AR252" s="5"/>
      <c r="AS252" s="5"/>
      <c r="AT252" s="5"/>
      <c r="AU252" s="5"/>
      <c r="AV252" s="5"/>
      <c r="AW252" s="5"/>
      <c r="AX252" s="5"/>
      <c r="AY252" s="15"/>
      <c r="AZ252" s="5"/>
      <c r="BA252" s="1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row>
    <row r="253" spans="16:85" customFormat="1" x14ac:dyDescent="0.35">
      <c r="P253" s="1042"/>
      <c r="AO253" s="5"/>
      <c r="AP253" s="5"/>
      <c r="AQ253" s="5"/>
      <c r="AR253" s="5"/>
      <c r="AS253" s="5"/>
      <c r="AT253" s="5"/>
      <c r="AU253" s="5"/>
      <c r="AV253" s="5"/>
      <c r="AW253" s="5"/>
      <c r="AX253" s="5"/>
      <c r="AY253" s="15"/>
      <c r="AZ253" s="5"/>
      <c r="BA253" s="1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row>
    <row r="254" spans="16:85" customFormat="1" x14ac:dyDescent="0.35">
      <c r="P254" s="1042"/>
      <c r="AO254" s="5"/>
      <c r="AP254" s="5"/>
      <c r="AQ254" s="5"/>
      <c r="AR254" s="5"/>
      <c r="AS254" s="5"/>
      <c r="AT254" s="5"/>
      <c r="AU254" s="5"/>
      <c r="AV254" s="5"/>
      <c r="AW254" s="5"/>
      <c r="AX254" s="5"/>
      <c r="AY254" s="15"/>
      <c r="AZ254" s="5"/>
      <c r="BA254" s="1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row>
    <row r="255" spans="16:85" customFormat="1" x14ac:dyDescent="0.35">
      <c r="P255" s="1042"/>
      <c r="AO255" s="5"/>
      <c r="AP255" s="5"/>
      <c r="AQ255" s="5"/>
      <c r="AR255" s="5"/>
      <c r="AS255" s="5"/>
      <c r="AT255" s="5"/>
      <c r="AU255" s="5"/>
      <c r="AV255" s="5"/>
      <c r="AW255" s="5"/>
      <c r="AX255" s="5"/>
      <c r="AY255" s="15"/>
      <c r="AZ255" s="5"/>
      <c r="BA255" s="1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row>
    <row r="256" spans="16:85" customFormat="1" x14ac:dyDescent="0.35">
      <c r="P256" s="1042"/>
      <c r="AO256" s="5"/>
      <c r="AP256" s="5"/>
      <c r="AQ256" s="5"/>
      <c r="AR256" s="5"/>
      <c r="AS256" s="5"/>
      <c r="AT256" s="5"/>
      <c r="AU256" s="5"/>
      <c r="AV256" s="5"/>
      <c r="AW256" s="5"/>
      <c r="AX256" s="5"/>
      <c r="AY256" s="15"/>
      <c r="AZ256" s="5"/>
      <c r="BA256" s="1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row>
    <row r="257" spans="16:85" customFormat="1" x14ac:dyDescent="0.35">
      <c r="P257" s="1042"/>
      <c r="AO257" s="5"/>
      <c r="AP257" s="5"/>
      <c r="AQ257" s="5"/>
      <c r="AR257" s="5"/>
      <c r="AS257" s="5"/>
      <c r="AT257" s="5"/>
      <c r="AU257" s="5"/>
      <c r="AV257" s="5"/>
      <c r="AW257" s="5"/>
      <c r="AX257" s="5"/>
      <c r="AY257" s="15"/>
      <c r="AZ257" s="5"/>
      <c r="BA257" s="1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row>
    <row r="258" spans="16:85" customFormat="1" x14ac:dyDescent="0.35">
      <c r="P258" s="1042"/>
      <c r="AO258" s="5"/>
      <c r="AP258" s="5"/>
      <c r="AQ258" s="5"/>
      <c r="AR258" s="5"/>
      <c r="AS258" s="5"/>
      <c r="AT258" s="5"/>
      <c r="AU258" s="5"/>
      <c r="AV258" s="5"/>
      <c r="AW258" s="5"/>
      <c r="AX258" s="5"/>
      <c r="AY258" s="15"/>
      <c r="AZ258" s="5"/>
      <c r="BA258" s="1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row>
    <row r="259" spans="16:85" customFormat="1" x14ac:dyDescent="0.35">
      <c r="P259" s="1042"/>
      <c r="AO259" s="5"/>
      <c r="AP259" s="5"/>
      <c r="AQ259" s="5"/>
      <c r="AR259" s="5"/>
      <c r="AS259" s="5"/>
      <c r="AT259" s="5"/>
      <c r="AU259" s="5"/>
      <c r="AV259" s="5"/>
      <c r="AW259" s="5"/>
      <c r="AX259" s="5"/>
      <c r="AY259" s="15"/>
      <c r="AZ259" s="5"/>
      <c r="BA259" s="1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row>
    <row r="260" spans="16:85" customFormat="1" x14ac:dyDescent="0.35">
      <c r="P260" s="1042"/>
      <c r="AO260" s="5"/>
      <c r="AP260" s="5"/>
      <c r="AQ260" s="5"/>
      <c r="AR260" s="5"/>
      <c r="AS260" s="5"/>
      <c r="AT260" s="5"/>
      <c r="AU260" s="5"/>
      <c r="AV260" s="5"/>
      <c r="AW260" s="5"/>
      <c r="AX260" s="5"/>
      <c r="AY260" s="15"/>
      <c r="AZ260" s="5"/>
      <c r="BA260" s="1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row>
    <row r="261" spans="16:85" customFormat="1" x14ac:dyDescent="0.35">
      <c r="P261" s="1042"/>
      <c r="AO261" s="5"/>
      <c r="AP261" s="5"/>
      <c r="AQ261" s="5"/>
      <c r="AR261" s="5"/>
      <c r="AS261" s="5"/>
      <c r="AT261" s="5"/>
      <c r="AU261" s="5"/>
      <c r="AV261" s="5"/>
      <c r="AW261" s="5"/>
      <c r="AX261" s="5"/>
      <c r="AY261" s="15"/>
      <c r="AZ261" s="5"/>
      <c r="BA261" s="1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row>
    <row r="262" spans="16:85" customFormat="1" x14ac:dyDescent="0.35">
      <c r="P262" s="1042"/>
      <c r="AO262" s="5"/>
      <c r="AP262" s="5"/>
      <c r="AQ262" s="5"/>
      <c r="AR262" s="5"/>
      <c r="AS262" s="5"/>
      <c r="AT262" s="5"/>
      <c r="AU262" s="5"/>
      <c r="AV262" s="5"/>
      <c r="AW262" s="5"/>
      <c r="AX262" s="5"/>
      <c r="AY262" s="15"/>
      <c r="AZ262" s="5"/>
      <c r="BA262" s="1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row>
    <row r="263" spans="16:85" customFormat="1" x14ac:dyDescent="0.35">
      <c r="P263" s="1042"/>
      <c r="AO263" s="5"/>
      <c r="AP263" s="5"/>
      <c r="AQ263" s="5"/>
      <c r="AR263" s="5"/>
      <c r="AS263" s="5"/>
      <c r="AT263" s="5"/>
      <c r="AU263" s="5"/>
      <c r="AV263" s="5"/>
      <c r="AW263" s="5"/>
      <c r="AX263" s="5"/>
      <c r="AY263" s="15"/>
      <c r="AZ263" s="5"/>
      <c r="BA263" s="1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row>
    <row r="264" spans="16:85" customFormat="1" x14ac:dyDescent="0.35">
      <c r="P264" s="1042"/>
      <c r="AO264" s="5"/>
      <c r="AP264" s="5"/>
      <c r="AQ264" s="5"/>
      <c r="AR264" s="5"/>
      <c r="AS264" s="5"/>
      <c r="AT264" s="5"/>
      <c r="AU264" s="5"/>
      <c r="AV264" s="5"/>
      <c r="AW264" s="5"/>
      <c r="AX264" s="5"/>
      <c r="AY264" s="15"/>
      <c r="AZ264" s="5"/>
      <c r="BA264" s="1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row>
    <row r="265" spans="16:85" customFormat="1" x14ac:dyDescent="0.35">
      <c r="P265" s="1042"/>
      <c r="AO265" s="5"/>
      <c r="AP265" s="5"/>
      <c r="AQ265" s="5"/>
      <c r="AR265" s="5"/>
      <c r="AS265" s="5"/>
      <c r="AT265" s="5"/>
      <c r="AU265" s="5"/>
      <c r="AV265" s="5"/>
      <c r="AW265" s="5"/>
      <c r="AX265" s="5"/>
      <c r="AY265" s="15"/>
      <c r="AZ265" s="5"/>
      <c r="BA265" s="1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row>
    <row r="266" spans="16:85" customFormat="1" x14ac:dyDescent="0.35">
      <c r="P266" s="1042"/>
      <c r="AO266" s="5"/>
      <c r="AP266" s="5"/>
      <c r="AQ266" s="5"/>
      <c r="AR266" s="5"/>
      <c r="AS266" s="5"/>
      <c r="AT266" s="5"/>
      <c r="AU266" s="5"/>
      <c r="AV266" s="5"/>
      <c r="AW266" s="5"/>
      <c r="AX266" s="5"/>
      <c r="AY266" s="15"/>
      <c r="AZ266" s="5"/>
      <c r="BA266" s="1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row>
    <row r="267" spans="16:85" customFormat="1" x14ac:dyDescent="0.35">
      <c r="P267" s="1042"/>
      <c r="AO267" s="5"/>
      <c r="AP267" s="5"/>
      <c r="AQ267" s="5"/>
      <c r="AR267" s="5"/>
      <c r="AS267" s="5"/>
      <c r="AT267" s="5"/>
      <c r="AU267" s="5"/>
      <c r="AV267" s="5"/>
      <c r="AW267" s="5"/>
      <c r="AX267" s="5"/>
      <c r="AY267" s="15"/>
      <c r="AZ267" s="5"/>
      <c r="BA267" s="1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row>
    <row r="268" spans="16:85" customFormat="1" x14ac:dyDescent="0.35">
      <c r="P268" s="1042"/>
      <c r="AO268" s="5"/>
      <c r="AP268" s="5"/>
      <c r="AQ268" s="5"/>
      <c r="AR268" s="5"/>
      <c r="AS268" s="5"/>
      <c r="AT268" s="5"/>
      <c r="AU268" s="5"/>
      <c r="AV268" s="5"/>
      <c r="AW268" s="5"/>
      <c r="AX268" s="5"/>
      <c r="AY268" s="15"/>
      <c r="AZ268" s="5"/>
      <c r="BA268" s="1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row>
    <row r="269" spans="16:85" customFormat="1" x14ac:dyDescent="0.35">
      <c r="P269" s="1042"/>
      <c r="AO269" s="5"/>
      <c r="AP269" s="5"/>
      <c r="AQ269" s="5"/>
      <c r="AR269" s="5"/>
      <c r="AS269" s="5"/>
      <c r="AT269" s="5"/>
      <c r="AU269" s="5"/>
      <c r="AV269" s="5"/>
      <c r="AW269" s="5"/>
      <c r="AX269" s="5"/>
      <c r="AY269" s="15"/>
      <c r="AZ269" s="5"/>
      <c r="BA269" s="1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row>
    <row r="270" spans="16:85" customFormat="1" x14ac:dyDescent="0.35">
      <c r="P270" s="1042"/>
      <c r="AO270" s="5"/>
      <c r="AP270" s="5"/>
      <c r="AQ270" s="5"/>
      <c r="AR270" s="5"/>
      <c r="AS270" s="5"/>
      <c r="AT270" s="5"/>
      <c r="AU270" s="5"/>
      <c r="AV270" s="5"/>
      <c r="AW270" s="5"/>
      <c r="AX270" s="5"/>
      <c r="AY270" s="15"/>
      <c r="AZ270" s="5"/>
      <c r="BA270" s="1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row>
    <row r="271" spans="16:85" customFormat="1" x14ac:dyDescent="0.35">
      <c r="P271" s="1042"/>
      <c r="AO271" s="5"/>
      <c r="AP271" s="5"/>
      <c r="AQ271" s="5"/>
      <c r="AR271" s="5"/>
      <c r="AS271" s="5"/>
      <c r="AT271" s="5"/>
      <c r="AU271" s="5"/>
      <c r="AV271" s="5"/>
      <c r="AW271" s="5"/>
      <c r="AX271" s="5"/>
      <c r="AY271" s="15"/>
      <c r="AZ271" s="5"/>
      <c r="BA271" s="1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row>
    <row r="272" spans="16:85" customFormat="1" x14ac:dyDescent="0.35">
      <c r="P272" s="1042"/>
      <c r="AO272" s="5"/>
      <c r="AP272" s="5"/>
      <c r="AQ272" s="5"/>
      <c r="AR272" s="5"/>
      <c r="AS272" s="5"/>
      <c r="AT272" s="5"/>
      <c r="AU272" s="5"/>
      <c r="AV272" s="5"/>
      <c r="AW272" s="5"/>
      <c r="AX272" s="5"/>
      <c r="AY272" s="15"/>
      <c r="AZ272" s="5"/>
      <c r="BA272" s="1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row>
    <row r="273" spans="16:85" customFormat="1" x14ac:dyDescent="0.35">
      <c r="P273" s="1042"/>
      <c r="AO273" s="5"/>
      <c r="AP273" s="5"/>
      <c r="AQ273" s="5"/>
      <c r="AR273" s="5"/>
      <c r="AS273" s="5"/>
      <c r="AT273" s="5"/>
      <c r="AU273" s="5"/>
      <c r="AV273" s="5"/>
      <c r="AW273" s="5"/>
      <c r="AX273" s="5"/>
      <c r="AY273" s="15"/>
      <c r="AZ273" s="5"/>
      <c r="BA273" s="1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row>
    <row r="274" spans="16:85" customFormat="1" x14ac:dyDescent="0.35">
      <c r="P274" s="1042"/>
      <c r="AO274" s="5"/>
      <c r="AP274" s="5"/>
      <c r="AQ274" s="5"/>
      <c r="AR274" s="5"/>
      <c r="AS274" s="5"/>
      <c r="AT274" s="5"/>
      <c r="AU274" s="5"/>
      <c r="AV274" s="5"/>
      <c r="AW274" s="5"/>
      <c r="AX274" s="5"/>
      <c r="AY274" s="15"/>
      <c r="AZ274" s="5"/>
      <c r="BA274" s="1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row>
    <row r="275" spans="16:85" customFormat="1" x14ac:dyDescent="0.35">
      <c r="P275" s="1042"/>
      <c r="AO275" s="5"/>
      <c r="AP275" s="5"/>
      <c r="AQ275" s="5"/>
      <c r="AR275" s="5"/>
      <c r="AS275" s="5"/>
      <c r="AT275" s="5"/>
      <c r="AU275" s="5"/>
      <c r="AV275" s="5"/>
      <c r="AW275" s="5"/>
      <c r="AX275" s="5"/>
      <c r="AY275" s="15"/>
      <c r="AZ275" s="5"/>
      <c r="BA275" s="1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row>
    <row r="276" spans="16:85" customFormat="1" x14ac:dyDescent="0.35">
      <c r="P276" s="1042"/>
      <c r="AO276" s="5"/>
      <c r="AP276" s="5"/>
      <c r="AQ276" s="5"/>
      <c r="AR276" s="5"/>
      <c r="AS276" s="5"/>
      <c r="AT276" s="5"/>
      <c r="AU276" s="5"/>
      <c r="AV276" s="5"/>
      <c r="AW276" s="5"/>
      <c r="AX276" s="5"/>
      <c r="AY276" s="15"/>
      <c r="AZ276" s="5"/>
      <c r="BA276" s="1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row>
    <row r="277" spans="16:85" customFormat="1" x14ac:dyDescent="0.35">
      <c r="P277" s="1042"/>
      <c r="AO277" s="5"/>
      <c r="AP277" s="5"/>
      <c r="AQ277" s="5"/>
      <c r="AR277" s="5"/>
      <c r="AS277" s="5"/>
      <c r="AT277" s="5"/>
      <c r="AU277" s="5"/>
      <c r="AV277" s="5"/>
      <c r="AW277" s="5"/>
      <c r="AX277" s="5"/>
      <c r="AY277" s="15"/>
      <c r="AZ277" s="5"/>
      <c r="BA277" s="1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row>
    <row r="278" spans="16:85" customFormat="1" x14ac:dyDescent="0.35">
      <c r="P278" s="1042"/>
      <c r="AO278" s="5"/>
      <c r="AP278" s="5"/>
      <c r="AQ278" s="5"/>
      <c r="AR278" s="5"/>
      <c r="AS278" s="5"/>
      <c r="AT278" s="5"/>
      <c r="AU278" s="5"/>
      <c r="AV278" s="5"/>
      <c r="AW278" s="5"/>
      <c r="AX278" s="5"/>
      <c r="AY278" s="15"/>
      <c r="AZ278" s="5"/>
      <c r="BA278" s="1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row>
    <row r="279" spans="16:85" customFormat="1" x14ac:dyDescent="0.35">
      <c r="P279" s="1042"/>
      <c r="AO279" s="5"/>
      <c r="AP279" s="5"/>
      <c r="AQ279" s="5"/>
      <c r="AR279" s="5"/>
      <c r="AS279" s="5"/>
      <c r="AT279" s="5"/>
      <c r="AU279" s="5"/>
      <c r="AV279" s="5"/>
      <c r="AW279" s="5"/>
      <c r="AX279" s="5"/>
      <c r="AY279" s="15"/>
      <c r="AZ279" s="5"/>
      <c r="BA279" s="1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row>
    <row r="280" spans="16:85" customFormat="1" x14ac:dyDescent="0.35">
      <c r="P280" s="1042"/>
      <c r="AO280" s="5"/>
      <c r="AP280" s="5"/>
      <c r="AQ280" s="5"/>
      <c r="AR280" s="5"/>
      <c r="AS280" s="5"/>
      <c r="AT280" s="5"/>
      <c r="AU280" s="5"/>
      <c r="AV280" s="5"/>
      <c r="AW280" s="5"/>
      <c r="AX280" s="5"/>
      <c r="AY280" s="15"/>
      <c r="AZ280" s="5"/>
      <c r="BA280" s="1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row>
    <row r="281" spans="16:85" customFormat="1" x14ac:dyDescent="0.35">
      <c r="P281" s="1042"/>
      <c r="AO281" s="5"/>
      <c r="AP281" s="5"/>
      <c r="AQ281" s="5"/>
      <c r="AR281" s="5"/>
      <c r="AS281" s="5"/>
      <c r="AT281" s="5"/>
      <c r="AU281" s="5"/>
      <c r="AV281" s="5"/>
      <c r="AW281" s="5"/>
      <c r="AX281" s="5"/>
      <c r="AY281" s="15"/>
      <c r="AZ281" s="5"/>
      <c r="BA281" s="1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row>
    <row r="282" spans="16:85" customFormat="1" x14ac:dyDescent="0.35">
      <c r="P282" s="1042"/>
      <c r="AO282" s="5"/>
      <c r="AP282" s="5"/>
      <c r="AQ282" s="5"/>
      <c r="AR282" s="5"/>
      <c r="AS282" s="5"/>
      <c r="AT282" s="5"/>
      <c r="AU282" s="5"/>
      <c r="AV282" s="5"/>
      <c r="AW282" s="5"/>
      <c r="AX282" s="5"/>
      <c r="AY282" s="15"/>
      <c r="AZ282" s="5"/>
      <c r="BA282" s="1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row>
    <row r="283" spans="16:85" customFormat="1" x14ac:dyDescent="0.35">
      <c r="P283" s="1042"/>
      <c r="AO283" s="5"/>
      <c r="AP283" s="5"/>
      <c r="AQ283" s="5"/>
      <c r="AR283" s="5"/>
      <c r="AS283" s="5"/>
      <c r="AT283" s="5"/>
      <c r="AU283" s="5"/>
      <c r="AV283" s="5"/>
      <c r="AW283" s="5"/>
      <c r="AX283" s="5"/>
      <c r="AY283" s="15"/>
      <c r="AZ283" s="5"/>
      <c r="BA283" s="1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row>
    <row r="284" spans="16:85" customFormat="1" x14ac:dyDescent="0.35">
      <c r="P284" s="1042"/>
      <c r="AO284" s="5"/>
      <c r="AP284" s="5"/>
      <c r="AQ284" s="5"/>
      <c r="AR284" s="5"/>
      <c r="AS284" s="5"/>
      <c r="AT284" s="5"/>
      <c r="AU284" s="5"/>
      <c r="AV284" s="5"/>
      <c r="AW284" s="5"/>
      <c r="AX284" s="5"/>
      <c r="AY284" s="15"/>
      <c r="AZ284" s="5"/>
      <c r="BA284" s="1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row>
    <row r="285" spans="16:85" customFormat="1" x14ac:dyDescent="0.35">
      <c r="P285" s="1042"/>
      <c r="AO285" s="5"/>
      <c r="AP285" s="5"/>
      <c r="AQ285" s="5"/>
      <c r="AR285" s="5"/>
      <c r="AS285" s="5"/>
      <c r="AT285" s="5"/>
      <c r="AU285" s="5"/>
      <c r="AV285" s="5"/>
      <c r="AW285" s="5"/>
      <c r="AX285" s="5"/>
      <c r="AY285" s="15"/>
      <c r="AZ285" s="5"/>
      <c r="BA285" s="1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row>
    <row r="286" spans="16:85" customFormat="1" x14ac:dyDescent="0.35">
      <c r="P286" s="1042"/>
      <c r="AO286" s="5"/>
      <c r="AP286" s="5"/>
      <c r="AQ286" s="5"/>
      <c r="AR286" s="5"/>
      <c r="AS286" s="5"/>
      <c r="AT286" s="5"/>
      <c r="AU286" s="5"/>
      <c r="AV286" s="5"/>
      <c r="AW286" s="5"/>
      <c r="AX286" s="5"/>
      <c r="AY286" s="15"/>
      <c r="AZ286" s="5"/>
      <c r="BA286" s="1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row>
    <row r="287" spans="16:85" customFormat="1" x14ac:dyDescent="0.35">
      <c r="P287" s="1042"/>
      <c r="AO287" s="5"/>
      <c r="AP287" s="5"/>
      <c r="AQ287" s="5"/>
      <c r="AR287" s="5"/>
      <c r="AS287" s="5"/>
      <c r="AT287" s="5"/>
      <c r="AU287" s="5"/>
      <c r="AV287" s="5"/>
      <c r="AW287" s="5"/>
      <c r="AX287" s="5"/>
      <c r="AY287" s="15"/>
      <c r="AZ287" s="5"/>
      <c r="BA287" s="1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row>
    <row r="288" spans="16:85" customFormat="1" x14ac:dyDescent="0.35">
      <c r="P288" s="1042"/>
      <c r="AO288" s="5"/>
      <c r="AP288" s="5"/>
      <c r="AQ288" s="5"/>
      <c r="AR288" s="5"/>
      <c r="AS288" s="5"/>
      <c r="AT288" s="5"/>
      <c r="AU288" s="5"/>
      <c r="AV288" s="5"/>
      <c r="AW288" s="5"/>
      <c r="AX288" s="5"/>
      <c r="AY288" s="15"/>
      <c r="AZ288" s="5"/>
      <c r="BA288" s="1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row>
    <row r="289" spans="16:85" customFormat="1" x14ac:dyDescent="0.35">
      <c r="P289" s="1042"/>
      <c r="AO289" s="5"/>
      <c r="AP289" s="5"/>
      <c r="AQ289" s="5"/>
      <c r="AR289" s="5"/>
      <c r="AS289" s="5"/>
      <c r="AT289" s="5"/>
      <c r="AU289" s="5"/>
      <c r="AV289" s="5"/>
      <c r="AW289" s="5"/>
      <c r="AX289" s="5"/>
      <c r="AY289" s="15"/>
      <c r="AZ289" s="5"/>
      <c r="BA289" s="1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row>
    <row r="290" spans="16:85" customFormat="1" x14ac:dyDescent="0.35">
      <c r="P290" s="1042"/>
      <c r="AO290" s="5"/>
      <c r="AP290" s="5"/>
      <c r="AQ290" s="5"/>
      <c r="AR290" s="5"/>
      <c r="AS290" s="5"/>
      <c r="AT290" s="5"/>
      <c r="AU290" s="5"/>
      <c r="AV290" s="5"/>
      <c r="AW290" s="5"/>
      <c r="AX290" s="5"/>
      <c r="AY290" s="15"/>
      <c r="AZ290" s="5"/>
      <c r="BA290" s="1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row>
    <row r="291" spans="16:85" customFormat="1" x14ac:dyDescent="0.35">
      <c r="P291" s="1042"/>
      <c r="AO291" s="5"/>
      <c r="AP291" s="5"/>
      <c r="AQ291" s="5"/>
      <c r="AR291" s="5"/>
      <c r="AS291" s="5"/>
      <c r="AT291" s="5"/>
      <c r="AU291" s="5"/>
      <c r="AV291" s="5"/>
      <c r="AW291" s="5"/>
      <c r="AX291" s="5"/>
      <c r="AY291" s="15"/>
      <c r="AZ291" s="5"/>
      <c r="BA291" s="1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row>
    <row r="292" spans="16:85" customFormat="1" x14ac:dyDescent="0.35">
      <c r="P292" s="1042"/>
      <c r="AO292" s="5"/>
      <c r="AP292" s="5"/>
      <c r="AQ292" s="5"/>
      <c r="AR292" s="5"/>
      <c r="AS292" s="5"/>
      <c r="AT292" s="5"/>
      <c r="AU292" s="5"/>
      <c r="AV292" s="5"/>
      <c r="AW292" s="5"/>
      <c r="AX292" s="5"/>
      <c r="AY292" s="15"/>
      <c r="AZ292" s="5"/>
      <c r="BA292" s="1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row>
    <row r="293" spans="16:85" customFormat="1" x14ac:dyDescent="0.35">
      <c r="P293" s="1042"/>
      <c r="AO293" s="5"/>
      <c r="AP293" s="5"/>
      <c r="AQ293" s="5"/>
      <c r="AR293" s="5"/>
      <c r="AS293" s="5"/>
      <c r="AT293" s="5"/>
      <c r="AU293" s="5"/>
      <c r="AV293" s="5"/>
      <c r="AW293" s="5"/>
      <c r="AX293" s="5"/>
      <c r="AY293" s="15"/>
      <c r="AZ293" s="5"/>
      <c r="BA293" s="1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row>
    <row r="294" spans="16:85" customFormat="1" x14ac:dyDescent="0.35">
      <c r="P294" s="1042"/>
      <c r="AO294" s="5"/>
      <c r="AP294" s="5"/>
      <c r="AQ294" s="5"/>
      <c r="AR294" s="5"/>
      <c r="AS294" s="5"/>
      <c r="AT294" s="5"/>
      <c r="AU294" s="5"/>
      <c r="AV294" s="5"/>
      <c r="AW294" s="5"/>
      <c r="AX294" s="5"/>
      <c r="AY294" s="15"/>
      <c r="AZ294" s="5"/>
      <c r="BA294" s="1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row>
    <row r="295" spans="16:85" customFormat="1" x14ac:dyDescent="0.35">
      <c r="P295" s="1042"/>
      <c r="AO295" s="5"/>
      <c r="AP295" s="5"/>
      <c r="AQ295" s="5"/>
      <c r="AR295" s="5"/>
      <c r="AS295" s="5"/>
      <c r="AT295" s="5"/>
      <c r="AU295" s="5"/>
      <c r="AV295" s="5"/>
      <c r="AW295" s="5"/>
      <c r="AX295" s="5"/>
      <c r="AY295" s="15"/>
      <c r="AZ295" s="5"/>
      <c r="BA295" s="1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row>
    <row r="296" spans="16:85" customFormat="1" x14ac:dyDescent="0.35">
      <c r="P296" s="1042"/>
      <c r="AO296" s="5"/>
      <c r="AP296" s="5"/>
      <c r="AQ296" s="5"/>
      <c r="AR296" s="5"/>
      <c r="AS296" s="5"/>
      <c r="AT296" s="5"/>
      <c r="AU296" s="5"/>
      <c r="AV296" s="5"/>
      <c r="AW296" s="5"/>
      <c r="AX296" s="5"/>
      <c r="AY296" s="15"/>
      <c r="AZ296" s="5"/>
      <c r="BA296" s="1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row>
    <row r="297" spans="16:85" customFormat="1" x14ac:dyDescent="0.35">
      <c r="P297" s="1042"/>
      <c r="AO297" s="5"/>
      <c r="AP297" s="5"/>
      <c r="AQ297" s="5"/>
      <c r="AR297" s="5"/>
      <c r="AS297" s="5"/>
      <c r="AT297" s="5"/>
      <c r="AU297" s="5"/>
      <c r="AV297" s="5"/>
      <c r="AW297" s="5"/>
      <c r="AX297" s="5"/>
      <c r="AY297" s="15"/>
      <c r="AZ297" s="5"/>
      <c r="BA297" s="1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row>
    <row r="298" spans="16:85" customFormat="1" x14ac:dyDescent="0.35">
      <c r="P298" s="1042"/>
      <c r="AO298" s="5"/>
      <c r="AP298" s="5"/>
      <c r="AQ298" s="5"/>
      <c r="AR298" s="5"/>
      <c r="AS298" s="5"/>
      <c r="AT298" s="5"/>
      <c r="AU298" s="5"/>
      <c r="AV298" s="5"/>
      <c r="AW298" s="5"/>
      <c r="AX298" s="5"/>
      <c r="AY298" s="15"/>
      <c r="AZ298" s="5"/>
      <c r="BA298" s="1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row>
    <row r="299" spans="16:85" customFormat="1" x14ac:dyDescent="0.35">
      <c r="P299" s="1042"/>
      <c r="AO299" s="5"/>
      <c r="AP299" s="5"/>
      <c r="AQ299" s="5"/>
      <c r="AR299" s="5"/>
      <c r="AS299" s="5"/>
      <c r="AT299" s="5"/>
      <c r="AU299" s="5"/>
      <c r="AV299" s="5"/>
      <c r="AW299" s="5"/>
      <c r="AX299" s="5"/>
      <c r="AY299" s="15"/>
      <c r="AZ299" s="5"/>
      <c r="BA299" s="1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row>
    <row r="300" spans="16:85" customFormat="1" x14ac:dyDescent="0.35">
      <c r="P300" s="1042"/>
      <c r="AO300" s="5"/>
      <c r="AP300" s="5"/>
      <c r="AQ300" s="5"/>
      <c r="AR300" s="5"/>
      <c r="AS300" s="5"/>
      <c r="AT300" s="5"/>
      <c r="AU300" s="5"/>
      <c r="AV300" s="5"/>
      <c r="AW300" s="5"/>
      <c r="AX300" s="5"/>
      <c r="AY300" s="15"/>
      <c r="AZ300" s="5"/>
      <c r="BA300" s="1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row>
    <row r="301" spans="16:85" customFormat="1" x14ac:dyDescent="0.35">
      <c r="P301" s="1042"/>
      <c r="AO301" s="5"/>
      <c r="AP301" s="5"/>
      <c r="AQ301" s="5"/>
      <c r="AR301" s="5"/>
      <c r="AS301" s="5"/>
      <c r="AT301" s="5"/>
      <c r="AU301" s="5"/>
      <c r="AV301" s="5"/>
      <c r="AW301" s="5"/>
      <c r="AX301" s="5"/>
      <c r="AY301" s="15"/>
      <c r="AZ301" s="5"/>
      <c r="BA301" s="1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row>
    <row r="302" spans="16:85" customFormat="1" x14ac:dyDescent="0.35">
      <c r="P302" s="1042"/>
      <c r="AO302" s="5"/>
      <c r="AP302" s="5"/>
      <c r="AQ302" s="5"/>
      <c r="AR302" s="5"/>
      <c r="AS302" s="5"/>
      <c r="AT302" s="5"/>
      <c r="AU302" s="5"/>
      <c r="AV302" s="5"/>
      <c r="AW302" s="5"/>
      <c r="AX302" s="5"/>
      <c r="AY302" s="15"/>
      <c r="AZ302" s="5"/>
      <c r="BA302" s="1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row>
    <row r="303" spans="16:85" customFormat="1" x14ac:dyDescent="0.35">
      <c r="P303" s="1042"/>
      <c r="AO303" s="5"/>
      <c r="AP303" s="5"/>
      <c r="AQ303" s="5"/>
      <c r="AR303" s="5"/>
      <c r="AS303" s="5"/>
      <c r="AT303" s="5"/>
      <c r="AU303" s="5"/>
      <c r="AV303" s="5"/>
      <c r="AW303" s="5"/>
      <c r="AX303" s="5"/>
      <c r="AY303" s="15"/>
      <c r="AZ303" s="5"/>
      <c r="BA303" s="1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row>
    <row r="304" spans="16:85" customFormat="1" x14ac:dyDescent="0.35">
      <c r="P304" s="1042"/>
      <c r="AO304" s="5"/>
      <c r="AP304" s="5"/>
      <c r="AQ304" s="5"/>
      <c r="AR304" s="5"/>
      <c r="AS304" s="5"/>
      <c r="AT304" s="5"/>
      <c r="AU304" s="5"/>
      <c r="AV304" s="5"/>
      <c r="AW304" s="5"/>
      <c r="AX304" s="5"/>
      <c r="AY304" s="15"/>
      <c r="AZ304" s="5"/>
      <c r="BA304" s="1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row>
    <row r="305" spans="16:85" customFormat="1" x14ac:dyDescent="0.35">
      <c r="P305" s="1042"/>
      <c r="AO305" s="5"/>
      <c r="AP305" s="5"/>
      <c r="AQ305" s="5"/>
      <c r="AR305" s="5"/>
      <c r="AS305" s="5"/>
      <c r="AT305" s="5"/>
      <c r="AU305" s="5"/>
      <c r="AV305" s="5"/>
      <c r="AW305" s="5"/>
      <c r="AX305" s="5"/>
      <c r="AY305" s="15"/>
      <c r="AZ305" s="5"/>
      <c r="BA305" s="1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row>
    <row r="306" spans="16:85" customFormat="1" x14ac:dyDescent="0.35">
      <c r="P306" s="1042"/>
      <c r="AO306" s="5"/>
      <c r="AP306" s="5"/>
      <c r="AQ306" s="5"/>
      <c r="AR306" s="5"/>
      <c r="AS306" s="5"/>
      <c r="AT306" s="5"/>
      <c r="AU306" s="5"/>
      <c r="AV306" s="5"/>
      <c r="AW306" s="5"/>
      <c r="AX306" s="5"/>
      <c r="AY306" s="15"/>
      <c r="AZ306" s="5"/>
      <c r="BA306" s="1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row>
    <row r="307" spans="16:85" customFormat="1" x14ac:dyDescent="0.35">
      <c r="P307" s="1042"/>
      <c r="AO307" s="5"/>
      <c r="AP307" s="5"/>
      <c r="AQ307" s="5"/>
      <c r="AR307" s="5"/>
      <c r="AS307" s="5"/>
      <c r="AT307" s="5"/>
      <c r="AU307" s="5"/>
      <c r="AV307" s="5"/>
      <c r="AW307" s="5"/>
      <c r="AX307" s="5"/>
      <c r="AY307" s="15"/>
      <c r="AZ307" s="5"/>
      <c r="BA307" s="1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row>
    <row r="308" spans="16:85" customFormat="1" x14ac:dyDescent="0.35">
      <c r="P308" s="1042"/>
      <c r="AO308" s="5"/>
      <c r="AP308" s="5"/>
      <c r="AQ308" s="5"/>
      <c r="AR308" s="5"/>
      <c r="AS308" s="5"/>
      <c r="AT308" s="5"/>
      <c r="AU308" s="5"/>
      <c r="AV308" s="5"/>
      <c r="AW308" s="5"/>
      <c r="AX308" s="5"/>
      <c r="AY308" s="15"/>
      <c r="AZ308" s="5"/>
      <c r="BA308" s="1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row>
    <row r="309" spans="16:85" customFormat="1" x14ac:dyDescent="0.35">
      <c r="P309" s="1042"/>
      <c r="AO309" s="5"/>
      <c r="AP309" s="5"/>
      <c r="AQ309" s="5"/>
      <c r="AR309" s="5"/>
      <c r="AS309" s="5"/>
      <c r="AT309" s="5"/>
      <c r="AU309" s="5"/>
      <c r="AV309" s="5"/>
      <c r="AW309" s="5"/>
      <c r="AX309" s="5"/>
      <c r="AY309" s="15"/>
      <c r="AZ309" s="5"/>
      <c r="BA309" s="1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row>
    <row r="310" spans="16:85" customFormat="1" x14ac:dyDescent="0.35">
      <c r="P310" s="1042"/>
      <c r="AO310" s="5"/>
      <c r="AP310" s="5"/>
      <c r="AQ310" s="5"/>
      <c r="AR310" s="5"/>
      <c r="AS310" s="5"/>
      <c r="AT310" s="5"/>
      <c r="AU310" s="5"/>
      <c r="AV310" s="5"/>
      <c r="AW310" s="5"/>
      <c r="AX310" s="5"/>
      <c r="AY310" s="15"/>
      <c r="AZ310" s="5"/>
      <c r="BA310" s="1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row>
    <row r="311" spans="16:85" customFormat="1" x14ac:dyDescent="0.35">
      <c r="P311" s="1042"/>
      <c r="AO311" s="5"/>
      <c r="AP311" s="5"/>
      <c r="AQ311" s="5"/>
      <c r="AR311" s="5"/>
      <c r="AS311" s="5"/>
      <c r="AT311" s="5"/>
      <c r="AU311" s="5"/>
      <c r="AV311" s="5"/>
      <c r="AW311" s="5"/>
      <c r="AX311" s="5"/>
      <c r="AY311" s="15"/>
      <c r="AZ311" s="5"/>
      <c r="BA311" s="1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row>
    <row r="312" spans="16:85" customFormat="1" x14ac:dyDescent="0.35">
      <c r="P312" s="1042"/>
      <c r="AO312" s="5"/>
      <c r="AP312" s="5"/>
      <c r="AQ312" s="5"/>
      <c r="AR312" s="5"/>
      <c r="AS312" s="5"/>
      <c r="AT312" s="5"/>
      <c r="AU312" s="5"/>
      <c r="AV312" s="5"/>
      <c r="AW312" s="5"/>
      <c r="AX312" s="5"/>
      <c r="AY312" s="15"/>
      <c r="AZ312" s="5"/>
      <c r="BA312" s="1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row>
    <row r="313" spans="16:85" customFormat="1" x14ac:dyDescent="0.35">
      <c r="P313" s="1042"/>
      <c r="AO313" s="5"/>
      <c r="AP313" s="5"/>
      <c r="AQ313" s="5"/>
      <c r="AR313" s="5"/>
      <c r="AS313" s="5"/>
      <c r="AT313" s="5"/>
      <c r="AU313" s="5"/>
      <c r="AV313" s="5"/>
      <c r="AW313" s="5"/>
      <c r="AX313" s="5"/>
      <c r="AY313" s="15"/>
      <c r="AZ313" s="5"/>
      <c r="BA313" s="1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row>
    <row r="314" spans="16:85" customFormat="1" x14ac:dyDescent="0.35">
      <c r="P314" s="1042"/>
      <c r="AO314" s="5"/>
      <c r="AP314" s="5"/>
      <c r="AQ314" s="5"/>
      <c r="AR314" s="5"/>
      <c r="AS314" s="5"/>
      <c r="AT314" s="5"/>
      <c r="AU314" s="5"/>
      <c r="AV314" s="5"/>
      <c r="AW314" s="5"/>
      <c r="AX314" s="5"/>
      <c r="AY314" s="15"/>
      <c r="AZ314" s="5"/>
      <c r="BA314" s="1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row>
    <row r="315" spans="16:85" customFormat="1" x14ac:dyDescent="0.35">
      <c r="P315" s="1042"/>
      <c r="AO315" s="5"/>
      <c r="AP315" s="5"/>
      <c r="AQ315" s="5"/>
      <c r="AR315" s="5"/>
      <c r="AS315" s="5"/>
      <c r="AT315" s="5"/>
      <c r="AU315" s="5"/>
      <c r="AV315" s="5"/>
      <c r="AW315" s="5"/>
      <c r="AX315" s="5"/>
      <c r="AY315" s="15"/>
      <c r="AZ315" s="5"/>
      <c r="BA315" s="1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row>
    <row r="316" spans="16:85" customFormat="1" x14ac:dyDescent="0.35">
      <c r="P316" s="1042"/>
      <c r="AO316" s="5"/>
      <c r="AP316" s="5"/>
      <c r="AQ316" s="5"/>
      <c r="AR316" s="5"/>
      <c r="AS316" s="5"/>
      <c r="AT316" s="5"/>
      <c r="AU316" s="5"/>
      <c r="AV316" s="5"/>
      <c r="AW316" s="5"/>
      <c r="AX316" s="5"/>
      <c r="AY316" s="15"/>
      <c r="AZ316" s="5"/>
      <c r="BA316" s="1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row>
    <row r="317" spans="16:85" customFormat="1" x14ac:dyDescent="0.35">
      <c r="P317" s="1042"/>
      <c r="AO317" s="5"/>
      <c r="AP317" s="5"/>
      <c r="AQ317" s="5"/>
      <c r="AR317" s="5"/>
      <c r="AS317" s="5"/>
      <c r="AT317" s="5"/>
      <c r="AU317" s="5"/>
      <c r="AV317" s="5"/>
      <c r="AW317" s="5"/>
      <c r="AX317" s="5"/>
      <c r="AY317" s="15"/>
      <c r="AZ317" s="5"/>
      <c r="BA317" s="1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row>
    <row r="318" spans="16:85" customFormat="1" x14ac:dyDescent="0.35">
      <c r="P318" s="1042"/>
      <c r="AO318" s="5"/>
      <c r="AP318" s="5"/>
      <c r="AQ318" s="5"/>
      <c r="AR318" s="5"/>
      <c r="AS318" s="5"/>
      <c r="AT318" s="5"/>
      <c r="AU318" s="5"/>
      <c r="AV318" s="5"/>
      <c r="AW318" s="5"/>
      <c r="AX318" s="5"/>
      <c r="AY318" s="15"/>
      <c r="AZ318" s="5"/>
      <c r="BA318" s="1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row>
    <row r="319" spans="16:85" customFormat="1" x14ac:dyDescent="0.35">
      <c r="P319" s="1042"/>
      <c r="AO319" s="5"/>
      <c r="AP319" s="5"/>
      <c r="AQ319" s="5"/>
      <c r="AR319" s="5"/>
      <c r="AS319" s="5"/>
      <c r="AT319" s="5"/>
      <c r="AU319" s="5"/>
      <c r="AV319" s="5"/>
      <c r="AW319" s="5"/>
      <c r="AX319" s="5"/>
      <c r="AY319" s="15"/>
      <c r="AZ319" s="5"/>
      <c r="BA319" s="1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row>
    <row r="320" spans="16:85" customFormat="1" x14ac:dyDescent="0.35">
      <c r="P320" s="1042"/>
      <c r="AO320" s="5"/>
      <c r="AP320" s="5"/>
      <c r="AQ320" s="5"/>
      <c r="AR320" s="5"/>
      <c r="AS320" s="5"/>
      <c r="AT320" s="5"/>
      <c r="AU320" s="5"/>
      <c r="AV320" s="5"/>
      <c r="AW320" s="5"/>
      <c r="AX320" s="5"/>
      <c r="AY320" s="15"/>
      <c r="AZ320" s="5"/>
      <c r="BA320" s="1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row>
    <row r="321" spans="16:85" customFormat="1" x14ac:dyDescent="0.35">
      <c r="P321" s="1042"/>
      <c r="AO321" s="5"/>
      <c r="AP321" s="5"/>
      <c r="AQ321" s="5"/>
      <c r="AR321" s="5"/>
      <c r="AS321" s="5"/>
      <c r="AT321" s="5"/>
      <c r="AU321" s="5"/>
      <c r="AV321" s="5"/>
      <c r="AW321" s="5"/>
      <c r="AX321" s="5"/>
      <c r="AY321" s="15"/>
      <c r="AZ321" s="5"/>
      <c r="BA321" s="1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row>
    <row r="322" spans="16:85" customFormat="1" x14ac:dyDescent="0.35">
      <c r="P322" s="1042"/>
      <c r="AO322" s="5"/>
      <c r="AP322" s="5"/>
      <c r="AQ322" s="5"/>
      <c r="AR322" s="5"/>
      <c r="AS322" s="5"/>
      <c r="AT322" s="5"/>
      <c r="AU322" s="5"/>
      <c r="AV322" s="5"/>
      <c r="AW322" s="5"/>
      <c r="AX322" s="5"/>
      <c r="AY322" s="15"/>
      <c r="AZ322" s="5"/>
      <c r="BA322" s="1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row>
    <row r="323" spans="16:85" customFormat="1" x14ac:dyDescent="0.35">
      <c r="P323" s="1042"/>
      <c r="AO323" s="5"/>
      <c r="AP323" s="5"/>
      <c r="AQ323" s="5"/>
      <c r="AR323" s="5"/>
      <c r="AS323" s="5"/>
      <c r="AT323" s="5"/>
      <c r="AU323" s="5"/>
      <c r="AV323" s="5"/>
      <c r="AW323" s="5"/>
      <c r="AX323" s="5"/>
      <c r="AY323" s="15"/>
      <c r="AZ323" s="5"/>
      <c r="BA323" s="1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row>
    <row r="324" spans="16:85" customFormat="1" x14ac:dyDescent="0.35">
      <c r="P324" s="1042"/>
      <c r="AO324" s="5"/>
      <c r="AP324" s="5"/>
      <c r="AQ324" s="5"/>
      <c r="AR324" s="5"/>
      <c r="AS324" s="5"/>
      <c r="AT324" s="5"/>
      <c r="AU324" s="5"/>
      <c r="AV324" s="5"/>
      <c r="AW324" s="5"/>
      <c r="AX324" s="5"/>
      <c r="AY324" s="15"/>
      <c r="AZ324" s="5"/>
      <c r="BA324" s="1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row>
    <row r="325" spans="16:85" customFormat="1" x14ac:dyDescent="0.35">
      <c r="P325" s="1042"/>
      <c r="AO325" s="5"/>
      <c r="AP325" s="5"/>
      <c r="AQ325" s="5"/>
      <c r="AR325" s="5"/>
      <c r="AS325" s="5"/>
      <c r="AT325" s="5"/>
      <c r="AU325" s="5"/>
      <c r="AV325" s="5"/>
      <c r="AW325" s="5"/>
      <c r="AX325" s="5"/>
      <c r="AY325" s="15"/>
      <c r="AZ325" s="5"/>
      <c r="BA325" s="1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row>
    <row r="326" spans="16:85" customFormat="1" x14ac:dyDescent="0.35">
      <c r="P326" s="1042"/>
      <c r="AO326" s="5"/>
      <c r="AP326" s="5"/>
      <c r="AQ326" s="5"/>
      <c r="AR326" s="5"/>
      <c r="AS326" s="5"/>
      <c r="AT326" s="5"/>
      <c r="AU326" s="5"/>
      <c r="AV326" s="5"/>
      <c r="AW326" s="5"/>
      <c r="AX326" s="5"/>
      <c r="AY326" s="15"/>
      <c r="AZ326" s="5"/>
      <c r="BA326" s="1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row>
    <row r="327" spans="16:85" customFormat="1" x14ac:dyDescent="0.35">
      <c r="P327" s="1042"/>
      <c r="AO327" s="5"/>
      <c r="AP327" s="5"/>
      <c r="AQ327" s="5"/>
      <c r="AR327" s="5"/>
      <c r="AS327" s="5"/>
      <c r="AT327" s="5"/>
      <c r="AU327" s="5"/>
      <c r="AV327" s="5"/>
      <c r="AW327" s="5"/>
      <c r="AX327" s="5"/>
      <c r="AY327" s="15"/>
      <c r="AZ327" s="5"/>
      <c r="BA327" s="1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row>
    <row r="328" spans="16:85" customFormat="1" x14ac:dyDescent="0.35">
      <c r="P328" s="1042"/>
      <c r="AO328" s="5"/>
      <c r="AP328" s="5"/>
      <c r="AQ328" s="5"/>
      <c r="AR328" s="5"/>
      <c r="AS328" s="5"/>
      <c r="AT328" s="5"/>
      <c r="AU328" s="5"/>
      <c r="AV328" s="5"/>
      <c r="AW328" s="5"/>
      <c r="AX328" s="5"/>
      <c r="AY328" s="15"/>
      <c r="AZ328" s="5"/>
      <c r="BA328" s="1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row>
    <row r="329" spans="16:85" customFormat="1" x14ac:dyDescent="0.35">
      <c r="P329" s="1042"/>
      <c r="AO329" s="5"/>
      <c r="AP329" s="5"/>
      <c r="AQ329" s="5"/>
      <c r="AR329" s="5"/>
      <c r="AS329" s="5"/>
      <c r="AT329" s="5"/>
      <c r="AU329" s="5"/>
      <c r="AV329" s="5"/>
      <c r="AW329" s="5"/>
      <c r="AX329" s="5"/>
      <c r="AY329" s="15"/>
      <c r="AZ329" s="5"/>
      <c r="BA329" s="1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row>
    <row r="330" spans="16:85" customFormat="1" x14ac:dyDescent="0.35">
      <c r="P330" s="1042"/>
      <c r="AO330" s="5"/>
      <c r="AP330" s="5"/>
      <c r="AQ330" s="5"/>
      <c r="AR330" s="5"/>
      <c r="AS330" s="5"/>
      <c r="AT330" s="5"/>
      <c r="AU330" s="5"/>
      <c r="AV330" s="5"/>
      <c r="AW330" s="5"/>
      <c r="AX330" s="5"/>
      <c r="AY330" s="15"/>
      <c r="AZ330" s="5"/>
      <c r="BA330" s="1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row>
    <row r="331" spans="16:85" customFormat="1" x14ac:dyDescent="0.35">
      <c r="P331" s="1042"/>
      <c r="AO331" s="5"/>
      <c r="AP331" s="5"/>
      <c r="AQ331" s="5"/>
      <c r="AR331" s="5"/>
      <c r="AS331" s="5"/>
      <c r="AT331" s="5"/>
      <c r="AU331" s="5"/>
      <c r="AV331" s="5"/>
      <c r="AW331" s="5"/>
      <c r="AX331" s="5"/>
      <c r="AY331" s="15"/>
      <c r="AZ331" s="5"/>
      <c r="BA331" s="1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row>
    <row r="332" spans="16:85" customFormat="1" x14ac:dyDescent="0.35">
      <c r="P332" s="1042"/>
      <c r="AO332" s="5"/>
      <c r="AP332" s="5"/>
      <c r="AQ332" s="5"/>
      <c r="AR332" s="5"/>
      <c r="AS332" s="5"/>
      <c r="AT332" s="5"/>
      <c r="AU332" s="5"/>
      <c r="AV332" s="5"/>
      <c r="AW332" s="5"/>
      <c r="AX332" s="5"/>
      <c r="AY332" s="15"/>
      <c r="AZ332" s="5"/>
      <c r="BA332" s="1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row>
    <row r="333" spans="16:85" customFormat="1" x14ac:dyDescent="0.35">
      <c r="P333" s="1042"/>
      <c r="AO333" s="5"/>
      <c r="AP333" s="5"/>
      <c r="AQ333" s="5"/>
      <c r="AR333" s="5"/>
      <c r="AS333" s="5"/>
      <c r="AT333" s="5"/>
      <c r="AU333" s="5"/>
      <c r="AV333" s="5"/>
      <c r="AW333" s="5"/>
      <c r="AX333" s="5"/>
      <c r="AY333" s="15"/>
      <c r="AZ333" s="5"/>
      <c r="BA333" s="1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row>
    <row r="334" spans="16:85" customFormat="1" x14ac:dyDescent="0.35">
      <c r="P334" s="1042"/>
      <c r="AO334" s="5"/>
      <c r="AP334" s="5"/>
      <c r="AQ334" s="5"/>
      <c r="AR334" s="5"/>
      <c r="AS334" s="5"/>
      <c r="AT334" s="5"/>
      <c r="AU334" s="5"/>
      <c r="AV334" s="5"/>
      <c r="AW334" s="5"/>
      <c r="AX334" s="5"/>
      <c r="AY334" s="15"/>
      <c r="AZ334" s="5"/>
      <c r="BA334" s="1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row>
    <row r="335" spans="16:85" customFormat="1" x14ac:dyDescent="0.35">
      <c r="P335" s="1042"/>
      <c r="AO335" s="5"/>
      <c r="AP335" s="5"/>
      <c r="AQ335" s="5"/>
      <c r="AR335" s="5"/>
      <c r="AS335" s="5"/>
      <c r="AT335" s="5"/>
      <c r="AU335" s="5"/>
      <c r="AV335" s="5"/>
      <c r="AW335" s="5"/>
      <c r="AX335" s="5"/>
      <c r="AY335" s="15"/>
      <c r="AZ335" s="5"/>
      <c r="BA335" s="1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row>
    <row r="336" spans="16:85" customFormat="1" x14ac:dyDescent="0.35">
      <c r="P336" s="1042"/>
      <c r="AO336" s="5"/>
      <c r="AP336" s="5"/>
      <c r="AQ336" s="5"/>
      <c r="AR336" s="5"/>
      <c r="AS336" s="5"/>
      <c r="AT336" s="5"/>
      <c r="AU336" s="5"/>
      <c r="AV336" s="5"/>
      <c r="AW336" s="5"/>
      <c r="AX336" s="5"/>
      <c r="AY336" s="15"/>
      <c r="AZ336" s="5"/>
      <c r="BA336" s="1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row>
    <row r="337" spans="16:85" customFormat="1" x14ac:dyDescent="0.35">
      <c r="P337" s="1042"/>
      <c r="AO337" s="5"/>
      <c r="AP337" s="5"/>
      <c r="AQ337" s="5"/>
      <c r="AR337" s="5"/>
      <c r="AS337" s="5"/>
      <c r="AT337" s="5"/>
      <c r="AU337" s="5"/>
      <c r="AV337" s="5"/>
      <c r="AW337" s="5"/>
      <c r="AX337" s="5"/>
      <c r="AY337" s="15"/>
      <c r="AZ337" s="5"/>
      <c r="BA337" s="1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row>
    <row r="338" spans="16:85" customFormat="1" x14ac:dyDescent="0.35">
      <c r="P338" s="1042"/>
      <c r="AO338" s="5"/>
      <c r="AP338" s="5"/>
      <c r="AQ338" s="5"/>
      <c r="AR338" s="5"/>
      <c r="AS338" s="5"/>
      <c r="AT338" s="5"/>
      <c r="AU338" s="5"/>
      <c r="AV338" s="5"/>
      <c r="AW338" s="5"/>
      <c r="AX338" s="5"/>
      <c r="AY338" s="15"/>
      <c r="AZ338" s="5"/>
      <c r="BA338" s="1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row>
    <row r="339" spans="16:85" customFormat="1" x14ac:dyDescent="0.35">
      <c r="P339" s="1042"/>
      <c r="AO339" s="5"/>
      <c r="AP339" s="5"/>
      <c r="AQ339" s="5"/>
      <c r="AR339" s="5"/>
      <c r="AS339" s="5"/>
      <c r="AT339" s="5"/>
      <c r="AU339" s="5"/>
      <c r="AV339" s="5"/>
      <c r="AW339" s="5"/>
      <c r="AX339" s="5"/>
      <c r="AY339" s="15"/>
      <c r="AZ339" s="5"/>
      <c r="BA339" s="1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row>
    <row r="340" spans="16:85" customFormat="1" x14ac:dyDescent="0.35">
      <c r="P340" s="1042"/>
      <c r="AO340" s="5"/>
      <c r="AP340" s="5"/>
      <c r="AQ340" s="5"/>
      <c r="AR340" s="5"/>
      <c r="AS340" s="5"/>
      <c r="AT340" s="5"/>
      <c r="AU340" s="5"/>
      <c r="AV340" s="5"/>
      <c r="AW340" s="5"/>
      <c r="AX340" s="5"/>
      <c r="AY340" s="15"/>
      <c r="AZ340" s="5"/>
      <c r="BA340" s="1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row>
    <row r="341" spans="16:85" customFormat="1" x14ac:dyDescent="0.35">
      <c r="P341" s="1042"/>
      <c r="AO341" s="5"/>
      <c r="AP341" s="5"/>
      <c r="AQ341" s="5"/>
      <c r="AR341" s="5"/>
      <c r="AS341" s="5"/>
      <c r="AT341" s="5"/>
      <c r="AU341" s="5"/>
      <c r="AV341" s="5"/>
      <c r="AW341" s="5"/>
      <c r="AX341" s="5"/>
      <c r="AY341" s="15"/>
      <c r="AZ341" s="5"/>
      <c r="BA341" s="1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row>
    <row r="342" spans="16:85" customFormat="1" x14ac:dyDescent="0.35">
      <c r="P342" s="1042"/>
      <c r="AO342" s="5"/>
      <c r="AP342" s="5"/>
      <c r="AQ342" s="5"/>
      <c r="AR342" s="5"/>
      <c r="AS342" s="5"/>
      <c r="AT342" s="5"/>
      <c r="AU342" s="5"/>
      <c r="AV342" s="5"/>
      <c r="AW342" s="5"/>
      <c r="AX342" s="5"/>
      <c r="AY342" s="15"/>
      <c r="AZ342" s="5"/>
      <c r="BA342" s="1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row>
    <row r="343" spans="16:85" customFormat="1" x14ac:dyDescent="0.35">
      <c r="P343" s="1042"/>
      <c r="AO343" s="5"/>
      <c r="AP343" s="5"/>
      <c r="AQ343" s="5"/>
      <c r="AR343" s="5"/>
      <c r="AS343" s="5"/>
      <c r="AT343" s="5"/>
      <c r="AU343" s="5"/>
      <c r="AV343" s="5"/>
      <c r="AW343" s="5"/>
      <c r="AX343" s="5"/>
      <c r="AY343" s="15"/>
      <c r="AZ343" s="5"/>
      <c r="BA343" s="1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row>
    <row r="344" spans="16:85" customFormat="1" x14ac:dyDescent="0.35">
      <c r="P344" s="1042"/>
      <c r="AO344" s="5"/>
      <c r="AP344" s="5"/>
      <c r="AQ344" s="5"/>
      <c r="AR344" s="5"/>
      <c r="AS344" s="5"/>
      <c r="AT344" s="5"/>
      <c r="AU344" s="5"/>
      <c r="AV344" s="5"/>
      <c r="AW344" s="5"/>
      <c r="AX344" s="5"/>
      <c r="AY344" s="15"/>
      <c r="AZ344" s="5"/>
      <c r="BA344" s="1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row>
    <row r="345" spans="16:85" customFormat="1" x14ac:dyDescent="0.35">
      <c r="P345" s="1042"/>
      <c r="AO345" s="5"/>
      <c r="AP345" s="5"/>
      <c r="AQ345" s="5"/>
      <c r="AR345" s="5"/>
      <c r="AS345" s="5"/>
      <c r="AT345" s="5"/>
      <c r="AU345" s="5"/>
      <c r="AV345" s="5"/>
      <c r="AW345" s="5"/>
      <c r="AX345" s="5"/>
      <c r="AY345" s="15"/>
      <c r="AZ345" s="5"/>
      <c r="BA345" s="1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row>
    <row r="346" spans="16:85" customFormat="1" x14ac:dyDescent="0.35">
      <c r="P346" s="1042"/>
      <c r="AO346" s="5"/>
      <c r="AP346" s="5"/>
      <c r="AQ346" s="5"/>
      <c r="AR346" s="5"/>
      <c r="AS346" s="5"/>
      <c r="AT346" s="5"/>
      <c r="AU346" s="5"/>
      <c r="AV346" s="5"/>
      <c r="AW346" s="5"/>
      <c r="AX346" s="5"/>
      <c r="AY346" s="15"/>
      <c r="AZ346" s="5"/>
      <c r="BA346" s="1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row>
    <row r="347" spans="16:85" customFormat="1" x14ac:dyDescent="0.35">
      <c r="P347" s="1042"/>
      <c r="AO347" s="5"/>
      <c r="AP347" s="5"/>
      <c r="AQ347" s="5"/>
      <c r="AR347" s="5"/>
      <c r="AS347" s="5"/>
      <c r="AT347" s="5"/>
      <c r="AU347" s="5"/>
      <c r="AV347" s="5"/>
      <c r="AW347" s="5"/>
      <c r="AX347" s="5"/>
      <c r="AY347" s="15"/>
      <c r="AZ347" s="5"/>
      <c r="BA347" s="1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row>
    <row r="348" spans="16:85" customFormat="1" x14ac:dyDescent="0.35">
      <c r="P348" s="1042"/>
      <c r="AO348" s="5"/>
      <c r="AP348" s="5"/>
      <c r="AQ348" s="5"/>
      <c r="AR348" s="5"/>
      <c r="AS348" s="5"/>
      <c r="AT348" s="5"/>
      <c r="AU348" s="5"/>
      <c r="AV348" s="5"/>
      <c r="AW348" s="5"/>
      <c r="AX348" s="5"/>
      <c r="AY348" s="15"/>
      <c r="AZ348" s="5"/>
      <c r="BA348" s="1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row>
    <row r="349" spans="16:85" customFormat="1" x14ac:dyDescent="0.35">
      <c r="P349" s="1042"/>
      <c r="AO349" s="5"/>
      <c r="AP349" s="5"/>
      <c r="AQ349" s="5"/>
      <c r="AR349" s="5"/>
      <c r="AS349" s="5"/>
      <c r="AT349" s="5"/>
      <c r="AU349" s="5"/>
      <c r="AV349" s="5"/>
      <c r="AW349" s="5"/>
      <c r="AX349" s="5"/>
      <c r="AY349" s="15"/>
      <c r="AZ349" s="5"/>
      <c r="BA349" s="1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row>
    <row r="350" spans="16:85" customFormat="1" x14ac:dyDescent="0.35">
      <c r="P350" s="1042"/>
      <c r="AO350" s="5"/>
      <c r="AP350" s="5"/>
      <c r="AQ350" s="5"/>
      <c r="AR350" s="5"/>
      <c r="AS350" s="5"/>
      <c r="AT350" s="5"/>
      <c r="AU350" s="5"/>
      <c r="AV350" s="5"/>
      <c r="AW350" s="5"/>
      <c r="AX350" s="5"/>
      <c r="AY350" s="15"/>
      <c r="AZ350" s="5"/>
      <c r="BA350" s="1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row>
    <row r="351" spans="16:85" customFormat="1" x14ac:dyDescent="0.35">
      <c r="P351" s="1042"/>
      <c r="AO351" s="5"/>
      <c r="AP351" s="5"/>
      <c r="AQ351" s="5"/>
      <c r="AR351" s="5"/>
      <c r="AS351" s="5"/>
      <c r="AT351" s="5"/>
      <c r="AU351" s="5"/>
      <c r="AV351" s="5"/>
      <c r="AW351" s="5"/>
      <c r="AX351" s="5"/>
      <c r="AY351" s="15"/>
      <c r="AZ351" s="5"/>
      <c r="BA351" s="1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row>
    <row r="352" spans="16:85" customFormat="1" x14ac:dyDescent="0.35">
      <c r="P352" s="1042"/>
      <c r="AO352" s="5"/>
      <c r="AP352" s="5"/>
      <c r="AQ352" s="5"/>
      <c r="AR352" s="5"/>
      <c r="AS352" s="5"/>
      <c r="AT352" s="5"/>
      <c r="AU352" s="5"/>
      <c r="AV352" s="5"/>
      <c r="AW352" s="5"/>
      <c r="AX352" s="5"/>
      <c r="AY352" s="15"/>
      <c r="AZ352" s="5"/>
      <c r="BA352" s="1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row>
    <row r="353" spans="16:85" customFormat="1" x14ac:dyDescent="0.35">
      <c r="P353" s="1042"/>
      <c r="AO353" s="5"/>
      <c r="AP353" s="5"/>
      <c r="AQ353" s="5"/>
      <c r="AR353" s="5"/>
      <c r="AS353" s="5"/>
      <c r="AT353" s="5"/>
      <c r="AU353" s="5"/>
      <c r="AV353" s="5"/>
      <c r="AW353" s="5"/>
      <c r="AX353" s="5"/>
      <c r="AY353" s="15"/>
      <c r="AZ353" s="5"/>
      <c r="BA353" s="1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row>
    <row r="354" spans="16:85" customFormat="1" x14ac:dyDescent="0.35">
      <c r="P354" s="1042"/>
      <c r="AO354" s="5"/>
      <c r="AP354" s="5"/>
      <c r="AQ354" s="5"/>
      <c r="AR354" s="5"/>
      <c r="AS354" s="5"/>
      <c r="AT354" s="5"/>
      <c r="AU354" s="5"/>
      <c r="AV354" s="5"/>
      <c r="AW354" s="5"/>
      <c r="AX354" s="5"/>
      <c r="AY354" s="15"/>
      <c r="AZ354" s="5"/>
      <c r="BA354" s="1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row>
    <row r="355" spans="16:85" customFormat="1" x14ac:dyDescent="0.35">
      <c r="P355" s="1042"/>
      <c r="AO355" s="5"/>
      <c r="AP355" s="5"/>
      <c r="AQ355" s="5"/>
      <c r="AR355" s="5"/>
      <c r="AS355" s="5"/>
      <c r="AT355" s="5"/>
      <c r="AU355" s="5"/>
      <c r="AV355" s="5"/>
      <c r="AW355" s="5"/>
      <c r="AX355" s="5"/>
      <c r="AY355" s="15"/>
      <c r="AZ355" s="5"/>
      <c r="BA355" s="1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row>
    <row r="356" spans="16:85" customFormat="1" x14ac:dyDescent="0.35">
      <c r="P356" s="1042"/>
      <c r="AO356" s="5"/>
      <c r="AP356" s="5"/>
      <c r="AQ356" s="5"/>
      <c r="AR356" s="5"/>
      <c r="AS356" s="5"/>
      <c r="AT356" s="5"/>
      <c r="AU356" s="5"/>
      <c r="AV356" s="5"/>
      <c r="AW356" s="5"/>
      <c r="AX356" s="5"/>
      <c r="AY356" s="15"/>
      <c r="AZ356" s="5"/>
      <c r="BA356" s="1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row>
    <row r="357" spans="16:85" customFormat="1" x14ac:dyDescent="0.35">
      <c r="P357" s="1042"/>
      <c r="AO357" s="5"/>
      <c r="AP357" s="5"/>
      <c r="AQ357" s="5"/>
      <c r="AR357" s="5"/>
      <c r="AS357" s="5"/>
      <c r="AT357" s="5"/>
      <c r="AU357" s="5"/>
      <c r="AV357" s="5"/>
      <c r="AW357" s="5"/>
      <c r="AX357" s="5"/>
      <c r="AY357" s="15"/>
      <c r="AZ357" s="5"/>
      <c r="BA357" s="1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row>
    <row r="358" spans="16:85" customFormat="1" x14ac:dyDescent="0.35">
      <c r="P358" s="1042"/>
      <c r="AO358" s="5"/>
      <c r="AP358" s="5"/>
      <c r="AQ358" s="5"/>
      <c r="AR358" s="5"/>
      <c r="AS358" s="5"/>
      <c r="AT358" s="5"/>
      <c r="AU358" s="5"/>
      <c r="AV358" s="5"/>
      <c r="AW358" s="5"/>
      <c r="AX358" s="5"/>
      <c r="AY358" s="15"/>
      <c r="AZ358" s="5"/>
      <c r="BA358" s="1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row>
    <row r="359" spans="16:85" customFormat="1" x14ac:dyDescent="0.35">
      <c r="P359" s="1042"/>
      <c r="AO359" s="5"/>
      <c r="AP359" s="5"/>
      <c r="AQ359" s="5"/>
      <c r="AR359" s="5"/>
      <c r="AS359" s="5"/>
      <c r="AT359" s="5"/>
      <c r="AU359" s="5"/>
      <c r="AV359" s="5"/>
      <c r="AW359" s="5"/>
      <c r="AX359" s="5"/>
      <c r="AY359" s="15"/>
      <c r="AZ359" s="5"/>
      <c r="BA359" s="1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row>
    <row r="360" spans="16:85" customFormat="1" x14ac:dyDescent="0.35">
      <c r="P360" s="1042"/>
      <c r="AO360" s="5"/>
      <c r="AP360" s="5"/>
      <c r="AQ360" s="5"/>
      <c r="AR360" s="5"/>
      <c r="AS360" s="5"/>
      <c r="AT360" s="5"/>
      <c r="AU360" s="5"/>
      <c r="AV360" s="5"/>
      <c r="AW360" s="5"/>
      <c r="AX360" s="5"/>
      <c r="AY360" s="15"/>
      <c r="AZ360" s="5"/>
      <c r="BA360" s="1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row>
    <row r="361" spans="16:85" customFormat="1" x14ac:dyDescent="0.35">
      <c r="P361" s="1042"/>
      <c r="AO361" s="5"/>
      <c r="AP361" s="5"/>
      <c r="AQ361" s="5"/>
      <c r="AR361" s="5"/>
      <c r="AS361" s="5"/>
      <c r="AT361" s="5"/>
      <c r="AU361" s="5"/>
      <c r="AV361" s="5"/>
      <c r="AW361" s="5"/>
      <c r="AX361" s="5"/>
      <c r="AY361" s="15"/>
      <c r="AZ361" s="5"/>
      <c r="BA361" s="1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row>
    <row r="362" spans="16:85" customFormat="1" x14ac:dyDescent="0.35">
      <c r="P362" s="1042"/>
      <c r="AO362" s="5"/>
      <c r="AP362" s="5"/>
      <c r="AQ362" s="5"/>
      <c r="AR362" s="5"/>
      <c r="AS362" s="5"/>
      <c r="AT362" s="5"/>
      <c r="AU362" s="5"/>
      <c r="AV362" s="5"/>
      <c r="AW362" s="5"/>
      <c r="AX362" s="5"/>
      <c r="AY362" s="15"/>
      <c r="AZ362" s="5"/>
      <c r="BA362" s="1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row>
    <row r="363" spans="16:85" customFormat="1" x14ac:dyDescent="0.35">
      <c r="P363" s="1042"/>
      <c r="AO363" s="5"/>
      <c r="AP363" s="5"/>
      <c r="AQ363" s="5"/>
      <c r="AR363" s="5"/>
      <c r="AS363" s="5"/>
      <c r="AT363" s="5"/>
      <c r="AU363" s="5"/>
      <c r="AV363" s="5"/>
      <c r="AW363" s="5"/>
      <c r="AX363" s="5"/>
      <c r="AY363" s="15"/>
      <c r="AZ363" s="5"/>
      <c r="BA363" s="1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row>
    <row r="364" spans="16:85" customFormat="1" x14ac:dyDescent="0.35">
      <c r="P364" s="1042"/>
      <c r="AO364" s="5"/>
      <c r="AP364" s="5"/>
      <c r="AQ364" s="5"/>
      <c r="AR364" s="5"/>
      <c r="AS364" s="5"/>
      <c r="AT364" s="5"/>
      <c r="AU364" s="5"/>
      <c r="AV364" s="5"/>
      <c r="AW364" s="5"/>
      <c r="AX364" s="5"/>
      <c r="AY364" s="15"/>
      <c r="AZ364" s="5"/>
      <c r="BA364" s="1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row>
    <row r="365" spans="16:85" customFormat="1" x14ac:dyDescent="0.35">
      <c r="P365" s="1042"/>
      <c r="AO365" s="5"/>
      <c r="AP365" s="5"/>
      <c r="AQ365" s="5"/>
      <c r="AR365" s="5"/>
      <c r="AS365" s="5"/>
      <c r="AT365" s="5"/>
      <c r="AU365" s="5"/>
      <c r="AV365" s="5"/>
      <c r="AW365" s="5"/>
      <c r="AX365" s="5"/>
      <c r="AY365" s="15"/>
      <c r="AZ365" s="5"/>
      <c r="BA365" s="1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row>
    <row r="366" spans="16:85" customFormat="1" x14ac:dyDescent="0.35">
      <c r="P366" s="1042"/>
      <c r="AO366" s="5"/>
      <c r="AP366" s="5"/>
      <c r="AQ366" s="5"/>
      <c r="AR366" s="5"/>
      <c r="AS366" s="5"/>
      <c r="AT366" s="5"/>
      <c r="AU366" s="5"/>
      <c r="AV366" s="5"/>
      <c r="AW366" s="5"/>
      <c r="AX366" s="5"/>
      <c r="AY366" s="15"/>
      <c r="AZ366" s="5"/>
      <c r="BA366" s="1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row>
    <row r="367" spans="16:85" customFormat="1" x14ac:dyDescent="0.35">
      <c r="P367" s="1042"/>
      <c r="AO367" s="5"/>
      <c r="AP367" s="5"/>
      <c r="AQ367" s="5"/>
      <c r="AR367" s="5"/>
      <c r="AS367" s="5"/>
      <c r="AT367" s="5"/>
      <c r="AU367" s="5"/>
      <c r="AV367" s="5"/>
      <c r="AW367" s="5"/>
      <c r="AX367" s="5"/>
      <c r="AY367" s="15"/>
      <c r="AZ367" s="5"/>
      <c r="BA367" s="1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row>
    <row r="368" spans="16:85" customFormat="1" x14ac:dyDescent="0.35">
      <c r="P368" s="1042"/>
      <c r="AO368" s="5"/>
      <c r="AP368" s="5"/>
      <c r="AQ368" s="5"/>
      <c r="AR368" s="5"/>
      <c r="AS368" s="5"/>
      <c r="AT368" s="5"/>
      <c r="AU368" s="5"/>
      <c r="AV368" s="5"/>
      <c r="AW368" s="5"/>
      <c r="AX368" s="5"/>
      <c r="AY368" s="15"/>
      <c r="AZ368" s="5"/>
      <c r="BA368" s="1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row>
    <row r="369" spans="16:85" customFormat="1" x14ac:dyDescent="0.35">
      <c r="P369" s="1042"/>
      <c r="AO369" s="5"/>
      <c r="AP369" s="5"/>
      <c r="AQ369" s="5"/>
      <c r="AR369" s="5"/>
      <c r="AS369" s="5"/>
      <c r="AT369" s="5"/>
      <c r="AU369" s="5"/>
      <c r="AV369" s="5"/>
      <c r="AW369" s="5"/>
      <c r="AX369" s="5"/>
      <c r="AY369" s="15"/>
      <c r="AZ369" s="5"/>
      <c r="BA369" s="1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row>
    <row r="370" spans="16:85" customFormat="1" x14ac:dyDescent="0.35">
      <c r="P370" s="1042"/>
      <c r="AO370" s="5"/>
      <c r="AP370" s="5"/>
      <c r="AQ370" s="5"/>
      <c r="AR370" s="5"/>
      <c r="AS370" s="5"/>
      <c r="AT370" s="5"/>
      <c r="AU370" s="5"/>
      <c r="AV370" s="5"/>
      <c r="AW370" s="5"/>
      <c r="AX370" s="5"/>
      <c r="AY370" s="15"/>
      <c r="AZ370" s="5"/>
      <c r="BA370" s="1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row>
    <row r="371" spans="16:85" customFormat="1" x14ac:dyDescent="0.35">
      <c r="P371" s="1042"/>
      <c r="AO371" s="5"/>
      <c r="AP371" s="5"/>
      <c r="AQ371" s="5"/>
      <c r="AR371" s="5"/>
      <c r="AS371" s="5"/>
      <c r="AT371" s="5"/>
      <c r="AU371" s="5"/>
      <c r="AV371" s="5"/>
      <c r="AW371" s="5"/>
      <c r="AX371" s="5"/>
      <c r="AY371" s="15"/>
      <c r="AZ371" s="5"/>
      <c r="BA371" s="1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row>
    <row r="372" spans="16:85" customFormat="1" x14ac:dyDescent="0.35">
      <c r="P372" s="1042"/>
      <c r="AO372" s="5"/>
      <c r="AP372" s="5"/>
      <c r="AQ372" s="5"/>
      <c r="AR372" s="5"/>
      <c r="AS372" s="5"/>
      <c r="AT372" s="5"/>
      <c r="AU372" s="5"/>
      <c r="AV372" s="5"/>
      <c r="AW372" s="5"/>
      <c r="AX372" s="5"/>
      <c r="AY372" s="15"/>
      <c r="AZ372" s="5"/>
      <c r="BA372" s="1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row>
    <row r="373" spans="16:85" customFormat="1" x14ac:dyDescent="0.35">
      <c r="P373" s="1042"/>
      <c r="AO373" s="5"/>
      <c r="AP373" s="5"/>
      <c r="AQ373" s="5"/>
      <c r="AR373" s="5"/>
      <c r="AS373" s="5"/>
      <c r="AT373" s="5"/>
      <c r="AU373" s="5"/>
      <c r="AV373" s="5"/>
      <c r="AW373" s="5"/>
      <c r="AX373" s="5"/>
      <c r="AY373" s="15"/>
      <c r="AZ373" s="5"/>
      <c r="BA373" s="1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row>
    <row r="374" spans="16:85" customFormat="1" x14ac:dyDescent="0.35">
      <c r="P374" s="1042"/>
      <c r="AO374" s="5"/>
      <c r="AP374" s="5"/>
      <c r="AQ374" s="5"/>
      <c r="AR374" s="5"/>
      <c r="AS374" s="5"/>
      <c r="AT374" s="5"/>
      <c r="AU374" s="5"/>
      <c r="AV374" s="5"/>
      <c r="AW374" s="5"/>
      <c r="AX374" s="5"/>
      <c r="AY374" s="15"/>
      <c r="AZ374" s="5"/>
      <c r="BA374" s="1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row>
    <row r="375" spans="16:85" customFormat="1" x14ac:dyDescent="0.35">
      <c r="P375" s="1042"/>
      <c r="AO375" s="5"/>
      <c r="AP375" s="5"/>
      <c r="AQ375" s="5"/>
      <c r="AR375" s="5"/>
      <c r="AS375" s="5"/>
      <c r="AT375" s="5"/>
      <c r="AU375" s="5"/>
      <c r="AV375" s="5"/>
      <c r="AW375" s="5"/>
      <c r="AX375" s="5"/>
      <c r="AY375" s="15"/>
      <c r="AZ375" s="5"/>
      <c r="BA375" s="1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row>
    <row r="376" spans="16:85" customFormat="1" x14ac:dyDescent="0.35">
      <c r="P376" s="1042"/>
      <c r="AO376" s="5"/>
      <c r="AP376" s="5"/>
      <c r="AQ376" s="5"/>
      <c r="AR376" s="5"/>
      <c r="AS376" s="5"/>
      <c r="AT376" s="5"/>
      <c r="AU376" s="5"/>
      <c r="AV376" s="5"/>
      <c r="AW376" s="5"/>
      <c r="AX376" s="5"/>
      <c r="AY376" s="15"/>
      <c r="AZ376" s="5"/>
      <c r="BA376" s="1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row>
    <row r="377" spans="16:85" customFormat="1" x14ac:dyDescent="0.35">
      <c r="P377" s="1042"/>
      <c r="AO377" s="5"/>
      <c r="AP377" s="5"/>
      <c r="AQ377" s="5"/>
      <c r="AR377" s="5"/>
      <c r="AS377" s="5"/>
      <c r="AT377" s="5"/>
      <c r="AU377" s="5"/>
      <c r="AV377" s="5"/>
      <c r="AW377" s="5"/>
      <c r="AX377" s="5"/>
      <c r="AY377" s="15"/>
      <c r="AZ377" s="5"/>
      <c r="BA377" s="1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row>
    <row r="378" spans="16:85" customFormat="1" x14ac:dyDescent="0.35">
      <c r="P378" s="1042"/>
      <c r="AO378" s="5"/>
      <c r="AP378" s="5"/>
      <c r="AQ378" s="5"/>
      <c r="AR378" s="5"/>
      <c r="AS378" s="5"/>
      <c r="AT378" s="5"/>
      <c r="AU378" s="5"/>
      <c r="AV378" s="5"/>
      <c r="AW378" s="5"/>
      <c r="AX378" s="5"/>
      <c r="AY378" s="15"/>
      <c r="AZ378" s="5"/>
      <c r="BA378" s="1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row>
    <row r="379" spans="16:85" customFormat="1" x14ac:dyDescent="0.35">
      <c r="P379" s="1042"/>
      <c r="AO379" s="5"/>
      <c r="AP379" s="5"/>
      <c r="AQ379" s="5"/>
      <c r="AR379" s="5"/>
      <c r="AS379" s="5"/>
      <c r="AT379" s="5"/>
      <c r="AU379" s="5"/>
      <c r="AV379" s="5"/>
      <c r="AW379" s="5"/>
      <c r="AX379" s="5"/>
      <c r="AY379" s="15"/>
      <c r="AZ379" s="5"/>
      <c r="BA379" s="1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row>
    <row r="380" spans="16:85" customFormat="1" x14ac:dyDescent="0.35">
      <c r="P380" s="1042"/>
      <c r="AO380" s="5"/>
      <c r="AP380" s="5"/>
      <c r="AQ380" s="5"/>
      <c r="AR380" s="5"/>
      <c r="AS380" s="5"/>
      <c r="AT380" s="5"/>
      <c r="AU380" s="5"/>
      <c r="AV380" s="5"/>
      <c r="AW380" s="5"/>
      <c r="AX380" s="5"/>
      <c r="AY380" s="15"/>
      <c r="AZ380" s="5"/>
      <c r="BA380" s="1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row>
    <row r="381" spans="16:85" customFormat="1" x14ac:dyDescent="0.35">
      <c r="P381" s="1042"/>
      <c r="AO381" s="5"/>
      <c r="AP381" s="5"/>
      <c r="AQ381" s="5"/>
      <c r="AR381" s="5"/>
      <c r="AS381" s="5"/>
      <c r="AT381" s="5"/>
      <c r="AU381" s="5"/>
      <c r="AV381" s="5"/>
      <c r="AW381" s="5"/>
      <c r="AX381" s="5"/>
      <c r="AY381" s="15"/>
      <c r="AZ381" s="5"/>
      <c r="BA381" s="1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row>
    <row r="382" spans="16:85" customFormat="1" x14ac:dyDescent="0.35">
      <c r="P382" s="1042"/>
      <c r="AO382" s="5"/>
      <c r="AP382" s="5"/>
      <c r="AQ382" s="5"/>
      <c r="AR382" s="5"/>
      <c r="AS382" s="5"/>
      <c r="AT382" s="5"/>
      <c r="AU382" s="5"/>
      <c r="AV382" s="5"/>
      <c r="AW382" s="5"/>
      <c r="AX382" s="5"/>
      <c r="AY382" s="15"/>
      <c r="AZ382" s="5"/>
      <c r="BA382" s="1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row>
    <row r="383" spans="16:85" customFormat="1" x14ac:dyDescent="0.35">
      <c r="P383" s="1042"/>
      <c r="AO383" s="5"/>
      <c r="AP383" s="5"/>
      <c r="AQ383" s="5"/>
      <c r="AR383" s="5"/>
      <c r="AS383" s="5"/>
      <c r="AT383" s="5"/>
      <c r="AU383" s="5"/>
      <c r="AV383" s="5"/>
      <c r="AW383" s="5"/>
      <c r="AX383" s="5"/>
      <c r="AY383" s="15"/>
      <c r="AZ383" s="5"/>
      <c r="BA383" s="1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row>
    <row r="384" spans="16:85" customFormat="1" x14ac:dyDescent="0.35">
      <c r="P384" s="1042"/>
      <c r="AO384" s="5"/>
      <c r="AP384" s="5"/>
      <c r="AQ384" s="5"/>
      <c r="AR384" s="5"/>
      <c r="AS384" s="5"/>
      <c r="AT384" s="5"/>
      <c r="AU384" s="5"/>
      <c r="AV384" s="5"/>
      <c r="AW384" s="5"/>
      <c r="AX384" s="5"/>
      <c r="AY384" s="15"/>
      <c r="AZ384" s="5"/>
      <c r="BA384" s="1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row>
    <row r="385" spans="16:85" customFormat="1" x14ac:dyDescent="0.35">
      <c r="P385" s="1042"/>
      <c r="AO385" s="5"/>
      <c r="AP385" s="5"/>
      <c r="AQ385" s="5"/>
      <c r="AR385" s="5"/>
      <c r="AS385" s="5"/>
      <c r="AT385" s="5"/>
      <c r="AU385" s="5"/>
      <c r="AV385" s="5"/>
      <c r="AW385" s="5"/>
      <c r="AX385" s="5"/>
      <c r="AY385" s="15"/>
      <c r="AZ385" s="5"/>
      <c r="BA385" s="1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row>
    <row r="386" spans="16:85" customFormat="1" x14ac:dyDescent="0.35">
      <c r="P386" s="1042"/>
      <c r="AO386" s="5"/>
      <c r="AP386" s="5"/>
      <c r="AQ386" s="5"/>
      <c r="AR386" s="5"/>
      <c r="AS386" s="5"/>
      <c r="AT386" s="5"/>
      <c r="AU386" s="5"/>
      <c r="AV386" s="5"/>
      <c r="AW386" s="5"/>
      <c r="AX386" s="5"/>
      <c r="AY386" s="15"/>
      <c r="AZ386" s="5"/>
      <c r="BA386" s="1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row>
    <row r="387" spans="16:85" customFormat="1" x14ac:dyDescent="0.35">
      <c r="P387" s="1042"/>
      <c r="AO387" s="5"/>
      <c r="AP387" s="5"/>
      <c r="AQ387" s="5"/>
      <c r="AR387" s="5"/>
      <c r="AS387" s="5"/>
      <c r="AT387" s="5"/>
      <c r="AU387" s="5"/>
      <c r="AV387" s="5"/>
      <c r="AW387" s="5"/>
      <c r="AX387" s="5"/>
      <c r="AY387" s="15"/>
      <c r="AZ387" s="5"/>
      <c r="BA387" s="1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row>
    <row r="388" spans="16:85" customFormat="1" x14ac:dyDescent="0.35">
      <c r="P388" s="1042"/>
      <c r="AO388" s="5"/>
      <c r="AP388" s="5"/>
      <c r="AQ388" s="5"/>
      <c r="AR388" s="5"/>
      <c r="AS388" s="5"/>
      <c r="AT388" s="5"/>
      <c r="AU388" s="5"/>
      <c r="AV388" s="5"/>
      <c r="AW388" s="5"/>
      <c r="AX388" s="5"/>
      <c r="AY388" s="15"/>
      <c r="AZ388" s="5"/>
      <c r="BA388" s="1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row>
  </sheetData>
  <sheetProtection algorithmName="SHA-512" hashValue="EmXwDYQBGqPV05GHZbyonS/VTFxFKvsy5VJ449NTnpN+Ab20zv+3XAeO9jKDyWACbOKCHvYkA86j5KWNB9pXbQ==" saltValue="qnkU2N/VbESEzmM0qUHGiw==" spinCount="100000" sheet="1" objects="1" scenarios="1"/>
  <phoneticPr fontId="0" type="noConversion"/>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DD582-9113-499A-B1CA-6E7A9058EC88}">
  <sheetPr codeName="Sheet82">
    <tabColor rgb="FFFF0000"/>
  </sheetPr>
  <dimension ref="A1:DG388"/>
  <sheetViews>
    <sheetView workbookViewId="0">
      <pane ySplit="2" topLeftCell="A3" activePane="bottomLeft" state="frozen"/>
      <selection activeCell="B1" sqref="B1:CZ1048576"/>
      <selection pane="bottomLeft" activeCell="A2" sqref="A2"/>
    </sheetView>
  </sheetViews>
  <sheetFormatPr defaultColWidth="9.08984375" defaultRowHeight="14.5" x14ac:dyDescent="0.35"/>
  <cols>
    <col min="1" max="1" width="12.90625" style="997" customWidth="1"/>
    <col min="2" max="2" width="10.08984375" style="997" hidden="1" customWidth="1"/>
    <col min="3" max="3" width="9.08984375" style="997" hidden="1" customWidth="1"/>
    <col min="4" max="4" width="11" style="997" hidden="1" customWidth="1"/>
    <col min="5" max="5" width="9.08984375" style="997" hidden="1" customWidth="1"/>
    <col min="6" max="8" width="10.08984375" style="997" hidden="1" customWidth="1"/>
    <col min="9" max="15" width="9.08984375" style="997" hidden="1" customWidth="1"/>
    <col min="16" max="16" width="9.08984375" style="1032" hidden="1" customWidth="1"/>
    <col min="17" max="24" width="9.08984375" style="997" hidden="1" customWidth="1"/>
    <col min="25" max="28" width="12.08984375" style="997" hidden="1" customWidth="1"/>
    <col min="29" max="29" width="9.08984375" style="997" hidden="1" customWidth="1"/>
    <col min="30" max="30" width="13.453125" style="997" hidden="1" customWidth="1"/>
    <col min="31" max="31" width="12.6328125" style="997" hidden="1" customWidth="1"/>
    <col min="32" max="32" width="9.08984375" style="997" hidden="1" customWidth="1"/>
    <col min="33" max="33" width="14.08984375" style="997" hidden="1" customWidth="1"/>
    <col min="34" max="34" width="10.54296875" style="997" hidden="1" customWidth="1"/>
    <col min="35" max="40" width="9.08984375" style="997" hidden="1" customWidth="1"/>
    <col min="41" max="41" width="9.08984375" style="1002" hidden="1" customWidth="1"/>
    <col min="42" max="42" width="15.453125" style="1002" hidden="1" customWidth="1"/>
    <col min="43" max="43" width="10" style="1002" hidden="1" customWidth="1"/>
    <col min="44" max="46" width="11.54296875" style="1002" hidden="1" customWidth="1"/>
    <col min="47" max="47" width="22" style="1002" hidden="1" customWidth="1"/>
    <col min="48" max="51" width="11.54296875" style="1002" hidden="1" customWidth="1"/>
    <col min="52" max="52" width="15.36328125" style="1002" hidden="1" customWidth="1"/>
    <col min="53" max="53" width="12.54296875" style="1002" hidden="1" customWidth="1"/>
    <col min="54" max="58" width="10" style="1002" hidden="1" customWidth="1"/>
    <col min="59" max="82" width="11.54296875" style="1002" hidden="1" customWidth="1"/>
    <col min="83" max="83" width="13.90625" style="1002" hidden="1" customWidth="1"/>
    <col min="84" max="85" width="5.6328125" style="1002" hidden="1" customWidth="1"/>
    <col min="86" max="87" width="10.08984375" style="997" hidden="1" customWidth="1"/>
    <col min="88" max="88" width="10.90625" style="997" hidden="1" customWidth="1"/>
    <col min="89" max="89" width="10.08984375" style="997" hidden="1" customWidth="1"/>
    <col min="90" max="100" width="9.08984375" style="997" hidden="1" customWidth="1"/>
    <col min="101" max="101" width="13.90625" style="997" hidden="1" customWidth="1"/>
    <col min="102" max="104" width="8.90625" hidden="1" customWidth="1"/>
    <col min="105" max="105" width="16" customWidth="1"/>
    <col min="106" max="16384" width="9.08984375" style="997"/>
  </cols>
  <sheetData>
    <row r="1" spans="1:111" x14ac:dyDescent="0.35">
      <c r="T1" s="2334"/>
      <c r="X1" s="998" t="s">
        <v>539</v>
      </c>
      <c r="Z1" s="1044" t="s">
        <v>1940</v>
      </c>
      <c r="AC1" s="1045" t="s">
        <v>581</v>
      </c>
      <c r="AD1" s="997" t="str">
        <f>global!H14</f>
        <v>Enter Levying Authority</v>
      </c>
      <c r="AE1" s="997" t="str">
        <f>VLOOKUP(AD1,authorities!A:I,9,FALSE)</f>
        <v>RV limit</v>
      </c>
      <c r="AH1" s="1025"/>
      <c r="AI1" s="1025"/>
      <c r="AJ1" s="999">
        <f>CK11</f>
        <v>11</v>
      </c>
      <c r="AK1" s="999"/>
      <c r="AL1" s="999"/>
      <c r="AM1" s="1002"/>
      <c r="AN1" s="1002"/>
      <c r="AR1" s="1000" t="s">
        <v>1936</v>
      </c>
      <c r="AS1" s="997"/>
      <c r="AT1" s="1000" t="s">
        <v>548</v>
      </c>
      <c r="AU1" s="1001">
        <f>data!C63</f>
        <v>1000000000000</v>
      </c>
      <c r="AV1" s="997" t="b">
        <f>advanced!AJ8</f>
        <v>0</v>
      </c>
      <c r="AW1" s="997"/>
      <c r="AX1" s="997" t="s">
        <v>456</v>
      </c>
      <c r="AY1">
        <f>reliefs!D15*-1</f>
        <v>-110000</v>
      </c>
      <c r="BA1" s="2372" t="s">
        <v>2899</v>
      </c>
      <c r="BB1" s="997"/>
      <c r="BC1" s="997"/>
      <c r="BD1" s="997"/>
      <c r="BE1" s="997"/>
      <c r="BG1" s="997"/>
      <c r="BH1" s="2441" t="s">
        <v>2941</v>
      </c>
      <c r="BI1" s="2442"/>
      <c r="BJ1" s="2442"/>
      <c r="BK1" s="2442"/>
      <c r="BL1" s="2442"/>
      <c r="BM1" s="2442"/>
      <c r="BN1" s="2442"/>
      <c r="BO1" s="2442"/>
      <c r="BP1" s="2442" t="s">
        <v>2942</v>
      </c>
      <c r="BQ1" s="2442" t="s">
        <v>2942</v>
      </c>
      <c r="BR1" s="2442"/>
      <c r="BS1" s="2442"/>
      <c r="BT1" s="2442"/>
      <c r="BU1" s="2442"/>
      <c r="BV1" s="2442"/>
      <c r="BW1" s="2442"/>
      <c r="BX1" s="2442"/>
      <c r="BY1" s="2442"/>
      <c r="BZ1" s="2442"/>
      <c r="CA1" s="2442"/>
      <c r="CB1" s="2442"/>
      <c r="CC1" s="2442"/>
      <c r="CD1" s="2334"/>
      <c r="CE1" s="2444"/>
      <c r="CH1" s="1027" t="s">
        <v>251</v>
      </c>
      <c r="CI1" s="1028" t="s">
        <v>660</v>
      </c>
      <c r="CJ1" s="1028" t="s">
        <v>267</v>
      </c>
      <c r="CK1" s="1028" t="s">
        <v>527</v>
      </c>
      <c r="CL1" s="1028" t="s">
        <v>47</v>
      </c>
      <c r="CM1" s="1029" t="s">
        <v>516</v>
      </c>
      <c r="CN1" s="1029" t="s">
        <v>517</v>
      </c>
      <c r="CO1" s="1029" t="s">
        <v>518</v>
      </c>
      <c r="CP1" s="1029" t="s">
        <v>519</v>
      </c>
      <c r="CQ1" s="2293" t="s">
        <v>320</v>
      </c>
      <c r="CR1" s="1028" t="s">
        <v>540</v>
      </c>
      <c r="CS1" s="1028" t="s">
        <v>541</v>
      </c>
      <c r="CT1" s="1028" t="s">
        <v>542</v>
      </c>
      <c r="CU1" s="1028" t="s">
        <v>547</v>
      </c>
      <c r="CV1" s="1030" t="b">
        <f ca="1">codes!I20</f>
        <v>1</v>
      </c>
      <c r="CW1" s="2294" t="s">
        <v>2811</v>
      </c>
    </row>
    <row r="2" spans="1:111" x14ac:dyDescent="0.35">
      <c r="A2" s="997" t="s">
        <v>549</v>
      </c>
      <c r="B2" s="997" t="s">
        <v>550</v>
      </c>
      <c r="C2" s="997" t="s">
        <v>269</v>
      </c>
      <c r="D2" s="997" t="s">
        <v>267</v>
      </c>
      <c r="E2" s="1002" t="s">
        <v>279</v>
      </c>
      <c r="F2" s="997" t="s">
        <v>551</v>
      </c>
      <c r="G2" s="997" t="s">
        <v>2656</v>
      </c>
      <c r="H2" s="997" t="s">
        <v>563</v>
      </c>
      <c r="I2" s="997" t="s">
        <v>421</v>
      </c>
      <c r="J2" s="997" t="s">
        <v>564</v>
      </c>
      <c r="K2" s="997" t="s">
        <v>565</v>
      </c>
      <c r="L2" s="997" t="s">
        <v>308</v>
      </c>
      <c r="M2" s="997" t="s">
        <v>566</v>
      </c>
      <c r="N2" s="997" t="s">
        <v>567</v>
      </c>
      <c r="O2" s="997" t="s">
        <v>568</v>
      </c>
      <c r="P2" s="1032" t="s">
        <v>569</v>
      </c>
      <c r="Q2" s="997" t="s">
        <v>794</v>
      </c>
      <c r="R2" s="997" t="s">
        <v>570</v>
      </c>
      <c r="S2" s="997" t="s">
        <v>657</v>
      </c>
      <c r="T2" s="2442" t="s">
        <v>571</v>
      </c>
      <c r="U2" s="997" t="s">
        <v>935</v>
      </c>
      <c r="V2" s="1000" t="s">
        <v>1939</v>
      </c>
      <c r="W2" s="1000" t="s">
        <v>1935</v>
      </c>
      <c r="X2" s="998" t="b">
        <f>advanced!AJ7</f>
        <v>0</v>
      </c>
      <c r="Y2" s="997" t="s">
        <v>580</v>
      </c>
      <c r="Z2" s="1045" t="b">
        <f>OR(global!D4=1,global!D4=2)</f>
        <v>0</v>
      </c>
      <c r="AA2" s="1043" t="s">
        <v>596</v>
      </c>
      <c r="AB2" s="1043" t="s">
        <v>1941</v>
      </c>
      <c r="AC2" s="1045" t="b">
        <f>global!D4=1</f>
        <v>0</v>
      </c>
      <c r="AD2" s="997" t="s">
        <v>582</v>
      </c>
      <c r="AE2" s="997" t="s">
        <v>583</v>
      </c>
      <c r="AF2" s="997" t="s">
        <v>584</v>
      </c>
      <c r="AG2" s="1000" t="s">
        <v>1934</v>
      </c>
      <c r="AH2" s="1026" t="s">
        <v>274</v>
      </c>
      <c r="AI2" s="997" t="s">
        <v>585</v>
      </c>
      <c r="AJ2" s="997" t="s">
        <v>586</v>
      </c>
      <c r="AK2" s="997" t="s">
        <v>587</v>
      </c>
      <c r="AL2" s="997" t="s">
        <v>588</v>
      </c>
      <c r="AO2" s="1002" t="s">
        <v>589</v>
      </c>
      <c r="AP2" s="997" t="s">
        <v>590</v>
      </c>
      <c r="AQ2" s="1043" t="s">
        <v>527</v>
      </c>
      <c r="AR2" s="1000" t="s">
        <v>1937</v>
      </c>
      <c r="AS2" s="997"/>
      <c r="AT2" s="1004" t="s">
        <v>272</v>
      </c>
      <c r="AU2" s="1004" t="s">
        <v>591</v>
      </c>
      <c r="AV2" s="1004" t="s">
        <v>592</v>
      </c>
      <c r="AW2" s="1004" t="s">
        <v>593</v>
      </c>
      <c r="AX2" s="1004" t="s">
        <v>594</v>
      </c>
      <c r="AY2" s="1004" t="s">
        <v>595</v>
      </c>
      <c r="AZ2" s="1002" t="s">
        <v>3045</v>
      </c>
      <c r="BA2" s="2373" t="b">
        <f>reliefs!E32</f>
        <v>0</v>
      </c>
      <c r="BC2" s="1005" t="s">
        <v>2913</v>
      </c>
      <c r="BD2" s="1005" t="s">
        <v>2901</v>
      </c>
      <c r="BE2" s="1005" t="s">
        <v>2914</v>
      </c>
      <c r="BF2" s="1005">
        <v>2021</v>
      </c>
      <c r="BG2" s="1004" t="s">
        <v>3044</v>
      </c>
      <c r="BH2" s="2441" t="s">
        <v>596</v>
      </c>
      <c r="BI2" s="2441" t="s">
        <v>43</v>
      </c>
      <c r="BJ2" s="2441" t="s">
        <v>2925</v>
      </c>
      <c r="BK2" s="2441" t="s">
        <v>2926</v>
      </c>
      <c r="BL2" s="2441" t="s">
        <v>2927</v>
      </c>
      <c r="BM2" s="2441" t="s">
        <v>2928</v>
      </c>
      <c r="BN2" s="2441" t="s">
        <v>1739</v>
      </c>
      <c r="BO2" s="2441" t="s">
        <v>2929</v>
      </c>
      <c r="BP2" s="2441" t="s">
        <v>58</v>
      </c>
      <c r="BQ2" s="2441" t="s">
        <v>2930</v>
      </c>
      <c r="BR2" s="2441" t="s">
        <v>2931</v>
      </c>
      <c r="BS2" s="2441" t="s">
        <v>2932</v>
      </c>
      <c r="BT2" s="2441" t="s">
        <v>2933</v>
      </c>
      <c r="BU2" s="2441" t="s">
        <v>2934</v>
      </c>
      <c r="BV2" s="2441" t="s">
        <v>2935</v>
      </c>
      <c r="BW2" s="2441" t="s">
        <v>2936</v>
      </c>
      <c r="BX2" s="2441" t="s">
        <v>2937</v>
      </c>
      <c r="BY2" s="2441" t="s">
        <v>2938</v>
      </c>
      <c r="BZ2" s="2441" t="s">
        <v>527</v>
      </c>
      <c r="CA2" s="2441" t="s">
        <v>563</v>
      </c>
      <c r="CB2" s="2441" t="s">
        <v>2939</v>
      </c>
      <c r="CC2" s="2334" t="s">
        <v>2940</v>
      </c>
      <c r="CD2" s="2443" t="s">
        <v>2944</v>
      </c>
      <c r="CE2" s="2443" t="s">
        <v>2953</v>
      </c>
      <c r="CH2" s="1031">
        <f>data!B13</f>
        <v>45017</v>
      </c>
      <c r="CI2" s="997">
        <v>1</v>
      </c>
      <c r="CJ2" s="1003">
        <f>data!E13</f>
        <v>45382</v>
      </c>
      <c r="CK2" s="1002">
        <f t="shared" ref="CK2:CK7" si="0">(CJ2-CH2)+1</f>
        <v>366</v>
      </c>
      <c r="CL2" s="1032">
        <f>data!C53</f>
        <v>0.499</v>
      </c>
      <c r="CM2" s="1033">
        <f ca="1">nncalc1!$D$31*$CV$1</f>
        <v>0</v>
      </c>
      <c r="CN2" s="1033">
        <f ca="1">nccalc1!$D$31*$CV$1</f>
        <v>0</v>
      </c>
      <c r="CO2" s="1033">
        <f ca="1">bncalc1!$D$31*$CV$1</f>
        <v>0</v>
      </c>
      <c r="CP2" s="1033">
        <f ca="1">bccalc1!$D$31*$CV$1</f>
        <v>0</v>
      </c>
      <c r="CQ2" s="997">
        <f>data!E53</f>
        <v>1.4E-2</v>
      </c>
      <c r="CR2" s="997">
        <f>CU2+1</f>
        <v>15001</v>
      </c>
      <c r="CS2" s="997">
        <f>data!F33</f>
        <v>1.2999999999999999E-2</v>
      </c>
      <c r="CT2" s="997">
        <f>data!C33</f>
        <v>12000</v>
      </c>
      <c r="CU2" s="997">
        <f>data!D33</f>
        <v>15000</v>
      </c>
      <c r="CV2" s="1034">
        <f>data!E33</f>
        <v>51000</v>
      </c>
      <c r="CW2" s="997">
        <f>data!L53</f>
        <v>0</v>
      </c>
    </row>
    <row r="3" spans="1:111" x14ac:dyDescent="0.35">
      <c r="A3" s="997">
        <v>1</v>
      </c>
      <c r="B3" s="1003">
        <f>CH2</f>
        <v>45017</v>
      </c>
      <c r="C3" s="997">
        <f>IF(OR(B3=0,B3=""),"",1)</f>
        <v>1</v>
      </c>
      <c r="D3" s="1003">
        <f>$CJ$2</f>
        <v>45382</v>
      </c>
      <c r="E3" s="1002" t="str">
        <f>VLOOKUP(B3,input_engine_ox!$B$23:$F$35,5,FALSE)</f>
        <v>nn</v>
      </c>
      <c r="F3" s="1003">
        <f>B3</f>
        <v>45017</v>
      </c>
      <c r="G3" s="1003">
        <f>IF(B3="","",IF(C4=C3,F4-1,D3))</f>
        <v>45382</v>
      </c>
      <c r="H3" s="1002">
        <f>IF(B3&lt;&gt;"",G3-F3+1,0)</f>
        <v>366</v>
      </c>
      <c r="I3" s="997">
        <f t="shared" ref="I3:I14" si="1">IF(AP3&gt;0,K3*P3,HLOOKUP(E3,$CM$1:$CP$9,1+$C$3,FALSE))</f>
        <v>0</v>
      </c>
      <c r="J3" s="997">
        <f t="shared" ref="J3:J14" si="2">I3/$CK$2</f>
        <v>0</v>
      </c>
      <c r="K3" s="997">
        <f t="shared" ref="K3:K14" si="3">HLOOKUP(E3,$CM$1:$CP$10,10,FALSE)</f>
        <v>0</v>
      </c>
      <c r="L3" s="1001">
        <f>input_engine_ox!E23</f>
        <v>0</v>
      </c>
      <c r="M3" s="1002" t="str">
        <f>IF(L3&lt;K3,"down","up")</f>
        <v>up</v>
      </c>
      <c r="N3" s="1002">
        <f>IF(OR(B3="",K3=0),0,IF(M3="down",J3*L3/K3*H3,0))</f>
        <v>0</v>
      </c>
      <c r="O3" s="1002">
        <f t="shared" ref="O3:O14" si="4">IF(B3="","",IF(M3="up",((J3*H3)+((L3-K3)*P3/$CK$2*H3)),0))</f>
        <v>0</v>
      </c>
      <c r="P3" s="1032">
        <f>$CL$2</f>
        <v>0.499</v>
      </c>
      <c r="Q3" s="997">
        <f>IF(M3="down",N3,O3)</f>
        <v>0</v>
      </c>
      <c r="R3" s="997">
        <f>IF(B3="",0,IF(U3=TRUE,(Q3/AH3)+AC3+(AD3/AH3),(Q3)+Y3+Z3+AC3+AD3))</f>
        <v>0</v>
      </c>
      <c r="S3" s="1006">
        <f>input_engine_ox!S23</f>
        <v>1</v>
      </c>
      <c r="T3" s="2442">
        <f ca="1">$CV$1*(IF(AND(AF3="y",L3&lt;AG3),0,R3*S3))+CB3+AZ3</f>
        <v>0</v>
      </c>
      <c r="U3" s="997" t="b">
        <f>AND(V3=TRUE,L3&lt;=W3,AF3="n",X3=FALSE)</f>
        <v>0</v>
      </c>
      <c r="V3" s="997" t="b">
        <f>advanced!$I$22="y"</f>
        <v>0</v>
      </c>
      <c r="W3" s="997">
        <f>data!$D$33</f>
        <v>15000</v>
      </c>
      <c r="X3" s="997" t="b">
        <f>$X$2</f>
        <v>0</v>
      </c>
      <c r="Y3" s="997">
        <f>IF(B3="",0,IF(AND($X$2=FALSE,AF3="n",OR(L3&lt;$CV$2,U3=TRUE,BX3=TRUE)),0,L3*$CS$2/$CK$2*H3))</f>
        <v>0</v>
      </c>
      <c r="Z3" s="997">
        <f t="shared" ref="Z3:Z14" si="5">IF(B3="",0,IF(AND($Z$2=TRUE,L3&gt;AA3),L3*AB3*H3/AQ3,0))</f>
        <v>0</v>
      </c>
      <c r="AA3" s="1002">
        <f>data!$G$53</f>
        <v>75000</v>
      </c>
      <c r="AB3" s="1002">
        <f>data!$F$53</f>
        <v>0.02</v>
      </c>
      <c r="AC3" s="997">
        <f>IF(B3="",0,L3*($CQ$2-IF(L3&lt;$CV$2,CW$2,0))/$CK$2*H3)*$AC$2/IF(U3=TRUE,AH3,1)</f>
        <v>0</v>
      </c>
      <c r="AD3" s="997">
        <f>IF(B3="",0,(IF($AE$1=authorities!$I$1,0,IF(L3&gt;AE3,VLOOKUP($AD$1,authorities!A:H,C3+1,FALSE),0)))*L3/$CK$2*H3)</f>
        <v>0</v>
      </c>
      <c r="AE3" s="997">
        <f>IF($AE$1=authorities!$I$1,0,$AE$1)</f>
        <v>0</v>
      </c>
      <c r="AF3" s="1006" t="str">
        <f>input_engine_ox!T23</f>
        <v>n</v>
      </c>
      <c r="AG3" s="1002">
        <f>data!$C$43</f>
        <v>2900</v>
      </c>
      <c r="AH3" s="1007">
        <f t="shared" ref="AH3:AH14" si="6">IF(L3&lt;=$CT$2,5000000,IF(L3&gt;$CU$2,1,IF(MID((($CU$2-$CT$2)/(L3-$CT$2)),6,1)="5",ROUND((($CU$2-$CT$2)/(L3-$CT$2))-0.0001,3),ROUND(($CU$2-$CT$2)/(L3-$CT$2),3))))</f>
        <v>5000000</v>
      </c>
      <c r="AI3" s="997">
        <f>IF(L3&lt;&gt;"",1,0)</f>
        <v>1</v>
      </c>
      <c r="AJ3" s="997" t="b">
        <f t="shared" ref="AJ3:AJ14" si="7">IF(AP3&gt;0,FALSE,HLOOKUP(E3,$CM$1:$CP$17,$AJ$1+1,FALSE))</f>
        <v>0</v>
      </c>
      <c r="AL3" s="997">
        <f>IF(OR(H3=0,F3="",K3=L3,AJ3=FALSE),0,IF(L3&lt;K3,1,0.01))</f>
        <v>0</v>
      </c>
      <c r="AO3" s="1002">
        <f>IF(advanced!I36&gt;0,0,IF(L3=0,1,0))</f>
        <v>1</v>
      </c>
      <c r="AP3" s="1002">
        <f>AO3</f>
        <v>1</v>
      </c>
      <c r="AQ3" s="1002">
        <f>$CK$2</f>
        <v>366</v>
      </c>
      <c r="AR3" s="997">
        <f ca="1">$CV$1*IF(AND(AF3="y",L3&lt;AG3),0,R3*S3)+CB3</f>
        <v>0</v>
      </c>
      <c r="AS3" s="997"/>
      <c r="AT3" s="997">
        <f>L3</f>
        <v>0</v>
      </c>
      <c r="AU3" s="997" t="b">
        <f t="shared" ref="AU3:AU14" si="8">AT3&lt;$AU$1</f>
        <v>1</v>
      </c>
      <c r="AV3" s="997" t="b">
        <f t="shared" ref="AV3:AV53" si="9">$AV$1</f>
        <v>0</v>
      </c>
      <c r="AW3" s="997" t="b">
        <f t="shared" ref="AW3:AW14" si="10">AF3="n"</f>
        <v>1</v>
      </c>
      <c r="AX3" s="997">
        <f>AU3*AV3*AW3*IF(S3=0,0,1)</f>
        <v>0</v>
      </c>
      <c r="AY3" s="2370">
        <f ca="1">AR3/reliefs!$D$7*AX3*-1</f>
        <v>0</v>
      </c>
      <c r="AZ3" s="1002">
        <f ca="1">$AY$15/$BG$15*H3*AX3</f>
        <v>0</v>
      </c>
      <c r="BA3" s="2371">
        <f>IF(BE3="y",BD3,BC3)</f>
        <v>0</v>
      </c>
      <c r="BB3" s="1043" t="s">
        <v>2912</v>
      </c>
      <c r="BC3" s="2371">
        <f>reliefs!E30</f>
        <v>0</v>
      </c>
      <c r="BD3" s="2381">
        <f>advanced!AN12</f>
        <v>0</v>
      </c>
      <c r="BE3" s="2380" t="str">
        <f>advanced!AN13</f>
        <v>n</v>
      </c>
      <c r="BF3" s="2369">
        <v>0</v>
      </c>
      <c r="BG3" s="997">
        <f>H3*AX3</f>
        <v>0</v>
      </c>
      <c r="BH3" s="997">
        <f>data!$G$33</f>
        <v>15000</v>
      </c>
      <c r="BI3" s="1001">
        <f>advanced!I9</f>
        <v>0</v>
      </c>
      <c r="BJ3" s="997">
        <f>IF(BI3&lt;=12000,5000000,IF(BI3&gt;15000,1,IF(MID((3000/(BI3-12000)),6,1)="5",ROUND((3000/(BI3-12000))-0.0001,3),ROUND(3000/(BI3-12000),3))))</f>
        <v>5000000</v>
      </c>
      <c r="BK3" s="997">
        <f>calc1!D144</f>
        <v>0.499</v>
      </c>
      <c r="BL3" s="997" t="b">
        <f>BI3&lt;BH3</f>
        <v>1</v>
      </c>
      <c r="BM3" s="997" t="b">
        <f>advanced!AJ5</f>
        <v>0</v>
      </c>
      <c r="BN3" s="997">
        <f>BI3*BK3/BJ3</f>
        <v>0</v>
      </c>
      <c r="BO3" s="997">
        <f>I3/IF(U3=TRUE,AH3,1)</f>
        <v>0</v>
      </c>
      <c r="BP3" s="997"/>
      <c r="BQ3" s="997"/>
      <c r="BR3" s="997">
        <f>BN3+600</f>
        <v>600</v>
      </c>
      <c r="BS3" s="997"/>
      <c r="BT3" s="997" t="b">
        <f>BO3&gt;BR3</f>
        <v>0</v>
      </c>
      <c r="BU3" s="997" t="b">
        <f>X2=FALSE</f>
        <v>1</v>
      </c>
      <c r="BV3" s="997" t="b">
        <f>AW3</f>
        <v>1</v>
      </c>
      <c r="BW3" s="997" t="b">
        <f>BV3</f>
        <v>1</v>
      </c>
      <c r="BX3" s="997" t="b">
        <f>BL3+BM3+BT3+BU3+BV3+BW3=6</f>
        <v>0</v>
      </c>
      <c r="BY3" s="997">
        <f>(BR3-BO3)</f>
        <v>600</v>
      </c>
      <c r="BZ3" s="997">
        <f>AQ3</f>
        <v>366</v>
      </c>
      <c r="CA3" s="997">
        <f>H3</f>
        <v>366</v>
      </c>
      <c r="CB3" s="997">
        <f>BY3/BZ3*CA3*BX3</f>
        <v>0</v>
      </c>
      <c r="CC3" s="997">
        <f>CB3</f>
        <v>0</v>
      </c>
      <c r="CD3" s="997">
        <f>BR3</f>
        <v>600</v>
      </c>
      <c r="CE3" s="1002" t="b">
        <f>advanced!AJ11</f>
        <v>0</v>
      </c>
      <c r="CH3" s="1031">
        <f>data!B14</f>
        <v>45383</v>
      </c>
      <c r="CI3" s="997">
        <v>2</v>
      </c>
      <c r="CJ3" s="1003">
        <f>data!E14</f>
        <v>45747</v>
      </c>
      <c r="CK3" s="1002">
        <f t="shared" si="0"/>
        <v>365</v>
      </c>
      <c r="CL3" s="1032">
        <f>data!C54</f>
        <v>0.499</v>
      </c>
      <c r="CM3" s="1033">
        <f ca="1">nncalc1!$E$31*$CV$1</f>
        <v>0</v>
      </c>
      <c r="CN3" s="1033">
        <f ca="1">nccalc1!$E$31*$CV$1</f>
        <v>0</v>
      </c>
      <c r="CO3" s="1033">
        <f ca="1">bncalc1!$E$31*$CV$1</f>
        <v>0</v>
      </c>
      <c r="CP3" s="1033">
        <f ca="1">bccalc1!$E$31*$CV$1</f>
        <v>0</v>
      </c>
      <c r="CQ3" s="997">
        <f>data!E54</f>
        <v>1.8000000000000002E-2</v>
      </c>
      <c r="CS3" s="997">
        <f>data!F34</f>
        <v>4.7000000000000042E-2</v>
      </c>
      <c r="CT3" s="997">
        <f>data!C34</f>
        <v>12000</v>
      </c>
      <c r="CU3" s="997">
        <f>data!D34</f>
        <v>15000</v>
      </c>
      <c r="CV3" s="1034">
        <f>data!E34</f>
        <v>51000</v>
      </c>
      <c r="CW3" s="997">
        <f>data!L54</f>
        <v>2.0000000000000018E-3</v>
      </c>
    </row>
    <row r="4" spans="1:111" x14ac:dyDescent="0.35">
      <c r="A4" s="997">
        <f t="shared" ref="A4:A14" si="11">A3+1</f>
        <v>2</v>
      </c>
      <c r="B4" s="1003" t="str">
        <f>IF(input_engine_ox!$P$21&gt;A3,VLOOKUP(A4,input_engine_ox!$P$23:$T$35,2,FALSE),"")</f>
        <v/>
      </c>
      <c r="C4" s="997" t="str">
        <f t="shared" ref="C4:C14" si="12">IF(OR(B4=0,B4=""),"",1)</f>
        <v/>
      </c>
      <c r="D4" s="1003">
        <f t="shared" ref="D4:D14" si="13">$CJ$2</f>
        <v>45382</v>
      </c>
      <c r="E4" s="1002" t="str">
        <f>IF(B4="",E3,VLOOKUP(B4,input_engine_ox!$B$23:$F$35,5,FALSE))</f>
        <v>nn</v>
      </c>
      <c r="F4" s="1003" t="str">
        <f t="shared" ref="F4:F14" si="14">B4</f>
        <v/>
      </c>
      <c r="G4" s="1003" t="str">
        <f t="shared" ref="G4:G13" si="15">IF(B4="","",IF(C5=C4,F5-1,D4))</f>
        <v/>
      </c>
      <c r="H4" s="1002">
        <f t="shared" ref="H4:H14" si="16">IF(B4&lt;&gt;"",G4-F4+1,0)</f>
        <v>0</v>
      </c>
      <c r="I4" s="997">
        <f t="shared" si="1"/>
        <v>0</v>
      </c>
      <c r="J4" s="997">
        <f t="shared" si="2"/>
        <v>0</v>
      </c>
      <c r="K4" s="997">
        <f t="shared" si="3"/>
        <v>0</v>
      </c>
      <c r="L4" s="997" t="str">
        <f>IF(input_engine_ox!$P$21&gt;A3,VLOOKUP(A4,input_engine_ox!$P$23:$T$36,3,FALSE),"")</f>
        <v/>
      </c>
      <c r="M4" s="1002" t="str">
        <f t="shared" ref="M4:M14" si="17">IF(L4&lt;K4,"down","up")</f>
        <v>up</v>
      </c>
      <c r="N4" s="1002" t="str">
        <f>IF(B4="","",IF(M4="down",J4*L4/K4*H4,0))</f>
        <v/>
      </c>
      <c r="O4" s="1002" t="str">
        <f t="shared" si="4"/>
        <v/>
      </c>
      <c r="P4" s="1032">
        <f t="shared" ref="P4:P14" si="18">$CL$2</f>
        <v>0.499</v>
      </c>
      <c r="Q4" s="997" t="str">
        <f t="shared" ref="Q4:Q14" si="19">IF(M4="down",N4,O4)</f>
        <v/>
      </c>
      <c r="R4" s="997">
        <f t="shared" ref="R4:R14" si="20">IF(B4="",0,IF(U4=TRUE,(Q4/AH4)+AC4+(AD4/AH4),(Q4)+Y4+Z4+AC4+AD4))</f>
        <v>0</v>
      </c>
      <c r="S4" s="1006">
        <f>IF(input_engine_ox!$P$21&gt;A3,VLOOKUP(A4,input_engine_ox!$P$23:$T$35,4,FALSE),0)</f>
        <v>0</v>
      </c>
      <c r="T4" s="2442">
        <f t="shared" ref="T4:T14" ca="1" si="21">$CV$1*(IF(AND(AF4="y",L4&lt;AG4),0,R4*S4))+CB4+AZ4</f>
        <v>0</v>
      </c>
      <c r="U4" s="997" t="b">
        <f t="shared" ref="U4:U14" si="22">AND(V4=TRUE,L4&lt;=W4,AF4="n",X4=FALSE)</f>
        <v>0</v>
      </c>
      <c r="V4" s="997" t="b">
        <f>advanced!$I$22="y"</f>
        <v>0</v>
      </c>
      <c r="W4" s="997">
        <f>data!$D$33</f>
        <v>15000</v>
      </c>
      <c r="X4" s="997" t="b">
        <f t="shared" ref="X4:X53" si="23">$X$2</f>
        <v>0</v>
      </c>
      <c r="Y4" s="997">
        <f t="shared" ref="Y4:Y14" si="24">IF(B4="",0,IF(AND($X$2=FALSE,AF4="n",OR(L4&lt;$CV$2,U4=TRUE,BX4=TRUE)),0,L4*$CS$2/$CK$2*H4))</f>
        <v>0</v>
      </c>
      <c r="Z4" s="997">
        <f t="shared" si="5"/>
        <v>0</v>
      </c>
      <c r="AA4" s="1002">
        <f>data!$G$53</f>
        <v>75000</v>
      </c>
      <c r="AB4" s="1002">
        <f>data!$F$53</f>
        <v>0.02</v>
      </c>
      <c r="AC4" s="997">
        <f t="shared" ref="AC4:AC14" si="25">IF(B4="",0,L4*($CQ$2-IF(L4&lt;$CV$2,CW$2,0))/$CK$2*H4)*$AC$2/IF(U4=TRUE,AH4,1)</f>
        <v>0</v>
      </c>
      <c r="AD4" s="997">
        <f>IF(B4="",0,(IF($AE$1=authorities!$I$1,0,IF(L4&gt;AE4,VLOOKUP($AD$1,authorities!A:H,C4+1,FALSE),0)))*L4/$CK$2*H4)</f>
        <v>0</v>
      </c>
      <c r="AE4" s="997">
        <f>IF($AE$1=authorities!$I$1,0,$AE$1)</f>
        <v>0</v>
      </c>
      <c r="AF4" s="1002">
        <f>IF(input_engine_ox!$P$21&gt;A3,VLOOKUP(A4,input_engine_ox!$P$23:$T$35,5,FALSE),0)</f>
        <v>0</v>
      </c>
      <c r="AG4" s="1002">
        <f>data!$C$43</f>
        <v>2900</v>
      </c>
      <c r="AH4" s="1007">
        <f t="shared" si="6"/>
        <v>1</v>
      </c>
      <c r="AI4" s="997">
        <f t="shared" ref="AI4:AI14" si="26">IF(L4&lt;&gt;"",1,0)</f>
        <v>0</v>
      </c>
      <c r="AJ4" s="997" t="b">
        <f t="shared" si="7"/>
        <v>0</v>
      </c>
      <c r="AL4" s="997">
        <f t="shared" ref="AL4:AL14" si="27">IF(OR(H4=0,F4="",K4=L4,AJ4=FALSE),0,IF(L4&lt;K4,1,0.01))</f>
        <v>0</v>
      </c>
      <c r="AO4" s="1002">
        <f t="shared" ref="AO4:AO27" si="28">IF(L4=0,1,0)</f>
        <v>0</v>
      </c>
      <c r="AP4" s="1002">
        <f>SUM(AO3:AO4)</f>
        <v>1</v>
      </c>
      <c r="AQ4" s="1002">
        <f t="shared" ref="AQ4:AQ14" si="29">$CK$2</f>
        <v>366</v>
      </c>
      <c r="AR4" s="997">
        <f t="shared" ref="AR4:AR40" ca="1" si="30">$CV$1*IF(AND(AF4="y",L4&lt;AG4),0,R4*S4)+CB4</f>
        <v>0</v>
      </c>
      <c r="AS4" s="997"/>
      <c r="AT4" s="997">
        <f t="shared" ref="AT4:AT14" si="31">IF(L4="",AT3,L4)</f>
        <v>0</v>
      </c>
      <c r="AU4" s="997" t="b">
        <f t="shared" si="8"/>
        <v>1</v>
      </c>
      <c r="AV4" s="997" t="b">
        <f t="shared" si="9"/>
        <v>0</v>
      </c>
      <c r="AW4" s="997" t="b">
        <f t="shared" si="10"/>
        <v>0</v>
      </c>
      <c r="AX4" s="997">
        <f t="shared" ref="AX4:AX14" si="32">AU4*AV4*AW4*IF(S4=0,0,1)</f>
        <v>0</v>
      </c>
      <c r="AY4" s="2370">
        <f ca="1">AR4/reliefs!$D$7*AX4*-1</f>
        <v>0</v>
      </c>
      <c r="AZ4" s="1002">
        <f t="shared" ref="AZ4:AZ14" ca="1" si="33">$AY$15/$BG$15*H4*AX4</f>
        <v>0</v>
      </c>
      <c r="BA4" s="2370"/>
      <c r="BB4" s="997"/>
      <c r="BC4" s="997"/>
      <c r="BD4" s="997"/>
      <c r="BE4" s="997"/>
      <c r="BG4" s="997">
        <f t="shared" ref="BG4:BG14" si="34">H4*AX4</f>
        <v>0</v>
      </c>
      <c r="BH4" s="997">
        <f t="shared" ref="BH4:BN19" si="35">BH3</f>
        <v>15000</v>
      </c>
      <c r="BI4" s="1001">
        <f t="shared" si="35"/>
        <v>0</v>
      </c>
      <c r="BJ4" s="997">
        <f t="shared" si="35"/>
        <v>5000000</v>
      </c>
      <c r="BK4" s="997">
        <f t="shared" si="35"/>
        <v>0.499</v>
      </c>
      <c r="BL4" s="997" t="b">
        <f t="shared" si="35"/>
        <v>1</v>
      </c>
      <c r="BM4" s="997" t="b">
        <f t="shared" si="35"/>
        <v>0</v>
      </c>
      <c r="BN4" s="997">
        <f t="shared" si="35"/>
        <v>0</v>
      </c>
      <c r="BO4" s="997">
        <f t="shared" ref="BO4:BO16" si="36">I4/IF(U4=TRUE,AH4,1)</f>
        <v>0</v>
      </c>
      <c r="BP4" s="997"/>
      <c r="BQ4" s="997"/>
      <c r="BR4" s="997">
        <f t="shared" ref="BR4:BR14" si="37">BN4+600</f>
        <v>600</v>
      </c>
      <c r="BS4" s="997"/>
      <c r="BT4" s="997" t="b">
        <f t="shared" ref="BT4:BT14" si="38">BO4&gt;BR4</f>
        <v>0</v>
      </c>
      <c r="BU4" s="997" t="b">
        <f>BU3</f>
        <v>1</v>
      </c>
      <c r="BV4" s="997" t="b">
        <f t="shared" ref="BV4:BV14" si="39">AW4</f>
        <v>0</v>
      </c>
      <c r="BW4" s="997" t="b">
        <f t="shared" ref="BW4:BW14" si="40">AND(BW3=TRUE,BV4=TRUE)</f>
        <v>0</v>
      </c>
      <c r="BX4" s="997" t="b">
        <f t="shared" ref="BX4:BX14" si="41">BL4+BM4+BT4+BU4+BV4+BW4=6</f>
        <v>0</v>
      </c>
      <c r="BY4" s="997">
        <f t="shared" ref="BY4:BY16" si="42">(BR4-BO4)</f>
        <v>600</v>
      </c>
      <c r="BZ4" s="997">
        <f t="shared" ref="BZ4:BZ16" si="43">AQ4</f>
        <v>366</v>
      </c>
      <c r="CA4" s="997">
        <f>H4</f>
        <v>0</v>
      </c>
      <c r="CB4" s="997">
        <f t="shared" ref="CB4:CB14" si="44">BY4/BZ4*CA4*BX4</f>
        <v>0</v>
      </c>
      <c r="CC4" s="997">
        <f>CB4</f>
        <v>0</v>
      </c>
      <c r="CD4" s="997">
        <f>CD3</f>
        <v>600</v>
      </c>
      <c r="CE4" s="1002" t="b">
        <f>CE3</f>
        <v>0</v>
      </c>
      <c r="CH4" s="1031">
        <f>data!B15</f>
        <v>45748</v>
      </c>
      <c r="CI4" s="997">
        <v>3</v>
      </c>
      <c r="CJ4" s="1003">
        <f>data!E15</f>
        <v>46112</v>
      </c>
      <c r="CK4" s="1002">
        <f t="shared" si="0"/>
        <v>365</v>
      </c>
      <c r="CL4" s="1032">
        <f>data!C55</f>
        <v>0.499</v>
      </c>
      <c r="CM4" s="1033">
        <f ca="1">nncalc1!$F$31*$CV$1</f>
        <v>0</v>
      </c>
      <c r="CN4" s="1033">
        <f ca="1">nccalc1!$F$31*$CV$1</f>
        <v>0</v>
      </c>
      <c r="CO4" s="1033">
        <f ca="1">bncalc1!$F$31*$CV$1</f>
        <v>0</v>
      </c>
      <c r="CP4" s="1033">
        <f ca="1">bccalc1!$F$31*$CV$1</f>
        <v>0</v>
      </c>
      <c r="CQ4" s="997">
        <f>data!E55</f>
        <v>2.1999999999999999E-2</v>
      </c>
      <c r="CS4" s="997">
        <f>data!F35</f>
        <v>5.600000000000005E-2</v>
      </c>
      <c r="CT4" s="997">
        <f>data!C35</f>
        <v>12000</v>
      </c>
      <c r="CU4" s="997">
        <f>data!D35</f>
        <v>15000</v>
      </c>
      <c r="CV4" s="1034">
        <f>data!E35</f>
        <v>51000</v>
      </c>
      <c r="CW4" s="997">
        <f>data!L55</f>
        <v>1.9999999999999983E-3</v>
      </c>
    </row>
    <row r="5" spans="1:111" x14ac:dyDescent="0.35">
      <c r="A5" s="997">
        <f t="shared" si="11"/>
        <v>3</v>
      </c>
      <c r="B5" s="1003" t="str">
        <f>IF(input_engine_ox!$P$21&gt;A4,VLOOKUP(A5,input_engine_ox!$P$23:$T$35,2,FALSE),"")</f>
        <v/>
      </c>
      <c r="C5" s="997" t="str">
        <f t="shared" si="12"/>
        <v/>
      </c>
      <c r="D5" s="1003">
        <f t="shared" si="13"/>
        <v>45382</v>
      </c>
      <c r="E5" s="1002" t="str">
        <f>IF(B5="",E4,VLOOKUP(B5,input_engine_ox!$B$23:$F$35,5,FALSE))</f>
        <v>nn</v>
      </c>
      <c r="F5" s="1003" t="str">
        <f t="shared" si="14"/>
        <v/>
      </c>
      <c r="G5" s="1003" t="str">
        <f t="shared" si="15"/>
        <v/>
      </c>
      <c r="H5" s="1002">
        <f t="shared" si="16"/>
        <v>0</v>
      </c>
      <c r="I5" s="997">
        <f t="shared" si="1"/>
        <v>0</v>
      </c>
      <c r="J5" s="997">
        <f t="shared" si="2"/>
        <v>0</v>
      </c>
      <c r="K5" s="997">
        <f t="shared" si="3"/>
        <v>0</v>
      </c>
      <c r="L5" s="997" t="str">
        <f>IF(input_engine_ox!$P$21&gt;A4,VLOOKUP(A5,input_engine_ox!$P$23:$T$36,3,FALSE),"")</f>
        <v/>
      </c>
      <c r="M5" s="1002" t="str">
        <f t="shared" si="17"/>
        <v>up</v>
      </c>
      <c r="N5" s="1002" t="str">
        <f t="shared" ref="N5:N14" si="45">IF(B5="","",IF(M5="down",J5*L5/K5*H5,0))</f>
        <v/>
      </c>
      <c r="O5" s="1002" t="str">
        <f t="shared" si="4"/>
        <v/>
      </c>
      <c r="P5" s="1032">
        <f t="shared" si="18"/>
        <v>0.499</v>
      </c>
      <c r="Q5" s="997" t="str">
        <f t="shared" si="19"/>
        <v/>
      </c>
      <c r="R5" s="997">
        <f t="shared" si="20"/>
        <v>0</v>
      </c>
      <c r="S5" s="1006">
        <f>IF(input_engine_ox!$P$21&gt;A4,VLOOKUP(A5,input_engine_ox!$P$23:$T$35,4,FALSE),0)</f>
        <v>0</v>
      </c>
      <c r="T5" s="2442">
        <f t="shared" ca="1" si="21"/>
        <v>0</v>
      </c>
      <c r="U5" s="997" t="b">
        <f t="shared" si="22"/>
        <v>0</v>
      </c>
      <c r="V5" s="997" t="b">
        <f>advanced!$I$22="y"</f>
        <v>0</v>
      </c>
      <c r="W5" s="997">
        <f>data!$D$33</f>
        <v>15000</v>
      </c>
      <c r="X5" s="997" t="b">
        <f t="shared" si="23"/>
        <v>0</v>
      </c>
      <c r="Y5" s="997">
        <f t="shared" si="24"/>
        <v>0</v>
      </c>
      <c r="Z5" s="997">
        <f t="shared" si="5"/>
        <v>0</v>
      </c>
      <c r="AA5" s="1002">
        <f>data!$G$53</f>
        <v>75000</v>
      </c>
      <c r="AB5" s="1002">
        <f>data!$F$53</f>
        <v>0.02</v>
      </c>
      <c r="AC5" s="997">
        <f t="shared" si="25"/>
        <v>0</v>
      </c>
      <c r="AD5" s="997">
        <f>IF(B5="",0,(IF($AE$1=authorities!$I$1,0,IF(L5&gt;AE5,VLOOKUP($AD$1,authorities!A:H,C5+1,FALSE),0)))*L5/$CK$2*H5)</f>
        <v>0</v>
      </c>
      <c r="AE5" s="997">
        <f>IF($AE$1=authorities!$I$1,0,$AE$1)</f>
        <v>0</v>
      </c>
      <c r="AF5" s="1002">
        <f>IF(input_engine_ox!$P$21&gt;A4,VLOOKUP(A5,input_engine_ox!$P$23:$T$35,5,FALSE),0)</f>
        <v>0</v>
      </c>
      <c r="AG5" s="1002">
        <f>data!$C$43</f>
        <v>2900</v>
      </c>
      <c r="AH5" s="1007">
        <f t="shared" si="6"/>
        <v>1</v>
      </c>
      <c r="AI5" s="997">
        <f t="shared" si="26"/>
        <v>0</v>
      </c>
      <c r="AJ5" s="997" t="b">
        <f t="shared" si="7"/>
        <v>0</v>
      </c>
      <c r="AL5" s="997">
        <f t="shared" si="27"/>
        <v>0</v>
      </c>
      <c r="AO5" s="1002">
        <f t="shared" si="28"/>
        <v>0</v>
      </c>
      <c r="AP5" s="1002">
        <f>SUM($AO$3:AO5)</f>
        <v>1</v>
      </c>
      <c r="AQ5" s="1002">
        <f t="shared" si="29"/>
        <v>366</v>
      </c>
      <c r="AR5" s="997">
        <f t="shared" ca="1" si="30"/>
        <v>0</v>
      </c>
      <c r="AS5" s="997"/>
      <c r="AT5" s="997">
        <f t="shared" si="31"/>
        <v>0</v>
      </c>
      <c r="AU5" s="997" t="b">
        <f t="shared" si="8"/>
        <v>1</v>
      </c>
      <c r="AV5" s="997" t="b">
        <f t="shared" si="9"/>
        <v>0</v>
      </c>
      <c r="AW5" s="997" t="b">
        <f t="shared" si="10"/>
        <v>0</v>
      </c>
      <c r="AX5" s="997">
        <f t="shared" si="32"/>
        <v>0</v>
      </c>
      <c r="AY5" s="2370">
        <f ca="1">AR5/reliefs!$D$7*AX5*-1</f>
        <v>0</v>
      </c>
      <c r="AZ5" s="1002">
        <f t="shared" ca="1" si="33"/>
        <v>0</v>
      </c>
      <c r="BA5" s="2370"/>
      <c r="BB5" s="997"/>
      <c r="BC5" s="997"/>
      <c r="BD5" s="997"/>
      <c r="BE5" s="997"/>
      <c r="BG5" s="997">
        <f t="shared" si="34"/>
        <v>0</v>
      </c>
      <c r="BH5" s="997">
        <f t="shared" si="35"/>
        <v>15000</v>
      </c>
      <c r="BI5" s="1001">
        <f t="shared" si="35"/>
        <v>0</v>
      </c>
      <c r="BJ5" s="997">
        <f t="shared" si="35"/>
        <v>5000000</v>
      </c>
      <c r="BK5" s="997">
        <f t="shared" si="35"/>
        <v>0.499</v>
      </c>
      <c r="BL5" s="997" t="b">
        <f t="shared" si="35"/>
        <v>1</v>
      </c>
      <c r="BM5" s="997" t="b">
        <f t="shared" si="35"/>
        <v>0</v>
      </c>
      <c r="BN5" s="997">
        <f t="shared" si="35"/>
        <v>0</v>
      </c>
      <c r="BO5" s="997">
        <f t="shared" si="36"/>
        <v>0</v>
      </c>
      <c r="BP5" s="997"/>
      <c r="BQ5" s="997"/>
      <c r="BR5" s="997">
        <f t="shared" si="37"/>
        <v>600</v>
      </c>
      <c r="BS5" s="997"/>
      <c r="BT5" s="997" t="b">
        <f t="shared" si="38"/>
        <v>0</v>
      </c>
      <c r="BU5" s="997" t="b">
        <f t="shared" ref="BU5:BU14" si="46">BU4</f>
        <v>1</v>
      </c>
      <c r="BV5" s="997" t="b">
        <f t="shared" si="39"/>
        <v>0</v>
      </c>
      <c r="BW5" s="997" t="b">
        <f t="shared" si="40"/>
        <v>0</v>
      </c>
      <c r="BX5" s="997" t="b">
        <f t="shared" si="41"/>
        <v>0</v>
      </c>
      <c r="BY5" s="997">
        <f t="shared" si="42"/>
        <v>600</v>
      </c>
      <c r="BZ5" s="997">
        <f t="shared" si="43"/>
        <v>366</v>
      </c>
      <c r="CA5" s="997">
        <f t="shared" ref="CA5:CA14" si="47">H5</f>
        <v>0</v>
      </c>
      <c r="CB5" s="997">
        <f t="shared" si="44"/>
        <v>0</v>
      </c>
      <c r="CC5" s="997">
        <f t="shared" ref="CC5:CC27" si="48">CB5</f>
        <v>0</v>
      </c>
      <c r="CD5" s="997">
        <f t="shared" ref="CD5:CD14" si="49">CD4</f>
        <v>600</v>
      </c>
      <c r="CE5" s="1002" t="b">
        <f t="shared" ref="CE5:CE41" si="50">CE4</f>
        <v>0</v>
      </c>
      <c r="CH5" s="1031">
        <f>data!B16</f>
        <v>46113</v>
      </c>
      <c r="CI5" s="997">
        <v>4</v>
      </c>
      <c r="CJ5" s="1003">
        <f>data!E16</f>
        <v>46477</v>
      </c>
      <c r="CK5" s="1002">
        <f t="shared" si="0"/>
        <v>365</v>
      </c>
      <c r="CL5" s="1032">
        <f>data!C56</f>
        <v>0.51900000000000002</v>
      </c>
      <c r="CM5" s="1033">
        <f ca="1">nncalc1!$G$31*$CV$1</f>
        <v>0</v>
      </c>
      <c r="CN5" s="1033">
        <f ca="1">nccalc1!$G$31*$CV$1</f>
        <v>0</v>
      </c>
      <c r="CO5" s="1033">
        <f ca="1">bncalc1!$G$31*$CV$1</f>
        <v>0</v>
      </c>
      <c r="CP5" s="1033">
        <f ca="1">bccalc1!$G$31*$CV$1</f>
        <v>0</v>
      </c>
      <c r="CQ5" s="997">
        <f>data!E56</f>
        <v>8.0000000000000002E-3</v>
      </c>
      <c r="CS5" s="997">
        <f>data!F36</f>
        <v>5.600000000000005E-2</v>
      </c>
      <c r="CT5" s="997">
        <f>data!C36</f>
        <v>12000</v>
      </c>
      <c r="CU5" s="997">
        <f>data!D36</f>
        <v>15000</v>
      </c>
      <c r="CV5" s="1034">
        <f>data!E36</f>
        <v>51000</v>
      </c>
      <c r="CW5" s="997">
        <f>data!L56</f>
        <v>8.0000000000000002E-3</v>
      </c>
    </row>
    <row r="6" spans="1:111" x14ac:dyDescent="0.35">
      <c r="A6" s="997">
        <f t="shared" si="11"/>
        <v>4</v>
      </c>
      <c r="B6" s="1003" t="str">
        <f>IF(input_engine_ox!$P$21&gt;A5,VLOOKUP(A6,input_engine_ox!$P$23:$T$35,2,FALSE),"")</f>
        <v/>
      </c>
      <c r="C6" s="997" t="str">
        <f t="shared" si="12"/>
        <v/>
      </c>
      <c r="D6" s="1003">
        <f t="shared" si="13"/>
        <v>45382</v>
      </c>
      <c r="E6" s="1002" t="str">
        <f>IF(B6="",E5,VLOOKUP(B6,input_engine_ox!$B$23:$F$35,5,FALSE))</f>
        <v>nn</v>
      </c>
      <c r="F6" s="1003" t="str">
        <f t="shared" si="14"/>
        <v/>
      </c>
      <c r="G6" s="1003" t="str">
        <f t="shared" si="15"/>
        <v/>
      </c>
      <c r="H6" s="1002">
        <f t="shared" si="16"/>
        <v>0</v>
      </c>
      <c r="I6" s="997">
        <f t="shared" si="1"/>
        <v>0</v>
      </c>
      <c r="J6" s="997">
        <f t="shared" si="2"/>
        <v>0</v>
      </c>
      <c r="K6" s="997">
        <f t="shared" si="3"/>
        <v>0</v>
      </c>
      <c r="L6" s="997" t="str">
        <f>IF(input_engine_ox!$P$21&gt;A5,VLOOKUP(A6,input_engine_ox!$P$23:$T$36,3,FALSE),"")</f>
        <v/>
      </c>
      <c r="M6" s="1002" t="str">
        <f t="shared" si="17"/>
        <v>up</v>
      </c>
      <c r="N6" s="1002" t="str">
        <f t="shared" si="45"/>
        <v/>
      </c>
      <c r="O6" s="1002" t="str">
        <f t="shared" si="4"/>
        <v/>
      </c>
      <c r="P6" s="1032">
        <f t="shared" si="18"/>
        <v>0.499</v>
      </c>
      <c r="Q6" s="997" t="str">
        <f t="shared" si="19"/>
        <v/>
      </c>
      <c r="R6" s="997">
        <f t="shared" si="20"/>
        <v>0</v>
      </c>
      <c r="S6" s="1006">
        <f>IF(input_engine_ox!$P$21&gt;A5,VLOOKUP(A6,input_engine_ox!$P$23:$T$35,4,FALSE),0)</f>
        <v>0</v>
      </c>
      <c r="T6" s="2442">
        <f t="shared" ca="1" si="21"/>
        <v>0</v>
      </c>
      <c r="U6" s="997" t="b">
        <f t="shared" si="22"/>
        <v>0</v>
      </c>
      <c r="V6" s="997" t="b">
        <f>advanced!$I$22="y"</f>
        <v>0</v>
      </c>
      <c r="W6" s="997">
        <f>data!$D$33</f>
        <v>15000</v>
      </c>
      <c r="X6" s="997" t="b">
        <f t="shared" si="23"/>
        <v>0</v>
      </c>
      <c r="Y6" s="997">
        <f t="shared" si="24"/>
        <v>0</v>
      </c>
      <c r="Z6" s="997">
        <f t="shared" si="5"/>
        <v>0</v>
      </c>
      <c r="AA6" s="1002">
        <f>data!$G$53</f>
        <v>75000</v>
      </c>
      <c r="AB6" s="1002">
        <f>data!$F$53</f>
        <v>0.02</v>
      </c>
      <c r="AC6" s="997">
        <f t="shared" si="25"/>
        <v>0</v>
      </c>
      <c r="AD6" s="997">
        <f>IF(B6="",0,(IF($AE$1=authorities!$I$1,0,IF(L6&gt;AE6,VLOOKUP($AD$1,authorities!A:H,C6+1,FALSE),0)))*L6/$CK$2*H6)</f>
        <v>0</v>
      </c>
      <c r="AE6" s="997">
        <f>IF($AE$1=authorities!$I$1,0,$AE$1)</f>
        <v>0</v>
      </c>
      <c r="AF6" s="1002">
        <f>IF(input_engine_ox!$P$21&gt;A5,VLOOKUP(A6,input_engine_ox!$P$23:$T$35,5,FALSE),0)</f>
        <v>0</v>
      </c>
      <c r="AG6" s="1002">
        <f>data!$C$43</f>
        <v>2900</v>
      </c>
      <c r="AH6" s="1007">
        <f t="shared" si="6"/>
        <v>1</v>
      </c>
      <c r="AI6" s="997">
        <f t="shared" si="26"/>
        <v>0</v>
      </c>
      <c r="AJ6" s="997" t="b">
        <f t="shared" si="7"/>
        <v>0</v>
      </c>
      <c r="AL6" s="997">
        <f t="shared" si="27"/>
        <v>0</v>
      </c>
      <c r="AO6" s="1002">
        <f t="shared" si="28"/>
        <v>0</v>
      </c>
      <c r="AP6" s="1002">
        <f>SUM($AO$3:AO6)</f>
        <v>1</v>
      </c>
      <c r="AQ6" s="1002">
        <f t="shared" si="29"/>
        <v>366</v>
      </c>
      <c r="AR6" s="997">
        <f t="shared" ca="1" si="30"/>
        <v>0</v>
      </c>
      <c r="AS6" s="997"/>
      <c r="AT6" s="997">
        <f t="shared" si="31"/>
        <v>0</v>
      </c>
      <c r="AU6" s="997" t="b">
        <f t="shared" si="8"/>
        <v>1</v>
      </c>
      <c r="AV6" s="997" t="b">
        <f t="shared" si="9"/>
        <v>0</v>
      </c>
      <c r="AW6" s="997" t="b">
        <f t="shared" si="10"/>
        <v>0</v>
      </c>
      <c r="AX6" s="997">
        <f t="shared" si="32"/>
        <v>0</v>
      </c>
      <c r="AY6" s="2370">
        <f ca="1">AR6/reliefs!$D$7*AX6*-1</f>
        <v>0</v>
      </c>
      <c r="AZ6" s="1002">
        <f t="shared" ca="1" si="33"/>
        <v>0</v>
      </c>
      <c r="BA6" s="2370"/>
      <c r="BB6" s="997"/>
      <c r="BC6" s="997"/>
      <c r="BD6" s="997"/>
      <c r="BE6" s="997"/>
      <c r="BG6" s="997">
        <f t="shared" si="34"/>
        <v>0</v>
      </c>
      <c r="BH6" s="997">
        <f t="shared" si="35"/>
        <v>15000</v>
      </c>
      <c r="BI6" s="1001">
        <f t="shared" si="35"/>
        <v>0</v>
      </c>
      <c r="BJ6" s="997">
        <f t="shared" si="35"/>
        <v>5000000</v>
      </c>
      <c r="BK6" s="997">
        <f t="shared" si="35"/>
        <v>0.499</v>
      </c>
      <c r="BL6" s="997" t="b">
        <f t="shared" si="35"/>
        <v>1</v>
      </c>
      <c r="BM6" s="997" t="b">
        <f t="shared" si="35"/>
        <v>0</v>
      </c>
      <c r="BN6" s="997">
        <f t="shared" si="35"/>
        <v>0</v>
      </c>
      <c r="BO6" s="997">
        <f t="shared" si="36"/>
        <v>0</v>
      </c>
      <c r="BP6" s="997"/>
      <c r="BQ6" s="997"/>
      <c r="BR6" s="997">
        <f t="shared" si="37"/>
        <v>600</v>
      </c>
      <c r="BS6" s="997"/>
      <c r="BT6" s="997" t="b">
        <f t="shared" si="38"/>
        <v>0</v>
      </c>
      <c r="BU6" s="997" t="b">
        <f t="shared" si="46"/>
        <v>1</v>
      </c>
      <c r="BV6" s="997" t="b">
        <f t="shared" si="39"/>
        <v>0</v>
      </c>
      <c r="BW6" s="997" t="b">
        <f t="shared" si="40"/>
        <v>0</v>
      </c>
      <c r="BX6" s="997" t="b">
        <f t="shared" si="41"/>
        <v>0</v>
      </c>
      <c r="BY6" s="997">
        <f t="shared" si="42"/>
        <v>600</v>
      </c>
      <c r="BZ6" s="997">
        <f t="shared" si="43"/>
        <v>366</v>
      </c>
      <c r="CA6" s="997">
        <f t="shared" si="47"/>
        <v>0</v>
      </c>
      <c r="CB6" s="997">
        <f t="shared" si="44"/>
        <v>0</v>
      </c>
      <c r="CC6" s="997">
        <f t="shared" si="48"/>
        <v>0</v>
      </c>
      <c r="CD6" s="997">
        <f t="shared" si="49"/>
        <v>600</v>
      </c>
      <c r="CE6" s="1002" t="b">
        <f t="shared" si="50"/>
        <v>0</v>
      </c>
      <c r="CH6" s="1031">
        <f>data!B17</f>
        <v>46478</v>
      </c>
      <c r="CI6" s="997">
        <v>5</v>
      </c>
      <c r="CJ6" s="1003">
        <f>data!E17</f>
        <v>46843</v>
      </c>
      <c r="CK6" s="1002">
        <f t="shared" si="0"/>
        <v>366</v>
      </c>
      <c r="CL6" s="1032">
        <f>data!C57</f>
        <v>0.54</v>
      </c>
      <c r="CM6" s="1033">
        <f ca="1">nncalc1!$H$31*$CV$1</f>
        <v>0</v>
      </c>
      <c r="CN6" s="1033">
        <f ca="1">nccalc1!$H$31*$CV$1</f>
        <v>0</v>
      </c>
      <c r="CO6" s="1033">
        <f ca="1">bncalc1!$H$31*$CV$1</f>
        <v>0</v>
      </c>
      <c r="CP6" s="1033">
        <f ca="1">bccalc1!$H$31*$CV$1</f>
        <v>0</v>
      </c>
      <c r="CQ6" s="997">
        <f>data!E57</f>
        <v>8.0000000000000002E-3</v>
      </c>
      <c r="CS6" s="997">
        <f>data!F37</f>
        <v>5.600000000000005E-2</v>
      </c>
      <c r="CT6" s="997">
        <f>data!C37</f>
        <v>12000</v>
      </c>
      <c r="CU6" s="997">
        <f>data!D37</f>
        <v>15000</v>
      </c>
      <c r="CV6" s="1034">
        <f>data!E37</f>
        <v>51000</v>
      </c>
      <c r="CW6" s="997">
        <f>data!L57</f>
        <v>8.0000000000000002E-3</v>
      </c>
    </row>
    <row r="7" spans="1:111" x14ac:dyDescent="0.35">
      <c r="A7" s="997">
        <f t="shared" si="11"/>
        <v>5</v>
      </c>
      <c r="B7" s="1003" t="str">
        <f>IF(input_engine_ox!$P$21&gt;A6,VLOOKUP(A7,input_engine_ox!$P$23:$T$35,2,FALSE),"")</f>
        <v/>
      </c>
      <c r="C7" s="997" t="str">
        <f t="shared" si="12"/>
        <v/>
      </c>
      <c r="D7" s="1003">
        <f t="shared" si="13"/>
        <v>45382</v>
      </c>
      <c r="E7" s="1002" t="str">
        <f>IF(B7="",E6,VLOOKUP(B7,input_engine_ox!$B$23:$F$35,5,FALSE))</f>
        <v>nn</v>
      </c>
      <c r="F7" s="1003" t="str">
        <f t="shared" si="14"/>
        <v/>
      </c>
      <c r="G7" s="1003" t="str">
        <f t="shared" si="15"/>
        <v/>
      </c>
      <c r="H7" s="1002">
        <f t="shared" si="16"/>
        <v>0</v>
      </c>
      <c r="I7" s="997">
        <f t="shared" si="1"/>
        <v>0</v>
      </c>
      <c r="J7" s="997">
        <f t="shared" si="2"/>
        <v>0</v>
      </c>
      <c r="K7" s="997">
        <f t="shared" si="3"/>
        <v>0</v>
      </c>
      <c r="L7" s="997" t="str">
        <f>IF(input_engine_ox!$P$21&gt;A6,VLOOKUP(A7,input_engine_ox!$P$23:$T$36,3,FALSE),"")</f>
        <v/>
      </c>
      <c r="M7" s="1002" t="str">
        <f t="shared" si="17"/>
        <v>up</v>
      </c>
      <c r="N7" s="1002" t="str">
        <f t="shared" si="45"/>
        <v/>
      </c>
      <c r="O7" s="1002" t="str">
        <f t="shared" si="4"/>
        <v/>
      </c>
      <c r="P7" s="1032">
        <f t="shared" si="18"/>
        <v>0.499</v>
      </c>
      <c r="Q7" s="997" t="str">
        <f t="shared" si="19"/>
        <v/>
      </c>
      <c r="R7" s="997">
        <f t="shared" si="20"/>
        <v>0</v>
      </c>
      <c r="S7" s="1006">
        <f>IF(input_engine_ox!$P$21&gt;A6,VLOOKUP(A7,input_engine_ox!$P$23:$T$35,4,FALSE),0)</f>
        <v>0</v>
      </c>
      <c r="T7" s="2442">
        <f t="shared" ca="1" si="21"/>
        <v>0</v>
      </c>
      <c r="U7" s="997" t="b">
        <f t="shared" si="22"/>
        <v>0</v>
      </c>
      <c r="V7" s="997" t="b">
        <f>advanced!$I$22="y"</f>
        <v>0</v>
      </c>
      <c r="W7" s="997">
        <f>data!$D$33</f>
        <v>15000</v>
      </c>
      <c r="X7" s="997" t="b">
        <f t="shared" si="23"/>
        <v>0</v>
      </c>
      <c r="Y7" s="997">
        <f t="shared" si="24"/>
        <v>0</v>
      </c>
      <c r="Z7" s="997">
        <f t="shared" si="5"/>
        <v>0</v>
      </c>
      <c r="AA7" s="1002">
        <f>data!$G$53</f>
        <v>75000</v>
      </c>
      <c r="AB7" s="1002">
        <f>data!$F$53</f>
        <v>0.02</v>
      </c>
      <c r="AC7" s="997">
        <f t="shared" si="25"/>
        <v>0</v>
      </c>
      <c r="AD7" s="997">
        <f>IF(B7="",0,(IF($AE$1=authorities!$I$1,0,IF(L7&gt;AE7,VLOOKUP($AD$1,authorities!A:H,C7+1,FALSE),0)))*L7/$CK$2*H7)</f>
        <v>0</v>
      </c>
      <c r="AE7" s="997">
        <f>IF($AE$1=authorities!$I$1,0,$AE$1)</f>
        <v>0</v>
      </c>
      <c r="AF7" s="1002">
        <f>IF(input_engine_ox!$P$21&gt;A6,VLOOKUP(A7,input_engine_ox!$P$23:$T$35,5,FALSE),0)</f>
        <v>0</v>
      </c>
      <c r="AG7" s="1002">
        <f>data!$C$43</f>
        <v>2900</v>
      </c>
      <c r="AH7" s="1007">
        <f t="shared" si="6"/>
        <v>1</v>
      </c>
      <c r="AI7" s="997">
        <f t="shared" si="26"/>
        <v>0</v>
      </c>
      <c r="AJ7" s="997" t="b">
        <f t="shared" si="7"/>
        <v>0</v>
      </c>
      <c r="AL7" s="997">
        <f t="shared" si="27"/>
        <v>0</v>
      </c>
      <c r="AO7" s="1002">
        <f t="shared" si="28"/>
        <v>0</v>
      </c>
      <c r="AP7" s="1002">
        <f>SUM($AO$3:AO7)</f>
        <v>1</v>
      </c>
      <c r="AQ7" s="1002">
        <f t="shared" si="29"/>
        <v>366</v>
      </c>
      <c r="AR7" s="997">
        <f t="shared" ca="1" si="30"/>
        <v>0</v>
      </c>
      <c r="AS7" s="997"/>
      <c r="AT7" s="997">
        <f t="shared" si="31"/>
        <v>0</v>
      </c>
      <c r="AU7" s="997" t="b">
        <f t="shared" si="8"/>
        <v>1</v>
      </c>
      <c r="AV7" s="997" t="b">
        <f t="shared" si="9"/>
        <v>0</v>
      </c>
      <c r="AW7" s="997" t="b">
        <f t="shared" si="10"/>
        <v>0</v>
      </c>
      <c r="AX7" s="997">
        <f t="shared" si="32"/>
        <v>0</v>
      </c>
      <c r="AY7" s="2370">
        <f ca="1">AR7/reliefs!$D$7*AX7*-1</f>
        <v>0</v>
      </c>
      <c r="AZ7" s="1002">
        <f t="shared" ca="1" si="33"/>
        <v>0</v>
      </c>
      <c r="BA7" s="2370"/>
      <c r="BB7" s="997"/>
      <c r="BC7" s="997"/>
      <c r="BD7" s="997"/>
      <c r="BE7" s="997"/>
      <c r="BG7" s="997">
        <f t="shared" si="34"/>
        <v>0</v>
      </c>
      <c r="BH7" s="997">
        <f t="shared" si="35"/>
        <v>15000</v>
      </c>
      <c r="BI7" s="1001">
        <f t="shared" si="35"/>
        <v>0</v>
      </c>
      <c r="BJ7" s="997">
        <f t="shared" si="35"/>
        <v>5000000</v>
      </c>
      <c r="BK7" s="997">
        <f t="shared" si="35"/>
        <v>0.499</v>
      </c>
      <c r="BL7" s="997" t="b">
        <f t="shared" si="35"/>
        <v>1</v>
      </c>
      <c r="BM7" s="997" t="b">
        <f t="shared" si="35"/>
        <v>0</v>
      </c>
      <c r="BN7" s="997">
        <f t="shared" si="35"/>
        <v>0</v>
      </c>
      <c r="BO7" s="997">
        <f t="shared" si="36"/>
        <v>0</v>
      </c>
      <c r="BP7" s="997"/>
      <c r="BQ7" s="997"/>
      <c r="BR7" s="997">
        <f t="shared" si="37"/>
        <v>600</v>
      </c>
      <c r="BS7" s="997"/>
      <c r="BT7" s="997" t="b">
        <f t="shared" si="38"/>
        <v>0</v>
      </c>
      <c r="BU7" s="997" t="b">
        <f t="shared" si="46"/>
        <v>1</v>
      </c>
      <c r="BV7" s="997" t="b">
        <f t="shared" si="39"/>
        <v>0</v>
      </c>
      <c r="BW7" s="997" t="b">
        <f t="shared" si="40"/>
        <v>0</v>
      </c>
      <c r="BX7" s="997" t="b">
        <f t="shared" si="41"/>
        <v>0</v>
      </c>
      <c r="BY7" s="997">
        <f t="shared" si="42"/>
        <v>600</v>
      </c>
      <c r="BZ7" s="997">
        <f t="shared" si="43"/>
        <v>366</v>
      </c>
      <c r="CA7" s="997">
        <f t="shared" si="47"/>
        <v>0</v>
      </c>
      <c r="CB7" s="997">
        <f t="shared" si="44"/>
        <v>0</v>
      </c>
      <c r="CC7" s="997">
        <f t="shared" si="48"/>
        <v>0</v>
      </c>
      <c r="CD7" s="997">
        <f t="shared" si="49"/>
        <v>600</v>
      </c>
      <c r="CE7" s="1002" t="b">
        <f t="shared" si="50"/>
        <v>0</v>
      </c>
      <c r="CH7" s="1031">
        <f>data!B18</f>
        <v>46844</v>
      </c>
      <c r="CI7" s="997">
        <v>6</v>
      </c>
      <c r="CJ7" s="1003">
        <f>data!E18</f>
        <v>47208</v>
      </c>
      <c r="CK7" s="1002">
        <f t="shared" si="0"/>
        <v>365</v>
      </c>
      <c r="CL7" s="1032">
        <f>data!C58</f>
        <v>0.56200000000000006</v>
      </c>
      <c r="CM7" s="1033">
        <f ca="1">nncalc1!$I$31*$CV$1</f>
        <v>0</v>
      </c>
      <c r="CN7" s="1033">
        <f ca="1">nccalc1!$I$31*$CV$1</f>
        <v>0</v>
      </c>
      <c r="CO7" s="1033">
        <f ca="1">bncalc1!$I$31*$CV$1</f>
        <v>0</v>
      </c>
      <c r="CP7" s="1033">
        <f ca="1">bccalc1!$I$31*$CV$1</f>
        <v>0</v>
      </c>
      <c r="CQ7" s="997">
        <f>data!E58</f>
        <v>1.2E-2</v>
      </c>
      <c r="CS7" s="997">
        <f>data!F38</f>
        <v>5.600000000000005E-2</v>
      </c>
      <c r="CT7" s="997">
        <f>data!C38</f>
        <v>12000</v>
      </c>
      <c r="CU7" s="997">
        <f>data!D38</f>
        <v>15000</v>
      </c>
      <c r="CV7" s="1034">
        <f>data!E38</f>
        <v>51000</v>
      </c>
      <c r="CW7" s="997">
        <f>data!L58</f>
        <v>1.2E-2</v>
      </c>
    </row>
    <row r="8" spans="1:111" x14ac:dyDescent="0.35">
      <c r="A8" s="997">
        <f t="shared" si="11"/>
        <v>6</v>
      </c>
      <c r="B8" s="1003" t="str">
        <f>IF(input_engine_ox!$P$21&gt;A7,VLOOKUP(A8,input_engine_ox!$P$23:$T$35,2,FALSE),"")</f>
        <v/>
      </c>
      <c r="C8" s="997" t="str">
        <f t="shared" si="12"/>
        <v/>
      </c>
      <c r="D8" s="1003">
        <f t="shared" si="13"/>
        <v>45382</v>
      </c>
      <c r="E8" s="1002" t="str">
        <f>IF(B8="",E7,VLOOKUP(B8,input_engine_ox!$B$23:$F$35,5,FALSE))</f>
        <v>nn</v>
      </c>
      <c r="F8" s="1003" t="str">
        <f t="shared" si="14"/>
        <v/>
      </c>
      <c r="G8" s="1003" t="str">
        <f t="shared" si="15"/>
        <v/>
      </c>
      <c r="H8" s="1002">
        <f t="shared" si="16"/>
        <v>0</v>
      </c>
      <c r="I8" s="997">
        <f t="shared" si="1"/>
        <v>0</v>
      </c>
      <c r="J8" s="997">
        <f t="shared" si="2"/>
        <v>0</v>
      </c>
      <c r="K8" s="997">
        <f t="shared" si="3"/>
        <v>0</v>
      </c>
      <c r="L8" s="997" t="str">
        <f>IF(input_engine_ox!$P$21&gt;A7,VLOOKUP(A8,input_engine_ox!$P$23:$T$36,3,FALSE),"")</f>
        <v/>
      </c>
      <c r="M8" s="1002" t="str">
        <f t="shared" si="17"/>
        <v>up</v>
      </c>
      <c r="N8" s="1002" t="str">
        <f t="shared" si="45"/>
        <v/>
      </c>
      <c r="O8" s="1002" t="str">
        <f t="shared" si="4"/>
        <v/>
      </c>
      <c r="P8" s="1032">
        <f t="shared" si="18"/>
        <v>0.499</v>
      </c>
      <c r="Q8" s="997" t="str">
        <f t="shared" si="19"/>
        <v/>
      </c>
      <c r="R8" s="997">
        <f t="shared" si="20"/>
        <v>0</v>
      </c>
      <c r="S8" s="1006">
        <f>IF(input_engine_ox!$P$21&gt;A7,VLOOKUP(A8,input_engine_ox!$P$23:$T$35,4,FALSE),0)</f>
        <v>0</v>
      </c>
      <c r="T8" s="2442">
        <f t="shared" ca="1" si="21"/>
        <v>0</v>
      </c>
      <c r="U8" s="997" t="b">
        <f t="shared" si="22"/>
        <v>0</v>
      </c>
      <c r="V8" s="997" t="b">
        <f>advanced!$I$22="y"</f>
        <v>0</v>
      </c>
      <c r="W8" s="997">
        <f>data!$D$33</f>
        <v>15000</v>
      </c>
      <c r="X8" s="997" t="b">
        <f t="shared" si="23"/>
        <v>0</v>
      </c>
      <c r="Y8" s="997">
        <f t="shared" si="24"/>
        <v>0</v>
      </c>
      <c r="Z8" s="997">
        <f t="shared" si="5"/>
        <v>0</v>
      </c>
      <c r="AA8" s="1002">
        <f>data!$G$53</f>
        <v>75000</v>
      </c>
      <c r="AB8" s="1002">
        <f>data!$F$53</f>
        <v>0.02</v>
      </c>
      <c r="AC8" s="997">
        <f t="shared" si="25"/>
        <v>0</v>
      </c>
      <c r="AD8" s="997">
        <f>IF(B8="",0,(IF($AE$1=authorities!$I$1,0,IF(L8&gt;AE8,VLOOKUP($AD$1,authorities!A:H,C8+1,FALSE),0)))*L8/$CK$2*H8)</f>
        <v>0</v>
      </c>
      <c r="AE8" s="997">
        <f>IF($AE$1=authorities!$I$1,0,$AE$1)</f>
        <v>0</v>
      </c>
      <c r="AF8" s="1002">
        <f>IF(input_engine_ox!$P$21&gt;A7,VLOOKUP(A8,input_engine_ox!$P$23:$T$35,5,FALSE),0)</f>
        <v>0</v>
      </c>
      <c r="AG8" s="1002">
        <f>data!$C$43</f>
        <v>2900</v>
      </c>
      <c r="AH8" s="1007">
        <f t="shared" si="6"/>
        <v>1</v>
      </c>
      <c r="AI8" s="997">
        <f t="shared" si="26"/>
        <v>0</v>
      </c>
      <c r="AJ8" s="997" t="b">
        <f t="shared" si="7"/>
        <v>0</v>
      </c>
      <c r="AL8" s="997">
        <f t="shared" si="27"/>
        <v>0</v>
      </c>
      <c r="AO8" s="1002">
        <f t="shared" si="28"/>
        <v>0</v>
      </c>
      <c r="AP8" s="1002">
        <f>SUM($AO$3:AO8)</f>
        <v>1</v>
      </c>
      <c r="AQ8" s="1002">
        <f t="shared" si="29"/>
        <v>366</v>
      </c>
      <c r="AR8" s="997">
        <f t="shared" ca="1" si="30"/>
        <v>0</v>
      </c>
      <c r="AS8" s="997"/>
      <c r="AT8" s="997">
        <f t="shared" si="31"/>
        <v>0</v>
      </c>
      <c r="AU8" s="997" t="b">
        <f t="shared" si="8"/>
        <v>1</v>
      </c>
      <c r="AV8" s="997" t="b">
        <f t="shared" si="9"/>
        <v>0</v>
      </c>
      <c r="AW8" s="997" t="b">
        <f t="shared" si="10"/>
        <v>0</v>
      </c>
      <c r="AX8" s="997">
        <f t="shared" si="32"/>
        <v>0</v>
      </c>
      <c r="AY8" s="2370">
        <f ca="1">AR8/reliefs!$D$7*AX8*-1</f>
        <v>0</v>
      </c>
      <c r="AZ8" s="1002">
        <f t="shared" ca="1" si="33"/>
        <v>0</v>
      </c>
      <c r="BA8" s="2370"/>
      <c r="BB8" s="997"/>
      <c r="BC8" s="997"/>
      <c r="BD8" s="997"/>
      <c r="BE8" s="997"/>
      <c r="BG8" s="997">
        <f t="shared" si="34"/>
        <v>0</v>
      </c>
      <c r="BH8" s="997">
        <f t="shared" si="35"/>
        <v>15000</v>
      </c>
      <c r="BI8" s="1001">
        <f t="shared" si="35"/>
        <v>0</v>
      </c>
      <c r="BJ8" s="997">
        <f t="shared" si="35"/>
        <v>5000000</v>
      </c>
      <c r="BK8" s="997">
        <f t="shared" si="35"/>
        <v>0.499</v>
      </c>
      <c r="BL8" s="997" t="b">
        <f t="shared" si="35"/>
        <v>1</v>
      </c>
      <c r="BM8" s="997" t="b">
        <f t="shared" si="35"/>
        <v>0</v>
      </c>
      <c r="BN8" s="997">
        <f t="shared" si="35"/>
        <v>0</v>
      </c>
      <c r="BO8" s="997">
        <f t="shared" si="36"/>
        <v>0</v>
      </c>
      <c r="BP8" s="997"/>
      <c r="BQ8" s="997"/>
      <c r="BR8" s="997">
        <f t="shared" si="37"/>
        <v>600</v>
      </c>
      <c r="BS8" s="997"/>
      <c r="BT8" s="997" t="b">
        <f t="shared" si="38"/>
        <v>0</v>
      </c>
      <c r="BU8" s="997" t="b">
        <f t="shared" si="46"/>
        <v>1</v>
      </c>
      <c r="BV8" s="997" t="b">
        <f t="shared" si="39"/>
        <v>0</v>
      </c>
      <c r="BW8" s="997" t="b">
        <f t="shared" si="40"/>
        <v>0</v>
      </c>
      <c r="BX8" s="997" t="b">
        <f t="shared" si="41"/>
        <v>0</v>
      </c>
      <c r="BY8" s="997">
        <f t="shared" si="42"/>
        <v>600</v>
      </c>
      <c r="BZ8" s="997">
        <f t="shared" si="43"/>
        <v>366</v>
      </c>
      <c r="CA8" s="997">
        <f t="shared" si="47"/>
        <v>0</v>
      </c>
      <c r="CB8" s="997">
        <f t="shared" si="44"/>
        <v>0</v>
      </c>
      <c r="CC8" s="997">
        <f t="shared" si="48"/>
        <v>0</v>
      </c>
      <c r="CD8" s="997">
        <f t="shared" si="49"/>
        <v>600</v>
      </c>
      <c r="CE8" s="1002" t="b">
        <f t="shared" si="50"/>
        <v>0</v>
      </c>
      <c r="CH8" s="1031"/>
      <c r="CJ8" s="1003"/>
      <c r="CK8" s="1002"/>
      <c r="CM8" s="1033"/>
      <c r="CN8" s="1033"/>
      <c r="CO8" s="1033"/>
      <c r="CP8" s="1033"/>
      <c r="CV8" s="1034"/>
    </row>
    <row r="9" spans="1:111" x14ac:dyDescent="0.35">
      <c r="A9" s="997">
        <f t="shared" si="11"/>
        <v>7</v>
      </c>
      <c r="B9" s="1003" t="str">
        <f>IF(input_engine_ox!$P$21&gt;A8,VLOOKUP(A9,input_engine_ox!$P$23:$T$35,2,FALSE),"")</f>
        <v/>
      </c>
      <c r="C9" s="997" t="str">
        <f t="shared" si="12"/>
        <v/>
      </c>
      <c r="D9" s="1003">
        <f t="shared" si="13"/>
        <v>45382</v>
      </c>
      <c r="E9" s="1002" t="str">
        <f>IF(B9="",E8,VLOOKUP(B9,input_engine_ox!$B$23:$F$35,5,FALSE))</f>
        <v>nn</v>
      </c>
      <c r="F9" s="1003" t="str">
        <f t="shared" si="14"/>
        <v/>
      </c>
      <c r="G9" s="1003" t="str">
        <f t="shared" si="15"/>
        <v/>
      </c>
      <c r="H9" s="1002">
        <f t="shared" si="16"/>
        <v>0</v>
      </c>
      <c r="I9" s="997">
        <f t="shared" si="1"/>
        <v>0</v>
      </c>
      <c r="J9" s="997">
        <f t="shared" si="2"/>
        <v>0</v>
      </c>
      <c r="K9" s="997">
        <f t="shared" si="3"/>
        <v>0</v>
      </c>
      <c r="L9" s="997" t="str">
        <f>IF(input_engine_ox!$P$21&gt;A8,VLOOKUP(A9,input_engine_ox!$P$23:$T$36,3,FALSE),"")</f>
        <v/>
      </c>
      <c r="M9" s="1002" t="str">
        <f t="shared" si="17"/>
        <v>up</v>
      </c>
      <c r="N9" s="1002" t="str">
        <f t="shared" si="45"/>
        <v/>
      </c>
      <c r="O9" s="1002" t="str">
        <f t="shared" si="4"/>
        <v/>
      </c>
      <c r="P9" s="1032">
        <f t="shared" si="18"/>
        <v>0.499</v>
      </c>
      <c r="Q9" s="997" t="str">
        <f t="shared" si="19"/>
        <v/>
      </c>
      <c r="R9" s="997">
        <f t="shared" si="20"/>
        <v>0</v>
      </c>
      <c r="S9" s="1006">
        <f>IF(input_engine_ox!$P$21&gt;A8,VLOOKUP(A9,input_engine_ox!$P$23:$T$35,4,FALSE),0)</f>
        <v>0</v>
      </c>
      <c r="T9" s="2442">
        <f t="shared" ca="1" si="21"/>
        <v>0</v>
      </c>
      <c r="U9" s="997" t="b">
        <f t="shared" si="22"/>
        <v>0</v>
      </c>
      <c r="V9" s="997" t="b">
        <f>advanced!$I$22="y"</f>
        <v>0</v>
      </c>
      <c r="W9" s="997">
        <f>data!$D$33</f>
        <v>15000</v>
      </c>
      <c r="X9" s="997" t="b">
        <f t="shared" si="23"/>
        <v>0</v>
      </c>
      <c r="Y9" s="997">
        <f t="shared" si="24"/>
        <v>0</v>
      </c>
      <c r="Z9" s="997">
        <f t="shared" si="5"/>
        <v>0</v>
      </c>
      <c r="AA9" s="1002">
        <f>data!$G$53</f>
        <v>75000</v>
      </c>
      <c r="AB9" s="1002">
        <f>data!$F$53</f>
        <v>0.02</v>
      </c>
      <c r="AC9" s="997">
        <f t="shared" si="25"/>
        <v>0</v>
      </c>
      <c r="AD9" s="997">
        <f>IF(B9="",0,(IF($AE$1=authorities!$I$1,0,IF(L9&gt;AE9,VLOOKUP($AD$1,authorities!A:H,C9+1,FALSE),0)))*L9/$CK$2*H9)</f>
        <v>0</v>
      </c>
      <c r="AE9" s="997">
        <f>IF($AE$1=authorities!$I$1,0,$AE$1)</f>
        <v>0</v>
      </c>
      <c r="AF9" s="1002">
        <f>IF(input_engine_ox!$P$21&gt;A8,VLOOKUP(A9,input_engine_ox!$P$23:$T$35,5,FALSE),0)</f>
        <v>0</v>
      </c>
      <c r="AG9" s="1002">
        <f>data!$C$43</f>
        <v>2900</v>
      </c>
      <c r="AH9" s="1007">
        <f t="shared" si="6"/>
        <v>1</v>
      </c>
      <c r="AI9" s="997">
        <f t="shared" si="26"/>
        <v>0</v>
      </c>
      <c r="AJ9" s="997" t="b">
        <f t="shared" si="7"/>
        <v>0</v>
      </c>
      <c r="AL9" s="997">
        <f t="shared" si="27"/>
        <v>0</v>
      </c>
      <c r="AO9" s="1002">
        <f t="shared" si="28"/>
        <v>0</v>
      </c>
      <c r="AP9" s="1002">
        <f>SUM($AO$3:AO9)</f>
        <v>1</v>
      </c>
      <c r="AQ9" s="1002">
        <f t="shared" si="29"/>
        <v>366</v>
      </c>
      <c r="AR9" s="997">
        <f t="shared" ca="1" si="30"/>
        <v>0</v>
      </c>
      <c r="AS9" s="997"/>
      <c r="AT9" s="997">
        <f t="shared" si="31"/>
        <v>0</v>
      </c>
      <c r="AU9" s="997" t="b">
        <f t="shared" si="8"/>
        <v>1</v>
      </c>
      <c r="AV9" s="997" t="b">
        <f t="shared" si="9"/>
        <v>0</v>
      </c>
      <c r="AW9" s="997" t="b">
        <f t="shared" si="10"/>
        <v>0</v>
      </c>
      <c r="AX9" s="997">
        <f t="shared" si="32"/>
        <v>0</v>
      </c>
      <c r="AY9" s="2370">
        <f ca="1">AR9/reliefs!$D$7*AX9*-1</f>
        <v>0</v>
      </c>
      <c r="AZ9" s="1002">
        <f t="shared" ca="1" si="33"/>
        <v>0</v>
      </c>
      <c r="BA9" s="2370"/>
      <c r="BB9" s="997"/>
      <c r="BC9" s="997"/>
      <c r="BD9" s="997"/>
      <c r="BE9" s="997"/>
      <c r="BG9" s="997">
        <f t="shared" si="34"/>
        <v>0</v>
      </c>
      <c r="BH9" s="997">
        <f t="shared" si="35"/>
        <v>15000</v>
      </c>
      <c r="BI9" s="1001">
        <f t="shared" si="35"/>
        <v>0</v>
      </c>
      <c r="BJ9" s="997">
        <f t="shared" si="35"/>
        <v>5000000</v>
      </c>
      <c r="BK9" s="997">
        <f t="shared" si="35"/>
        <v>0.499</v>
      </c>
      <c r="BL9" s="997" t="b">
        <f t="shared" si="35"/>
        <v>1</v>
      </c>
      <c r="BM9" s="997" t="b">
        <f t="shared" si="35"/>
        <v>0</v>
      </c>
      <c r="BN9" s="997">
        <f t="shared" si="35"/>
        <v>0</v>
      </c>
      <c r="BO9" s="997">
        <f t="shared" si="36"/>
        <v>0</v>
      </c>
      <c r="BP9" s="997"/>
      <c r="BQ9" s="997"/>
      <c r="BR9" s="997">
        <f t="shared" si="37"/>
        <v>600</v>
      </c>
      <c r="BS9" s="997"/>
      <c r="BT9" s="997" t="b">
        <f t="shared" si="38"/>
        <v>0</v>
      </c>
      <c r="BU9" s="997" t="b">
        <f t="shared" si="46"/>
        <v>1</v>
      </c>
      <c r="BV9" s="997" t="b">
        <f t="shared" si="39"/>
        <v>0</v>
      </c>
      <c r="BW9" s="997" t="b">
        <f t="shared" si="40"/>
        <v>0</v>
      </c>
      <c r="BX9" s="997" t="b">
        <f t="shared" si="41"/>
        <v>0</v>
      </c>
      <c r="BY9" s="997">
        <f t="shared" si="42"/>
        <v>600</v>
      </c>
      <c r="BZ9" s="997">
        <f t="shared" si="43"/>
        <v>366</v>
      </c>
      <c r="CA9" s="997">
        <f t="shared" si="47"/>
        <v>0</v>
      </c>
      <c r="CB9" s="997">
        <f t="shared" si="44"/>
        <v>0</v>
      </c>
      <c r="CC9" s="997">
        <f t="shared" si="48"/>
        <v>0</v>
      </c>
      <c r="CD9" s="997">
        <f t="shared" si="49"/>
        <v>600</v>
      </c>
      <c r="CE9" s="1002" t="b">
        <f t="shared" si="50"/>
        <v>0</v>
      </c>
      <c r="CH9" s="1031"/>
      <c r="CJ9" s="1003"/>
      <c r="CK9" s="1002"/>
      <c r="CM9" s="1035">
        <v>0</v>
      </c>
      <c r="CN9" s="1035">
        <v>0</v>
      </c>
      <c r="CO9" s="1035">
        <v>0</v>
      </c>
      <c r="CP9" s="1035">
        <v>0</v>
      </c>
      <c r="CV9" s="1034"/>
    </row>
    <row r="10" spans="1:111" x14ac:dyDescent="0.35">
      <c r="A10" s="997">
        <f t="shared" si="11"/>
        <v>8</v>
      </c>
      <c r="B10" s="1003" t="str">
        <f>IF(input_engine_ox!$P$21&gt;A9,VLOOKUP(A10,input_engine_ox!$P$23:$T$35,2,FALSE),"")</f>
        <v/>
      </c>
      <c r="C10" s="997" t="str">
        <f t="shared" si="12"/>
        <v/>
      </c>
      <c r="D10" s="1003">
        <f t="shared" si="13"/>
        <v>45382</v>
      </c>
      <c r="E10" s="1002" t="str">
        <f>IF(B10="",E9,VLOOKUP(B10,input_engine_ox!$B$23:$F$35,5,FALSE))</f>
        <v>nn</v>
      </c>
      <c r="F10" s="1003" t="str">
        <f t="shared" si="14"/>
        <v/>
      </c>
      <c r="G10" s="1003" t="str">
        <f t="shared" si="15"/>
        <v/>
      </c>
      <c r="H10" s="1002">
        <f t="shared" si="16"/>
        <v>0</v>
      </c>
      <c r="I10" s="997">
        <f t="shared" si="1"/>
        <v>0</v>
      </c>
      <c r="J10" s="997">
        <f t="shared" si="2"/>
        <v>0</v>
      </c>
      <c r="K10" s="997">
        <f t="shared" si="3"/>
        <v>0</v>
      </c>
      <c r="L10" s="997" t="str">
        <f>IF(input_engine_ox!$P$21&gt;A9,VLOOKUP(A10,input_engine_ox!$P$23:$T$36,3,FALSE),"")</f>
        <v/>
      </c>
      <c r="M10" s="1002" t="str">
        <f t="shared" si="17"/>
        <v>up</v>
      </c>
      <c r="N10" s="1002" t="str">
        <f t="shared" si="45"/>
        <v/>
      </c>
      <c r="O10" s="1002" t="str">
        <f t="shared" si="4"/>
        <v/>
      </c>
      <c r="P10" s="1032">
        <f t="shared" si="18"/>
        <v>0.499</v>
      </c>
      <c r="Q10" s="997" t="str">
        <f t="shared" si="19"/>
        <v/>
      </c>
      <c r="R10" s="997">
        <f t="shared" si="20"/>
        <v>0</v>
      </c>
      <c r="S10" s="1006">
        <f>IF(input_engine_ox!$P$21&gt;A9,VLOOKUP(A10,input_engine_ox!$P$23:$T$35,4,FALSE),0)</f>
        <v>0</v>
      </c>
      <c r="T10" s="2442">
        <f t="shared" ca="1" si="21"/>
        <v>0</v>
      </c>
      <c r="U10" s="997" t="b">
        <f t="shared" si="22"/>
        <v>0</v>
      </c>
      <c r="V10" s="997" t="b">
        <f>advanced!$I$22="y"</f>
        <v>0</v>
      </c>
      <c r="W10" s="997">
        <f>data!$D$33</f>
        <v>15000</v>
      </c>
      <c r="X10" s="997" t="b">
        <f t="shared" si="23"/>
        <v>0</v>
      </c>
      <c r="Y10" s="997">
        <f t="shared" si="24"/>
        <v>0</v>
      </c>
      <c r="Z10" s="997">
        <f t="shared" si="5"/>
        <v>0</v>
      </c>
      <c r="AA10" s="1002">
        <f>data!$G$53</f>
        <v>75000</v>
      </c>
      <c r="AB10" s="1002">
        <f>data!$F$53</f>
        <v>0.02</v>
      </c>
      <c r="AC10" s="997">
        <f t="shared" si="25"/>
        <v>0</v>
      </c>
      <c r="AD10" s="997">
        <f>IF(B10="",0,(IF($AE$1=authorities!$I$1,0,IF(L10&gt;AE10,VLOOKUP($AD$1,authorities!A:H,C10+1,FALSE),0)))*L10/$CK$2*H10)</f>
        <v>0</v>
      </c>
      <c r="AE10" s="997">
        <f>IF($AE$1=authorities!$I$1,0,$AE$1)</f>
        <v>0</v>
      </c>
      <c r="AF10" s="1002">
        <f>IF(input_engine_ox!$P$21&gt;A9,VLOOKUP(A10,input_engine_ox!$P$23:$T$35,5,FALSE),0)</f>
        <v>0</v>
      </c>
      <c r="AG10" s="1002">
        <f>data!$C$43</f>
        <v>2900</v>
      </c>
      <c r="AH10" s="1007">
        <f t="shared" si="6"/>
        <v>1</v>
      </c>
      <c r="AI10" s="997">
        <f t="shared" si="26"/>
        <v>0</v>
      </c>
      <c r="AJ10" s="997" t="b">
        <f t="shared" si="7"/>
        <v>0</v>
      </c>
      <c r="AL10" s="997">
        <f t="shared" si="27"/>
        <v>0</v>
      </c>
      <c r="AO10" s="1002">
        <f t="shared" si="28"/>
        <v>0</v>
      </c>
      <c r="AP10" s="1002">
        <f>SUM($AO$3:AO10)</f>
        <v>1</v>
      </c>
      <c r="AQ10" s="1002">
        <f t="shared" si="29"/>
        <v>366</v>
      </c>
      <c r="AR10" s="997">
        <f t="shared" ca="1" si="30"/>
        <v>0</v>
      </c>
      <c r="AS10" s="997"/>
      <c r="AT10" s="997">
        <f t="shared" si="31"/>
        <v>0</v>
      </c>
      <c r="AU10" s="997" t="b">
        <f t="shared" si="8"/>
        <v>1</v>
      </c>
      <c r="AV10" s="997" t="b">
        <f t="shared" si="9"/>
        <v>0</v>
      </c>
      <c r="AW10" s="997" t="b">
        <f t="shared" si="10"/>
        <v>0</v>
      </c>
      <c r="AX10" s="997">
        <f t="shared" si="32"/>
        <v>0</v>
      </c>
      <c r="AY10" s="2370">
        <f ca="1">AR10/reliefs!$D$7*AX10*-1</f>
        <v>0</v>
      </c>
      <c r="AZ10" s="1002">
        <f t="shared" ca="1" si="33"/>
        <v>0</v>
      </c>
      <c r="BA10" s="2370"/>
      <c r="BB10" s="997"/>
      <c r="BC10" s="997"/>
      <c r="BD10" s="997"/>
      <c r="BE10" s="997"/>
      <c r="BG10" s="997">
        <f t="shared" si="34"/>
        <v>0</v>
      </c>
      <c r="BH10" s="997">
        <f t="shared" si="35"/>
        <v>15000</v>
      </c>
      <c r="BI10" s="1001">
        <f t="shared" si="35"/>
        <v>0</v>
      </c>
      <c r="BJ10" s="997">
        <f t="shared" si="35"/>
        <v>5000000</v>
      </c>
      <c r="BK10" s="997">
        <f t="shared" si="35"/>
        <v>0.499</v>
      </c>
      <c r="BL10" s="997" t="b">
        <f t="shared" si="35"/>
        <v>1</v>
      </c>
      <c r="BM10" s="997" t="b">
        <f t="shared" si="35"/>
        <v>0</v>
      </c>
      <c r="BN10" s="997">
        <f t="shared" si="35"/>
        <v>0</v>
      </c>
      <c r="BO10" s="997">
        <f t="shared" si="36"/>
        <v>0</v>
      </c>
      <c r="BP10" s="997"/>
      <c r="BQ10" s="997"/>
      <c r="BR10" s="997">
        <f t="shared" si="37"/>
        <v>600</v>
      </c>
      <c r="BS10" s="997"/>
      <c r="BT10" s="997" t="b">
        <f t="shared" si="38"/>
        <v>0</v>
      </c>
      <c r="BU10" s="997" t="b">
        <f t="shared" si="46"/>
        <v>1</v>
      </c>
      <c r="BV10" s="997" t="b">
        <f t="shared" si="39"/>
        <v>0</v>
      </c>
      <c r="BW10" s="997" t="b">
        <f t="shared" si="40"/>
        <v>0</v>
      </c>
      <c r="BX10" s="997" t="b">
        <f t="shared" si="41"/>
        <v>0</v>
      </c>
      <c r="BY10" s="997">
        <f t="shared" si="42"/>
        <v>600</v>
      </c>
      <c r="BZ10" s="997">
        <f t="shared" si="43"/>
        <v>366</v>
      </c>
      <c r="CA10" s="997">
        <f t="shared" si="47"/>
        <v>0</v>
      </c>
      <c r="CB10" s="997">
        <f t="shared" si="44"/>
        <v>0</v>
      </c>
      <c r="CC10" s="997">
        <f t="shared" si="48"/>
        <v>0</v>
      </c>
      <c r="CD10" s="997">
        <f t="shared" si="49"/>
        <v>600</v>
      </c>
      <c r="CE10" s="1002" t="b">
        <f t="shared" si="50"/>
        <v>0</v>
      </c>
      <c r="CH10" s="1036"/>
      <c r="CM10" s="1037">
        <f>nncalc1!$D$5</f>
        <v>0</v>
      </c>
      <c r="CN10" s="1037">
        <f>nccalc1!$D$5</f>
        <v>0</v>
      </c>
      <c r="CO10" s="1037">
        <f>bncalc1!$D$5</f>
        <v>0</v>
      </c>
      <c r="CP10" s="1037">
        <f>bccalc1!$D$5</f>
        <v>0</v>
      </c>
      <c r="CV10" s="1034"/>
    </row>
    <row r="11" spans="1:111" x14ac:dyDescent="0.35">
      <c r="A11" s="997">
        <f t="shared" si="11"/>
        <v>9</v>
      </c>
      <c r="B11" s="1003" t="str">
        <f>IF(input_engine_ox!$P$21&gt;A10,VLOOKUP(A11,input_engine_ox!$P$23:$T$35,2,FALSE),"")</f>
        <v/>
      </c>
      <c r="C11" s="997" t="str">
        <f t="shared" si="12"/>
        <v/>
      </c>
      <c r="D11" s="1003">
        <f t="shared" si="13"/>
        <v>45382</v>
      </c>
      <c r="E11" s="1002" t="str">
        <f>IF(B11="",E10,VLOOKUP(B11,input_engine_ox!$B$23:$F$35,5,FALSE))</f>
        <v>nn</v>
      </c>
      <c r="F11" s="1003" t="str">
        <f t="shared" si="14"/>
        <v/>
      </c>
      <c r="G11" s="1003" t="str">
        <f t="shared" si="15"/>
        <v/>
      </c>
      <c r="H11" s="1002">
        <f t="shared" si="16"/>
        <v>0</v>
      </c>
      <c r="I11" s="997">
        <f t="shared" si="1"/>
        <v>0</v>
      </c>
      <c r="J11" s="997">
        <f t="shared" si="2"/>
        <v>0</v>
      </c>
      <c r="K11" s="997">
        <f t="shared" si="3"/>
        <v>0</v>
      </c>
      <c r="L11" s="997" t="str">
        <f>IF(input_engine_ox!$P$21&gt;A10,VLOOKUP(A11,input_engine_ox!$P$23:$T$36,3,FALSE),"")</f>
        <v/>
      </c>
      <c r="M11" s="1002" t="str">
        <f t="shared" si="17"/>
        <v>up</v>
      </c>
      <c r="N11" s="1002" t="str">
        <f t="shared" si="45"/>
        <v/>
      </c>
      <c r="O11" s="1002" t="str">
        <f t="shared" si="4"/>
        <v/>
      </c>
      <c r="P11" s="1032">
        <f t="shared" si="18"/>
        <v>0.499</v>
      </c>
      <c r="Q11" s="997" t="str">
        <f t="shared" si="19"/>
        <v/>
      </c>
      <c r="R11" s="997">
        <f t="shared" si="20"/>
        <v>0</v>
      </c>
      <c r="S11" s="1006">
        <f>IF(input_engine_ox!$P$21&gt;A10,VLOOKUP(A11,input_engine_ox!$P$23:$T$35,4,FALSE),0)</f>
        <v>0</v>
      </c>
      <c r="T11" s="2442">
        <f t="shared" ca="1" si="21"/>
        <v>0</v>
      </c>
      <c r="U11" s="997" t="b">
        <f t="shared" si="22"/>
        <v>0</v>
      </c>
      <c r="V11" s="997" t="b">
        <f>advanced!$I$22="y"</f>
        <v>0</v>
      </c>
      <c r="W11" s="997">
        <f>data!$D$33</f>
        <v>15000</v>
      </c>
      <c r="X11" s="997" t="b">
        <f t="shared" si="23"/>
        <v>0</v>
      </c>
      <c r="Y11" s="997">
        <f t="shared" si="24"/>
        <v>0</v>
      </c>
      <c r="Z11" s="997">
        <f t="shared" si="5"/>
        <v>0</v>
      </c>
      <c r="AA11" s="1002">
        <f>data!$G$53</f>
        <v>75000</v>
      </c>
      <c r="AB11" s="1002">
        <f>data!$F$53</f>
        <v>0.02</v>
      </c>
      <c r="AC11" s="997">
        <f t="shared" si="25"/>
        <v>0</v>
      </c>
      <c r="AD11" s="997">
        <f>IF(B11="",0,(IF($AE$1=authorities!$I$1,0,IF(L11&gt;AE11,VLOOKUP($AD$1,authorities!A:H,C11+1,FALSE),0)))*L11/$CK$2*H11)</f>
        <v>0</v>
      </c>
      <c r="AE11" s="997">
        <f>IF($AE$1=authorities!$I$1,0,$AE$1)</f>
        <v>0</v>
      </c>
      <c r="AF11" s="1002">
        <f>IF(input_engine_ox!$P$21&gt;A10,VLOOKUP(A11,input_engine_ox!$P$23:$T$35,5,FALSE),0)</f>
        <v>0</v>
      </c>
      <c r="AG11" s="1002">
        <f>data!$C$43</f>
        <v>2900</v>
      </c>
      <c r="AH11" s="1007">
        <f t="shared" si="6"/>
        <v>1</v>
      </c>
      <c r="AI11" s="997">
        <f t="shared" si="26"/>
        <v>0</v>
      </c>
      <c r="AJ11" s="997" t="b">
        <f t="shared" si="7"/>
        <v>0</v>
      </c>
      <c r="AL11" s="997">
        <f t="shared" si="27"/>
        <v>0</v>
      </c>
      <c r="AO11" s="1002">
        <f t="shared" si="28"/>
        <v>0</v>
      </c>
      <c r="AP11" s="1002">
        <f>SUM($AO$3:AO11)</f>
        <v>1</v>
      </c>
      <c r="AQ11" s="1002">
        <f t="shared" si="29"/>
        <v>366</v>
      </c>
      <c r="AR11" s="997">
        <f t="shared" ca="1" si="30"/>
        <v>0</v>
      </c>
      <c r="AS11" s="997"/>
      <c r="AT11" s="997">
        <f t="shared" si="31"/>
        <v>0</v>
      </c>
      <c r="AU11" s="997" t="b">
        <f t="shared" si="8"/>
        <v>1</v>
      </c>
      <c r="AV11" s="997" t="b">
        <f t="shared" si="9"/>
        <v>0</v>
      </c>
      <c r="AW11" s="997" t="b">
        <f t="shared" si="10"/>
        <v>0</v>
      </c>
      <c r="AX11" s="997">
        <f t="shared" si="32"/>
        <v>0</v>
      </c>
      <c r="AY11" s="2370">
        <f ca="1">AR11/reliefs!$D$7*AX11*-1</f>
        <v>0</v>
      </c>
      <c r="AZ11" s="1002">
        <f t="shared" ca="1" si="33"/>
        <v>0</v>
      </c>
      <c r="BA11" s="2370"/>
      <c r="BB11" s="997"/>
      <c r="BC11" s="997"/>
      <c r="BD11" s="997"/>
      <c r="BE11" s="997"/>
      <c r="BG11" s="997">
        <f t="shared" si="34"/>
        <v>0</v>
      </c>
      <c r="BH11" s="997">
        <f t="shared" si="35"/>
        <v>15000</v>
      </c>
      <c r="BI11" s="1001">
        <f t="shared" si="35"/>
        <v>0</v>
      </c>
      <c r="BJ11" s="997">
        <f t="shared" si="35"/>
        <v>5000000</v>
      </c>
      <c r="BK11" s="997">
        <f t="shared" si="35"/>
        <v>0.499</v>
      </c>
      <c r="BL11" s="997" t="b">
        <f t="shared" si="35"/>
        <v>1</v>
      </c>
      <c r="BM11" s="997" t="b">
        <f t="shared" si="35"/>
        <v>0</v>
      </c>
      <c r="BN11" s="997">
        <f t="shared" si="35"/>
        <v>0</v>
      </c>
      <c r="BO11" s="997">
        <f t="shared" si="36"/>
        <v>0</v>
      </c>
      <c r="BP11" s="997"/>
      <c r="BQ11" s="997"/>
      <c r="BR11" s="997">
        <f t="shared" si="37"/>
        <v>600</v>
      </c>
      <c r="BS11" s="997"/>
      <c r="BT11" s="997" t="b">
        <f t="shared" si="38"/>
        <v>0</v>
      </c>
      <c r="BU11" s="997" t="b">
        <f t="shared" si="46"/>
        <v>1</v>
      </c>
      <c r="BV11" s="997" t="b">
        <f t="shared" si="39"/>
        <v>0</v>
      </c>
      <c r="BW11" s="997" t="b">
        <f t="shared" si="40"/>
        <v>0</v>
      </c>
      <c r="BX11" s="997" t="b">
        <f t="shared" si="41"/>
        <v>0</v>
      </c>
      <c r="BY11" s="997">
        <f t="shared" si="42"/>
        <v>600</v>
      </c>
      <c r="BZ11" s="997">
        <f t="shared" si="43"/>
        <v>366</v>
      </c>
      <c r="CA11" s="997">
        <f t="shared" si="47"/>
        <v>0</v>
      </c>
      <c r="CB11" s="997">
        <f t="shared" si="44"/>
        <v>0</v>
      </c>
      <c r="CC11" s="997">
        <f t="shared" si="48"/>
        <v>0</v>
      </c>
      <c r="CD11" s="997">
        <f t="shared" si="49"/>
        <v>600</v>
      </c>
      <c r="CE11" s="1002" t="b">
        <f t="shared" si="50"/>
        <v>0</v>
      </c>
      <c r="CH11" s="1036"/>
      <c r="CK11" s="997">
        <f>ROW()</f>
        <v>11</v>
      </c>
      <c r="CL11" s="1038" t="s">
        <v>586</v>
      </c>
      <c r="CM11" s="1038"/>
      <c r="CN11" s="1038"/>
      <c r="CO11" s="1038"/>
      <c r="CP11" s="1038"/>
      <c r="CV11" s="1034"/>
    </row>
    <row r="12" spans="1:111" x14ac:dyDescent="0.35">
      <c r="A12" s="997">
        <f t="shared" si="11"/>
        <v>10</v>
      </c>
      <c r="B12" s="1003" t="str">
        <f>IF(input_engine_ox!$P$21&gt;A11,VLOOKUP(A12,input_engine_ox!$P$23:$T$35,2,FALSE),"")</f>
        <v/>
      </c>
      <c r="C12" s="997" t="str">
        <f t="shared" si="12"/>
        <v/>
      </c>
      <c r="D12" s="1003">
        <f t="shared" si="13"/>
        <v>45382</v>
      </c>
      <c r="E12" s="1002" t="str">
        <f>IF(B12="",E11,VLOOKUP(B12,input_engine_ox!$B$23:$F$35,5,FALSE))</f>
        <v>nn</v>
      </c>
      <c r="F12" s="1003" t="str">
        <f t="shared" si="14"/>
        <v/>
      </c>
      <c r="G12" s="1003" t="str">
        <f t="shared" si="15"/>
        <v/>
      </c>
      <c r="H12" s="1002">
        <f t="shared" si="16"/>
        <v>0</v>
      </c>
      <c r="I12" s="997">
        <f t="shared" si="1"/>
        <v>0</v>
      </c>
      <c r="J12" s="997">
        <f t="shared" si="2"/>
        <v>0</v>
      </c>
      <c r="K12" s="997">
        <f t="shared" si="3"/>
        <v>0</v>
      </c>
      <c r="L12" s="997" t="str">
        <f>IF(input_engine_ox!$P$21&gt;A11,VLOOKUP(A12,input_engine_ox!$P$23:$T$36,3,FALSE),"")</f>
        <v/>
      </c>
      <c r="M12" s="1002" t="str">
        <f t="shared" si="17"/>
        <v>up</v>
      </c>
      <c r="N12" s="1002" t="str">
        <f t="shared" si="45"/>
        <v/>
      </c>
      <c r="O12" s="1002" t="str">
        <f t="shared" si="4"/>
        <v/>
      </c>
      <c r="P12" s="1032">
        <f t="shared" si="18"/>
        <v>0.499</v>
      </c>
      <c r="Q12" s="997" t="str">
        <f t="shared" si="19"/>
        <v/>
      </c>
      <c r="R12" s="997">
        <f t="shared" si="20"/>
        <v>0</v>
      </c>
      <c r="S12" s="1006">
        <f>IF(input_engine_ox!$P$21&gt;A11,VLOOKUP(A12,input_engine_ox!$P$23:$T$35,4,FALSE),0)</f>
        <v>0</v>
      </c>
      <c r="T12" s="2442">
        <f t="shared" ca="1" si="21"/>
        <v>0</v>
      </c>
      <c r="U12" s="997" t="b">
        <f t="shared" si="22"/>
        <v>0</v>
      </c>
      <c r="V12" s="997" t="b">
        <f>advanced!$I$22="y"</f>
        <v>0</v>
      </c>
      <c r="W12" s="997">
        <f>data!$D$33</f>
        <v>15000</v>
      </c>
      <c r="X12" s="997" t="b">
        <f t="shared" si="23"/>
        <v>0</v>
      </c>
      <c r="Y12" s="997">
        <f t="shared" si="24"/>
        <v>0</v>
      </c>
      <c r="Z12" s="997">
        <f t="shared" si="5"/>
        <v>0</v>
      </c>
      <c r="AA12" s="1002">
        <f>data!$G$53</f>
        <v>75000</v>
      </c>
      <c r="AB12" s="1002">
        <f>data!$F$53</f>
        <v>0.02</v>
      </c>
      <c r="AC12" s="997">
        <f t="shared" si="25"/>
        <v>0</v>
      </c>
      <c r="AD12" s="997">
        <f>IF(B12="",0,(IF($AE$1=authorities!$I$1,0,IF(L12&gt;AE12,VLOOKUP($AD$1,authorities!A:H,C12+1,FALSE),0)))*L12/$CK$2*H12)</f>
        <v>0</v>
      </c>
      <c r="AE12" s="997">
        <f>IF($AE$1=authorities!$I$1,0,$AE$1)</f>
        <v>0</v>
      </c>
      <c r="AF12" s="1002">
        <f>IF(input_engine_ox!$P$21&gt;A11,VLOOKUP(A12,input_engine_ox!$P$23:$T$35,5,FALSE),0)</f>
        <v>0</v>
      </c>
      <c r="AG12" s="1002">
        <f>data!$C$43</f>
        <v>2900</v>
      </c>
      <c r="AH12" s="1007">
        <f t="shared" si="6"/>
        <v>1</v>
      </c>
      <c r="AI12" s="997">
        <f t="shared" si="26"/>
        <v>0</v>
      </c>
      <c r="AJ12" s="997" t="b">
        <f t="shared" si="7"/>
        <v>0</v>
      </c>
      <c r="AL12" s="997">
        <f t="shared" si="27"/>
        <v>0</v>
      </c>
      <c r="AO12" s="1002">
        <f t="shared" si="28"/>
        <v>0</v>
      </c>
      <c r="AP12" s="1002">
        <f>SUM($AO$3:AO12)</f>
        <v>1</v>
      </c>
      <c r="AQ12" s="1002">
        <f t="shared" si="29"/>
        <v>366</v>
      </c>
      <c r="AR12" s="997">
        <f t="shared" ca="1" si="30"/>
        <v>0</v>
      </c>
      <c r="AS12" s="997"/>
      <c r="AT12" s="997">
        <f t="shared" si="31"/>
        <v>0</v>
      </c>
      <c r="AU12" s="997" t="b">
        <f t="shared" si="8"/>
        <v>1</v>
      </c>
      <c r="AV12" s="997" t="b">
        <f t="shared" si="9"/>
        <v>0</v>
      </c>
      <c r="AW12" s="997" t="b">
        <f t="shared" si="10"/>
        <v>0</v>
      </c>
      <c r="AX12" s="997">
        <f t="shared" si="32"/>
        <v>0</v>
      </c>
      <c r="AY12" s="2370">
        <f ca="1">AR12/reliefs!$D$7*AX12*-1</f>
        <v>0</v>
      </c>
      <c r="AZ12" s="1002">
        <f t="shared" ca="1" si="33"/>
        <v>0</v>
      </c>
      <c r="BA12" s="2370"/>
      <c r="BB12" s="997"/>
      <c r="BC12" s="997"/>
      <c r="BD12" s="997"/>
      <c r="BE12" s="997"/>
      <c r="BG12" s="997">
        <f t="shared" si="34"/>
        <v>0</v>
      </c>
      <c r="BH12" s="997">
        <f t="shared" si="35"/>
        <v>15000</v>
      </c>
      <c r="BI12" s="1001">
        <f t="shared" si="35"/>
        <v>0</v>
      </c>
      <c r="BJ12" s="997">
        <f t="shared" si="35"/>
        <v>5000000</v>
      </c>
      <c r="BK12" s="997">
        <f t="shared" si="35"/>
        <v>0.499</v>
      </c>
      <c r="BL12" s="997" t="b">
        <f t="shared" si="35"/>
        <v>1</v>
      </c>
      <c r="BM12" s="997" t="b">
        <f t="shared" si="35"/>
        <v>0</v>
      </c>
      <c r="BN12" s="997">
        <f t="shared" si="35"/>
        <v>0</v>
      </c>
      <c r="BO12" s="997">
        <f t="shared" si="36"/>
        <v>0</v>
      </c>
      <c r="BP12" s="997"/>
      <c r="BQ12" s="997"/>
      <c r="BR12" s="997">
        <f t="shared" si="37"/>
        <v>600</v>
      </c>
      <c r="BS12" s="997"/>
      <c r="BT12" s="997" t="b">
        <f t="shared" si="38"/>
        <v>0</v>
      </c>
      <c r="BU12" s="997" t="b">
        <f t="shared" si="46"/>
        <v>1</v>
      </c>
      <c r="BV12" s="997" t="b">
        <f t="shared" si="39"/>
        <v>0</v>
      </c>
      <c r="BW12" s="997" t="b">
        <f t="shared" si="40"/>
        <v>0</v>
      </c>
      <c r="BX12" s="997" t="b">
        <f t="shared" si="41"/>
        <v>0</v>
      </c>
      <c r="BY12" s="997">
        <f t="shared" si="42"/>
        <v>600</v>
      </c>
      <c r="BZ12" s="997">
        <f t="shared" si="43"/>
        <v>366</v>
      </c>
      <c r="CA12" s="997">
        <f t="shared" si="47"/>
        <v>0</v>
      </c>
      <c r="CB12" s="997">
        <f t="shared" si="44"/>
        <v>0</v>
      </c>
      <c r="CC12" s="997">
        <f t="shared" si="48"/>
        <v>0</v>
      </c>
      <c r="CD12" s="997">
        <f t="shared" si="49"/>
        <v>600</v>
      </c>
      <c r="CE12" s="1002" t="b">
        <f t="shared" si="50"/>
        <v>0</v>
      </c>
      <c r="CH12" s="1036"/>
      <c r="CL12" s="1038">
        <f t="shared" ref="CL12:CL17" si="51">CI2</f>
        <v>1</v>
      </c>
      <c r="CM12" s="1038" t="b">
        <f>nncalc1!$D$30</f>
        <v>0</v>
      </c>
      <c r="CN12" s="1038" t="b">
        <f>nccalc1!$D$30</f>
        <v>0</v>
      </c>
      <c r="CO12" s="1038" t="b">
        <f>bncalc1!$D$30</f>
        <v>0</v>
      </c>
      <c r="CP12" s="1038" t="b">
        <f>bccalc1!$D$30</f>
        <v>0</v>
      </c>
      <c r="CV12" s="1034"/>
    </row>
    <row r="13" spans="1:111" x14ac:dyDescent="0.35">
      <c r="A13" s="997">
        <f t="shared" si="11"/>
        <v>11</v>
      </c>
      <c r="B13" s="1003" t="str">
        <f>IF(input_engine_ox!$P$21&gt;A12,VLOOKUP(A13,input_engine_ox!$P$23:$T$35,2,FALSE),"")</f>
        <v/>
      </c>
      <c r="C13" s="997" t="str">
        <f t="shared" si="12"/>
        <v/>
      </c>
      <c r="D13" s="1003">
        <f t="shared" si="13"/>
        <v>45382</v>
      </c>
      <c r="E13" s="1002" t="str">
        <f>IF(B13="",E12,VLOOKUP(B13,input_engine_ox!$B$23:$F$35,5,FALSE))</f>
        <v>nn</v>
      </c>
      <c r="F13" s="1003" t="str">
        <f t="shared" si="14"/>
        <v/>
      </c>
      <c r="G13" s="1003" t="str">
        <f t="shared" si="15"/>
        <v/>
      </c>
      <c r="H13" s="1002">
        <f t="shared" si="16"/>
        <v>0</v>
      </c>
      <c r="I13" s="997">
        <f t="shared" si="1"/>
        <v>0</v>
      </c>
      <c r="J13" s="997">
        <f t="shared" si="2"/>
        <v>0</v>
      </c>
      <c r="K13" s="997">
        <f t="shared" si="3"/>
        <v>0</v>
      </c>
      <c r="L13" s="997" t="str">
        <f>IF(input_engine_ox!$P$21&gt;A12,VLOOKUP(A13,input_engine_ox!$P$23:$T$36,3,FALSE),"")</f>
        <v/>
      </c>
      <c r="M13" s="1002" t="str">
        <f t="shared" si="17"/>
        <v>up</v>
      </c>
      <c r="N13" s="1002" t="str">
        <f t="shared" si="45"/>
        <v/>
      </c>
      <c r="O13" s="1002" t="str">
        <f t="shared" si="4"/>
        <v/>
      </c>
      <c r="P13" s="1032">
        <f t="shared" si="18"/>
        <v>0.499</v>
      </c>
      <c r="Q13" s="997" t="str">
        <f t="shared" si="19"/>
        <v/>
      </c>
      <c r="R13" s="997">
        <f t="shared" si="20"/>
        <v>0</v>
      </c>
      <c r="S13" s="1006">
        <f>IF(input_engine_ox!$P$21&gt;A12,VLOOKUP(A13,input_engine_ox!$P$23:$T$35,4,FALSE),0)</f>
        <v>0</v>
      </c>
      <c r="T13" s="2442">
        <f t="shared" ca="1" si="21"/>
        <v>0</v>
      </c>
      <c r="U13" s="997" t="b">
        <f t="shared" si="22"/>
        <v>0</v>
      </c>
      <c r="V13" s="997" t="b">
        <f>advanced!$I$22="y"</f>
        <v>0</v>
      </c>
      <c r="W13" s="997">
        <f>data!$D$33</f>
        <v>15000</v>
      </c>
      <c r="X13" s="997" t="b">
        <f t="shared" si="23"/>
        <v>0</v>
      </c>
      <c r="Y13" s="997">
        <f t="shared" si="24"/>
        <v>0</v>
      </c>
      <c r="Z13" s="997">
        <f t="shared" si="5"/>
        <v>0</v>
      </c>
      <c r="AA13" s="1002">
        <f>data!$G$53</f>
        <v>75000</v>
      </c>
      <c r="AB13" s="1002">
        <f>data!$F$53</f>
        <v>0.02</v>
      </c>
      <c r="AC13" s="997">
        <f t="shared" si="25"/>
        <v>0</v>
      </c>
      <c r="AD13" s="997">
        <f>IF(B13="",0,(IF($AE$1=authorities!$I$1,0,IF(L13&gt;AE13,VLOOKUP($AD$1,authorities!A:H,C13+1,FALSE),0)))*L13/$CK$2*H13)</f>
        <v>0</v>
      </c>
      <c r="AE13" s="997">
        <f>IF($AE$1=authorities!$I$1,0,$AE$1)</f>
        <v>0</v>
      </c>
      <c r="AF13" s="1002">
        <f>IF(input_engine_ox!$P$21&gt;A12,VLOOKUP(A13,input_engine_ox!$P$23:$T$35,5,FALSE),0)</f>
        <v>0</v>
      </c>
      <c r="AG13" s="1002">
        <f>data!$C$43</f>
        <v>2900</v>
      </c>
      <c r="AH13" s="1007">
        <f t="shared" si="6"/>
        <v>1</v>
      </c>
      <c r="AI13" s="997">
        <f t="shared" si="26"/>
        <v>0</v>
      </c>
      <c r="AJ13" s="997" t="b">
        <f t="shared" si="7"/>
        <v>0</v>
      </c>
      <c r="AL13" s="997">
        <f t="shared" si="27"/>
        <v>0</v>
      </c>
      <c r="AO13" s="1002">
        <f t="shared" si="28"/>
        <v>0</v>
      </c>
      <c r="AP13" s="1002">
        <f>SUM($AO$3:AO13)</f>
        <v>1</v>
      </c>
      <c r="AQ13" s="1002">
        <f t="shared" si="29"/>
        <v>366</v>
      </c>
      <c r="AR13" s="997">
        <f t="shared" ca="1" si="30"/>
        <v>0</v>
      </c>
      <c r="AS13" s="997"/>
      <c r="AT13" s="997">
        <f t="shared" si="31"/>
        <v>0</v>
      </c>
      <c r="AU13" s="997" t="b">
        <f t="shared" si="8"/>
        <v>1</v>
      </c>
      <c r="AV13" s="997" t="b">
        <f t="shared" si="9"/>
        <v>0</v>
      </c>
      <c r="AW13" s="997" t="b">
        <f t="shared" si="10"/>
        <v>0</v>
      </c>
      <c r="AX13" s="997">
        <f t="shared" si="32"/>
        <v>0</v>
      </c>
      <c r="AY13" s="2370">
        <f ca="1">AR13/reliefs!$D$7*AX13*-1</f>
        <v>0</v>
      </c>
      <c r="AZ13" s="1002">
        <f t="shared" ca="1" si="33"/>
        <v>0</v>
      </c>
      <c r="BA13" s="2370"/>
      <c r="BB13" s="997"/>
      <c r="BC13" s="997"/>
      <c r="BD13" s="997"/>
      <c r="BE13" s="997"/>
      <c r="BG13" s="997">
        <f t="shared" si="34"/>
        <v>0</v>
      </c>
      <c r="BH13" s="997">
        <f t="shared" si="35"/>
        <v>15000</v>
      </c>
      <c r="BI13" s="1001">
        <f t="shared" si="35"/>
        <v>0</v>
      </c>
      <c r="BJ13" s="997">
        <f t="shared" si="35"/>
        <v>5000000</v>
      </c>
      <c r="BK13" s="997">
        <f t="shared" si="35"/>
        <v>0.499</v>
      </c>
      <c r="BL13" s="997" t="b">
        <f t="shared" si="35"/>
        <v>1</v>
      </c>
      <c r="BM13" s="997" t="b">
        <f t="shared" si="35"/>
        <v>0</v>
      </c>
      <c r="BN13" s="997">
        <f t="shared" si="35"/>
        <v>0</v>
      </c>
      <c r="BO13" s="997">
        <f t="shared" si="36"/>
        <v>0</v>
      </c>
      <c r="BP13" s="997"/>
      <c r="BQ13" s="997"/>
      <c r="BR13" s="997">
        <f t="shared" si="37"/>
        <v>600</v>
      </c>
      <c r="BS13" s="997"/>
      <c r="BT13" s="997" t="b">
        <f t="shared" si="38"/>
        <v>0</v>
      </c>
      <c r="BU13" s="997" t="b">
        <f t="shared" si="46"/>
        <v>1</v>
      </c>
      <c r="BV13" s="997" t="b">
        <f t="shared" si="39"/>
        <v>0</v>
      </c>
      <c r="BW13" s="997" t="b">
        <f t="shared" si="40"/>
        <v>0</v>
      </c>
      <c r="BX13" s="997" t="b">
        <f t="shared" si="41"/>
        <v>0</v>
      </c>
      <c r="BY13" s="997">
        <f t="shared" si="42"/>
        <v>600</v>
      </c>
      <c r="BZ13" s="997">
        <f t="shared" si="43"/>
        <v>366</v>
      </c>
      <c r="CA13" s="997">
        <f t="shared" si="47"/>
        <v>0</v>
      </c>
      <c r="CB13" s="997">
        <f t="shared" si="44"/>
        <v>0</v>
      </c>
      <c r="CC13" s="997">
        <f t="shared" si="48"/>
        <v>0</v>
      </c>
      <c r="CD13" s="997">
        <f t="shared" si="49"/>
        <v>600</v>
      </c>
      <c r="CE13" s="1002" t="b">
        <f t="shared" si="50"/>
        <v>0</v>
      </c>
      <c r="CH13" s="1036"/>
      <c r="CL13" s="1038">
        <f t="shared" si="51"/>
        <v>2</v>
      </c>
      <c r="CM13" s="1038" t="b">
        <f>nncalc1!$E$30</f>
        <v>0</v>
      </c>
      <c r="CN13" s="1038" t="b">
        <f>nccalc1!$E$30</f>
        <v>0</v>
      </c>
      <c r="CO13" s="1038" t="b">
        <f>bncalc1!$E$30</f>
        <v>0</v>
      </c>
      <c r="CP13" s="1038" t="b">
        <f>bccalc1!$E$30</f>
        <v>0</v>
      </c>
      <c r="CV13" s="1034"/>
    </row>
    <row r="14" spans="1:111" x14ac:dyDescent="0.35">
      <c r="A14" s="997">
        <f t="shared" si="11"/>
        <v>12</v>
      </c>
      <c r="B14" s="1003" t="str">
        <f>IF(input_engine_ox!$P$21&gt;A13,VLOOKUP(A14,input_engine_ox!$P$23:$T$35,2,FALSE),"")</f>
        <v/>
      </c>
      <c r="C14" s="997" t="str">
        <f t="shared" si="12"/>
        <v/>
      </c>
      <c r="D14" s="1003">
        <f t="shared" si="13"/>
        <v>45382</v>
      </c>
      <c r="E14" s="1002" t="str">
        <f>IF(B14="",E13,VLOOKUP(B14,input_engine_ox!$B$23:$F$35,5,FALSE))</f>
        <v>nn</v>
      </c>
      <c r="F14" s="1003" t="str">
        <f t="shared" si="14"/>
        <v/>
      </c>
      <c r="G14" s="1003" t="str">
        <f>IF(B14="","",IF(#REF!=C14,#REF!-1,D14))</f>
        <v/>
      </c>
      <c r="H14" s="1002">
        <f t="shared" si="16"/>
        <v>0</v>
      </c>
      <c r="I14" s="997">
        <f t="shared" si="1"/>
        <v>0</v>
      </c>
      <c r="J14" s="997">
        <f t="shared" si="2"/>
        <v>0</v>
      </c>
      <c r="K14" s="997">
        <f t="shared" si="3"/>
        <v>0</v>
      </c>
      <c r="L14" s="997" t="str">
        <f>IF(input_engine_ox!$P$21&gt;A13,VLOOKUP(A14,input_engine_ox!$P$23:$T$36,3,FALSE),"")</f>
        <v/>
      </c>
      <c r="M14" s="1002" t="str">
        <f t="shared" si="17"/>
        <v>up</v>
      </c>
      <c r="N14" s="1002" t="str">
        <f t="shared" si="45"/>
        <v/>
      </c>
      <c r="O14" s="1002" t="str">
        <f t="shared" si="4"/>
        <v/>
      </c>
      <c r="P14" s="1032">
        <f t="shared" si="18"/>
        <v>0.499</v>
      </c>
      <c r="Q14" s="997" t="str">
        <f t="shared" si="19"/>
        <v/>
      </c>
      <c r="R14" s="997">
        <f t="shared" si="20"/>
        <v>0</v>
      </c>
      <c r="S14" s="1006">
        <f>IF(input_engine_ox!$P$21&gt;A13,VLOOKUP(A14,input_engine_ox!$P$23:$T$35,4,FALSE),0)</f>
        <v>0</v>
      </c>
      <c r="T14" s="2442">
        <f t="shared" ca="1" si="21"/>
        <v>0</v>
      </c>
      <c r="U14" s="997" t="b">
        <f t="shared" si="22"/>
        <v>0</v>
      </c>
      <c r="V14" s="997" t="b">
        <f>advanced!$I$22="y"</f>
        <v>0</v>
      </c>
      <c r="W14" s="997">
        <f>data!$D$33</f>
        <v>15000</v>
      </c>
      <c r="X14" s="997" t="b">
        <f t="shared" si="23"/>
        <v>0</v>
      </c>
      <c r="Y14" s="997">
        <f t="shared" si="24"/>
        <v>0</v>
      </c>
      <c r="Z14" s="997">
        <f t="shared" si="5"/>
        <v>0</v>
      </c>
      <c r="AA14" s="1002">
        <f>data!$G$53</f>
        <v>75000</v>
      </c>
      <c r="AB14" s="1002">
        <f>data!$F$53</f>
        <v>0.02</v>
      </c>
      <c r="AC14" s="997">
        <f t="shared" si="25"/>
        <v>0</v>
      </c>
      <c r="AD14" s="997">
        <f>IF(B14="",0,(IF($AE$1=authorities!$I$1,0,IF(L14&gt;AE14,VLOOKUP($AD$1,authorities!A:H,C14+1,FALSE),0)))*L14/$CK$2*H14)</f>
        <v>0</v>
      </c>
      <c r="AE14" s="997">
        <f>IF($AE$1=authorities!$I$1,0,$AE$1)</f>
        <v>0</v>
      </c>
      <c r="AF14" s="1002">
        <f>IF(input_engine_ox!$P$21&gt;A13,VLOOKUP(A14,input_engine_ox!$P$23:$T$35,5,FALSE),0)</f>
        <v>0</v>
      </c>
      <c r="AG14" s="1002">
        <f>data!$C$43</f>
        <v>2900</v>
      </c>
      <c r="AH14" s="1007">
        <f t="shared" si="6"/>
        <v>1</v>
      </c>
      <c r="AI14" s="997">
        <f t="shared" si="26"/>
        <v>0</v>
      </c>
      <c r="AJ14" s="997" t="b">
        <f t="shared" si="7"/>
        <v>0</v>
      </c>
      <c r="AL14" s="997">
        <f t="shared" si="27"/>
        <v>0</v>
      </c>
      <c r="AO14" s="1002">
        <f t="shared" si="28"/>
        <v>0</v>
      </c>
      <c r="AP14" s="1002">
        <f>SUM($AO$3:AO14)</f>
        <v>1</v>
      </c>
      <c r="AQ14" s="1002">
        <f t="shared" si="29"/>
        <v>366</v>
      </c>
      <c r="AR14" s="997">
        <f t="shared" ca="1" si="30"/>
        <v>0</v>
      </c>
      <c r="AS14" s="997"/>
      <c r="AT14" s="997">
        <f t="shared" si="31"/>
        <v>0</v>
      </c>
      <c r="AU14" s="997" t="b">
        <f t="shared" si="8"/>
        <v>1</v>
      </c>
      <c r="AV14" s="997" t="b">
        <f t="shared" si="9"/>
        <v>0</v>
      </c>
      <c r="AW14" s="997" t="b">
        <f t="shared" si="10"/>
        <v>0</v>
      </c>
      <c r="AX14" s="997">
        <f t="shared" si="32"/>
        <v>0</v>
      </c>
      <c r="AY14" s="2370">
        <f ca="1">AR14/reliefs!$D$7*AX14*-1</f>
        <v>0</v>
      </c>
      <c r="AZ14" s="1002">
        <f t="shared" ca="1" si="33"/>
        <v>0</v>
      </c>
      <c r="BA14" s="2370"/>
      <c r="BB14" s="997"/>
      <c r="BC14" s="997"/>
      <c r="BD14" s="997"/>
      <c r="BE14" s="997"/>
      <c r="BG14" s="997">
        <f t="shared" si="34"/>
        <v>0</v>
      </c>
      <c r="BH14" s="997">
        <f t="shared" si="35"/>
        <v>15000</v>
      </c>
      <c r="BI14" s="1001">
        <f t="shared" si="35"/>
        <v>0</v>
      </c>
      <c r="BJ14" s="997">
        <f t="shared" si="35"/>
        <v>5000000</v>
      </c>
      <c r="BK14" s="997">
        <f t="shared" si="35"/>
        <v>0.499</v>
      </c>
      <c r="BL14" s="997" t="b">
        <f t="shared" si="35"/>
        <v>1</v>
      </c>
      <c r="BM14" s="997" t="b">
        <f t="shared" si="35"/>
        <v>0</v>
      </c>
      <c r="BN14" s="997">
        <f t="shared" si="35"/>
        <v>0</v>
      </c>
      <c r="BO14" s="997">
        <f t="shared" si="36"/>
        <v>0</v>
      </c>
      <c r="BP14" s="997"/>
      <c r="BQ14" s="997"/>
      <c r="BR14" s="997">
        <f t="shared" si="37"/>
        <v>600</v>
      </c>
      <c r="BS14" s="997"/>
      <c r="BT14" s="997" t="b">
        <f t="shared" si="38"/>
        <v>0</v>
      </c>
      <c r="BU14" s="997" t="b">
        <f t="shared" si="46"/>
        <v>1</v>
      </c>
      <c r="BV14" s="997" t="b">
        <f t="shared" si="39"/>
        <v>0</v>
      </c>
      <c r="BW14" s="997" t="b">
        <f t="shared" si="40"/>
        <v>0</v>
      </c>
      <c r="BX14" s="997" t="b">
        <f t="shared" si="41"/>
        <v>0</v>
      </c>
      <c r="BY14" s="997">
        <f t="shared" si="42"/>
        <v>600</v>
      </c>
      <c r="BZ14" s="997">
        <f t="shared" si="43"/>
        <v>366</v>
      </c>
      <c r="CA14" s="997">
        <f t="shared" si="47"/>
        <v>0</v>
      </c>
      <c r="CB14" s="997">
        <f t="shared" si="44"/>
        <v>0</v>
      </c>
      <c r="CC14" s="997">
        <f t="shared" si="48"/>
        <v>0</v>
      </c>
      <c r="CD14" s="997">
        <f t="shared" si="49"/>
        <v>600</v>
      </c>
      <c r="CE14" s="1002" t="b">
        <f t="shared" si="50"/>
        <v>0</v>
      </c>
      <c r="CH14" s="1036"/>
      <c r="CL14" s="1038">
        <f t="shared" si="51"/>
        <v>3</v>
      </c>
      <c r="CM14" s="1038" t="b">
        <f>nncalc1!$F$30</f>
        <v>0</v>
      </c>
      <c r="CN14" s="1038" t="b">
        <f>nccalc1!$F$30</f>
        <v>0</v>
      </c>
      <c r="CO14" s="1038" t="b">
        <f>bncalc1!$F$30</f>
        <v>0</v>
      </c>
      <c r="CP14" s="1038" t="b">
        <f>bccalc1!$F$30</f>
        <v>0</v>
      </c>
      <c r="CV14" s="1034"/>
    </row>
    <row r="15" spans="1:111" x14ac:dyDescent="0.35">
      <c r="B15" s="1003"/>
      <c r="H15" s="1002"/>
      <c r="T15" s="2445">
        <f ca="1">ROUND(SUM(T3:T14),2)</f>
        <v>0</v>
      </c>
      <c r="U15" s="1008">
        <f>U3+U4+U5+U6+U7+U8+U9+U10+U11+U12+U13+U14</f>
        <v>0</v>
      </c>
      <c r="V15" s="1008"/>
      <c r="W15" s="1008"/>
      <c r="X15" s="1008"/>
      <c r="AH15" s="1007"/>
      <c r="AI15" s="1009">
        <f>SUM(AI3:AI14)</f>
        <v>1</v>
      </c>
      <c r="AJ15" s="1002">
        <f>AJ14+AJ13+AJ12+AJ11+AJ10+AJ9+AJ8+AJ7+AJ6+AJ5+AJ4+AJ3</f>
        <v>0</v>
      </c>
      <c r="AK15" s="997" t="str">
        <f>IF(AJ15=12,"Phased",IF(AJ15=0,"True","***"))</f>
        <v>True</v>
      </c>
      <c r="AL15" s="1002">
        <f>SUM(AL3:AL14)</f>
        <v>0</v>
      </c>
      <c r="AM15" s="1010">
        <f>IF(AL15&lt;1,AL15,INT(AL15))</f>
        <v>0</v>
      </c>
      <c r="AN15" s="1010" t="str">
        <f>IF(AL15-AM15&lt;&gt;0,"N/J + T",IF(AND(0&lt;AL15,AL15&lt;1),"P + T",IF(AL15&gt;=1,"N/J","")))</f>
        <v/>
      </c>
      <c r="AP15" s="1002">
        <f>SUM($AO$3:AO15)</f>
        <v>1</v>
      </c>
      <c r="AR15" s="997"/>
      <c r="AY15" s="2371">
        <f ca="1">IF(SUM(AY3:AY14)&lt;$AY$1,$AY$1,SUM(AY3:AY14))</f>
        <v>0</v>
      </c>
      <c r="BA15" s="2371">
        <f ca="1">BA3+(AY15*-1)</f>
        <v>0</v>
      </c>
      <c r="BB15" s="1043" t="s">
        <v>2902</v>
      </c>
      <c r="BC15" s="15">
        <f>reliefs!D16</f>
        <v>315000</v>
      </c>
      <c r="BG15" s="1002">
        <f>SUM(BG3:BG14)+0.0000001</f>
        <v>9.9999999999999995E-8</v>
      </c>
      <c r="BH15" s="997">
        <f t="shared" ref="BH15:BK16" si="52">BH14</f>
        <v>15000</v>
      </c>
      <c r="BI15" s="1001">
        <f t="shared" si="52"/>
        <v>0</v>
      </c>
      <c r="BJ15" s="997">
        <f t="shared" si="52"/>
        <v>5000000</v>
      </c>
      <c r="BK15" s="997">
        <f t="shared" si="52"/>
        <v>0.499</v>
      </c>
      <c r="BL15" s="997" t="b">
        <f t="shared" si="35"/>
        <v>1</v>
      </c>
      <c r="BM15" s="997" t="b">
        <f t="shared" si="35"/>
        <v>0</v>
      </c>
      <c r="BN15" s="997"/>
      <c r="BR15" s="997"/>
      <c r="BT15" s="997"/>
      <c r="BU15" s="997"/>
      <c r="BV15" s="997"/>
      <c r="BW15" s="997"/>
      <c r="CE15" s="1002" t="b">
        <f t="shared" si="50"/>
        <v>0</v>
      </c>
      <c r="CH15" s="1036"/>
      <c r="CL15" s="1038">
        <f t="shared" si="51"/>
        <v>4</v>
      </c>
      <c r="CM15" s="1038" t="b">
        <f>nncalc1!$G$30</f>
        <v>0</v>
      </c>
      <c r="CN15" s="1038" t="b">
        <f>nccalc1!$G$30</f>
        <v>0</v>
      </c>
      <c r="CO15" s="1038" t="b">
        <f>bncalc1!$G$30</f>
        <v>0</v>
      </c>
      <c r="CP15" s="1038" t="b">
        <f>bccalc1!$G$30</f>
        <v>0</v>
      </c>
      <c r="CV15" s="1034"/>
      <c r="DG15" s="1002"/>
    </row>
    <row r="16" spans="1:111" x14ac:dyDescent="0.35">
      <c r="A16" s="997">
        <v>0</v>
      </c>
      <c r="B16" s="1003">
        <f>CH3</f>
        <v>45383</v>
      </c>
      <c r="C16" s="997">
        <f>IF(OR(B16=0,B16=""),"",2)</f>
        <v>2</v>
      </c>
      <c r="D16" s="1003">
        <f>$CJ$3</f>
        <v>45747</v>
      </c>
      <c r="E16" s="1002" t="str">
        <f ca="1">IF(B16=B17,E17,OFFSET(E2,AI15,0))</f>
        <v>nn</v>
      </c>
      <c r="F16" s="1003">
        <f>B16</f>
        <v>45383</v>
      </c>
      <c r="G16" s="1003">
        <f>IF(B16="","",IF(C17=C16,F17-1,D16))</f>
        <v>45747</v>
      </c>
      <c r="H16" s="1002">
        <f>IF(B16&lt;&gt;"",G16-F16+1,0)</f>
        <v>365</v>
      </c>
      <c r="I16" s="997">
        <f t="shared" ref="I16:I27" ca="1" si="53">IF(AP16&gt;0,K16*P16,HLOOKUP(E16,$CM$1:$CP$9,1+$C$16,FALSE))</f>
        <v>0</v>
      </c>
      <c r="J16" s="997">
        <f t="shared" ref="J16:J27" ca="1" si="54">I16/$CK$3</f>
        <v>0</v>
      </c>
      <c r="K16" s="997">
        <f t="shared" ref="K16:K27" ca="1" si="55">HLOOKUP(E16,$CM$1:$CP$10,10,FALSE)</f>
        <v>0</v>
      </c>
      <c r="L16" s="997">
        <f ca="1">IF(B16=B17,L17,OFFSET(L2,AI15,0))</f>
        <v>0</v>
      </c>
      <c r="M16" s="1002" t="str">
        <f ca="1">IF(L16&lt;K16,"down","up")</f>
        <v>up</v>
      </c>
      <c r="N16" s="1002">
        <f ca="1">IF(OR(B16="",K16=0),0,IF(M16="down",J16*L16/K16*H16,0))</f>
        <v>0</v>
      </c>
      <c r="O16" s="1002">
        <f t="shared" ref="O16:O27" ca="1" si="56">IF(B16="","",IF(M16="up",((J16*H16)+((L16-K16)*P16/$CK$3*H16)),0))</f>
        <v>0</v>
      </c>
      <c r="P16" s="1032">
        <f>$CL$3</f>
        <v>0.499</v>
      </c>
      <c r="Q16" s="997">
        <f ca="1">IF(M16="down",N16,O16)</f>
        <v>0</v>
      </c>
      <c r="R16" s="997">
        <f ca="1">IF(B16="",0,IF(U16=TRUE,(Q16/AH16)+AC16+(AD16/AH16),(Q16)+Y16+Z16+AC16+AD16))</f>
        <v>0</v>
      </c>
      <c r="S16" s="1006">
        <f ca="1">IF(B16=B17,S17,OFFSET(S2,AI15,0))</f>
        <v>1</v>
      </c>
      <c r="T16" s="2442">
        <f ca="1">$CV$1*(IF(AND(AF16="y",L16&lt;AG16),0,R16*S16))+CB16+AZ16</f>
        <v>0</v>
      </c>
      <c r="U16" s="997" t="b">
        <f ca="1">AND(V16=TRUE,L16&lt;=W16,AF16="n",X16=FALSE)</f>
        <v>0</v>
      </c>
      <c r="V16" s="997" t="b">
        <f>advanced!$I$23="y"</f>
        <v>0</v>
      </c>
      <c r="W16" s="997">
        <f>data!$D$34</f>
        <v>15000</v>
      </c>
      <c r="X16" s="997" t="b">
        <f t="shared" si="23"/>
        <v>0</v>
      </c>
      <c r="Y16" s="997">
        <f ca="1">IF(B16="",0,IF(OR(L16&lt;$CV$3,U16=TRUE,BX16=TRUE),0,L16*$CS$3/$CK$3*H16))</f>
        <v>0</v>
      </c>
      <c r="Z16" s="997">
        <f t="shared" ref="Z16:Z27" ca="1" si="57">IF(B16="",0,IF(AND($Z$2=TRUE,L16&gt;AA16),L16*AB16*H16/AQ16,0))</f>
        <v>0</v>
      </c>
      <c r="AA16" s="1002">
        <f>data!$G$54</f>
        <v>75000</v>
      </c>
      <c r="AB16" s="1002">
        <f>data!$F$54</f>
        <v>0.02</v>
      </c>
      <c r="AC16" s="997">
        <f ca="1">IF(B16="",0,L16*($CQ$3-IF(L16&lt;$CV$3,CW$3,0))/$CK$3*H16)*$AC$2/IF(U16=TRUE,AH16,1)</f>
        <v>0</v>
      </c>
      <c r="AD16" s="997">
        <f ca="1">IF(B16="",0,(IF($AE$1=authorities!$I$1,0,IF(L16&gt;AE16,VLOOKUP($AD$1,authorities!A:H,C16+1,FALSE),0)))*L16/$CK$3*H16)</f>
        <v>0</v>
      </c>
      <c r="AE16" s="997">
        <f>IF($AE$1=authorities!$I$1,0,$AE$1)</f>
        <v>0</v>
      </c>
      <c r="AF16" s="1006" t="str">
        <f ca="1">IF(B16=B17,AF17,OFFSET(AF2,AI15,0))</f>
        <v>n</v>
      </c>
      <c r="AG16" s="1002">
        <f>data!$C$44</f>
        <v>2900</v>
      </c>
      <c r="AH16" s="1007">
        <f t="shared" ref="AH16:AH27" ca="1" si="58">IF(L16&lt;=$CT$3,5000000,IF(L16&gt;$CU$3,1,IF(MID((($CU$3-$CT$3)/(L16-$CT$3)),6,1)="5",ROUND((($CU$3-$CT$3)/(L16-$CT$3))-0.0001,3),ROUND(($CU$3-$CT$3)/(L16-$CT$3),3))))</f>
        <v>5000000</v>
      </c>
      <c r="AI16" s="997">
        <f ca="1">IF(L16&lt;&gt;"",1,0)</f>
        <v>1</v>
      </c>
      <c r="AJ16" s="997" t="b">
        <f ca="1">IF(AP16&gt;0,FALSE,HLOOKUP(E16,$CM$1:$CP$17,$AJ$1+2,FALSE))</f>
        <v>0</v>
      </c>
      <c r="AL16" s="997">
        <f ca="1">IF(OR(H16=0,F16="",K16=L16,AJ16=FALSE),0,IF(L16&lt;K16,1,0.01))</f>
        <v>0</v>
      </c>
      <c r="AO16" s="1002">
        <f t="shared" ca="1" si="28"/>
        <v>1</v>
      </c>
      <c r="AP16" s="1002">
        <f ca="1">SUM($AO$3:AO16)</f>
        <v>2</v>
      </c>
      <c r="AQ16" s="1002">
        <f>$CK$3</f>
        <v>365</v>
      </c>
      <c r="AR16" s="997">
        <f t="shared" ca="1" si="30"/>
        <v>0</v>
      </c>
      <c r="AT16" s="997">
        <f ca="1">L16</f>
        <v>0</v>
      </c>
      <c r="AU16" s="997" t="b">
        <f t="shared" ref="AU16:AU27" ca="1" si="59">AT16&lt;$AU$1</f>
        <v>1</v>
      </c>
      <c r="AV16" s="997" t="b">
        <f t="shared" si="9"/>
        <v>0</v>
      </c>
      <c r="AW16" s="997" t="b">
        <f t="shared" ref="AW16:AW27" ca="1" si="60">AF16="n"</f>
        <v>1</v>
      </c>
      <c r="AX16" s="997">
        <f ca="1">AU16*AV16*AW16*IF(S16=0,0,1)</f>
        <v>0</v>
      </c>
      <c r="AY16" s="2370">
        <f ca="1">AR16/reliefs!$E$7*AX16*-1</f>
        <v>0</v>
      </c>
      <c r="AZ16" s="1002">
        <f ca="1">$AY$28/$BG$28*H16*AX16</f>
        <v>0</v>
      </c>
      <c r="BA16" s="2370"/>
      <c r="BB16" s="997"/>
      <c r="BC16" s="997"/>
      <c r="BD16" s="997"/>
      <c r="BE16" s="997"/>
      <c r="BG16" s="997">
        <f ca="1">H16*AX16</f>
        <v>0</v>
      </c>
      <c r="BH16" s="997">
        <f t="shared" si="52"/>
        <v>15000</v>
      </c>
      <c r="BI16" s="1001">
        <f t="shared" si="52"/>
        <v>0</v>
      </c>
      <c r="BJ16" s="997">
        <f t="shared" si="52"/>
        <v>5000000</v>
      </c>
      <c r="BK16" s="997">
        <f t="shared" si="52"/>
        <v>0.499</v>
      </c>
      <c r="BL16" s="997" t="b">
        <f t="shared" si="35"/>
        <v>1</v>
      </c>
      <c r="BM16" s="997" t="b">
        <f t="shared" si="35"/>
        <v>0</v>
      </c>
      <c r="BN16" s="997">
        <f>CD14</f>
        <v>600</v>
      </c>
      <c r="BO16" s="997">
        <f t="shared" ca="1" si="36"/>
        <v>0</v>
      </c>
      <c r="BP16" s="997"/>
      <c r="BQ16" s="997"/>
      <c r="BR16" s="997">
        <f>BN16+600</f>
        <v>1200</v>
      </c>
      <c r="BS16" s="997"/>
      <c r="BT16" s="997" t="b">
        <f ca="1">BO16&gt;BR16</f>
        <v>0</v>
      </c>
      <c r="BU16" s="997" t="b">
        <f>BU14</f>
        <v>1</v>
      </c>
      <c r="BV16" s="997" t="b">
        <f ca="1">AW16</f>
        <v>1</v>
      </c>
      <c r="BW16" s="997" t="b">
        <f ca="1">BV16</f>
        <v>1</v>
      </c>
      <c r="BX16" s="997" t="b">
        <f ca="1">IF(CE16=TRUE,FALSE,BL16+BM16+BT16+BU16+BV16+BW16=6)</f>
        <v>0</v>
      </c>
      <c r="BY16" s="997">
        <f t="shared" ca="1" si="42"/>
        <v>1200</v>
      </c>
      <c r="BZ16" s="997">
        <f t="shared" si="43"/>
        <v>365</v>
      </c>
      <c r="CA16" s="997">
        <f>H16</f>
        <v>365</v>
      </c>
      <c r="CB16" s="997">
        <f ca="1">BY16/BZ16*CA16*BX16</f>
        <v>0</v>
      </c>
      <c r="CC16" s="997">
        <f t="shared" ca="1" si="48"/>
        <v>0</v>
      </c>
      <c r="CD16" s="997">
        <f>BR16</f>
        <v>1200</v>
      </c>
      <c r="CE16" s="1002" t="b">
        <f t="shared" si="50"/>
        <v>0</v>
      </c>
      <c r="CH16" s="1036"/>
      <c r="CL16" s="1038">
        <f t="shared" si="51"/>
        <v>5</v>
      </c>
      <c r="CM16" s="1038" t="b">
        <f>nncalc1!$H$30</f>
        <v>0</v>
      </c>
      <c r="CN16" s="1038" t="b">
        <f>nccalc1!$H$30</f>
        <v>0</v>
      </c>
      <c r="CO16" s="1038" t="b">
        <f>bncalc1!$H$30</f>
        <v>0</v>
      </c>
      <c r="CP16" s="1038" t="b">
        <f>bccalc1!$H$30</f>
        <v>0</v>
      </c>
      <c r="CV16" s="1034"/>
      <c r="DB16" s="1001"/>
      <c r="DG16" s="1002"/>
    </row>
    <row r="17" spans="1:111" x14ac:dyDescent="0.35">
      <c r="A17" s="997">
        <f t="shared" ref="A17:A27" si="61">A16+1</f>
        <v>1</v>
      </c>
      <c r="B17" s="1003" t="str">
        <f>IF(input_engine_ox!$U$21&gt;A16,VLOOKUP(A17,input_engine_ox!$U$23:$Y$35,2,FALSE),"")</f>
        <v/>
      </c>
      <c r="C17" s="997" t="str">
        <f t="shared" ref="C17:C27" si="62">IF(OR(B17=0,B17=""),"",2)</f>
        <v/>
      </c>
      <c r="D17" s="1003">
        <f t="shared" ref="D17:D27" si="63">$CJ$3</f>
        <v>45747</v>
      </c>
      <c r="E17" s="1002" t="str">
        <f ca="1">IF(B17="",E16,VLOOKUP(B17,input_engine_ox!$B$23:$F$35,5,FALSE))</f>
        <v>nn</v>
      </c>
      <c r="F17" s="1003" t="str">
        <f t="shared" ref="F17:F27" si="64">B17</f>
        <v/>
      </c>
      <c r="G17" s="1003" t="str">
        <f t="shared" ref="G17:G26" si="65">IF(B17="","",IF(C18=C17,F18-1,D17))</f>
        <v/>
      </c>
      <c r="H17" s="1002">
        <f t="shared" ref="H17:H27" si="66">IF(B17&lt;&gt;"",G17-F17+1,0)</f>
        <v>0</v>
      </c>
      <c r="I17" s="997">
        <f t="shared" ca="1" si="53"/>
        <v>0</v>
      </c>
      <c r="J17" s="997">
        <f t="shared" ca="1" si="54"/>
        <v>0</v>
      </c>
      <c r="K17" s="997">
        <f t="shared" ca="1" si="55"/>
        <v>0</v>
      </c>
      <c r="L17" s="997" t="str">
        <f>IF(input_engine_ox!$U$21&gt;A16,VLOOKUP(A17,input_engine_ox!$U$23:$Y$36,3,FALSE),"")</f>
        <v/>
      </c>
      <c r="M17" s="1002" t="str">
        <f t="shared" ref="M17:M27" ca="1" si="67">IF(L17&lt;K17,"down","up")</f>
        <v>up</v>
      </c>
      <c r="N17" s="1002" t="str">
        <f>IF(B17="","",IF(M17="down",J17*L17/K17*H17,0))</f>
        <v/>
      </c>
      <c r="O17" s="1002" t="str">
        <f t="shared" si="56"/>
        <v/>
      </c>
      <c r="P17" s="1032">
        <f t="shared" ref="P17:P27" si="68">$CL$3</f>
        <v>0.499</v>
      </c>
      <c r="Q17" s="997" t="str">
        <f t="shared" ref="Q17:Q27" ca="1" si="69">IF(M17="down",N17,O17)</f>
        <v/>
      </c>
      <c r="R17" s="997">
        <f t="shared" ref="R17:R27" si="70">IF(B17="",0,IF(U17=TRUE,(Q17/AH17)+AC17+(AD17/AH17),(Q17)+Y17+Z17+AC17+AD17))</f>
        <v>0</v>
      </c>
      <c r="S17" s="1006">
        <f>IF(input_engine_ox!$U$21&gt;A16,VLOOKUP(A17,input_engine_ox!$U$23:$Y$35,4,FALSE),0)</f>
        <v>0</v>
      </c>
      <c r="T17" s="2442">
        <f t="shared" ref="T17:T27" ca="1" si="71">$CV$1*(IF(AND(AF17="y",L17&lt;AG17),0,R17*S17))+CB17+AZ17</f>
        <v>0</v>
      </c>
      <c r="U17" s="997" t="b">
        <f t="shared" ref="U17:U27" si="72">AND(V17=TRUE,L17&lt;=W17,AF17="n",X17=FALSE)</f>
        <v>0</v>
      </c>
      <c r="V17" s="997" t="b">
        <f>advanced!$I$23="y"</f>
        <v>0</v>
      </c>
      <c r="W17" s="997">
        <f>data!$D$34</f>
        <v>15000</v>
      </c>
      <c r="X17" s="997" t="b">
        <f t="shared" si="23"/>
        <v>0</v>
      </c>
      <c r="Y17" s="997">
        <f t="shared" ref="Y17:Y27" si="73">IF(B17="",0,IF(OR(L17&lt;$CV$3,U17=TRUE,BX17=TRUE),0,L17*$CS$3/$CK$3*H17))</f>
        <v>0</v>
      </c>
      <c r="Z17" s="997">
        <f t="shared" si="57"/>
        <v>0</v>
      </c>
      <c r="AA17" s="1002">
        <f>data!$G$54</f>
        <v>75000</v>
      </c>
      <c r="AB17" s="1002">
        <f>data!$F$54</f>
        <v>0.02</v>
      </c>
      <c r="AC17" s="997">
        <f t="shared" ref="AC17:AC27" si="74">IF(B17="",0,L17*($CQ$3-IF(L17&lt;$CV$3,CW$3,0))/$CK$3*H17)*$AC$2/IF(U17=TRUE,AH17,1)</f>
        <v>0</v>
      </c>
      <c r="AD17" s="997">
        <f>IF(B17="",0,(IF($AE$1=authorities!$I$1,0,IF(L17&gt;AE17,VLOOKUP($AD$1,authorities!A:H,C17+1,FALSE),0)))*L17/$CK$3*H17)</f>
        <v>0</v>
      </c>
      <c r="AE17" s="997">
        <f>IF($AE$1=authorities!$I$1,0,$AE$1)</f>
        <v>0</v>
      </c>
      <c r="AF17" s="1002">
        <f>IF(input_engine_ox!$U$21&gt;A16,VLOOKUP(A17,input_engine_ox!$U$23:$Y$35,5,FALSE),0)</f>
        <v>0</v>
      </c>
      <c r="AG17" s="1002">
        <f>data!$C$44</f>
        <v>2900</v>
      </c>
      <c r="AH17" s="1007">
        <f t="shared" si="58"/>
        <v>1</v>
      </c>
      <c r="AI17" s="997">
        <f t="shared" ref="AI17:AI27" si="75">IF(L17&lt;&gt;"",1,0)</f>
        <v>0</v>
      </c>
      <c r="AJ17" s="997" t="b">
        <f t="shared" ref="AJ17:AJ27" ca="1" si="76">IF(AP17&gt;0,FALSE,HLOOKUP(E17,$CM$1:$CP$17,$AJ$1+2,FALSE))</f>
        <v>0</v>
      </c>
      <c r="AL17" s="997">
        <f t="shared" ref="AL17:AL27" ca="1" si="77">IF(OR(H17=0,F17="",K17=L17,AJ17=FALSE),0,IF(L17&lt;K17,1,0.01))</f>
        <v>0</v>
      </c>
      <c r="AO17" s="1002">
        <f t="shared" si="28"/>
        <v>0</v>
      </c>
      <c r="AP17" s="1002">
        <f ca="1">SUM($AO$3:AO17)</f>
        <v>2</v>
      </c>
      <c r="AQ17" s="1002">
        <f t="shared" ref="AQ17:AQ27" si="78">$CK$3</f>
        <v>365</v>
      </c>
      <c r="AR17" s="997">
        <f t="shared" ca="1" si="30"/>
        <v>0</v>
      </c>
      <c r="AT17" s="997">
        <f t="shared" ref="AT17:AT27" ca="1" si="79">IF(L17="",AT16,L17)</f>
        <v>0</v>
      </c>
      <c r="AU17" s="997" t="b">
        <f t="shared" ca="1" si="59"/>
        <v>1</v>
      </c>
      <c r="AV17" s="997" t="b">
        <f t="shared" si="9"/>
        <v>0</v>
      </c>
      <c r="AW17" s="997" t="b">
        <f t="shared" si="60"/>
        <v>0</v>
      </c>
      <c r="AX17" s="997">
        <f t="shared" ref="AX17:AX27" ca="1" si="80">AU17*AV17*AW17*IF(S17=0,0,1)</f>
        <v>0</v>
      </c>
      <c r="AY17" s="2370">
        <f ca="1">AR17/reliefs!$E$7*AX17*-1</f>
        <v>0</v>
      </c>
      <c r="AZ17" s="1002">
        <f t="shared" ref="AZ17:AZ27" ca="1" si="81">$AY$28/$BG$28*H17*AX17</f>
        <v>0</v>
      </c>
      <c r="BA17" s="2370"/>
      <c r="BB17" s="997"/>
      <c r="BC17" s="997"/>
      <c r="BD17" s="997"/>
      <c r="BE17" s="997"/>
      <c r="BG17" s="997">
        <f t="shared" ref="BG17:BG27" ca="1" si="82">H17*AX17</f>
        <v>0</v>
      </c>
      <c r="BH17" s="997">
        <f t="shared" ref="BH17:BH34" si="83">BH16</f>
        <v>15000</v>
      </c>
      <c r="BI17" s="1001">
        <f t="shared" ref="BI17:BI34" si="84">BI16</f>
        <v>0</v>
      </c>
      <c r="BJ17" s="997">
        <f t="shared" ref="BJ17:BJ34" si="85">BJ16</f>
        <v>5000000</v>
      </c>
      <c r="BK17" s="997">
        <f t="shared" ref="BK17:BN27" si="86">BK16</f>
        <v>0.499</v>
      </c>
      <c r="BL17" s="997" t="b">
        <f t="shared" si="35"/>
        <v>1</v>
      </c>
      <c r="BM17" s="997" t="b">
        <f t="shared" si="35"/>
        <v>0</v>
      </c>
      <c r="BN17" s="997">
        <f t="shared" si="35"/>
        <v>600</v>
      </c>
      <c r="BO17" s="997">
        <f t="shared" ref="BO17:BO27" ca="1" si="87">I17/IF(U17=TRUE,AH17,1)</f>
        <v>0</v>
      </c>
      <c r="BP17" s="997"/>
      <c r="BQ17" s="997"/>
      <c r="BR17" s="997">
        <f t="shared" ref="BR17:BR40" si="88">BN17+600</f>
        <v>1200</v>
      </c>
      <c r="BS17" s="997"/>
      <c r="BT17" s="997" t="b">
        <f t="shared" ref="BT17:BT27" ca="1" si="89">BO17&gt;BR17</f>
        <v>0</v>
      </c>
      <c r="BU17" s="997" t="b">
        <f>BU16</f>
        <v>1</v>
      </c>
      <c r="BV17" s="997" t="b">
        <f t="shared" ref="BV17:BV27" si="90">AW17</f>
        <v>0</v>
      </c>
      <c r="BW17" s="997" t="b">
        <f t="shared" ref="BW17:BW27" ca="1" si="91">AND(BW16=TRUE,BV17=TRUE)</f>
        <v>0</v>
      </c>
      <c r="BX17" s="997" t="b">
        <f t="shared" ref="BX17:BX41" ca="1" si="92">IF(CE17=TRUE,FALSE,BL17+BM17+BT17+BU17+BV17+BW17=6)</f>
        <v>0</v>
      </c>
      <c r="BY17" s="997">
        <f t="shared" ref="BY17:BY27" ca="1" si="93">(BR17-BO17)</f>
        <v>1200</v>
      </c>
      <c r="BZ17" s="997">
        <f t="shared" ref="BZ17:BZ27" si="94">AQ17</f>
        <v>365</v>
      </c>
      <c r="CA17" s="997">
        <f t="shared" ref="CA17:CA27" si="95">H17</f>
        <v>0</v>
      </c>
      <c r="CB17" s="997">
        <f t="shared" ref="CB17:CB27" ca="1" si="96">BY17/BZ17*CA17*BX17</f>
        <v>0</v>
      </c>
      <c r="CC17" s="997">
        <f t="shared" ca="1" si="48"/>
        <v>0</v>
      </c>
      <c r="CD17" s="997">
        <f>CD16</f>
        <v>1200</v>
      </c>
      <c r="CE17" s="1002" t="b">
        <f t="shared" si="50"/>
        <v>0</v>
      </c>
      <c r="CH17" s="1036"/>
      <c r="CL17" s="1038">
        <f t="shared" si="51"/>
        <v>6</v>
      </c>
      <c r="CM17" s="1038" t="b">
        <f>nncalc1!$I$30</f>
        <v>0</v>
      </c>
      <c r="CN17" s="1038" t="b">
        <f>nccalc1!$I$30</f>
        <v>0</v>
      </c>
      <c r="CO17" s="1038" t="b">
        <f>bncalc1!$I$30</f>
        <v>0</v>
      </c>
      <c r="CP17" s="1038" t="b">
        <f>bccalc1!$I$30</f>
        <v>0</v>
      </c>
      <c r="CV17" s="1034"/>
      <c r="DB17" s="1001"/>
      <c r="DG17" s="1002"/>
    </row>
    <row r="18" spans="1:111" ht="15" thickBot="1" x14ac:dyDescent="0.4">
      <c r="A18" s="997">
        <f t="shared" si="61"/>
        <v>2</v>
      </c>
      <c r="B18" s="1003" t="str">
        <f>IF(input_engine_ox!$U$21&gt;A17,VLOOKUP(A18,input_engine_ox!$U$23:$Y$35,2,FALSE),"")</f>
        <v/>
      </c>
      <c r="C18" s="997" t="str">
        <f t="shared" si="62"/>
        <v/>
      </c>
      <c r="D18" s="1003">
        <f t="shared" si="63"/>
        <v>45747</v>
      </c>
      <c r="E18" s="1002" t="str">
        <f ca="1">IF(B18="",E17,VLOOKUP(B18,input_engine_ox!$B$23:$F$35,5,FALSE))</f>
        <v>nn</v>
      </c>
      <c r="F18" s="1003" t="str">
        <f t="shared" si="64"/>
        <v/>
      </c>
      <c r="G18" s="1003" t="str">
        <f t="shared" si="65"/>
        <v/>
      </c>
      <c r="H18" s="1002">
        <f t="shared" si="66"/>
        <v>0</v>
      </c>
      <c r="I18" s="997">
        <f t="shared" ca="1" si="53"/>
        <v>0</v>
      </c>
      <c r="J18" s="997">
        <f t="shared" ca="1" si="54"/>
        <v>0</v>
      </c>
      <c r="K18" s="997">
        <f t="shared" ca="1" si="55"/>
        <v>0</v>
      </c>
      <c r="L18" s="997" t="str">
        <f>IF(input_engine_ox!$U$21&gt;A17,VLOOKUP(A18,input_engine_ox!$U$23:$Y$36,3,FALSE),"")</f>
        <v/>
      </c>
      <c r="M18" s="1002" t="str">
        <f t="shared" ca="1" si="67"/>
        <v>up</v>
      </c>
      <c r="N18" s="1002" t="str">
        <f t="shared" ref="N18:N27" si="97">IF(B18="","",IF(M18="down",J18*L18/K18*H18,0))</f>
        <v/>
      </c>
      <c r="O18" s="1002" t="str">
        <f t="shared" si="56"/>
        <v/>
      </c>
      <c r="P18" s="1032">
        <f t="shared" si="68"/>
        <v>0.499</v>
      </c>
      <c r="Q18" s="997" t="str">
        <f t="shared" ca="1" si="69"/>
        <v/>
      </c>
      <c r="R18" s="997">
        <f t="shared" si="70"/>
        <v>0</v>
      </c>
      <c r="S18" s="1006">
        <f>IF(input_engine_ox!$U$21&gt;A17,VLOOKUP(A18,input_engine_ox!$U$23:$Y$35,4,FALSE),0)</f>
        <v>0</v>
      </c>
      <c r="T18" s="2442">
        <f t="shared" ca="1" si="71"/>
        <v>0</v>
      </c>
      <c r="U18" s="997" t="b">
        <f t="shared" si="72"/>
        <v>0</v>
      </c>
      <c r="V18" s="997" t="b">
        <f>advanced!$I$23="y"</f>
        <v>0</v>
      </c>
      <c r="W18" s="997">
        <f>data!$D$34</f>
        <v>15000</v>
      </c>
      <c r="X18" s="997" t="b">
        <f t="shared" si="23"/>
        <v>0</v>
      </c>
      <c r="Y18" s="997">
        <f t="shared" si="73"/>
        <v>0</v>
      </c>
      <c r="Z18" s="997">
        <f t="shared" si="57"/>
        <v>0</v>
      </c>
      <c r="AA18" s="1002">
        <f>data!$G$54</f>
        <v>75000</v>
      </c>
      <c r="AB18" s="1002">
        <f>data!$F$54</f>
        <v>0.02</v>
      </c>
      <c r="AC18" s="997">
        <f t="shared" si="74"/>
        <v>0</v>
      </c>
      <c r="AD18" s="997">
        <f>IF(B18="",0,(IF($AE$1=authorities!$I$1,0,IF(L18&gt;AE18,VLOOKUP($AD$1,authorities!A:H,C18+1,FALSE),0)))*L18/$CK$3*H18)</f>
        <v>0</v>
      </c>
      <c r="AE18" s="997">
        <f>IF($AE$1=authorities!$I$1,0,$AE$1)</f>
        <v>0</v>
      </c>
      <c r="AF18" s="1002">
        <f>IF(input_engine_ox!$U$21&gt;A17,VLOOKUP(A18,input_engine_ox!$U$23:$Y$35,5,FALSE),0)</f>
        <v>0</v>
      </c>
      <c r="AG18" s="1002">
        <f>data!$C$44</f>
        <v>2900</v>
      </c>
      <c r="AH18" s="1007">
        <f t="shared" si="58"/>
        <v>1</v>
      </c>
      <c r="AI18" s="997">
        <f t="shared" si="75"/>
        <v>0</v>
      </c>
      <c r="AJ18" s="997" t="b">
        <f t="shared" ca="1" si="76"/>
        <v>0</v>
      </c>
      <c r="AL18" s="997">
        <f t="shared" ca="1" si="77"/>
        <v>0</v>
      </c>
      <c r="AO18" s="1002">
        <f t="shared" si="28"/>
        <v>0</v>
      </c>
      <c r="AP18" s="1002">
        <f ca="1">SUM($AO$3:AO18)</f>
        <v>2</v>
      </c>
      <c r="AQ18" s="1002">
        <f t="shared" si="78"/>
        <v>365</v>
      </c>
      <c r="AR18" s="997">
        <f t="shared" ca="1" si="30"/>
        <v>0</v>
      </c>
      <c r="AT18" s="997">
        <f t="shared" ca="1" si="79"/>
        <v>0</v>
      </c>
      <c r="AU18" s="997" t="b">
        <f t="shared" ca="1" si="59"/>
        <v>1</v>
      </c>
      <c r="AV18" s="997" t="b">
        <f t="shared" si="9"/>
        <v>0</v>
      </c>
      <c r="AW18" s="997" t="b">
        <f t="shared" si="60"/>
        <v>0</v>
      </c>
      <c r="AX18" s="997">
        <f t="shared" ca="1" si="80"/>
        <v>0</v>
      </c>
      <c r="AY18" s="2370">
        <f ca="1">AR18/reliefs!$E$7*AX18*-1</f>
        <v>0</v>
      </c>
      <c r="AZ18" s="1002">
        <f t="shared" ca="1" si="81"/>
        <v>0</v>
      </c>
      <c r="BA18" s="2370"/>
      <c r="BB18" s="997"/>
      <c r="BC18" s="997"/>
      <c r="BD18" s="997"/>
      <c r="BE18" s="997"/>
      <c r="BG18" s="997">
        <f t="shared" ca="1" si="82"/>
        <v>0</v>
      </c>
      <c r="BH18" s="997">
        <f t="shared" si="83"/>
        <v>15000</v>
      </c>
      <c r="BI18" s="1001">
        <f t="shared" si="84"/>
        <v>0</v>
      </c>
      <c r="BJ18" s="997">
        <f t="shared" si="85"/>
        <v>5000000</v>
      </c>
      <c r="BK18" s="997">
        <f t="shared" si="86"/>
        <v>0.499</v>
      </c>
      <c r="BL18" s="997" t="b">
        <f t="shared" si="35"/>
        <v>1</v>
      </c>
      <c r="BM18" s="997" t="b">
        <f t="shared" si="35"/>
        <v>0</v>
      </c>
      <c r="BN18" s="997">
        <f t="shared" si="35"/>
        <v>600</v>
      </c>
      <c r="BO18" s="997">
        <f t="shared" ca="1" si="87"/>
        <v>0</v>
      </c>
      <c r="BP18" s="997"/>
      <c r="BQ18" s="997"/>
      <c r="BR18" s="997">
        <f t="shared" si="88"/>
        <v>1200</v>
      </c>
      <c r="BS18" s="997"/>
      <c r="BT18" s="997" t="b">
        <f t="shared" ca="1" si="89"/>
        <v>0</v>
      </c>
      <c r="BU18" s="997" t="b">
        <f t="shared" ref="BU18:BU27" si="98">BU17</f>
        <v>1</v>
      </c>
      <c r="BV18" s="997" t="b">
        <f t="shared" si="90"/>
        <v>0</v>
      </c>
      <c r="BW18" s="997" t="b">
        <f t="shared" ca="1" si="91"/>
        <v>0</v>
      </c>
      <c r="BX18" s="997" t="b">
        <f t="shared" ca="1" si="92"/>
        <v>0</v>
      </c>
      <c r="BY18" s="997">
        <f t="shared" ca="1" si="93"/>
        <v>1200</v>
      </c>
      <c r="BZ18" s="997">
        <f t="shared" si="94"/>
        <v>365</v>
      </c>
      <c r="CA18" s="997">
        <f t="shared" si="95"/>
        <v>0</v>
      </c>
      <c r="CB18" s="997">
        <f t="shared" ca="1" si="96"/>
        <v>0</v>
      </c>
      <c r="CC18" s="997">
        <f t="shared" ca="1" si="48"/>
        <v>0</v>
      </c>
      <c r="CD18" s="997">
        <f t="shared" ref="CD18:CD27" si="99">CD17</f>
        <v>1200</v>
      </c>
      <c r="CE18" s="1002" t="b">
        <f t="shared" si="50"/>
        <v>0</v>
      </c>
      <c r="CH18" s="1039"/>
      <c r="CI18" s="1040"/>
      <c r="CJ18" s="1040"/>
      <c r="CK18" s="1040"/>
      <c r="CL18" s="1040"/>
      <c r="CM18" s="1040"/>
      <c r="CN18" s="1040"/>
      <c r="CO18" s="1040"/>
      <c r="CP18" s="1040"/>
      <c r="CQ18" s="1040"/>
      <c r="CR18" s="1040"/>
      <c r="CS18" s="1040"/>
      <c r="CT18" s="1040"/>
      <c r="CU18" s="1040"/>
      <c r="CV18" s="1041"/>
      <c r="DB18" s="1001"/>
      <c r="DG18" s="1002"/>
    </row>
    <row r="19" spans="1:111" x14ac:dyDescent="0.35">
      <c r="A19" s="997">
        <f t="shared" si="61"/>
        <v>3</v>
      </c>
      <c r="B19" s="1003" t="str">
        <f>IF(input_engine_ox!$U$21&gt;A18,VLOOKUP(A19,input_engine_ox!$U$23:$Y$35,2,FALSE),"")</f>
        <v/>
      </c>
      <c r="C19" s="997" t="str">
        <f t="shared" si="62"/>
        <v/>
      </c>
      <c r="D19" s="1003">
        <f t="shared" si="63"/>
        <v>45747</v>
      </c>
      <c r="E19" s="1002" t="str">
        <f ca="1">IF(B19="",E18,VLOOKUP(B19,input_engine_ox!$B$23:$F$35,5,FALSE))</f>
        <v>nn</v>
      </c>
      <c r="F19" s="1003" t="str">
        <f t="shared" si="64"/>
        <v/>
      </c>
      <c r="G19" s="1003" t="str">
        <f t="shared" si="65"/>
        <v/>
      </c>
      <c r="H19" s="1002">
        <f t="shared" si="66"/>
        <v>0</v>
      </c>
      <c r="I19" s="997">
        <f t="shared" ca="1" si="53"/>
        <v>0</v>
      </c>
      <c r="J19" s="997">
        <f t="shared" ca="1" si="54"/>
        <v>0</v>
      </c>
      <c r="K19" s="997">
        <f t="shared" ca="1" si="55"/>
        <v>0</v>
      </c>
      <c r="L19" s="997" t="str">
        <f>IF(input_engine_ox!$U$21&gt;A18,VLOOKUP(A19,input_engine_ox!$U$23:$Y$36,3,FALSE),"")</f>
        <v/>
      </c>
      <c r="M19" s="1002" t="str">
        <f t="shared" ca="1" si="67"/>
        <v>up</v>
      </c>
      <c r="N19" s="1002" t="str">
        <f t="shared" si="97"/>
        <v/>
      </c>
      <c r="O19" s="1002" t="str">
        <f t="shared" si="56"/>
        <v/>
      </c>
      <c r="P19" s="1032">
        <f t="shared" si="68"/>
        <v>0.499</v>
      </c>
      <c r="Q19" s="997" t="str">
        <f t="shared" ca="1" si="69"/>
        <v/>
      </c>
      <c r="R19" s="997">
        <f t="shared" si="70"/>
        <v>0</v>
      </c>
      <c r="S19" s="1006">
        <f>IF(input_engine_ox!$U$21&gt;A18,VLOOKUP(A19,input_engine_ox!$U$23:$Y$35,4,FALSE),0)</f>
        <v>0</v>
      </c>
      <c r="T19" s="2442">
        <f t="shared" ca="1" si="71"/>
        <v>0</v>
      </c>
      <c r="U19" s="997" t="b">
        <f t="shared" si="72"/>
        <v>0</v>
      </c>
      <c r="V19" s="997" t="b">
        <f>advanced!$I$23="y"</f>
        <v>0</v>
      </c>
      <c r="W19" s="997">
        <f>data!$D$34</f>
        <v>15000</v>
      </c>
      <c r="X19" s="997" t="b">
        <f t="shared" si="23"/>
        <v>0</v>
      </c>
      <c r="Y19" s="997">
        <f t="shared" si="73"/>
        <v>0</v>
      </c>
      <c r="Z19" s="997">
        <f t="shared" si="57"/>
        <v>0</v>
      </c>
      <c r="AA19" s="1002">
        <f>data!$G$54</f>
        <v>75000</v>
      </c>
      <c r="AB19" s="1002">
        <f>data!$F$54</f>
        <v>0.02</v>
      </c>
      <c r="AC19" s="997">
        <f t="shared" si="74"/>
        <v>0</v>
      </c>
      <c r="AD19" s="997">
        <f>IF(B19="",0,(IF($AE$1=authorities!$I$1,0,IF(L19&gt;AE19,VLOOKUP($AD$1,authorities!A:H,C19+1,FALSE),0)))*L19/$CK$3*H19)</f>
        <v>0</v>
      </c>
      <c r="AE19" s="997">
        <f>IF($AE$1=authorities!$I$1,0,$AE$1)</f>
        <v>0</v>
      </c>
      <c r="AF19" s="1002">
        <f>IF(input_engine_ox!$U$21&gt;A18,VLOOKUP(A19,input_engine_ox!$U$23:$Y$35,5,FALSE),0)</f>
        <v>0</v>
      </c>
      <c r="AG19" s="1002">
        <f>data!$C$44</f>
        <v>2900</v>
      </c>
      <c r="AH19" s="1007">
        <f t="shared" si="58"/>
        <v>1</v>
      </c>
      <c r="AI19" s="997">
        <f t="shared" si="75"/>
        <v>0</v>
      </c>
      <c r="AJ19" s="997" t="b">
        <f t="shared" ca="1" si="76"/>
        <v>0</v>
      </c>
      <c r="AL19" s="997">
        <f t="shared" ca="1" si="77"/>
        <v>0</v>
      </c>
      <c r="AO19" s="1002">
        <f t="shared" si="28"/>
        <v>0</v>
      </c>
      <c r="AP19" s="1002">
        <f ca="1">SUM($AO$3:AO19)</f>
        <v>2</v>
      </c>
      <c r="AQ19" s="1002">
        <f t="shared" si="78"/>
        <v>365</v>
      </c>
      <c r="AR19" s="997">
        <f t="shared" ca="1" si="30"/>
        <v>0</v>
      </c>
      <c r="AT19" s="997">
        <f t="shared" ca="1" si="79"/>
        <v>0</v>
      </c>
      <c r="AU19" s="997" t="b">
        <f t="shared" ca="1" si="59"/>
        <v>1</v>
      </c>
      <c r="AV19" s="997" t="b">
        <f t="shared" si="9"/>
        <v>0</v>
      </c>
      <c r="AW19" s="997" t="b">
        <f t="shared" si="60"/>
        <v>0</v>
      </c>
      <c r="AX19" s="997">
        <f t="shared" ca="1" si="80"/>
        <v>0</v>
      </c>
      <c r="AY19" s="2370">
        <f ca="1">AR19/reliefs!$E$7*AX19*-1</f>
        <v>0</v>
      </c>
      <c r="AZ19" s="1002">
        <f t="shared" ca="1" si="81"/>
        <v>0</v>
      </c>
      <c r="BA19" s="2370"/>
      <c r="BB19" s="997"/>
      <c r="BC19" s="997"/>
      <c r="BD19" s="997"/>
      <c r="BE19" s="997"/>
      <c r="BG19" s="997">
        <f t="shared" ca="1" si="82"/>
        <v>0</v>
      </c>
      <c r="BH19" s="997">
        <f t="shared" si="83"/>
        <v>15000</v>
      </c>
      <c r="BI19" s="1001">
        <f t="shared" si="84"/>
        <v>0</v>
      </c>
      <c r="BJ19" s="997">
        <f t="shared" si="85"/>
        <v>5000000</v>
      </c>
      <c r="BK19" s="997">
        <f t="shared" si="86"/>
        <v>0.499</v>
      </c>
      <c r="BL19" s="997" t="b">
        <f t="shared" si="35"/>
        <v>1</v>
      </c>
      <c r="BM19" s="997" t="b">
        <f t="shared" si="35"/>
        <v>0</v>
      </c>
      <c r="BN19" s="997">
        <f t="shared" si="35"/>
        <v>600</v>
      </c>
      <c r="BO19" s="997">
        <f t="shared" ca="1" si="87"/>
        <v>0</v>
      </c>
      <c r="BP19" s="997"/>
      <c r="BQ19" s="997"/>
      <c r="BR19" s="997">
        <f t="shared" si="88"/>
        <v>1200</v>
      </c>
      <c r="BS19" s="997"/>
      <c r="BT19" s="997" t="b">
        <f t="shared" ca="1" si="89"/>
        <v>0</v>
      </c>
      <c r="BU19" s="997" t="b">
        <f t="shared" si="98"/>
        <v>1</v>
      </c>
      <c r="BV19" s="997" t="b">
        <f t="shared" si="90"/>
        <v>0</v>
      </c>
      <c r="BW19" s="997" t="b">
        <f t="shared" ca="1" si="91"/>
        <v>0</v>
      </c>
      <c r="BX19" s="997" t="b">
        <f t="shared" ca="1" si="92"/>
        <v>0</v>
      </c>
      <c r="BY19" s="997">
        <f t="shared" ca="1" si="93"/>
        <v>1200</v>
      </c>
      <c r="BZ19" s="997">
        <f t="shared" si="94"/>
        <v>365</v>
      </c>
      <c r="CA19" s="997">
        <f t="shared" si="95"/>
        <v>0</v>
      </c>
      <c r="CB19" s="997">
        <f t="shared" ca="1" si="96"/>
        <v>0</v>
      </c>
      <c r="CC19" s="997">
        <f t="shared" ca="1" si="48"/>
        <v>0</v>
      </c>
      <c r="CD19" s="997">
        <f t="shared" si="99"/>
        <v>1200</v>
      </c>
      <c r="CE19" s="1002" t="b">
        <f t="shared" si="50"/>
        <v>0</v>
      </c>
      <c r="DB19" s="1001"/>
      <c r="DG19" s="1002"/>
    </row>
    <row r="20" spans="1:111" customFormat="1" x14ac:dyDescent="0.35">
      <c r="A20" s="997">
        <f t="shared" si="61"/>
        <v>4</v>
      </c>
      <c r="B20" s="1003" t="str">
        <f>IF(input_engine_ox!$U$21&gt;A19,VLOOKUP(A20,input_engine_ox!$U$23:$Y$35,2,FALSE),"")</f>
        <v/>
      </c>
      <c r="C20" s="997" t="str">
        <f t="shared" si="62"/>
        <v/>
      </c>
      <c r="D20" s="1003">
        <f t="shared" si="63"/>
        <v>45747</v>
      </c>
      <c r="E20" s="1002" t="str">
        <f ca="1">IF(B20="",E19,VLOOKUP(B20,input_engine_ox!$B$23:$F$35,5,FALSE))</f>
        <v>nn</v>
      </c>
      <c r="F20" s="1003" t="str">
        <f t="shared" si="64"/>
        <v/>
      </c>
      <c r="G20" s="1003" t="str">
        <f t="shared" si="65"/>
        <v/>
      </c>
      <c r="H20" s="1002">
        <f t="shared" si="66"/>
        <v>0</v>
      </c>
      <c r="I20" s="997">
        <f t="shared" ca="1" si="53"/>
        <v>0</v>
      </c>
      <c r="J20" s="997">
        <f t="shared" ca="1" si="54"/>
        <v>0</v>
      </c>
      <c r="K20" s="997">
        <f t="shared" ca="1" si="55"/>
        <v>0</v>
      </c>
      <c r="L20" s="997" t="str">
        <f>IF(input_engine_ox!$U$21&gt;A19,VLOOKUP(A20,input_engine_ox!$U$23:$Y$36,3,FALSE),"")</f>
        <v/>
      </c>
      <c r="M20" s="1002" t="str">
        <f t="shared" ca="1" si="67"/>
        <v>up</v>
      </c>
      <c r="N20" s="1002" t="str">
        <f t="shared" si="97"/>
        <v/>
      </c>
      <c r="O20" s="1002" t="str">
        <f t="shared" si="56"/>
        <v/>
      </c>
      <c r="P20" s="1032">
        <f t="shared" si="68"/>
        <v>0.499</v>
      </c>
      <c r="Q20" s="997" t="str">
        <f t="shared" ca="1" si="69"/>
        <v/>
      </c>
      <c r="R20" s="997">
        <f t="shared" si="70"/>
        <v>0</v>
      </c>
      <c r="S20" s="1006">
        <f>IF(input_engine_ox!$U$21&gt;A19,VLOOKUP(A20,input_engine_ox!$U$23:$Y$35,4,FALSE),0)</f>
        <v>0</v>
      </c>
      <c r="T20" s="2442">
        <f t="shared" ca="1" si="71"/>
        <v>0</v>
      </c>
      <c r="U20" s="997" t="b">
        <f t="shared" si="72"/>
        <v>0</v>
      </c>
      <c r="V20" s="997" t="b">
        <f>advanced!$I$23="y"</f>
        <v>0</v>
      </c>
      <c r="W20" s="997">
        <f>data!$D$34</f>
        <v>15000</v>
      </c>
      <c r="X20" s="997" t="b">
        <f t="shared" si="23"/>
        <v>0</v>
      </c>
      <c r="Y20" s="997">
        <f t="shared" si="73"/>
        <v>0</v>
      </c>
      <c r="Z20" s="997">
        <f t="shared" si="57"/>
        <v>0</v>
      </c>
      <c r="AA20" s="1002">
        <f>data!$G$54</f>
        <v>75000</v>
      </c>
      <c r="AB20" s="1002">
        <f>data!$F$54</f>
        <v>0.02</v>
      </c>
      <c r="AC20" s="997">
        <f t="shared" si="74"/>
        <v>0</v>
      </c>
      <c r="AD20" s="997">
        <f>IF(B20="",0,(IF($AE$1=authorities!$I$1,0,IF(L20&gt;AE20,VLOOKUP($AD$1,authorities!A:H,C20+1,FALSE),0)))*L20/$CK$3*H20)</f>
        <v>0</v>
      </c>
      <c r="AE20" s="997">
        <f>IF($AE$1=authorities!$I$1,0,$AE$1)</f>
        <v>0</v>
      </c>
      <c r="AF20" s="1002">
        <f>IF(input_engine_ox!$U$21&gt;A19,VLOOKUP(A20,input_engine_ox!$U$23:$Y$35,5,FALSE),0)</f>
        <v>0</v>
      </c>
      <c r="AG20" s="1002">
        <f>data!$C$44</f>
        <v>2900</v>
      </c>
      <c r="AH20" s="1007">
        <f t="shared" si="58"/>
        <v>1</v>
      </c>
      <c r="AI20" s="997">
        <f t="shared" si="75"/>
        <v>0</v>
      </c>
      <c r="AJ20" s="997" t="b">
        <f t="shared" ca="1" si="76"/>
        <v>0</v>
      </c>
      <c r="AK20" s="997"/>
      <c r="AL20" s="997">
        <f t="shared" ca="1" si="77"/>
        <v>0</v>
      </c>
      <c r="AM20" s="997"/>
      <c r="AN20" s="997"/>
      <c r="AO20" s="1002">
        <f t="shared" si="28"/>
        <v>0</v>
      </c>
      <c r="AP20" s="1002">
        <f ca="1">SUM($AO$3:AO20)</f>
        <v>2</v>
      </c>
      <c r="AQ20" s="1002">
        <f t="shared" si="78"/>
        <v>365</v>
      </c>
      <c r="AR20" s="997">
        <f t="shared" ca="1" si="30"/>
        <v>0</v>
      </c>
      <c r="AS20" s="5"/>
      <c r="AT20" s="997">
        <f t="shared" ca="1" si="79"/>
        <v>0</v>
      </c>
      <c r="AU20" s="997" t="b">
        <f t="shared" ca="1" si="59"/>
        <v>1</v>
      </c>
      <c r="AV20" s="997" t="b">
        <f t="shared" si="9"/>
        <v>0</v>
      </c>
      <c r="AW20" s="997" t="b">
        <f t="shared" si="60"/>
        <v>0</v>
      </c>
      <c r="AX20" s="997">
        <f t="shared" ca="1" si="80"/>
        <v>0</v>
      </c>
      <c r="AY20" s="2370">
        <f ca="1">AR20/reliefs!$E$7*AX20*-1</f>
        <v>0</v>
      </c>
      <c r="AZ20" s="1002">
        <f t="shared" ca="1" si="81"/>
        <v>0</v>
      </c>
      <c r="BA20" s="2370"/>
      <c r="BB20" s="997"/>
      <c r="BC20" s="997"/>
      <c r="BD20" s="997"/>
      <c r="BE20" s="997"/>
      <c r="BF20" s="1002"/>
      <c r="BG20" s="997">
        <f t="shared" ca="1" si="82"/>
        <v>0</v>
      </c>
      <c r="BH20" s="997">
        <f t="shared" si="83"/>
        <v>15000</v>
      </c>
      <c r="BI20" s="1001">
        <f t="shared" si="84"/>
        <v>0</v>
      </c>
      <c r="BJ20" s="997">
        <f t="shared" si="85"/>
        <v>5000000</v>
      </c>
      <c r="BK20" s="997">
        <f t="shared" si="86"/>
        <v>0.499</v>
      </c>
      <c r="BL20" s="997" t="b">
        <f t="shared" si="86"/>
        <v>1</v>
      </c>
      <c r="BM20" s="997" t="b">
        <f t="shared" si="86"/>
        <v>0</v>
      </c>
      <c r="BN20" s="997">
        <f t="shared" si="86"/>
        <v>600</v>
      </c>
      <c r="BO20" s="997">
        <f t="shared" ca="1" si="87"/>
        <v>0</v>
      </c>
      <c r="BP20" s="997"/>
      <c r="BQ20" s="997"/>
      <c r="BR20" s="997">
        <f t="shared" si="88"/>
        <v>1200</v>
      </c>
      <c r="BS20" s="997"/>
      <c r="BT20" s="997" t="b">
        <f t="shared" ca="1" si="89"/>
        <v>0</v>
      </c>
      <c r="BU20" s="997" t="b">
        <f t="shared" si="98"/>
        <v>1</v>
      </c>
      <c r="BV20" s="997" t="b">
        <f t="shared" si="90"/>
        <v>0</v>
      </c>
      <c r="BW20" s="997" t="b">
        <f t="shared" ca="1" si="91"/>
        <v>0</v>
      </c>
      <c r="BX20" s="997" t="b">
        <f t="shared" ca="1" si="92"/>
        <v>0</v>
      </c>
      <c r="BY20" s="997">
        <f t="shared" ca="1" si="93"/>
        <v>1200</v>
      </c>
      <c r="BZ20" s="997">
        <f t="shared" si="94"/>
        <v>365</v>
      </c>
      <c r="CA20" s="997">
        <f t="shared" si="95"/>
        <v>0</v>
      </c>
      <c r="CB20" s="997">
        <f t="shared" ca="1" si="96"/>
        <v>0</v>
      </c>
      <c r="CC20" s="997">
        <f t="shared" ca="1" si="48"/>
        <v>0</v>
      </c>
      <c r="CD20" s="997">
        <f t="shared" si="99"/>
        <v>1200</v>
      </c>
      <c r="CE20" s="1002" t="b">
        <f t="shared" si="50"/>
        <v>0</v>
      </c>
      <c r="CF20" s="5"/>
      <c r="CG20" s="5"/>
    </row>
    <row r="21" spans="1:111" customFormat="1" x14ac:dyDescent="0.35">
      <c r="A21" s="997">
        <f t="shared" si="61"/>
        <v>5</v>
      </c>
      <c r="B21" s="1003" t="str">
        <f>IF(input_engine_ox!$U$21&gt;A20,VLOOKUP(A21,input_engine_ox!$U$23:$Y$35,2,FALSE),"")</f>
        <v/>
      </c>
      <c r="C21" s="997" t="str">
        <f t="shared" si="62"/>
        <v/>
      </c>
      <c r="D21" s="1003">
        <f t="shared" si="63"/>
        <v>45747</v>
      </c>
      <c r="E21" s="1002" t="str">
        <f ca="1">IF(B21="",E20,VLOOKUP(B21,input_engine_ox!$B$23:$F$35,5,FALSE))</f>
        <v>nn</v>
      </c>
      <c r="F21" s="1003" t="str">
        <f t="shared" si="64"/>
        <v/>
      </c>
      <c r="G21" s="1003" t="str">
        <f t="shared" si="65"/>
        <v/>
      </c>
      <c r="H21" s="1002">
        <f t="shared" si="66"/>
        <v>0</v>
      </c>
      <c r="I21" s="997">
        <f t="shared" ca="1" si="53"/>
        <v>0</v>
      </c>
      <c r="J21" s="997">
        <f t="shared" ca="1" si="54"/>
        <v>0</v>
      </c>
      <c r="K21" s="997">
        <f t="shared" ca="1" si="55"/>
        <v>0</v>
      </c>
      <c r="L21" s="997" t="str">
        <f>IF(input_engine_ox!$U$21&gt;A20,VLOOKUP(A21,input_engine_ox!$U$23:$Y$36,3,FALSE),"")</f>
        <v/>
      </c>
      <c r="M21" s="1002" t="str">
        <f t="shared" ca="1" si="67"/>
        <v>up</v>
      </c>
      <c r="N21" s="1002" t="str">
        <f t="shared" si="97"/>
        <v/>
      </c>
      <c r="O21" s="1002" t="str">
        <f t="shared" si="56"/>
        <v/>
      </c>
      <c r="P21" s="1032">
        <f t="shared" si="68"/>
        <v>0.499</v>
      </c>
      <c r="Q21" s="997" t="str">
        <f t="shared" ca="1" si="69"/>
        <v/>
      </c>
      <c r="R21" s="997">
        <f t="shared" si="70"/>
        <v>0</v>
      </c>
      <c r="S21" s="1006">
        <f>IF(input_engine_ox!$U$21&gt;A20,VLOOKUP(A21,input_engine_ox!$U$23:$Y$35,4,FALSE),0)</f>
        <v>0</v>
      </c>
      <c r="T21" s="2442">
        <f t="shared" ca="1" si="71"/>
        <v>0</v>
      </c>
      <c r="U21" s="997" t="b">
        <f t="shared" si="72"/>
        <v>0</v>
      </c>
      <c r="V21" s="997" t="b">
        <f>advanced!$I$23="y"</f>
        <v>0</v>
      </c>
      <c r="W21" s="997">
        <f>data!$D$34</f>
        <v>15000</v>
      </c>
      <c r="X21" s="997" t="b">
        <f t="shared" si="23"/>
        <v>0</v>
      </c>
      <c r="Y21" s="997">
        <f t="shared" si="73"/>
        <v>0</v>
      </c>
      <c r="Z21" s="997">
        <f t="shared" si="57"/>
        <v>0</v>
      </c>
      <c r="AA21" s="1002">
        <f>data!$G$54</f>
        <v>75000</v>
      </c>
      <c r="AB21" s="1002">
        <f>data!$F$54</f>
        <v>0.02</v>
      </c>
      <c r="AC21" s="997">
        <f t="shared" si="74"/>
        <v>0</v>
      </c>
      <c r="AD21" s="997">
        <f>IF(B21="",0,(IF($AE$1=authorities!$I$1,0,IF(L21&gt;AE21,VLOOKUP($AD$1,authorities!A:H,C21+1,FALSE),0)))*L21/$CK$3*H21)</f>
        <v>0</v>
      </c>
      <c r="AE21" s="997">
        <f>IF($AE$1=authorities!$I$1,0,$AE$1)</f>
        <v>0</v>
      </c>
      <c r="AF21" s="1002">
        <f>IF(input_engine_ox!$U$21&gt;A20,VLOOKUP(A21,input_engine_ox!$U$23:$Y$35,5,FALSE),0)</f>
        <v>0</v>
      </c>
      <c r="AG21" s="1002">
        <f>data!$C$44</f>
        <v>2900</v>
      </c>
      <c r="AH21" s="1007">
        <f t="shared" si="58"/>
        <v>1</v>
      </c>
      <c r="AI21" s="997">
        <f t="shared" si="75"/>
        <v>0</v>
      </c>
      <c r="AJ21" s="997" t="b">
        <f t="shared" ca="1" si="76"/>
        <v>0</v>
      </c>
      <c r="AK21" s="997"/>
      <c r="AL21" s="997">
        <f t="shared" ca="1" si="77"/>
        <v>0</v>
      </c>
      <c r="AM21" s="997"/>
      <c r="AN21" s="997"/>
      <c r="AO21" s="1002">
        <f t="shared" si="28"/>
        <v>0</v>
      </c>
      <c r="AP21" s="1002">
        <f ca="1">SUM($AO$3:AO21)</f>
        <v>2</v>
      </c>
      <c r="AQ21" s="1002">
        <f t="shared" si="78"/>
        <v>365</v>
      </c>
      <c r="AR21" s="997">
        <f t="shared" ca="1" si="30"/>
        <v>0</v>
      </c>
      <c r="AS21" s="5"/>
      <c r="AT21" s="997">
        <f t="shared" ca="1" si="79"/>
        <v>0</v>
      </c>
      <c r="AU21" s="997" t="b">
        <f t="shared" ca="1" si="59"/>
        <v>1</v>
      </c>
      <c r="AV21" s="997" t="b">
        <f t="shared" si="9"/>
        <v>0</v>
      </c>
      <c r="AW21" s="997" t="b">
        <f t="shared" si="60"/>
        <v>0</v>
      </c>
      <c r="AX21" s="997">
        <f t="shared" ca="1" si="80"/>
        <v>0</v>
      </c>
      <c r="AY21" s="2370">
        <f ca="1">AR21/reliefs!$E$7*AX21*-1</f>
        <v>0</v>
      </c>
      <c r="AZ21" s="1002">
        <f t="shared" ca="1" si="81"/>
        <v>0</v>
      </c>
      <c r="BA21" s="2370"/>
      <c r="BB21" s="997"/>
      <c r="BC21" s="997"/>
      <c r="BD21" s="997"/>
      <c r="BE21" s="997"/>
      <c r="BF21" s="1002"/>
      <c r="BG21" s="997">
        <f t="shared" ca="1" si="82"/>
        <v>0</v>
      </c>
      <c r="BH21" s="997">
        <f t="shared" si="83"/>
        <v>15000</v>
      </c>
      <c r="BI21" s="1001">
        <f t="shared" si="84"/>
        <v>0</v>
      </c>
      <c r="BJ21" s="997">
        <f t="shared" si="85"/>
        <v>5000000</v>
      </c>
      <c r="BK21" s="997">
        <f t="shared" si="86"/>
        <v>0.499</v>
      </c>
      <c r="BL21" s="997" t="b">
        <f t="shared" si="86"/>
        <v>1</v>
      </c>
      <c r="BM21" s="997" t="b">
        <f t="shared" si="86"/>
        <v>0</v>
      </c>
      <c r="BN21" s="997">
        <f t="shared" si="86"/>
        <v>600</v>
      </c>
      <c r="BO21" s="997">
        <f t="shared" ca="1" si="87"/>
        <v>0</v>
      </c>
      <c r="BP21" s="997"/>
      <c r="BQ21" s="997"/>
      <c r="BR21" s="997">
        <f t="shared" si="88"/>
        <v>1200</v>
      </c>
      <c r="BS21" s="997"/>
      <c r="BT21" s="997" t="b">
        <f t="shared" ca="1" si="89"/>
        <v>0</v>
      </c>
      <c r="BU21" s="997" t="b">
        <f t="shared" si="98"/>
        <v>1</v>
      </c>
      <c r="BV21" s="997" t="b">
        <f t="shared" si="90"/>
        <v>0</v>
      </c>
      <c r="BW21" s="997" t="b">
        <f t="shared" ca="1" si="91"/>
        <v>0</v>
      </c>
      <c r="BX21" s="997" t="b">
        <f t="shared" ca="1" si="92"/>
        <v>0</v>
      </c>
      <c r="BY21" s="997">
        <f t="shared" ca="1" si="93"/>
        <v>1200</v>
      </c>
      <c r="BZ21" s="997">
        <f t="shared" si="94"/>
        <v>365</v>
      </c>
      <c r="CA21" s="997">
        <f t="shared" si="95"/>
        <v>0</v>
      </c>
      <c r="CB21" s="997">
        <f t="shared" ca="1" si="96"/>
        <v>0</v>
      </c>
      <c r="CC21" s="997">
        <f t="shared" ca="1" si="48"/>
        <v>0</v>
      </c>
      <c r="CD21" s="997">
        <f t="shared" si="99"/>
        <v>1200</v>
      </c>
      <c r="CE21" s="1002" t="b">
        <f t="shared" si="50"/>
        <v>0</v>
      </c>
      <c r="CF21" s="5"/>
      <c r="CG21" s="5"/>
    </row>
    <row r="22" spans="1:111" customFormat="1" x14ac:dyDescent="0.35">
      <c r="A22" s="997">
        <f t="shared" si="61"/>
        <v>6</v>
      </c>
      <c r="B22" s="1003" t="str">
        <f>IF(input_engine_ox!$U$21&gt;A21,VLOOKUP(A22,input_engine_ox!$U$23:$Y$35,2,FALSE),"")</f>
        <v/>
      </c>
      <c r="C22" s="997" t="str">
        <f t="shared" si="62"/>
        <v/>
      </c>
      <c r="D22" s="1003">
        <f t="shared" si="63"/>
        <v>45747</v>
      </c>
      <c r="E22" s="1002" t="str">
        <f ca="1">IF(B22="",E21,VLOOKUP(B22,input_engine_ox!$B$23:$F$35,5,FALSE))</f>
        <v>nn</v>
      </c>
      <c r="F22" s="1003" t="str">
        <f t="shared" si="64"/>
        <v/>
      </c>
      <c r="G22" s="1003" t="str">
        <f t="shared" si="65"/>
        <v/>
      </c>
      <c r="H22" s="1002">
        <f t="shared" si="66"/>
        <v>0</v>
      </c>
      <c r="I22" s="997">
        <f t="shared" ca="1" si="53"/>
        <v>0</v>
      </c>
      <c r="J22" s="997">
        <f t="shared" ca="1" si="54"/>
        <v>0</v>
      </c>
      <c r="K22" s="997">
        <f t="shared" ca="1" si="55"/>
        <v>0</v>
      </c>
      <c r="L22" s="997" t="str">
        <f>IF(input_engine_ox!$U$21&gt;A21,VLOOKUP(A22,input_engine_ox!$U$23:$Y$36,3,FALSE),"")</f>
        <v/>
      </c>
      <c r="M22" s="1002" t="str">
        <f t="shared" ca="1" si="67"/>
        <v>up</v>
      </c>
      <c r="N22" s="1002" t="str">
        <f t="shared" si="97"/>
        <v/>
      </c>
      <c r="O22" s="1002" t="str">
        <f t="shared" si="56"/>
        <v/>
      </c>
      <c r="P22" s="1032">
        <f t="shared" si="68"/>
        <v>0.499</v>
      </c>
      <c r="Q22" s="997" t="str">
        <f t="shared" ca="1" si="69"/>
        <v/>
      </c>
      <c r="R22" s="997">
        <f t="shared" si="70"/>
        <v>0</v>
      </c>
      <c r="S22" s="1006">
        <f>IF(input_engine_ox!$U$21&gt;A21,VLOOKUP(A22,input_engine_ox!$U$23:$Y$35,4,FALSE),0)</f>
        <v>0</v>
      </c>
      <c r="T22" s="2442">
        <f t="shared" ca="1" si="71"/>
        <v>0</v>
      </c>
      <c r="U22" s="997" t="b">
        <f t="shared" si="72"/>
        <v>0</v>
      </c>
      <c r="V22" s="997" t="b">
        <f>advanced!$I$23="y"</f>
        <v>0</v>
      </c>
      <c r="W22" s="997">
        <f>data!$D$34</f>
        <v>15000</v>
      </c>
      <c r="X22" s="997" t="b">
        <f t="shared" si="23"/>
        <v>0</v>
      </c>
      <c r="Y22" s="997">
        <f t="shared" si="73"/>
        <v>0</v>
      </c>
      <c r="Z22" s="997">
        <f t="shared" si="57"/>
        <v>0</v>
      </c>
      <c r="AA22" s="1002">
        <f>data!$G$54</f>
        <v>75000</v>
      </c>
      <c r="AB22" s="1002">
        <f>data!$F$54</f>
        <v>0.02</v>
      </c>
      <c r="AC22" s="997">
        <f t="shared" si="74"/>
        <v>0</v>
      </c>
      <c r="AD22" s="997">
        <f>IF(B22="",0,(IF($AE$1=authorities!$I$1,0,IF(L22&gt;AE22,VLOOKUP($AD$1,authorities!A:H,C22+1,FALSE),0)))*L22/$CK$3*H22)</f>
        <v>0</v>
      </c>
      <c r="AE22" s="997">
        <f>IF($AE$1=authorities!$I$1,0,$AE$1)</f>
        <v>0</v>
      </c>
      <c r="AF22" s="1002">
        <f>IF(input_engine_ox!$U$21&gt;A21,VLOOKUP(A22,input_engine_ox!$U$23:$Y$35,5,FALSE),0)</f>
        <v>0</v>
      </c>
      <c r="AG22" s="1002">
        <f>data!$C$44</f>
        <v>2900</v>
      </c>
      <c r="AH22" s="1007">
        <f t="shared" si="58"/>
        <v>1</v>
      </c>
      <c r="AI22" s="997">
        <f t="shared" si="75"/>
        <v>0</v>
      </c>
      <c r="AJ22" s="997" t="b">
        <f t="shared" ca="1" si="76"/>
        <v>0</v>
      </c>
      <c r="AK22" s="997"/>
      <c r="AL22" s="997">
        <f t="shared" ca="1" si="77"/>
        <v>0</v>
      </c>
      <c r="AM22" s="997"/>
      <c r="AN22" s="997"/>
      <c r="AO22" s="1002">
        <f t="shared" si="28"/>
        <v>0</v>
      </c>
      <c r="AP22" s="1002">
        <f ca="1">SUM($AO$3:AO22)</f>
        <v>2</v>
      </c>
      <c r="AQ22" s="1002">
        <f t="shared" si="78"/>
        <v>365</v>
      </c>
      <c r="AR22" s="997">
        <f t="shared" ca="1" si="30"/>
        <v>0</v>
      </c>
      <c r="AS22" s="5"/>
      <c r="AT22" s="997">
        <f t="shared" ca="1" si="79"/>
        <v>0</v>
      </c>
      <c r="AU22" s="997" t="b">
        <f t="shared" ca="1" si="59"/>
        <v>1</v>
      </c>
      <c r="AV22" s="997" t="b">
        <f t="shared" si="9"/>
        <v>0</v>
      </c>
      <c r="AW22" s="997" t="b">
        <f t="shared" si="60"/>
        <v>0</v>
      </c>
      <c r="AX22" s="997">
        <f t="shared" ca="1" si="80"/>
        <v>0</v>
      </c>
      <c r="AY22" s="2370">
        <f ca="1">AR22/reliefs!$E$7*AX22*-1</f>
        <v>0</v>
      </c>
      <c r="AZ22" s="1002">
        <f t="shared" ca="1" si="81"/>
        <v>0</v>
      </c>
      <c r="BA22" s="2370"/>
      <c r="BB22" s="997"/>
      <c r="BC22" s="997"/>
      <c r="BD22" s="997"/>
      <c r="BE22" s="997"/>
      <c r="BF22" s="1002"/>
      <c r="BG22" s="997">
        <f t="shared" ca="1" si="82"/>
        <v>0</v>
      </c>
      <c r="BH22" s="997">
        <f t="shared" si="83"/>
        <v>15000</v>
      </c>
      <c r="BI22" s="1001">
        <f t="shared" si="84"/>
        <v>0</v>
      </c>
      <c r="BJ22" s="997">
        <f t="shared" si="85"/>
        <v>5000000</v>
      </c>
      <c r="BK22" s="997">
        <f t="shared" si="86"/>
        <v>0.499</v>
      </c>
      <c r="BL22" s="997" t="b">
        <f t="shared" si="86"/>
        <v>1</v>
      </c>
      <c r="BM22" s="997" t="b">
        <f t="shared" si="86"/>
        <v>0</v>
      </c>
      <c r="BN22" s="997">
        <f t="shared" si="86"/>
        <v>600</v>
      </c>
      <c r="BO22" s="997">
        <f t="shared" ca="1" si="87"/>
        <v>0</v>
      </c>
      <c r="BP22" s="997"/>
      <c r="BQ22" s="997"/>
      <c r="BR22" s="997">
        <f t="shared" si="88"/>
        <v>1200</v>
      </c>
      <c r="BS22" s="997"/>
      <c r="BT22" s="997" t="b">
        <f t="shared" ca="1" si="89"/>
        <v>0</v>
      </c>
      <c r="BU22" s="997" t="b">
        <f t="shared" si="98"/>
        <v>1</v>
      </c>
      <c r="BV22" s="997" t="b">
        <f t="shared" si="90"/>
        <v>0</v>
      </c>
      <c r="BW22" s="997" t="b">
        <f t="shared" ca="1" si="91"/>
        <v>0</v>
      </c>
      <c r="BX22" s="997" t="b">
        <f t="shared" ca="1" si="92"/>
        <v>0</v>
      </c>
      <c r="BY22" s="997">
        <f t="shared" ca="1" si="93"/>
        <v>1200</v>
      </c>
      <c r="BZ22" s="997">
        <f t="shared" si="94"/>
        <v>365</v>
      </c>
      <c r="CA22" s="997">
        <f t="shared" si="95"/>
        <v>0</v>
      </c>
      <c r="CB22" s="997">
        <f t="shared" ca="1" si="96"/>
        <v>0</v>
      </c>
      <c r="CC22" s="997">
        <f t="shared" ca="1" si="48"/>
        <v>0</v>
      </c>
      <c r="CD22" s="997">
        <f t="shared" si="99"/>
        <v>1200</v>
      </c>
      <c r="CE22" s="1002" t="b">
        <f t="shared" si="50"/>
        <v>0</v>
      </c>
      <c r="CF22" s="5"/>
      <c r="CG22" s="5"/>
    </row>
    <row r="23" spans="1:111" customFormat="1" x14ac:dyDescent="0.35">
      <c r="A23" s="997">
        <f t="shared" si="61"/>
        <v>7</v>
      </c>
      <c r="B23" s="1003" t="str">
        <f>IF(input_engine_ox!$U$21&gt;A22,VLOOKUP(A23,input_engine_ox!$U$23:$Y$35,2,FALSE),"")</f>
        <v/>
      </c>
      <c r="C23" s="997" t="str">
        <f t="shared" si="62"/>
        <v/>
      </c>
      <c r="D23" s="1003">
        <f t="shared" si="63"/>
        <v>45747</v>
      </c>
      <c r="E23" s="1002" t="str">
        <f ca="1">IF(B23="",E22,VLOOKUP(B23,input_engine_ox!$B$23:$F$35,5,FALSE))</f>
        <v>nn</v>
      </c>
      <c r="F23" s="1003" t="str">
        <f t="shared" si="64"/>
        <v/>
      </c>
      <c r="G23" s="1003" t="str">
        <f t="shared" si="65"/>
        <v/>
      </c>
      <c r="H23" s="1002">
        <f t="shared" si="66"/>
        <v>0</v>
      </c>
      <c r="I23" s="997">
        <f t="shared" ca="1" si="53"/>
        <v>0</v>
      </c>
      <c r="J23" s="997">
        <f t="shared" ca="1" si="54"/>
        <v>0</v>
      </c>
      <c r="K23" s="997">
        <f t="shared" ca="1" si="55"/>
        <v>0</v>
      </c>
      <c r="L23" s="997" t="str">
        <f>IF(input_engine_ox!$U$21&gt;A22,VLOOKUP(A23,input_engine_ox!$U$23:$Y$36,3,FALSE),"")</f>
        <v/>
      </c>
      <c r="M23" s="1002" t="str">
        <f t="shared" ca="1" si="67"/>
        <v>up</v>
      </c>
      <c r="N23" s="1002" t="str">
        <f t="shared" si="97"/>
        <v/>
      </c>
      <c r="O23" s="1002" t="str">
        <f t="shared" si="56"/>
        <v/>
      </c>
      <c r="P23" s="1032">
        <f t="shared" si="68"/>
        <v>0.499</v>
      </c>
      <c r="Q23" s="997" t="str">
        <f t="shared" ca="1" si="69"/>
        <v/>
      </c>
      <c r="R23" s="997">
        <f t="shared" si="70"/>
        <v>0</v>
      </c>
      <c r="S23" s="1006">
        <f>IF(input_engine_ox!$U$21&gt;A22,VLOOKUP(A23,input_engine_ox!$U$23:$Y$35,4,FALSE),0)</f>
        <v>0</v>
      </c>
      <c r="T23" s="2442">
        <f t="shared" ca="1" si="71"/>
        <v>0</v>
      </c>
      <c r="U23" s="997" t="b">
        <f t="shared" si="72"/>
        <v>0</v>
      </c>
      <c r="V23" s="997" t="b">
        <f>advanced!$I$23="y"</f>
        <v>0</v>
      </c>
      <c r="W23" s="997">
        <f>data!$D$34</f>
        <v>15000</v>
      </c>
      <c r="X23" s="997" t="b">
        <f t="shared" si="23"/>
        <v>0</v>
      </c>
      <c r="Y23" s="997">
        <f t="shared" si="73"/>
        <v>0</v>
      </c>
      <c r="Z23" s="997">
        <f t="shared" si="57"/>
        <v>0</v>
      </c>
      <c r="AA23" s="1002">
        <f>data!$G$54</f>
        <v>75000</v>
      </c>
      <c r="AB23" s="1002">
        <f>data!$F$54</f>
        <v>0.02</v>
      </c>
      <c r="AC23" s="997">
        <f t="shared" si="74"/>
        <v>0</v>
      </c>
      <c r="AD23" s="997">
        <f>IF(B23="",0,(IF($AE$1=authorities!$I$1,0,IF(L23&gt;AE23,VLOOKUP($AD$1,authorities!A:H,C23+1,FALSE),0)))*L23/$CK$3*H23)</f>
        <v>0</v>
      </c>
      <c r="AE23" s="997">
        <f>IF($AE$1=authorities!$I$1,0,$AE$1)</f>
        <v>0</v>
      </c>
      <c r="AF23" s="1002">
        <f>IF(input_engine_ox!$U$21&gt;A22,VLOOKUP(A23,input_engine_ox!$U$23:$Y$35,5,FALSE),0)</f>
        <v>0</v>
      </c>
      <c r="AG23" s="1002">
        <f>data!$C$44</f>
        <v>2900</v>
      </c>
      <c r="AH23" s="1007">
        <f t="shared" si="58"/>
        <v>1</v>
      </c>
      <c r="AI23" s="997">
        <f t="shared" si="75"/>
        <v>0</v>
      </c>
      <c r="AJ23" s="997" t="b">
        <f t="shared" ca="1" si="76"/>
        <v>0</v>
      </c>
      <c r="AK23" s="997"/>
      <c r="AL23" s="997">
        <f t="shared" ca="1" si="77"/>
        <v>0</v>
      </c>
      <c r="AM23" s="997"/>
      <c r="AN23" s="997"/>
      <c r="AO23" s="1002">
        <f t="shared" si="28"/>
        <v>0</v>
      </c>
      <c r="AP23" s="1002">
        <f ca="1">SUM($AO$3:AO23)</f>
        <v>2</v>
      </c>
      <c r="AQ23" s="1002">
        <f t="shared" si="78"/>
        <v>365</v>
      </c>
      <c r="AR23" s="997">
        <f t="shared" ca="1" si="30"/>
        <v>0</v>
      </c>
      <c r="AS23" s="5"/>
      <c r="AT23" s="997">
        <f t="shared" ca="1" si="79"/>
        <v>0</v>
      </c>
      <c r="AU23" s="997" t="b">
        <f t="shared" ca="1" si="59"/>
        <v>1</v>
      </c>
      <c r="AV23" s="997" t="b">
        <f t="shared" si="9"/>
        <v>0</v>
      </c>
      <c r="AW23" s="997" t="b">
        <f t="shared" si="60"/>
        <v>0</v>
      </c>
      <c r="AX23" s="997">
        <f t="shared" ca="1" si="80"/>
        <v>0</v>
      </c>
      <c r="AY23" s="2370">
        <f ca="1">AR23/reliefs!$E$7*AX23*-1</f>
        <v>0</v>
      </c>
      <c r="AZ23" s="1002">
        <f t="shared" ca="1" si="81"/>
        <v>0</v>
      </c>
      <c r="BA23" s="2370"/>
      <c r="BB23" s="997"/>
      <c r="BC23" s="997"/>
      <c r="BD23" s="997"/>
      <c r="BE23" s="997"/>
      <c r="BF23" s="1002"/>
      <c r="BG23" s="997">
        <f t="shared" ca="1" si="82"/>
        <v>0</v>
      </c>
      <c r="BH23" s="997">
        <f t="shared" si="83"/>
        <v>15000</v>
      </c>
      <c r="BI23" s="1001">
        <f t="shared" si="84"/>
        <v>0</v>
      </c>
      <c r="BJ23" s="997">
        <f t="shared" si="85"/>
        <v>5000000</v>
      </c>
      <c r="BK23" s="997">
        <f t="shared" si="86"/>
        <v>0.499</v>
      </c>
      <c r="BL23" s="997" t="b">
        <f t="shared" si="86"/>
        <v>1</v>
      </c>
      <c r="BM23" s="997" t="b">
        <f t="shared" si="86"/>
        <v>0</v>
      </c>
      <c r="BN23" s="997">
        <f t="shared" si="86"/>
        <v>600</v>
      </c>
      <c r="BO23" s="997">
        <f t="shared" ca="1" si="87"/>
        <v>0</v>
      </c>
      <c r="BP23" s="997"/>
      <c r="BQ23" s="997"/>
      <c r="BR23" s="997">
        <f t="shared" si="88"/>
        <v>1200</v>
      </c>
      <c r="BS23" s="997"/>
      <c r="BT23" s="997" t="b">
        <f t="shared" ca="1" si="89"/>
        <v>0</v>
      </c>
      <c r="BU23" s="997" t="b">
        <f t="shared" si="98"/>
        <v>1</v>
      </c>
      <c r="BV23" s="997" t="b">
        <f t="shared" si="90"/>
        <v>0</v>
      </c>
      <c r="BW23" s="997" t="b">
        <f t="shared" ca="1" si="91"/>
        <v>0</v>
      </c>
      <c r="BX23" s="997" t="b">
        <f t="shared" ca="1" si="92"/>
        <v>0</v>
      </c>
      <c r="BY23" s="997">
        <f t="shared" ca="1" si="93"/>
        <v>1200</v>
      </c>
      <c r="BZ23" s="997">
        <f t="shared" si="94"/>
        <v>365</v>
      </c>
      <c r="CA23" s="997">
        <f t="shared" si="95"/>
        <v>0</v>
      </c>
      <c r="CB23" s="997">
        <f t="shared" ca="1" si="96"/>
        <v>0</v>
      </c>
      <c r="CC23" s="997">
        <f t="shared" ca="1" si="48"/>
        <v>0</v>
      </c>
      <c r="CD23" s="997">
        <f t="shared" si="99"/>
        <v>1200</v>
      </c>
      <c r="CE23" s="1002" t="b">
        <f t="shared" si="50"/>
        <v>0</v>
      </c>
      <c r="CF23" s="5"/>
      <c r="CG23" s="5"/>
    </row>
    <row r="24" spans="1:111" customFormat="1" x14ac:dyDescent="0.35">
      <c r="A24" s="997">
        <f t="shared" si="61"/>
        <v>8</v>
      </c>
      <c r="B24" s="1003" t="str">
        <f>IF(input_engine_ox!$U$21&gt;A23,VLOOKUP(A24,input_engine_ox!$U$23:$Y$35,2,FALSE),"")</f>
        <v/>
      </c>
      <c r="C24" s="997" t="str">
        <f t="shared" si="62"/>
        <v/>
      </c>
      <c r="D24" s="1003">
        <f t="shared" si="63"/>
        <v>45747</v>
      </c>
      <c r="E24" s="1002" t="str">
        <f ca="1">IF(B24="",E23,VLOOKUP(B24,input_engine_ox!$B$23:$F$35,5,FALSE))</f>
        <v>nn</v>
      </c>
      <c r="F24" s="1003" t="str">
        <f t="shared" si="64"/>
        <v/>
      </c>
      <c r="G24" s="1003" t="str">
        <f t="shared" si="65"/>
        <v/>
      </c>
      <c r="H24" s="1002">
        <f t="shared" si="66"/>
        <v>0</v>
      </c>
      <c r="I24" s="997">
        <f t="shared" ca="1" si="53"/>
        <v>0</v>
      </c>
      <c r="J24" s="997">
        <f t="shared" ca="1" si="54"/>
        <v>0</v>
      </c>
      <c r="K24" s="997">
        <f t="shared" ca="1" si="55"/>
        <v>0</v>
      </c>
      <c r="L24" s="997" t="str">
        <f>IF(input_engine_ox!$U$21&gt;A23,VLOOKUP(A24,input_engine_ox!$U$23:$Y$36,3,FALSE),"")</f>
        <v/>
      </c>
      <c r="M24" s="1002" t="str">
        <f t="shared" ca="1" si="67"/>
        <v>up</v>
      </c>
      <c r="N24" s="1002" t="str">
        <f t="shared" si="97"/>
        <v/>
      </c>
      <c r="O24" s="1002" t="str">
        <f t="shared" si="56"/>
        <v/>
      </c>
      <c r="P24" s="1032">
        <f t="shared" si="68"/>
        <v>0.499</v>
      </c>
      <c r="Q24" s="997" t="str">
        <f t="shared" ca="1" si="69"/>
        <v/>
      </c>
      <c r="R24" s="997">
        <f t="shared" si="70"/>
        <v>0</v>
      </c>
      <c r="S24" s="1006">
        <f>IF(input_engine_ox!$U$21&gt;A23,VLOOKUP(A24,input_engine_ox!$U$23:$Y$35,4,FALSE),0)</f>
        <v>0</v>
      </c>
      <c r="T24" s="2442">
        <f t="shared" ca="1" si="71"/>
        <v>0</v>
      </c>
      <c r="U24" s="997" t="b">
        <f t="shared" si="72"/>
        <v>0</v>
      </c>
      <c r="V24" s="997" t="b">
        <f>advanced!$I$23="y"</f>
        <v>0</v>
      </c>
      <c r="W24" s="997">
        <f>data!$D$34</f>
        <v>15000</v>
      </c>
      <c r="X24" s="997" t="b">
        <f t="shared" si="23"/>
        <v>0</v>
      </c>
      <c r="Y24" s="997">
        <f t="shared" si="73"/>
        <v>0</v>
      </c>
      <c r="Z24" s="997">
        <f t="shared" si="57"/>
        <v>0</v>
      </c>
      <c r="AA24" s="1002">
        <f>data!$G$54</f>
        <v>75000</v>
      </c>
      <c r="AB24" s="1002">
        <f>data!$F$54</f>
        <v>0.02</v>
      </c>
      <c r="AC24" s="997">
        <f t="shared" si="74"/>
        <v>0</v>
      </c>
      <c r="AD24" s="997">
        <f>IF(B24="",0,(IF($AE$1=authorities!$I$1,0,IF(L24&gt;AE24,VLOOKUP($AD$1,authorities!A:H,C24+1,FALSE),0)))*L24/$CK$3*H24)</f>
        <v>0</v>
      </c>
      <c r="AE24" s="997">
        <f>IF($AE$1=authorities!$I$1,0,$AE$1)</f>
        <v>0</v>
      </c>
      <c r="AF24" s="1002">
        <f>IF(input_engine_ox!$U$21&gt;A23,VLOOKUP(A24,input_engine_ox!$U$23:$Y$35,5,FALSE),0)</f>
        <v>0</v>
      </c>
      <c r="AG24" s="1002">
        <f>data!$C$44</f>
        <v>2900</v>
      </c>
      <c r="AH24" s="1007">
        <f t="shared" si="58"/>
        <v>1</v>
      </c>
      <c r="AI24" s="997">
        <f t="shared" si="75"/>
        <v>0</v>
      </c>
      <c r="AJ24" s="997" t="b">
        <f t="shared" ca="1" si="76"/>
        <v>0</v>
      </c>
      <c r="AK24" s="997"/>
      <c r="AL24" s="997">
        <f t="shared" ca="1" si="77"/>
        <v>0</v>
      </c>
      <c r="AM24" s="997"/>
      <c r="AN24" s="997"/>
      <c r="AO24" s="1002">
        <f t="shared" si="28"/>
        <v>0</v>
      </c>
      <c r="AP24" s="1002">
        <f ca="1">SUM($AO$3:AO24)</f>
        <v>2</v>
      </c>
      <c r="AQ24" s="1002">
        <f t="shared" si="78"/>
        <v>365</v>
      </c>
      <c r="AR24" s="997">
        <f t="shared" ca="1" si="30"/>
        <v>0</v>
      </c>
      <c r="AS24" s="5"/>
      <c r="AT24" s="997">
        <f t="shared" ca="1" si="79"/>
        <v>0</v>
      </c>
      <c r="AU24" s="997" t="b">
        <f t="shared" ca="1" si="59"/>
        <v>1</v>
      </c>
      <c r="AV24" s="997" t="b">
        <f t="shared" si="9"/>
        <v>0</v>
      </c>
      <c r="AW24" s="997" t="b">
        <f t="shared" si="60"/>
        <v>0</v>
      </c>
      <c r="AX24" s="997">
        <f t="shared" ca="1" si="80"/>
        <v>0</v>
      </c>
      <c r="AY24" s="2370">
        <f ca="1">AR24/reliefs!$E$7*AX24*-1</f>
        <v>0</v>
      </c>
      <c r="AZ24" s="1002">
        <f t="shared" ca="1" si="81"/>
        <v>0</v>
      </c>
      <c r="BA24" s="2370"/>
      <c r="BB24" s="997"/>
      <c r="BC24" s="997"/>
      <c r="BD24" s="997"/>
      <c r="BE24" s="997"/>
      <c r="BF24" s="1002"/>
      <c r="BG24" s="997">
        <f t="shared" ca="1" si="82"/>
        <v>0</v>
      </c>
      <c r="BH24" s="997">
        <f t="shared" si="83"/>
        <v>15000</v>
      </c>
      <c r="BI24" s="1001">
        <f t="shared" si="84"/>
        <v>0</v>
      </c>
      <c r="BJ24" s="997">
        <f t="shared" si="85"/>
        <v>5000000</v>
      </c>
      <c r="BK24" s="997">
        <f t="shared" si="86"/>
        <v>0.499</v>
      </c>
      <c r="BL24" s="997" t="b">
        <f t="shared" si="86"/>
        <v>1</v>
      </c>
      <c r="BM24" s="997" t="b">
        <f t="shared" si="86"/>
        <v>0</v>
      </c>
      <c r="BN24" s="997">
        <f t="shared" si="86"/>
        <v>600</v>
      </c>
      <c r="BO24" s="997">
        <f t="shared" ca="1" si="87"/>
        <v>0</v>
      </c>
      <c r="BP24" s="997"/>
      <c r="BQ24" s="997"/>
      <c r="BR24" s="997">
        <f t="shared" si="88"/>
        <v>1200</v>
      </c>
      <c r="BS24" s="997"/>
      <c r="BT24" s="997" t="b">
        <f t="shared" ca="1" si="89"/>
        <v>0</v>
      </c>
      <c r="BU24" s="997" t="b">
        <f t="shared" si="98"/>
        <v>1</v>
      </c>
      <c r="BV24" s="997" t="b">
        <f t="shared" si="90"/>
        <v>0</v>
      </c>
      <c r="BW24" s="997" t="b">
        <f t="shared" ca="1" si="91"/>
        <v>0</v>
      </c>
      <c r="BX24" s="997" t="b">
        <f t="shared" ca="1" si="92"/>
        <v>0</v>
      </c>
      <c r="BY24" s="997">
        <f t="shared" ca="1" si="93"/>
        <v>1200</v>
      </c>
      <c r="BZ24" s="997">
        <f t="shared" si="94"/>
        <v>365</v>
      </c>
      <c r="CA24" s="997">
        <f t="shared" si="95"/>
        <v>0</v>
      </c>
      <c r="CB24" s="997">
        <f t="shared" ca="1" si="96"/>
        <v>0</v>
      </c>
      <c r="CC24" s="997">
        <f t="shared" ca="1" si="48"/>
        <v>0</v>
      </c>
      <c r="CD24" s="997">
        <f t="shared" si="99"/>
        <v>1200</v>
      </c>
      <c r="CE24" s="1002" t="b">
        <f t="shared" si="50"/>
        <v>0</v>
      </c>
      <c r="CF24" s="5"/>
      <c r="CG24" s="5"/>
    </row>
    <row r="25" spans="1:111" customFormat="1" x14ac:dyDescent="0.35">
      <c r="A25" s="997">
        <f t="shared" si="61"/>
        <v>9</v>
      </c>
      <c r="B25" s="1003" t="str">
        <f>IF(input_engine_ox!$U$21&gt;A24,VLOOKUP(A25,input_engine_ox!$U$23:$Y$35,2,FALSE),"")</f>
        <v/>
      </c>
      <c r="C25" s="997" t="str">
        <f t="shared" si="62"/>
        <v/>
      </c>
      <c r="D25" s="1003">
        <f t="shared" si="63"/>
        <v>45747</v>
      </c>
      <c r="E25" s="1002" t="str">
        <f ca="1">IF(B25="",E24,VLOOKUP(B25,input_engine_ox!$B$23:$F$35,5,FALSE))</f>
        <v>nn</v>
      </c>
      <c r="F25" s="1003" t="str">
        <f t="shared" si="64"/>
        <v/>
      </c>
      <c r="G25" s="1003" t="str">
        <f t="shared" si="65"/>
        <v/>
      </c>
      <c r="H25" s="1002">
        <f t="shared" si="66"/>
        <v>0</v>
      </c>
      <c r="I25" s="997">
        <f t="shared" ca="1" si="53"/>
        <v>0</v>
      </c>
      <c r="J25" s="997">
        <f t="shared" ca="1" si="54"/>
        <v>0</v>
      </c>
      <c r="K25" s="997">
        <f t="shared" ca="1" si="55"/>
        <v>0</v>
      </c>
      <c r="L25" s="997" t="str">
        <f>IF(input_engine_ox!$U$21&gt;A24,VLOOKUP(A25,input_engine_ox!$U$23:$Y$36,3,FALSE),"")</f>
        <v/>
      </c>
      <c r="M25" s="1002" t="str">
        <f t="shared" ca="1" si="67"/>
        <v>up</v>
      </c>
      <c r="N25" s="1002" t="str">
        <f t="shared" si="97"/>
        <v/>
      </c>
      <c r="O25" s="1002" t="str">
        <f t="shared" si="56"/>
        <v/>
      </c>
      <c r="P25" s="1032">
        <f t="shared" si="68"/>
        <v>0.499</v>
      </c>
      <c r="Q25" s="997" t="str">
        <f t="shared" ca="1" si="69"/>
        <v/>
      </c>
      <c r="R25" s="997">
        <f t="shared" si="70"/>
        <v>0</v>
      </c>
      <c r="S25" s="1006">
        <f>IF(input_engine_ox!$U$21&gt;A24,VLOOKUP(A25,input_engine_ox!$U$23:$Y$35,4,FALSE),0)</f>
        <v>0</v>
      </c>
      <c r="T25" s="2442">
        <f t="shared" ca="1" si="71"/>
        <v>0</v>
      </c>
      <c r="U25" s="997" t="b">
        <f t="shared" si="72"/>
        <v>0</v>
      </c>
      <c r="V25" s="997" t="b">
        <f>advanced!$I$23="y"</f>
        <v>0</v>
      </c>
      <c r="W25" s="997">
        <f>data!$D$34</f>
        <v>15000</v>
      </c>
      <c r="X25" s="997" t="b">
        <f t="shared" si="23"/>
        <v>0</v>
      </c>
      <c r="Y25" s="997">
        <f t="shared" si="73"/>
        <v>0</v>
      </c>
      <c r="Z25" s="997">
        <f t="shared" si="57"/>
        <v>0</v>
      </c>
      <c r="AA25" s="1002">
        <f>data!$G$54</f>
        <v>75000</v>
      </c>
      <c r="AB25" s="1002">
        <f>data!$F$54</f>
        <v>0.02</v>
      </c>
      <c r="AC25" s="997">
        <f t="shared" si="74"/>
        <v>0</v>
      </c>
      <c r="AD25" s="997">
        <f>IF(B25="",0,(IF($AE$1=authorities!$I$1,0,IF(L25&gt;AE25,VLOOKUP($AD$1,authorities!A:H,C25+1,FALSE),0)))*L25/$CK$3*H25)</f>
        <v>0</v>
      </c>
      <c r="AE25" s="997">
        <f>IF($AE$1=authorities!$I$1,0,$AE$1)</f>
        <v>0</v>
      </c>
      <c r="AF25" s="1002">
        <f>IF(input_engine_ox!$U$21&gt;A24,VLOOKUP(A25,input_engine_ox!$U$23:$Y$35,5,FALSE),0)</f>
        <v>0</v>
      </c>
      <c r="AG25" s="1002">
        <f>data!$C$44</f>
        <v>2900</v>
      </c>
      <c r="AH25" s="1007">
        <f t="shared" si="58"/>
        <v>1</v>
      </c>
      <c r="AI25" s="997">
        <f t="shared" si="75"/>
        <v>0</v>
      </c>
      <c r="AJ25" s="997" t="b">
        <f t="shared" ca="1" si="76"/>
        <v>0</v>
      </c>
      <c r="AK25" s="997"/>
      <c r="AL25" s="997">
        <f t="shared" ca="1" si="77"/>
        <v>0</v>
      </c>
      <c r="AM25" s="997"/>
      <c r="AN25" s="997"/>
      <c r="AO25" s="1002">
        <f t="shared" si="28"/>
        <v>0</v>
      </c>
      <c r="AP25" s="1002">
        <f ca="1">SUM($AO$3:AO25)</f>
        <v>2</v>
      </c>
      <c r="AQ25" s="1002">
        <f t="shared" si="78"/>
        <v>365</v>
      </c>
      <c r="AR25" s="997">
        <f t="shared" ca="1" si="30"/>
        <v>0</v>
      </c>
      <c r="AS25" s="5"/>
      <c r="AT25" s="997">
        <f t="shared" ca="1" si="79"/>
        <v>0</v>
      </c>
      <c r="AU25" s="997" t="b">
        <f t="shared" ca="1" si="59"/>
        <v>1</v>
      </c>
      <c r="AV25" s="997" t="b">
        <f t="shared" si="9"/>
        <v>0</v>
      </c>
      <c r="AW25" s="997" t="b">
        <f t="shared" si="60"/>
        <v>0</v>
      </c>
      <c r="AX25" s="997">
        <f t="shared" ca="1" si="80"/>
        <v>0</v>
      </c>
      <c r="AY25" s="2370">
        <f ca="1">AR25/reliefs!$E$7*AX25*-1</f>
        <v>0</v>
      </c>
      <c r="AZ25" s="1002">
        <f t="shared" ca="1" si="81"/>
        <v>0</v>
      </c>
      <c r="BA25" s="2370"/>
      <c r="BB25" s="997"/>
      <c r="BC25" s="997"/>
      <c r="BD25" s="997"/>
      <c r="BE25" s="997"/>
      <c r="BF25" s="1002"/>
      <c r="BG25" s="997">
        <f t="shared" ca="1" si="82"/>
        <v>0</v>
      </c>
      <c r="BH25" s="997">
        <f t="shared" si="83"/>
        <v>15000</v>
      </c>
      <c r="BI25" s="1001">
        <f t="shared" si="84"/>
        <v>0</v>
      </c>
      <c r="BJ25" s="997">
        <f t="shared" si="85"/>
        <v>5000000</v>
      </c>
      <c r="BK25" s="997">
        <f t="shared" si="86"/>
        <v>0.499</v>
      </c>
      <c r="BL25" s="997" t="b">
        <f t="shared" si="86"/>
        <v>1</v>
      </c>
      <c r="BM25" s="997" t="b">
        <f t="shared" si="86"/>
        <v>0</v>
      </c>
      <c r="BN25" s="997">
        <f t="shared" si="86"/>
        <v>600</v>
      </c>
      <c r="BO25" s="997">
        <f t="shared" ca="1" si="87"/>
        <v>0</v>
      </c>
      <c r="BP25" s="997"/>
      <c r="BQ25" s="997"/>
      <c r="BR25" s="997">
        <f t="shared" si="88"/>
        <v>1200</v>
      </c>
      <c r="BS25" s="997"/>
      <c r="BT25" s="997" t="b">
        <f t="shared" ca="1" si="89"/>
        <v>0</v>
      </c>
      <c r="BU25" s="997" t="b">
        <f t="shared" si="98"/>
        <v>1</v>
      </c>
      <c r="BV25" s="997" t="b">
        <f t="shared" si="90"/>
        <v>0</v>
      </c>
      <c r="BW25" s="997" t="b">
        <f t="shared" ca="1" si="91"/>
        <v>0</v>
      </c>
      <c r="BX25" s="997" t="b">
        <f t="shared" ca="1" si="92"/>
        <v>0</v>
      </c>
      <c r="BY25" s="997">
        <f t="shared" ca="1" si="93"/>
        <v>1200</v>
      </c>
      <c r="BZ25" s="997">
        <f t="shared" si="94"/>
        <v>365</v>
      </c>
      <c r="CA25" s="997">
        <f t="shared" si="95"/>
        <v>0</v>
      </c>
      <c r="CB25" s="997">
        <f t="shared" ca="1" si="96"/>
        <v>0</v>
      </c>
      <c r="CC25" s="997">
        <f t="shared" ca="1" si="48"/>
        <v>0</v>
      </c>
      <c r="CD25" s="997">
        <f t="shared" si="99"/>
        <v>1200</v>
      </c>
      <c r="CE25" s="1002" t="b">
        <f t="shared" si="50"/>
        <v>0</v>
      </c>
      <c r="CF25" s="5"/>
      <c r="CG25" s="5"/>
    </row>
    <row r="26" spans="1:111" customFormat="1" x14ac:dyDescent="0.35">
      <c r="A26" s="997">
        <f t="shared" si="61"/>
        <v>10</v>
      </c>
      <c r="B26" s="1003" t="str">
        <f>IF(input_engine_ox!$U$21&gt;A25,VLOOKUP(A26,input_engine_ox!$U$23:$Y$35,2,FALSE),"")</f>
        <v/>
      </c>
      <c r="C26" s="997" t="str">
        <f t="shared" si="62"/>
        <v/>
      </c>
      <c r="D26" s="1003">
        <f t="shared" si="63"/>
        <v>45747</v>
      </c>
      <c r="E26" s="1002" t="str">
        <f ca="1">IF(B26="",E25,VLOOKUP(B26,input_engine_ox!$B$23:$F$35,5,FALSE))</f>
        <v>nn</v>
      </c>
      <c r="F26" s="1003" t="str">
        <f t="shared" si="64"/>
        <v/>
      </c>
      <c r="G26" s="1003" t="str">
        <f t="shared" si="65"/>
        <v/>
      </c>
      <c r="H26" s="1002">
        <f t="shared" si="66"/>
        <v>0</v>
      </c>
      <c r="I26" s="997">
        <f t="shared" ca="1" si="53"/>
        <v>0</v>
      </c>
      <c r="J26" s="997">
        <f t="shared" ca="1" si="54"/>
        <v>0</v>
      </c>
      <c r="K26" s="997">
        <f t="shared" ca="1" si="55"/>
        <v>0</v>
      </c>
      <c r="L26" s="997" t="str">
        <f>IF(input_engine_ox!$U$21&gt;A25,VLOOKUP(A26,input_engine_ox!$U$23:$Y$36,3,FALSE),"")</f>
        <v/>
      </c>
      <c r="M26" s="1002" t="str">
        <f t="shared" ca="1" si="67"/>
        <v>up</v>
      </c>
      <c r="N26" s="1002" t="str">
        <f t="shared" si="97"/>
        <v/>
      </c>
      <c r="O26" s="1002" t="str">
        <f t="shared" si="56"/>
        <v/>
      </c>
      <c r="P26" s="1032">
        <f t="shared" si="68"/>
        <v>0.499</v>
      </c>
      <c r="Q26" s="997" t="str">
        <f t="shared" ca="1" si="69"/>
        <v/>
      </c>
      <c r="R26" s="997">
        <f t="shared" si="70"/>
        <v>0</v>
      </c>
      <c r="S26" s="1006">
        <f>IF(input_engine_ox!$U$21&gt;A25,VLOOKUP(A26,input_engine_ox!$U$23:$Y$35,4,FALSE),0)</f>
        <v>0</v>
      </c>
      <c r="T26" s="2442">
        <f t="shared" ca="1" si="71"/>
        <v>0</v>
      </c>
      <c r="U26" s="997" t="b">
        <f t="shared" si="72"/>
        <v>0</v>
      </c>
      <c r="V26" s="997" t="b">
        <f>advanced!$I$23="y"</f>
        <v>0</v>
      </c>
      <c r="W26" s="997">
        <f>data!$D$34</f>
        <v>15000</v>
      </c>
      <c r="X26" s="997" t="b">
        <f t="shared" si="23"/>
        <v>0</v>
      </c>
      <c r="Y26" s="997">
        <f t="shared" si="73"/>
        <v>0</v>
      </c>
      <c r="Z26" s="997">
        <f t="shared" si="57"/>
        <v>0</v>
      </c>
      <c r="AA26" s="1002">
        <f>data!$G$54</f>
        <v>75000</v>
      </c>
      <c r="AB26" s="1002">
        <f>data!$F$54</f>
        <v>0.02</v>
      </c>
      <c r="AC26" s="997">
        <f t="shared" si="74"/>
        <v>0</v>
      </c>
      <c r="AD26" s="997">
        <f>IF(B26="",0,(IF($AE$1=authorities!$I$1,0,IF(L26&gt;AE26,VLOOKUP($AD$1,authorities!A:H,C26+1,FALSE),0)))*L26/$CK$3*H26)</f>
        <v>0</v>
      </c>
      <c r="AE26" s="997">
        <f>IF($AE$1=authorities!$I$1,0,$AE$1)</f>
        <v>0</v>
      </c>
      <c r="AF26" s="1002">
        <f>IF(input_engine_ox!$U$21&gt;A25,VLOOKUP(A26,input_engine_ox!$U$23:$Y$35,5,FALSE),0)</f>
        <v>0</v>
      </c>
      <c r="AG26" s="1002">
        <f>data!$C$44</f>
        <v>2900</v>
      </c>
      <c r="AH26" s="1007">
        <f t="shared" si="58"/>
        <v>1</v>
      </c>
      <c r="AI26" s="997">
        <f t="shared" si="75"/>
        <v>0</v>
      </c>
      <c r="AJ26" s="997" t="b">
        <f t="shared" ca="1" si="76"/>
        <v>0</v>
      </c>
      <c r="AK26" s="997"/>
      <c r="AL26" s="997">
        <f t="shared" ca="1" si="77"/>
        <v>0</v>
      </c>
      <c r="AM26" s="997"/>
      <c r="AN26" s="997"/>
      <c r="AO26" s="1002">
        <f t="shared" si="28"/>
        <v>0</v>
      </c>
      <c r="AP26" s="1002">
        <f ca="1">SUM($AO$3:AO26)</f>
        <v>2</v>
      </c>
      <c r="AQ26" s="1002">
        <f t="shared" si="78"/>
        <v>365</v>
      </c>
      <c r="AR26" s="997">
        <f t="shared" ca="1" si="30"/>
        <v>0</v>
      </c>
      <c r="AS26" s="5"/>
      <c r="AT26" s="997">
        <f t="shared" ca="1" si="79"/>
        <v>0</v>
      </c>
      <c r="AU26" s="997" t="b">
        <f t="shared" ca="1" si="59"/>
        <v>1</v>
      </c>
      <c r="AV26" s="997" t="b">
        <f t="shared" si="9"/>
        <v>0</v>
      </c>
      <c r="AW26" s="997" t="b">
        <f t="shared" si="60"/>
        <v>0</v>
      </c>
      <c r="AX26" s="997">
        <f t="shared" ca="1" si="80"/>
        <v>0</v>
      </c>
      <c r="AY26" s="2370">
        <f ca="1">AR26/reliefs!$E$7*AX26*-1</f>
        <v>0</v>
      </c>
      <c r="AZ26" s="1002">
        <f t="shared" ca="1" si="81"/>
        <v>0</v>
      </c>
      <c r="BA26" s="2370"/>
      <c r="BB26" s="997"/>
      <c r="BC26" s="997"/>
      <c r="BD26" s="997"/>
      <c r="BE26" s="997"/>
      <c r="BF26" s="1002"/>
      <c r="BG26" s="997">
        <f t="shared" ca="1" si="82"/>
        <v>0</v>
      </c>
      <c r="BH26" s="997">
        <f t="shared" si="83"/>
        <v>15000</v>
      </c>
      <c r="BI26" s="1001">
        <f t="shared" si="84"/>
        <v>0</v>
      </c>
      <c r="BJ26" s="997">
        <f t="shared" si="85"/>
        <v>5000000</v>
      </c>
      <c r="BK26" s="997">
        <f t="shared" si="86"/>
        <v>0.499</v>
      </c>
      <c r="BL26" s="997" t="b">
        <f t="shared" si="86"/>
        <v>1</v>
      </c>
      <c r="BM26" s="997" t="b">
        <f t="shared" si="86"/>
        <v>0</v>
      </c>
      <c r="BN26" s="997">
        <f t="shared" si="86"/>
        <v>600</v>
      </c>
      <c r="BO26" s="997">
        <f t="shared" ca="1" si="87"/>
        <v>0</v>
      </c>
      <c r="BP26" s="997"/>
      <c r="BQ26" s="997"/>
      <c r="BR26" s="997">
        <f t="shared" si="88"/>
        <v>1200</v>
      </c>
      <c r="BS26" s="997"/>
      <c r="BT26" s="997" t="b">
        <f t="shared" ca="1" si="89"/>
        <v>0</v>
      </c>
      <c r="BU26" s="997" t="b">
        <f t="shared" si="98"/>
        <v>1</v>
      </c>
      <c r="BV26" s="997" t="b">
        <f t="shared" si="90"/>
        <v>0</v>
      </c>
      <c r="BW26" s="997" t="b">
        <f t="shared" ca="1" si="91"/>
        <v>0</v>
      </c>
      <c r="BX26" s="997" t="b">
        <f t="shared" ca="1" si="92"/>
        <v>0</v>
      </c>
      <c r="BY26" s="997">
        <f t="shared" ca="1" si="93"/>
        <v>1200</v>
      </c>
      <c r="BZ26" s="997">
        <f t="shared" si="94"/>
        <v>365</v>
      </c>
      <c r="CA26" s="997">
        <f t="shared" si="95"/>
        <v>0</v>
      </c>
      <c r="CB26" s="997">
        <f t="shared" ca="1" si="96"/>
        <v>0</v>
      </c>
      <c r="CC26" s="997">
        <f t="shared" ca="1" si="48"/>
        <v>0</v>
      </c>
      <c r="CD26" s="997">
        <f t="shared" si="99"/>
        <v>1200</v>
      </c>
      <c r="CE26" s="1002" t="b">
        <f t="shared" si="50"/>
        <v>0</v>
      </c>
      <c r="CF26" s="5"/>
      <c r="CG26" s="5"/>
    </row>
    <row r="27" spans="1:111" customFormat="1" x14ac:dyDescent="0.35">
      <c r="A27" s="997">
        <f t="shared" si="61"/>
        <v>11</v>
      </c>
      <c r="B27" s="1003" t="str">
        <f>IF(input_engine_ox!$U$21&gt;A26,VLOOKUP(A27,input_engine_ox!$U$23:$Y$35,2,FALSE),"")</f>
        <v/>
      </c>
      <c r="C27" s="997" t="str">
        <f t="shared" si="62"/>
        <v/>
      </c>
      <c r="D27" s="1003">
        <f t="shared" si="63"/>
        <v>45747</v>
      </c>
      <c r="E27" s="1002" t="str">
        <f ca="1">IF(B27="",E26,VLOOKUP(B27,input_engine_ox!$B$23:$F$35,5,FALSE))</f>
        <v>nn</v>
      </c>
      <c r="F27" s="1003" t="str">
        <f t="shared" si="64"/>
        <v/>
      </c>
      <c r="G27" s="1003" t="str">
        <f>IF(B27="","",IF(#REF!=C27,#REF!-1,D27))</f>
        <v/>
      </c>
      <c r="H27" s="1002">
        <f t="shared" si="66"/>
        <v>0</v>
      </c>
      <c r="I27" s="997">
        <f t="shared" ca="1" si="53"/>
        <v>0</v>
      </c>
      <c r="J27" s="997">
        <f t="shared" ca="1" si="54"/>
        <v>0</v>
      </c>
      <c r="K27" s="997">
        <f t="shared" ca="1" si="55"/>
        <v>0</v>
      </c>
      <c r="L27" s="997" t="str">
        <f>IF(input_engine_ox!$U$21&gt;A26,VLOOKUP(A27,input_engine_ox!$U$23:$Y$36,3,FALSE),"")</f>
        <v/>
      </c>
      <c r="M27" s="1002" t="str">
        <f t="shared" ca="1" si="67"/>
        <v>up</v>
      </c>
      <c r="N27" s="1002" t="str">
        <f t="shared" si="97"/>
        <v/>
      </c>
      <c r="O27" s="1002" t="str">
        <f t="shared" si="56"/>
        <v/>
      </c>
      <c r="P27" s="1032">
        <f t="shared" si="68"/>
        <v>0.499</v>
      </c>
      <c r="Q27" s="997" t="str">
        <f t="shared" ca="1" si="69"/>
        <v/>
      </c>
      <c r="R27" s="997">
        <f t="shared" si="70"/>
        <v>0</v>
      </c>
      <c r="S27" s="1006">
        <f>IF(input_engine_ox!$U$21&gt;A26,VLOOKUP(A27,input_engine_ox!$U$23:$Y$35,4,FALSE),0)</f>
        <v>0</v>
      </c>
      <c r="T27" s="2442">
        <f t="shared" ca="1" si="71"/>
        <v>0</v>
      </c>
      <c r="U27" s="997" t="b">
        <f t="shared" si="72"/>
        <v>0</v>
      </c>
      <c r="V27" s="997" t="b">
        <f>advanced!$I$23="y"</f>
        <v>0</v>
      </c>
      <c r="W27" s="997">
        <f>data!$D$34</f>
        <v>15000</v>
      </c>
      <c r="X27" s="997" t="b">
        <f t="shared" si="23"/>
        <v>0</v>
      </c>
      <c r="Y27" s="997">
        <f t="shared" si="73"/>
        <v>0</v>
      </c>
      <c r="Z27" s="997">
        <f t="shared" si="57"/>
        <v>0</v>
      </c>
      <c r="AA27" s="1002">
        <f>data!$G$54</f>
        <v>75000</v>
      </c>
      <c r="AB27" s="1002">
        <f>data!$F$54</f>
        <v>0.02</v>
      </c>
      <c r="AC27" s="997">
        <f t="shared" si="74"/>
        <v>0</v>
      </c>
      <c r="AD27" s="997">
        <f>IF(B27="",0,(IF($AE$1=authorities!$I$1,0,IF(L27&gt;AE27,VLOOKUP($AD$1,authorities!A:H,C27+1,FALSE),0)))*L27/$CK$3*H27)</f>
        <v>0</v>
      </c>
      <c r="AE27" s="997">
        <f>IF($AE$1=authorities!$I$1,0,$AE$1)</f>
        <v>0</v>
      </c>
      <c r="AF27" s="1002">
        <f>IF(input_engine_ox!$U$21&gt;A26,VLOOKUP(A27,input_engine_ox!$U$23:$Y$35,5,FALSE),0)</f>
        <v>0</v>
      </c>
      <c r="AG27" s="1002">
        <f>data!$C$44</f>
        <v>2900</v>
      </c>
      <c r="AH27" s="1007">
        <f t="shared" si="58"/>
        <v>1</v>
      </c>
      <c r="AI27" s="997">
        <f t="shared" si="75"/>
        <v>0</v>
      </c>
      <c r="AJ27" s="997" t="b">
        <f t="shared" ca="1" si="76"/>
        <v>0</v>
      </c>
      <c r="AK27" s="997"/>
      <c r="AL27" s="997">
        <f t="shared" ca="1" si="77"/>
        <v>0</v>
      </c>
      <c r="AM27" s="997"/>
      <c r="AN27" s="997"/>
      <c r="AO27" s="1002">
        <f t="shared" si="28"/>
        <v>0</v>
      </c>
      <c r="AP27" s="1002">
        <f ca="1">SUM($AO$3:AO27)</f>
        <v>2</v>
      </c>
      <c r="AQ27" s="1002">
        <f t="shared" si="78"/>
        <v>365</v>
      </c>
      <c r="AR27" s="997">
        <f t="shared" ca="1" si="30"/>
        <v>0</v>
      </c>
      <c r="AS27" s="5"/>
      <c r="AT27" s="997">
        <f t="shared" ca="1" si="79"/>
        <v>0</v>
      </c>
      <c r="AU27" s="997" t="b">
        <f t="shared" ca="1" si="59"/>
        <v>1</v>
      </c>
      <c r="AV27" s="997" t="b">
        <f t="shared" si="9"/>
        <v>0</v>
      </c>
      <c r="AW27" s="997" t="b">
        <f t="shared" si="60"/>
        <v>0</v>
      </c>
      <c r="AX27" s="997">
        <f t="shared" ca="1" si="80"/>
        <v>0</v>
      </c>
      <c r="AY27" s="2370">
        <f ca="1">AR27/reliefs!$E$7*AX27*-1</f>
        <v>0</v>
      </c>
      <c r="AZ27" s="1002">
        <f t="shared" ca="1" si="81"/>
        <v>0</v>
      </c>
      <c r="BA27" s="2372" t="s">
        <v>2905</v>
      </c>
      <c r="BB27" s="1000" t="s">
        <v>2903</v>
      </c>
      <c r="BC27" s="997"/>
      <c r="BD27" s="1000" t="s">
        <v>2904</v>
      </c>
      <c r="BE27" s="997"/>
      <c r="BF27" s="1002"/>
      <c r="BG27" s="997">
        <f t="shared" ca="1" si="82"/>
        <v>0</v>
      </c>
      <c r="BH27" s="997">
        <f t="shared" si="83"/>
        <v>15000</v>
      </c>
      <c r="BI27" s="1001">
        <f t="shared" si="84"/>
        <v>0</v>
      </c>
      <c r="BJ27" s="997">
        <f t="shared" si="85"/>
        <v>5000000</v>
      </c>
      <c r="BK27" s="997">
        <f t="shared" si="86"/>
        <v>0.499</v>
      </c>
      <c r="BL27" s="997" t="b">
        <f t="shared" si="86"/>
        <v>1</v>
      </c>
      <c r="BM27" s="997" t="b">
        <f t="shared" si="86"/>
        <v>0</v>
      </c>
      <c r="BN27" s="997">
        <f t="shared" si="86"/>
        <v>600</v>
      </c>
      <c r="BO27" s="997">
        <f t="shared" ca="1" si="87"/>
        <v>0</v>
      </c>
      <c r="BP27" s="997"/>
      <c r="BQ27" s="997"/>
      <c r="BR27" s="997">
        <f t="shared" si="88"/>
        <v>1200</v>
      </c>
      <c r="BS27" s="997"/>
      <c r="BT27" s="997" t="b">
        <f t="shared" ca="1" si="89"/>
        <v>0</v>
      </c>
      <c r="BU27" s="997" t="b">
        <f t="shared" si="98"/>
        <v>1</v>
      </c>
      <c r="BV27" s="997" t="b">
        <f t="shared" si="90"/>
        <v>0</v>
      </c>
      <c r="BW27" s="997" t="b">
        <f t="shared" ca="1" si="91"/>
        <v>0</v>
      </c>
      <c r="BX27" s="997" t="b">
        <f t="shared" ca="1" si="92"/>
        <v>0</v>
      </c>
      <c r="BY27" s="997">
        <f t="shared" ca="1" si="93"/>
        <v>1200</v>
      </c>
      <c r="BZ27" s="997">
        <f t="shared" si="94"/>
        <v>365</v>
      </c>
      <c r="CA27" s="997">
        <f t="shared" si="95"/>
        <v>0</v>
      </c>
      <c r="CB27" s="997">
        <f t="shared" ca="1" si="96"/>
        <v>0</v>
      </c>
      <c r="CC27" s="997">
        <f t="shared" ca="1" si="48"/>
        <v>0</v>
      </c>
      <c r="CD27" s="997">
        <f t="shared" si="99"/>
        <v>1200</v>
      </c>
      <c r="CE27" s="1002" t="b">
        <f t="shared" si="50"/>
        <v>0</v>
      </c>
      <c r="CF27" s="5"/>
      <c r="CG27" s="5"/>
    </row>
    <row r="28" spans="1:111" customFormat="1" x14ac:dyDescent="0.35">
      <c r="P28" s="1042"/>
      <c r="T28" s="2445">
        <f ca="1">ROUND(SUM(T16:T27),2)</f>
        <v>0</v>
      </c>
      <c r="U28" s="1008">
        <f ca="1">U16+U17+U18+U19+U20+U21+U22+U23+U24+U25+U26+U27</f>
        <v>0</v>
      </c>
      <c r="AI28" s="1009">
        <f ca="1">SUM(AI16:AI27)</f>
        <v>1</v>
      </c>
      <c r="AJ28" s="1002">
        <f ca="1">AJ27+AJ26+AJ25+AJ24+AJ23+AJ22+AJ21+AJ20+AJ19+AJ18+AJ17+AJ16</f>
        <v>0</v>
      </c>
      <c r="AK28" s="997" t="str">
        <f ca="1">IF(AJ28=12,"Phased",IF(AJ28=0,"True","***"))</f>
        <v>True</v>
      </c>
      <c r="AL28" s="1002">
        <f ca="1">SUM(AL16:AL27)</f>
        <v>0</v>
      </c>
      <c r="AM28" s="1010">
        <f ca="1">IF(AL28&lt;1,AL28,INT(AL28))</f>
        <v>0</v>
      </c>
      <c r="AN28" s="1010" t="str">
        <f ca="1">IF(AL28-AM28&lt;&gt;0,"N/J + T",IF(AND(0&lt;AL28,AL28&lt;1),"P + T",IF(AL28&gt;=1,"N/J","")))</f>
        <v/>
      </c>
      <c r="AO28" s="5"/>
      <c r="AP28" s="1002">
        <f ca="1">SUM($AO$3:AO28)</f>
        <v>2</v>
      </c>
      <c r="AQ28" s="5"/>
      <c r="AR28" s="997"/>
      <c r="AS28" s="5"/>
      <c r="AT28" s="5"/>
      <c r="AU28" s="5"/>
      <c r="AV28" s="5"/>
      <c r="AW28" s="5"/>
      <c r="AX28" s="5"/>
      <c r="AY28" s="2371">
        <f ca="1">IF(SUM(AY16:AY27)&lt;BA28,BA28,SUM(AY16:AY27))</f>
        <v>0</v>
      </c>
      <c r="AZ28" s="5"/>
      <c r="BA28" s="2371">
        <f ca="1">MIN(BB28,BD28)*-1</f>
        <v>-110000</v>
      </c>
      <c r="BB28" s="15">
        <f ca="1">BC28-BA15</f>
        <v>315000</v>
      </c>
      <c r="BC28" s="15">
        <f>reliefs!E16</f>
        <v>315000</v>
      </c>
      <c r="BD28" s="15">
        <f>reliefs!E15</f>
        <v>110000</v>
      </c>
      <c r="BE28" s="5"/>
      <c r="BF28" s="5"/>
      <c r="BG28" s="1002">
        <f ca="1">SUM(BG16:BG27)+0.0000001</f>
        <v>9.9999999999999995E-8</v>
      </c>
      <c r="BH28" s="997">
        <f t="shared" si="83"/>
        <v>15000</v>
      </c>
      <c r="BI28" s="1001">
        <f t="shared" si="84"/>
        <v>0</v>
      </c>
      <c r="BJ28" s="997">
        <f t="shared" si="85"/>
        <v>5000000</v>
      </c>
      <c r="BK28" s="997">
        <f t="shared" ref="BK28:BM34" si="100">BK27</f>
        <v>0.499</v>
      </c>
      <c r="BL28" s="997" t="b">
        <f t="shared" si="100"/>
        <v>1</v>
      </c>
      <c r="BM28" s="997" t="b">
        <f t="shared" si="100"/>
        <v>0</v>
      </c>
      <c r="BN28" s="5"/>
      <c r="BO28" s="5"/>
      <c r="BP28" s="5"/>
      <c r="BQ28" s="5"/>
      <c r="BR28" s="997"/>
      <c r="BS28" s="5"/>
      <c r="BT28" s="997"/>
      <c r="BU28" s="997"/>
      <c r="BV28" s="997"/>
      <c r="BW28" s="997" t="b">
        <f ca="1">AND(BW27=TRUE,BV28=TRUE)</f>
        <v>0</v>
      </c>
      <c r="BX28" s="997" t="b">
        <f t="shared" ca="1" si="92"/>
        <v>0</v>
      </c>
      <c r="BY28" s="5"/>
      <c r="BZ28" s="5"/>
      <c r="CA28" s="5"/>
      <c r="CB28" s="5"/>
      <c r="CC28" s="5"/>
      <c r="CD28" s="5"/>
      <c r="CE28" s="1002" t="b">
        <f t="shared" si="50"/>
        <v>0</v>
      </c>
      <c r="CF28" s="5"/>
      <c r="CG28" s="5"/>
    </row>
    <row r="29" spans="1:111" customFormat="1" x14ac:dyDescent="0.35">
      <c r="A29" s="997">
        <v>0</v>
      </c>
      <c r="B29" s="1003">
        <f>CH4</f>
        <v>45748</v>
      </c>
      <c r="C29" s="997">
        <f>IF(OR(B29=0,B29=""),"",3)</f>
        <v>3</v>
      </c>
      <c r="D29" s="1003">
        <f>$CJ$4</f>
        <v>46112</v>
      </c>
      <c r="E29" s="1002" t="str">
        <f ca="1">IF(B29=B30,E30,OFFSET(E15,AI28,0))</f>
        <v>nn</v>
      </c>
      <c r="F29" s="1003">
        <f>B29</f>
        <v>45748</v>
      </c>
      <c r="G29" s="1003">
        <f>IF(B29="","",IF(C30=C29,F30-1,D29))</f>
        <v>46112</v>
      </c>
      <c r="H29" s="1002">
        <f>IF(B29&lt;&gt;"",G29-F29+1,0)</f>
        <v>365</v>
      </c>
      <c r="I29" s="997">
        <f t="shared" ref="I29:I40" ca="1" si="101">IF(AP29&gt;0,K29*P29,HLOOKUP(E29,$CM$1:$CP$9,1+$C$29,FALSE))</f>
        <v>0</v>
      </c>
      <c r="J29" s="997">
        <f t="shared" ref="J29:J40" ca="1" si="102">I29/$CK$4</f>
        <v>0</v>
      </c>
      <c r="K29" s="997">
        <f t="shared" ref="K29:K40" ca="1" si="103">HLOOKUP(E29,$CM$1:$CP$10,10,FALSE)</f>
        <v>0</v>
      </c>
      <c r="L29" s="997">
        <f ca="1">IF(B29=B30,L30,OFFSET(L15,AI28,0))</f>
        <v>0</v>
      </c>
      <c r="M29" s="1002" t="str">
        <f ca="1">IF(L29&lt;K29,"down","up")</f>
        <v>up</v>
      </c>
      <c r="N29" s="1002">
        <f ca="1">IF(OR(B29="",K29=0),0,IF(M29="down",J29*L29/K29*H29,0))</f>
        <v>0</v>
      </c>
      <c r="O29" s="1002">
        <f t="shared" ref="O29:O40" ca="1" si="104">IF(B29="","",IF(M29="up",((J29*H29)+((L29-K29)*P29/$CK$4*H29)),0))</f>
        <v>0</v>
      </c>
      <c r="P29" s="1032">
        <f>$CL$4</f>
        <v>0.499</v>
      </c>
      <c r="Q29" s="997">
        <f ca="1">IF(M29="down",N29,O29)</f>
        <v>0</v>
      </c>
      <c r="R29" s="997">
        <f ca="1">IF(B29="",0,IF(U29=TRUE,(Q29/AH29)+AC29+(AD29/AH29),(Q29)+Y29+Z29+AC29+AD29))</f>
        <v>0</v>
      </c>
      <c r="S29" s="1006">
        <f ca="1">IF(B29=B30,S30,OFFSET(S15,AI28,0))</f>
        <v>1</v>
      </c>
      <c r="T29" s="2442">
        <f ca="1">$CV$1*(IF(AND(AF29="y",L29&lt;AG29),0,R29*S29))+CB29+AZ29</f>
        <v>0</v>
      </c>
      <c r="U29" s="997" t="b">
        <f ca="1">AND(V29=TRUE,L29&lt;=W29,AF29="n",X29=FALSE)</f>
        <v>0</v>
      </c>
      <c r="V29" s="997" t="b">
        <f>advanced!$I$24="y"</f>
        <v>0</v>
      </c>
      <c r="W29" s="997">
        <f>data!$D$35</f>
        <v>15000</v>
      </c>
      <c r="X29" s="997" t="b">
        <f t="shared" si="23"/>
        <v>0</v>
      </c>
      <c r="Y29" s="997">
        <f ca="1">IF(B29="",0,IF(OR(L29&lt;$CV$4,U29=TRUE,BX29=TRUE),0,L29*$CS$4/$CK$4*H29))</f>
        <v>0</v>
      </c>
      <c r="Z29" s="997">
        <f t="shared" ref="Z29:Z40" ca="1" si="105">IF(B29="",0,IF(AND($Z$2=TRUE,L29&gt;AA29),L29*AB29*H29/AQ29,0))</f>
        <v>0</v>
      </c>
      <c r="AA29" s="1002">
        <f>data!$G$55</f>
        <v>75000</v>
      </c>
      <c r="AB29" s="1002">
        <f>data!$F$55</f>
        <v>0.02</v>
      </c>
      <c r="AC29" s="997">
        <f ca="1">IF(B29="",0,L29*($CQ$4-IF(L29&lt;$CV$4,CW$4,0))/$CK$4*H29)*$AC$2/IF(U29=TRUE,AH29,1)</f>
        <v>0</v>
      </c>
      <c r="AD29" s="997">
        <f ca="1">IF(B29="",0,(IF($AE$1=authorities!$I$1,0,IF(L29&gt;AE29,VLOOKUP($AD$1,authorities!A:H,C29+1,FALSE),0)))*L29/$CK$4*H29)</f>
        <v>0</v>
      </c>
      <c r="AE29" s="997">
        <f>IF($AE$1=authorities!$I$1,0,$AE$1)</f>
        <v>0</v>
      </c>
      <c r="AF29" s="1006" t="str">
        <f ca="1">IF(B29=B30,AF30,OFFSET(AF15,AI28,0))</f>
        <v>n</v>
      </c>
      <c r="AG29" s="1002">
        <f>data!$C$45</f>
        <v>2900</v>
      </c>
      <c r="AH29" s="1007">
        <f t="shared" ref="AH29:AH40" ca="1" si="106">IF(L29&lt;=$CT$4,5000000,IF(L29&gt;$CU$4,1,IF(MID((($CU$4-$CT$4)/(L29-$CT$4)),6,1)="5",ROUND((($CU$4-$CT$4)/(L29-$CT$4))-0.0001,3),ROUND(($CU$4-$CT$4)/(L29-$CT$4),3))))</f>
        <v>5000000</v>
      </c>
      <c r="AI29" s="997">
        <f ca="1">IF(L29&lt;&gt;"",1,0)</f>
        <v>1</v>
      </c>
      <c r="AJ29" s="997" t="b">
        <f ca="1">IF(AP29&gt;0,FALSE,HLOOKUP(E29,$CM$1:$CP$17,$AJ$1+3,FALSE))</f>
        <v>0</v>
      </c>
      <c r="AK29" s="997"/>
      <c r="AL29" s="997">
        <f ca="1">IF(OR(H29=0,F29="",K29=L29,AJ29=FALSE),0,IF(L29&lt;K29,1,0.01))</f>
        <v>0</v>
      </c>
      <c r="AM29" s="997"/>
      <c r="AN29" s="997"/>
      <c r="AO29" s="1002">
        <f t="shared" ref="AO29:AO40" ca="1" si="107">IF(L29=0,1,0)</f>
        <v>1</v>
      </c>
      <c r="AP29" s="1002">
        <f ca="1">SUM($AO$3:AO29)</f>
        <v>3</v>
      </c>
      <c r="AQ29" s="1002">
        <f>$CK$4</f>
        <v>365</v>
      </c>
      <c r="AR29" s="997">
        <f t="shared" ca="1" si="30"/>
        <v>0</v>
      </c>
      <c r="AS29" s="1002"/>
      <c r="AT29" s="997">
        <f ca="1">L29</f>
        <v>0</v>
      </c>
      <c r="AU29" s="997" t="b">
        <f t="shared" ref="AU29:AU40" ca="1" si="108">AT29&lt;$AU$1</f>
        <v>1</v>
      </c>
      <c r="AV29" s="997" t="b">
        <f t="shared" si="9"/>
        <v>0</v>
      </c>
      <c r="AW29" s="997" t="b">
        <f t="shared" ref="AW29:AW40" ca="1" si="109">AF29="n"</f>
        <v>1</v>
      </c>
      <c r="AX29" s="997">
        <f ca="1">AU29*AV29*AW29*IF(S29=0,0,1)</f>
        <v>0</v>
      </c>
      <c r="AY29" s="2370">
        <f ca="1">AR29/reliefs!$F$7*AX29*-1</f>
        <v>0</v>
      </c>
      <c r="AZ29" s="1002">
        <f ca="1">$AY$41/$BG$41*H29*AX29</f>
        <v>0</v>
      </c>
      <c r="BA29" s="2370"/>
      <c r="BB29" s="997"/>
      <c r="BC29" s="997"/>
      <c r="BD29" s="997"/>
      <c r="BE29" s="997"/>
      <c r="BF29" s="1002"/>
      <c r="BG29" s="997">
        <f ca="1">H29*AX29</f>
        <v>0</v>
      </c>
      <c r="BH29" s="997">
        <f t="shared" si="83"/>
        <v>15000</v>
      </c>
      <c r="BI29" s="1001">
        <f t="shared" si="84"/>
        <v>0</v>
      </c>
      <c r="BJ29" s="997">
        <f t="shared" si="85"/>
        <v>5000000</v>
      </c>
      <c r="BK29" s="997">
        <f t="shared" si="100"/>
        <v>0.499</v>
      </c>
      <c r="BL29" s="997" t="b">
        <f t="shared" si="100"/>
        <v>1</v>
      </c>
      <c r="BM29" s="997" t="b">
        <f t="shared" si="100"/>
        <v>0</v>
      </c>
      <c r="BN29" s="997">
        <f>CD27</f>
        <v>1200</v>
      </c>
      <c r="BO29" s="997">
        <f t="shared" ref="BO29:BO40" ca="1" si="110">I29/IF(U29=TRUE,AH29,1)</f>
        <v>0</v>
      </c>
      <c r="BP29" s="997"/>
      <c r="BQ29" s="997"/>
      <c r="BR29" s="997">
        <f t="shared" si="88"/>
        <v>1800</v>
      </c>
      <c r="BS29" s="997"/>
      <c r="BT29" s="997" t="b">
        <f ca="1">BO29&gt;BR29</f>
        <v>0</v>
      </c>
      <c r="BU29" s="997" t="b">
        <f>BU27</f>
        <v>1</v>
      </c>
      <c r="BV29" s="997" t="b">
        <f ca="1">AW29</f>
        <v>1</v>
      </c>
      <c r="BW29" s="997" t="b">
        <f ca="1">BV29</f>
        <v>1</v>
      </c>
      <c r="BX29" s="997" t="b">
        <f t="shared" ca="1" si="92"/>
        <v>0</v>
      </c>
      <c r="BY29" s="997">
        <f t="shared" ref="BY29:BY40" ca="1" si="111">(BR29-BO29)</f>
        <v>1800</v>
      </c>
      <c r="BZ29" s="997">
        <f t="shared" ref="BZ29:BZ40" si="112">AQ29</f>
        <v>365</v>
      </c>
      <c r="CA29" s="997">
        <f>H29</f>
        <v>365</v>
      </c>
      <c r="CB29" s="997">
        <f ca="1">BY29/BZ29*CA29*BX29</f>
        <v>0</v>
      </c>
      <c r="CC29" s="997">
        <f t="shared" ref="CC29:CC40" ca="1" si="113">CB29</f>
        <v>0</v>
      </c>
      <c r="CD29" s="997"/>
      <c r="CE29" s="1002" t="b">
        <f t="shared" si="50"/>
        <v>0</v>
      </c>
      <c r="CF29" s="5"/>
      <c r="CG29" s="5"/>
    </row>
    <row r="30" spans="1:111" customFormat="1" x14ac:dyDescent="0.35">
      <c r="A30" s="997">
        <f t="shared" ref="A30:A40" si="114">A29+1</f>
        <v>1</v>
      </c>
      <c r="B30" s="1003" t="str">
        <f>IF(input_engine_ox!$Z$21&gt;A29,VLOOKUP(A30,input_engine_ox!$Z$23:$AD$35,2,FALSE),"")</f>
        <v/>
      </c>
      <c r="C30" s="997" t="str">
        <f t="shared" ref="C30:C40" si="115">IF(OR(B30=0,B30=""),"",3)</f>
        <v/>
      </c>
      <c r="D30" s="1003">
        <f t="shared" ref="D30:D40" si="116">$CJ$4</f>
        <v>46112</v>
      </c>
      <c r="E30" s="1002" t="str">
        <f ca="1">IF(B30="",E29,VLOOKUP(B30,input_engine_ox!$B$23:$F$35,5,FALSE))</f>
        <v>nn</v>
      </c>
      <c r="F30" s="1003" t="str">
        <f t="shared" ref="F30:F40" si="117">B30</f>
        <v/>
      </c>
      <c r="G30" s="1003" t="str">
        <f t="shared" ref="G30:G39" si="118">IF(B30="","",IF(C31=C30,F31-1,D30))</f>
        <v/>
      </c>
      <c r="H30" s="1002">
        <f t="shared" ref="H30:H40" si="119">IF(B30&lt;&gt;"",G30-F30+1,0)</f>
        <v>0</v>
      </c>
      <c r="I30" s="997">
        <f t="shared" ca="1" si="101"/>
        <v>0</v>
      </c>
      <c r="J30" s="997">
        <f t="shared" ca="1" si="102"/>
        <v>0</v>
      </c>
      <c r="K30" s="997">
        <f t="shared" ca="1" si="103"/>
        <v>0</v>
      </c>
      <c r="L30" s="997" t="str">
        <f>IF(input_engine_ox!$Z$21&gt;A29,VLOOKUP(A30,input_engine_ox!$Z$23:$AD$36,3,FALSE),"")</f>
        <v/>
      </c>
      <c r="M30" s="1002" t="str">
        <f t="shared" ref="M30:M40" ca="1" si="120">IF(L30&lt;K30,"down","up")</f>
        <v>up</v>
      </c>
      <c r="N30" s="1002" t="str">
        <f>IF(B30="","",IF(M30="down",J30*L30/K30*H30,0))</f>
        <v/>
      </c>
      <c r="O30" s="1002" t="str">
        <f t="shared" si="104"/>
        <v/>
      </c>
      <c r="P30" s="1032">
        <f t="shared" ref="P30:P40" si="121">$CL$4</f>
        <v>0.499</v>
      </c>
      <c r="Q30" s="997" t="str">
        <f t="shared" ref="Q30:Q40" ca="1" si="122">IF(M30="down",N30,O30)</f>
        <v/>
      </c>
      <c r="R30" s="997">
        <f t="shared" ref="R30:R40" si="123">IF(B30="",0,IF(U30=TRUE,(Q30/AH30)+AC30+(AD30/AH30),(Q30)+Y30+Z30+AC30+AD30))</f>
        <v>0</v>
      </c>
      <c r="S30" s="1006">
        <f>IF(input_engine_ox!$Z$21&gt;A29,VLOOKUP(A30,input_engine_ox!$Z$23:$AD$35,4,FALSE),0)</f>
        <v>0</v>
      </c>
      <c r="T30" s="2442">
        <f t="shared" ref="T30:T40" ca="1" si="124">$CV$1*(IF(AND(AF30="y",L30&lt;AG30),0,R30*S30))+CB30+AZ30</f>
        <v>0</v>
      </c>
      <c r="U30" s="997" t="b">
        <f t="shared" ref="U30:U40" si="125">AND(V30=TRUE,L30&lt;=W30,AF30="n",X30=FALSE)</f>
        <v>0</v>
      </c>
      <c r="V30" s="997" t="b">
        <f>advanced!$I$24="y"</f>
        <v>0</v>
      </c>
      <c r="W30" s="997">
        <f>data!$D$35</f>
        <v>15000</v>
      </c>
      <c r="X30" s="997" t="b">
        <f t="shared" si="23"/>
        <v>0</v>
      </c>
      <c r="Y30" s="997">
        <f t="shared" ref="Y30:Y40" si="126">IF(B30="",0,IF(OR(L30&lt;$CV$4,U30=TRUE,BX30=TRUE),0,L30*$CS$4/$CK$4*H30))</f>
        <v>0</v>
      </c>
      <c r="Z30" s="997">
        <f t="shared" si="105"/>
        <v>0</v>
      </c>
      <c r="AA30" s="1002">
        <f>data!$G$55</f>
        <v>75000</v>
      </c>
      <c r="AB30" s="1002">
        <f>data!$F$55</f>
        <v>0.02</v>
      </c>
      <c r="AC30" s="997">
        <f t="shared" ref="AC30:AC40" si="127">IF(B30="",0,L30*($CQ$4-IF(L30&lt;$CV$4,CW$4,0))/$CK$4*H30)*$AC$2/IF(U30=TRUE,AH30,1)</f>
        <v>0</v>
      </c>
      <c r="AD30" s="997">
        <f>IF(B30="",0,(IF($AE$1=authorities!$I$1,0,IF(L30&gt;AE30,VLOOKUP($AD$1,authorities!A:H,C30+1,FALSE),0)))*L30/$CK$4*H30)</f>
        <v>0</v>
      </c>
      <c r="AE30" s="997">
        <f>IF($AE$1=authorities!$I$1,0,$AE$1)</f>
        <v>0</v>
      </c>
      <c r="AF30" s="1002">
        <f>IF(input_engine_ox!$Z$21&gt;A29,VLOOKUP(A30,input_engine_ox!$Z$23:$AD$35,5,FALSE),0)</f>
        <v>0</v>
      </c>
      <c r="AG30" s="1002">
        <f>data!$C$45</f>
        <v>2900</v>
      </c>
      <c r="AH30" s="1007">
        <f t="shared" si="106"/>
        <v>1</v>
      </c>
      <c r="AI30" s="997">
        <f t="shared" ref="AI30:AI40" si="128">IF(L30&lt;&gt;"",1,0)</f>
        <v>0</v>
      </c>
      <c r="AJ30" s="997" t="b">
        <f t="shared" ref="AJ30:AJ40" ca="1" si="129">IF(AP30&gt;0,FALSE,HLOOKUP(E30,$CM$1:$CP$17,$AJ$1+3,FALSE))</f>
        <v>0</v>
      </c>
      <c r="AK30" s="997"/>
      <c r="AL30" s="997">
        <f t="shared" ref="AL30:AL40" ca="1" si="130">IF(OR(H30=0,F30="",K30=L30,AJ30=FALSE),0,IF(L30&lt;K30,1,0.01))</f>
        <v>0</v>
      </c>
      <c r="AM30" s="997"/>
      <c r="AN30" s="997"/>
      <c r="AO30" s="1002">
        <f t="shared" si="107"/>
        <v>0</v>
      </c>
      <c r="AP30" s="1002">
        <f ca="1">SUM($AO$3:AO30)</f>
        <v>3</v>
      </c>
      <c r="AQ30" s="1002">
        <f t="shared" ref="AQ30:AQ40" si="131">$CK$4</f>
        <v>365</v>
      </c>
      <c r="AR30" s="997">
        <f t="shared" ca="1" si="30"/>
        <v>0</v>
      </c>
      <c r="AS30" s="1002"/>
      <c r="AT30" s="997">
        <f t="shared" ref="AT30:AT40" ca="1" si="132">IF(L30="",AT29,L30)</f>
        <v>0</v>
      </c>
      <c r="AU30" s="997" t="b">
        <f t="shared" ca="1" si="108"/>
        <v>1</v>
      </c>
      <c r="AV30" s="997" t="b">
        <f t="shared" si="9"/>
        <v>0</v>
      </c>
      <c r="AW30" s="997" t="b">
        <f t="shared" si="109"/>
        <v>0</v>
      </c>
      <c r="AX30" s="997">
        <f t="shared" ref="AX30:AX40" ca="1" si="133">AU30*AV30*AW30*IF(S30=0,0,1)</f>
        <v>0</v>
      </c>
      <c r="AY30" s="2370">
        <f ca="1">AR30/reliefs!$F$7*AX30*-1</f>
        <v>0</v>
      </c>
      <c r="AZ30" s="1002">
        <f t="shared" ref="AZ30:AZ40" ca="1" si="134">$AY$41/$BG$41*H30*AX30</f>
        <v>0</v>
      </c>
      <c r="BA30" s="2370"/>
      <c r="BB30" s="997"/>
      <c r="BC30" s="997"/>
      <c r="BD30" s="997"/>
      <c r="BE30" s="997"/>
      <c r="BF30" s="1002"/>
      <c r="BG30" s="997">
        <f t="shared" ref="BG30:BG40" ca="1" si="135">H30*AX30</f>
        <v>0</v>
      </c>
      <c r="BH30" s="997">
        <f t="shared" si="83"/>
        <v>15000</v>
      </c>
      <c r="BI30" s="1001">
        <f t="shared" si="84"/>
        <v>0</v>
      </c>
      <c r="BJ30" s="997">
        <f t="shared" si="85"/>
        <v>5000000</v>
      </c>
      <c r="BK30" s="997">
        <f t="shared" si="100"/>
        <v>0.499</v>
      </c>
      <c r="BL30" s="997" t="b">
        <f t="shared" si="100"/>
        <v>1</v>
      </c>
      <c r="BM30" s="997" t="b">
        <f t="shared" si="100"/>
        <v>0</v>
      </c>
      <c r="BN30" s="997">
        <f>BN29</f>
        <v>1200</v>
      </c>
      <c r="BO30" s="997">
        <f t="shared" ca="1" si="110"/>
        <v>0</v>
      </c>
      <c r="BP30" s="997"/>
      <c r="BQ30" s="997"/>
      <c r="BR30" s="997">
        <f t="shared" si="88"/>
        <v>1800</v>
      </c>
      <c r="BS30" s="997"/>
      <c r="BT30" s="997" t="b">
        <f t="shared" ref="BT30:BT40" ca="1" si="136">BO30&gt;BR30</f>
        <v>0</v>
      </c>
      <c r="BU30" s="997" t="b">
        <f>BU29</f>
        <v>1</v>
      </c>
      <c r="BV30" s="997" t="b">
        <f t="shared" ref="BV30:BV40" si="137">AW30</f>
        <v>0</v>
      </c>
      <c r="BW30" s="997" t="b">
        <f t="shared" ref="BW30:BW40" ca="1" si="138">AND(BW29=TRUE,BV30=TRUE)</f>
        <v>0</v>
      </c>
      <c r="BX30" s="997" t="b">
        <f t="shared" ca="1" si="92"/>
        <v>0</v>
      </c>
      <c r="BY30" s="997">
        <f t="shared" ca="1" si="111"/>
        <v>1800</v>
      </c>
      <c r="BZ30" s="997">
        <f t="shared" si="112"/>
        <v>365</v>
      </c>
      <c r="CA30" s="997">
        <f t="shared" ref="CA30:CA40" si="139">H30</f>
        <v>0</v>
      </c>
      <c r="CB30" s="997">
        <f t="shared" ref="CB30:CB40" ca="1" si="140">BY30/BZ30*CA30*BX30</f>
        <v>0</v>
      </c>
      <c r="CC30" s="997">
        <f t="shared" ca="1" si="113"/>
        <v>0</v>
      </c>
      <c r="CD30" s="997"/>
      <c r="CE30" s="1002" t="b">
        <f t="shared" si="50"/>
        <v>0</v>
      </c>
      <c r="CF30" s="5"/>
      <c r="CG30" s="5"/>
    </row>
    <row r="31" spans="1:111" customFormat="1" x14ac:dyDescent="0.35">
      <c r="A31" s="997">
        <f t="shared" si="114"/>
        <v>2</v>
      </c>
      <c r="B31" s="1003" t="str">
        <f>IF(input_engine_ox!$Z$21&gt;A30,VLOOKUP(A31,input_engine_ox!$Z$23:$AD$35,2,FALSE),"")</f>
        <v/>
      </c>
      <c r="C31" s="997" t="str">
        <f t="shared" si="115"/>
        <v/>
      </c>
      <c r="D31" s="1003">
        <f t="shared" si="116"/>
        <v>46112</v>
      </c>
      <c r="E31" s="1002" t="str">
        <f ca="1">IF(B31="",E30,VLOOKUP(B31,input_engine_ox!$B$23:$F$35,5,FALSE))</f>
        <v>nn</v>
      </c>
      <c r="F31" s="1003" t="str">
        <f t="shared" si="117"/>
        <v/>
      </c>
      <c r="G31" s="1003" t="str">
        <f t="shared" si="118"/>
        <v/>
      </c>
      <c r="H31" s="1002">
        <f t="shared" si="119"/>
        <v>0</v>
      </c>
      <c r="I31" s="997">
        <f t="shared" ca="1" si="101"/>
        <v>0</v>
      </c>
      <c r="J31" s="997">
        <f t="shared" ca="1" si="102"/>
        <v>0</v>
      </c>
      <c r="K31" s="997">
        <f t="shared" ca="1" si="103"/>
        <v>0</v>
      </c>
      <c r="L31" s="997" t="str">
        <f>IF(input_engine_ox!$Z$21&gt;A30,VLOOKUP(A31,input_engine_ox!$Z$23:$AD$36,3,FALSE),"")</f>
        <v/>
      </c>
      <c r="M31" s="1002" t="str">
        <f t="shared" ca="1" si="120"/>
        <v>up</v>
      </c>
      <c r="N31" s="1002" t="str">
        <f t="shared" ref="N31:N40" si="141">IF(B31="","",IF(M31="down",J31*L31/K31*H31,0))</f>
        <v/>
      </c>
      <c r="O31" s="1002" t="str">
        <f t="shared" si="104"/>
        <v/>
      </c>
      <c r="P31" s="1032">
        <f t="shared" si="121"/>
        <v>0.499</v>
      </c>
      <c r="Q31" s="997" t="str">
        <f t="shared" ca="1" si="122"/>
        <v/>
      </c>
      <c r="R31" s="997">
        <f t="shared" si="123"/>
        <v>0</v>
      </c>
      <c r="S31" s="1006">
        <f>IF(input_engine_ox!$Z$21&gt;A30,VLOOKUP(A31,input_engine_ox!$Z$23:$AD$35,4,FALSE),0)</f>
        <v>0</v>
      </c>
      <c r="T31" s="2442">
        <f t="shared" ca="1" si="124"/>
        <v>0</v>
      </c>
      <c r="U31" s="997" t="b">
        <f t="shared" si="125"/>
        <v>0</v>
      </c>
      <c r="V31" s="997" t="b">
        <f>advanced!$I$24="y"</f>
        <v>0</v>
      </c>
      <c r="W31" s="997">
        <f>data!$D$35</f>
        <v>15000</v>
      </c>
      <c r="X31" s="997" t="b">
        <f t="shared" si="23"/>
        <v>0</v>
      </c>
      <c r="Y31" s="997">
        <f t="shared" si="126"/>
        <v>0</v>
      </c>
      <c r="Z31" s="997">
        <f t="shared" si="105"/>
        <v>0</v>
      </c>
      <c r="AA31" s="1002">
        <f>data!$G$55</f>
        <v>75000</v>
      </c>
      <c r="AB31" s="1002">
        <f>data!$F$55</f>
        <v>0.02</v>
      </c>
      <c r="AC31" s="997">
        <f t="shared" si="127"/>
        <v>0</v>
      </c>
      <c r="AD31" s="997">
        <f>IF(B31="",0,(IF($AE$1=authorities!$I$1,0,IF(L31&gt;AE31,VLOOKUP($AD$1,authorities!A:H,C31+1,FALSE),0)))*L31/$CK$4*H31)</f>
        <v>0</v>
      </c>
      <c r="AE31" s="997">
        <f>IF($AE$1=authorities!$I$1,0,$AE$1)</f>
        <v>0</v>
      </c>
      <c r="AF31" s="1002">
        <f>IF(input_engine_ox!$Z$21&gt;A30,VLOOKUP(A31,input_engine_ox!$Z$23:$AD$35,5,FALSE),0)</f>
        <v>0</v>
      </c>
      <c r="AG31" s="1002">
        <f>data!$C$45</f>
        <v>2900</v>
      </c>
      <c r="AH31" s="1007">
        <f t="shared" si="106"/>
        <v>1</v>
      </c>
      <c r="AI31" s="997">
        <f t="shared" si="128"/>
        <v>0</v>
      </c>
      <c r="AJ31" s="997" t="b">
        <f t="shared" ca="1" si="129"/>
        <v>0</v>
      </c>
      <c r="AK31" s="997"/>
      <c r="AL31" s="997">
        <f t="shared" ca="1" si="130"/>
        <v>0</v>
      </c>
      <c r="AM31" s="997"/>
      <c r="AN31" s="997"/>
      <c r="AO31" s="1002">
        <f t="shared" si="107"/>
        <v>0</v>
      </c>
      <c r="AP31" s="1002">
        <f ca="1">SUM($AO$3:AO31)</f>
        <v>3</v>
      </c>
      <c r="AQ31" s="1002">
        <f t="shared" si="131"/>
        <v>365</v>
      </c>
      <c r="AR31" s="997">
        <f t="shared" ca="1" si="30"/>
        <v>0</v>
      </c>
      <c r="AS31" s="1002"/>
      <c r="AT31" s="997">
        <f t="shared" ca="1" si="132"/>
        <v>0</v>
      </c>
      <c r="AU31" s="997" t="b">
        <f t="shared" ca="1" si="108"/>
        <v>1</v>
      </c>
      <c r="AV31" s="997" t="b">
        <f t="shared" si="9"/>
        <v>0</v>
      </c>
      <c r="AW31" s="997" t="b">
        <f t="shared" si="109"/>
        <v>0</v>
      </c>
      <c r="AX31" s="997">
        <f t="shared" ca="1" si="133"/>
        <v>0</v>
      </c>
      <c r="AY31" s="2370">
        <f ca="1">AR31/reliefs!$F$7*AX31*-1</f>
        <v>0</v>
      </c>
      <c r="AZ31" s="1002">
        <f t="shared" ca="1" si="134"/>
        <v>0</v>
      </c>
      <c r="BA31" s="2370"/>
      <c r="BB31" s="997"/>
      <c r="BC31" s="997"/>
      <c r="BD31" s="997"/>
      <c r="BE31" s="997"/>
      <c r="BF31" s="1002"/>
      <c r="BG31" s="997">
        <f t="shared" ca="1" si="135"/>
        <v>0</v>
      </c>
      <c r="BH31" s="997">
        <f t="shared" si="83"/>
        <v>15000</v>
      </c>
      <c r="BI31" s="1001">
        <f t="shared" si="84"/>
        <v>0</v>
      </c>
      <c r="BJ31" s="997">
        <f t="shared" si="85"/>
        <v>5000000</v>
      </c>
      <c r="BK31" s="997">
        <f t="shared" si="100"/>
        <v>0.499</v>
      </c>
      <c r="BL31" s="997" t="b">
        <f t="shared" si="100"/>
        <v>1</v>
      </c>
      <c r="BM31" s="997" t="b">
        <f t="shared" si="100"/>
        <v>0</v>
      </c>
      <c r="BN31" s="997">
        <f>BN30</f>
        <v>1200</v>
      </c>
      <c r="BO31" s="997">
        <f t="shared" ca="1" si="110"/>
        <v>0</v>
      </c>
      <c r="BP31" s="997"/>
      <c r="BQ31" s="997"/>
      <c r="BR31" s="997">
        <f t="shared" si="88"/>
        <v>1800</v>
      </c>
      <c r="BS31" s="997"/>
      <c r="BT31" s="997" t="b">
        <f t="shared" ca="1" si="136"/>
        <v>0</v>
      </c>
      <c r="BU31" s="997" t="b">
        <f t="shared" ref="BU31:BU40" si="142">BU30</f>
        <v>1</v>
      </c>
      <c r="BV31" s="997" t="b">
        <f t="shared" si="137"/>
        <v>0</v>
      </c>
      <c r="BW31" s="997" t="b">
        <f t="shared" ca="1" si="138"/>
        <v>0</v>
      </c>
      <c r="BX31" s="997" t="b">
        <f t="shared" ca="1" si="92"/>
        <v>0</v>
      </c>
      <c r="BY31" s="997">
        <f t="shared" ca="1" si="111"/>
        <v>1800</v>
      </c>
      <c r="BZ31" s="997">
        <f t="shared" si="112"/>
        <v>365</v>
      </c>
      <c r="CA31" s="997">
        <f t="shared" si="139"/>
        <v>0</v>
      </c>
      <c r="CB31" s="997">
        <f t="shared" ca="1" si="140"/>
        <v>0</v>
      </c>
      <c r="CC31" s="997">
        <f t="shared" ca="1" si="113"/>
        <v>0</v>
      </c>
      <c r="CD31" s="997"/>
      <c r="CE31" s="1002" t="b">
        <f t="shared" si="50"/>
        <v>0</v>
      </c>
      <c r="CF31" s="5"/>
      <c r="CG31" s="5"/>
    </row>
    <row r="32" spans="1:111" customFormat="1" x14ac:dyDescent="0.35">
      <c r="A32" s="997">
        <f t="shared" si="114"/>
        <v>3</v>
      </c>
      <c r="B32" s="1003" t="str">
        <f>IF(input_engine_ox!$Z$21&gt;A31,VLOOKUP(A32,input_engine_ox!$Z$23:$AD$35,2,FALSE),"")</f>
        <v/>
      </c>
      <c r="C32" s="997" t="str">
        <f t="shared" si="115"/>
        <v/>
      </c>
      <c r="D32" s="1003">
        <f t="shared" si="116"/>
        <v>46112</v>
      </c>
      <c r="E32" s="1002" t="str">
        <f ca="1">IF(B32="",E31,VLOOKUP(B32,input_engine_ox!$B$23:$F$35,5,FALSE))</f>
        <v>nn</v>
      </c>
      <c r="F32" s="1003" t="str">
        <f t="shared" si="117"/>
        <v/>
      </c>
      <c r="G32" s="1003" t="str">
        <f t="shared" si="118"/>
        <v/>
      </c>
      <c r="H32" s="1002">
        <f t="shared" si="119"/>
        <v>0</v>
      </c>
      <c r="I32" s="997">
        <f t="shared" ca="1" si="101"/>
        <v>0</v>
      </c>
      <c r="J32" s="997">
        <f t="shared" ca="1" si="102"/>
        <v>0</v>
      </c>
      <c r="K32" s="997">
        <f t="shared" ca="1" si="103"/>
        <v>0</v>
      </c>
      <c r="L32" s="997" t="str">
        <f>IF(input_engine_ox!$Z$21&gt;A31,VLOOKUP(A32,input_engine_ox!$Z$23:$AD$36,3,FALSE),"")</f>
        <v/>
      </c>
      <c r="M32" s="1002" t="str">
        <f t="shared" ca="1" si="120"/>
        <v>up</v>
      </c>
      <c r="N32" s="1002" t="str">
        <f t="shared" si="141"/>
        <v/>
      </c>
      <c r="O32" s="1002" t="str">
        <f t="shared" si="104"/>
        <v/>
      </c>
      <c r="P32" s="1032">
        <f t="shared" si="121"/>
        <v>0.499</v>
      </c>
      <c r="Q32" s="997" t="str">
        <f t="shared" ca="1" si="122"/>
        <v/>
      </c>
      <c r="R32" s="997">
        <f t="shared" si="123"/>
        <v>0</v>
      </c>
      <c r="S32" s="1006">
        <f>IF(input_engine_ox!$Z$21&gt;A31,VLOOKUP(A32,input_engine_ox!$Z$23:$AD$35,4,FALSE),0)</f>
        <v>0</v>
      </c>
      <c r="T32" s="2442">
        <f t="shared" ca="1" si="124"/>
        <v>0</v>
      </c>
      <c r="U32" s="997" t="b">
        <f t="shared" si="125"/>
        <v>0</v>
      </c>
      <c r="V32" s="997" t="b">
        <f>advanced!$I$24="y"</f>
        <v>0</v>
      </c>
      <c r="W32" s="997">
        <f>data!$D$35</f>
        <v>15000</v>
      </c>
      <c r="X32" s="997" t="b">
        <f t="shared" si="23"/>
        <v>0</v>
      </c>
      <c r="Y32" s="997">
        <f t="shared" si="126"/>
        <v>0</v>
      </c>
      <c r="Z32" s="997">
        <f t="shared" si="105"/>
        <v>0</v>
      </c>
      <c r="AA32" s="1002">
        <f>data!$G$55</f>
        <v>75000</v>
      </c>
      <c r="AB32" s="1002">
        <f>data!$F$55</f>
        <v>0.02</v>
      </c>
      <c r="AC32" s="997">
        <f t="shared" si="127"/>
        <v>0</v>
      </c>
      <c r="AD32" s="997">
        <f>IF(B32="",0,(IF($AE$1=authorities!$I$1,0,IF(L32&gt;AE32,VLOOKUP($AD$1,authorities!A:H,C32+1,FALSE),0)))*L32/$CK$4*H32)</f>
        <v>0</v>
      </c>
      <c r="AE32" s="997">
        <f>IF($AE$1=authorities!$I$1,0,$AE$1)</f>
        <v>0</v>
      </c>
      <c r="AF32" s="1002">
        <f>IF(input_engine_ox!$Z$21&gt;A31,VLOOKUP(A32,input_engine_ox!$Z$23:$AD$35,5,FALSE),0)</f>
        <v>0</v>
      </c>
      <c r="AG32" s="1002">
        <f>data!$C$45</f>
        <v>2900</v>
      </c>
      <c r="AH32" s="1007">
        <f t="shared" si="106"/>
        <v>1</v>
      </c>
      <c r="AI32" s="997">
        <f t="shared" si="128"/>
        <v>0</v>
      </c>
      <c r="AJ32" s="997" t="b">
        <f t="shared" ca="1" si="129"/>
        <v>0</v>
      </c>
      <c r="AK32" s="997"/>
      <c r="AL32" s="997">
        <f t="shared" ca="1" si="130"/>
        <v>0</v>
      </c>
      <c r="AM32" s="997"/>
      <c r="AN32" s="997"/>
      <c r="AO32" s="1002">
        <f t="shared" si="107"/>
        <v>0</v>
      </c>
      <c r="AP32" s="1002">
        <f ca="1">SUM($AO$3:AO32)</f>
        <v>3</v>
      </c>
      <c r="AQ32" s="1002">
        <f t="shared" si="131"/>
        <v>365</v>
      </c>
      <c r="AR32" s="997">
        <f t="shared" ca="1" si="30"/>
        <v>0</v>
      </c>
      <c r="AS32" s="1002"/>
      <c r="AT32" s="997">
        <f t="shared" ca="1" si="132"/>
        <v>0</v>
      </c>
      <c r="AU32" s="997" t="b">
        <f t="shared" ca="1" si="108"/>
        <v>1</v>
      </c>
      <c r="AV32" s="997" t="b">
        <f t="shared" si="9"/>
        <v>0</v>
      </c>
      <c r="AW32" s="997" t="b">
        <f t="shared" si="109"/>
        <v>0</v>
      </c>
      <c r="AX32" s="997">
        <f t="shared" ca="1" si="133"/>
        <v>0</v>
      </c>
      <c r="AY32" s="2370">
        <f ca="1">AR32/reliefs!$F$7*AX32*-1</f>
        <v>0</v>
      </c>
      <c r="AZ32" s="1002">
        <f t="shared" ca="1" si="134"/>
        <v>0</v>
      </c>
      <c r="BA32" s="2370"/>
      <c r="BB32" s="997"/>
      <c r="BC32" s="997"/>
      <c r="BD32" s="997"/>
      <c r="BE32" s="997"/>
      <c r="BF32" s="1002"/>
      <c r="BG32" s="997">
        <f t="shared" ca="1" si="135"/>
        <v>0</v>
      </c>
      <c r="BH32" s="997">
        <f t="shared" si="83"/>
        <v>15000</v>
      </c>
      <c r="BI32" s="1001">
        <f t="shared" si="84"/>
        <v>0</v>
      </c>
      <c r="BJ32" s="997">
        <f t="shared" si="85"/>
        <v>5000000</v>
      </c>
      <c r="BK32" s="997">
        <f t="shared" si="100"/>
        <v>0.499</v>
      </c>
      <c r="BL32" s="997" t="b">
        <f t="shared" si="100"/>
        <v>1</v>
      </c>
      <c r="BM32" s="997" t="b">
        <f t="shared" si="100"/>
        <v>0</v>
      </c>
      <c r="BN32" s="997">
        <f>BN31</f>
        <v>1200</v>
      </c>
      <c r="BO32" s="997">
        <f t="shared" ca="1" si="110"/>
        <v>0</v>
      </c>
      <c r="BP32" s="997"/>
      <c r="BQ32" s="997"/>
      <c r="BR32" s="997">
        <f t="shared" si="88"/>
        <v>1800</v>
      </c>
      <c r="BS32" s="997"/>
      <c r="BT32" s="997" t="b">
        <f t="shared" ca="1" si="136"/>
        <v>0</v>
      </c>
      <c r="BU32" s="997" t="b">
        <f t="shared" si="142"/>
        <v>1</v>
      </c>
      <c r="BV32" s="997" t="b">
        <f t="shared" si="137"/>
        <v>0</v>
      </c>
      <c r="BW32" s="997" t="b">
        <f t="shared" ca="1" si="138"/>
        <v>0</v>
      </c>
      <c r="BX32" s="997" t="b">
        <f t="shared" ca="1" si="92"/>
        <v>0</v>
      </c>
      <c r="BY32" s="997">
        <f t="shared" ca="1" si="111"/>
        <v>1800</v>
      </c>
      <c r="BZ32" s="997">
        <f t="shared" si="112"/>
        <v>365</v>
      </c>
      <c r="CA32" s="997">
        <f t="shared" si="139"/>
        <v>0</v>
      </c>
      <c r="CB32" s="997">
        <f t="shared" ca="1" si="140"/>
        <v>0</v>
      </c>
      <c r="CC32" s="997">
        <f t="shared" ca="1" si="113"/>
        <v>0</v>
      </c>
      <c r="CD32" s="997"/>
      <c r="CE32" s="1002" t="b">
        <f t="shared" si="50"/>
        <v>0</v>
      </c>
      <c r="CF32" s="5"/>
      <c r="CG32" s="5"/>
    </row>
    <row r="33" spans="1:85" customFormat="1" x14ac:dyDescent="0.35">
      <c r="A33" s="997">
        <f t="shared" si="114"/>
        <v>4</v>
      </c>
      <c r="B33" s="1003" t="str">
        <f>IF(input_engine_ox!$Z$21&gt;A32,VLOOKUP(A33,input_engine_ox!$Z$23:$AD$35,2,FALSE),"")</f>
        <v/>
      </c>
      <c r="C33" s="997" t="str">
        <f t="shared" si="115"/>
        <v/>
      </c>
      <c r="D33" s="1003">
        <f t="shared" si="116"/>
        <v>46112</v>
      </c>
      <c r="E33" s="1002" t="str">
        <f ca="1">IF(B33="",E32,VLOOKUP(B33,input_engine_ox!$B$23:$F$35,5,FALSE))</f>
        <v>nn</v>
      </c>
      <c r="F33" s="1003" t="str">
        <f t="shared" si="117"/>
        <v/>
      </c>
      <c r="G33" s="1003" t="str">
        <f t="shared" si="118"/>
        <v/>
      </c>
      <c r="H33" s="1002">
        <f t="shared" si="119"/>
        <v>0</v>
      </c>
      <c r="I33" s="997">
        <f t="shared" ca="1" si="101"/>
        <v>0</v>
      </c>
      <c r="J33" s="997">
        <f t="shared" ca="1" si="102"/>
        <v>0</v>
      </c>
      <c r="K33" s="997">
        <f t="shared" ca="1" si="103"/>
        <v>0</v>
      </c>
      <c r="L33" s="997" t="str">
        <f>IF(input_engine_ox!$Z$21&gt;A32,VLOOKUP(A33,input_engine_ox!$Z$23:$AD$36,3,FALSE),"")</f>
        <v/>
      </c>
      <c r="M33" s="1002" t="str">
        <f t="shared" ca="1" si="120"/>
        <v>up</v>
      </c>
      <c r="N33" s="1002" t="str">
        <f t="shared" si="141"/>
        <v/>
      </c>
      <c r="O33" s="1002" t="str">
        <f t="shared" si="104"/>
        <v/>
      </c>
      <c r="P33" s="1032">
        <f t="shared" si="121"/>
        <v>0.499</v>
      </c>
      <c r="Q33" s="997" t="str">
        <f t="shared" ca="1" si="122"/>
        <v/>
      </c>
      <c r="R33" s="997">
        <f t="shared" si="123"/>
        <v>0</v>
      </c>
      <c r="S33" s="1006">
        <f>IF(input_engine_ox!$Z$21&gt;A32,VLOOKUP(A33,input_engine_ox!$Z$23:$AD$35,4,FALSE),0)</f>
        <v>0</v>
      </c>
      <c r="T33" s="2442">
        <f t="shared" ca="1" si="124"/>
        <v>0</v>
      </c>
      <c r="U33" s="997" t="b">
        <f t="shared" si="125"/>
        <v>0</v>
      </c>
      <c r="V33" s="997" t="b">
        <f>advanced!$I$24="y"</f>
        <v>0</v>
      </c>
      <c r="W33" s="997">
        <f>data!$D$35</f>
        <v>15000</v>
      </c>
      <c r="X33" s="997" t="b">
        <f t="shared" si="23"/>
        <v>0</v>
      </c>
      <c r="Y33" s="997">
        <f t="shared" si="126"/>
        <v>0</v>
      </c>
      <c r="Z33" s="997">
        <f t="shared" si="105"/>
        <v>0</v>
      </c>
      <c r="AA33" s="1002">
        <f>data!$G$55</f>
        <v>75000</v>
      </c>
      <c r="AB33" s="1002">
        <f>data!$F$55</f>
        <v>0.02</v>
      </c>
      <c r="AC33" s="997">
        <f t="shared" si="127"/>
        <v>0</v>
      </c>
      <c r="AD33" s="997">
        <f>IF(B33="",0,(IF($AE$1=authorities!$I$1,0,IF(L33&gt;AE33,VLOOKUP($AD$1,authorities!A:H,C33+1,FALSE),0)))*L33/$CK$4*H33)</f>
        <v>0</v>
      </c>
      <c r="AE33" s="997">
        <f>IF($AE$1=authorities!$I$1,0,$AE$1)</f>
        <v>0</v>
      </c>
      <c r="AF33" s="1002">
        <f>IF(input_engine_ox!$Z$21&gt;A32,VLOOKUP(A33,input_engine_ox!$Z$23:$AD$35,5,FALSE),0)</f>
        <v>0</v>
      </c>
      <c r="AG33" s="1002">
        <f>data!$C$45</f>
        <v>2900</v>
      </c>
      <c r="AH33" s="1007">
        <f t="shared" si="106"/>
        <v>1</v>
      </c>
      <c r="AI33" s="997">
        <f t="shared" si="128"/>
        <v>0</v>
      </c>
      <c r="AJ33" s="997" t="b">
        <f t="shared" ca="1" si="129"/>
        <v>0</v>
      </c>
      <c r="AK33" s="997"/>
      <c r="AL33" s="997">
        <f t="shared" ca="1" si="130"/>
        <v>0</v>
      </c>
      <c r="AM33" s="997"/>
      <c r="AN33" s="997"/>
      <c r="AO33" s="1002">
        <f t="shared" si="107"/>
        <v>0</v>
      </c>
      <c r="AP33" s="1002">
        <f ca="1">SUM($AO$3:AO33)</f>
        <v>3</v>
      </c>
      <c r="AQ33" s="1002">
        <f t="shared" si="131"/>
        <v>365</v>
      </c>
      <c r="AR33" s="997">
        <f t="shared" ca="1" si="30"/>
        <v>0</v>
      </c>
      <c r="AS33" s="5"/>
      <c r="AT33" s="997">
        <f t="shared" ca="1" si="132"/>
        <v>0</v>
      </c>
      <c r="AU33" s="997" t="b">
        <f t="shared" ca="1" si="108"/>
        <v>1</v>
      </c>
      <c r="AV33" s="997" t="b">
        <f t="shared" si="9"/>
        <v>0</v>
      </c>
      <c r="AW33" s="997" t="b">
        <f t="shared" si="109"/>
        <v>0</v>
      </c>
      <c r="AX33" s="997">
        <f t="shared" ca="1" si="133"/>
        <v>0</v>
      </c>
      <c r="AY33" s="2370">
        <f ca="1">AR33/reliefs!$F$7*AX33*-1</f>
        <v>0</v>
      </c>
      <c r="AZ33" s="1002">
        <f t="shared" ca="1" si="134"/>
        <v>0</v>
      </c>
      <c r="BA33" s="2370"/>
      <c r="BB33" s="997"/>
      <c r="BC33" s="997"/>
      <c r="BD33" s="997"/>
      <c r="BE33" s="997"/>
      <c r="BF33" s="1002"/>
      <c r="BG33" s="997">
        <f t="shared" ca="1" si="135"/>
        <v>0</v>
      </c>
      <c r="BH33" s="997">
        <f t="shared" si="83"/>
        <v>15000</v>
      </c>
      <c r="BI33" s="1001">
        <f t="shared" si="84"/>
        <v>0</v>
      </c>
      <c r="BJ33" s="997">
        <f t="shared" si="85"/>
        <v>5000000</v>
      </c>
      <c r="BK33" s="997">
        <f t="shared" si="100"/>
        <v>0.499</v>
      </c>
      <c r="BL33" s="997" t="b">
        <f t="shared" si="100"/>
        <v>1</v>
      </c>
      <c r="BM33" s="997" t="b">
        <f t="shared" si="100"/>
        <v>0</v>
      </c>
      <c r="BN33" s="997">
        <f>BN32</f>
        <v>1200</v>
      </c>
      <c r="BO33" s="997">
        <f t="shared" ca="1" si="110"/>
        <v>0</v>
      </c>
      <c r="BP33" s="997"/>
      <c r="BQ33" s="997"/>
      <c r="BR33" s="997">
        <f t="shared" si="88"/>
        <v>1800</v>
      </c>
      <c r="BS33" s="997"/>
      <c r="BT33" s="997" t="b">
        <f t="shared" ca="1" si="136"/>
        <v>0</v>
      </c>
      <c r="BU33" s="997" t="b">
        <f t="shared" si="142"/>
        <v>1</v>
      </c>
      <c r="BV33" s="997" t="b">
        <f t="shared" si="137"/>
        <v>0</v>
      </c>
      <c r="BW33" s="997" t="b">
        <f t="shared" ca="1" si="138"/>
        <v>0</v>
      </c>
      <c r="BX33" s="997" t="b">
        <f t="shared" ca="1" si="92"/>
        <v>0</v>
      </c>
      <c r="BY33" s="997">
        <f t="shared" ca="1" si="111"/>
        <v>1800</v>
      </c>
      <c r="BZ33" s="997">
        <f t="shared" si="112"/>
        <v>365</v>
      </c>
      <c r="CA33" s="997">
        <f t="shared" si="139"/>
        <v>0</v>
      </c>
      <c r="CB33" s="997">
        <f t="shared" ca="1" si="140"/>
        <v>0</v>
      </c>
      <c r="CC33" s="997">
        <f t="shared" ca="1" si="113"/>
        <v>0</v>
      </c>
      <c r="CD33" s="997"/>
      <c r="CE33" s="1002" t="b">
        <f t="shared" si="50"/>
        <v>0</v>
      </c>
      <c r="CF33" s="5"/>
      <c r="CG33" s="5"/>
    </row>
    <row r="34" spans="1:85" customFormat="1" x14ac:dyDescent="0.35">
      <c r="A34" s="997">
        <f t="shared" si="114"/>
        <v>5</v>
      </c>
      <c r="B34" s="1003" t="str">
        <f>IF(input_engine_ox!$Z$21&gt;A33,VLOOKUP(A34,input_engine_ox!$Z$23:$AD$35,2,FALSE),"")</f>
        <v/>
      </c>
      <c r="C34" s="997" t="str">
        <f t="shared" si="115"/>
        <v/>
      </c>
      <c r="D34" s="1003">
        <f t="shared" si="116"/>
        <v>46112</v>
      </c>
      <c r="E34" s="1002" t="str">
        <f ca="1">IF(B34="",E33,VLOOKUP(B34,input_engine_ox!$B$23:$F$35,5,FALSE))</f>
        <v>nn</v>
      </c>
      <c r="F34" s="1003" t="str">
        <f t="shared" si="117"/>
        <v/>
      </c>
      <c r="G34" s="1003" t="str">
        <f t="shared" si="118"/>
        <v/>
      </c>
      <c r="H34" s="1002">
        <f t="shared" si="119"/>
        <v>0</v>
      </c>
      <c r="I34" s="997">
        <f t="shared" ca="1" si="101"/>
        <v>0</v>
      </c>
      <c r="J34" s="997">
        <f t="shared" ca="1" si="102"/>
        <v>0</v>
      </c>
      <c r="K34" s="997">
        <f t="shared" ca="1" si="103"/>
        <v>0</v>
      </c>
      <c r="L34" s="997" t="str">
        <f>IF(input_engine_ox!$Z$21&gt;A33,VLOOKUP(A34,input_engine_ox!$Z$23:$AD$36,3,FALSE),"")</f>
        <v/>
      </c>
      <c r="M34" s="1002" t="str">
        <f t="shared" ca="1" si="120"/>
        <v>up</v>
      </c>
      <c r="N34" s="1002" t="str">
        <f t="shared" si="141"/>
        <v/>
      </c>
      <c r="O34" s="1002" t="str">
        <f t="shared" si="104"/>
        <v/>
      </c>
      <c r="P34" s="1032">
        <f t="shared" si="121"/>
        <v>0.499</v>
      </c>
      <c r="Q34" s="997" t="str">
        <f t="shared" ca="1" si="122"/>
        <v/>
      </c>
      <c r="R34" s="997">
        <f t="shared" si="123"/>
        <v>0</v>
      </c>
      <c r="S34" s="1006">
        <f>IF(input_engine_ox!$Z$21&gt;A33,VLOOKUP(A34,input_engine_ox!$Z$23:$AD$35,4,FALSE),0)</f>
        <v>0</v>
      </c>
      <c r="T34" s="2442">
        <f t="shared" ca="1" si="124"/>
        <v>0</v>
      </c>
      <c r="U34" s="997" t="b">
        <f t="shared" si="125"/>
        <v>0</v>
      </c>
      <c r="V34" s="997" t="b">
        <f>advanced!$I$24="y"</f>
        <v>0</v>
      </c>
      <c r="W34" s="997">
        <f>data!$D$35</f>
        <v>15000</v>
      </c>
      <c r="X34" s="997" t="b">
        <f t="shared" si="23"/>
        <v>0</v>
      </c>
      <c r="Y34" s="997">
        <f t="shared" si="126"/>
        <v>0</v>
      </c>
      <c r="Z34" s="997">
        <f t="shared" si="105"/>
        <v>0</v>
      </c>
      <c r="AA34" s="1002">
        <f>data!$G$55</f>
        <v>75000</v>
      </c>
      <c r="AB34" s="1002">
        <f>data!$F$55</f>
        <v>0.02</v>
      </c>
      <c r="AC34" s="997">
        <f t="shared" si="127"/>
        <v>0</v>
      </c>
      <c r="AD34" s="997">
        <f>IF(B34="",0,(IF($AE$1=authorities!$I$1,0,IF(L34&gt;AE34,VLOOKUP($AD$1,authorities!A:H,C34+1,FALSE),0)))*L34/$CK$4*H34)</f>
        <v>0</v>
      </c>
      <c r="AE34" s="997">
        <f>IF($AE$1=authorities!$I$1,0,$AE$1)</f>
        <v>0</v>
      </c>
      <c r="AF34" s="1002">
        <f>IF(input_engine_ox!$Z$21&gt;A33,VLOOKUP(A34,input_engine_ox!$Z$23:$AD$35,5,FALSE),0)</f>
        <v>0</v>
      </c>
      <c r="AG34" s="1002">
        <f>data!$C$45</f>
        <v>2900</v>
      </c>
      <c r="AH34" s="1007">
        <f t="shared" si="106"/>
        <v>1</v>
      </c>
      <c r="AI34" s="997">
        <f t="shared" si="128"/>
        <v>0</v>
      </c>
      <c r="AJ34" s="997" t="b">
        <f t="shared" ca="1" si="129"/>
        <v>0</v>
      </c>
      <c r="AK34" s="997"/>
      <c r="AL34" s="997">
        <f t="shared" ca="1" si="130"/>
        <v>0</v>
      </c>
      <c r="AM34" s="997"/>
      <c r="AN34" s="997"/>
      <c r="AO34" s="1002">
        <f t="shared" si="107"/>
        <v>0</v>
      </c>
      <c r="AP34" s="1002">
        <f ca="1">SUM($AO$3:AO34)</f>
        <v>3</v>
      </c>
      <c r="AQ34" s="1002">
        <f t="shared" si="131"/>
        <v>365</v>
      </c>
      <c r="AR34" s="997">
        <f t="shared" ca="1" si="30"/>
        <v>0</v>
      </c>
      <c r="AS34" s="5"/>
      <c r="AT34" s="997">
        <f t="shared" ca="1" si="132"/>
        <v>0</v>
      </c>
      <c r="AU34" s="997" t="b">
        <f t="shared" ca="1" si="108"/>
        <v>1</v>
      </c>
      <c r="AV34" s="997" t="b">
        <f t="shared" si="9"/>
        <v>0</v>
      </c>
      <c r="AW34" s="997" t="b">
        <f t="shared" si="109"/>
        <v>0</v>
      </c>
      <c r="AX34" s="997">
        <f t="shared" ca="1" si="133"/>
        <v>0</v>
      </c>
      <c r="AY34" s="2370">
        <f ca="1">AR34/reliefs!$F$7*AX34*-1</f>
        <v>0</v>
      </c>
      <c r="AZ34" s="1002">
        <f t="shared" ca="1" si="134"/>
        <v>0</v>
      </c>
      <c r="BA34" s="2370"/>
      <c r="BB34" s="997"/>
      <c r="BC34" s="997"/>
      <c r="BD34" s="997"/>
      <c r="BE34" s="997"/>
      <c r="BF34" s="1002"/>
      <c r="BG34" s="997">
        <f t="shared" ca="1" si="135"/>
        <v>0</v>
      </c>
      <c r="BH34" s="997">
        <f t="shared" si="83"/>
        <v>15000</v>
      </c>
      <c r="BI34" s="1001">
        <f t="shared" si="84"/>
        <v>0</v>
      </c>
      <c r="BJ34" s="997">
        <f t="shared" si="85"/>
        <v>5000000</v>
      </c>
      <c r="BK34" s="997">
        <f t="shared" si="100"/>
        <v>0.499</v>
      </c>
      <c r="BL34" s="997" t="b">
        <f t="shared" si="100"/>
        <v>1</v>
      </c>
      <c r="BM34" s="997" t="b">
        <f t="shared" si="100"/>
        <v>0</v>
      </c>
      <c r="BN34" s="997">
        <f>BN33</f>
        <v>1200</v>
      </c>
      <c r="BO34" s="997">
        <f t="shared" ca="1" si="110"/>
        <v>0</v>
      </c>
      <c r="BP34" s="997"/>
      <c r="BQ34" s="997"/>
      <c r="BR34" s="997">
        <f t="shared" si="88"/>
        <v>1800</v>
      </c>
      <c r="BS34" s="997"/>
      <c r="BT34" s="997" t="b">
        <f t="shared" ca="1" si="136"/>
        <v>0</v>
      </c>
      <c r="BU34" s="997" t="b">
        <f t="shared" si="142"/>
        <v>1</v>
      </c>
      <c r="BV34" s="997" t="b">
        <f t="shared" si="137"/>
        <v>0</v>
      </c>
      <c r="BW34" s="997" t="b">
        <f t="shared" ca="1" si="138"/>
        <v>0</v>
      </c>
      <c r="BX34" s="997" t="b">
        <f t="shared" ca="1" si="92"/>
        <v>0</v>
      </c>
      <c r="BY34" s="997">
        <f t="shared" ca="1" si="111"/>
        <v>1800</v>
      </c>
      <c r="BZ34" s="997">
        <f t="shared" si="112"/>
        <v>365</v>
      </c>
      <c r="CA34" s="997">
        <f t="shared" si="139"/>
        <v>0</v>
      </c>
      <c r="CB34" s="997">
        <f t="shared" ca="1" si="140"/>
        <v>0</v>
      </c>
      <c r="CC34" s="997">
        <f t="shared" ca="1" si="113"/>
        <v>0</v>
      </c>
      <c r="CD34" s="997"/>
      <c r="CE34" s="1002" t="b">
        <f t="shared" si="50"/>
        <v>0</v>
      </c>
      <c r="CF34" s="5"/>
      <c r="CG34" s="5"/>
    </row>
    <row r="35" spans="1:85" customFormat="1" x14ac:dyDescent="0.35">
      <c r="A35" s="997">
        <f t="shared" si="114"/>
        <v>6</v>
      </c>
      <c r="B35" s="1003" t="str">
        <f>IF(input_engine_ox!$Z$21&gt;A34,VLOOKUP(A35,input_engine_ox!$Z$23:$AD$35,2,FALSE),"")</f>
        <v/>
      </c>
      <c r="C35" s="997" t="str">
        <f t="shared" si="115"/>
        <v/>
      </c>
      <c r="D35" s="1003">
        <f t="shared" si="116"/>
        <v>46112</v>
      </c>
      <c r="E35" s="1002" t="str">
        <f ca="1">IF(B35="",E34,VLOOKUP(B35,input_engine_ox!$B$23:$F$35,5,FALSE))</f>
        <v>nn</v>
      </c>
      <c r="F35" s="1003" t="str">
        <f t="shared" si="117"/>
        <v/>
      </c>
      <c r="G35" s="1003" t="str">
        <f t="shared" si="118"/>
        <v/>
      </c>
      <c r="H35" s="1002">
        <f t="shared" si="119"/>
        <v>0</v>
      </c>
      <c r="I35" s="997">
        <f t="shared" ca="1" si="101"/>
        <v>0</v>
      </c>
      <c r="J35" s="997">
        <f t="shared" ca="1" si="102"/>
        <v>0</v>
      </c>
      <c r="K35" s="997">
        <f t="shared" ca="1" si="103"/>
        <v>0</v>
      </c>
      <c r="L35" s="997" t="str">
        <f>IF(input_engine_ox!$Z$21&gt;A34,VLOOKUP(A35,input_engine_ox!$Z$23:$AD$36,3,FALSE),"")</f>
        <v/>
      </c>
      <c r="M35" s="1002" t="str">
        <f t="shared" ca="1" si="120"/>
        <v>up</v>
      </c>
      <c r="N35" s="1002" t="str">
        <f t="shared" si="141"/>
        <v/>
      </c>
      <c r="O35" s="1002" t="str">
        <f t="shared" si="104"/>
        <v/>
      </c>
      <c r="P35" s="1032">
        <f t="shared" si="121"/>
        <v>0.499</v>
      </c>
      <c r="Q35" s="997" t="str">
        <f t="shared" ca="1" si="122"/>
        <v/>
      </c>
      <c r="R35" s="997">
        <f t="shared" si="123"/>
        <v>0</v>
      </c>
      <c r="S35" s="1006">
        <f>IF(input_engine_ox!$Z$21&gt;A34,VLOOKUP(A35,input_engine_ox!$Z$23:$AD$35,4,FALSE),0)</f>
        <v>0</v>
      </c>
      <c r="T35" s="2442">
        <f t="shared" ca="1" si="124"/>
        <v>0</v>
      </c>
      <c r="U35" s="997" t="b">
        <f t="shared" si="125"/>
        <v>0</v>
      </c>
      <c r="V35" s="997" t="b">
        <f>advanced!$I$24="y"</f>
        <v>0</v>
      </c>
      <c r="W35" s="997">
        <f>data!$D$35</f>
        <v>15000</v>
      </c>
      <c r="X35" s="997" t="b">
        <f t="shared" si="23"/>
        <v>0</v>
      </c>
      <c r="Y35" s="997">
        <f t="shared" si="126"/>
        <v>0</v>
      </c>
      <c r="Z35" s="997">
        <f t="shared" si="105"/>
        <v>0</v>
      </c>
      <c r="AA35" s="1002">
        <f>data!$G$55</f>
        <v>75000</v>
      </c>
      <c r="AB35" s="1002">
        <f>data!$F$55</f>
        <v>0.02</v>
      </c>
      <c r="AC35" s="997">
        <f t="shared" si="127"/>
        <v>0</v>
      </c>
      <c r="AD35" s="997">
        <f>IF(B35="",0,(IF($AE$1=authorities!$I$1,0,IF(L35&gt;AE35,VLOOKUP($AD$1,authorities!A:H,C35+1,FALSE),0)))*L35/$CK$4*H35)</f>
        <v>0</v>
      </c>
      <c r="AE35" s="997">
        <f>IF($AE$1=authorities!$I$1,0,$AE$1)</f>
        <v>0</v>
      </c>
      <c r="AF35" s="1002">
        <f>IF(input_engine_ox!$Z$21&gt;A34,VLOOKUP(A35,input_engine_ox!$Z$23:$AD$35,5,FALSE),0)</f>
        <v>0</v>
      </c>
      <c r="AG35" s="1002">
        <f>data!$C$45</f>
        <v>2900</v>
      </c>
      <c r="AH35" s="1007">
        <f t="shared" si="106"/>
        <v>1</v>
      </c>
      <c r="AI35" s="997">
        <f t="shared" si="128"/>
        <v>0</v>
      </c>
      <c r="AJ35" s="997" t="b">
        <f t="shared" ca="1" si="129"/>
        <v>0</v>
      </c>
      <c r="AK35" s="997"/>
      <c r="AL35" s="997">
        <f t="shared" ca="1" si="130"/>
        <v>0</v>
      </c>
      <c r="AM35" s="997"/>
      <c r="AN35" s="997"/>
      <c r="AO35" s="1002">
        <f t="shared" si="107"/>
        <v>0</v>
      </c>
      <c r="AP35" s="1002">
        <f ca="1">SUM($AO$3:AO35)</f>
        <v>3</v>
      </c>
      <c r="AQ35" s="1002">
        <f t="shared" si="131"/>
        <v>365</v>
      </c>
      <c r="AR35" s="997">
        <f t="shared" ca="1" si="30"/>
        <v>0</v>
      </c>
      <c r="AS35" s="5"/>
      <c r="AT35" s="997">
        <f t="shared" ca="1" si="132"/>
        <v>0</v>
      </c>
      <c r="AU35" s="997" t="b">
        <f t="shared" ca="1" si="108"/>
        <v>1</v>
      </c>
      <c r="AV35" s="997" t="b">
        <f t="shared" si="9"/>
        <v>0</v>
      </c>
      <c r="AW35" s="997" t="b">
        <f t="shared" si="109"/>
        <v>0</v>
      </c>
      <c r="AX35" s="997">
        <f t="shared" ca="1" si="133"/>
        <v>0</v>
      </c>
      <c r="AY35" s="2370">
        <f ca="1">AR35/reliefs!$F$7*AX35*-1</f>
        <v>0</v>
      </c>
      <c r="AZ35" s="1002">
        <f t="shared" ca="1" si="134"/>
        <v>0</v>
      </c>
      <c r="BA35" s="2370"/>
      <c r="BB35" s="997"/>
      <c r="BC35" s="997"/>
      <c r="BD35" s="997"/>
      <c r="BE35" s="997"/>
      <c r="BF35" s="1002"/>
      <c r="BG35" s="997">
        <f t="shared" ca="1" si="135"/>
        <v>0</v>
      </c>
      <c r="BH35" s="997">
        <f t="shared" ref="BH35:BN40" si="143">BH34</f>
        <v>15000</v>
      </c>
      <c r="BI35" s="1001">
        <f t="shared" si="143"/>
        <v>0</v>
      </c>
      <c r="BJ35" s="997">
        <f t="shared" si="143"/>
        <v>5000000</v>
      </c>
      <c r="BK35" s="997">
        <f t="shared" si="143"/>
        <v>0.499</v>
      </c>
      <c r="BL35" s="997" t="b">
        <f t="shared" si="143"/>
        <v>1</v>
      </c>
      <c r="BM35" s="997" t="b">
        <f t="shared" si="143"/>
        <v>0</v>
      </c>
      <c r="BN35" s="997">
        <f t="shared" si="143"/>
        <v>1200</v>
      </c>
      <c r="BO35" s="997">
        <f t="shared" ca="1" si="110"/>
        <v>0</v>
      </c>
      <c r="BP35" s="997"/>
      <c r="BQ35" s="997"/>
      <c r="BR35" s="997">
        <f t="shared" si="88"/>
        <v>1800</v>
      </c>
      <c r="BS35" s="997"/>
      <c r="BT35" s="997" t="b">
        <f t="shared" ca="1" si="136"/>
        <v>0</v>
      </c>
      <c r="BU35" s="997" t="b">
        <f t="shared" si="142"/>
        <v>1</v>
      </c>
      <c r="BV35" s="997" t="b">
        <f t="shared" si="137"/>
        <v>0</v>
      </c>
      <c r="BW35" s="997" t="b">
        <f t="shared" ca="1" si="138"/>
        <v>0</v>
      </c>
      <c r="BX35" s="997" t="b">
        <f t="shared" ca="1" si="92"/>
        <v>0</v>
      </c>
      <c r="BY35" s="997">
        <f t="shared" ca="1" si="111"/>
        <v>1800</v>
      </c>
      <c r="BZ35" s="997">
        <f t="shared" si="112"/>
        <v>365</v>
      </c>
      <c r="CA35" s="997">
        <f t="shared" si="139"/>
        <v>0</v>
      </c>
      <c r="CB35" s="997">
        <f t="shared" ca="1" si="140"/>
        <v>0</v>
      </c>
      <c r="CC35" s="997">
        <f t="shared" ca="1" si="113"/>
        <v>0</v>
      </c>
      <c r="CD35" s="997"/>
      <c r="CE35" s="1002" t="b">
        <f t="shared" si="50"/>
        <v>0</v>
      </c>
      <c r="CF35" s="5"/>
      <c r="CG35" s="5"/>
    </row>
    <row r="36" spans="1:85" customFormat="1" x14ac:dyDescent="0.35">
      <c r="A36" s="997">
        <f t="shared" si="114"/>
        <v>7</v>
      </c>
      <c r="B36" s="1003" t="str">
        <f>IF(input_engine_ox!$Z$21&gt;A35,VLOOKUP(A36,input_engine_ox!$Z$23:$AD$35,2,FALSE),"")</f>
        <v/>
      </c>
      <c r="C36" s="997" t="str">
        <f t="shared" si="115"/>
        <v/>
      </c>
      <c r="D36" s="1003">
        <f t="shared" si="116"/>
        <v>46112</v>
      </c>
      <c r="E36" s="1002" t="str">
        <f ca="1">IF(B36="",E35,VLOOKUP(B36,input_engine_ox!$B$23:$F$35,5,FALSE))</f>
        <v>nn</v>
      </c>
      <c r="F36" s="1003" t="str">
        <f t="shared" si="117"/>
        <v/>
      </c>
      <c r="G36" s="1003" t="str">
        <f t="shared" si="118"/>
        <v/>
      </c>
      <c r="H36" s="1002">
        <f t="shared" si="119"/>
        <v>0</v>
      </c>
      <c r="I36" s="997">
        <f t="shared" ca="1" si="101"/>
        <v>0</v>
      </c>
      <c r="J36" s="997">
        <f t="shared" ca="1" si="102"/>
        <v>0</v>
      </c>
      <c r="K36" s="997">
        <f t="shared" ca="1" si="103"/>
        <v>0</v>
      </c>
      <c r="L36" s="997" t="str">
        <f>IF(input_engine_ox!$Z$21&gt;A35,VLOOKUP(A36,input_engine_ox!$Z$23:$AD$36,3,FALSE),"")</f>
        <v/>
      </c>
      <c r="M36" s="1002" t="str">
        <f t="shared" ca="1" si="120"/>
        <v>up</v>
      </c>
      <c r="N36" s="1002" t="str">
        <f t="shared" si="141"/>
        <v/>
      </c>
      <c r="O36" s="1002" t="str">
        <f t="shared" si="104"/>
        <v/>
      </c>
      <c r="P36" s="1032">
        <f t="shared" si="121"/>
        <v>0.499</v>
      </c>
      <c r="Q36" s="997" t="str">
        <f t="shared" ca="1" si="122"/>
        <v/>
      </c>
      <c r="R36" s="997">
        <f t="shared" si="123"/>
        <v>0</v>
      </c>
      <c r="S36" s="1006">
        <f>IF(input_engine_ox!$Z$21&gt;A35,VLOOKUP(A36,input_engine_ox!$Z$23:$AD$35,4,FALSE),0)</f>
        <v>0</v>
      </c>
      <c r="T36" s="2442">
        <f t="shared" ca="1" si="124"/>
        <v>0</v>
      </c>
      <c r="U36" s="997" t="b">
        <f t="shared" si="125"/>
        <v>0</v>
      </c>
      <c r="V36" s="997" t="b">
        <f>advanced!$I$24="y"</f>
        <v>0</v>
      </c>
      <c r="W36" s="997">
        <f>data!$D$35</f>
        <v>15000</v>
      </c>
      <c r="X36" s="997" t="b">
        <f t="shared" si="23"/>
        <v>0</v>
      </c>
      <c r="Y36" s="997">
        <f t="shared" si="126"/>
        <v>0</v>
      </c>
      <c r="Z36" s="997">
        <f t="shared" si="105"/>
        <v>0</v>
      </c>
      <c r="AA36" s="1002">
        <f>data!$G$55</f>
        <v>75000</v>
      </c>
      <c r="AB36" s="1002">
        <f>data!$F$55</f>
        <v>0.02</v>
      </c>
      <c r="AC36" s="997">
        <f t="shared" si="127"/>
        <v>0</v>
      </c>
      <c r="AD36" s="997">
        <f>IF(B36="",0,(IF($AE$1=authorities!$I$1,0,IF(L36&gt;AE36,VLOOKUP($AD$1,authorities!A:H,C36+1,FALSE),0)))*L36/$CK$4*H36)</f>
        <v>0</v>
      </c>
      <c r="AE36" s="997">
        <f>IF($AE$1=authorities!$I$1,0,$AE$1)</f>
        <v>0</v>
      </c>
      <c r="AF36" s="1002">
        <f>IF(input_engine_ox!$Z$21&gt;A35,VLOOKUP(A36,input_engine_ox!$Z$23:$AD$35,5,FALSE),0)</f>
        <v>0</v>
      </c>
      <c r="AG36" s="1002">
        <f>data!$C$45</f>
        <v>2900</v>
      </c>
      <c r="AH36" s="1007">
        <f t="shared" si="106"/>
        <v>1</v>
      </c>
      <c r="AI36" s="997">
        <f t="shared" si="128"/>
        <v>0</v>
      </c>
      <c r="AJ36" s="997" t="b">
        <f t="shared" ca="1" si="129"/>
        <v>0</v>
      </c>
      <c r="AK36" s="997"/>
      <c r="AL36" s="997">
        <f t="shared" ca="1" si="130"/>
        <v>0</v>
      </c>
      <c r="AM36" s="997"/>
      <c r="AN36" s="997"/>
      <c r="AO36" s="1002">
        <f t="shared" si="107"/>
        <v>0</v>
      </c>
      <c r="AP36" s="1002">
        <f ca="1">SUM($AO$3:AO36)</f>
        <v>3</v>
      </c>
      <c r="AQ36" s="1002">
        <f t="shared" si="131"/>
        <v>365</v>
      </c>
      <c r="AR36" s="997">
        <f t="shared" ca="1" si="30"/>
        <v>0</v>
      </c>
      <c r="AS36" s="5"/>
      <c r="AT36" s="997">
        <f t="shared" ca="1" si="132"/>
        <v>0</v>
      </c>
      <c r="AU36" s="997" t="b">
        <f t="shared" ca="1" si="108"/>
        <v>1</v>
      </c>
      <c r="AV36" s="997" t="b">
        <f t="shared" si="9"/>
        <v>0</v>
      </c>
      <c r="AW36" s="997" t="b">
        <f t="shared" si="109"/>
        <v>0</v>
      </c>
      <c r="AX36" s="997">
        <f t="shared" ca="1" si="133"/>
        <v>0</v>
      </c>
      <c r="AY36" s="2370">
        <f ca="1">AR36/reliefs!$F$7*AX36*-1</f>
        <v>0</v>
      </c>
      <c r="AZ36" s="1002">
        <f t="shared" ca="1" si="134"/>
        <v>0</v>
      </c>
      <c r="BA36" s="2370"/>
      <c r="BB36" s="997"/>
      <c r="BC36" s="997"/>
      <c r="BD36" s="997"/>
      <c r="BE36" s="997"/>
      <c r="BF36" s="1002"/>
      <c r="BG36" s="997">
        <f t="shared" ca="1" si="135"/>
        <v>0</v>
      </c>
      <c r="BH36" s="997">
        <f t="shared" si="143"/>
        <v>15000</v>
      </c>
      <c r="BI36" s="1001">
        <f t="shared" si="143"/>
        <v>0</v>
      </c>
      <c r="BJ36" s="997">
        <f t="shared" si="143"/>
        <v>5000000</v>
      </c>
      <c r="BK36" s="997">
        <f t="shared" si="143"/>
        <v>0.499</v>
      </c>
      <c r="BL36" s="997" t="b">
        <f t="shared" si="143"/>
        <v>1</v>
      </c>
      <c r="BM36" s="997" t="b">
        <f t="shared" si="143"/>
        <v>0</v>
      </c>
      <c r="BN36" s="997">
        <f t="shared" si="143"/>
        <v>1200</v>
      </c>
      <c r="BO36" s="997">
        <f t="shared" ca="1" si="110"/>
        <v>0</v>
      </c>
      <c r="BP36" s="997"/>
      <c r="BQ36" s="997"/>
      <c r="BR36" s="997">
        <f t="shared" si="88"/>
        <v>1800</v>
      </c>
      <c r="BS36" s="997"/>
      <c r="BT36" s="997" t="b">
        <f t="shared" ca="1" si="136"/>
        <v>0</v>
      </c>
      <c r="BU36" s="997" t="b">
        <f t="shared" si="142"/>
        <v>1</v>
      </c>
      <c r="BV36" s="997" t="b">
        <f t="shared" si="137"/>
        <v>0</v>
      </c>
      <c r="BW36" s="997" t="b">
        <f t="shared" ca="1" si="138"/>
        <v>0</v>
      </c>
      <c r="BX36" s="997" t="b">
        <f t="shared" ca="1" si="92"/>
        <v>0</v>
      </c>
      <c r="BY36" s="997">
        <f t="shared" ca="1" si="111"/>
        <v>1800</v>
      </c>
      <c r="BZ36" s="997">
        <f t="shared" si="112"/>
        <v>365</v>
      </c>
      <c r="CA36" s="997">
        <f t="shared" si="139"/>
        <v>0</v>
      </c>
      <c r="CB36" s="997">
        <f t="shared" ca="1" si="140"/>
        <v>0</v>
      </c>
      <c r="CC36" s="997">
        <f t="shared" ca="1" si="113"/>
        <v>0</v>
      </c>
      <c r="CD36" s="997"/>
      <c r="CE36" s="1002" t="b">
        <f t="shared" si="50"/>
        <v>0</v>
      </c>
      <c r="CF36" s="5"/>
      <c r="CG36" s="5"/>
    </row>
    <row r="37" spans="1:85" customFormat="1" x14ac:dyDescent="0.35">
      <c r="A37" s="997">
        <f t="shared" si="114"/>
        <v>8</v>
      </c>
      <c r="B37" s="1003" t="str">
        <f>IF(input_engine_ox!$Z$21&gt;A36,VLOOKUP(A37,input_engine_ox!$Z$23:$AD$35,2,FALSE),"")</f>
        <v/>
      </c>
      <c r="C37" s="997" t="str">
        <f t="shared" si="115"/>
        <v/>
      </c>
      <c r="D37" s="1003">
        <f t="shared" si="116"/>
        <v>46112</v>
      </c>
      <c r="E37" s="1002" t="str">
        <f ca="1">IF(B37="",E36,VLOOKUP(B37,input_engine_ox!$B$23:$F$35,5,FALSE))</f>
        <v>nn</v>
      </c>
      <c r="F37" s="1003" t="str">
        <f t="shared" si="117"/>
        <v/>
      </c>
      <c r="G37" s="1003" t="str">
        <f t="shared" si="118"/>
        <v/>
      </c>
      <c r="H37" s="1002">
        <f t="shared" si="119"/>
        <v>0</v>
      </c>
      <c r="I37" s="997">
        <f t="shared" ca="1" si="101"/>
        <v>0</v>
      </c>
      <c r="J37" s="997">
        <f t="shared" ca="1" si="102"/>
        <v>0</v>
      </c>
      <c r="K37" s="997">
        <f t="shared" ca="1" si="103"/>
        <v>0</v>
      </c>
      <c r="L37" s="997" t="str">
        <f>IF(input_engine_ox!$Z$21&gt;A36,VLOOKUP(A37,input_engine_ox!$Z$23:$AD$36,3,FALSE),"")</f>
        <v/>
      </c>
      <c r="M37" s="1002" t="str">
        <f t="shared" ca="1" si="120"/>
        <v>up</v>
      </c>
      <c r="N37" s="1002" t="str">
        <f t="shared" si="141"/>
        <v/>
      </c>
      <c r="O37" s="1002" t="str">
        <f t="shared" si="104"/>
        <v/>
      </c>
      <c r="P37" s="1032">
        <f t="shared" si="121"/>
        <v>0.499</v>
      </c>
      <c r="Q37" s="997" t="str">
        <f t="shared" ca="1" si="122"/>
        <v/>
      </c>
      <c r="R37" s="997">
        <f t="shared" si="123"/>
        <v>0</v>
      </c>
      <c r="S37" s="1006">
        <f>IF(input_engine_ox!$Z$21&gt;A36,VLOOKUP(A37,input_engine_ox!$Z$23:$AD$35,4,FALSE),0)</f>
        <v>0</v>
      </c>
      <c r="T37" s="2442">
        <f t="shared" ca="1" si="124"/>
        <v>0</v>
      </c>
      <c r="U37" s="997" t="b">
        <f t="shared" si="125"/>
        <v>0</v>
      </c>
      <c r="V37" s="997" t="b">
        <f>advanced!$I$24="y"</f>
        <v>0</v>
      </c>
      <c r="W37" s="997">
        <f>data!$D$35</f>
        <v>15000</v>
      </c>
      <c r="X37" s="997" t="b">
        <f t="shared" si="23"/>
        <v>0</v>
      </c>
      <c r="Y37" s="997">
        <f t="shared" si="126"/>
        <v>0</v>
      </c>
      <c r="Z37" s="997">
        <f t="shared" si="105"/>
        <v>0</v>
      </c>
      <c r="AA37" s="1002">
        <f>data!$G$55</f>
        <v>75000</v>
      </c>
      <c r="AB37" s="1002">
        <f>data!$F$55</f>
        <v>0.02</v>
      </c>
      <c r="AC37" s="997">
        <f t="shared" si="127"/>
        <v>0</v>
      </c>
      <c r="AD37" s="997">
        <f>IF(B37="",0,(IF($AE$1=authorities!$I$1,0,IF(L37&gt;AE37,VLOOKUP($AD$1,authorities!A:H,C37+1,FALSE),0)))*L37/$CK$4*H37)</f>
        <v>0</v>
      </c>
      <c r="AE37" s="997">
        <f>IF($AE$1=authorities!$I$1,0,$AE$1)</f>
        <v>0</v>
      </c>
      <c r="AF37" s="1002">
        <f>IF(input_engine_ox!$Z$21&gt;A36,VLOOKUP(A37,input_engine_ox!$Z$23:$AD$35,5,FALSE),0)</f>
        <v>0</v>
      </c>
      <c r="AG37" s="1002">
        <f>data!$C$45</f>
        <v>2900</v>
      </c>
      <c r="AH37" s="1007">
        <f t="shared" si="106"/>
        <v>1</v>
      </c>
      <c r="AI37" s="997">
        <f t="shared" si="128"/>
        <v>0</v>
      </c>
      <c r="AJ37" s="997" t="b">
        <f t="shared" ca="1" si="129"/>
        <v>0</v>
      </c>
      <c r="AK37" s="997"/>
      <c r="AL37" s="997">
        <f t="shared" ca="1" si="130"/>
        <v>0</v>
      </c>
      <c r="AM37" s="997"/>
      <c r="AN37" s="997"/>
      <c r="AO37" s="1002">
        <f t="shared" si="107"/>
        <v>0</v>
      </c>
      <c r="AP37" s="1002">
        <f ca="1">SUM($AO$3:AO37)</f>
        <v>3</v>
      </c>
      <c r="AQ37" s="1002">
        <f t="shared" si="131"/>
        <v>365</v>
      </c>
      <c r="AR37" s="997">
        <f t="shared" ca="1" si="30"/>
        <v>0</v>
      </c>
      <c r="AS37" s="5"/>
      <c r="AT37" s="997">
        <f t="shared" ca="1" si="132"/>
        <v>0</v>
      </c>
      <c r="AU37" s="997" t="b">
        <f t="shared" ca="1" si="108"/>
        <v>1</v>
      </c>
      <c r="AV37" s="997" t="b">
        <f t="shared" si="9"/>
        <v>0</v>
      </c>
      <c r="AW37" s="997" t="b">
        <f t="shared" si="109"/>
        <v>0</v>
      </c>
      <c r="AX37" s="997">
        <f t="shared" ca="1" si="133"/>
        <v>0</v>
      </c>
      <c r="AY37" s="2370">
        <f ca="1">AR37/reliefs!$F$7*AX37*-1</f>
        <v>0</v>
      </c>
      <c r="AZ37" s="1002">
        <f t="shared" ca="1" si="134"/>
        <v>0</v>
      </c>
      <c r="BA37" s="2370"/>
      <c r="BB37" s="997"/>
      <c r="BC37" s="997"/>
      <c r="BD37" s="997"/>
      <c r="BE37" s="997"/>
      <c r="BF37" s="1002"/>
      <c r="BG37" s="997">
        <f t="shared" ca="1" si="135"/>
        <v>0</v>
      </c>
      <c r="BH37" s="997">
        <f t="shared" si="143"/>
        <v>15000</v>
      </c>
      <c r="BI37" s="1001">
        <f t="shared" si="143"/>
        <v>0</v>
      </c>
      <c r="BJ37" s="997">
        <f t="shared" si="143"/>
        <v>5000000</v>
      </c>
      <c r="BK37" s="997">
        <f t="shared" si="143"/>
        <v>0.499</v>
      </c>
      <c r="BL37" s="997" t="b">
        <f t="shared" si="143"/>
        <v>1</v>
      </c>
      <c r="BM37" s="997" t="b">
        <f t="shared" si="143"/>
        <v>0</v>
      </c>
      <c r="BN37" s="997">
        <f t="shared" si="143"/>
        <v>1200</v>
      </c>
      <c r="BO37" s="997">
        <f t="shared" ca="1" si="110"/>
        <v>0</v>
      </c>
      <c r="BP37" s="997"/>
      <c r="BQ37" s="997"/>
      <c r="BR37" s="997">
        <f t="shared" si="88"/>
        <v>1800</v>
      </c>
      <c r="BS37" s="997"/>
      <c r="BT37" s="997" t="b">
        <f t="shared" ca="1" si="136"/>
        <v>0</v>
      </c>
      <c r="BU37" s="997" t="b">
        <f t="shared" si="142"/>
        <v>1</v>
      </c>
      <c r="BV37" s="997" t="b">
        <f t="shared" si="137"/>
        <v>0</v>
      </c>
      <c r="BW37" s="997" t="b">
        <f t="shared" ca="1" si="138"/>
        <v>0</v>
      </c>
      <c r="BX37" s="997" t="b">
        <f t="shared" ca="1" si="92"/>
        <v>0</v>
      </c>
      <c r="BY37" s="997">
        <f t="shared" ca="1" si="111"/>
        <v>1800</v>
      </c>
      <c r="BZ37" s="997">
        <f t="shared" si="112"/>
        <v>365</v>
      </c>
      <c r="CA37" s="997">
        <f t="shared" si="139"/>
        <v>0</v>
      </c>
      <c r="CB37" s="997">
        <f t="shared" ca="1" si="140"/>
        <v>0</v>
      </c>
      <c r="CC37" s="997">
        <f t="shared" ca="1" si="113"/>
        <v>0</v>
      </c>
      <c r="CD37" s="997"/>
      <c r="CE37" s="1002" t="b">
        <f t="shared" si="50"/>
        <v>0</v>
      </c>
      <c r="CF37" s="5"/>
      <c r="CG37" s="5"/>
    </row>
    <row r="38" spans="1:85" customFormat="1" x14ac:dyDescent="0.35">
      <c r="A38" s="997">
        <f t="shared" si="114"/>
        <v>9</v>
      </c>
      <c r="B38" s="1003" t="str">
        <f>IF(input_engine_ox!$Z$21&gt;A37,VLOOKUP(A38,input_engine_ox!$Z$23:$AD$35,2,FALSE),"")</f>
        <v/>
      </c>
      <c r="C38" s="997" t="str">
        <f t="shared" si="115"/>
        <v/>
      </c>
      <c r="D38" s="1003">
        <f t="shared" si="116"/>
        <v>46112</v>
      </c>
      <c r="E38" s="1002" t="str">
        <f ca="1">IF(B38="",E37,VLOOKUP(B38,input_engine_ox!$B$23:$F$35,5,FALSE))</f>
        <v>nn</v>
      </c>
      <c r="F38" s="1003" t="str">
        <f t="shared" si="117"/>
        <v/>
      </c>
      <c r="G38" s="1003" t="str">
        <f t="shared" si="118"/>
        <v/>
      </c>
      <c r="H38" s="1002">
        <f t="shared" si="119"/>
        <v>0</v>
      </c>
      <c r="I38" s="997">
        <f t="shared" ca="1" si="101"/>
        <v>0</v>
      </c>
      <c r="J38" s="997">
        <f t="shared" ca="1" si="102"/>
        <v>0</v>
      </c>
      <c r="K38" s="997">
        <f t="shared" ca="1" si="103"/>
        <v>0</v>
      </c>
      <c r="L38" s="997" t="str">
        <f>IF(input_engine_ox!$Z$21&gt;A37,VLOOKUP(A38,input_engine_ox!$Z$23:$AD$36,3,FALSE),"")</f>
        <v/>
      </c>
      <c r="M38" s="1002" t="str">
        <f t="shared" ca="1" si="120"/>
        <v>up</v>
      </c>
      <c r="N38" s="1002" t="str">
        <f t="shared" si="141"/>
        <v/>
      </c>
      <c r="O38" s="1002" t="str">
        <f t="shared" si="104"/>
        <v/>
      </c>
      <c r="P38" s="1032">
        <f t="shared" si="121"/>
        <v>0.499</v>
      </c>
      <c r="Q38" s="997" t="str">
        <f t="shared" ca="1" si="122"/>
        <v/>
      </c>
      <c r="R38" s="997">
        <f t="shared" si="123"/>
        <v>0</v>
      </c>
      <c r="S38" s="1006">
        <f>IF(input_engine_ox!$Z$21&gt;A37,VLOOKUP(A38,input_engine_ox!$Z$23:$AD$35,4,FALSE),0)</f>
        <v>0</v>
      </c>
      <c r="T38" s="2442">
        <f t="shared" ca="1" si="124"/>
        <v>0</v>
      </c>
      <c r="U38" s="997" t="b">
        <f t="shared" si="125"/>
        <v>0</v>
      </c>
      <c r="V38" s="997" t="b">
        <f>advanced!$I$24="y"</f>
        <v>0</v>
      </c>
      <c r="W38" s="997">
        <f>data!$D$35</f>
        <v>15000</v>
      </c>
      <c r="X38" s="997" t="b">
        <f t="shared" si="23"/>
        <v>0</v>
      </c>
      <c r="Y38" s="997">
        <f t="shared" si="126"/>
        <v>0</v>
      </c>
      <c r="Z38" s="997">
        <f t="shared" si="105"/>
        <v>0</v>
      </c>
      <c r="AA38" s="1002">
        <f>data!$G$55</f>
        <v>75000</v>
      </c>
      <c r="AB38" s="1002">
        <f>data!$F$55</f>
        <v>0.02</v>
      </c>
      <c r="AC38" s="997">
        <f t="shared" si="127"/>
        <v>0</v>
      </c>
      <c r="AD38" s="997">
        <f>IF(B38="",0,(IF($AE$1=authorities!$I$1,0,IF(L38&gt;AE38,VLOOKUP($AD$1,authorities!A:H,C38+1,FALSE),0)))*L38/$CK$4*H38)</f>
        <v>0</v>
      </c>
      <c r="AE38" s="997">
        <f>IF($AE$1=authorities!$I$1,0,$AE$1)</f>
        <v>0</v>
      </c>
      <c r="AF38" s="1002">
        <f>IF(input_engine_ox!$Z$21&gt;A37,VLOOKUP(A38,input_engine_ox!$Z$23:$AD$35,5,FALSE),0)</f>
        <v>0</v>
      </c>
      <c r="AG38" s="1002">
        <f>data!$C$45</f>
        <v>2900</v>
      </c>
      <c r="AH38" s="1007">
        <f t="shared" si="106"/>
        <v>1</v>
      </c>
      <c r="AI38" s="997">
        <f t="shared" si="128"/>
        <v>0</v>
      </c>
      <c r="AJ38" s="997" t="b">
        <f t="shared" ca="1" si="129"/>
        <v>0</v>
      </c>
      <c r="AK38" s="997"/>
      <c r="AL38" s="997">
        <f t="shared" ca="1" si="130"/>
        <v>0</v>
      </c>
      <c r="AM38" s="997"/>
      <c r="AN38" s="997"/>
      <c r="AO38" s="1002">
        <f t="shared" si="107"/>
        <v>0</v>
      </c>
      <c r="AP38" s="1002">
        <f ca="1">SUM($AO$3:AO38)</f>
        <v>3</v>
      </c>
      <c r="AQ38" s="1002">
        <f t="shared" si="131"/>
        <v>365</v>
      </c>
      <c r="AR38" s="997">
        <f t="shared" ca="1" si="30"/>
        <v>0</v>
      </c>
      <c r="AS38" s="5"/>
      <c r="AT38" s="997">
        <f t="shared" ca="1" si="132"/>
        <v>0</v>
      </c>
      <c r="AU38" s="997" t="b">
        <f t="shared" ca="1" si="108"/>
        <v>1</v>
      </c>
      <c r="AV38" s="997" t="b">
        <f t="shared" si="9"/>
        <v>0</v>
      </c>
      <c r="AW38" s="997" t="b">
        <f t="shared" si="109"/>
        <v>0</v>
      </c>
      <c r="AX38" s="997">
        <f t="shared" ca="1" si="133"/>
        <v>0</v>
      </c>
      <c r="AY38" s="2370">
        <f ca="1">AR38/reliefs!$F$7*AX38*-1</f>
        <v>0</v>
      </c>
      <c r="AZ38" s="1002">
        <f t="shared" ca="1" si="134"/>
        <v>0</v>
      </c>
      <c r="BA38" s="2370"/>
      <c r="BB38" s="997"/>
      <c r="BC38" s="997"/>
      <c r="BD38" s="997"/>
      <c r="BE38" s="997"/>
      <c r="BF38" s="1002"/>
      <c r="BG38" s="997">
        <f t="shared" ca="1" si="135"/>
        <v>0</v>
      </c>
      <c r="BH38" s="997">
        <f t="shared" si="143"/>
        <v>15000</v>
      </c>
      <c r="BI38" s="1001">
        <f t="shared" si="143"/>
        <v>0</v>
      </c>
      <c r="BJ38" s="997">
        <f t="shared" si="143"/>
        <v>5000000</v>
      </c>
      <c r="BK38" s="997">
        <f t="shared" si="143"/>
        <v>0.499</v>
      </c>
      <c r="BL38" s="997" t="b">
        <f t="shared" si="143"/>
        <v>1</v>
      </c>
      <c r="BM38" s="997" t="b">
        <f t="shared" si="143"/>
        <v>0</v>
      </c>
      <c r="BN38" s="997">
        <f t="shared" si="143"/>
        <v>1200</v>
      </c>
      <c r="BO38" s="997">
        <f t="shared" ca="1" si="110"/>
        <v>0</v>
      </c>
      <c r="BP38" s="997"/>
      <c r="BQ38" s="997"/>
      <c r="BR38" s="997">
        <f t="shared" si="88"/>
        <v>1800</v>
      </c>
      <c r="BS38" s="997"/>
      <c r="BT38" s="997" t="b">
        <f t="shared" ca="1" si="136"/>
        <v>0</v>
      </c>
      <c r="BU38" s="997" t="b">
        <f t="shared" si="142"/>
        <v>1</v>
      </c>
      <c r="BV38" s="997" t="b">
        <f t="shared" si="137"/>
        <v>0</v>
      </c>
      <c r="BW38" s="997" t="b">
        <f t="shared" ca="1" si="138"/>
        <v>0</v>
      </c>
      <c r="BX38" s="997" t="b">
        <f t="shared" ca="1" si="92"/>
        <v>0</v>
      </c>
      <c r="BY38" s="997">
        <f t="shared" ca="1" si="111"/>
        <v>1800</v>
      </c>
      <c r="BZ38" s="997">
        <f t="shared" si="112"/>
        <v>365</v>
      </c>
      <c r="CA38" s="997">
        <f t="shared" si="139"/>
        <v>0</v>
      </c>
      <c r="CB38" s="997">
        <f t="shared" ca="1" si="140"/>
        <v>0</v>
      </c>
      <c r="CC38" s="997">
        <f t="shared" ca="1" si="113"/>
        <v>0</v>
      </c>
      <c r="CD38" s="997"/>
      <c r="CE38" s="1002" t="b">
        <f t="shared" si="50"/>
        <v>0</v>
      </c>
      <c r="CF38" s="5"/>
      <c r="CG38" s="5"/>
    </row>
    <row r="39" spans="1:85" customFormat="1" x14ac:dyDescent="0.35">
      <c r="A39" s="997">
        <f t="shared" si="114"/>
        <v>10</v>
      </c>
      <c r="B39" s="1003" t="str">
        <f>IF(input_engine_ox!$Z$21&gt;A38,VLOOKUP(A39,input_engine_ox!$Z$23:$AD$35,2,FALSE),"")</f>
        <v/>
      </c>
      <c r="C39" s="997" t="str">
        <f t="shared" si="115"/>
        <v/>
      </c>
      <c r="D39" s="1003">
        <f t="shared" si="116"/>
        <v>46112</v>
      </c>
      <c r="E39" s="1002" t="str">
        <f ca="1">IF(B39="",E38,VLOOKUP(B39,input_engine_ox!$B$23:$F$35,5,FALSE))</f>
        <v>nn</v>
      </c>
      <c r="F39" s="1003" t="str">
        <f t="shared" si="117"/>
        <v/>
      </c>
      <c r="G39" s="1003" t="str">
        <f t="shared" si="118"/>
        <v/>
      </c>
      <c r="H39" s="1002">
        <f t="shared" si="119"/>
        <v>0</v>
      </c>
      <c r="I39" s="997">
        <f t="shared" ca="1" si="101"/>
        <v>0</v>
      </c>
      <c r="J39" s="997">
        <f t="shared" ca="1" si="102"/>
        <v>0</v>
      </c>
      <c r="K39" s="997">
        <f t="shared" ca="1" si="103"/>
        <v>0</v>
      </c>
      <c r="L39" s="997" t="str">
        <f>IF(input_engine_ox!$Z$21&gt;A38,VLOOKUP(A39,input_engine_ox!$Z$23:$AD$36,3,FALSE),"")</f>
        <v/>
      </c>
      <c r="M39" s="1002" t="str">
        <f t="shared" ca="1" si="120"/>
        <v>up</v>
      </c>
      <c r="N39" s="1002" t="str">
        <f t="shared" si="141"/>
        <v/>
      </c>
      <c r="O39" s="1002" t="str">
        <f t="shared" si="104"/>
        <v/>
      </c>
      <c r="P39" s="1032">
        <f t="shared" si="121"/>
        <v>0.499</v>
      </c>
      <c r="Q39" s="997" t="str">
        <f t="shared" ca="1" si="122"/>
        <v/>
      </c>
      <c r="R39" s="997">
        <f t="shared" si="123"/>
        <v>0</v>
      </c>
      <c r="S39" s="1006">
        <f>IF(input_engine_ox!$Z$21&gt;A38,VLOOKUP(A39,input_engine_ox!$Z$23:$AD$35,4,FALSE),0)</f>
        <v>0</v>
      </c>
      <c r="T39" s="2442">
        <f t="shared" ca="1" si="124"/>
        <v>0</v>
      </c>
      <c r="U39" s="997" t="b">
        <f t="shared" si="125"/>
        <v>0</v>
      </c>
      <c r="V39" s="997" t="b">
        <f>advanced!$I$24="y"</f>
        <v>0</v>
      </c>
      <c r="W39" s="997">
        <f>data!$D$35</f>
        <v>15000</v>
      </c>
      <c r="X39" s="997" t="b">
        <f t="shared" si="23"/>
        <v>0</v>
      </c>
      <c r="Y39" s="997">
        <f t="shared" si="126"/>
        <v>0</v>
      </c>
      <c r="Z39" s="997">
        <f t="shared" si="105"/>
        <v>0</v>
      </c>
      <c r="AA39" s="1002">
        <f>data!$G$55</f>
        <v>75000</v>
      </c>
      <c r="AB39" s="1002">
        <f>data!$F$55</f>
        <v>0.02</v>
      </c>
      <c r="AC39" s="997">
        <f t="shared" si="127"/>
        <v>0</v>
      </c>
      <c r="AD39" s="997">
        <f>IF(B39="",0,(IF($AE$1=authorities!$I$1,0,IF(L39&gt;AE39,VLOOKUP($AD$1,authorities!A:H,C39+1,FALSE),0)))*L39/$CK$4*H39)</f>
        <v>0</v>
      </c>
      <c r="AE39" s="997">
        <f>IF($AE$1=authorities!$I$1,0,$AE$1)</f>
        <v>0</v>
      </c>
      <c r="AF39" s="1002">
        <f>IF(input_engine_ox!$Z$21&gt;A38,VLOOKUP(A39,input_engine_ox!$Z$23:$AD$35,5,FALSE),0)</f>
        <v>0</v>
      </c>
      <c r="AG39" s="1002">
        <f>data!$C$45</f>
        <v>2900</v>
      </c>
      <c r="AH39" s="1007">
        <f t="shared" si="106"/>
        <v>1</v>
      </c>
      <c r="AI39" s="997">
        <f t="shared" si="128"/>
        <v>0</v>
      </c>
      <c r="AJ39" s="997" t="b">
        <f t="shared" ca="1" si="129"/>
        <v>0</v>
      </c>
      <c r="AK39" s="997"/>
      <c r="AL39" s="997">
        <f t="shared" ca="1" si="130"/>
        <v>0</v>
      </c>
      <c r="AM39" s="997"/>
      <c r="AN39" s="997"/>
      <c r="AO39" s="1002">
        <f t="shared" si="107"/>
        <v>0</v>
      </c>
      <c r="AP39" s="1002">
        <f ca="1">SUM($AO$3:AO39)</f>
        <v>3</v>
      </c>
      <c r="AQ39" s="1002">
        <f t="shared" si="131"/>
        <v>365</v>
      </c>
      <c r="AR39" s="997">
        <f t="shared" ca="1" si="30"/>
        <v>0</v>
      </c>
      <c r="AS39" s="5"/>
      <c r="AT39" s="997">
        <f t="shared" ca="1" si="132"/>
        <v>0</v>
      </c>
      <c r="AU39" s="997" t="b">
        <f t="shared" ca="1" si="108"/>
        <v>1</v>
      </c>
      <c r="AV39" s="997" t="b">
        <f t="shared" si="9"/>
        <v>0</v>
      </c>
      <c r="AW39" s="997" t="b">
        <f t="shared" si="109"/>
        <v>0</v>
      </c>
      <c r="AX39" s="997">
        <f t="shared" ca="1" si="133"/>
        <v>0</v>
      </c>
      <c r="AY39" s="2370">
        <f ca="1">AR39/reliefs!$F$7*AX39*-1</f>
        <v>0</v>
      </c>
      <c r="AZ39" s="1002">
        <f t="shared" ca="1" si="134"/>
        <v>0</v>
      </c>
      <c r="BA39" s="2370"/>
      <c r="BB39" s="997"/>
      <c r="BC39" s="997"/>
      <c r="BD39" s="997"/>
      <c r="BE39" s="997"/>
      <c r="BF39" s="1002"/>
      <c r="BG39" s="997">
        <f t="shared" ca="1" si="135"/>
        <v>0</v>
      </c>
      <c r="BH39" s="997">
        <f t="shared" si="143"/>
        <v>15000</v>
      </c>
      <c r="BI39" s="1001">
        <f t="shared" si="143"/>
        <v>0</v>
      </c>
      <c r="BJ39" s="997">
        <f t="shared" si="143"/>
        <v>5000000</v>
      </c>
      <c r="BK39" s="997">
        <f t="shared" si="143"/>
        <v>0.499</v>
      </c>
      <c r="BL39" s="997" t="b">
        <f t="shared" si="143"/>
        <v>1</v>
      </c>
      <c r="BM39" s="997" t="b">
        <f t="shared" si="143"/>
        <v>0</v>
      </c>
      <c r="BN39" s="997">
        <f t="shared" si="143"/>
        <v>1200</v>
      </c>
      <c r="BO39" s="997">
        <f t="shared" ca="1" si="110"/>
        <v>0</v>
      </c>
      <c r="BP39" s="997"/>
      <c r="BQ39" s="997"/>
      <c r="BR39" s="997">
        <f t="shared" si="88"/>
        <v>1800</v>
      </c>
      <c r="BS39" s="997"/>
      <c r="BT39" s="997" t="b">
        <f t="shared" ca="1" si="136"/>
        <v>0</v>
      </c>
      <c r="BU39" s="997" t="b">
        <f t="shared" si="142"/>
        <v>1</v>
      </c>
      <c r="BV39" s="997" t="b">
        <f t="shared" si="137"/>
        <v>0</v>
      </c>
      <c r="BW39" s="997" t="b">
        <f t="shared" ca="1" si="138"/>
        <v>0</v>
      </c>
      <c r="BX39" s="997" t="b">
        <f t="shared" ca="1" si="92"/>
        <v>0</v>
      </c>
      <c r="BY39" s="997">
        <f t="shared" ca="1" si="111"/>
        <v>1800</v>
      </c>
      <c r="BZ39" s="997">
        <f t="shared" si="112"/>
        <v>365</v>
      </c>
      <c r="CA39" s="997">
        <f t="shared" si="139"/>
        <v>0</v>
      </c>
      <c r="CB39" s="997">
        <f t="shared" ca="1" si="140"/>
        <v>0</v>
      </c>
      <c r="CC39" s="997">
        <f t="shared" ca="1" si="113"/>
        <v>0</v>
      </c>
      <c r="CD39" s="997"/>
      <c r="CE39" s="1002" t="b">
        <f t="shared" si="50"/>
        <v>0</v>
      </c>
      <c r="CF39" s="5"/>
      <c r="CG39" s="5"/>
    </row>
    <row r="40" spans="1:85" customFormat="1" x14ac:dyDescent="0.35">
      <c r="A40" s="997">
        <f t="shared" si="114"/>
        <v>11</v>
      </c>
      <c r="B40" s="1003" t="str">
        <f>IF(input_engine_ox!$Z$21&gt;A39,VLOOKUP(A40,input_engine_ox!$Z$23:$AD$35,2,FALSE),"")</f>
        <v/>
      </c>
      <c r="C40" s="997" t="str">
        <f t="shared" si="115"/>
        <v/>
      </c>
      <c r="D40" s="1003">
        <f t="shared" si="116"/>
        <v>46112</v>
      </c>
      <c r="E40" s="1002" t="str">
        <f ca="1">IF(B40="",E39,VLOOKUP(B40,input_engine_ox!$B$23:$F$35,5,FALSE))</f>
        <v>nn</v>
      </c>
      <c r="F40" s="1003" t="str">
        <f t="shared" si="117"/>
        <v/>
      </c>
      <c r="G40" s="1003" t="str">
        <f>IF(B40="","",IF(#REF!=C40,#REF!-1,D40))</f>
        <v/>
      </c>
      <c r="H40" s="1002">
        <f t="shared" si="119"/>
        <v>0</v>
      </c>
      <c r="I40" s="997">
        <f t="shared" ca="1" si="101"/>
        <v>0</v>
      </c>
      <c r="J40" s="997">
        <f t="shared" ca="1" si="102"/>
        <v>0</v>
      </c>
      <c r="K40" s="997">
        <f t="shared" ca="1" si="103"/>
        <v>0</v>
      </c>
      <c r="L40" s="997" t="str">
        <f>IF(input_engine_ox!$Z$21&gt;A39,VLOOKUP(A40,input_engine_ox!$Z$23:$AD$36,3,FALSE),"")</f>
        <v/>
      </c>
      <c r="M40" s="1002" t="str">
        <f t="shared" ca="1" si="120"/>
        <v>up</v>
      </c>
      <c r="N40" s="1002" t="str">
        <f t="shared" si="141"/>
        <v/>
      </c>
      <c r="O40" s="1002" t="str">
        <f t="shared" si="104"/>
        <v/>
      </c>
      <c r="P40" s="1032">
        <f t="shared" si="121"/>
        <v>0.499</v>
      </c>
      <c r="Q40" s="997" t="str">
        <f t="shared" ca="1" si="122"/>
        <v/>
      </c>
      <c r="R40" s="997">
        <f t="shared" si="123"/>
        <v>0</v>
      </c>
      <c r="S40" s="1006">
        <f>IF(input_engine_ox!$Z$21&gt;A39,VLOOKUP(A40,input_engine_ox!$Z$23:$AD$35,4,FALSE),0)</f>
        <v>0</v>
      </c>
      <c r="T40" s="2442">
        <f t="shared" ca="1" si="124"/>
        <v>0</v>
      </c>
      <c r="U40" s="997" t="b">
        <f t="shared" si="125"/>
        <v>0</v>
      </c>
      <c r="V40" s="997" t="b">
        <f>advanced!$I$24="y"</f>
        <v>0</v>
      </c>
      <c r="W40" s="997">
        <f>data!$D$35</f>
        <v>15000</v>
      </c>
      <c r="X40" s="997" t="b">
        <f t="shared" si="23"/>
        <v>0</v>
      </c>
      <c r="Y40" s="997">
        <f t="shared" si="126"/>
        <v>0</v>
      </c>
      <c r="Z40" s="997">
        <f t="shared" si="105"/>
        <v>0</v>
      </c>
      <c r="AA40" s="1002">
        <f>data!$G$55</f>
        <v>75000</v>
      </c>
      <c r="AB40" s="1002">
        <f>data!$F$55</f>
        <v>0.02</v>
      </c>
      <c r="AC40" s="997">
        <f t="shared" si="127"/>
        <v>0</v>
      </c>
      <c r="AD40" s="997">
        <f>IF(B40="",0,(IF($AE$1=authorities!$I$1,0,IF(L40&gt;AE40,VLOOKUP($AD$1,authorities!A:H,C40+1,FALSE),0)))*L40/$CK$4*H40)</f>
        <v>0</v>
      </c>
      <c r="AE40" s="997">
        <f>IF($AE$1=authorities!$I$1,0,$AE$1)</f>
        <v>0</v>
      </c>
      <c r="AF40" s="1002">
        <f>IF(input_engine_ox!$Z$21&gt;A39,VLOOKUP(A40,input_engine_ox!$Z$23:$AD$35,5,FALSE),0)</f>
        <v>0</v>
      </c>
      <c r="AG40" s="1002">
        <f>data!$C$45</f>
        <v>2900</v>
      </c>
      <c r="AH40" s="1007">
        <f t="shared" si="106"/>
        <v>1</v>
      </c>
      <c r="AI40" s="997">
        <f t="shared" si="128"/>
        <v>0</v>
      </c>
      <c r="AJ40" s="997" t="b">
        <f t="shared" ca="1" si="129"/>
        <v>0</v>
      </c>
      <c r="AK40" s="997"/>
      <c r="AL40" s="997">
        <f t="shared" ca="1" si="130"/>
        <v>0</v>
      </c>
      <c r="AM40" s="997"/>
      <c r="AN40" s="997"/>
      <c r="AO40" s="1002">
        <f t="shared" si="107"/>
        <v>0</v>
      </c>
      <c r="AP40" s="1002">
        <f ca="1">SUM($AO$3:AO40)</f>
        <v>3</v>
      </c>
      <c r="AQ40" s="1002">
        <f t="shared" si="131"/>
        <v>365</v>
      </c>
      <c r="AR40" s="997">
        <f t="shared" ca="1" si="30"/>
        <v>0</v>
      </c>
      <c r="AS40" s="5"/>
      <c r="AT40" s="997">
        <f t="shared" ca="1" si="132"/>
        <v>0</v>
      </c>
      <c r="AU40" s="997" t="b">
        <f t="shared" ca="1" si="108"/>
        <v>1</v>
      </c>
      <c r="AV40" s="997" t="b">
        <f t="shared" si="9"/>
        <v>0</v>
      </c>
      <c r="AW40" s="997" t="b">
        <f t="shared" si="109"/>
        <v>0</v>
      </c>
      <c r="AX40" s="997">
        <f t="shared" ca="1" si="133"/>
        <v>0</v>
      </c>
      <c r="AY40" s="2370">
        <f ca="1">AR40/reliefs!$F$7*AX40*-1</f>
        <v>0</v>
      </c>
      <c r="AZ40" s="1002">
        <f t="shared" ca="1" si="134"/>
        <v>0</v>
      </c>
      <c r="BA40" s="2372" t="s">
        <v>2905</v>
      </c>
      <c r="BB40" s="1000" t="s">
        <v>2903</v>
      </c>
      <c r="BC40" s="997"/>
      <c r="BD40" s="1000" t="s">
        <v>2904</v>
      </c>
      <c r="BE40" s="997"/>
      <c r="BF40" s="1002"/>
      <c r="BG40" s="997">
        <f t="shared" ca="1" si="135"/>
        <v>0</v>
      </c>
      <c r="BH40" s="997">
        <f t="shared" si="143"/>
        <v>15000</v>
      </c>
      <c r="BI40" s="1001">
        <f t="shared" si="143"/>
        <v>0</v>
      </c>
      <c r="BJ40" s="997">
        <f t="shared" si="143"/>
        <v>5000000</v>
      </c>
      <c r="BK40" s="997">
        <f t="shared" si="143"/>
        <v>0.499</v>
      </c>
      <c r="BL40" s="997" t="b">
        <f t="shared" si="143"/>
        <v>1</v>
      </c>
      <c r="BM40" s="997" t="b">
        <f t="shared" si="143"/>
        <v>0</v>
      </c>
      <c r="BN40" s="997">
        <f t="shared" si="143"/>
        <v>1200</v>
      </c>
      <c r="BO40" s="997">
        <f t="shared" ca="1" si="110"/>
        <v>0</v>
      </c>
      <c r="BP40" s="997"/>
      <c r="BQ40" s="997"/>
      <c r="BR40" s="997">
        <f t="shared" si="88"/>
        <v>1800</v>
      </c>
      <c r="BS40" s="997"/>
      <c r="BT40" s="997" t="b">
        <f t="shared" ca="1" si="136"/>
        <v>0</v>
      </c>
      <c r="BU40" s="997" t="b">
        <f t="shared" si="142"/>
        <v>1</v>
      </c>
      <c r="BV40" s="997" t="b">
        <f t="shared" si="137"/>
        <v>0</v>
      </c>
      <c r="BW40" s="997" t="b">
        <f t="shared" ca="1" si="138"/>
        <v>0</v>
      </c>
      <c r="BX40" s="997" t="b">
        <f t="shared" ca="1" si="92"/>
        <v>0</v>
      </c>
      <c r="BY40" s="997">
        <f t="shared" ca="1" si="111"/>
        <v>1800</v>
      </c>
      <c r="BZ40" s="997">
        <f t="shared" si="112"/>
        <v>365</v>
      </c>
      <c r="CA40" s="997">
        <f t="shared" si="139"/>
        <v>0</v>
      </c>
      <c r="CB40" s="997">
        <f t="shared" ca="1" si="140"/>
        <v>0</v>
      </c>
      <c r="CC40" s="997">
        <f t="shared" ca="1" si="113"/>
        <v>0</v>
      </c>
      <c r="CD40" s="997"/>
      <c r="CE40" s="1002" t="b">
        <f t="shared" si="50"/>
        <v>0</v>
      </c>
      <c r="CF40" s="5"/>
      <c r="CG40" s="5"/>
    </row>
    <row r="41" spans="1:85" customFormat="1" x14ac:dyDescent="0.35">
      <c r="P41" s="1042"/>
      <c r="T41" s="2445">
        <f ca="1">ROUND(SUM(T29:T40),2)</f>
        <v>0</v>
      </c>
      <c r="U41" s="1008">
        <f ca="1">U29+U30+U31+U32+U33+U34+U35+U36+U37+U38+U39+U40</f>
        <v>0</v>
      </c>
      <c r="AI41" s="1009">
        <f ca="1">SUM(AI29:AI40)</f>
        <v>1</v>
      </c>
      <c r="AJ41" s="1002">
        <f ca="1">AJ40+AJ39+AJ38+AJ37+AJ36+AJ35+AJ34+AJ33+AJ32+AJ31+AJ30+AJ29</f>
        <v>0</v>
      </c>
      <c r="AK41" s="997" t="str">
        <f ca="1">IF(AJ41=12,"Phased",IF(AJ41=0,"True","***"))</f>
        <v>True</v>
      </c>
      <c r="AL41" s="1002">
        <f ca="1">SUM(AL29:AL40)</f>
        <v>0</v>
      </c>
      <c r="AM41" s="1010">
        <f ca="1">IF(AL41&lt;1,AL41,INT(AL41))</f>
        <v>0</v>
      </c>
      <c r="AN41" s="1010" t="str">
        <f ca="1">IF(AL41-AM41&lt;&gt;0,"N/J + T",IF(AND(0&lt;AL41,AL41&lt;1),"P + T",IF(AL41&gt;=1,"N/J","")))</f>
        <v/>
      </c>
      <c r="AO41" s="5"/>
      <c r="AP41" s="1002">
        <f ca="1">SUM($AO$3:AO41)</f>
        <v>3</v>
      </c>
      <c r="AQ41" s="5"/>
      <c r="AR41" s="5"/>
      <c r="AS41" s="5"/>
      <c r="AT41" s="5"/>
      <c r="AU41" s="5"/>
      <c r="AV41" s="5"/>
      <c r="AW41" s="5"/>
      <c r="AX41" s="5"/>
      <c r="AY41" s="2371">
        <f ca="1">IF(SUM(AY29:AY40)&lt;BA41,BA41,SUM(AY29:AY40))</f>
        <v>0</v>
      </c>
      <c r="AZ41" s="5"/>
      <c r="BA41" s="2371">
        <f ca="1">MIN(BB41,BD41)*-1</f>
        <v>-110000</v>
      </c>
      <c r="BB41" s="15">
        <f ca="1">BC41-(AY28*-1)-(AY15*-1)</f>
        <v>315000</v>
      </c>
      <c r="BC41" s="15">
        <f>reliefs!F16</f>
        <v>315000</v>
      </c>
      <c r="BD41" s="15">
        <f>reliefs!F15</f>
        <v>110000</v>
      </c>
      <c r="BE41" s="5"/>
      <c r="BF41" s="5"/>
      <c r="BG41" s="1002">
        <f ca="1">SUM(BG29:BG40)+0.0000001</f>
        <v>9.9999999999999995E-8</v>
      </c>
      <c r="BH41" s="997"/>
      <c r="BI41" s="1001"/>
      <c r="BJ41" s="5"/>
      <c r="BK41" s="5"/>
      <c r="BL41" s="5"/>
      <c r="BM41" s="5"/>
      <c r="BN41" s="5"/>
      <c r="BO41" s="5"/>
      <c r="BP41" s="5"/>
      <c r="BQ41" s="5"/>
      <c r="BR41" s="997"/>
      <c r="BS41" s="5"/>
      <c r="BT41" s="997"/>
      <c r="BU41" s="997"/>
      <c r="BV41" s="997"/>
      <c r="BW41" s="997" t="b">
        <f ca="1">AND(BW40=TRUE,BV41=TRUE)</f>
        <v>0</v>
      </c>
      <c r="BX41" s="997" t="b">
        <f t="shared" ca="1" si="92"/>
        <v>0</v>
      </c>
      <c r="BY41" s="5"/>
      <c r="BZ41" s="5"/>
      <c r="CA41" s="5"/>
      <c r="CB41" s="5"/>
      <c r="CC41" s="5"/>
      <c r="CD41" s="5"/>
      <c r="CE41" s="1002" t="b">
        <f t="shared" si="50"/>
        <v>0</v>
      </c>
      <c r="CF41" s="5"/>
      <c r="CG41" s="5"/>
    </row>
    <row r="42" spans="1:85" s="2396" customFormat="1" x14ac:dyDescent="0.35">
      <c r="A42" s="2388">
        <v>0</v>
      </c>
      <c r="B42" s="2389">
        <f>CH5</f>
        <v>46113</v>
      </c>
      <c r="C42" s="2388">
        <f>IF(OR(B42=0,B42=""),"",4)</f>
        <v>4</v>
      </c>
      <c r="D42" s="2389">
        <f>$CJ$5</f>
        <v>46477</v>
      </c>
      <c r="E42" s="2390" t="str">
        <f ca="1">IF(B42=B43,E43,OFFSET(E28,AI41,0))</f>
        <v>nn</v>
      </c>
      <c r="F42" s="2389">
        <f>B42</f>
        <v>46113</v>
      </c>
      <c r="G42" s="2389">
        <f>IF(B42="","",IF(C43=C42,F43-1,D42))</f>
        <v>46112</v>
      </c>
      <c r="H42" s="2390">
        <f>IF(B42&lt;&gt;"",G42-F42+1,0)</f>
        <v>0</v>
      </c>
      <c r="I42" s="2388">
        <f t="shared" ref="I42:I53" ca="1" si="144">IF(AP42&gt;0,K42*P42,HLOOKUP(E42,$CM$1:$CP$9,1+$C$42,FALSE))</f>
        <v>0</v>
      </c>
      <c r="J42" s="2388">
        <f t="shared" ref="J42:J53" ca="1" si="145">I42/$CK$5</f>
        <v>0</v>
      </c>
      <c r="K42" s="2388">
        <f t="shared" ref="K42:K53" ca="1" si="146">HLOOKUP(E42,$CM$1:$CP$10,10,FALSE)</f>
        <v>0</v>
      </c>
      <c r="L42" s="2388" t="str">
        <f ca="1">IF(B42=B43,L43,OFFSET(L28,AI41,0))</f>
        <v/>
      </c>
      <c r="M42" s="2390" t="str">
        <f ca="1">IF(L42&lt;K42,"down","up")</f>
        <v>up</v>
      </c>
      <c r="N42" s="2390">
        <f ca="1">IF(OR(B42="",K42=0),0,IF(M42="down",J42*L42/K42*H42,0))</f>
        <v>0</v>
      </c>
      <c r="O42" s="2390" t="e">
        <f t="shared" ref="O42:O53" ca="1" si="147">IF(B42="","",IF(M42="up",((J42*H42)+((L42-K42)*P42/$CK$5*H42)),0))</f>
        <v>#VALUE!</v>
      </c>
      <c r="P42" s="2391">
        <f>$CL$5</f>
        <v>0.51900000000000002</v>
      </c>
      <c r="Q42" s="2388" t="e">
        <f ca="1">IF(M42="down",N42,O42)</f>
        <v>#VALUE!</v>
      </c>
      <c r="R42" s="2388" t="e">
        <f ca="1">IF(B42="",0,IF(U42=TRUE,(Q42/AH42)+AC42+(AD42/AH42),(Q42)+Y42+Z42+AC42+AD42))</f>
        <v>#VALUE!</v>
      </c>
      <c r="S42" s="2392">
        <f ca="1">IF(B42=B43,S43,OFFSET(S28,AI41,0))</f>
        <v>1</v>
      </c>
      <c r="T42" s="2442" t="e">
        <f t="shared" ref="T42:T53" ca="1" si="148">$CV$1*IF(AND(AF42="y",L42&lt;AG42),0,R42*S42)+AY42+CD42</f>
        <v>#VALUE!</v>
      </c>
      <c r="U42" s="2388" t="b">
        <f ca="1">AND(V42=TRUE,L42&lt;=W42,AF42="n",X42=FALSE)</f>
        <v>0</v>
      </c>
      <c r="V42" s="2388" t="b">
        <f>advanced!$I$25="y"</f>
        <v>0</v>
      </c>
      <c r="W42" s="2388">
        <f>data!$D$36</f>
        <v>15000</v>
      </c>
      <c r="X42" s="2388" t="b">
        <f t="shared" si="23"/>
        <v>0</v>
      </c>
      <c r="Y42" s="2388" t="e">
        <f ca="1">IF(B42="",0,IF(OR(L42&lt;$CV$5,U42=TRUE),0,L42*$CS$5/$CK$5*H42))</f>
        <v>#VALUE!</v>
      </c>
      <c r="Z42" s="2388">
        <f t="shared" ref="Z42:Z53" ca="1" si="149">IF(B42="",0,IF(AND($Z$2=TRUE,L42&gt;AA42),L42*AB42*H42/AQ42,0))</f>
        <v>0</v>
      </c>
      <c r="AA42" s="2390">
        <f>data!$G$56</f>
        <v>75000</v>
      </c>
      <c r="AB42" s="2390">
        <f>data!$F$56</f>
        <v>0.02</v>
      </c>
      <c r="AC42" s="2388" t="e">
        <f ca="1">IF(B42="",0,L42*($CQ$5-IF(L42&lt;$CV$5,CW$5,0))/$CK$5*H42)*$AC$2/IF(U42=TRUE,AH42,1)</f>
        <v>#VALUE!</v>
      </c>
      <c r="AD42" s="2388" t="e">
        <f ca="1">IF(B42="",0,(IF($AE$1=authorities!$I$1,0,IF(L42&gt;AE42,VLOOKUP($AD$1,authorities!A:H,C42+1,FALSE),0)))*L42/$CK$5*H42)</f>
        <v>#VALUE!</v>
      </c>
      <c r="AE42" s="2388">
        <f>IF($AE$1=authorities!$I$1,0,$AE$1)</f>
        <v>0</v>
      </c>
      <c r="AF42" s="2392" t="str">
        <f ca="1">IF(B42=B43,AF43,OFFSET(AF28,AI41,0))</f>
        <v>n</v>
      </c>
      <c r="AG42" s="2390">
        <f>data!$C$46</f>
        <v>2900</v>
      </c>
      <c r="AH42" s="2393">
        <f ca="1">IF(L42&lt;=$CT$5,5000000,IF(L42&gt;$CU$5,1,IF(MID((($CU$5-$CT$5)/(L42-$CT$5)),6,1)="5",ROUND((($CU$5-$CT$5)/(L42-$CT$5))-0.0001,3),ROUND(($CU$5-$CT$5)/(L42-$CT$5),3))))</f>
        <v>1</v>
      </c>
      <c r="AI42" s="2388">
        <f ca="1">IF(L42&lt;&gt;"",1,0)</f>
        <v>0</v>
      </c>
      <c r="AJ42" s="2388" t="b">
        <f ca="1">IF(AP42&gt;0,FALSE,HLOOKUP(E42,$CM$1:$CP$17,$AJ$1+4,FALSE))</f>
        <v>0</v>
      </c>
      <c r="AK42" s="2388"/>
      <c r="AL42" s="2388">
        <f ca="1">IF(OR(H42=0,F42="",K42=L42,AJ42=FALSE),0,IF(L42&lt;K42,1,0.01))</f>
        <v>0</v>
      </c>
      <c r="AM42" s="2388"/>
      <c r="AN42" s="2388"/>
      <c r="AO42" s="2390">
        <f t="shared" ref="AO42:AO53" ca="1" si="150">IF(L42=0,1,0)</f>
        <v>0</v>
      </c>
      <c r="AP42" s="2390">
        <f ca="1">SUM($AO$3:AO42)</f>
        <v>3</v>
      </c>
      <c r="AQ42" s="2390">
        <f t="shared" ref="AQ42:AQ53" si="151">$CK$5</f>
        <v>365</v>
      </c>
      <c r="AR42" s="2388" t="e">
        <f t="shared" ref="AR42:AR53" ca="1" si="152">$CV$1*IF(AND(AF42="y",L42&lt;AG42),0,R42*S42)</f>
        <v>#VALUE!</v>
      </c>
      <c r="AS42" s="2390"/>
      <c r="AT42" s="2388" t="str">
        <f ca="1">L42</f>
        <v/>
      </c>
      <c r="AU42" s="2388" t="b">
        <f t="shared" ref="AU42:AU53" ca="1" si="153">AT42&lt;$AU$1</f>
        <v>0</v>
      </c>
      <c r="AV42" s="2388" t="b">
        <f t="shared" si="9"/>
        <v>0</v>
      </c>
      <c r="AW42" s="2388" t="b">
        <f t="shared" ref="AW42:AW53" ca="1" si="154">AF42="n"</f>
        <v>1</v>
      </c>
      <c r="AX42" s="2388">
        <f ca="1">AU42*AV42*AW42*IF(S42=0,0,1)</f>
        <v>0</v>
      </c>
      <c r="AY42" s="2388" t="e">
        <f ca="1">AR42/reliefs!$G$7*AX42*-1</f>
        <v>#VALUE!</v>
      </c>
      <c r="AZ42" s="2390"/>
      <c r="BA42" s="2397"/>
      <c r="BB42" s="2388"/>
      <c r="BC42" s="2388"/>
      <c r="BD42" s="2388"/>
      <c r="BE42" s="2388"/>
      <c r="BF42" s="2390"/>
      <c r="BG42" s="2388"/>
      <c r="BH42" s="2388"/>
      <c r="BI42" s="2388"/>
      <c r="BJ42" s="2388"/>
      <c r="BK42" s="2388"/>
      <c r="BL42" s="2388"/>
      <c r="BM42" s="2388"/>
      <c r="BN42" s="2388"/>
      <c r="BO42" s="2388"/>
      <c r="BP42" s="2388"/>
      <c r="BQ42" s="2388"/>
      <c r="BR42" s="2388"/>
      <c r="BS42" s="2388"/>
      <c r="BT42" s="2388"/>
      <c r="BU42" s="2388"/>
      <c r="BV42" s="2388"/>
      <c r="BW42" s="2388"/>
      <c r="BX42" s="2388"/>
      <c r="BY42" s="2388"/>
      <c r="BZ42" s="2388"/>
      <c r="CA42" s="2388"/>
      <c r="CB42" s="2388"/>
      <c r="CC42" s="2388"/>
      <c r="CD42" s="2388"/>
      <c r="CE42" s="2395"/>
      <c r="CF42" s="2395"/>
      <c r="CG42" s="2395"/>
    </row>
    <row r="43" spans="1:85" s="2396" customFormat="1" x14ac:dyDescent="0.35">
      <c r="A43" s="2388">
        <f t="shared" ref="A43:A53" si="155">A42+1</f>
        <v>1</v>
      </c>
      <c r="B43" s="2389">
        <f>IF(input_engine_ox!$AE$21&gt;A42,VLOOKUP(A43,input_engine_ox!$AE$23:$AI$35,2,FALSE),"")</f>
        <v>46113</v>
      </c>
      <c r="C43" s="2388">
        <f t="shared" ref="C43:C53" si="156">IF(OR(B43=0,B43=""),"",4)</f>
        <v>4</v>
      </c>
      <c r="D43" s="2389">
        <f t="shared" ref="D43:D53" si="157">$CJ$5</f>
        <v>46477</v>
      </c>
      <c r="E43" s="2390" t="str">
        <f>IF(B43="",E42,VLOOKUP(B43,input_engine_ox!$B$23:$F$35,5,FALSE))</f>
        <v>nn</v>
      </c>
      <c r="F43" s="2389">
        <f t="shared" ref="F43:F53" si="158">B43</f>
        <v>46113</v>
      </c>
      <c r="G43" s="2389">
        <f t="shared" ref="G43:G52" si="159">IF(B43="","",IF(C44=C43,F44-1,D43))</f>
        <v>46112</v>
      </c>
      <c r="H43" s="2390">
        <f t="shared" ref="H43:H53" si="160">IF(B43&lt;&gt;"",G43-F43+1,0)</f>
        <v>0</v>
      </c>
      <c r="I43" s="2388">
        <f t="shared" ca="1" si="144"/>
        <v>0</v>
      </c>
      <c r="J43" s="2388">
        <f t="shared" ca="1" si="145"/>
        <v>0</v>
      </c>
      <c r="K43" s="2388">
        <f t="shared" si="146"/>
        <v>0</v>
      </c>
      <c r="L43" s="2388" t="str">
        <f>IF(input_engine_ox!$AE$21&gt;A42,VLOOKUP(A43,input_engine_ox!$AE$23:$AI$36,3,FALSE),"")</f>
        <v/>
      </c>
      <c r="M43" s="2390" t="str">
        <f t="shared" ref="M43:M53" si="161">IF(L43&lt;K43,"down","up")</f>
        <v>up</v>
      </c>
      <c r="N43" s="2390">
        <f>IF(B43="","",IF(M43="down",J43*L43/K43*H43,0))</f>
        <v>0</v>
      </c>
      <c r="O43" s="2390" t="e">
        <f t="shared" ca="1" si="147"/>
        <v>#VALUE!</v>
      </c>
      <c r="P43" s="2391">
        <f t="shared" ref="P43:P53" si="162">$CL$5</f>
        <v>0.51900000000000002</v>
      </c>
      <c r="Q43" s="2388" t="e">
        <f t="shared" ref="Q43:Q53" ca="1" si="163">IF(M43="down",N43,O43)</f>
        <v>#VALUE!</v>
      </c>
      <c r="R43" s="2388" t="e">
        <f t="shared" ref="R43:R53" ca="1" si="164">IF(B43="",0,IF(U43=TRUE,(Q43/AH43)+AC43+(AD43/AH43),(Q43)+Y43+Z43+AC43+AD43))</f>
        <v>#VALUE!</v>
      </c>
      <c r="S43" s="2392">
        <f>IF(input_engine_ox!$AE$21&gt;A42,VLOOKUP(A43,input_engine_ox!$AE$23:$AI$35,4,FALSE),0)</f>
        <v>1</v>
      </c>
      <c r="T43" s="2442" t="e">
        <f t="shared" ca="1" si="148"/>
        <v>#VALUE!</v>
      </c>
      <c r="U43" s="2388" t="b">
        <f t="shared" ref="U43:U53" si="165">AND(V43=TRUE,L43&lt;=W43,AF43="n",X43=FALSE)</f>
        <v>0</v>
      </c>
      <c r="V43" s="2388" t="b">
        <f>advanced!$I$25="y"</f>
        <v>0</v>
      </c>
      <c r="W43" s="2388">
        <f>data!$D$36</f>
        <v>15000</v>
      </c>
      <c r="X43" s="2388" t="b">
        <f t="shared" si="23"/>
        <v>0</v>
      </c>
      <c r="Y43" s="2388" t="e">
        <f t="shared" ref="Y43:Y53" si="166">IF(B43="",0,IF(OR(L43&lt;$CV$5,U43=TRUE),0,L43*$CS$5/$CK$5*H43))</f>
        <v>#VALUE!</v>
      </c>
      <c r="Z43" s="2388">
        <f t="shared" si="149"/>
        <v>0</v>
      </c>
      <c r="AA43" s="2390">
        <f>data!$G$56</f>
        <v>75000</v>
      </c>
      <c r="AB43" s="2390">
        <f>data!$F$56</f>
        <v>0.02</v>
      </c>
      <c r="AC43" s="2388" t="e">
        <f t="shared" ref="AC43:AC53" si="167">IF(B43="",0,L43*($CQ$5-IF(L43&lt;$CV$5,CW$5,0))/$CK$5*H43)*$AC$2/IF(U43=TRUE,AH43,1)</f>
        <v>#VALUE!</v>
      </c>
      <c r="AD43" s="2388" t="e">
        <f>IF(B43="",0,(IF($AE$1=authorities!$I$1,0,IF(L43&gt;AE43,VLOOKUP($AD$1,authorities!A:H,C43+1,FALSE),0)))*L43/$CK$5*H43)</f>
        <v>#VALUE!</v>
      </c>
      <c r="AE43" s="2388">
        <f>IF($AE$1=authorities!$I$1,0,$AE$1)</f>
        <v>0</v>
      </c>
      <c r="AF43" s="2390" t="str">
        <f>IF(input_engine_ox!$AE$21&gt;A42,VLOOKUP(A43,input_engine_ox!$AE$23:$AI$35,5,FALSE),0)</f>
        <v>n</v>
      </c>
      <c r="AG43" s="2390">
        <f>data!$C$46</f>
        <v>2900</v>
      </c>
      <c r="AH43" s="2393">
        <f t="shared" ref="AH43:AH53" si="168">IF(L43&lt;=$CT$5,5000000,IF(L43&gt;$CU$5,1,IF(MID((($CU$5-$CT$5)/(L43-$CT$5)),6,1)="5",ROUND((($CU$5-$CT$5)/(L43-$CT$5))-0.0001,3),ROUND(($CU$5-$CT$5)/(L43-$CT$5),3))))</f>
        <v>1</v>
      </c>
      <c r="AI43" s="2388">
        <f t="shared" ref="AI43:AI53" si="169">IF(L43&lt;&gt;"",1,0)</f>
        <v>0</v>
      </c>
      <c r="AJ43" s="2388" t="b">
        <f t="shared" ref="AJ43:AJ53" ca="1" si="170">IF(AP43&gt;0,FALSE,HLOOKUP(E43,$CM$1:$CP$17,$AJ$1+4,FALSE))</f>
        <v>0</v>
      </c>
      <c r="AK43" s="2388"/>
      <c r="AL43" s="2388">
        <f t="shared" ref="AL43:AL53" ca="1" si="171">IF(OR(H43=0,F43="",K43=L43,AJ43=FALSE),0,IF(L43&lt;K43,1,0.01))</f>
        <v>0</v>
      </c>
      <c r="AM43" s="2388"/>
      <c r="AN43" s="2388"/>
      <c r="AO43" s="2390">
        <f t="shared" si="150"/>
        <v>0</v>
      </c>
      <c r="AP43" s="2390">
        <f ca="1">SUM($AO$3:AO43)</f>
        <v>3</v>
      </c>
      <c r="AQ43" s="2390">
        <f t="shared" si="151"/>
        <v>365</v>
      </c>
      <c r="AR43" s="2388" t="e">
        <f t="shared" ca="1" si="152"/>
        <v>#VALUE!</v>
      </c>
      <c r="AS43" s="2390"/>
      <c r="AT43" s="2388" t="str">
        <f t="shared" ref="AT43:AT53" ca="1" si="172">IF(L43="",AT42,L43)</f>
        <v/>
      </c>
      <c r="AU43" s="2388" t="b">
        <f t="shared" ca="1" si="153"/>
        <v>0</v>
      </c>
      <c r="AV43" s="2388" t="b">
        <f t="shared" si="9"/>
        <v>0</v>
      </c>
      <c r="AW43" s="2388" t="b">
        <f t="shared" si="154"/>
        <v>1</v>
      </c>
      <c r="AX43" s="2388">
        <f t="shared" ref="AX43:AX53" ca="1" si="173">0*AU43*AV43*AW43*IF(S43=0,0,1)</f>
        <v>0</v>
      </c>
      <c r="AY43" s="2388" t="e">
        <f ca="1">AR43/reliefs!$G$7*AX43*-1</f>
        <v>#VALUE!</v>
      </c>
      <c r="AZ43" s="2390"/>
      <c r="BA43" s="2397"/>
      <c r="BB43" s="2388"/>
      <c r="BC43" s="2388"/>
      <c r="BD43" s="2388"/>
      <c r="BE43" s="2388"/>
      <c r="BF43" s="2390"/>
      <c r="BG43" s="2388"/>
      <c r="BH43" s="2388"/>
      <c r="BI43" s="2388"/>
      <c r="BJ43" s="2388"/>
      <c r="BK43" s="2388"/>
      <c r="BL43" s="2388"/>
      <c r="BM43" s="2388"/>
      <c r="BN43" s="2388"/>
      <c r="BO43" s="2388"/>
      <c r="BP43" s="2388"/>
      <c r="BQ43" s="2388"/>
      <c r="BR43" s="2388"/>
      <c r="BS43" s="2388"/>
      <c r="BT43" s="2388"/>
      <c r="BU43" s="2388"/>
      <c r="BV43" s="2388"/>
      <c r="BW43" s="2388"/>
      <c r="BX43" s="2388"/>
      <c r="BY43" s="2388"/>
      <c r="BZ43" s="2388"/>
      <c r="CA43" s="2388"/>
      <c r="CB43" s="2388"/>
      <c r="CC43" s="2388"/>
      <c r="CD43" s="2388"/>
      <c r="CE43" s="2395"/>
      <c r="CF43" s="2395"/>
      <c r="CG43" s="2395"/>
    </row>
    <row r="44" spans="1:85" s="2396" customFormat="1" x14ac:dyDescent="0.35">
      <c r="A44" s="2388">
        <f t="shared" si="155"/>
        <v>2</v>
      </c>
      <c r="B44" s="2389">
        <f>IF(input_engine_ox!$AE$21&gt;A43,VLOOKUP(A44,input_engine_ox!$AE$23:$AI$35,2,FALSE),"")</f>
        <v>46113</v>
      </c>
      <c r="C44" s="2388">
        <f t="shared" si="156"/>
        <v>4</v>
      </c>
      <c r="D44" s="2389">
        <f t="shared" si="157"/>
        <v>46477</v>
      </c>
      <c r="E44" s="2390" t="str">
        <f>IF(B44="",E43,VLOOKUP(B44,input_engine_ox!$B$23:$F$35,5,FALSE))</f>
        <v>nn</v>
      </c>
      <c r="F44" s="2389">
        <f t="shared" si="158"/>
        <v>46113</v>
      </c>
      <c r="G44" s="2389">
        <f t="shared" si="159"/>
        <v>46112</v>
      </c>
      <c r="H44" s="2390">
        <f t="shared" si="160"/>
        <v>0</v>
      </c>
      <c r="I44" s="2388">
        <f t="shared" ca="1" si="144"/>
        <v>0</v>
      </c>
      <c r="J44" s="2388">
        <f t="shared" ca="1" si="145"/>
        <v>0</v>
      </c>
      <c r="K44" s="2388">
        <f t="shared" si="146"/>
        <v>0</v>
      </c>
      <c r="L44" s="2388" t="str">
        <f>IF(input_engine_ox!$AE$21&gt;A43,VLOOKUP(A44,input_engine_ox!$AE$23:$AI$36,3,FALSE),"")</f>
        <v/>
      </c>
      <c r="M44" s="2390" t="str">
        <f t="shared" si="161"/>
        <v>up</v>
      </c>
      <c r="N44" s="2390">
        <f t="shared" ref="N44:N53" si="174">IF(B44="","",IF(M44="down",J44*L44/K44*H44,0))</f>
        <v>0</v>
      </c>
      <c r="O44" s="2390" t="e">
        <f t="shared" ca="1" si="147"/>
        <v>#VALUE!</v>
      </c>
      <c r="P44" s="2391">
        <f t="shared" si="162"/>
        <v>0.51900000000000002</v>
      </c>
      <c r="Q44" s="2388" t="e">
        <f t="shared" ca="1" si="163"/>
        <v>#VALUE!</v>
      </c>
      <c r="R44" s="2388" t="e">
        <f t="shared" ca="1" si="164"/>
        <v>#VALUE!</v>
      </c>
      <c r="S44" s="2392">
        <f>IF(input_engine_ox!$AE$21&gt;A43,VLOOKUP(A44,input_engine_ox!$AE$23:$AI$35,4,FALSE),0)</f>
        <v>1</v>
      </c>
      <c r="T44" s="2442" t="e">
        <f t="shared" ca="1" si="148"/>
        <v>#VALUE!</v>
      </c>
      <c r="U44" s="2388" t="b">
        <f t="shared" si="165"/>
        <v>0</v>
      </c>
      <c r="V44" s="2388" t="b">
        <f>advanced!$I$25="y"</f>
        <v>0</v>
      </c>
      <c r="W44" s="2388">
        <f>data!$D$36</f>
        <v>15000</v>
      </c>
      <c r="X44" s="2388" t="b">
        <f t="shared" si="23"/>
        <v>0</v>
      </c>
      <c r="Y44" s="2388" t="e">
        <f t="shared" si="166"/>
        <v>#VALUE!</v>
      </c>
      <c r="Z44" s="2388">
        <f t="shared" si="149"/>
        <v>0</v>
      </c>
      <c r="AA44" s="2390">
        <f>data!$G$56</f>
        <v>75000</v>
      </c>
      <c r="AB44" s="2390">
        <f>data!$F$56</f>
        <v>0.02</v>
      </c>
      <c r="AC44" s="2388" t="e">
        <f t="shared" si="167"/>
        <v>#VALUE!</v>
      </c>
      <c r="AD44" s="2388" t="e">
        <f>IF(B44="",0,(IF($AE$1=authorities!$I$1,0,IF(L44&gt;AE44,VLOOKUP($AD$1,authorities!A:H,C44+1,FALSE),0)))*L44/$CK$5*H44)</f>
        <v>#VALUE!</v>
      </c>
      <c r="AE44" s="2388">
        <f>IF($AE$1=authorities!$I$1,0,$AE$1)</f>
        <v>0</v>
      </c>
      <c r="AF44" s="2390" t="str">
        <f>IF(input_engine_ox!$AE$21&gt;A43,VLOOKUP(A44,input_engine_ox!$AE$23:$AI$35,5,FALSE),0)</f>
        <v>n</v>
      </c>
      <c r="AG44" s="2390">
        <f>data!$C$46</f>
        <v>2900</v>
      </c>
      <c r="AH44" s="2393">
        <f t="shared" si="168"/>
        <v>1</v>
      </c>
      <c r="AI44" s="2388">
        <f t="shared" si="169"/>
        <v>0</v>
      </c>
      <c r="AJ44" s="2388" t="b">
        <f t="shared" ca="1" si="170"/>
        <v>0</v>
      </c>
      <c r="AK44" s="2388"/>
      <c r="AL44" s="2388">
        <f t="shared" ca="1" si="171"/>
        <v>0</v>
      </c>
      <c r="AM44" s="2388"/>
      <c r="AN44" s="2388"/>
      <c r="AO44" s="2390">
        <f t="shared" si="150"/>
        <v>0</v>
      </c>
      <c r="AP44" s="2390">
        <f ca="1">SUM($AO$3:AO44)</f>
        <v>3</v>
      </c>
      <c r="AQ44" s="2390">
        <f t="shared" si="151"/>
        <v>365</v>
      </c>
      <c r="AR44" s="2388" t="e">
        <f t="shared" ca="1" si="152"/>
        <v>#VALUE!</v>
      </c>
      <c r="AS44" s="2390"/>
      <c r="AT44" s="2388" t="str">
        <f t="shared" ca="1" si="172"/>
        <v/>
      </c>
      <c r="AU44" s="2388" t="b">
        <f t="shared" ca="1" si="153"/>
        <v>0</v>
      </c>
      <c r="AV44" s="2388" t="b">
        <f t="shared" si="9"/>
        <v>0</v>
      </c>
      <c r="AW44" s="2388" t="b">
        <f t="shared" si="154"/>
        <v>1</v>
      </c>
      <c r="AX44" s="2388">
        <f t="shared" ca="1" si="173"/>
        <v>0</v>
      </c>
      <c r="AY44" s="2388" t="e">
        <f ca="1">AR44/reliefs!$G$7*AX44*-1</f>
        <v>#VALUE!</v>
      </c>
      <c r="AZ44" s="2390"/>
      <c r="BA44" s="2397"/>
      <c r="BB44" s="2388"/>
      <c r="BC44" s="2388"/>
      <c r="BD44" s="2388"/>
      <c r="BE44" s="2388"/>
      <c r="BF44" s="2390"/>
      <c r="BG44" s="2388"/>
      <c r="BH44" s="2388"/>
      <c r="BI44" s="2388"/>
      <c r="BJ44" s="2388"/>
      <c r="BK44" s="2388"/>
      <c r="BL44" s="2388"/>
      <c r="BM44" s="2388"/>
      <c r="BN44" s="2388"/>
      <c r="BO44" s="2388"/>
      <c r="BP44" s="2388"/>
      <c r="BQ44" s="2388"/>
      <c r="BR44" s="2388"/>
      <c r="BS44" s="2388"/>
      <c r="BT44" s="2388"/>
      <c r="BU44" s="2388"/>
      <c r="BV44" s="2388"/>
      <c r="BW44" s="2388"/>
      <c r="BX44" s="2388"/>
      <c r="BY44" s="2388"/>
      <c r="BZ44" s="2388"/>
      <c r="CA44" s="2388"/>
      <c r="CB44" s="2388"/>
      <c r="CC44" s="2388"/>
      <c r="CD44" s="2388"/>
      <c r="CE44" s="2395"/>
      <c r="CF44" s="2395"/>
      <c r="CG44" s="2395"/>
    </row>
    <row r="45" spans="1:85" s="2396" customFormat="1" x14ac:dyDescent="0.35">
      <c r="A45" s="2388">
        <f t="shared" si="155"/>
        <v>3</v>
      </c>
      <c r="B45" s="2389">
        <f>IF(input_engine_ox!$AE$21&gt;A44,VLOOKUP(A45,input_engine_ox!$AE$23:$AI$35,2,FALSE),"")</f>
        <v>46113</v>
      </c>
      <c r="C45" s="2388">
        <f t="shared" si="156"/>
        <v>4</v>
      </c>
      <c r="D45" s="2389">
        <f t="shared" si="157"/>
        <v>46477</v>
      </c>
      <c r="E45" s="2390" t="str">
        <f>IF(B45="",E44,VLOOKUP(B45,input_engine_ox!$B$23:$F$35,5,FALSE))</f>
        <v>nn</v>
      </c>
      <c r="F45" s="2389">
        <f t="shared" si="158"/>
        <v>46113</v>
      </c>
      <c r="G45" s="2389">
        <f t="shared" si="159"/>
        <v>46112</v>
      </c>
      <c r="H45" s="2390">
        <f t="shared" si="160"/>
        <v>0</v>
      </c>
      <c r="I45" s="2388">
        <f t="shared" ca="1" si="144"/>
        <v>0</v>
      </c>
      <c r="J45" s="2388">
        <f t="shared" ca="1" si="145"/>
        <v>0</v>
      </c>
      <c r="K45" s="2388">
        <f t="shared" si="146"/>
        <v>0</v>
      </c>
      <c r="L45" s="2388" t="str">
        <f>IF(input_engine_ox!$AE$21&gt;A44,VLOOKUP(A45,input_engine_ox!$AE$23:$AI$36,3,FALSE),"")</f>
        <v/>
      </c>
      <c r="M45" s="2390" t="str">
        <f t="shared" si="161"/>
        <v>up</v>
      </c>
      <c r="N45" s="2390">
        <f t="shared" si="174"/>
        <v>0</v>
      </c>
      <c r="O45" s="2390" t="e">
        <f t="shared" ca="1" si="147"/>
        <v>#VALUE!</v>
      </c>
      <c r="P45" s="2391">
        <f t="shared" si="162"/>
        <v>0.51900000000000002</v>
      </c>
      <c r="Q45" s="2388" t="e">
        <f t="shared" ca="1" si="163"/>
        <v>#VALUE!</v>
      </c>
      <c r="R45" s="2388" t="e">
        <f t="shared" ca="1" si="164"/>
        <v>#VALUE!</v>
      </c>
      <c r="S45" s="2392">
        <f>IF(input_engine_ox!$AE$21&gt;A44,VLOOKUP(A45,input_engine_ox!$AE$23:$AI$35,4,FALSE),0)</f>
        <v>1</v>
      </c>
      <c r="T45" s="2442" t="e">
        <f t="shared" ca="1" si="148"/>
        <v>#VALUE!</v>
      </c>
      <c r="U45" s="2388" t="b">
        <f t="shared" si="165"/>
        <v>0</v>
      </c>
      <c r="V45" s="2388" t="b">
        <f>advanced!$I$25="y"</f>
        <v>0</v>
      </c>
      <c r="W45" s="2388">
        <f>data!$D$36</f>
        <v>15000</v>
      </c>
      <c r="X45" s="2388" t="b">
        <f t="shared" si="23"/>
        <v>0</v>
      </c>
      <c r="Y45" s="2388" t="e">
        <f t="shared" si="166"/>
        <v>#VALUE!</v>
      </c>
      <c r="Z45" s="2388">
        <f t="shared" si="149"/>
        <v>0</v>
      </c>
      <c r="AA45" s="2390">
        <f>data!$G$56</f>
        <v>75000</v>
      </c>
      <c r="AB45" s="2390">
        <f>data!$F$56</f>
        <v>0.02</v>
      </c>
      <c r="AC45" s="2388" t="e">
        <f t="shared" si="167"/>
        <v>#VALUE!</v>
      </c>
      <c r="AD45" s="2388" t="e">
        <f>IF(B45="",0,(IF($AE$1=authorities!$I$1,0,IF(L45&gt;AE45,VLOOKUP($AD$1,authorities!A:H,C45+1,FALSE),0)))*L45/$CK$5*H45)</f>
        <v>#VALUE!</v>
      </c>
      <c r="AE45" s="2388">
        <f>IF($AE$1=authorities!$I$1,0,$AE$1)</f>
        <v>0</v>
      </c>
      <c r="AF45" s="2390" t="str">
        <f>IF(input_engine_ox!$AE$21&gt;A44,VLOOKUP(A45,input_engine_ox!$AE$23:$AI$35,5,FALSE),0)</f>
        <v>n</v>
      </c>
      <c r="AG45" s="2390">
        <f>data!$C$46</f>
        <v>2900</v>
      </c>
      <c r="AH45" s="2393">
        <f t="shared" si="168"/>
        <v>1</v>
      </c>
      <c r="AI45" s="2388">
        <f t="shared" si="169"/>
        <v>0</v>
      </c>
      <c r="AJ45" s="2388" t="b">
        <f t="shared" ca="1" si="170"/>
        <v>0</v>
      </c>
      <c r="AK45" s="2388"/>
      <c r="AL45" s="2388">
        <f t="shared" ca="1" si="171"/>
        <v>0</v>
      </c>
      <c r="AM45" s="2388"/>
      <c r="AN45" s="2388"/>
      <c r="AO45" s="2390">
        <f t="shared" si="150"/>
        <v>0</v>
      </c>
      <c r="AP45" s="2390">
        <f ca="1">SUM($AO$3:AO45)</f>
        <v>3</v>
      </c>
      <c r="AQ45" s="2390">
        <f t="shared" si="151"/>
        <v>365</v>
      </c>
      <c r="AR45" s="2388" t="e">
        <f t="shared" ca="1" si="152"/>
        <v>#VALUE!</v>
      </c>
      <c r="AS45" s="2390"/>
      <c r="AT45" s="2388" t="str">
        <f t="shared" ca="1" si="172"/>
        <v/>
      </c>
      <c r="AU45" s="2388" t="b">
        <f t="shared" ca="1" si="153"/>
        <v>0</v>
      </c>
      <c r="AV45" s="2388" t="b">
        <f t="shared" si="9"/>
        <v>0</v>
      </c>
      <c r="AW45" s="2388" t="b">
        <f t="shared" si="154"/>
        <v>1</v>
      </c>
      <c r="AX45" s="2388">
        <f t="shared" ca="1" si="173"/>
        <v>0</v>
      </c>
      <c r="AY45" s="2388" t="e">
        <f ca="1">AR45/reliefs!$G$7*AX45*-1</f>
        <v>#VALUE!</v>
      </c>
      <c r="AZ45" s="2390"/>
      <c r="BA45" s="2397"/>
      <c r="BB45" s="2388"/>
      <c r="BC45" s="2388"/>
      <c r="BD45" s="2388"/>
      <c r="BE45" s="2388"/>
      <c r="BF45" s="2390"/>
      <c r="BG45" s="2388"/>
      <c r="BH45" s="2388"/>
      <c r="BI45" s="2388"/>
      <c r="BJ45" s="2388"/>
      <c r="BK45" s="2388"/>
      <c r="BL45" s="2388"/>
      <c r="BM45" s="2388"/>
      <c r="BN45" s="2388"/>
      <c r="BO45" s="2388"/>
      <c r="BP45" s="2388"/>
      <c r="BQ45" s="2388"/>
      <c r="BR45" s="2388"/>
      <c r="BS45" s="2388"/>
      <c r="BT45" s="2388"/>
      <c r="BU45" s="2388"/>
      <c r="BV45" s="2388"/>
      <c r="BW45" s="2388"/>
      <c r="BX45" s="2388"/>
      <c r="BY45" s="2388"/>
      <c r="BZ45" s="2388"/>
      <c r="CA45" s="2388"/>
      <c r="CB45" s="2388"/>
      <c r="CC45" s="2388"/>
      <c r="CD45" s="2388"/>
      <c r="CE45" s="2395"/>
      <c r="CF45" s="2395"/>
      <c r="CG45" s="2395"/>
    </row>
    <row r="46" spans="1:85" s="2396" customFormat="1" x14ac:dyDescent="0.35">
      <c r="A46" s="2388">
        <f t="shared" si="155"/>
        <v>4</v>
      </c>
      <c r="B46" s="2389">
        <f>IF(input_engine_ox!$AE$21&gt;A45,VLOOKUP(A46,input_engine_ox!$AE$23:$AI$35,2,FALSE),"")</f>
        <v>46113</v>
      </c>
      <c r="C46" s="2388">
        <f t="shared" si="156"/>
        <v>4</v>
      </c>
      <c r="D46" s="2389">
        <f t="shared" si="157"/>
        <v>46477</v>
      </c>
      <c r="E46" s="2390" t="str">
        <f>IF(B46="",E45,VLOOKUP(B46,input_engine_ox!$B$23:$F$35,5,FALSE))</f>
        <v>nn</v>
      </c>
      <c r="F46" s="2389">
        <f t="shared" si="158"/>
        <v>46113</v>
      </c>
      <c r="G46" s="2389">
        <f t="shared" si="159"/>
        <v>46112</v>
      </c>
      <c r="H46" s="2390">
        <f t="shared" si="160"/>
        <v>0</v>
      </c>
      <c r="I46" s="2388">
        <f t="shared" ca="1" si="144"/>
        <v>0</v>
      </c>
      <c r="J46" s="2388">
        <f t="shared" ca="1" si="145"/>
        <v>0</v>
      </c>
      <c r="K46" s="2388">
        <f t="shared" si="146"/>
        <v>0</v>
      </c>
      <c r="L46" s="2388" t="str">
        <f>IF(input_engine_ox!$AE$21&gt;A45,VLOOKUP(A46,input_engine_ox!$AE$23:$AI$36,3,FALSE),"")</f>
        <v/>
      </c>
      <c r="M46" s="2390" t="str">
        <f t="shared" si="161"/>
        <v>up</v>
      </c>
      <c r="N46" s="2390">
        <f t="shared" si="174"/>
        <v>0</v>
      </c>
      <c r="O46" s="2390" t="e">
        <f t="shared" ca="1" si="147"/>
        <v>#VALUE!</v>
      </c>
      <c r="P46" s="2391">
        <f t="shared" si="162"/>
        <v>0.51900000000000002</v>
      </c>
      <c r="Q46" s="2388" t="e">
        <f t="shared" ca="1" si="163"/>
        <v>#VALUE!</v>
      </c>
      <c r="R46" s="2388" t="e">
        <f t="shared" ca="1" si="164"/>
        <v>#VALUE!</v>
      </c>
      <c r="S46" s="2392">
        <f>IF(input_engine_ox!$AE$21&gt;A45,VLOOKUP(A46,input_engine_ox!$AE$23:$AI$35,4,FALSE),0)</f>
        <v>1</v>
      </c>
      <c r="T46" s="2442" t="e">
        <f t="shared" ca="1" si="148"/>
        <v>#VALUE!</v>
      </c>
      <c r="U46" s="2388" t="b">
        <f t="shared" si="165"/>
        <v>0</v>
      </c>
      <c r="V46" s="2388" t="b">
        <f>advanced!$I$25="y"</f>
        <v>0</v>
      </c>
      <c r="W46" s="2388">
        <f>data!$D$36</f>
        <v>15000</v>
      </c>
      <c r="X46" s="2388" t="b">
        <f t="shared" si="23"/>
        <v>0</v>
      </c>
      <c r="Y46" s="2388" t="e">
        <f t="shared" si="166"/>
        <v>#VALUE!</v>
      </c>
      <c r="Z46" s="2388">
        <f t="shared" si="149"/>
        <v>0</v>
      </c>
      <c r="AA46" s="2390">
        <f>data!$G$56</f>
        <v>75000</v>
      </c>
      <c r="AB46" s="2390">
        <f>data!$F$56</f>
        <v>0.02</v>
      </c>
      <c r="AC46" s="2388" t="e">
        <f t="shared" si="167"/>
        <v>#VALUE!</v>
      </c>
      <c r="AD46" s="2388" t="e">
        <f>IF(B46="",0,(IF($AE$1=authorities!$I$1,0,IF(L46&gt;AE46,VLOOKUP($AD$1,authorities!A:H,C46+1,FALSE),0)))*L46/$CK$5*H46)</f>
        <v>#VALUE!</v>
      </c>
      <c r="AE46" s="2388">
        <f>IF($AE$1=authorities!$I$1,0,$AE$1)</f>
        <v>0</v>
      </c>
      <c r="AF46" s="2390" t="str">
        <f>IF(input_engine_ox!$AE$21&gt;A45,VLOOKUP(A46,input_engine_ox!$AE$23:$AI$35,5,FALSE),0)</f>
        <v>n</v>
      </c>
      <c r="AG46" s="2390">
        <f>data!$C$46</f>
        <v>2900</v>
      </c>
      <c r="AH46" s="2393">
        <f t="shared" si="168"/>
        <v>1</v>
      </c>
      <c r="AI46" s="2388">
        <f t="shared" si="169"/>
        <v>0</v>
      </c>
      <c r="AJ46" s="2388" t="b">
        <f t="shared" ca="1" si="170"/>
        <v>0</v>
      </c>
      <c r="AK46" s="2388"/>
      <c r="AL46" s="2388">
        <f t="shared" ca="1" si="171"/>
        <v>0</v>
      </c>
      <c r="AM46" s="2388"/>
      <c r="AN46" s="2388"/>
      <c r="AO46" s="2390">
        <f t="shared" si="150"/>
        <v>0</v>
      </c>
      <c r="AP46" s="2390">
        <f ca="1">SUM($AO$3:AO46)</f>
        <v>3</v>
      </c>
      <c r="AQ46" s="2390">
        <f t="shared" si="151"/>
        <v>365</v>
      </c>
      <c r="AR46" s="2388" t="e">
        <f t="shared" ca="1" si="152"/>
        <v>#VALUE!</v>
      </c>
      <c r="AS46" s="2395"/>
      <c r="AT46" s="2388" t="str">
        <f t="shared" ca="1" si="172"/>
        <v/>
      </c>
      <c r="AU46" s="2388" t="b">
        <f t="shared" ca="1" si="153"/>
        <v>0</v>
      </c>
      <c r="AV46" s="2388" t="b">
        <f t="shared" si="9"/>
        <v>0</v>
      </c>
      <c r="AW46" s="2388" t="b">
        <f t="shared" si="154"/>
        <v>1</v>
      </c>
      <c r="AX46" s="2388">
        <f t="shared" ca="1" si="173"/>
        <v>0</v>
      </c>
      <c r="AY46" s="2388" t="e">
        <f ca="1">AR46/reliefs!$G$7*AX46*-1</f>
        <v>#VALUE!</v>
      </c>
      <c r="AZ46" s="2395"/>
      <c r="BA46" s="2397"/>
      <c r="BB46" s="2388"/>
      <c r="BC46" s="2388"/>
      <c r="BD46" s="2388"/>
      <c r="BE46" s="2388"/>
      <c r="BF46" s="2390"/>
      <c r="BG46" s="2388"/>
      <c r="BH46" s="2388"/>
      <c r="BI46" s="2388"/>
      <c r="BJ46" s="2388"/>
      <c r="BK46" s="2388"/>
      <c r="BL46" s="2388"/>
      <c r="BM46" s="2388"/>
      <c r="BN46" s="2388"/>
      <c r="BO46" s="2388"/>
      <c r="BP46" s="2388"/>
      <c r="BQ46" s="2388"/>
      <c r="BR46" s="2388"/>
      <c r="BS46" s="2388"/>
      <c r="BT46" s="2388"/>
      <c r="BU46" s="2388"/>
      <c r="BV46" s="2388"/>
      <c r="BW46" s="2388"/>
      <c r="BX46" s="2388"/>
      <c r="BY46" s="2388"/>
      <c r="BZ46" s="2388"/>
      <c r="CA46" s="2388"/>
      <c r="CB46" s="2388"/>
      <c r="CC46" s="2388"/>
      <c r="CD46" s="2388"/>
      <c r="CE46" s="2395"/>
      <c r="CF46" s="2395"/>
      <c r="CG46" s="2395"/>
    </row>
    <row r="47" spans="1:85" s="2396" customFormat="1" x14ac:dyDescent="0.35">
      <c r="A47" s="2388">
        <f t="shared" si="155"/>
        <v>5</v>
      </c>
      <c r="B47" s="2389">
        <f>IF(input_engine_ox!$AE$21&gt;A46,VLOOKUP(A47,input_engine_ox!$AE$23:$AI$35,2,FALSE),"")</f>
        <v>46113</v>
      </c>
      <c r="C47" s="2388">
        <f t="shared" si="156"/>
        <v>4</v>
      </c>
      <c r="D47" s="2389">
        <f t="shared" si="157"/>
        <v>46477</v>
      </c>
      <c r="E47" s="2390" t="str">
        <f>IF(B47="",E46,VLOOKUP(B47,input_engine_ox!$B$23:$F$35,5,FALSE))</f>
        <v>nn</v>
      </c>
      <c r="F47" s="2389">
        <f t="shared" si="158"/>
        <v>46113</v>
      </c>
      <c r="G47" s="2389">
        <f t="shared" si="159"/>
        <v>46112</v>
      </c>
      <c r="H47" s="2390">
        <f t="shared" si="160"/>
        <v>0</v>
      </c>
      <c r="I47" s="2388">
        <f t="shared" ca="1" si="144"/>
        <v>0</v>
      </c>
      <c r="J47" s="2388">
        <f t="shared" ca="1" si="145"/>
        <v>0</v>
      </c>
      <c r="K47" s="2388">
        <f t="shared" si="146"/>
        <v>0</v>
      </c>
      <c r="L47" s="2388" t="str">
        <f>IF(input_engine_ox!$AE$21&gt;A46,VLOOKUP(A47,input_engine_ox!$AE$23:$AI$36,3,FALSE),"")</f>
        <v/>
      </c>
      <c r="M47" s="2390" t="str">
        <f t="shared" si="161"/>
        <v>up</v>
      </c>
      <c r="N47" s="2390">
        <f t="shared" si="174"/>
        <v>0</v>
      </c>
      <c r="O47" s="2390" t="e">
        <f t="shared" ca="1" si="147"/>
        <v>#VALUE!</v>
      </c>
      <c r="P47" s="2391">
        <f t="shared" si="162"/>
        <v>0.51900000000000002</v>
      </c>
      <c r="Q47" s="2388" t="e">
        <f t="shared" ca="1" si="163"/>
        <v>#VALUE!</v>
      </c>
      <c r="R47" s="2388" t="e">
        <f t="shared" ca="1" si="164"/>
        <v>#VALUE!</v>
      </c>
      <c r="S47" s="2392">
        <f>IF(input_engine_ox!$AE$21&gt;A46,VLOOKUP(A47,input_engine_ox!$AE$23:$AI$35,4,FALSE),0)</f>
        <v>1</v>
      </c>
      <c r="T47" s="2442" t="e">
        <f t="shared" ca="1" si="148"/>
        <v>#VALUE!</v>
      </c>
      <c r="U47" s="2388" t="b">
        <f t="shared" si="165"/>
        <v>0</v>
      </c>
      <c r="V47" s="2388" t="b">
        <f>advanced!$I$25="y"</f>
        <v>0</v>
      </c>
      <c r="W47" s="2388">
        <f>data!$D$36</f>
        <v>15000</v>
      </c>
      <c r="X47" s="2388" t="b">
        <f t="shared" si="23"/>
        <v>0</v>
      </c>
      <c r="Y47" s="2388" t="e">
        <f t="shared" si="166"/>
        <v>#VALUE!</v>
      </c>
      <c r="Z47" s="2388">
        <f t="shared" si="149"/>
        <v>0</v>
      </c>
      <c r="AA47" s="2390">
        <f>data!$G$56</f>
        <v>75000</v>
      </c>
      <c r="AB47" s="2390">
        <f>data!$F$56</f>
        <v>0.02</v>
      </c>
      <c r="AC47" s="2388" t="e">
        <f t="shared" si="167"/>
        <v>#VALUE!</v>
      </c>
      <c r="AD47" s="2388" t="e">
        <f>IF(B47="",0,(IF($AE$1=authorities!$I$1,0,IF(L47&gt;AE47,VLOOKUP($AD$1,authorities!A:H,C47+1,FALSE),0)))*L47/$CK$5*H47)</f>
        <v>#VALUE!</v>
      </c>
      <c r="AE47" s="2388">
        <f>IF($AE$1=authorities!$I$1,0,$AE$1)</f>
        <v>0</v>
      </c>
      <c r="AF47" s="2390" t="str">
        <f>IF(input_engine_ox!$AE$21&gt;A46,VLOOKUP(A47,input_engine_ox!$AE$23:$AI$35,5,FALSE),0)</f>
        <v>n</v>
      </c>
      <c r="AG47" s="2390">
        <f>data!$C$46</f>
        <v>2900</v>
      </c>
      <c r="AH47" s="2393">
        <f t="shared" si="168"/>
        <v>1</v>
      </c>
      <c r="AI47" s="2388">
        <f t="shared" si="169"/>
        <v>0</v>
      </c>
      <c r="AJ47" s="2388" t="b">
        <f t="shared" ca="1" si="170"/>
        <v>0</v>
      </c>
      <c r="AK47" s="2388"/>
      <c r="AL47" s="2388">
        <f t="shared" ca="1" si="171"/>
        <v>0</v>
      </c>
      <c r="AM47" s="2388"/>
      <c r="AN47" s="2388"/>
      <c r="AO47" s="2390">
        <f t="shared" si="150"/>
        <v>0</v>
      </c>
      <c r="AP47" s="2390">
        <f ca="1">SUM($AO$3:AO47)</f>
        <v>3</v>
      </c>
      <c r="AQ47" s="2390">
        <f t="shared" si="151"/>
        <v>365</v>
      </c>
      <c r="AR47" s="2388" t="e">
        <f t="shared" ca="1" si="152"/>
        <v>#VALUE!</v>
      </c>
      <c r="AS47" s="2395"/>
      <c r="AT47" s="2388" t="str">
        <f t="shared" ca="1" si="172"/>
        <v/>
      </c>
      <c r="AU47" s="2388" t="b">
        <f t="shared" ca="1" si="153"/>
        <v>0</v>
      </c>
      <c r="AV47" s="2388" t="b">
        <f t="shared" si="9"/>
        <v>0</v>
      </c>
      <c r="AW47" s="2388" t="b">
        <f t="shared" si="154"/>
        <v>1</v>
      </c>
      <c r="AX47" s="2388">
        <f t="shared" ca="1" si="173"/>
        <v>0</v>
      </c>
      <c r="AY47" s="2388" t="e">
        <f ca="1">AR47/reliefs!$G$7*AX47*-1</f>
        <v>#VALUE!</v>
      </c>
      <c r="AZ47" s="2395"/>
      <c r="BA47" s="2397"/>
      <c r="BB47" s="2388"/>
      <c r="BC47" s="2388"/>
      <c r="BD47" s="2388"/>
      <c r="BE47" s="2388"/>
      <c r="BF47" s="2390"/>
      <c r="BG47" s="2388"/>
      <c r="BH47" s="2388"/>
      <c r="BI47" s="2388"/>
      <c r="BJ47" s="2388"/>
      <c r="BK47" s="2388"/>
      <c r="BL47" s="2388"/>
      <c r="BM47" s="2388"/>
      <c r="BN47" s="2388"/>
      <c r="BO47" s="2388"/>
      <c r="BP47" s="2388"/>
      <c r="BQ47" s="2388"/>
      <c r="BR47" s="2388"/>
      <c r="BS47" s="2388"/>
      <c r="BT47" s="2388"/>
      <c r="BU47" s="2388"/>
      <c r="BV47" s="2388"/>
      <c r="BW47" s="2388"/>
      <c r="BX47" s="2388"/>
      <c r="BY47" s="2388"/>
      <c r="BZ47" s="2388"/>
      <c r="CA47" s="2388"/>
      <c r="CB47" s="2388"/>
      <c r="CC47" s="2388"/>
      <c r="CD47" s="2388"/>
      <c r="CE47" s="2395"/>
      <c r="CF47" s="2395"/>
      <c r="CG47" s="2395"/>
    </row>
    <row r="48" spans="1:85" s="2396" customFormat="1" x14ac:dyDescent="0.35">
      <c r="A48" s="2388">
        <f t="shared" si="155"/>
        <v>6</v>
      </c>
      <c r="B48" s="2389">
        <f>IF(input_engine_ox!$AE$21&gt;A47,VLOOKUP(A48,input_engine_ox!$AE$23:$AI$35,2,FALSE),"")</f>
        <v>46113</v>
      </c>
      <c r="C48" s="2388">
        <f t="shared" si="156"/>
        <v>4</v>
      </c>
      <c r="D48" s="2389">
        <f t="shared" si="157"/>
        <v>46477</v>
      </c>
      <c r="E48" s="2390" t="str">
        <f>IF(B48="",E47,VLOOKUP(B48,input_engine_ox!$B$23:$F$35,5,FALSE))</f>
        <v>nn</v>
      </c>
      <c r="F48" s="2389">
        <f t="shared" si="158"/>
        <v>46113</v>
      </c>
      <c r="G48" s="2389">
        <f t="shared" si="159"/>
        <v>46112</v>
      </c>
      <c r="H48" s="2390">
        <f t="shared" si="160"/>
        <v>0</v>
      </c>
      <c r="I48" s="2388">
        <f t="shared" ca="1" si="144"/>
        <v>0</v>
      </c>
      <c r="J48" s="2388">
        <f t="shared" ca="1" si="145"/>
        <v>0</v>
      </c>
      <c r="K48" s="2388">
        <f t="shared" si="146"/>
        <v>0</v>
      </c>
      <c r="L48" s="2388" t="str">
        <f>IF(input_engine_ox!$AE$21&gt;A47,VLOOKUP(A48,input_engine_ox!$AE$23:$AI$36,3,FALSE),"")</f>
        <v/>
      </c>
      <c r="M48" s="2390" t="str">
        <f t="shared" si="161"/>
        <v>up</v>
      </c>
      <c r="N48" s="2390">
        <f t="shared" si="174"/>
        <v>0</v>
      </c>
      <c r="O48" s="2390" t="e">
        <f t="shared" ca="1" si="147"/>
        <v>#VALUE!</v>
      </c>
      <c r="P48" s="2391">
        <f t="shared" si="162"/>
        <v>0.51900000000000002</v>
      </c>
      <c r="Q48" s="2388" t="e">
        <f t="shared" ca="1" si="163"/>
        <v>#VALUE!</v>
      </c>
      <c r="R48" s="2388" t="e">
        <f t="shared" ca="1" si="164"/>
        <v>#VALUE!</v>
      </c>
      <c r="S48" s="2392">
        <f>IF(input_engine_ox!$AE$21&gt;A47,VLOOKUP(A48,input_engine_ox!$AE$23:$AI$35,4,FALSE),0)</f>
        <v>1</v>
      </c>
      <c r="T48" s="2442" t="e">
        <f t="shared" ca="1" si="148"/>
        <v>#VALUE!</v>
      </c>
      <c r="U48" s="2388" t="b">
        <f t="shared" si="165"/>
        <v>0</v>
      </c>
      <c r="V48" s="2388" t="b">
        <f>advanced!$I$25="y"</f>
        <v>0</v>
      </c>
      <c r="W48" s="2388">
        <f>data!$D$36</f>
        <v>15000</v>
      </c>
      <c r="X48" s="2388" t="b">
        <f t="shared" si="23"/>
        <v>0</v>
      </c>
      <c r="Y48" s="2388" t="e">
        <f t="shared" si="166"/>
        <v>#VALUE!</v>
      </c>
      <c r="Z48" s="2388">
        <f t="shared" si="149"/>
        <v>0</v>
      </c>
      <c r="AA48" s="2390">
        <f>data!$G$56</f>
        <v>75000</v>
      </c>
      <c r="AB48" s="2390">
        <f>data!$F$56</f>
        <v>0.02</v>
      </c>
      <c r="AC48" s="2388" t="e">
        <f t="shared" si="167"/>
        <v>#VALUE!</v>
      </c>
      <c r="AD48" s="2388" t="e">
        <f>IF(B48="",0,(IF($AE$1=authorities!$I$1,0,IF(L48&gt;AE48,VLOOKUP($AD$1,authorities!A:H,C48+1,FALSE),0)))*L48/$CK$5*H48)</f>
        <v>#VALUE!</v>
      </c>
      <c r="AE48" s="2388">
        <f>IF($AE$1=authorities!$I$1,0,$AE$1)</f>
        <v>0</v>
      </c>
      <c r="AF48" s="2390" t="str">
        <f>IF(input_engine_ox!$AE$21&gt;A47,VLOOKUP(A48,input_engine_ox!$AE$23:$AI$35,5,FALSE),0)</f>
        <v>n</v>
      </c>
      <c r="AG48" s="2390">
        <f>data!$C$46</f>
        <v>2900</v>
      </c>
      <c r="AH48" s="2393">
        <f t="shared" si="168"/>
        <v>1</v>
      </c>
      <c r="AI48" s="2388">
        <f t="shared" si="169"/>
        <v>0</v>
      </c>
      <c r="AJ48" s="2388" t="b">
        <f t="shared" ca="1" si="170"/>
        <v>0</v>
      </c>
      <c r="AK48" s="2388"/>
      <c r="AL48" s="2388">
        <f t="shared" ca="1" si="171"/>
        <v>0</v>
      </c>
      <c r="AM48" s="2388"/>
      <c r="AN48" s="2388"/>
      <c r="AO48" s="2390">
        <f t="shared" si="150"/>
        <v>0</v>
      </c>
      <c r="AP48" s="2390">
        <f ca="1">SUM($AO$3:AO48)</f>
        <v>3</v>
      </c>
      <c r="AQ48" s="2390">
        <f t="shared" si="151"/>
        <v>365</v>
      </c>
      <c r="AR48" s="2388" t="e">
        <f t="shared" ca="1" si="152"/>
        <v>#VALUE!</v>
      </c>
      <c r="AS48" s="2395"/>
      <c r="AT48" s="2388" t="str">
        <f t="shared" ca="1" si="172"/>
        <v/>
      </c>
      <c r="AU48" s="2388" t="b">
        <f t="shared" ca="1" si="153"/>
        <v>0</v>
      </c>
      <c r="AV48" s="2388" t="b">
        <f t="shared" si="9"/>
        <v>0</v>
      </c>
      <c r="AW48" s="2388" t="b">
        <f t="shared" si="154"/>
        <v>1</v>
      </c>
      <c r="AX48" s="2388">
        <f t="shared" ca="1" si="173"/>
        <v>0</v>
      </c>
      <c r="AY48" s="2388" t="e">
        <f ca="1">AR48/reliefs!$G$7*AX48*-1</f>
        <v>#VALUE!</v>
      </c>
      <c r="AZ48" s="2395"/>
      <c r="BA48" s="2397"/>
      <c r="BB48" s="2388"/>
      <c r="BC48" s="2388"/>
      <c r="BD48" s="2388"/>
      <c r="BE48" s="2388"/>
      <c r="BF48" s="2390"/>
      <c r="BG48" s="2388"/>
      <c r="BH48" s="2388"/>
      <c r="BI48" s="2388"/>
      <c r="BJ48" s="2388"/>
      <c r="BK48" s="2388"/>
      <c r="BL48" s="2388"/>
      <c r="BM48" s="2388"/>
      <c r="BN48" s="2388"/>
      <c r="BO48" s="2388"/>
      <c r="BP48" s="2388"/>
      <c r="BQ48" s="2388"/>
      <c r="BR48" s="2388"/>
      <c r="BS48" s="2388"/>
      <c r="BT48" s="2388"/>
      <c r="BU48" s="2388"/>
      <c r="BV48" s="2388"/>
      <c r="BW48" s="2388"/>
      <c r="BX48" s="2388"/>
      <c r="BY48" s="2388"/>
      <c r="BZ48" s="2388"/>
      <c r="CA48" s="2388"/>
      <c r="CB48" s="2388"/>
      <c r="CC48" s="2388"/>
      <c r="CD48" s="2388"/>
      <c r="CE48" s="2395"/>
      <c r="CF48" s="2395"/>
      <c r="CG48" s="2395"/>
    </row>
    <row r="49" spans="1:85" s="2396" customFormat="1" x14ac:dyDescent="0.35">
      <c r="A49" s="2388">
        <f t="shared" si="155"/>
        <v>7</v>
      </c>
      <c r="B49" s="2389">
        <f>IF(input_engine_ox!$AE$21&gt;A48,VLOOKUP(A49,input_engine_ox!$AE$23:$AI$35,2,FALSE),"")</f>
        <v>46113</v>
      </c>
      <c r="C49" s="2388">
        <f t="shared" si="156"/>
        <v>4</v>
      </c>
      <c r="D49" s="2389">
        <f t="shared" si="157"/>
        <v>46477</v>
      </c>
      <c r="E49" s="2390" t="str">
        <f>IF(B49="",E48,VLOOKUP(B49,input_engine_ox!$B$23:$F$35,5,FALSE))</f>
        <v>nn</v>
      </c>
      <c r="F49" s="2389">
        <f t="shared" si="158"/>
        <v>46113</v>
      </c>
      <c r="G49" s="2389">
        <f t="shared" si="159"/>
        <v>46112</v>
      </c>
      <c r="H49" s="2390">
        <f t="shared" si="160"/>
        <v>0</v>
      </c>
      <c r="I49" s="2388">
        <f t="shared" ca="1" si="144"/>
        <v>0</v>
      </c>
      <c r="J49" s="2388">
        <f t="shared" ca="1" si="145"/>
        <v>0</v>
      </c>
      <c r="K49" s="2388">
        <f t="shared" si="146"/>
        <v>0</v>
      </c>
      <c r="L49" s="2388" t="str">
        <f>IF(input_engine_ox!$AE$21&gt;A48,VLOOKUP(A49,input_engine_ox!$AE$23:$AI$36,3,FALSE),"")</f>
        <v/>
      </c>
      <c r="M49" s="2390" t="str">
        <f t="shared" si="161"/>
        <v>up</v>
      </c>
      <c r="N49" s="2390">
        <f t="shared" si="174"/>
        <v>0</v>
      </c>
      <c r="O49" s="2390" t="e">
        <f t="shared" ca="1" si="147"/>
        <v>#VALUE!</v>
      </c>
      <c r="P49" s="2391">
        <f t="shared" si="162"/>
        <v>0.51900000000000002</v>
      </c>
      <c r="Q49" s="2388" t="e">
        <f t="shared" ca="1" si="163"/>
        <v>#VALUE!</v>
      </c>
      <c r="R49" s="2388" t="e">
        <f t="shared" ca="1" si="164"/>
        <v>#VALUE!</v>
      </c>
      <c r="S49" s="2392">
        <f>IF(input_engine_ox!$AE$21&gt;A48,VLOOKUP(A49,input_engine_ox!$AE$23:$AI$35,4,FALSE),0)</f>
        <v>1</v>
      </c>
      <c r="T49" s="2442" t="e">
        <f t="shared" ca="1" si="148"/>
        <v>#VALUE!</v>
      </c>
      <c r="U49" s="2388" t="b">
        <f t="shared" si="165"/>
        <v>0</v>
      </c>
      <c r="V49" s="2388" t="b">
        <f>advanced!$I$25="y"</f>
        <v>0</v>
      </c>
      <c r="W49" s="2388">
        <f>data!$D$36</f>
        <v>15000</v>
      </c>
      <c r="X49" s="2388" t="b">
        <f t="shared" si="23"/>
        <v>0</v>
      </c>
      <c r="Y49" s="2388" t="e">
        <f t="shared" si="166"/>
        <v>#VALUE!</v>
      </c>
      <c r="Z49" s="2388">
        <f t="shared" si="149"/>
        <v>0</v>
      </c>
      <c r="AA49" s="2390">
        <f>data!$G$56</f>
        <v>75000</v>
      </c>
      <c r="AB49" s="2390">
        <f>data!$F$56</f>
        <v>0.02</v>
      </c>
      <c r="AC49" s="2388" t="e">
        <f t="shared" si="167"/>
        <v>#VALUE!</v>
      </c>
      <c r="AD49" s="2388" t="e">
        <f>IF(B49="",0,(IF($AE$1=authorities!$I$1,0,IF(L49&gt;AE49,VLOOKUP($AD$1,authorities!A:H,C49+1,FALSE),0)))*L49/$CK$5*H49)</f>
        <v>#VALUE!</v>
      </c>
      <c r="AE49" s="2388">
        <f>IF($AE$1=authorities!$I$1,0,$AE$1)</f>
        <v>0</v>
      </c>
      <c r="AF49" s="2390" t="str">
        <f>IF(input_engine_ox!$AE$21&gt;A48,VLOOKUP(A49,input_engine_ox!$AE$23:$AI$35,5,FALSE),0)</f>
        <v>n</v>
      </c>
      <c r="AG49" s="2390">
        <f>data!$C$46</f>
        <v>2900</v>
      </c>
      <c r="AH49" s="2393">
        <f t="shared" si="168"/>
        <v>1</v>
      </c>
      <c r="AI49" s="2388">
        <f t="shared" si="169"/>
        <v>0</v>
      </c>
      <c r="AJ49" s="2388" t="b">
        <f t="shared" ca="1" si="170"/>
        <v>0</v>
      </c>
      <c r="AK49" s="2388"/>
      <c r="AL49" s="2388">
        <f t="shared" ca="1" si="171"/>
        <v>0</v>
      </c>
      <c r="AM49" s="2388"/>
      <c r="AN49" s="2388"/>
      <c r="AO49" s="2390">
        <f t="shared" si="150"/>
        <v>0</v>
      </c>
      <c r="AP49" s="2390">
        <f ca="1">SUM($AO$3:AO49)</f>
        <v>3</v>
      </c>
      <c r="AQ49" s="2390">
        <f t="shared" si="151"/>
        <v>365</v>
      </c>
      <c r="AR49" s="2388" t="e">
        <f t="shared" ca="1" si="152"/>
        <v>#VALUE!</v>
      </c>
      <c r="AS49" s="2395"/>
      <c r="AT49" s="2388" t="str">
        <f t="shared" ca="1" si="172"/>
        <v/>
      </c>
      <c r="AU49" s="2388" t="b">
        <f t="shared" ca="1" si="153"/>
        <v>0</v>
      </c>
      <c r="AV49" s="2388" t="b">
        <f t="shared" si="9"/>
        <v>0</v>
      </c>
      <c r="AW49" s="2388" t="b">
        <f t="shared" si="154"/>
        <v>1</v>
      </c>
      <c r="AX49" s="2388">
        <f t="shared" ca="1" si="173"/>
        <v>0</v>
      </c>
      <c r="AY49" s="2388" t="e">
        <f ca="1">AR49/reliefs!$G$7*AX49*-1</f>
        <v>#VALUE!</v>
      </c>
      <c r="AZ49" s="2395"/>
      <c r="BA49" s="2397"/>
      <c r="BB49" s="2388"/>
      <c r="BC49" s="2388"/>
      <c r="BD49" s="2388"/>
      <c r="BE49" s="2388"/>
      <c r="BF49" s="2390"/>
      <c r="BG49" s="2388"/>
      <c r="BH49" s="2388"/>
      <c r="BI49" s="2388"/>
      <c r="BJ49" s="2388"/>
      <c r="BK49" s="2388"/>
      <c r="BL49" s="2388"/>
      <c r="BM49" s="2388"/>
      <c r="BN49" s="2388"/>
      <c r="BO49" s="2388"/>
      <c r="BP49" s="2388"/>
      <c r="BQ49" s="2388"/>
      <c r="BR49" s="2388"/>
      <c r="BS49" s="2388"/>
      <c r="BT49" s="2388"/>
      <c r="BU49" s="2388"/>
      <c r="BV49" s="2388"/>
      <c r="BW49" s="2388"/>
      <c r="BX49" s="2388"/>
      <c r="BY49" s="2388"/>
      <c r="BZ49" s="2388"/>
      <c r="CA49" s="2388"/>
      <c r="CB49" s="2388"/>
      <c r="CC49" s="2388"/>
      <c r="CD49" s="2388"/>
      <c r="CE49" s="2395"/>
      <c r="CF49" s="2395"/>
      <c r="CG49" s="2395"/>
    </row>
    <row r="50" spans="1:85" s="2396" customFormat="1" x14ac:dyDescent="0.35">
      <c r="A50" s="2388">
        <f t="shared" si="155"/>
        <v>8</v>
      </c>
      <c r="B50" s="2389">
        <f>IF(input_engine_ox!$AE$21&gt;A49,VLOOKUP(A50,input_engine_ox!$AE$23:$AI$35,2,FALSE),"")</f>
        <v>46113</v>
      </c>
      <c r="C50" s="2388">
        <f t="shared" si="156"/>
        <v>4</v>
      </c>
      <c r="D50" s="2389">
        <f t="shared" si="157"/>
        <v>46477</v>
      </c>
      <c r="E50" s="2390" t="str">
        <f>IF(B50="",E49,VLOOKUP(B50,input_engine_ox!$B$23:$F$35,5,FALSE))</f>
        <v>nn</v>
      </c>
      <c r="F50" s="2389">
        <f t="shared" si="158"/>
        <v>46113</v>
      </c>
      <c r="G50" s="2389">
        <f t="shared" si="159"/>
        <v>46112</v>
      </c>
      <c r="H50" s="2390">
        <f t="shared" si="160"/>
        <v>0</v>
      </c>
      <c r="I50" s="2388">
        <f t="shared" ca="1" si="144"/>
        <v>0</v>
      </c>
      <c r="J50" s="2388">
        <f t="shared" ca="1" si="145"/>
        <v>0</v>
      </c>
      <c r="K50" s="2388">
        <f t="shared" si="146"/>
        <v>0</v>
      </c>
      <c r="L50" s="2388" t="str">
        <f>IF(input_engine_ox!$AE$21&gt;A49,VLOOKUP(A50,input_engine_ox!$AE$23:$AI$36,3,FALSE),"")</f>
        <v/>
      </c>
      <c r="M50" s="2390" t="str">
        <f t="shared" si="161"/>
        <v>up</v>
      </c>
      <c r="N50" s="2390">
        <f t="shared" si="174"/>
        <v>0</v>
      </c>
      <c r="O50" s="2390" t="e">
        <f t="shared" ca="1" si="147"/>
        <v>#VALUE!</v>
      </c>
      <c r="P50" s="2391">
        <f t="shared" si="162"/>
        <v>0.51900000000000002</v>
      </c>
      <c r="Q50" s="2388" t="e">
        <f t="shared" ca="1" si="163"/>
        <v>#VALUE!</v>
      </c>
      <c r="R50" s="2388" t="e">
        <f t="shared" ca="1" si="164"/>
        <v>#VALUE!</v>
      </c>
      <c r="S50" s="2392">
        <f>IF(input_engine_ox!$AE$21&gt;A49,VLOOKUP(A50,input_engine_ox!$AE$23:$AI$35,4,FALSE),0)</f>
        <v>1</v>
      </c>
      <c r="T50" s="2442" t="e">
        <f t="shared" ca="1" si="148"/>
        <v>#VALUE!</v>
      </c>
      <c r="U50" s="2388" t="b">
        <f t="shared" si="165"/>
        <v>0</v>
      </c>
      <c r="V50" s="2388" t="b">
        <f>advanced!$I$25="y"</f>
        <v>0</v>
      </c>
      <c r="W50" s="2388">
        <f>data!$D$36</f>
        <v>15000</v>
      </c>
      <c r="X50" s="2388" t="b">
        <f t="shared" si="23"/>
        <v>0</v>
      </c>
      <c r="Y50" s="2388" t="e">
        <f t="shared" si="166"/>
        <v>#VALUE!</v>
      </c>
      <c r="Z50" s="2388">
        <f t="shared" si="149"/>
        <v>0</v>
      </c>
      <c r="AA50" s="2390">
        <f>data!$G$56</f>
        <v>75000</v>
      </c>
      <c r="AB50" s="2390">
        <f>data!$F$56</f>
        <v>0.02</v>
      </c>
      <c r="AC50" s="2388" t="e">
        <f t="shared" si="167"/>
        <v>#VALUE!</v>
      </c>
      <c r="AD50" s="2388" t="e">
        <f>IF(B50="",0,(IF($AE$1=authorities!$I$1,0,IF(L50&gt;AE50,VLOOKUP($AD$1,authorities!A:H,C50+1,FALSE),0)))*L50/$CK$5*H50)</f>
        <v>#VALUE!</v>
      </c>
      <c r="AE50" s="2388">
        <f>IF($AE$1=authorities!$I$1,0,$AE$1)</f>
        <v>0</v>
      </c>
      <c r="AF50" s="2390" t="str">
        <f>IF(input_engine_ox!$AE$21&gt;A49,VLOOKUP(A50,input_engine_ox!$AE$23:$AI$35,5,FALSE),0)</f>
        <v>n</v>
      </c>
      <c r="AG50" s="2390">
        <f>data!$C$46</f>
        <v>2900</v>
      </c>
      <c r="AH50" s="2393">
        <f t="shared" si="168"/>
        <v>1</v>
      </c>
      <c r="AI50" s="2388">
        <f t="shared" si="169"/>
        <v>0</v>
      </c>
      <c r="AJ50" s="2388" t="b">
        <f t="shared" ca="1" si="170"/>
        <v>0</v>
      </c>
      <c r="AK50" s="2388"/>
      <c r="AL50" s="2388">
        <f t="shared" ca="1" si="171"/>
        <v>0</v>
      </c>
      <c r="AM50" s="2388"/>
      <c r="AN50" s="2388"/>
      <c r="AO50" s="2390">
        <f t="shared" si="150"/>
        <v>0</v>
      </c>
      <c r="AP50" s="2390">
        <f ca="1">SUM($AO$3:AO50)</f>
        <v>3</v>
      </c>
      <c r="AQ50" s="2390">
        <f t="shared" si="151"/>
        <v>365</v>
      </c>
      <c r="AR50" s="2388" t="e">
        <f t="shared" ca="1" si="152"/>
        <v>#VALUE!</v>
      </c>
      <c r="AS50" s="2395"/>
      <c r="AT50" s="2388" t="str">
        <f t="shared" ca="1" si="172"/>
        <v/>
      </c>
      <c r="AU50" s="2388" t="b">
        <f t="shared" ca="1" si="153"/>
        <v>0</v>
      </c>
      <c r="AV50" s="2388" t="b">
        <f t="shared" si="9"/>
        <v>0</v>
      </c>
      <c r="AW50" s="2388" t="b">
        <f t="shared" si="154"/>
        <v>1</v>
      </c>
      <c r="AX50" s="2388">
        <f t="shared" ca="1" si="173"/>
        <v>0</v>
      </c>
      <c r="AY50" s="2388" t="e">
        <f ca="1">AR50/reliefs!$G$7*AX50*-1</f>
        <v>#VALUE!</v>
      </c>
      <c r="AZ50" s="2395"/>
      <c r="BA50" s="2397"/>
      <c r="BB50" s="2388"/>
      <c r="BC50" s="2388"/>
      <c r="BD50" s="2388"/>
      <c r="BE50" s="2388"/>
      <c r="BF50" s="2390"/>
      <c r="BG50" s="2388"/>
      <c r="BH50" s="2388"/>
      <c r="BI50" s="2388"/>
      <c r="BJ50" s="2388"/>
      <c r="BK50" s="2388"/>
      <c r="BL50" s="2388"/>
      <c r="BM50" s="2388"/>
      <c r="BN50" s="2388"/>
      <c r="BO50" s="2388"/>
      <c r="BP50" s="2388"/>
      <c r="BQ50" s="2388"/>
      <c r="BR50" s="2388"/>
      <c r="BS50" s="2388"/>
      <c r="BT50" s="2388"/>
      <c r="BU50" s="2388"/>
      <c r="BV50" s="2388"/>
      <c r="BW50" s="2388"/>
      <c r="BX50" s="2388"/>
      <c r="BY50" s="2388"/>
      <c r="BZ50" s="2388"/>
      <c r="CA50" s="2388"/>
      <c r="CB50" s="2388"/>
      <c r="CC50" s="2388"/>
      <c r="CD50" s="2388"/>
      <c r="CE50" s="2395"/>
      <c r="CF50" s="2395"/>
      <c r="CG50" s="2395"/>
    </row>
    <row r="51" spans="1:85" s="2396" customFormat="1" x14ac:dyDescent="0.35">
      <c r="A51" s="2388">
        <f t="shared" si="155"/>
        <v>9</v>
      </c>
      <c r="B51" s="2389">
        <f>IF(input_engine_ox!$AE$21&gt;A50,VLOOKUP(A51,input_engine_ox!$AE$23:$AI$35,2,FALSE),"")</f>
        <v>46113</v>
      </c>
      <c r="C51" s="2388">
        <f t="shared" si="156"/>
        <v>4</v>
      </c>
      <c r="D51" s="2389">
        <f t="shared" si="157"/>
        <v>46477</v>
      </c>
      <c r="E51" s="2390" t="str">
        <f>IF(B51="",E50,VLOOKUP(B51,input_engine_ox!$B$23:$F$35,5,FALSE))</f>
        <v>nn</v>
      </c>
      <c r="F51" s="2389">
        <f t="shared" si="158"/>
        <v>46113</v>
      </c>
      <c r="G51" s="2389">
        <f t="shared" si="159"/>
        <v>46112</v>
      </c>
      <c r="H51" s="2390">
        <f t="shared" si="160"/>
        <v>0</v>
      </c>
      <c r="I51" s="2388">
        <f t="shared" ca="1" si="144"/>
        <v>0</v>
      </c>
      <c r="J51" s="2388">
        <f t="shared" ca="1" si="145"/>
        <v>0</v>
      </c>
      <c r="K51" s="2388">
        <f t="shared" si="146"/>
        <v>0</v>
      </c>
      <c r="L51" s="2388" t="str">
        <f>IF(input_engine_ox!$AE$21&gt;A50,VLOOKUP(A51,input_engine_ox!$AE$23:$AI$36,3,FALSE),"")</f>
        <v/>
      </c>
      <c r="M51" s="2390" t="str">
        <f t="shared" si="161"/>
        <v>up</v>
      </c>
      <c r="N51" s="2390">
        <f t="shared" si="174"/>
        <v>0</v>
      </c>
      <c r="O51" s="2390" t="e">
        <f t="shared" ca="1" si="147"/>
        <v>#VALUE!</v>
      </c>
      <c r="P51" s="2391">
        <f t="shared" si="162"/>
        <v>0.51900000000000002</v>
      </c>
      <c r="Q51" s="2388" t="e">
        <f t="shared" ca="1" si="163"/>
        <v>#VALUE!</v>
      </c>
      <c r="R51" s="2388" t="e">
        <f t="shared" ca="1" si="164"/>
        <v>#VALUE!</v>
      </c>
      <c r="S51" s="2392">
        <f>IF(input_engine_ox!$AE$21&gt;A50,VLOOKUP(A51,input_engine_ox!$AE$23:$AI$35,4,FALSE),0)</f>
        <v>1</v>
      </c>
      <c r="T51" s="2442" t="e">
        <f t="shared" ca="1" si="148"/>
        <v>#VALUE!</v>
      </c>
      <c r="U51" s="2388" t="b">
        <f t="shared" si="165"/>
        <v>0</v>
      </c>
      <c r="V51" s="2388" t="b">
        <f>advanced!$I$25="y"</f>
        <v>0</v>
      </c>
      <c r="W51" s="2388">
        <f>data!$D$36</f>
        <v>15000</v>
      </c>
      <c r="X51" s="2388" t="b">
        <f t="shared" si="23"/>
        <v>0</v>
      </c>
      <c r="Y51" s="2388" t="e">
        <f t="shared" si="166"/>
        <v>#VALUE!</v>
      </c>
      <c r="Z51" s="2388">
        <f t="shared" si="149"/>
        <v>0</v>
      </c>
      <c r="AA51" s="2390">
        <f>data!$G$56</f>
        <v>75000</v>
      </c>
      <c r="AB51" s="2390">
        <f>data!$F$56</f>
        <v>0.02</v>
      </c>
      <c r="AC51" s="2388" t="e">
        <f t="shared" si="167"/>
        <v>#VALUE!</v>
      </c>
      <c r="AD51" s="2388" t="e">
        <f>IF(B51="",0,(IF($AE$1=authorities!$I$1,0,IF(L51&gt;AE51,VLOOKUP($AD$1,authorities!A:H,C51+1,FALSE),0)))*L51/$CK$5*H51)</f>
        <v>#VALUE!</v>
      </c>
      <c r="AE51" s="2388">
        <f>IF($AE$1=authorities!$I$1,0,$AE$1)</f>
        <v>0</v>
      </c>
      <c r="AF51" s="2390" t="str">
        <f>IF(input_engine_ox!$AE$21&gt;A50,VLOOKUP(A51,input_engine_ox!$AE$23:$AI$35,5,FALSE),0)</f>
        <v>n</v>
      </c>
      <c r="AG51" s="2390">
        <f>data!$C$46</f>
        <v>2900</v>
      </c>
      <c r="AH51" s="2393">
        <f t="shared" si="168"/>
        <v>1</v>
      </c>
      <c r="AI51" s="2388">
        <f t="shared" si="169"/>
        <v>0</v>
      </c>
      <c r="AJ51" s="2388" t="b">
        <f t="shared" ca="1" si="170"/>
        <v>0</v>
      </c>
      <c r="AK51" s="2388"/>
      <c r="AL51" s="2388">
        <f t="shared" ca="1" si="171"/>
        <v>0</v>
      </c>
      <c r="AM51" s="2388"/>
      <c r="AN51" s="2388"/>
      <c r="AO51" s="2390">
        <f t="shared" si="150"/>
        <v>0</v>
      </c>
      <c r="AP51" s="2390">
        <f ca="1">SUM($AO$3:AO51)</f>
        <v>3</v>
      </c>
      <c r="AQ51" s="2390">
        <f t="shared" si="151"/>
        <v>365</v>
      </c>
      <c r="AR51" s="2388" t="e">
        <f t="shared" ca="1" si="152"/>
        <v>#VALUE!</v>
      </c>
      <c r="AS51" s="2395"/>
      <c r="AT51" s="2388" t="str">
        <f t="shared" ca="1" si="172"/>
        <v/>
      </c>
      <c r="AU51" s="2388" t="b">
        <f t="shared" ca="1" si="153"/>
        <v>0</v>
      </c>
      <c r="AV51" s="2388" t="b">
        <f t="shared" si="9"/>
        <v>0</v>
      </c>
      <c r="AW51" s="2388" t="b">
        <f t="shared" si="154"/>
        <v>1</v>
      </c>
      <c r="AX51" s="2388">
        <f t="shared" ca="1" si="173"/>
        <v>0</v>
      </c>
      <c r="AY51" s="2388" t="e">
        <f ca="1">AR51/reliefs!$G$7*AX51*-1</f>
        <v>#VALUE!</v>
      </c>
      <c r="AZ51" s="2395"/>
      <c r="BA51" s="2397"/>
      <c r="BB51" s="2388"/>
      <c r="BC51" s="2388"/>
      <c r="BD51" s="2388"/>
      <c r="BE51" s="2388"/>
      <c r="BF51" s="2390"/>
      <c r="BG51" s="2388"/>
      <c r="BH51" s="2388"/>
      <c r="BI51" s="2388"/>
      <c r="BJ51" s="2388"/>
      <c r="BK51" s="2388"/>
      <c r="BL51" s="2388"/>
      <c r="BM51" s="2388"/>
      <c r="BN51" s="2388"/>
      <c r="BO51" s="2388"/>
      <c r="BP51" s="2388"/>
      <c r="BQ51" s="2388"/>
      <c r="BR51" s="2388"/>
      <c r="BS51" s="2388"/>
      <c r="BT51" s="2388"/>
      <c r="BU51" s="2388"/>
      <c r="BV51" s="2388"/>
      <c r="BW51" s="2388"/>
      <c r="BX51" s="2388"/>
      <c r="BY51" s="2388"/>
      <c r="BZ51" s="2388"/>
      <c r="CA51" s="2388"/>
      <c r="CB51" s="2388"/>
      <c r="CC51" s="2388"/>
      <c r="CD51" s="2388"/>
      <c r="CE51" s="2395"/>
      <c r="CF51" s="2395"/>
      <c r="CG51" s="2395"/>
    </row>
    <row r="52" spans="1:85" s="2396" customFormat="1" x14ac:dyDescent="0.35">
      <c r="A52" s="2388">
        <f t="shared" si="155"/>
        <v>10</v>
      </c>
      <c r="B52" s="2389">
        <f>IF(input_engine_ox!$AE$21&gt;A51,VLOOKUP(A52,input_engine_ox!$AE$23:$AI$35,2,FALSE),"")</f>
        <v>46113</v>
      </c>
      <c r="C52" s="2388">
        <f t="shared" si="156"/>
        <v>4</v>
      </c>
      <c r="D52" s="2389">
        <f t="shared" si="157"/>
        <v>46477</v>
      </c>
      <c r="E52" s="2390" t="str">
        <f>IF(B52="",E51,VLOOKUP(B52,input_engine_ox!$B$23:$F$35,5,FALSE))</f>
        <v>nn</v>
      </c>
      <c r="F52" s="2389">
        <f t="shared" si="158"/>
        <v>46113</v>
      </c>
      <c r="G52" s="2389">
        <f t="shared" si="159"/>
        <v>46112</v>
      </c>
      <c r="H52" s="2390">
        <f t="shared" si="160"/>
        <v>0</v>
      </c>
      <c r="I52" s="2388">
        <f t="shared" ca="1" si="144"/>
        <v>0</v>
      </c>
      <c r="J52" s="2388">
        <f t="shared" ca="1" si="145"/>
        <v>0</v>
      </c>
      <c r="K52" s="2388">
        <f t="shared" si="146"/>
        <v>0</v>
      </c>
      <c r="L52" s="2388" t="str">
        <f>IF(input_engine_ox!$AE$21&gt;A51,VLOOKUP(A52,input_engine_ox!$AE$23:$AI$36,3,FALSE),"")</f>
        <v/>
      </c>
      <c r="M52" s="2390" t="str">
        <f t="shared" si="161"/>
        <v>up</v>
      </c>
      <c r="N52" s="2390">
        <f t="shared" si="174"/>
        <v>0</v>
      </c>
      <c r="O52" s="2390" t="e">
        <f t="shared" ca="1" si="147"/>
        <v>#VALUE!</v>
      </c>
      <c r="P52" s="2391">
        <f t="shared" si="162"/>
        <v>0.51900000000000002</v>
      </c>
      <c r="Q52" s="2388" t="e">
        <f t="shared" ca="1" si="163"/>
        <v>#VALUE!</v>
      </c>
      <c r="R52" s="2388" t="e">
        <f t="shared" ca="1" si="164"/>
        <v>#VALUE!</v>
      </c>
      <c r="S52" s="2392">
        <f>IF(input_engine_ox!$AE$21&gt;A51,VLOOKUP(A52,input_engine_ox!$AE$23:$AI$35,4,FALSE),0)</f>
        <v>1</v>
      </c>
      <c r="T52" s="2442" t="e">
        <f t="shared" ca="1" si="148"/>
        <v>#VALUE!</v>
      </c>
      <c r="U52" s="2388" t="b">
        <f t="shared" si="165"/>
        <v>0</v>
      </c>
      <c r="V52" s="2388" t="b">
        <f>advanced!$I$25="y"</f>
        <v>0</v>
      </c>
      <c r="W52" s="2388">
        <f>data!$D$36</f>
        <v>15000</v>
      </c>
      <c r="X52" s="2388" t="b">
        <f t="shared" si="23"/>
        <v>0</v>
      </c>
      <c r="Y52" s="2388" t="e">
        <f t="shared" si="166"/>
        <v>#VALUE!</v>
      </c>
      <c r="Z52" s="2388">
        <f t="shared" si="149"/>
        <v>0</v>
      </c>
      <c r="AA52" s="2390">
        <f>data!$G$56</f>
        <v>75000</v>
      </c>
      <c r="AB52" s="2390">
        <f>data!$F$56</f>
        <v>0.02</v>
      </c>
      <c r="AC52" s="2388" t="e">
        <f t="shared" si="167"/>
        <v>#VALUE!</v>
      </c>
      <c r="AD52" s="2388" t="e">
        <f>IF(B52="",0,(IF($AE$1=authorities!$I$1,0,IF(L52&gt;AE52,VLOOKUP($AD$1,authorities!A:H,C52+1,FALSE),0)))*L52/$CK$5*H52)</f>
        <v>#VALUE!</v>
      </c>
      <c r="AE52" s="2388">
        <f>IF($AE$1=authorities!$I$1,0,$AE$1)</f>
        <v>0</v>
      </c>
      <c r="AF52" s="2390" t="str">
        <f>IF(input_engine_ox!$AE$21&gt;A51,VLOOKUP(A52,input_engine_ox!$AE$23:$AI$35,5,FALSE),0)</f>
        <v>n</v>
      </c>
      <c r="AG52" s="2390">
        <f>data!$C$46</f>
        <v>2900</v>
      </c>
      <c r="AH52" s="2393">
        <f t="shared" si="168"/>
        <v>1</v>
      </c>
      <c r="AI52" s="2388">
        <f t="shared" si="169"/>
        <v>0</v>
      </c>
      <c r="AJ52" s="2388" t="b">
        <f t="shared" ca="1" si="170"/>
        <v>0</v>
      </c>
      <c r="AK52" s="2388"/>
      <c r="AL52" s="2388">
        <f t="shared" ca="1" si="171"/>
        <v>0</v>
      </c>
      <c r="AM52" s="2388"/>
      <c r="AN52" s="2388"/>
      <c r="AO52" s="2390">
        <f t="shared" si="150"/>
        <v>0</v>
      </c>
      <c r="AP52" s="2390">
        <f ca="1">SUM($AO$3:AO52)</f>
        <v>3</v>
      </c>
      <c r="AQ52" s="2390">
        <f t="shared" si="151"/>
        <v>365</v>
      </c>
      <c r="AR52" s="2388" t="e">
        <f t="shared" ca="1" si="152"/>
        <v>#VALUE!</v>
      </c>
      <c r="AS52" s="2395"/>
      <c r="AT52" s="2388" t="str">
        <f t="shared" ca="1" si="172"/>
        <v/>
      </c>
      <c r="AU52" s="2388" t="b">
        <f t="shared" ca="1" si="153"/>
        <v>0</v>
      </c>
      <c r="AV52" s="2388" t="b">
        <f t="shared" si="9"/>
        <v>0</v>
      </c>
      <c r="AW52" s="2388" t="b">
        <f t="shared" si="154"/>
        <v>1</v>
      </c>
      <c r="AX52" s="2388">
        <f t="shared" ca="1" si="173"/>
        <v>0</v>
      </c>
      <c r="AY52" s="2388" t="e">
        <f ca="1">AR52/reliefs!$G$7*AX52*-1</f>
        <v>#VALUE!</v>
      </c>
      <c r="AZ52" s="2395"/>
      <c r="BA52" s="2397"/>
      <c r="BB52" s="2388"/>
      <c r="BC52" s="2388"/>
      <c r="BD52" s="2388"/>
      <c r="BE52" s="2388"/>
      <c r="BF52" s="2390"/>
      <c r="BG52" s="2388"/>
      <c r="BH52" s="2388"/>
      <c r="BI52" s="2388"/>
      <c r="BJ52" s="2388"/>
      <c r="BK52" s="2388"/>
      <c r="BL52" s="2388"/>
      <c r="BM52" s="2388"/>
      <c r="BN52" s="2388"/>
      <c r="BO52" s="2388"/>
      <c r="BP52" s="2388"/>
      <c r="BQ52" s="2388"/>
      <c r="BR52" s="2388"/>
      <c r="BS52" s="2388"/>
      <c r="BT52" s="2388"/>
      <c r="BU52" s="2388"/>
      <c r="BV52" s="2388"/>
      <c r="BW52" s="2388"/>
      <c r="BX52" s="2388"/>
      <c r="BY52" s="2388"/>
      <c r="BZ52" s="2388"/>
      <c r="CA52" s="2388"/>
      <c r="CB52" s="2388"/>
      <c r="CC52" s="2388"/>
      <c r="CD52" s="2388"/>
      <c r="CE52" s="2395"/>
      <c r="CF52" s="2395"/>
      <c r="CG52" s="2395"/>
    </row>
    <row r="53" spans="1:85" s="2396" customFormat="1" x14ac:dyDescent="0.35">
      <c r="A53" s="2388">
        <f t="shared" si="155"/>
        <v>11</v>
      </c>
      <c r="B53" s="2389">
        <f>IF(input_engine_ox!$AE$21&gt;A52,VLOOKUP(A53,input_engine_ox!$AE$23:$AI$35,2,FALSE),"")</f>
        <v>46113</v>
      </c>
      <c r="C53" s="2388">
        <f t="shared" si="156"/>
        <v>4</v>
      </c>
      <c r="D53" s="2389">
        <f t="shared" si="157"/>
        <v>46477</v>
      </c>
      <c r="E53" s="2390" t="str">
        <f>IF(B53="",E52,VLOOKUP(B53,input_engine_ox!$B$23:$F$35,5,FALSE))</f>
        <v>nn</v>
      </c>
      <c r="F53" s="2389">
        <f t="shared" si="158"/>
        <v>46113</v>
      </c>
      <c r="G53" s="2389" t="e">
        <f>IF(B53="","",IF(#REF!=C53,#REF!-1,D53))</f>
        <v>#REF!</v>
      </c>
      <c r="H53" s="2390" t="e">
        <f t="shared" si="160"/>
        <v>#REF!</v>
      </c>
      <c r="I53" s="2388">
        <f t="shared" ca="1" si="144"/>
        <v>0</v>
      </c>
      <c r="J53" s="2388">
        <f t="shared" ca="1" si="145"/>
        <v>0</v>
      </c>
      <c r="K53" s="2388">
        <f t="shared" si="146"/>
        <v>0</v>
      </c>
      <c r="L53" s="2388" t="str">
        <f>IF(input_engine_ox!$AE$21&gt;A52,VLOOKUP(A53,input_engine_ox!$AE$23:$AI$36,3,FALSE),"")</f>
        <v/>
      </c>
      <c r="M53" s="2390" t="str">
        <f t="shared" si="161"/>
        <v>up</v>
      </c>
      <c r="N53" s="2390">
        <f t="shared" si="174"/>
        <v>0</v>
      </c>
      <c r="O53" s="2390" t="e">
        <f t="shared" ca="1" si="147"/>
        <v>#REF!</v>
      </c>
      <c r="P53" s="2391">
        <f t="shared" si="162"/>
        <v>0.51900000000000002</v>
      </c>
      <c r="Q53" s="2388" t="e">
        <f t="shared" ca="1" si="163"/>
        <v>#REF!</v>
      </c>
      <c r="R53" s="2388" t="e">
        <f t="shared" ca="1" si="164"/>
        <v>#REF!</v>
      </c>
      <c r="S53" s="2392">
        <f>IF(input_engine_ox!$AE$21&gt;A52,VLOOKUP(A53,input_engine_ox!$AE$23:$AI$35,4,FALSE),0)</f>
        <v>1</v>
      </c>
      <c r="T53" s="2442" t="e">
        <f t="shared" ca="1" si="148"/>
        <v>#REF!</v>
      </c>
      <c r="U53" s="2388" t="b">
        <f t="shared" si="165"/>
        <v>0</v>
      </c>
      <c r="V53" s="2388" t="b">
        <f>advanced!$I$25="y"</f>
        <v>0</v>
      </c>
      <c r="W53" s="2388">
        <f>data!$D$36</f>
        <v>15000</v>
      </c>
      <c r="X53" s="2388" t="b">
        <f t="shared" si="23"/>
        <v>0</v>
      </c>
      <c r="Y53" s="2388" t="e">
        <f t="shared" si="166"/>
        <v>#VALUE!</v>
      </c>
      <c r="Z53" s="2388">
        <f t="shared" si="149"/>
        <v>0</v>
      </c>
      <c r="AA53" s="2390">
        <f>data!$G$56</f>
        <v>75000</v>
      </c>
      <c r="AB53" s="2390">
        <f>data!$F$56</f>
        <v>0.02</v>
      </c>
      <c r="AC53" s="2388" t="e">
        <f t="shared" si="167"/>
        <v>#VALUE!</v>
      </c>
      <c r="AD53" s="2388" t="e">
        <f>IF(B53="",0,(IF($AE$1=authorities!$I$1,0,IF(L53&gt;AE53,VLOOKUP($AD$1,authorities!A:H,C53+1,FALSE),0)))*L53/$CK$5*H53)</f>
        <v>#VALUE!</v>
      </c>
      <c r="AE53" s="2388">
        <f>IF($AE$1=authorities!$I$1,0,$AE$1)</f>
        <v>0</v>
      </c>
      <c r="AF53" s="2390" t="str">
        <f>IF(input_engine_ox!$AE$21&gt;A52,VLOOKUP(A53,input_engine_ox!$AE$23:$AI$35,5,FALSE),0)</f>
        <v>n</v>
      </c>
      <c r="AG53" s="2390">
        <f>data!$C$46</f>
        <v>2900</v>
      </c>
      <c r="AH53" s="2393">
        <f t="shared" si="168"/>
        <v>1</v>
      </c>
      <c r="AI53" s="2388">
        <f t="shared" si="169"/>
        <v>0</v>
      </c>
      <c r="AJ53" s="2388" t="b">
        <f t="shared" ca="1" si="170"/>
        <v>0</v>
      </c>
      <c r="AK53" s="2388"/>
      <c r="AL53" s="2388" t="e">
        <f t="shared" ca="1" si="171"/>
        <v>#REF!</v>
      </c>
      <c r="AM53" s="2388"/>
      <c r="AN53" s="2388"/>
      <c r="AO53" s="2390">
        <f t="shared" si="150"/>
        <v>0</v>
      </c>
      <c r="AP53" s="2390">
        <f ca="1">SUM($AO$3:AO53)</f>
        <v>3</v>
      </c>
      <c r="AQ53" s="2390">
        <f t="shared" si="151"/>
        <v>365</v>
      </c>
      <c r="AR53" s="2388" t="e">
        <f t="shared" ca="1" si="152"/>
        <v>#REF!</v>
      </c>
      <c r="AS53" s="2395"/>
      <c r="AT53" s="2388" t="str">
        <f t="shared" ca="1" si="172"/>
        <v/>
      </c>
      <c r="AU53" s="2388" t="b">
        <f t="shared" ca="1" si="153"/>
        <v>0</v>
      </c>
      <c r="AV53" s="2388" t="b">
        <f t="shared" si="9"/>
        <v>0</v>
      </c>
      <c r="AW53" s="2388" t="b">
        <f t="shared" si="154"/>
        <v>1</v>
      </c>
      <c r="AX53" s="2388">
        <f t="shared" ca="1" si="173"/>
        <v>0</v>
      </c>
      <c r="AY53" s="2388" t="e">
        <f ca="1">AR53/reliefs!$G$7*AX53*-1</f>
        <v>#REF!</v>
      </c>
      <c r="AZ53" s="2395"/>
      <c r="BA53" s="2397"/>
      <c r="BB53" s="2388"/>
      <c r="BC53" s="2388"/>
      <c r="BD53" s="2388"/>
      <c r="BE53" s="2388"/>
      <c r="BF53" s="2390"/>
      <c r="BG53" s="2388"/>
      <c r="BH53" s="2388"/>
      <c r="BI53" s="2388"/>
      <c r="BJ53" s="2388"/>
      <c r="BK53" s="2388"/>
      <c r="BL53" s="2388"/>
      <c r="BM53" s="2388"/>
      <c r="BN53" s="2388"/>
      <c r="BO53" s="2388"/>
      <c r="BP53" s="2388"/>
      <c r="BQ53" s="2388"/>
      <c r="BR53" s="2388"/>
      <c r="BS53" s="2388"/>
      <c r="BT53" s="2388"/>
      <c r="BU53" s="2388"/>
      <c r="BV53" s="2388"/>
      <c r="BW53" s="2388"/>
      <c r="BX53" s="2388"/>
      <c r="BY53" s="2388"/>
      <c r="BZ53" s="2388"/>
      <c r="CA53" s="2388"/>
      <c r="CB53" s="2388"/>
      <c r="CC53" s="2388"/>
      <c r="CD53" s="2388"/>
      <c r="CE53" s="2395"/>
      <c r="CF53" s="2395"/>
      <c r="CG53" s="2395"/>
    </row>
    <row r="54" spans="1:85" customFormat="1" x14ac:dyDescent="0.35">
      <c r="P54" s="1042"/>
      <c r="T54" s="2445" t="e">
        <f ca="1">ROUND(SUM(T42:T53),2)</f>
        <v>#VALUE!</v>
      </c>
      <c r="U54" s="1008">
        <f ca="1">U42+U43+U44+U45+U46+U47+U48+U49+U50+U51+U52+U53</f>
        <v>0</v>
      </c>
      <c r="AI54" s="1009">
        <f ca="1">SUM(AI42:AI53)</f>
        <v>0</v>
      </c>
      <c r="AJ54" s="1002">
        <f ca="1">AJ53+AJ52+AJ51+AJ50+AJ49+AJ48+AJ47+AJ46+AJ45+AJ44+AJ43+AJ42</f>
        <v>0</v>
      </c>
      <c r="AK54" s="997" t="str">
        <f ca="1">IF(AJ54=12,"Phased",IF(AJ54=0,"True","***"))</f>
        <v>True</v>
      </c>
      <c r="AL54" s="1002" t="e">
        <f ca="1">SUM(AL42:AL53)</f>
        <v>#REF!</v>
      </c>
      <c r="AM54" s="1010" t="e">
        <f ca="1">IF(AL54&lt;1,AL54,INT(AL54))</f>
        <v>#REF!</v>
      </c>
      <c r="AN54" s="1010" t="e">
        <f ca="1">IF(AL54-AM54&lt;&gt;0,"N/J + T",IF(AND(0&lt;AL54,AL54&lt;1),"P + T",IF(AL54&gt;=1,"N/J","")))</f>
        <v>#REF!</v>
      </c>
      <c r="AO54" s="5"/>
      <c r="AP54" s="1002">
        <f ca="1">SUM($AO$3:AO54)</f>
        <v>3</v>
      </c>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row>
    <row r="55" spans="1:85" customFormat="1" x14ac:dyDescent="0.35">
      <c r="P55" s="1042"/>
      <c r="AO55" s="5"/>
      <c r="AP55" s="1002"/>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row>
    <row r="56" spans="1:85" customFormat="1" x14ac:dyDescent="0.35">
      <c r="P56" s="1042"/>
      <c r="AO56" s="5"/>
      <c r="AP56" s="1002"/>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row>
    <row r="57" spans="1:85" customFormat="1" x14ac:dyDescent="0.35">
      <c r="P57" s="1042"/>
      <c r="AO57" s="5"/>
      <c r="AP57" s="1002"/>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row>
    <row r="58" spans="1:85" customFormat="1" x14ac:dyDescent="0.35">
      <c r="P58" s="1042"/>
      <c r="AO58" s="5"/>
      <c r="AP58" s="1002"/>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row>
    <row r="59" spans="1:85" customFormat="1" x14ac:dyDescent="0.35">
      <c r="P59" s="1042"/>
      <c r="AO59" s="5"/>
      <c r="AP59" s="1002"/>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row>
    <row r="60" spans="1:85" customFormat="1" x14ac:dyDescent="0.35">
      <c r="P60" s="1042"/>
      <c r="AO60" s="5"/>
      <c r="AP60" s="1002"/>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row>
    <row r="61" spans="1:85" customFormat="1" x14ac:dyDescent="0.35">
      <c r="P61" s="1042"/>
      <c r="AO61" s="5"/>
      <c r="AP61" s="1002"/>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row>
    <row r="62" spans="1:85" customFormat="1" x14ac:dyDescent="0.35">
      <c r="P62" s="1042"/>
      <c r="AO62" s="5"/>
      <c r="AP62" s="1002"/>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row>
    <row r="63" spans="1:85" customFormat="1" x14ac:dyDescent="0.35">
      <c r="P63" s="1042"/>
      <c r="AO63" s="5"/>
      <c r="AP63" s="1002"/>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row>
    <row r="64" spans="1:85" customFormat="1" x14ac:dyDescent="0.35">
      <c r="P64" s="1042"/>
      <c r="AO64" s="5"/>
      <c r="AP64" s="1002"/>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row>
    <row r="65" spans="16:85" customFormat="1" x14ac:dyDescent="0.35">
      <c r="P65" s="1042"/>
      <c r="AO65" s="5"/>
      <c r="AP65" s="1002"/>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row>
    <row r="66" spans="16:85" customFormat="1" x14ac:dyDescent="0.35">
      <c r="P66" s="1042"/>
      <c r="AO66" s="5"/>
      <c r="AP66" s="1002"/>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row>
    <row r="67" spans="16:85" customFormat="1" x14ac:dyDescent="0.35">
      <c r="P67" s="1042"/>
      <c r="AO67" s="5"/>
      <c r="AP67" s="1002"/>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row>
    <row r="68" spans="16:85" customFormat="1" x14ac:dyDescent="0.35">
      <c r="P68" s="1042"/>
      <c r="AO68" s="5"/>
      <c r="AP68" s="1002"/>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row>
    <row r="69" spans="16:85" customFormat="1" x14ac:dyDescent="0.35">
      <c r="P69" s="1042"/>
      <c r="AO69" s="5"/>
      <c r="AP69" s="1002"/>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row>
    <row r="70" spans="16:85" customFormat="1" x14ac:dyDescent="0.35">
      <c r="P70" s="1042"/>
      <c r="AO70" s="5"/>
      <c r="AP70" s="1002"/>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row>
    <row r="71" spans="16:85" customFormat="1" x14ac:dyDescent="0.35">
      <c r="P71" s="1042"/>
      <c r="AO71" s="5"/>
      <c r="AP71" s="1002"/>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row>
    <row r="72" spans="16:85" customFormat="1" x14ac:dyDescent="0.35">
      <c r="P72" s="1042"/>
      <c r="AO72" s="5"/>
      <c r="AP72" s="1002"/>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row>
    <row r="73" spans="16:85" customFormat="1" x14ac:dyDescent="0.35">
      <c r="P73" s="1042"/>
      <c r="AO73" s="5"/>
      <c r="AP73" s="1002"/>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row>
    <row r="74" spans="16:85" customFormat="1" x14ac:dyDescent="0.35">
      <c r="P74" s="1042"/>
      <c r="AO74" s="5"/>
      <c r="AP74" s="1002"/>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row>
    <row r="75" spans="16:85" customFormat="1" x14ac:dyDescent="0.35">
      <c r="P75" s="1042"/>
      <c r="AO75" s="5"/>
      <c r="AP75" s="1002"/>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row>
    <row r="76" spans="16:85" customFormat="1" x14ac:dyDescent="0.35">
      <c r="P76" s="1042"/>
      <c r="AO76" s="5"/>
      <c r="AP76" s="1002"/>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row>
    <row r="77" spans="16:85" customFormat="1" x14ac:dyDescent="0.35">
      <c r="P77" s="1042"/>
      <c r="AO77" s="5"/>
      <c r="AP77" s="1002"/>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row>
    <row r="78" spans="16:85" customFormat="1" x14ac:dyDescent="0.35">
      <c r="P78" s="1042"/>
      <c r="AO78" s="5"/>
      <c r="AP78" s="1002"/>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row>
    <row r="79" spans="16:85" customFormat="1" x14ac:dyDescent="0.35">
      <c r="P79" s="1042"/>
      <c r="AO79" s="5"/>
      <c r="AP79" s="1002"/>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row>
    <row r="80" spans="16:85" customFormat="1" x14ac:dyDescent="0.35">
      <c r="P80" s="1042"/>
      <c r="AO80" s="5"/>
      <c r="AP80" s="1002"/>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row>
    <row r="81" spans="16:85" customFormat="1" x14ac:dyDescent="0.35">
      <c r="P81" s="1042"/>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row>
    <row r="82" spans="16:85" customFormat="1" x14ac:dyDescent="0.35">
      <c r="P82" s="1042"/>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row>
    <row r="83" spans="16:85" customFormat="1" x14ac:dyDescent="0.35">
      <c r="P83" s="1042"/>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row>
    <row r="84" spans="16:85" customFormat="1" x14ac:dyDescent="0.35">
      <c r="P84" s="1042"/>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row>
    <row r="85" spans="16:85" customFormat="1" x14ac:dyDescent="0.35">
      <c r="P85" s="1042"/>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row>
    <row r="86" spans="16:85" customFormat="1" x14ac:dyDescent="0.35">
      <c r="P86" s="1042"/>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row>
    <row r="87" spans="16:85" customFormat="1" x14ac:dyDescent="0.35">
      <c r="P87" s="1042"/>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row>
    <row r="88" spans="16:85" customFormat="1" x14ac:dyDescent="0.35">
      <c r="P88" s="1042"/>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row>
    <row r="89" spans="16:85" customFormat="1" x14ac:dyDescent="0.35">
      <c r="P89" s="1042"/>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row>
    <row r="90" spans="16:85" customFormat="1" x14ac:dyDescent="0.35">
      <c r="P90" s="1042"/>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row>
    <row r="91" spans="16:85" customFormat="1" x14ac:dyDescent="0.35">
      <c r="P91" s="1042"/>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row>
    <row r="92" spans="16:85" customFormat="1" x14ac:dyDescent="0.35">
      <c r="P92" s="1042"/>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row>
    <row r="93" spans="16:85" customFormat="1" x14ac:dyDescent="0.35">
      <c r="P93" s="1042"/>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row>
    <row r="94" spans="16:85" customFormat="1" x14ac:dyDescent="0.35">
      <c r="P94" s="1042"/>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row>
    <row r="95" spans="16:85" customFormat="1" x14ac:dyDescent="0.35">
      <c r="P95" s="1042"/>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row>
    <row r="96" spans="16:85" customFormat="1" x14ac:dyDescent="0.35">
      <c r="P96" s="1042"/>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row>
    <row r="97" spans="16:85" customFormat="1" x14ac:dyDescent="0.35">
      <c r="P97" s="1042"/>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row>
    <row r="98" spans="16:85" customFormat="1" x14ac:dyDescent="0.35">
      <c r="P98" s="1042"/>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row>
    <row r="99" spans="16:85" customFormat="1" x14ac:dyDescent="0.35">
      <c r="P99" s="1042"/>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row>
    <row r="100" spans="16:85" customFormat="1" x14ac:dyDescent="0.35">
      <c r="P100" s="1042"/>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row>
    <row r="101" spans="16:85" customFormat="1" x14ac:dyDescent="0.35">
      <c r="P101" s="1042"/>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row>
    <row r="102" spans="16:85" customFormat="1" x14ac:dyDescent="0.35">
      <c r="P102" s="1042"/>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row>
    <row r="103" spans="16:85" customFormat="1" x14ac:dyDescent="0.35">
      <c r="P103" s="1042"/>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row>
    <row r="104" spans="16:85" customFormat="1" x14ac:dyDescent="0.35">
      <c r="P104" s="1042"/>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row>
    <row r="105" spans="16:85" customFormat="1" x14ac:dyDescent="0.35">
      <c r="P105" s="1042"/>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row>
    <row r="106" spans="16:85" customFormat="1" x14ac:dyDescent="0.35">
      <c r="P106" s="1042"/>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row>
    <row r="107" spans="16:85" customFormat="1" x14ac:dyDescent="0.35">
      <c r="P107" s="1042"/>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row>
    <row r="108" spans="16:85" customFormat="1" x14ac:dyDescent="0.35">
      <c r="P108" s="1042"/>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row>
    <row r="109" spans="16:85" customFormat="1" x14ac:dyDescent="0.35">
      <c r="P109" s="1042"/>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row>
    <row r="110" spans="16:85" customFormat="1" x14ac:dyDescent="0.35">
      <c r="P110" s="1042"/>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row>
    <row r="111" spans="16:85" customFormat="1" x14ac:dyDescent="0.35">
      <c r="P111" s="1042"/>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row>
    <row r="112" spans="16:85" customFormat="1" x14ac:dyDescent="0.35">
      <c r="P112" s="1042"/>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row>
    <row r="113" spans="16:85" customFormat="1" x14ac:dyDescent="0.35">
      <c r="P113" s="1042"/>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row>
    <row r="114" spans="16:85" customFormat="1" x14ac:dyDescent="0.35">
      <c r="P114" s="1042"/>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row>
    <row r="115" spans="16:85" customFormat="1" x14ac:dyDescent="0.35">
      <c r="P115" s="1042"/>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row>
    <row r="116" spans="16:85" customFormat="1" x14ac:dyDescent="0.35">
      <c r="P116" s="1042"/>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row>
    <row r="117" spans="16:85" customFormat="1" x14ac:dyDescent="0.35">
      <c r="P117" s="1042"/>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row>
    <row r="118" spans="16:85" customFormat="1" x14ac:dyDescent="0.35">
      <c r="P118" s="1042"/>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row>
    <row r="119" spans="16:85" customFormat="1" x14ac:dyDescent="0.35">
      <c r="P119" s="1042"/>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row>
    <row r="120" spans="16:85" customFormat="1" x14ac:dyDescent="0.35">
      <c r="P120" s="1042"/>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row>
    <row r="121" spans="16:85" customFormat="1" x14ac:dyDescent="0.35">
      <c r="P121" s="1042"/>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row>
    <row r="122" spans="16:85" customFormat="1" x14ac:dyDescent="0.35">
      <c r="P122" s="1042"/>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row>
    <row r="123" spans="16:85" customFormat="1" x14ac:dyDescent="0.35">
      <c r="P123" s="1042"/>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row>
    <row r="124" spans="16:85" customFormat="1" x14ac:dyDescent="0.35">
      <c r="P124" s="1042"/>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row>
    <row r="125" spans="16:85" customFormat="1" x14ac:dyDescent="0.35">
      <c r="P125" s="1042"/>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row>
    <row r="126" spans="16:85" customFormat="1" x14ac:dyDescent="0.35">
      <c r="P126" s="1042"/>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row>
    <row r="127" spans="16:85" customFormat="1" x14ac:dyDescent="0.35">
      <c r="P127" s="1042"/>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row>
    <row r="128" spans="16:85" customFormat="1" x14ac:dyDescent="0.35">
      <c r="P128" s="1042"/>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row>
    <row r="129" spans="16:85" customFormat="1" x14ac:dyDescent="0.35">
      <c r="P129" s="1042"/>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row>
    <row r="130" spans="16:85" customFormat="1" x14ac:dyDescent="0.35">
      <c r="P130" s="1042"/>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row>
    <row r="131" spans="16:85" customFormat="1" x14ac:dyDescent="0.35">
      <c r="P131" s="1042"/>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row>
    <row r="132" spans="16:85" customFormat="1" x14ac:dyDescent="0.35">
      <c r="P132" s="1042"/>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row>
    <row r="133" spans="16:85" customFormat="1" x14ac:dyDescent="0.35">
      <c r="P133" s="1042"/>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row>
    <row r="134" spans="16:85" customFormat="1" x14ac:dyDescent="0.35">
      <c r="P134" s="1042"/>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row>
    <row r="135" spans="16:85" customFormat="1" x14ac:dyDescent="0.35">
      <c r="P135" s="1042"/>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row>
    <row r="136" spans="16:85" customFormat="1" x14ac:dyDescent="0.35">
      <c r="P136" s="1042"/>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row>
    <row r="137" spans="16:85" customFormat="1" x14ac:dyDescent="0.35">
      <c r="P137" s="1042"/>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row>
    <row r="138" spans="16:85" customFormat="1" x14ac:dyDescent="0.35">
      <c r="P138" s="1042"/>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row>
    <row r="139" spans="16:85" customFormat="1" x14ac:dyDescent="0.35">
      <c r="P139" s="1042"/>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row>
    <row r="140" spans="16:85" customFormat="1" x14ac:dyDescent="0.35">
      <c r="P140" s="1042"/>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row>
    <row r="141" spans="16:85" customFormat="1" x14ac:dyDescent="0.35">
      <c r="P141" s="1042"/>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row>
    <row r="142" spans="16:85" customFormat="1" x14ac:dyDescent="0.35">
      <c r="P142" s="1042"/>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row>
    <row r="143" spans="16:85" customFormat="1" x14ac:dyDescent="0.35">
      <c r="P143" s="1042"/>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row>
    <row r="144" spans="16:85" customFormat="1" x14ac:dyDescent="0.35">
      <c r="P144" s="1042"/>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row>
    <row r="145" spans="16:85" customFormat="1" x14ac:dyDescent="0.35">
      <c r="P145" s="1042"/>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row>
    <row r="146" spans="16:85" customFormat="1" x14ac:dyDescent="0.35">
      <c r="P146" s="1042"/>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row>
    <row r="147" spans="16:85" customFormat="1" x14ac:dyDescent="0.35">
      <c r="P147" s="1042"/>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row>
    <row r="148" spans="16:85" customFormat="1" x14ac:dyDescent="0.35">
      <c r="P148" s="1042"/>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row>
    <row r="149" spans="16:85" customFormat="1" x14ac:dyDescent="0.35">
      <c r="P149" s="1042"/>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row>
    <row r="150" spans="16:85" customFormat="1" x14ac:dyDescent="0.35">
      <c r="P150" s="1042"/>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row>
    <row r="151" spans="16:85" customFormat="1" x14ac:dyDescent="0.35">
      <c r="P151" s="1042"/>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row>
    <row r="152" spans="16:85" customFormat="1" x14ac:dyDescent="0.35">
      <c r="P152" s="1042"/>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row>
    <row r="153" spans="16:85" customFormat="1" x14ac:dyDescent="0.35">
      <c r="P153" s="1042"/>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row>
    <row r="154" spans="16:85" customFormat="1" x14ac:dyDescent="0.35">
      <c r="P154" s="1042"/>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row>
    <row r="155" spans="16:85" customFormat="1" x14ac:dyDescent="0.35">
      <c r="P155" s="1042"/>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row>
    <row r="156" spans="16:85" customFormat="1" x14ac:dyDescent="0.35">
      <c r="P156" s="1042"/>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row>
    <row r="157" spans="16:85" customFormat="1" x14ac:dyDescent="0.35">
      <c r="P157" s="1042"/>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row>
    <row r="158" spans="16:85" customFormat="1" x14ac:dyDescent="0.35">
      <c r="P158" s="1042"/>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row>
    <row r="159" spans="16:85" customFormat="1" x14ac:dyDescent="0.35">
      <c r="P159" s="1042"/>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row>
    <row r="160" spans="16:85" customFormat="1" x14ac:dyDescent="0.35">
      <c r="P160" s="1042"/>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row>
    <row r="161" spans="16:85" customFormat="1" x14ac:dyDescent="0.35">
      <c r="P161" s="1042"/>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row>
    <row r="162" spans="16:85" customFormat="1" x14ac:dyDescent="0.35">
      <c r="P162" s="1042"/>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row>
    <row r="163" spans="16:85" customFormat="1" x14ac:dyDescent="0.35">
      <c r="P163" s="1042"/>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row>
    <row r="164" spans="16:85" customFormat="1" x14ac:dyDescent="0.35">
      <c r="P164" s="1042"/>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row>
    <row r="165" spans="16:85" customFormat="1" x14ac:dyDescent="0.35">
      <c r="P165" s="1042"/>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row>
    <row r="166" spans="16:85" customFormat="1" x14ac:dyDescent="0.35">
      <c r="P166" s="1042"/>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row>
    <row r="167" spans="16:85" customFormat="1" x14ac:dyDescent="0.35">
      <c r="P167" s="1042"/>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row>
    <row r="168" spans="16:85" customFormat="1" x14ac:dyDescent="0.35">
      <c r="P168" s="1042"/>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row>
    <row r="169" spans="16:85" customFormat="1" x14ac:dyDescent="0.35">
      <c r="P169" s="1042"/>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row>
    <row r="170" spans="16:85" customFormat="1" x14ac:dyDescent="0.35">
      <c r="P170" s="1042"/>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row>
    <row r="171" spans="16:85" customFormat="1" x14ac:dyDescent="0.35">
      <c r="P171" s="1042"/>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row>
    <row r="172" spans="16:85" customFormat="1" x14ac:dyDescent="0.35">
      <c r="P172" s="1042"/>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row>
    <row r="173" spans="16:85" customFormat="1" x14ac:dyDescent="0.35">
      <c r="P173" s="1042"/>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row>
    <row r="174" spans="16:85" customFormat="1" x14ac:dyDescent="0.35">
      <c r="P174" s="1042"/>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row>
    <row r="175" spans="16:85" customFormat="1" x14ac:dyDescent="0.35">
      <c r="P175" s="1042"/>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row>
    <row r="176" spans="16:85" customFormat="1" x14ac:dyDescent="0.35">
      <c r="P176" s="1042"/>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row>
    <row r="177" spans="16:85" customFormat="1" x14ac:dyDescent="0.35">
      <c r="P177" s="1042"/>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row>
    <row r="178" spans="16:85" customFormat="1" x14ac:dyDescent="0.35">
      <c r="P178" s="1042"/>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row>
    <row r="179" spans="16:85" customFormat="1" x14ac:dyDescent="0.35">
      <c r="P179" s="1042"/>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row>
    <row r="180" spans="16:85" customFormat="1" x14ac:dyDescent="0.35">
      <c r="P180" s="1042"/>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row>
    <row r="181" spans="16:85" customFormat="1" x14ac:dyDescent="0.35">
      <c r="P181" s="1042"/>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row>
    <row r="182" spans="16:85" customFormat="1" x14ac:dyDescent="0.35">
      <c r="P182" s="1042"/>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row>
    <row r="183" spans="16:85" customFormat="1" x14ac:dyDescent="0.35">
      <c r="P183" s="1042"/>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row>
    <row r="184" spans="16:85" customFormat="1" x14ac:dyDescent="0.35">
      <c r="P184" s="1042"/>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row>
    <row r="185" spans="16:85" customFormat="1" x14ac:dyDescent="0.35">
      <c r="P185" s="1042"/>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row>
    <row r="186" spans="16:85" customFormat="1" x14ac:dyDescent="0.35">
      <c r="P186" s="1042"/>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row>
    <row r="187" spans="16:85" customFormat="1" x14ac:dyDescent="0.35">
      <c r="P187" s="1042"/>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row>
    <row r="188" spans="16:85" customFormat="1" x14ac:dyDescent="0.35">
      <c r="P188" s="1042"/>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row>
    <row r="189" spans="16:85" customFormat="1" x14ac:dyDescent="0.35">
      <c r="P189" s="1042"/>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row>
    <row r="190" spans="16:85" customFormat="1" x14ac:dyDescent="0.35">
      <c r="P190" s="1042"/>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row>
    <row r="191" spans="16:85" customFormat="1" x14ac:dyDescent="0.35">
      <c r="P191" s="1042"/>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row>
    <row r="192" spans="16:85" customFormat="1" x14ac:dyDescent="0.35">
      <c r="P192" s="1042"/>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row>
    <row r="193" spans="16:85" customFormat="1" x14ac:dyDescent="0.35">
      <c r="P193" s="1042"/>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row>
    <row r="194" spans="16:85" customFormat="1" x14ac:dyDescent="0.35">
      <c r="P194" s="1042"/>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row>
    <row r="195" spans="16:85" customFormat="1" x14ac:dyDescent="0.35">
      <c r="P195" s="1042"/>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row>
    <row r="196" spans="16:85" customFormat="1" x14ac:dyDescent="0.35">
      <c r="P196" s="1042"/>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row>
    <row r="197" spans="16:85" customFormat="1" x14ac:dyDescent="0.35">
      <c r="P197" s="1042"/>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row>
    <row r="198" spans="16:85" customFormat="1" x14ac:dyDescent="0.35">
      <c r="P198" s="1042"/>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row>
    <row r="199" spans="16:85" customFormat="1" x14ac:dyDescent="0.35">
      <c r="P199" s="1042"/>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row>
    <row r="200" spans="16:85" customFormat="1" x14ac:dyDescent="0.35">
      <c r="P200" s="1042"/>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row>
    <row r="201" spans="16:85" customFormat="1" x14ac:dyDescent="0.35">
      <c r="P201" s="1042"/>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row>
    <row r="202" spans="16:85" customFormat="1" x14ac:dyDescent="0.35">
      <c r="P202" s="1042"/>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row>
    <row r="203" spans="16:85" customFormat="1" x14ac:dyDescent="0.35">
      <c r="P203" s="1042"/>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row>
    <row r="204" spans="16:85" customFormat="1" x14ac:dyDescent="0.35">
      <c r="P204" s="1042"/>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row>
    <row r="205" spans="16:85" customFormat="1" x14ac:dyDescent="0.35">
      <c r="P205" s="1042"/>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row>
    <row r="206" spans="16:85" customFormat="1" x14ac:dyDescent="0.35">
      <c r="P206" s="1042"/>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row>
    <row r="207" spans="16:85" customFormat="1" x14ac:dyDescent="0.35">
      <c r="P207" s="1042"/>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row>
    <row r="208" spans="16:85" customFormat="1" x14ac:dyDescent="0.35">
      <c r="P208" s="1042"/>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row>
    <row r="209" spans="16:85" customFormat="1" x14ac:dyDescent="0.35">
      <c r="P209" s="1042"/>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row>
    <row r="210" spans="16:85" customFormat="1" x14ac:dyDescent="0.35">
      <c r="P210" s="1042"/>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row>
    <row r="211" spans="16:85" customFormat="1" x14ac:dyDescent="0.35">
      <c r="P211" s="1042"/>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row>
    <row r="212" spans="16:85" customFormat="1" x14ac:dyDescent="0.35">
      <c r="P212" s="1042"/>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row>
    <row r="213" spans="16:85" customFormat="1" x14ac:dyDescent="0.35">
      <c r="P213" s="1042"/>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row>
    <row r="214" spans="16:85" customFormat="1" x14ac:dyDescent="0.35">
      <c r="P214" s="1042"/>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row>
    <row r="215" spans="16:85" customFormat="1" x14ac:dyDescent="0.35">
      <c r="P215" s="1042"/>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row>
    <row r="216" spans="16:85" customFormat="1" x14ac:dyDescent="0.35">
      <c r="P216" s="1042"/>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row>
    <row r="217" spans="16:85" customFormat="1" x14ac:dyDescent="0.35">
      <c r="P217" s="1042"/>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row>
    <row r="218" spans="16:85" customFormat="1" x14ac:dyDescent="0.35">
      <c r="P218" s="1042"/>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row>
    <row r="219" spans="16:85" customFormat="1" x14ac:dyDescent="0.35">
      <c r="P219" s="1042"/>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row>
    <row r="220" spans="16:85" customFormat="1" x14ac:dyDescent="0.35">
      <c r="P220" s="1042"/>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row>
    <row r="221" spans="16:85" customFormat="1" x14ac:dyDescent="0.35">
      <c r="P221" s="1042"/>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row>
    <row r="222" spans="16:85" customFormat="1" x14ac:dyDescent="0.35">
      <c r="P222" s="1042"/>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row>
    <row r="223" spans="16:85" customFormat="1" x14ac:dyDescent="0.35">
      <c r="P223" s="1042"/>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row>
    <row r="224" spans="16:85" customFormat="1" x14ac:dyDescent="0.35">
      <c r="P224" s="1042"/>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row>
    <row r="225" spans="16:85" customFormat="1" x14ac:dyDescent="0.35">
      <c r="P225" s="1042"/>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row>
    <row r="226" spans="16:85" customFormat="1" x14ac:dyDescent="0.35">
      <c r="P226" s="1042"/>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row>
    <row r="227" spans="16:85" customFormat="1" x14ac:dyDescent="0.35">
      <c r="P227" s="1042"/>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row>
    <row r="228" spans="16:85" customFormat="1" x14ac:dyDescent="0.35">
      <c r="P228" s="1042"/>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row>
    <row r="229" spans="16:85" customFormat="1" x14ac:dyDescent="0.35">
      <c r="P229" s="1042"/>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row>
    <row r="230" spans="16:85" customFormat="1" x14ac:dyDescent="0.35">
      <c r="P230" s="1042"/>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row>
    <row r="231" spans="16:85" customFormat="1" x14ac:dyDescent="0.35">
      <c r="P231" s="1042"/>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row>
    <row r="232" spans="16:85" customFormat="1" x14ac:dyDescent="0.35">
      <c r="P232" s="1042"/>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row>
    <row r="233" spans="16:85" customFormat="1" x14ac:dyDescent="0.35">
      <c r="P233" s="1042"/>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row>
    <row r="234" spans="16:85" customFormat="1" x14ac:dyDescent="0.35">
      <c r="P234" s="1042"/>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row>
    <row r="235" spans="16:85" customFormat="1" x14ac:dyDescent="0.35">
      <c r="P235" s="1042"/>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row>
    <row r="236" spans="16:85" customFormat="1" x14ac:dyDescent="0.35">
      <c r="P236" s="1042"/>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row>
    <row r="237" spans="16:85" customFormat="1" x14ac:dyDescent="0.35">
      <c r="P237" s="1042"/>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row>
    <row r="238" spans="16:85" customFormat="1" x14ac:dyDescent="0.35">
      <c r="P238" s="1042"/>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row>
    <row r="239" spans="16:85" customFormat="1" x14ac:dyDescent="0.35">
      <c r="P239" s="1042"/>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row>
    <row r="240" spans="16:85" customFormat="1" x14ac:dyDescent="0.35">
      <c r="P240" s="1042"/>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row>
    <row r="241" spans="16:85" customFormat="1" x14ac:dyDescent="0.35">
      <c r="P241" s="1042"/>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row>
    <row r="242" spans="16:85" customFormat="1" x14ac:dyDescent="0.35">
      <c r="P242" s="1042"/>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row>
    <row r="243" spans="16:85" customFormat="1" x14ac:dyDescent="0.35">
      <c r="P243" s="1042"/>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row>
    <row r="244" spans="16:85" customFormat="1" x14ac:dyDescent="0.35">
      <c r="P244" s="1042"/>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row>
    <row r="245" spans="16:85" customFormat="1" x14ac:dyDescent="0.35">
      <c r="P245" s="1042"/>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row>
    <row r="246" spans="16:85" customFormat="1" x14ac:dyDescent="0.35">
      <c r="P246" s="1042"/>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row>
    <row r="247" spans="16:85" customFormat="1" x14ac:dyDescent="0.35">
      <c r="P247" s="1042"/>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row>
    <row r="248" spans="16:85" customFormat="1" x14ac:dyDescent="0.35">
      <c r="P248" s="1042"/>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row>
    <row r="249" spans="16:85" customFormat="1" x14ac:dyDescent="0.35">
      <c r="P249" s="1042"/>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row>
    <row r="250" spans="16:85" customFormat="1" x14ac:dyDescent="0.35">
      <c r="P250" s="1042"/>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row>
    <row r="251" spans="16:85" customFormat="1" x14ac:dyDescent="0.35">
      <c r="P251" s="1042"/>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row>
    <row r="252" spans="16:85" customFormat="1" x14ac:dyDescent="0.35">
      <c r="P252" s="1042"/>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row>
    <row r="253" spans="16:85" customFormat="1" x14ac:dyDescent="0.35">
      <c r="P253" s="1042"/>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row>
    <row r="254" spans="16:85" customFormat="1" x14ac:dyDescent="0.35">
      <c r="P254" s="1042"/>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row>
    <row r="255" spans="16:85" customFormat="1" x14ac:dyDescent="0.35">
      <c r="P255" s="1042"/>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row>
    <row r="256" spans="16:85" customFormat="1" x14ac:dyDescent="0.35">
      <c r="P256" s="1042"/>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row>
    <row r="257" spans="16:85" customFormat="1" x14ac:dyDescent="0.35">
      <c r="P257" s="1042"/>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row>
    <row r="258" spans="16:85" customFormat="1" x14ac:dyDescent="0.35">
      <c r="P258" s="1042"/>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row>
    <row r="259" spans="16:85" customFormat="1" x14ac:dyDescent="0.35">
      <c r="P259" s="1042"/>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row>
    <row r="260" spans="16:85" customFormat="1" x14ac:dyDescent="0.35">
      <c r="P260" s="1042"/>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row>
    <row r="261" spans="16:85" customFormat="1" x14ac:dyDescent="0.35">
      <c r="P261" s="1042"/>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row>
    <row r="262" spans="16:85" customFormat="1" x14ac:dyDescent="0.35">
      <c r="P262" s="1042"/>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row>
    <row r="263" spans="16:85" customFormat="1" x14ac:dyDescent="0.35">
      <c r="P263" s="1042"/>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row>
    <row r="264" spans="16:85" customFormat="1" x14ac:dyDescent="0.35">
      <c r="P264" s="1042"/>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row>
    <row r="265" spans="16:85" customFormat="1" x14ac:dyDescent="0.35">
      <c r="P265" s="1042"/>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row>
    <row r="266" spans="16:85" customFormat="1" x14ac:dyDescent="0.35">
      <c r="P266" s="1042"/>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row>
    <row r="267" spans="16:85" customFormat="1" x14ac:dyDescent="0.35">
      <c r="P267" s="1042"/>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row>
    <row r="268" spans="16:85" customFormat="1" x14ac:dyDescent="0.35">
      <c r="P268" s="1042"/>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row>
    <row r="269" spans="16:85" customFormat="1" x14ac:dyDescent="0.35">
      <c r="P269" s="1042"/>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row>
    <row r="270" spans="16:85" customFormat="1" x14ac:dyDescent="0.35">
      <c r="P270" s="1042"/>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row>
    <row r="271" spans="16:85" customFormat="1" x14ac:dyDescent="0.35">
      <c r="P271" s="1042"/>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row>
    <row r="272" spans="16:85" customFormat="1" x14ac:dyDescent="0.35">
      <c r="P272" s="1042"/>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row>
    <row r="273" spans="16:85" customFormat="1" x14ac:dyDescent="0.35">
      <c r="P273" s="1042"/>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row>
    <row r="274" spans="16:85" customFormat="1" x14ac:dyDescent="0.35">
      <c r="P274" s="1042"/>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row>
    <row r="275" spans="16:85" customFormat="1" x14ac:dyDescent="0.35">
      <c r="P275" s="1042"/>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row>
    <row r="276" spans="16:85" customFormat="1" x14ac:dyDescent="0.35">
      <c r="P276" s="1042"/>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row>
    <row r="277" spans="16:85" customFormat="1" x14ac:dyDescent="0.35">
      <c r="P277" s="1042"/>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row>
    <row r="278" spans="16:85" customFormat="1" x14ac:dyDescent="0.35">
      <c r="P278" s="1042"/>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row>
    <row r="279" spans="16:85" customFormat="1" x14ac:dyDescent="0.35">
      <c r="P279" s="1042"/>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row>
    <row r="280" spans="16:85" customFormat="1" x14ac:dyDescent="0.35">
      <c r="P280" s="1042"/>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row>
    <row r="281" spans="16:85" customFormat="1" x14ac:dyDescent="0.35">
      <c r="P281" s="1042"/>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row>
    <row r="282" spans="16:85" customFormat="1" x14ac:dyDescent="0.35">
      <c r="P282" s="1042"/>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row>
    <row r="283" spans="16:85" customFormat="1" x14ac:dyDescent="0.35">
      <c r="P283" s="1042"/>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row>
    <row r="284" spans="16:85" customFormat="1" x14ac:dyDescent="0.35">
      <c r="P284" s="1042"/>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row>
    <row r="285" spans="16:85" customFormat="1" x14ac:dyDescent="0.35">
      <c r="P285" s="1042"/>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row>
    <row r="286" spans="16:85" customFormat="1" x14ac:dyDescent="0.35">
      <c r="P286" s="1042"/>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row>
    <row r="287" spans="16:85" customFormat="1" x14ac:dyDescent="0.35">
      <c r="P287" s="1042"/>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row>
    <row r="288" spans="16:85" customFormat="1" x14ac:dyDescent="0.35">
      <c r="P288" s="1042"/>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row>
    <row r="289" spans="16:85" customFormat="1" x14ac:dyDescent="0.35">
      <c r="P289" s="1042"/>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row>
    <row r="290" spans="16:85" customFormat="1" x14ac:dyDescent="0.35">
      <c r="P290" s="1042"/>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row>
    <row r="291" spans="16:85" customFormat="1" x14ac:dyDescent="0.35">
      <c r="P291" s="1042"/>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row>
    <row r="292" spans="16:85" customFormat="1" x14ac:dyDescent="0.35">
      <c r="P292" s="1042"/>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row>
    <row r="293" spans="16:85" customFormat="1" x14ac:dyDescent="0.35">
      <c r="P293" s="1042"/>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row>
    <row r="294" spans="16:85" customFormat="1" x14ac:dyDescent="0.35">
      <c r="P294" s="1042"/>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row>
    <row r="295" spans="16:85" customFormat="1" x14ac:dyDescent="0.35">
      <c r="P295" s="1042"/>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row>
    <row r="296" spans="16:85" customFormat="1" x14ac:dyDescent="0.35">
      <c r="P296" s="1042"/>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row>
    <row r="297" spans="16:85" customFormat="1" x14ac:dyDescent="0.35">
      <c r="P297" s="1042"/>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row>
    <row r="298" spans="16:85" customFormat="1" x14ac:dyDescent="0.35">
      <c r="P298" s="1042"/>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row>
    <row r="299" spans="16:85" customFormat="1" x14ac:dyDescent="0.35">
      <c r="P299" s="1042"/>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row>
    <row r="300" spans="16:85" customFormat="1" x14ac:dyDescent="0.35">
      <c r="P300" s="1042"/>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row>
    <row r="301" spans="16:85" customFormat="1" x14ac:dyDescent="0.35">
      <c r="P301" s="1042"/>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row>
    <row r="302" spans="16:85" customFormat="1" x14ac:dyDescent="0.35">
      <c r="P302" s="1042"/>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row>
    <row r="303" spans="16:85" customFormat="1" x14ac:dyDescent="0.35">
      <c r="P303" s="1042"/>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row>
    <row r="304" spans="16:85" customFormat="1" x14ac:dyDescent="0.35">
      <c r="P304" s="1042"/>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row>
    <row r="305" spans="16:85" customFormat="1" x14ac:dyDescent="0.35">
      <c r="P305" s="1042"/>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row>
    <row r="306" spans="16:85" customFormat="1" x14ac:dyDescent="0.35">
      <c r="P306" s="1042"/>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row>
    <row r="307" spans="16:85" customFormat="1" x14ac:dyDescent="0.35">
      <c r="P307" s="1042"/>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row>
    <row r="308" spans="16:85" customFormat="1" x14ac:dyDescent="0.35">
      <c r="P308" s="1042"/>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row>
    <row r="309" spans="16:85" customFormat="1" x14ac:dyDescent="0.35">
      <c r="P309" s="1042"/>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row>
    <row r="310" spans="16:85" customFormat="1" x14ac:dyDescent="0.35">
      <c r="P310" s="1042"/>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row>
    <row r="311" spans="16:85" customFormat="1" x14ac:dyDescent="0.35">
      <c r="P311" s="1042"/>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row>
    <row r="312" spans="16:85" customFormat="1" x14ac:dyDescent="0.35">
      <c r="P312" s="1042"/>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row>
    <row r="313" spans="16:85" customFormat="1" x14ac:dyDescent="0.35">
      <c r="P313" s="1042"/>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row>
    <row r="314" spans="16:85" customFormat="1" x14ac:dyDescent="0.35">
      <c r="P314" s="1042"/>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row>
    <row r="315" spans="16:85" customFormat="1" x14ac:dyDescent="0.35">
      <c r="P315" s="1042"/>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row>
    <row r="316" spans="16:85" customFormat="1" x14ac:dyDescent="0.35">
      <c r="P316" s="1042"/>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row>
    <row r="317" spans="16:85" customFormat="1" x14ac:dyDescent="0.35">
      <c r="P317" s="1042"/>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row>
    <row r="318" spans="16:85" customFormat="1" x14ac:dyDescent="0.35">
      <c r="P318" s="1042"/>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row>
    <row r="319" spans="16:85" customFormat="1" x14ac:dyDescent="0.35">
      <c r="P319" s="1042"/>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row>
    <row r="320" spans="16:85" customFormat="1" x14ac:dyDescent="0.35">
      <c r="P320" s="1042"/>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row>
    <row r="321" spans="16:85" customFormat="1" x14ac:dyDescent="0.35">
      <c r="P321" s="1042"/>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row>
    <row r="322" spans="16:85" customFormat="1" x14ac:dyDescent="0.35">
      <c r="P322" s="1042"/>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row>
    <row r="323" spans="16:85" customFormat="1" x14ac:dyDescent="0.35">
      <c r="P323" s="1042"/>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row>
    <row r="324" spans="16:85" customFormat="1" x14ac:dyDescent="0.35">
      <c r="P324" s="1042"/>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row>
    <row r="325" spans="16:85" customFormat="1" x14ac:dyDescent="0.35">
      <c r="P325" s="1042"/>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row>
    <row r="326" spans="16:85" customFormat="1" x14ac:dyDescent="0.35">
      <c r="P326" s="1042"/>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row>
    <row r="327" spans="16:85" customFormat="1" x14ac:dyDescent="0.35">
      <c r="P327" s="1042"/>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row>
    <row r="328" spans="16:85" customFormat="1" x14ac:dyDescent="0.35">
      <c r="P328" s="1042"/>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row>
    <row r="329" spans="16:85" customFormat="1" x14ac:dyDescent="0.35">
      <c r="P329" s="1042"/>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row>
    <row r="330" spans="16:85" customFormat="1" x14ac:dyDescent="0.35">
      <c r="P330" s="1042"/>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row>
    <row r="331" spans="16:85" customFormat="1" x14ac:dyDescent="0.35">
      <c r="P331" s="1042"/>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row>
    <row r="332" spans="16:85" customFormat="1" x14ac:dyDescent="0.35">
      <c r="P332" s="1042"/>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row>
    <row r="333" spans="16:85" customFormat="1" x14ac:dyDescent="0.35">
      <c r="P333" s="1042"/>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row>
    <row r="334" spans="16:85" customFormat="1" x14ac:dyDescent="0.35">
      <c r="P334" s="1042"/>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row>
    <row r="335" spans="16:85" customFormat="1" x14ac:dyDescent="0.35">
      <c r="P335" s="1042"/>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row>
    <row r="336" spans="16:85" customFormat="1" x14ac:dyDescent="0.35">
      <c r="P336" s="1042"/>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row>
    <row r="337" spans="16:85" customFormat="1" x14ac:dyDescent="0.35">
      <c r="P337" s="1042"/>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row>
    <row r="338" spans="16:85" customFormat="1" x14ac:dyDescent="0.35">
      <c r="P338" s="1042"/>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row>
    <row r="339" spans="16:85" customFormat="1" x14ac:dyDescent="0.35">
      <c r="P339" s="1042"/>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row>
    <row r="340" spans="16:85" customFormat="1" x14ac:dyDescent="0.35">
      <c r="P340" s="1042"/>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row>
    <row r="341" spans="16:85" customFormat="1" x14ac:dyDescent="0.35">
      <c r="P341" s="1042"/>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row>
    <row r="342" spans="16:85" customFormat="1" x14ac:dyDescent="0.35">
      <c r="P342" s="1042"/>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row>
    <row r="343" spans="16:85" customFormat="1" x14ac:dyDescent="0.35">
      <c r="P343" s="1042"/>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row>
    <row r="344" spans="16:85" customFormat="1" x14ac:dyDescent="0.35">
      <c r="P344" s="1042"/>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row>
    <row r="345" spans="16:85" customFormat="1" x14ac:dyDescent="0.35">
      <c r="P345" s="1042"/>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row>
    <row r="346" spans="16:85" customFormat="1" x14ac:dyDescent="0.35">
      <c r="P346" s="1042"/>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row>
    <row r="347" spans="16:85" customFormat="1" x14ac:dyDescent="0.35">
      <c r="P347" s="1042"/>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row>
    <row r="348" spans="16:85" customFormat="1" x14ac:dyDescent="0.35">
      <c r="P348" s="1042"/>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row>
    <row r="349" spans="16:85" customFormat="1" x14ac:dyDescent="0.35">
      <c r="P349" s="1042"/>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row>
    <row r="350" spans="16:85" customFormat="1" x14ac:dyDescent="0.35">
      <c r="P350" s="1042"/>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row>
    <row r="351" spans="16:85" customFormat="1" x14ac:dyDescent="0.35">
      <c r="P351" s="1042"/>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row>
    <row r="352" spans="16:85" customFormat="1" x14ac:dyDescent="0.35">
      <c r="P352" s="1042"/>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row>
    <row r="353" spans="16:85" customFormat="1" x14ac:dyDescent="0.35">
      <c r="P353" s="1042"/>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row>
    <row r="354" spans="16:85" customFormat="1" x14ac:dyDescent="0.35">
      <c r="P354" s="1042"/>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row>
    <row r="355" spans="16:85" customFormat="1" x14ac:dyDescent="0.35">
      <c r="P355" s="1042"/>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row>
    <row r="356" spans="16:85" customFormat="1" x14ac:dyDescent="0.35">
      <c r="P356" s="1042"/>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row>
    <row r="357" spans="16:85" customFormat="1" x14ac:dyDescent="0.35">
      <c r="P357" s="1042"/>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row>
    <row r="358" spans="16:85" customFormat="1" x14ac:dyDescent="0.35">
      <c r="P358" s="1042"/>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row>
    <row r="359" spans="16:85" customFormat="1" x14ac:dyDescent="0.35">
      <c r="P359" s="1042"/>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row>
    <row r="360" spans="16:85" customFormat="1" x14ac:dyDescent="0.35">
      <c r="P360" s="1042"/>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row>
    <row r="361" spans="16:85" customFormat="1" x14ac:dyDescent="0.35">
      <c r="P361" s="1042"/>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row>
    <row r="362" spans="16:85" customFormat="1" x14ac:dyDescent="0.35">
      <c r="P362" s="1042"/>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row>
    <row r="363" spans="16:85" customFormat="1" x14ac:dyDescent="0.35">
      <c r="P363" s="1042"/>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row>
    <row r="364" spans="16:85" customFormat="1" x14ac:dyDescent="0.35">
      <c r="P364" s="1042"/>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row>
    <row r="365" spans="16:85" customFormat="1" x14ac:dyDescent="0.35">
      <c r="P365" s="1042"/>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row>
    <row r="366" spans="16:85" customFormat="1" x14ac:dyDescent="0.35">
      <c r="P366" s="1042"/>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row>
    <row r="367" spans="16:85" customFormat="1" x14ac:dyDescent="0.35">
      <c r="P367" s="1042"/>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row>
    <row r="368" spans="16:85" customFormat="1" x14ac:dyDescent="0.35">
      <c r="P368" s="1042"/>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row>
    <row r="369" spans="16:85" customFormat="1" x14ac:dyDescent="0.35">
      <c r="P369" s="1042"/>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row>
    <row r="370" spans="16:85" customFormat="1" x14ac:dyDescent="0.35">
      <c r="P370" s="1042"/>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row>
    <row r="371" spans="16:85" customFormat="1" x14ac:dyDescent="0.35">
      <c r="P371" s="1042"/>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row>
    <row r="372" spans="16:85" customFormat="1" x14ac:dyDescent="0.35">
      <c r="P372" s="1042"/>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row>
    <row r="373" spans="16:85" customFormat="1" x14ac:dyDescent="0.35">
      <c r="P373" s="1042"/>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row>
    <row r="374" spans="16:85" customFormat="1" x14ac:dyDescent="0.35">
      <c r="P374" s="1042"/>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row>
    <row r="375" spans="16:85" customFormat="1" x14ac:dyDescent="0.35">
      <c r="P375" s="1042"/>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row>
    <row r="376" spans="16:85" customFormat="1" x14ac:dyDescent="0.35">
      <c r="P376" s="1042"/>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row>
    <row r="377" spans="16:85" customFormat="1" x14ac:dyDescent="0.35">
      <c r="P377" s="1042"/>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row>
    <row r="378" spans="16:85" customFormat="1" x14ac:dyDescent="0.35">
      <c r="P378" s="1042"/>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row>
    <row r="379" spans="16:85" customFormat="1" x14ac:dyDescent="0.35">
      <c r="P379" s="1042"/>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row>
    <row r="380" spans="16:85" customFormat="1" x14ac:dyDescent="0.35">
      <c r="P380" s="1042"/>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row>
    <row r="381" spans="16:85" customFormat="1" x14ac:dyDescent="0.35">
      <c r="P381" s="1042"/>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row>
    <row r="382" spans="16:85" customFormat="1" x14ac:dyDescent="0.35">
      <c r="P382" s="1042"/>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row>
    <row r="383" spans="16:85" customFormat="1" x14ac:dyDescent="0.35">
      <c r="P383" s="1042"/>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row>
    <row r="384" spans="16:85" customFormat="1" x14ac:dyDescent="0.35">
      <c r="P384" s="1042"/>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row>
    <row r="385" spans="16:85" customFormat="1" x14ac:dyDescent="0.35">
      <c r="P385" s="1042"/>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row>
    <row r="386" spans="16:85" customFormat="1" x14ac:dyDescent="0.35">
      <c r="P386" s="1042"/>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row>
    <row r="387" spans="16:85" customFormat="1" x14ac:dyDescent="0.35">
      <c r="P387" s="1042"/>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row>
    <row r="388" spans="16:85" customFormat="1" x14ac:dyDescent="0.35">
      <c r="P388" s="1042"/>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row>
  </sheetData>
  <sheetProtection algorithmName="SHA-512" hashValue="rOzCaT8wndHczyS7IkN3W9tmGC0s05+EeuHcf3CbNBjY6ZGYKXjSSqaWVlWr43WI6HeiwhdKTvuggfEN7bS4oQ==" saltValue="h7wHIwzOKMP5Pm2nI+HL4w==" spinCount="100000" sheet="1" objects="1" scenarios="1"/>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DA639-98B4-4AA9-A16B-7C2A08CA9266}">
  <sheetPr codeName="Sheet47">
    <tabColor rgb="FFFF0000"/>
  </sheetPr>
  <dimension ref="A1:DG388"/>
  <sheetViews>
    <sheetView workbookViewId="0">
      <pane ySplit="2" topLeftCell="A3" activePane="bottomLeft" state="frozen"/>
      <selection activeCell="BG16" sqref="BG16"/>
      <selection pane="bottomLeft" activeCell="A4" sqref="A4"/>
    </sheetView>
  </sheetViews>
  <sheetFormatPr defaultColWidth="9.08984375" defaultRowHeight="14.5" x14ac:dyDescent="0.35"/>
  <cols>
    <col min="1" max="1" width="12.90625" style="997" customWidth="1"/>
    <col min="2" max="2" width="10.08984375" style="997" hidden="1" customWidth="1"/>
    <col min="3" max="3" width="9.08984375" style="997" hidden="1" customWidth="1"/>
    <col min="4" max="4" width="11" style="997" hidden="1" customWidth="1"/>
    <col min="5" max="5" width="9.08984375" style="997" hidden="1" customWidth="1"/>
    <col min="6" max="8" width="10.08984375" style="997" hidden="1" customWidth="1"/>
    <col min="9" max="15" width="9.08984375" style="997" hidden="1" customWidth="1"/>
    <col min="16" max="16" width="9.08984375" style="1032" hidden="1" customWidth="1"/>
    <col min="17" max="24" width="9.08984375" style="997" hidden="1" customWidth="1"/>
    <col min="25" max="28" width="12.08984375" style="997" hidden="1" customWidth="1"/>
    <col min="29" max="29" width="9.08984375" style="997" hidden="1" customWidth="1"/>
    <col min="30" max="30" width="13.453125" style="997" hidden="1" customWidth="1"/>
    <col min="31" max="31" width="12.6328125" style="997" hidden="1" customWidth="1"/>
    <col min="32" max="32" width="9.08984375" style="997" hidden="1" customWidth="1"/>
    <col min="33" max="33" width="14.08984375" style="997" hidden="1" customWidth="1"/>
    <col min="34" max="34" width="10.54296875" style="997" hidden="1" customWidth="1"/>
    <col min="35" max="40" width="9.08984375" style="997" hidden="1" customWidth="1"/>
    <col min="41" max="41" width="9.08984375" style="1002" hidden="1" customWidth="1"/>
    <col min="42" max="42" width="15.453125" style="1002" hidden="1" customWidth="1"/>
    <col min="43" max="43" width="10" style="1002" hidden="1" customWidth="1"/>
    <col min="44" max="50" width="11.54296875" style="1002" hidden="1" customWidth="1"/>
    <col min="51" max="52" width="15.36328125" style="1002" hidden="1" customWidth="1"/>
    <col min="53" max="53" width="12.54296875" style="1002" hidden="1" customWidth="1"/>
    <col min="54" max="58" width="10" style="1002" hidden="1" customWidth="1"/>
    <col min="59" max="82" width="11.54296875" style="1002" hidden="1" customWidth="1"/>
    <col min="83" max="83" width="13.90625" style="1002" hidden="1" customWidth="1"/>
    <col min="84" max="85" width="5.6328125" style="1002" hidden="1" customWidth="1"/>
    <col min="86" max="87" width="10.08984375" style="997" hidden="1" customWidth="1"/>
    <col min="88" max="88" width="10.90625" style="997" hidden="1" customWidth="1"/>
    <col min="89" max="89" width="10.08984375" style="997" hidden="1" customWidth="1"/>
    <col min="90" max="100" width="9.08984375" style="997" hidden="1" customWidth="1"/>
    <col min="101" max="101" width="13.90625" style="997" hidden="1" customWidth="1"/>
    <col min="102" max="104" width="8.90625" hidden="1" customWidth="1"/>
    <col min="105" max="105" width="16" customWidth="1"/>
    <col min="106" max="16384" width="9.08984375" style="997"/>
  </cols>
  <sheetData>
    <row r="1" spans="1:111" x14ac:dyDescent="0.35">
      <c r="T1" s="2334"/>
      <c r="X1" s="998" t="s">
        <v>539</v>
      </c>
      <c r="Z1" s="1044" t="s">
        <v>1940</v>
      </c>
      <c r="AC1" s="1045" t="s">
        <v>581</v>
      </c>
      <c r="AD1" s="997" t="str">
        <f>global!H14</f>
        <v>Enter Levying Authority</v>
      </c>
      <c r="AE1" s="997" t="str">
        <f>VLOOKUP(AD1,authorities!A:I,9,FALSE)</f>
        <v>RV limit</v>
      </c>
      <c r="AH1" s="1025"/>
      <c r="AI1" s="1025"/>
      <c r="AJ1" s="999">
        <f>CK11</f>
        <v>11</v>
      </c>
      <c r="AK1" s="999"/>
      <c r="AL1" s="999"/>
      <c r="AM1" s="1002"/>
      <c r="AN1" s="1002"/>
      <c r="AR1" s="1000" t="s">
        <v>1936</v>
      </c>
      <c r="AS1" s="997"/>
      <c r="AT1" s="1000" t="s">
        <v>548</v>
      </c>
      <c r="AU1" s="1001">
        <f>data!C63</f>
        <v>1000000000000</v>
      </c>
      <c r="AV1" s="997" t="b">
        <f>advanced!AK8</f>
        <v>0</v>
      </c>
      <c r="AW1" s="997"/>
      <c r="AX1" s="997"/>
      <c r="AY1">
        <f>reliefs!D15*-1</f>
        <v>-110000</v>
      </c>
      <c r="BA1" s="2372" t="s">
        <v>2899</v>
      </c>
      <c r="BB1" s="997"/>
      <c r="BC1" s="997"/>
      <c r="BD1" s="997"/>
      <c r="BE1" s="997"/>
      <c r="BG1" s="997"/>
      <c r="BH1" s="2441" t="s">
        <v>2941</v>
      </c>
      <c r="BI1" s="2442"/>
      <c r="BJ1" s="2442"/>
      <c r="BK1" s="2442"/>
      <c r="BL1" s="2442"/>
      <c r="BM1" s="2442"/>
      <c r="BN1" s="2442"/>
      <c r="BO1" s="2442"/>
      <c r="BP1" s="2442"/>
      <c r="BQ1" s="2442"/>
      <c r="BR1" s="2442"/>
      <c r="BS1" s="2442"/>
      <c r="BT1" s="2442"/>
      <c r="BU1" s="2442"/>
      <c r="BV1" s="2442"/>
      <c r="BW1" s="2442"/>
      <c r="BX1" s="2442"/>
      <c r="BY1" s="2442"/>
      <c r="BZ1" s="2442"/>
      <c r="CA1" s="2442"/>
      <c r="CB1" s="2442"/>
      <c r="CC1" s="2442"/>
      <c r="CD1" s="2334"/>
      <c r="CE1" s="2444"/>
      <c r="CH1" s="1027" t="s">
        <v>251</v>
      </c>
      <c r="CI1" s="1028" t="s">
        <v>660</v>
      </c>
      <c r="CJ1" s="1028" t="s">
        <v>267</v>
      </c>
      <c r="CK1" s="1028" t="s">
        <v>527</v>
      </c>
      <c r="CL1" s="1028" t="s">
        <v>47</v>
      </c>
      <c r="CM1" s="1029" t="s">
        <v>516</v>
      </c>
      <c r="CN1" s="1029" t="s">
        <v>517</v>
      </c>
      <c r="CO1" s="1029" t="s">
        <v>518</v>
      </c>
      <c r="CP1" s="1029" t="s">
        <v>519</v>
      </c>
      <c r="CQ1" s="2293" t="s">
        <v>320</v>
      </c>
      <c r="CR1" s="1028" t="s">
        <v>540</v>
      </c>
      <c r="CS1" s="1028" t="s">
        <v>541</v>
      </c>
      <c r="CT1" s="1028" t="s">
        <v>542</v>
      </c>
      <c r="CU1" s="1028" t="s">
        <v>547</v>
      </c>
      <c r="CV1" s="1030" t="b">
        <f ca="1">codes!I20</f>
        <v>1</v>
      </c>
      <c r="CW1" s="2295" t="s">
        <v>2811</v>
      </c>
    </row>
    <row r="2" spans="1:111" x14ac:dyDescent="0.35">
      <c r="A2" s="997" t="s">
        <v>549</v>
      </c>
      <c r="B2" s="997" t="s">
        <v>550</v>
      </c>
      <c r="C2" s="997" t="s">
        <v>269</v>
      </c>
      <c r="D2" s="997" t="s">
        <v>267</v>
      </c>
      <c r="E2" s="1002" t="s">
        <v>279</v>
      </c>
      <c r="F2" s="997" t="s">
        <v>551</v>
      </c>
      <c r="G2" s="997" t="s">
        <v>2656</v>
      </c>
      <c r="H2" s="997" t="s">
        <v>563</v>
      </c>
      <c r="I2" s="997" t="s">
        <v>421</v>
      </c>
      <c r="J2" s="997" t="s">
        <v>564</v>
      </c>
      <c r="K2" s="997" t="s">
        <v>565</v>
      </c>
      <c r="L2" s="997" t="s">
        <v>308</v>
      </c>
      <c r="M2" s="997" t="s">
        <v>566</v>
      </c>
      <c r="N2" s="997" t="s">
        <v>567</v>
      </c>
      <c r="O2" s="997" t="s">
        <v>568</v>
      </c>
      <c r="P2" s="1032" t="s">
        <v>569</v>
      </c>
      <c r="Q2" s="997" t="s">
        <v>794</v>
      </c>
      <c r="R2" s="997" t="s">
        <v>570</v>
      </c>
      <c r="S2" s="997" t="s">
        <v>657</v>
      </c>
      <c r="T2" s="2442" t="s">
        <v>571</v>
      </c>
      <c r="U2" s="997" t="s">
        <v>935</v>
      </c>
      <c r="V2" s="1000" t="s">
        <v>1939</v>
      </c>
      <c r="W2" s="1000" t="s">
        <v>1935</v>
      </c>
      <c r="X2" s="998" t="b">
        <f>advanced!AJ7</f>
        <v>0</v>
      </c>
      <c r="Y2" s="997" t="s">
        <v>580</v>
      </c>
      <c r="Z2" s="1045" t="b">
        <f>OR(global!D4=1,global!D4=2)</f>
        <v>0</v>
      </c>
      <c r="AA2" s="1043" t="s">
        <v>596</v>
      </c>
      <c r="AB2" s="1043" t="s">
        <v>1941</v>
      </c>
      <c r="AC2" s="1045" t="b">
        <f>global!D4=1</f>
        <v>0</v>
      </c>
      <c r="AD2" s="997" t="s">
        <v>582</v>
      </c>
      <c r="AE2" s="997" t="s">
        <v>583</v>
      </c>
      <c r="AF2" s="997" t="s">
        <v>584</v>
      </c>
      <c r="AG2" s="1000" t="s">
        <v>1934</v>
      </c>
      <c r="AH2" s="1026" t="s">
        <v>274</v>
      </c>
      <c r="AI2" s="997" t="s">
        <v>585</v>
      </c>
      <c r="AJ2" s="997" t="s">
        <v>586</v>
      </c>
      <c r="AK2" s="997" t="s">
        <v>587</v>
      </c>
      <c r="AL2" s="997" t="s">
        <v>588</v>
      </c>
      <c r="AO2" s="1002" t="s">
        <v>589</v>
      </c>
      <c r="AP2" s="1002" t="s">
        <v>590</v>
      </c>
      <c r="AQ2" s="1043" t="s">
        <v>527</v>
      </c>
      <c r="AR2" s="1000" t="s">
        <v>1937</v>
      </c>
      <c r="AS2" s="997"/>
      <c r="AT2" s="1004" t="s">
        <v>272</v>
      </c>
      <c r="AU2" s="1004" t="s">
        <v>591</v>
      </c>
      <c r="AV2" s="1004" t="s">
        <v>592</v>
      </c>
      <c r="AW2" s="1004" t="s">
        <v>593</v>
      </c>
      <c r="AX2" s="1004" t="s">
        <v>594</v>
      </c>
      <c r="AY2" s="1004" t="s">
        <v>595</v>
      </c>
      <c r="AZ2" s="1002" t="s">
        <v>3045</v>
      </c>
      <c r="BA2" s="2373" t="b">
        <f>reliefs!F32</f>
        <v>0</v>
      </c>
      <c r="BC2" s="1005" t="s">
        <v>2913</v>
      </c>
      <c r="BD2" s="1005" t="s">
        <v>2901</v>
      </c>
      <c r="BE2" s="1005" t="s">
        <v>2914</v>
      </c>
      <c r="BF2" s="1005">
        <v>2021</v>
      </c>
      <c r="BG2" s="1004" t="s">
        <v>3044</v>
      </c>
      <c r="BH2" s="2441" t="s">
        <v>596</v>
      </c>
      <c r="BI2" s="2441" t="s">
        <v>43</v>
      </c>
      <c r="BJ2" s="2441" t="s">
        <v>2925</v>
      </c>
      <c r="BK2" s="2441" t="s">
        <v>2926</v>
      </c>
      <c r="BL2" s="2441" t="s">
        <v>2927</v>
      </c>
      <c r="BM2" s="2441" t="s">
        <v>2928</v>
      </c>
      <c r="BN2" s="2441" t="s">
        <v>1739</v>
      </c>
      <c r="BO2" s="2441" t="s">
        <v>2929</v>
      </c>
      <c r="BP2" s="2441" t="s">
        <v>58</v>
      </c>
      <c r="BQ2" s="2441" t="s">
        <v>2930</v>
      </c>
      <c r="BR2" s="2441" t="s">
        <v>2931</v>
      </c>
      <c r="BS2" s="2441" t="s">
        <v>2932</v>
      </c>
      <c r="BT2" s="2441" t="s">
        <v>2933</v>
      </c>
      <c r="BU2" s="2441" t="s">
        <v>2934</v>
      </c>
      <c r="BV2" s="2441" t="s">
        <v>2935</v>
      </c>
      <c r="BW2" s="2441" t="s">
        <v>2936</v>
      </c>
      <c r="BX2" s="2441" t="s">
        <v>2937</v>
      </c>
      <c r="BY2" s="2441" t="s">
        <v>2938</v>
      </c>
      <c r="BZ2" s="2441" t="s">
        <v>527</v>
      </c>
      <c r="CA2" s="2441" t="s">
        <v>563</v>
      </c>
      <c r="CB2" s="2441" t="s">
        <v>2939</v>
      </c>
      <c r="CC2" s="2334" t="s">
        <v>2940</v>
      </c>
      <c r="CD2" s="2443" t="s">
        <v>2944</v>
      </c>
      <c r="CE2" s="2443" t="s">
        <v>2953</v>
      </c>
      <c r="CH2" s="1031">
        <f>data!B13</f>
        <v>45017</v>
      </c>
      <c r="CI2" s="997">
        <v>1</v>
      </c>
      <c r="CJ2" s="1003">
        <f>data!E13</f>
        <v>45382</v>
      </c>
      <c r="CK2" s="1002">
        <f t="shared" ref="CK2:CK7" si="0">(CJ2-CH2)+1</f>
        <v>366</v>
      </c>
      <c r="CL2" s="1032">
        <f>data!C53</f>
        <v>0.499</v>
      </c>
      <c r="CM2" s="1033">
        <f ca="1">nncalc2!$D$31*$CV$1</f>
        <v>0</v>
      </c>
      <c r="CN2" s="1033">
        <f ca="1">nccalc2!$D$31*$CV$1</f>
        <v>0</v>
      </c>
      <c r="CO2" s="1033">
        <f ca="1">bncalc2!$D$31*$CV$1</f>
        <v>0</v>
      </c>
      <c r="CP2" s="1033">
        <f ca="1">bccalc2!$D$31*$CV$1</f>
        <v>0</v>
      </c>
      <c r="CQ2" s="997">
        <f>data!E53</f>
        <v>1.4E-2</v>
      </c>
      <c r="CR2" s="997">
        <f>CU2+1</f>
        <v>15001</v>
      </c>
      <c r="CS2" s="997">
        <f>data!F33</f>
        <v>1.2999999999999999E-2</v>
      </c>
      <c r="CT2" s="997">
        <f>data!C33</f>
        <v>12000</v>
      </c>
      <c r="CU2" s="997">
        <f>data!D33</f>
        <v>15000</v>
      </c>
      <c r="CV2" s="1034">
        <f>data!E33</f>
        <v>51000</v>
      </c>
      <c r="CW2" s="997">
        <f>data!L53</f>
        <v>0</v>
      </c>
    </row>
    <row r="3" spans="1:111" x14ac:dyDescent="0.35">
      <c r="A3" s="997">
        <v>1</v>
      </c>
      <c r="B3" s="1003">
        <f>CH2</f>
        <v>45017</v>
      </c>
      <c r="C3" s="997">
        <f>IF(OR(B3=0,B3=""),"",1)</f>
        <v>1</v>
      </c>
      <c r="D3" s="1003">
        <f>$CJ$2</f>
        <v>45382</v>
      </c>
      <c r="E3" s="1002" t="str">
        <f>VLOOKUP(B3,input_engine_r!$B$23:$F$35,5,FALSE)</f>
        <v>nn</v>
      </c>
      <c r="F3" s="1003">
        <f>B3</f>
        <v>45017</v>
      </c>
      <c r="G3" s="1003">
        <f>IF(B3="","",IF(C4=C3,F4-1,D3))</f>
        <v>45382</v>
      </c>
      <c r="H3" s="1002">
        <f>IF(B3&lt;&gt;"",G3-F3+1,0)</f>
        <v>366</v>
      </c>
      <c r="I3" s="997">
        <f t="shared" ref="I3:I14" si="1">IF(AP3&gt;0,K3*P3,HLOOKUP(E3,$CM$1:$CP$9,1+$C$3,FALSE))</f>
        <v>0</v>
      </c>
      <c r="J3" s="997">
        <f t="shared" ref="J3:J14" si="2">I3/$CK$2</f>
        <v>0</v>
      </c>
      <c r="K3" s="997">
        <f t="shared" ref="K3:K14" si="3">HLOOKUP(E3,$CM$1:$CP$10,10,FALSE)</f>
        <v>0</v>
      </c>
      <c r="L3" s="997">
        <f>input_engine_r!E23</f>
        <v>0</v>
      </c>
      <c r="M3" s="1002" t="str">
        <f>IF(L3&lt;K3,"down","up")</f>
        <v>up</v>
      </c>
      <c r="N3" s="1002">
        <f>IF(OR(B3="",K3=0),0,IF(M3="down",J3*L3/K3*H3,0))</f>
        <v>0</v>
      </c>
      <c r="O3" s="1002">
        <f t="shared" ref="O3:O14" si="4">IF(B3="","",IF(M3="up",((J3*H3)+((L3-K3)*P3/$CK$2*H3)),0))</f>
        <v>0</v>
      </c>
      <c r="P3" s="1032">
        <f>$CL$2</f>
        <v>0.499</v>
      </c>
      <c r="Q3" s="997">
        <f>IF(M3="down",N3,O3)</f>
        <v>0</v>
      </c>
      <c r="R3" s="997">
        <f>IF(B3="",0,IF(U3=TRUE,(Q3/AH3)+AC3+(AD3/AH3),(Q3)+Y3+Z3+AC3+AD3))</f>
        <v>0</v>
      </c>
      <c r="S3" s="1006">
        <f>input_engine_r!S23</f>
        <v>1</v>
      </c>
      <c r="T3" s="2442">
        <f ca="1">$CV$1*(IF(AND(AF3="y",L3&lt;AG3),0,R3*S3))+CB3+AZ3</f>
        <v>0</v>
      </c>
      <c r="U3" s="997" t="b">
        <f>AND(V3=TRUE,L3&lt;=W3,AF3="n",X3=FALSE)</f>
        <v>0</v>
      </c>
      <c r="V3" s="997" t="b">
        <f>advanced!$M$22="y"</f>
        <v>0</v>
      </c>
      <c r="W3" s="997">
        <f>data!$D$33</f>
        <v>15000</v>
      </c>
      <c r="X3" s="997" t="b">
        <f>$X$2</f>
        <v>0</v>
      </c>
      <c r="Y3" s="997">
        <f>IF(B3="",0,IF(AND($X$2=FALSE,AF3="n",OR(L3&lt;$CV$2,U3=TRUE,BX3=TRUE)),0,L3*$CS$2/$CK$2*H3))</f>
        <v>0</v>
      </c>
      <c r="Z3" s="997">
        <f t="shared" ref="Z3:Z14" si="5">IF(B3="",0,IF(AND($Z$2=TRUE,L3&gt;AA3),L3*AB3*H3/AQ3,0))</f>
        <v>0</v>
      </c>
      <c r="AA3" s="1002">
        <f>data!$G$53</f>
        <v>75000</v>
      </c>
      <c r="AB3" s="1002">
        <f>data!$F$53</f>
        <v>0.02</v>
      </c>
      <c r="AC3" s="997">
        <f>IF(B3="",0,L3*($CQ$2-IF(L3&lt;$CV$2,CW$2,0))/$CK$2*H3)*$AC$2/IF(U3=TRUE,AH3,1)</f>
        <v>0</v>
      </c>
      <c r="AD3" s="997">
        <f>IF(B3="",0,(IF($AE$1=authorities!$I$1,0,IF(L3&gt;AE3,VLOOKUP($AD$1,authorities!A:H,C3+1,FALSE),0)))*L3/$CK$2*H3)</f>
        <v>0</v>
      </c>
      <c r="AE3" s="997">
        <f>IF($AE$1=authorities!$I$1,0,$AE$1)</f>
        <v>0</v>
      </c>
      <c r="AF3" s="1006" t="str">
        <f>input_engine_r!T23</f>
        <v>n</v>
      </c>
      <c r="AG3" s="1002">
        <f>data!$C$43</f>
        <v>2900</v>
      </c>
      <c r="AH3" s="1007">
        <f t="shared" ref="AH3:AH14" si="6">IF(L3&lt;=$CT$2,5000000,IF(L3&gt;$CU$2,1,IF(MID((($CU$2-$CT$2)/(L3-$CT$2)),6,1)="5",ROUND((($CU$2-$CT$2)/(L3-$CT$2))-0.0001,3),ROUND(($CU$2-$CT$2)/(L3-$CT$2),3))))</f>
        <v>5000000</v>
      </c>
      <c r="AI3" s="997">
        <f>IF(L3&lt;&gt;"",1,0)</f>
        <v>1</v>
      </c>
      <c r="AJ3" s="997" t="b">
        <f t="shared" ref="AJ3:AJ14" si="7">IF(AP3&gt;0,FALSE,HLOOKUP(E3,$CM$1:$CP$17,$AJ$1+1,FALSE))</f>
        <v>0</v>
      </c>
      <c r="AL3" s="997">
        <f>IF(OR(H3=0,F3="",K3=L3,AJ3=FALSE),0,IF(L3&lt;K3,1,0.01))</f>
        <v>0</v>
      </c>
      <c r="AO3" s="1002">
        <f>IF(advanced!M36&gt;0,0,IF(L3=0,1,0))</f>
        <v>1</v>
      </c>
      <c r="AP3" s="1002">
        <f>AO3</f>
        <v>1</v>
      </c>
      <c r="AQ3" s="1002">
        <f>$CK$2</f>
        <v>366</v>
      </c>
      <c r="AR3" s="997">
        <f ca="1">$CV$1*IF(AND(AF3="y",L3&lt;AG3),0,R3*S3)+CB3</f>
        <v>0</v>
      </c>
      <c r="AS3" s="997"/>
      <c r="AT3" s="997">
        <f>L3</f>
        <v>0</v>
      </c>
      <c r="AU3" s="997" t="b">
        <f t="shared" ref="AU3:AU14" si="8">AT3&lt;$AU$1</f>
        <v>1</v>
      </c>
      <c r="AV3" s="997" t="b">
        <f t="shared" ref="AV3:AV53" si="9">$AV$1</f>
        <v>0</v>
      </c>
      <c r="AW3" s="997" t="b">
        <f t="shared" ref="AW3:AW14" si="10">AF3="n"</f>
        <v>1</v>
      </c>
      <c r="AX3" s="997">
        <f>AU3*AV3*AW3*IF(S3=0,0,1)</f>
        <v>0</v>
      </c>
      <c r="AY3" s="997">
        <f ca="1">AR3/reliefs!$D$7*AX3*-1</f>
        <v>0</v>
      </c>
      <c r="AZ3" s="1002">
        <f ca="1">$AY$15/$BG$15*H3*AX3</f>
        <v>0</v>
      </c>
      <c r="BA3" s="2371">
        <f>IF(BE3="y",BD3,BC3)</f>
        <v>0</v>
      </c>
      <c r="BB3" s="1043" t="s">
        <v>2912</v>
      </c>
      <c r="BC3" s="2371">
        <f>reliefs!F30</f>
        <v>0</v>
      </c>
      <c r="BD3" s="2381">
        <f>advanced!AO12</f>
        <v>0</v>
      </c>
      <c r="BE3" s="2380" t="str">
        <f>advanced!AO13</f>
        <v>n</v>
      </c>
      <c r="BF3" s="2369">
        <v>0</v>
      </c>
      <c r="BG3" s="997">
        <f>H3*AX3</f>
        <v>0</v>
      </c>
      <c r="BH3" s="997">
        <f>data!$G$33</f>
        <v>15000</v>
      </c>
      <c r="BI3" s="1001">
        <f>advanced!I9</f>
        <v>0</v>
      </c>
      <c r="BJ3" s="997">
        <f>IF(BI3&lt;=12000,5000000,IF(BI3&gt;15000,1,IF(MID((3000/(BI3-12000)),6,1)="5",ROUND((3000/(BI3-12000))-0.0001,3),ROUND(3000/(BI3-12000),3))))</f>
        <v>5000000</v>
      </c>
      <c r="BK3" s="997">
        <f>calc1!D144</f>
        <v>0.499</v>
      </c>
      <c r="BL3" s="997" t="b">
        <f>BI3&lt;BH3</f>
        <v>1</v>
      </c>
      <c r="BM3" s="997" t="b">
        <f>advanced!AK5</f>
        <v>0</v>
      </c>
      <c r="BN3" s="997">
        <f>BI3*BK3/BJ3</f>
        <v>0</v>
      </c>
      <c r="BO3" s="997">
        <f>I3/IF(U3=TRUE,AH3,1)</f>
        <v>0</v>
      </c>
      <c r="BP3" s="997"/>
      <c r="BQ3" s="997"/>
      <c r="BR3" s="997">
        <f>BN3+600</f>
        <v>600</v>
      </c>
      <c r="BS3" s="997"/>
      <c r="BT3" s="997" t="b">
        <f>BO3&gt;BR3</f>
        <v>0</v>
      </c>
      <c r="BU3" s="997" t="b">
        <f>X2=FALSE</f>
        <v>1</v>
      </c>
      <c r="BV3" s="997" t="b">
        <f>AW3</f>
        <v>1</v>
      </c>
      <c r="BW3" s="997" t="b">
        <f>BV3</f>
        <v>1</v>
      </c>
      <c r="BX3" s="997" t="b">
        <f>BL3+BM3+BT3+BU3+BV3+BW3=6</f>
        <v>0</v>
      </c>
      <c r="BY3" s="997">
        <f>(BR3-BO3)</f>
        <v>600</v>
      </c>
      <c r="BZ3" s="997">
        <f>AQ3</f>
        <v>366</v>
      </c>
      <c r="CA3" s="997">
        <f>H3</f>
        <v>366</v>
      </c>
      <c r="CB3" s="997">
        <f>BY3/BZ3*CA3*BX3</f>
        <v>0</v>
      </c>
      <c r="CC3" s="997">
        <f t="shared" ref="CC3:CC14" si="11">CB3</f>
        <v>0</v>
      </c>
      <c r="CD3" s="997">
        <f>BR3</f>
        <v>600</v>
      </c>
      <c r="CE3" s="1002" t="b">
        <f>advanced!AK11</f>
        <v>0</v>
      </c>
      <c r="CH3" s="1031">
        <f>data!B14</f>
        <v>45383</v>
      </c>
      <c r="CI3" s="997">
        <v>2</v>
      </c>
      <c r="CJ3" s="1003">
        <f>data!E14</f>
        <v>45747</v>
      </c>
      <c r="CK3" s="1002">
        <f t="shared" si="0"/>
        <v>365</v>
      </c>
      <c r="CL3" s="1032">
        <f>data!C54</f>
        <v>0.499</v>
      </c>
      <c r="CM3" s="1033">
        <f ca="1">nncalc2!$E$31*$CV$1</f>
        <v>0</v>
      </c>
      <c r="CN3" s="1033">
        <f ca="1">nccalc2!$E$31*$CV$1</f>
        <v>0</v>
      </c>
      <c r="CO3" s="1033">
        <f ca="1">bncalc2!$E$31*$CV$1</f>
        <v>0</v>
      </c>
      <c r="CP3" s="1033">
        <f ca="1">bccalc2!$E$31*$CV$1</f>
        <v>0</v>
      </c>
      <c r="CQ3" s="997">
        <f>data!E54</f>
        <v>1.8000000000000002E-2</v>
      </c>
      <c r="CS3" s="997">
        <f>data!F34</f>
        <v>4.7000000000000042E-2</v>
      </c>
      <c r="CT3" s="997">
        <f>data!C34</f>
        <v>12000</v>
      </c>
      <c r="CU3" s="997">
        <f>data!D34</f>
        <v>15000</v>
      </c>
      <c r="CV3" s="1034">
        <f>data!E34</f>
        <v>51000</v>
      </c>
      <c r="CW3" s="997">
        <f>data!L54</f>
        <v>2.0000000000000018E-3</v>
      </c>
    </row>
    <row r="4" spans="1:111" x14ac:dyDescent="0.35">
      <c r="A4" s="997">
        <f t="shared" ref="A4:A14" si="12">A3+1</f>
        <v>2</v>
      </c>
      <c r="B4" s="1003" t="str">
        <f>IF(input_engine_r!$P$21&gt;A3,VLOOKUP(A4,input_engine_r!$P$23:$T$35,2,FALSE),"")</f>
        <v/>
      </c>
      <c r="C4" s="997" t="str">
        <f t="shared" ref="C4:C14" si="13">IF(OR(B4=0,B4=""),"",1)</f>
        <v/>
      </c>
      <c r="D4" s="1003">
        <f t="shared" ref="D4:D14" si="14">$CJ$2</f>
        <v>45382</v>
      </c>
      <c r="E4" s="1002" t="str">
        <f>IF(B4="",E3,VLOOKUP(B4,input_engine_r!$B$23:$F$35,5,FALSE))</f>
        <v>nn</v>
      </c>
      <c r="F4" s="1003" t="str">
        <f t="shared" ref="F4:F14" si="15">B4</f>
        <v/>
      </c>
      <c r="G4" s="1003" t="str">
        <f t="shared" ref="G4:G13" si="16">IF(B4="","",IF(C5=C4,F5-1,D4))</f>
        <v/>
      </c>
      <c r="H4" s="1002">
        <f t="shared" ref="H4:H14" si="17">IF(B4&lt;&gt;"",G4-F4+1,0)</f>
        <v>0</v>
      </c>
      <c r="I4" s="997">
        <f t="shared" si="1"/>
        <v>0</v>
      </c>
      <c r="J4" s="997">
        <f t="shared" si="2"/>
        <v>0</v>
      </c>
      <c r="K4" s="997">
        <f t="shared" si="3"/>
        <v>0</v>
      </c>
      <c r="L4" s="997" t="str">
        <f>IF(input_engine_r!$P$21&gt;A3,VLOOKUP(A4,input_engine_r!$P$23:$T$36,3,FALSE),"")</f>
        <v/>
      </c>
      <c r="M4" s="1002" t="str">
        <f t="shared" ref="M4:M14" si="18">IF(L4&lt;K4,"down","up")</f>
        <v>up</v>
      </c>
      <c r="N4" s="1002" t="str">
        <f>IF(B4="","",IF(M4="down",J4*L4/K4*H4,0))</f>
        <v/>
      </c>
      <c r="O4" s="1002" t="str">
        <f t="shared" si="4"/>
        <v/>
      </c>
      <c r="P4" s="1032">
        <f t="shared" ref="P4:P14" si="19">$CL$2</f>
        <v>0.499</v>
      </c>
      <c r="Q4" s="997" t="str">
        <f t="shared" ref="Q4:Q14" si="20">IF(M4="down",N4,O4)</f>
        <v/>
      </c>
      <c r="R4" s="997">
        <f t="shared" ref="R4:R14" si="21">IF(B4="",0,IF(U4=TRUE,(Q4/AH4)+AC4+(AD4/AH4),(Q4)+Y4+Z4+AC4+AD4))</f>
        <v>0</v>
      </c>
      <c r="S4" s="1006">
        <f>IF(input_engine_r!$P$21&gt;A3,VLOOKUP(A4,input_engine_r!$P$23:$T$35,4,FALSE),0)</f>
        <v>0</v>
      </c>
      <c r="T4" s="2442">
        <f t="shared" ref="T4:T14" ca="1" si="22">$CV$1*(IF(AND(AF4="y",L4&lt;AG4),0,R4*S4))+CB4+AZ4</f>
        <v>0</v>
      </c>
      <c r="U4" s="997" t="b">
        <f t="shared" ref="U4:U14" si="23">AND(V4=TRUE,L4&lt;=W4,AF4="n",X4=FALSE)</f>
        <v>0</v>
      </c>
      <c r="V4" s="997" t="b">
        <f>advanced!$M$22="y"</f>
        <v>0</v>
      </c>
      <c r="W4" s="997">
        <f>data!$D$33</f>
        <v>15000</v>
      </c>
      <c r="X4" s="997" t="b">
        <f t="shared" ref="X4:X53" si="24">$X$2</f>
        <v>0</v>
      </c>
      <c r="Y4" s="997">
        <f t="shared" ref="Y4:Y14" si="25">IF(B4="",0,IF(AND($X$2=FALSE,AF4="n",OR(L4&lt;$CV$2,U4=TRUE,BX4=TRUE)),0,L4*$CS$2/$CK$2*H4))</f>
        <v>0</v>
      </c>
      <c r="Z4" s="997">
        <f t="shared" si="5"/>
        <v>0</v>
      </c>
      <c r="AA4" s="1002">
        <f>data!$G$53</f>
        <v>75000</v>
      </c>
      <c r="AB4" s="1002">
        <f>data!$F$53</f>
        <v>0.02</v>
      </c>
      <c r="AC4" s="997">
        <f t="shared" ref="AC4:AC14" si="26">IF(B4="",0,L4*($CQ$2-IF(L4&lt;$CV$2,CW$2,0))/$CK$2*H4)*$AC$2/IF(U4=TRUE,AH4,1)</f>
        <v>0</v>
      </c>
      <c r="AD4" s="997">
        <f>IF(B4="",0,(IF($AE$1=authorities!$I$1,0,IF(L4&gt;AE4,VLOOKUP($AD$1,authorities!A:H,C4+1,FALSE),0)))*L4/$CK$2*H4)</f>
        <v>0</v>
      </c>
      <c r="AE4" s="997">
        <f>IF($AE$1=authorities!$I$1,0,$AE$1)</f>
        <v>0</v>
      </c>
      <c r="AF4" s="1002">
        <f>IF(input_engine_r!$P$21&gt;A3,VLOOKUP(A4,input_engine_r!$P$23:$T$35,5,FALSE),0)</f>
        <v>0</v>
      </c>
      <c r="AG4" s="1002">
        <f>data!$C$43</f>
        <v>2900</v>
      </c>
      <c r="AH4" s="1007">
        <f t="shared" si="6"/>
        <v>1</v>
      </c>
      <c r="AI4" s="997">
        <f t="shared" ref="AI4:AI14" si="27">IF(L4&lt;&gt;"",1,0)</f>
        <v>0</v>
      </c>
      <c r="AJ4" s="997" t="b">
        <f t="shared" si="7"/>
        <v>0</v>
      </c>
      <c r="AL4" s="997">
        <f t="shared" ref="AL4:AL14" si="28">IF(OR(H4=0,F4="",K4=L4,AJ4=FALSE),0,IF(L4&lt;K4,1,0.01))</f>
        <v>0</v>
      </c>
      <c r="AO4" s="1002">
        <f t="shared" ref="AO4:AO27" si="29">IF(L4=0,1,0)</f>
        <v>0</v>
      </c>
      <c r="AP4" s="1002">
        <f>SUM(AO3:AO4)</f>
        <v>1</v>
      </c>
      <c r="AQ4" s="1002">
        <f t="shared" ref="AQ4:AQ14" si="30">$CK$2</f>
        <v>366</v>
      </c>
      <c r="AR4" s="997">
        <f t="shared" ref="AR4:AR40" ca="1" si="31">$CV$1*IF(AND(AF4="y",L4&lt;AG4),0,R4*S4)+CB4</f>
        <v>0</v>
      </c>
      <c r="AS4" s="997"/>
      <c r="AT4" s="997">
        <f t="shared" ref="AT4:AT14" si="32">IF(L4="",AT3,L4)</f>
        <v>0</v>
      </c>
      <c r="AU4" s="997" t="b">
        <f t="shared" si="8"/>
        <v>1</v>
      </c>
      <c r="AV4" s="997" t="b">
        <f t="shared" si="9"/>
        <v>0</v>
      </c>
      <c r="AW4" s="997" t="b">
        <f t="shared" si="10"/>
        <v>0</v>
      </c>
      <c r="AX4" s="997">
        <f t="shared" ref="AX4:AX14" si="33">AU4*AV4*AW4*IF(S4=0,0,1)</f>
        <v>0</v>
      </c>
      <c r="AY4" s="997">
        <f ca="1">AR4/reliefs!$D$7*AX4*-1</f>
        <v>0</v>
      </c>
      <c r="AZ4" s="1002">
        <f t="shared" ref="AZ4:AZ14" ca="1" si="34">$AY$15/$BG$15*H4*AX4</f>
        <v>0</v>
      </c>
      <c r="BA4" s="2370"/>
      <c r="BB4" s="997"/>
      <c r="BC4" s="997"/>
      <c r="BD4" s="997"/>
      <c r="BE4" s="997"/>
      <c r="BG4" s="997">
        <f t="shared" ref="BG4:BG14" si="35">H4*AX4</f>
        <v>0</v>
      </c>
      <c r="BH4" s="997">
        <f t="shared" ref="BH4:BN19" si="36">BH3</f>
        <v>15000</v>
      </c>
      <c r="BI4" s="1001">
        <f t="shared" si="36"/>
        <v>0</v>
      </c>
      <c r="BJ4" s="997">
        <f t="shared" si="36"/>
        <v>5000000</v>
      </c>
      <c r="BK4" s="997">
        <f t="shared" si="36"/>
        <v>0.499</v>
      </c>
      <c r="BL4" s="997" t="b">
        <f t="shared" si="36"/>
        <v>1</v>
      </c>
      <c r="BM4" s="997" t="b">
        <f t="shared" si="36"/>
        <v>0</v>
      </c>
      <c r="BN4" s="997">
        <f t="shared" si="36"/>
        <v>0</v>
      </c>
      <c r="BO4" s="997">
        <f t="shared" ref="BO4:BO14" si="37">I4/IF(U4=TRUE,AH4,1)</f>
        <v>0</v>
      </c>
      <c r="BP4" s="997"/>
      <c r="BQ4" s="997"/>
      <c r="BR4" s="997">
        <f t="shared" ref="BR4:BR14" si="38">BN4+600</f>
        <v>600</v>
      </c>
      <c r="BS4" s="997"/>
      <c r="BT4" s="997" t="b">
        <f t="shared" ref="BT4:BT14" si="39">BO4&gt;BR4</f>
        <v>0</v>
      </c>
      <c r="BU4" s="997" t="b">
        <f>BU3</f>
        <v>1</v>
      </c>
      <c r="BV4" s="997" t="b">
        <f t="shared" ref="BV4:BV14" si="40">AW4</f>
        <v>0</v>
      </c>
      <c r="BW4" s="997" t="b">
        <f t="shared" ref="BW4:BW15" si="41">AND(BW3=TRUE,BV4=TRUE)</f>
        <v>0</v>
      </c>
      <c r="BX4" s="997" t="b">
        <f t="shared" ref="BX4:BX14" si="42">BL4+BM4+BT4+BU4+BV4+BW4=6</f>
        <v>0</v>
      </c>
      <c r="BY4" s="997">
        <f t="shared" ref="BY4:BY14" si="43">(BR4-BO4)</f>
        <v>600</v>
      </c>
      <c r="BZ4" s="997">
        <f t="shared" ref="BZ4:BZ14" si="44">AQ4</f>
        <v>366</v>
      </c>
      <c r="CA4" s="997">
        <f>H4</f>
        <v>0</v>
      </c>
      <c r="CB4" s="997">
        <f t="shared" ref="CB4:CB14" si="45">BY4/BZ4*CA4*BX4</f>
        <v>0</v>
      </c>
      <c r="CC4" s="997">
        <f t="shared" si="11"/>
        <v>0</v>
      </c>
      <c r="CD4" s="997">
        <f>CD3</f>
        <v>600</v>
      </c>
      <c r="CE4" s="1002" t="b">
        <f>CE3</f>
        <v>0</v>
      </c>
      <c r="CH4" s="1031">
        <f>data!B15</f>
        <v>45748</v>
      </c>
      <c r="CI4" s="997">
        <v>3</v>
      </c>
      <c r="CJ4" s="1003">
        <f>data!E15</f>
        <v>46112</v>
      </c>
      <c r="CK4" s="1002">
        <f t="shared" si="0"/>
        <v>365</v>
      </c>
      <c r="CL4" s="1032">
        <f>data!C55</f>
        <v>0.499</v>
      </c>
      <c r="CM4" s="1033">
        <f ca="1">nncalc2!$F$31*$CV$1</f>
        <v>0</v>
      </c>
      <c r="CN4" s="1033">
        <f ca="1">nccalc2!$F$31*$CV$1</f>
        <v>0</v>
      </c>
      <c r="CO4" s="1033">
        <f ca="1">bncalc2!$F$31*$CV$1</f>
        <v>0</v>
      </c>
      <c r="CP4" s="1033">
        <f ca="1">bccalc2!$F$31*$CV$1</f>
        <v>0</v>
      </c>
      <c r="CQ4" s="997">
        <f>data!E55</f>
        <v>2.1999999999999999E-2</v>
      </c>
      <c r="CS4" s="997">
        <f>data!F35</f>
        <v>5.600000000000005E-2</v>
      </c>
      <c r="CT4" s="997">
        <f>data!C35</f>
        <v>12000</v>
      </c>
      <c r="CU4" s="997">
        <f>data!D35</f>
        <v>15000</v>
      </c>
      <c r="CV4" s="1034">
        <f>data!E35</f>
        <v>51000</v>
      </c>
      <c r="CW4" s="997">
        <f>data!L55</f>
        <v>1.9999999999999983E-3</v>
      </c>
    </row>
    <row r="5" spans="1:111" x14ac:dyDescent="0.35">
      <c r="A5" s="997">
        <f t="shared" si="12"/>
        <v>3</v>
      </c>
      <c r="B5" s="1003" t="str">
        <f>IF(input_engine_r!$P$21&gt;A4,VLOOKUP(A5,input_engine_r!$P$23:$T$35,2,FALSE),"")</f>
        <v/>
      </c>
      <c r="C5" s="997" t="str">
        <f t="shared" si="13"/>
        <v/>
      </c>
      <c r="D5" s="1003">
        <f t="shared" si="14"/>
        <v>45382</v>
      </c>
      <c r="E5" s="1002" t="str">
        <f>IF(B5="",E4,VLOOKUP(B5,input_engine_r!$B$23:$F$35,5,FALSE))</f>
        <v>nn</v>
      </c>
      <c r="F5" s="1003" t="str">
        <f t="shared" si="15"/>
        <v/>
      </c>
      <c r="G5" s="1003" t="str">
        <f t="shared" si="16"/>
        <v/>
      </c>
      <c r="H5" s="1002">
        <f t="shared" si="17"/>
        <v>0</v>
      </c>
      <c r="I5" s="997">
        <f t="shared" si="1"/>
        <v>0</v>
      </c>
      <c r="J5" s="997">
        <f t="shared" si="2"/>
        <v>0</v>
      </c>
      <c r="K5" s="997">
        <f t="shared" si="3"/>
        <v>0</v>
      </c>
      <c r="L5" s="997" t="str">
        <f>IF(input_engine_r!$P$21&gt;A4,VLOOKUP(A5,input_engine_r!$P$23:$T$36,3,FALSE),"")</f>
        <v/>
      </c>
      <c r="M5" s="1002" t="str">
        <f t="shared" si="18"/>
        <v>up</v>
      </c>
      <c r="N5" s="1002" t="str">
        <f t="shared" ref="N5:N14" si="46">IF(B5="","",IF(M5="down",J5*L5/K5*H5,0))</f>
        <v/>
      </c>
      <c r="O5" s="1002" t="str">
        <f t="shared" si="4"/>
        <v/>
      </c>
      <c r="P5" s="1032">
        <f t="shared" si="19"/>
        <v>0.499</v>
      </c>
      <c r="Q5" s="997" t="str">
        <f t="shared" si="20"/>
        <v/>
      </c>
      <c r="R5" s="997">
        <f t="shared" si="21"/>
        <v>0</v>
      </c>
      <c r="S5" s="1006">
        <f>IF(input_engine_r!$P$21&gt;A4,VLOOKUP(A5,input_engine_r!$P$23:$T$35,4,FALSE),0)</f>
        <v>0</v>
      </c>
      <c r="T5" s="2442">
        <f t="shared" ca="1" si="22"/>
        <v>0</v>
      </c>
      <c r="U5" s="997" t="b">
        <f t="shared" si="23"/>
        <v>0</v>
      </c>
      <c r="V5" s="997" t="b">
        <f>advanced!$M$22="y"</f>
        <v>0</v>
      </c>
      <c r="W5" s="997">
        <f>data!$D$33</f>
        <v>15000</v>
      </c>
      <c r="X5" s="997" t="b">
        <f t="shared" si="24"/>
        <v>0</v>
      </c>
      <c r="Y5" s="997">
        <f t="shared" si="25"/>
        <v>0</v>
      </c>
      <c r="Z5" s="997">
        <f t="shared" si="5"/>
        <v>0</v>
      </c>
      <c r="AA5" s="1002">
        <f>data!$G$53</f>
        <v>75000</v>
      </c>
      <c r="AB5" s="1002">
        <f>data!$F$53</f>
        <v>0.02</v>
      </c>
      <c r="AC5" s="997">
        <f t="shared" si="26"/>
        <v>0</v>
      </c>
      <c r="AD5" s="997">
        <f>IF(B5="",0,(IF($AE$1=authorities!$I$1,0,IF(L5&gt;AE5,VLOOKUP($AD$1,authorities!A:H,C5+1,FALSE),0)))*L5/$CK$2*H5)</f>
        <v>0</v>
      </c>
      <c r="AE5" s="997">
        <f>IF($AE$1=authorities!$I$1,0,$AE$1)</f>
        <v>0</v>
      </c>
      <c r="AF5" s="1002">
        <f>IF(input_engine_r!$P$21&gt;A4,VLOOKUP(A5,input_engine_r!$P$23:$T$35,5,FALSE),0)</f>
        <v>0</v>
      </c>
      <c r="AG5" s="1002">
        <f>data!$C$43</f>
        <v>2900</v>
      </c>
      <c r="AH5" s="1007">
        <f t="shared" si="6"/>
        <v>1</v>
      </c>
      <c r="AI5" s="997">
        <f t="shared" si="27"/>
        <v>0</v>
      </c>
      <c r="AJ5" s="997" t="b">
        <f t="shared" si="7"/>
        <v>0</v>
      </c>
      <c r="AL5" s="997">
        <f t="shared" si="28"/>
        <v>0</v>
      </c>
      <c r="AO5" s="1002">
        <f t="shared" si="29"/>
        <v>0</v>
      </c>
      <c r="AP5" s="1002">
        <f>SUM($AO$3:AO5)</f>
        <v>1</v>
      </c>
      <c r="AQ5" s="1002">
        <f t="shared" si="30"/>
        <v>366</v>
      </c>
      <c r="AR5" s="997">
        <f t="shared" ca="1" si="31"/>
        <v>0</v>
      </c>
      <c r="AS5" s="997"/>
      <c r="AT5" s="997">
        <f t="shared" si="32"/>
        <v>0</v>
      </c>
      <c r="AU5" s="997" t="b">
        <f t="shared" si="8"/>
        <v>1</v>
      </c>
      <c r="AV5" s="997" t="b">
        <f t="shared" si="9"/>
        <v>0</v>
      </c>
      <c r="AW5" s="997" t="b">
        <f t="shared" si="10"/>
        <v>0</v>
      </c>
      <c r="AX5" s="997">
        <f t="shared" si="33"/>
        <v>0</v>
      </c>
      <c r="AY5" s="997">
        <f ca="1">AR5/reliefs!$D$7*AX5*-1</f>
        <v>0</v>
      </c>
      <c r="AZ5" s="1002">
        <f t="shared" ca="1" si="34"/>
        <v>0</v>
      </c>
      <c r="BA5" s="2370"/>
      <c r="BB5" s="997"/>
      <c r="BC5" s="997"/>
      <c r="BD5" s="997"/>
      <c r="BE5" s="997"/>
      <c r="BG5" s="997">
        <f t="shared" si="35"/>
        <v>0</v>
      </c>
      <c r="BH5" s="997">
        <f t="shared" si="36"/>
        <v>15000</v>
      </c>
      <c r="BI5" s="1001">
        <f t="shared" si="36"/>
        <v>0</v>
      </c>
      <c r="BJ5" s="997">
        <f t="shared" si="36"/>
        <v>5000000</v>
      </c>
      <c r="BK5" s="997">
        <f t="shared" si="36"/>
        <v>0.499</v>
      </c>
      <c r="BL5" s="997" t="b">
        <f t="shared" si="36"/>
        <v>1</v>
      </c>
      <c r="BM5" s="997" t="b">
        <f t="shared" si="36"/>
        <v>0</v>
      </c>
      <c r="BN5" s="997">
        <f t="shared" si="36"/>
        <v>0</v>
      </c>
      <c r="BO5" s="997">
        <f t="shared" si="37"/>
        <v>0</v>
      </c>
      <c r="BP5" s="997"/>
      <c r="BQ5" s="997"/>
      <c r="BR5" s="997">
        <f t="shared" si="38"/>
        <v>600</v>
      </c>
      <c r="BS5" s="997"/>
      <c r="BT5" s="997" t="b">
        <f t="shared" si="39"/>
        <v>0</v>
      </c>
      <c r="BU5" s="997" t="b">
        <f t="shared" ref="BU5:BU14" si="47">BU4</f>
        <v>1</v>
      </c>
      <c r="BV5" s="997" t="b">
        <f t="shared" si="40"/>
        <v>0</v>
      </c>
      <c r="BW5" s="997" t="b">
        <f t="shared" si="41"/>
        <v>0</v>
      </c>
      <c r="BX5" s="997" t="b">
        <f t="shared" si="42"/>
        <v>0</v>
      </c>
      <c r="BY5" s="997">
        <f t="shared" si="43"/>
        <v>600</v>
      </c>
      <c r="BZ5" s="997">
        <f t="shared" si="44"/>
        <v>366</v>
      </c>
      <c r="CA5" s="997">
        <f t="shared" ref="CA5:CA14" si="48">H5</f>
        <v>0</v>
      </c>
      <c r="CB5" s="997">
        <f t="shared" si="45"/>
        <v>0</v>
      </c>
      <c r="CC5" s="997">
        <f t="shared" si="11"/>
        <v>0</v>
      </c>
      <c r="CD5" s="997">
        <f t="shared" ref="CD5:CD14" si="49">CD4</f>
        <v>600</v>
      </c>
      <c r="CE5" s="1002" t="b">
        <f t="shared" ref="CE5:CE41" si="50">CE4</f>
        <v>0</v>
      </c>
      <c r="CH5" s="1031">
        <f>data!B16</f>
        <v>46113</v>
      </c>
      <c r="CI5" s="997">
        <v>4</v>
      </c>
      <c r="CJ5" s="1003">
        <f>data!E16</f>
        <v>46477</v>
      </c>
      <c r="CK5" s="1002">
        <f t="shared" si="0"/>
        <v>365</v>
      </c>
      <c r="CL5" s="1032">
        <f>data!C56</f>
        <v>0.51900000000000002</v>
      </c>
      <c r="CM5" s="1033">
        <f ca="1">nncalc2!$G$31*$CV$1</f>
        <v>0</v>
      </c>
      <c r="CN5" s="1033">
        <f ca="1">nccalc2!$G$31*$CV$1</f>
        <v>0</v>
      </c>
      <c r="CO5" s="1033">
        <f ca="1">bncalc2!$G$31*$CV$1</f>
        <v>0</v>
      </c>
      <c r="CP5" s="1033">
        <f ca="1">bccalc2!$G$31*$CV$1</f>
        <v>0</v>
      </c>
      <c r="CQ5" s="997">
        <f>data!E56</f>
        <v>8.0000000000000002E-3</v>
      </c>
      <c r="CS5" s="997">
        <f>data!F36</f>
        <v>5.600000000000005E-2</v>
      </c>
      <c r="CT5" s="997">
        <f>data!C36</f>
        <v>12000</v>
      </c>
      <c r="CU5" s="997">
        <f>data!D36</f>
        <v>15000</v>
      </c>
      <c r="CV5" s="1034">
        <f>data!E36</f>
        <v>51000</v>
      </c>
      <c r="CW5" s="997">
        <f>data!L56</f>
        <v>8.0000000000000002E-3</v>
      </c>
    </row>
    <row r="6" spans="1:111" x14ac:dyDescent="0.35">
      <c r="A6" s="997">
        <f t="shared" si="12"/>
        <v>4</v>
      </c>
      <c r="B6" s="1003" t="str">
        <f>IF(input_engine_r!$P$21&gt;A5,VLOOKUP(A6,input_engine_r!$P$23:$T$35,2,FALSE),"")</f>
        <v/>
      </c>
      <c r="C6" s="997" t="str">
        <f t="shared" si="13"/>
        <v/>
      </c>
      <c r="D6" s="1003">
        <f t="shared" si="14"/>
        <v>45382</v>
      </c>
      <c r="E6" s="1002" t="str">
        <f>IF(B6="",E5,VLOOKUP(B6,input_engine_r!$B$23:$F$35,5,FALSE))</f>
        <v>nn</v>
      </c>
      <c r="F6" s="1003" t="str">
        <f t="shared" si="15"/>
        <v/>
      </c>
      <c r="G6" s="1003" t="str">
        <f t="shared" si="16"/>
        <v/>
      </c>
      <c r="H6" s="1002">
        <f t="shared" si="17"/>
        <v>0</v>
      </c>
      <c r="I6" s="997">
        <f t="shared" si="1"/>
        <v>0</v>
      </c>
      <c r="J6" s="997">
        <f t="shared" si="2"/>
        <v>0</v>
      </c>
      <c r="K6" s="997">
        <f t="shared" si="3"/>
        <v>0</v>
      </c>
      <c r="L6" s="997" t="str">
        <f>IF(input_engine_r!$P$21&gt;A5,VLOOKUP(A6,input_engine_r!$P$23:$T$36,3,FALSE),"")</f>
        <v/>
      </c>
      <c r="M6" s="1002" t="str">
        <f t="shared" si="18"/>
        <v>up</v>
      </c>
      <c r="N6" s="1002" t="str">
        <f t="shared" si="46"/>
        <v/>
      </c>
      <c r="O6" s="1002" t="str">
        <f t="shared" si="4"/>
        <v/>
      </c>
      <c r="P6" s="1032">
        <f t="shared" si="19"/>
        <v>0.499</v>
      </c>
      <c r="Q6" s="997" t="str">
        <f t="shared" si="20"/>
        <v/>
      </c>
      <c r="R6" s="997">
        <f t="shared" si="21"/>
        <v>0</v>
      </c>
      <c r="S6" s="1006">
        <f>IF(input_engine_r!$P$21&gt;A5,VLOOKUP(A6,input_engine_r!$P$23:$T$35,4,FALSE),0)</f>
        <v>0</v>
      </c>
      <c r="T6" s="2442">
        <f t="shared" ca="1" si="22"/>
        <v>0</v>
      </c>
      <c r="U6" s="997" t="b">
        <f t="shared" si="23"/>
        <v>0</v>
      </c>
      <c r="V6" s="997" t="b">
        <f>advanced!$M$22="y"</f>
        <v>0</v>
      </c>
      <c r="W6" s="997">
        <f>data!$D$33</f>
        <v>15000</v>
      </c>
      <c r="X6" s="997" t="b">
        <f t="shared" si="24"/>
        <v>0</v>
      </c>
      <c r="Y6" s="997">
        <f t="shared" si="25"/>
        <v>0</v>
      </c>
      <c r="Z6" s="997">
        <f t="shared" si="5"/>
        <v>0</v>
      </c>
      <c r="AA6" s="1002">
        <f>data!$G$53</f>
        <v>75000</v>
      </c>
      <c r="AB6" s="1002">
        <f>data!$F$53</f>
        <v>0.02</v>
      </c>
      <c r="AC6" s="997">
        <f t="shared" si="26"/>
        <v>0</v>
      </c>
      <c r="AD6" s="997">
        <f>IF(B6="",0,(IF($AE$1=authorities!$I$1,0,IF(L6&gt;AE6,VLOOKUP($AD$1,authorities!A:H,C6+1,FALSE),0)))*L6/$CK$2*H6)</f>
        <v>0</v>
      </c>
      <c r="AE6" s="997">
        <f>IF($AE$1=authorities!$I$1,0,$AE$1)</f>
        <v>0</v>
      </c>
      <c r="AF6" s="1002">
        <f>IF(input_engine_r!$P$21&gt;A5,VLOOKUP(A6,input_engine_r!$P$23:$T$35,5,FALSE),0)</f>
        <v>0</v>
      </c>
      <c r="AG6" s="1002">
        <f>data!$C$43</f>
        <v>2900</v>
      </c>
      <c r="AH6" s="1007">
        <f t="shared" si="6"/>
        <v>1</v>
      </c>
      <c r="AI6" s="997">
        <f t="shared" si="27"/>
        <v>0</v>
      </c>
      <c r="AJ6" s="997" t="b">
        <f t="shared" si="7"/>
        <v>0</v>
      </c>
      <c r="AL6" s="997">
        <f t="shared" si="28"/>
        <v>0</v>
      </c>
      <c r="AO6" s="1002">
        <f t="shared" si="29"/>
        <v>0</v>
      </c>
      <c r="AP6" s="1002">
        <f>SUM($AO$3:AO6)</f>
        <v>1</v>
      </c>
      <c r="AQ6" s="1002">
        <f t="shared" si="30"/>
        <v>366</v>
      </c>
      <c r="AR6" s="997">
        <f t="shared" ca="1" si="31"/>
        <v>0</v>
      </c>
      <c r="AS6" s="997"/>
      <c r="AT6" s="997">
        <f t="shared" si="32"/>
        <v>0</v>
      </c>
      <c r="AU6" s="997" t="b">
        <f t="shared" si="8"/>
        <v>1</v>
      </c>
      <c r="AV6" s="997" t="b">
        <f t="shared" si="9"/>
        <v>0</v>
      </c>
      <c r="AW6" s="997" t="b">
        <f t="shared" si="10"/>
        <v>0</v>
      </c>
      <c r="AX6" s="997">
        <f t="shared" si="33"/>
        <v>0</v>
      </c>
      <c r="AY6" s="997">
        <f ca="1">AR6/reliefs!$D$7*AX6*-1</f>
        <v>0</v>
      </c>
      <c r="AZ6" s="1002">
        <f t="shared" ca="1" si="34"/>
        <v>0</v>
      </c>
      <c r="BA6" s="2370"/>
      <c r="BB6" s="997"/>
      <c r="BC6" s="997"/>
      <c r="BD6" s="997"/>
      <c r="BE6" s="997"/>
      <c r="BG6" s="997">
        <f t="shared" si="35"/>
        <v>0</v>
      </c>
      <c r="BH6" s="997">
        <f t="shared" si="36"/>
        <v>15000</v>
      </c>
      <c r="BI6" s="1001">
        <f t="shared" si="36"/>
        <v>0</v>
      </c>
      <c r="BJ6" s="997">
        <f t="shared" si="36"/>
        <v>5000000</v>
      </c>
      <c r="BK6" s="997">
        <f t="shared" si="36"/>
        <v>0.499</v>
      </c>
      <c r="BL6" s="997" t="b">
        <f t="shared" si="36"/>
        <v>1</v>
      </c>
      <c r="BM6" s="997" t="b">
        <f t="shared" si="36"/>
        <v>0</v>
      </c>
      <c r="BN6" s="997">
        <f t="shared" si="36"/>
        <v>0</v>
      </c>
      <c r="BO6" s="997">
        <f t="shared" si="37"/>
        <v>0</v>
      </c>
      <c r="BP6" s="997"/>
      <c r="BQ6" s="997"/>
      <c r="BR6" s="997">
        <f t="shared" si="38"/>
        <v>600</v>
      </c>
      <c r="BS6" s="997"/>
      <c r="BT6" s="997" t="b">
        <f t="shared" si="39"/>
        <v>0</v>
      </c>
      <c r="BU6" s="997" t="b">
        <f t="shared" si="47"/>
        <v>1</v>
      </c>
      <c r="BV6" s="997" t="b">
        <f t="shared" si="40"/>
        <v>0</v>
      </c>
      <c r="BW6" s="997" t="b">
        <f t="shared" si="41"/>
        <v>0</v>
      </c>
      <c r="BX6" s="997" t="b">
        <f t="shared" si="42"/>
        <v>0</v>
      </c>
      <c r="BY6" s="997">
        <f t="shared" si="43"/>
        <v>600</v>
      </c>
      <c r="BZ6" s="997">
        <f t="shared" si="44"/>
        <v>366</v>
      </c>
      <c r="CA6" s="997">
        <f t="shared" si="48"/>
        <v>0</v>
      </c>
      <c r="CB6" s="997">
        <f t="shared" si="45"/>
        <v>0</v>
      </c>
      <c r="CC6" s="997">
        <f t="shared" si="11"/>
        <v>0</v>
      </c>
      <c r="CD6" s="997">
        <f t="shared" si="49"/>
        <v>600</v>
      </c>
      <c r="CE6" s="1002" t="b">
        <f t="shared" si="50"/>
        <v>0</v>
      </c>
      <c r="CH6" s="1031">
        <f>data!B17</f>
        <v>46478</v>
      </c>
      <c r="CI6" s="997">
        <v>5</v>
      </c>
      <c r="CJ6" s="1003">
        <f>data!E17</f>
        <v>46843</v>
      </c>
      <c r="CK6" s="1002">
        <f t="shared" si="0"/>
        <v>366</v>
      </c>
      <c r="CL6" s="1032">
        <f>data!C57</f>
        <v>0.54</v>
      </c>
      <c r="CM6" s="1033">
        <f ca="1">nncalc2!$H$31*$CV$1</f>
        <v>0</v>
      </c>
      <c r="CN6" s="1033">
        <f ca="1">nccalc2!$H$31*$CV$1</f>
        <v>0</v>
      </c>
      <c r="CO6" s="1033">
        <f ca="1">bncalc2!$H$31*$CV$1</f>
        <v>0</v>
      </c>
      <c r="CP6" s="1033">
        <f ca="1">bccalc2!$H$31*$CV$1</f>
        <v>0</v>
      </c>
      <c r="CQ6" s="997">
        <f>data!E57</f>
        <v>8.0000000000000002E-3</v>
      </c>
      <c r="CS6" s="997">
        <f>data!F37</f>
        <v>5.600000000000005E-2</v>
      </c>
      <c r="CT6" s="997">
        <f>data!C37</f>
        <v>12000</v>
      </c>
      <c r="CU6" s="997">
        <f>data!D37</f>
        <v>15000</v>
      </c>
      <c r="CV6" s="1034">
        <f>data!E37</f>
        <v>51000</v>
      </c>
      <c r="CW6" s="997">
        <f>data!L57</f>
        <v>8.0000000000000002E-3</v>
      </c>
    </row>
    <row r="7" spans="1:111" x14ac:dyDescent="0.35">
      <c r="A7" s="997">
        <f t="shared" si="12"/>
        <v>5</v>
      </c>
      <c r="B7" s="1003" t="str">
        <f>IF(input_engine_r!$P$21&gt;A6,VLOOKUP(A7,input_engine_r!$P$23:$T$35,2,FALSE),"")</f>
        <v/>
      </c>
      <c r="C7" s="997" t="str">
        <f t="shared" si="13"/>
        <v/>
      </c>
      <c r="D7" s="1003">
        <f t="shared" si="14"/>
        <v>45382</v>
      </c>
      <c r="E7" s="1002" t="str">
        <f>IF(B7="",E6,VLOOKUP(B7,input_engine_r!$B$23:$F$35,5,FALSE))</f>
        <v>nn</v>
      </c>
      <c r="F7" s="1003" t="str">
        <f t="shared" si="15"/>
        <v/>
      </c>
      <c r="G7" s="1003" t="str">
        <f t="shared" si="16"/>
        <v/>
      </c>
      <c r="H7" s="1002">
        <f t="shared" si="17"/>
        <v>0</v>
      </c>
      <c r="I7" s="997">
        <f t="shared" si="1"/>
        <v>0</v>
      </c>
      <c r="J7" s="997">
        <f t="shared" si="2"/>
        <v>0</v>
      </c>
      <c r="K7" s="997">
        <f t="shared" si="3"/>
        <v>0</v>
      </c>
      <c r="L7" s="997" t="str">
        <f>IF(input_engine_r!$P$21&gt;A6,VLOOKUP(A7,input_engine_r!$P$23:$T$36,3,FALSE),"")</f>
        <v/>
      </c>
      <c r="M7" s="1002" t="str">
        <f t="shared" si="18"/>
        <v>up</v>
      </c>
      <c r="N7" s="1002" t="str">
        <f t="shared" si="46"/>
        <v/>
      </c>
      <c r="O7" s="1002" t="str">
        <f t="shared" si="4"/>
        <v/>
      </c>
      <c r="P7" s="1032">
        <f t="shared" si="19"/>
        <v>0.499</v>
      </c>
      <c r="Q7" s="997" t="str">
        <f t="shared" si="20"/>
        <v/>
      </c>
      <c r="R7" s="997">
        <f t="shared" si="21"/>
        <v>0</v>
      </c>
      <c r="S7" s="1006">
        <f>IF(input_engine_r!$P$21&gt;A6,VLOOKUP(A7,input_engine_r!$P$23:$T$35,4,FALSE),0)</f>
        <v>0</v>
      </c>
      <c r="T7" s="2442">
        <f t="shared" ca="1" si="22"/>
        <v>0</v>
      </c>
      <c r="U7" s="997" t="b">
        <f t="shared" si="23"/>
        <v>0</v>
      </c>
      <c r="V7" s="997" t="b">
        <f>advanced!$M$22="y"</f>
        <v>0</v>
      </c>
      <c r="W7" s="997">
        <f>data!$D$33</f>
        <v>15000</v>
      </c>
      <c r="X7" s="997" t="b">
        <f t="shared" si="24"/>
        <v>0</v>
      </c>
      <c r="Y7" s="997">
        <f t="shared" si="25"/>
        <v>0</v>
      </c>
      <c r="Z7" s="997">
        <f t="shared" si="5"/>
        <v>0</v>
      </c>
      <c r="AA7" s="1002">
        <f>data!$G$53</f>
        <v>75000</v>
      </c>
      <c r="AB7" s="1002">
        <f>data!$F$53</f>
        <v>0.02</v>
      </c>
      <c r="AC7" s="997">
        <f t="shared" si="26"/>
        <v>0</v>
      </c>
      <c r="AD7" s="997">
        <f>IF(B7="",0,(IF($AE$1=authorities!$I$1,0,IF(L7&gt;AE7,VLOOKUP($AD$1,authorities!A:H,C7+1,FALSE),0)))*L7/$CK$2*H7)</f>
        <v>0</v>
      </c>
      <c r="AE7" s="997">
        <f>IF($AE$1=authorities!$I$1,0,$AE$1)</f>
        <v>0</v>
      </c>
      <c r="AF7" s="1002">
        <f>IF(input_engine_r!$P$21&gt;A6,VLOOKUP(A7,input_engine_r!$P$23:$T$35,5,FALSE),0)</f>
        <v>0</v>
      </c>
      <c r="AG7" s="1002">
        <f>data!$C$43</f>
        <v>2900</v>
      </c>
      <c r="AH7" s="1007">
        <f t="shared" si="6"/>
        <v>1</v>
      </c>
      <c r="AI7" s="997">
        <f t="shared" si="27"/>
        <v>0</v>
      </c>
      <c r="AJ7" s="997" t="b">
        <f t="shared" si="7"/>
        <v>0</v>
      </c>
      <c r="AL7" s="997">
        <f t="shared" si="28"/>
        <v>0</v>
      </c>
      <c r="AO7" s="1002">
        <f t="shared" si="29"/>
        <v>0</v>
      </c>
      <c r="AP7" s="1002">
        <f>SUM($AO$3:AO7)</f>
        <v>1</v>
      </c>
      <c r="AQ7" s="1002">
        <f t="shared" si="30"/>
        <v>366</v>
      </c>
      <c r="AR7" s="997">
        <f t="shared" ca="1" si="31"/>
        <v>0</v>
      </c>
      <c r="AS7" s="997"/>
      <c r="AT7" s="997">
        <f t="shared" si="32"/>
        <v>0</v>
      </c>
      <c r="AU7" s="997" t="b">
        <f t="shared" si="8"/>
        <v>1</v>
      </c>
      <c r="AV7" s="997" t="b">
        <f t="shared" si="9"/>
        <v>0</v>
      </c>
      <c r="AW7" s="997" t="b">
        <f t="shared" si="10"/>
        <v>0</v>
      </c>
      <c r="AX7" s="997">
        <f t="shared" si="33"/>
        <v>0</v>
      </c>
      <c r="AY7" s="997">
        <f ca="1">AR7/reliefs!$D$7*AX7*-1</f>
        <v>0</v>
      </c>
      <c r="AZ7" s="1002">
        <f t="shared" ca="1" si="34"/>
        <v>0</v>
      </c>
      <c r="BA7" s="2370"/>
      <c r="BB7" s="997"/>
      <c r="BC7" s="997"/>
      <c r="BD7" s="997"/>
      <c r="BE7" s="997"/>
      <c r="BG7" s="997">
        <f t="shared" si="35"/>
        <v>0</v>
      </c>
      <c r="BH7" s="997">
        <f t="shared" si="36"/>
        <v>15000</v>
      </c>
      <c r="BI7" s="1001">
        <f t="shared" si="36"/>
        <v>0</v>
      </c>
      <c r="BJ7" s="997">
        <f t="shared" si="36"/>
        <v>5000000</v>
      </c>
      <c r="BK7" s="997">
        <f t="shared" si="36"/>
        <v>0.499</v>
      </c>
      <c r="BL7" s="997" t="b">
        <f t="shared" si="36"/>
        <v>1</v>
      </c>
      <c r="BM7" s="997" t="b">
        <f t="shared" si="36"/>
        <v>0</v>
      </c>
      <c r="BN7" s="997">
        <f t="shared" si="36"/>
        <v>0</v>
      </c>
      <c r="BO7" s="997">
        <f t="shared" si="37"/>
        <v>0</v>
      </c>
      <c r="BP7" s="997"/>
      <c r="BQ7" s="997"/>
      <c r="BR7" s="997">
        <f t="shared" si="38"/>
        <v>600</v>
      </c>
      <c r="BS7" s="997"/>
      <c r="BT7" s="997" t="b">
        <f t="shared" si="39"/>
        <v>0</v>
      </c>
      <c r="BU7" s="997" t="b">
        <f t="shared" si="47"/>
        <v>1</v>
      </c>
      <c r="BV7" s="997" t="b">
        <f t="shared" si="40"/>
        <v>0</v>
      </c>
      <c r="BW7" s="997" t="b">
        <f t="shared" si="41"/>
        <v>0</v>
      </c>
      <c r="BX7" s="997" t="b">
        <f t="shared" si="42"/>
        <v>0</v>
      </c>
      <c r="BY7" s="997">
        <f t="shared" si="43"/>
        <v>600</v>
      </c>
      <c r="BZ7" s="997">
        <f t="shared" si="44"/>
        <v>366</v>
      </c>
      <c r="CA7" s="997">
        <f t="shared" si="48"/>
        <v>0</v>
      </c>
      <c r="CB7" s="997">
        <f t="shared" si="45"/>
        <v>0</v>
      </c>
      <c r="CC7" s="997">
        <f t="shared" si="11"/>
        <v>0</v>
      </c>
      <c r="CD7" s="997">
        <f t="shared" si="49"/>
        <v>600</v>
      </c>
      <c r="CE7" s="1002" t="b">
        <f t="shared" si="50"/>
        <v>0</v>
      </c>
      <c r="CH7" s="1031">
        <f>data!B18</f>
        <v>46844</v>
      </c>
      <c r="CI7" s="997">
        <v>6</v>
      </c>
      <c r="CJ7" s="1003">
        <f>data!E18</f>
        <v>47208</v>
      </c>
      <c r="CK7" s="1002">
        <f t="shared" si="0"/>
        <v>365</v>
      </c>
      <c r="CL7" s="1032">
        <f>data!C58</f>
        <v>0.56200000000000006</v>
      </c>
      <c r="CM7" s="1033">
        <f ca="1">nncalc2!$I$31*$CV$1</f>
        <v>0</v>
      </c>
      <c r="CN7" s="1033">
        <f ca="1">nccalc2!$I$31*$CV$1</f>
        <v>0</v>
      </c>
      <c r="CO7" s="1033">
        <f ca="1">bncalc2!$I$31*$CV$1</f>
        <v>0</v>
      </c>
      <c r="CP7" s="1033">
        <f ca="1">bccalc2!$I$31*$CV$1</f>
        <v>0</v>
      </c>
      <c r="CQ7" s="997">
        <f>data!E58</f>
        <v>1.2E-2</v>
      </c>
      <c r="CS7" s="997">
        <f>data!F38</f>
        <v>5.600000000000005E-2</v>
      </c>
      <c r="CT7" s="997">
        <f>data!C38</f>
        <v>12000</v>
      </c>
      <c r="CU7" s="997">
        <f>data!D38</f>
        <v>15000</v>
      </c>
      <c r="CV7" s="1034">
        <f>data!E38</f>
        <v>51000</v>
      </c>
      <c r="CW7" s="997">
        <f>data!L58</f>
        <v>1.2E-2</v>
      </c>
    </row>
    <row r="8" spans="1:111" x14ac:dyDescent="0.35">
      <c r="A8" s="997">
        <f t="shared" si="12"/>
        <v>6</v>
      </c>
      <c r="B8" s="1003" t="str">
        <f>IF(input_engine_r!$P$21&gt;A7,VLOOKUP(A8,input_engine_r!$P$23:$T$35,2,FALSE),"")</f>
        <v/>
      </c>
      <c r="C8" s="997" t="str">
        <f t="shared" si="13"/>
        <v/>
      </c>
      <c r="D8" s="1003">
        <f t="shared" si="14"/>
        <v>45382</v>
      </c>
      <c r="E8" s="1002" t="str">
        <f>IF(B8="",E7,VLOOKUP(B8,input_engine_r!$B$23:$F$35,5,FALSE))</f>
        <v>nn</v>
      </c>
      <c r="F8" s="1003" t="str">
        <f t="shared" si="15"/>
        <v/>
      </c>
      <c r="G8" s="1003" t="str">
        <f t="shared" si="16"/>
        <v/>
      </c>
      <c r="H8" s="1002">
        <f t="shared" si="17"/>
        <v>0</v>
      </c>
      <c r="I8" s="997">
        <f t="shared" si="1"/>
        <v>0</v>
      </c>
      <c r="J8" s="997">
        <f t="shared" si="2"/>
        <v>0</v>
      </c>
      <c r="K8" s="997">
        <f t="shared" si="3"/>
        <v>0</v>
      </c>
      <c r="L8" s="997" t="str">
        <f>IF(input_engine_r!$P$21&gt;A7,VLOOKUP(A8,input_engine_r!$P$23:$T$36,3,FALSE),"")</f>
        <v/>
      </c>
      <c r="M8" s="1002" t="str">
        <f t="shared" si="18"/>
        <v>up</v>
      </c>
      <c r="N8" s="1002" t="str">
        <f t="shared" si="46"/>
        <v/>
      </c>
      <c r="O8" s="1002" t="str">
        <f t="shared" si="4"/>
        <v/>
      </c>
      <c r="P8" s="1032">
        <f t="shared" si="19"/>
        <v>0.499</v>
      </c>
      <c r="Q8" s="997" t="str">
        <f t="shared" si="20"/>
        <v/>
      </c>
      <c r="R8" s="997">
        <f t="shared" si="21"/>
        <v>0</v>
      </c>
      <c r="S8" s="1006">
        <f>IF(input_engine_r!$P$21&gt;A7,VLOOKUP(A8,input_engine_r!$P$23:$T$35,4,FALSE),0)</f>
        <v>0</v>
      </c>
      <c r="T8" s="2442">
        <f t="shared" ca="1" si="22"/>
        <v>0</v>
      </c>
      <c r="U8" s="997" t="b">
        <f t="shared" si="23"/>
        <v>0</v>
      </c>
      <c r="V8" s="997" t="b">
        <f>advanced!$M$22="y"</f>
        <v>0</v>
      </c>
      <c r="W8" s="997">
        <f>data!$D$33</f>
        <v>15000</v>
      </c>
      <c r="X8" s="997" t="b">
        <f t="shared" si="24"/>
        <v>0</v>
      </c>
      <c r="Y8" s="997">
        <f t="shared" si="25"/>
        <v>0</v>
      </c>
      <c r="Z8" s="997">
        <f t="shared" si="5"/>
        <v>0</v>
      </c>
      <c r="AA8" s="1002">
        <f>data!$G$53</f>
        <v>75000</v>
      </c>
      <c r="AB8" s="1002">
        <f>data!$F$53</f>
        <v>0.02</v>
      </c>
      <c r="AC8" s="997">
        <f t="shared" si="26"/>
        <v>0</v>
      </c>
      <c r="AD8" s="997">
        <f>IF(B8="",0,(IF($AE$1=authorities!$I$1,0,IF(L8&gt;AE8,VLOOKUP($AD$1,authorities!A:H,C8+1,FALSE),0)))*L8/$CK$2*H8)</f>
        <v>0</v>
      </c>
      <c r="AE8" s="997">
        <f>IF($AE$1=authorities!$I$1,0,$AE$1)</f>
        <v>0</v>
      </c>
      <c r="AF8" s="1002">
        <f>IF(input_engine_r!$P$21&gt;A7,VLOOKUP(A8,input_engine_r!$P$23:$T$35,5,FALSE),0)</f>
        <v>0</v>
      </c>
      <c r="AG8" s="1002">
        <f>data!$C$43</f>
        <v>2900</v>
      </c>
      <c r="AH8" s="1007">
        <f t="shared" si="6"/>
        <v>1</v>
      </c>
      <c r="AI8" s="997">
        <f t="shared" si="27"/>
        <v>0</v>
      </c>
      <c r="AJ8" s="997" t="b">
        <f t="shared" si="7"/>
        <v>0</v>
      </c>
      <c r="AL8" s="997">
        <f t="shared" si="28"/>
        <v>0</v>
      </c>
      <c r="AO8" s="1002">
        <f t="shared" si="29"/>
        <v>0</v>
      </c>
      <c r="AP8" s="1002">
        <f>SUM($AO$3:AO8)</f>
        <v>1</v>
      </c>
      <c r="AQ8" s="1002">
        <f t="shared" si="30"/>
        <v>366</v>
      </c>
      <c r="AR8" s="997">
        <f t="shared" ca="1" si="31"/>
        <v>0</v>
      </c>
      <c r="AS8" s="997"/>
      <c r="AT8" s="997">
        <f t="shared" si="32"/>
        <v>0</v>
      </c>
      <c r="AU8" s="997" t="b">
        <f t="shared" si="8"/>
        <v>1</v>
      </c>
      <c r="AV8" s="997" t="b">
        <f t="shared" si="9"/>
        <v>0</v>
      </c>
      <c r="AW8" s="997" t="b">
        <f t="shared" si="10"/>
        <v>0</v>
      </c>
      <c r="AX8" s="997">
        <f t="shared" si="33"/>
        <v>0</v>
      </c>
      <c r="AY8" s="997">
        <f ca="1">AR8/reliefs!$D$7*AX8*-1</f>
        <v>0</v>
      </c>
      <c r="AZ8" s="1002">
        <f t="shared" ca="1" si="34"/>
        <v>0</v>
      </c>
      <c r="BA8" s="2370"/>
      <c r="BB8" s="997"/>
      <c r="BC8" s="997"/>
      <c r="BD8" s="997"/>
      <c r="BE8" s="997"/>
      <c r="BG8" s="997">
        <f t="shared" si="35"/>
        <v>0</v>
      </c>
      <c r="BH8" s="997">
        <f t="shared" si="36"/>
        <v>15000</v>
      </c>
      <c r="BI8" s="1001">
        <f t="shared" si="36"/>
        <v>0</v>
      </c>
      <c r="BJ8" s="997">
        <f t="shared" si="36"/>
        <v>5000000</v>
      </c>
      <c r="BK8" s="997">
        <f t="shared" si="36"/>
        <v>0.499</v>
      </c>
      <c r="BL8" s="997" t="b">
        <f t="shared" si="36"/>
        <v>1</v>
      </c>
      <c r="BM8" s="997" t="b">
        <f t="shared" si="36"/>
        <v>0</v>
      </c>
      <c r="BN8" s="997">
        <f t="shared" si="36"/>
        <v>0</v>
      </c>
      <c r="BO8" s="997">
        <f t="shared" si="37"/>
        <v>0</v>
      </c>
      <c r="BP8" s="997"/>
      <c r="BQ8" s="997"/>
      <c r="BR8" s="997">
        <f t="shared" si="38"/>
        <v>600</v>
      </c>
      <c r="BS8" s="997"/>
      <c r="BT8" s="997" t="b">
        <f t="shared" si="39"/>
        <v>0</v>
      </c>
      <c r="BU8" s="997" t="b">
        <f t="shared" si="47"/>
        <v>1</v>
      </c>
      <c r="BV8" s="997" t="b">
        <f t="shared" si="40"/>
        <v>0</v>
      </c>
      <c r="BW8" s="997" t="b">
        <f t="shared" si="41"/>
        <v>0</v>
      </c>
      <c r="BX8" s="997" t="b">
        <f t="shared" si="42"/>
        <v>0</v>
      </c>
      <c r="BY8" s="997">
        <f t="shared" si="43"/>
        <v>600</v>
      </c>
      <c r="BZ8" s="997">
        <f t="shared" si="44"/>
        <v>366</v>
      </c>
      <c r="CA8" s="997">
        <f t="shared" si="48"/>
        <v>0</v>
      </c>
      <c r="CB8" s="997">
        <f t="shared" si="45"/>
        <v>0</v>
      </c>
      <c r="CC8" s="997">
        <f t="shared" si="11"/>
        <v>0</v>
      </c>
      <c r="CD8" s="997">
        <f t="shared" si="49"/>
        <v>600</v>
      </c>
      <c r="CE8" s="1002" t="b">
        <f t="shared" si="50"/>
        <v>0</v>
      </c>
      <c r="CH8" s="1031"/>
      <c r="CJ8" s="1003"/>
      <c r="CK8" s="1002"/>
      <c r="CM8" s="1033"/>
      <c r="CN8" s="1033"/>
      <c r="CO8" s="1033"/>
      <c r="CP8" s="1033"/>
      <c r="CV8" s="1034"/>
    </row>
    <row r="9" spans="1:111" x14ac:dyDescent="0.35">
      <c r="A9" s="997">
        <f t="shared" si="12"/>
        <v>7</v>
      </c>
      <c r="B9" s="1003" t="str">
        <f>IF(input_engine_r!$P$21&gt;A8,VLOOKUP(A9,input_engine_r!$P$23:$T$35,2,FALSE),"")</f>
        <v/>
      </c>
      <c r="C9" s="997" t="str">
        <f t="shared" si="13"/>
        <v/>
      </c>
      <c r="D9" s="1003">
        <f t="shared" si="14"/>
        <v>45382</v>
      </c>
      <c r="E9" s="1002" t="str">
        <f>IF(B9="",E8,VLOOKUP(B9,input_engine_r!$B$23:$F$35,5,FALSE))</f>
        <v>nn</v>
      </c>
      <c r="F9" s="1003" t="str">
        <f t="shared" si="15"/>
        <v/>
      </c>
      <c r="G9" s="1003" t="str">
        <f t="shared" si="16"/>
        <v/>
      </c>
      <c r="H9" s="1002">
        <f t="shared" si="17"/>
        <v>0</v>
      </c>
      <c r="I9" s="997">
        <f t="shared" si="1"/>
        <v>0</v>
      </c>
      <c r="J9" s="997">
        <f t="shared" si="2"/>
        <v>0</v>
      </c>
      <c r="K9" s="997">
        <f t="shared" si="3"/>
        <v>0</v>
      </c>
      <c r="L9" s="997" t="str">
        <f>IF(input_engine_r!$P$21&gt;A8,VLOOKUP(A9,input_engine_r!$P$23:$T$36,3,FALSE),"")</f>
        <v/>
      </c>
      <c r="M9" s="1002" t="str">
        <f t="shared" si="18"/>
        <v>up</v>
      </c>
      <c r="N9" s="1002" t="str">
        <f t="shared" si="46"/>
        <v/>
      </c>
      <c r="O9" s="1002" t="str">
        <f t="shared" si="4"/>
        <v/>
      </c>
      <c r="P9" s="1032">
        <f t="shared" si="19"/>
        <v>0.499</v>
      </c>
      <c r="Q9" s="997" t="str">
        <f t="shared" si="20"/>
        <v/>
      </c>
      <c r="R9" s="997">
        <f t="shared" si="21"/>
        <v>0</v>
      </c>
      <c r="S9" s="1006">
        <f>IF(input_engine_r!$P$21&gt;A8,VLOOKUP(A9,input_engine_r!$P$23:$T$35,4,FALSE),0)</f>
        <v>0</v>
      </c>
      <c r="T9" s="2442">
        <f t="shared" ca="1" si="22"/>
        <v>0</v>
      </c>
      <c r="U9" s="997" t="b">
        <f t="shared" si="23"/>
        <v>0</v>
      </c>
      <c r="V9" s="997" t="b">
        <f>advanced!$M$22="y"</f>
        <v>0</v>
      </c>
      <c r="W9" s="997">
        <f>data!$D$33</f>
        <v>15000</v>
      </c>
      <c r="X9" s="997" t="b">
        <f t="shared" si="24"/>
        <v>0</v>
      </c>
      <c r="Y9" s="997">
        <f t="shared" si="25"/>
        <v>0</v>
      </c>
      <c r="Z9" s="997">
        <f t="shared" si="5"/>
        <v>0</v>
      </c>
      <c r="AA9" s="1002">
        <f>data!$G$53</f>
        <v>75000</v>
      </c>
      <c r="AB9" s="1002">
        <f>data!$F$53</f>
        <v>0.02</v>
      </c>
      <c r="AC9" s="997">
        <f t="shared" si="26"/>
        <v>0</v>
      </c>
      <c r="AD9" s="997">
        <f>IF(B9="",0,(IF($AE$1=authorities!$I$1,0,IF(L9&gt;AE9,VLOOKUP($AD$1,authorities!A:H,C9+1,FALSE),0)))*L9/$CK$2*H9)</f>
        <v>0</v>
      </c>
      <c r="AE9" s="997">
        <f>IF($AE$1=authorities!$I$1,0,$AE$1)</f>
        <v>0</v>
      </c>
      <c r="AF9" s="1002">
        <f>IF(input_engine_r!$P$21&gt;A8,VLOOKUP(A9,input_engine_r!$P$23:$T$35,5,FALSE),0)</f>
        <v>0</v>
      </c>
      <c r="AG9" s="1002">
        <f>data!$C$43</f>
        <v>2900</v>
      </c>
      <c r="AH9" s="1007">
        <f t="shared" si="6"/>
        <v>1</v>
      </c>
      <c r="AI9" s="997">
        <f t="shared" si="27"/>
        <v>0</v>
      </c>
      <c r="AJ9" s="997" t="b">
        <f t="shared" si="7"/>
        <v>0</v>
      </c>
      <c r="AL9" s="997">
        <f t="shared" si="28"/>
        <v>0</v>
      </c>
      <c r="AO9" s="1002">
        <f t="shared" si="29"/>
        <v>0</v>
      </c>
      <c r="AP9" s="1002">
        <f>SUM($AO$3:AO9)</f>
        <v>1</v>
      </c>
      <c r="AQ9" s="1002">
        <f t="shared" si="30"/>
        <v>366</v>
      </c>
      <c r="AR9" s="997">
        <f t="shared" ca="1" si="31"/>
        <v>0</v>
      </c>
      <c r="AS9" s="997"/>
      <c r="AT9" s="997">
        <f t="shared" si="32"/>
        <v>0</v>
      </c>
      <c r="AU9" s="997" t="b">
        <f t="shared" si="8"/>
        <v>1</v>
      </c>
      <c r="AV9" s="997" t="b">
        <f t="shared" si="9"/>
        <v>0</v>
      </c>
      <c r="AW9" s="997" t="b">
        <f t="shared" si="10"/>
        <v>0</v>
      </c>
      <c r="AX9" s="997">
        <f t="shared" si="33"/>
        <v>0</v>
      </c>
      <c r="AY9" s="997">
        <f ca="1">AR9/reliefs!$D$7*AX9*-1</f>
        <v>0</v>
      </c>
      <c r="AZ9" s="1002">
        <f t="shared" ca="1" si="34"/>
        <v>0</v>
      </c>
      <c r="BA9" s="2370"/>
      <c r="BB9" s="997"/>
      <c r="BC9" s="997"/>
      <c r="BD9" s="997"/>
      <c r="BE9" s="997"/>
      <c r="BG9" s="997">
        <f t="shared" si="35"/>
        <v>0</v>
      </c>
      <c r="BH9" s="997">
        <f t="shared" si="36"/>
        <v>15000</v>
      </c>
      <c r="BI9" s="1001">
        <f t="shared" si="36"/>
        <v>0</v>
      </c>
      <c r="BJ9" s="997">
        <f t="shared" si="36"/>
        <v>5000000</v>
      </c>
      <c r="BK9" s="997">
        <f t="shared" si="36"/>
        <v>0.499</v>
      </c>
      <c r="BL9" s="997" t="b">
        <f t="shared" si="36"/>
        <v>1</v>
      </c>
      <c r="BM9" s="997" t="b">
        <f t="shared" si="36"/>
        <v>0</v>
      </c>
      <c r="BN9" s="997">
        <f t="shared" si="36"/>
        <v>0</v>
      </c>
      <c r="BO9" s="997">
        <f t="shared" si="37"/>
        <v>0</v>
      </c>
      <c r="BP9" s="997"/>
      <c r="BQ9" s="997"/>
      <c r="BR9" s="997">
        <f t="shared" si="38"/>
        <v>600</v>
      </c>
      <c r="BS9" s="997"/>
      <c r="BT9" s="997" t="b">
        <f t="shared" si="39"/>
        <v>0</v>
      </c>
      <c r="BU9" s="997" t="b">
        <f t="shared" si="47"/>
        <v>1</v>
      </c>
      <c r="BV9" s="997" t="b">
        <f t="shared" si="40"/>
        <v>0</v>
      </c>
      <c r="BW9" s="997" t="b">
        <f t="shared" si="41"/>
        <v>0</v>
      </c>
      <c r="BX9" s="997" t="b">
        <f t="shared" si="42"/>
        <v>0</v>
      </c>
      <c r="BY9" s="997">
        <f t="shared" si="43"/>
        <v>600</v>
      </c>
      <c r="BZ9" s="997">
        <f t="shared" si="44"/>
        <v>366</v>
      </c>
      <c r="CA9" s="997">
        <f t="shared" si="48"/>
        <v>0</v>
      </c>
      <c r="CB9" s="997">
        <f t="shared" si="45"/>
        <v>0</v>
      </c>
      <c r="CC9" s="997">
        <f t="shared" si="11"/>
        <v>0</v>
      </c>
      <c r="CD9" s="997">
        <f t="shared" si="49"/>
        <v>600</v>
      </c>
      <c r="CE9" s="1002" t="b">
        <f t="shared" si="50"/>
        <v>0</v>
      </c>
      <c r="CH9" s="1031"/>
      <c r="CJ9" s="1003"/>
      <c r="CK9" s="1002"/>
      <c r="CM9" s="1035">
        <v>0</v>
      </c>
      <c r="CN9" s="1035">
        <v>0</v>
      </c>
      <c r="CO9" s="1035">
        <v>0</v>
      </c>
      <c r="CP9" s="1035">
        <v>0</v>
      </c>
      <c r="CV9" s="1034"/>
    </row>
    <row r="10" spans="1:111" x14ac:dyDescent="0.35">
      <c r="A10" s="997">
        <f t="shared" si="12"/>
        <v>8</v>
      </c>
      <c r="B10" s="1003" t="str">
        <f>IF(input_engine_r!$P$21&gt;A9,VLOOKUP(A10,input_engine_r!$P$23:$T$35,2,FALSE),"")</f>
        <v/>
      </c>
      <c r="C10" s="997" t="str">
        <f t="shared" si="13"/>
        <v/>
      </c>
      <c r="D10" s="1003">
        <f t="shared" si="14"/>
        <v>45382</v>
      </c>
      <c r="E10" s="1002" t="str">
        <f>IF(B10="",E9,VLOOKUP(B10,input_engine_r!$B$23:$F$35,5,FALSE))</f>
        <v>nn</v>
      </c>
      <c r="F10" s="1003" t="str">
        <f t="shared" si="15"/>
        <v/>
      </c>
      <c r="G10" s="1003" t="str">
        <f t="shared" si="16"/>
        <v/>
      </c>
      <c r="H10" s="1002">
        <f t="shared" si="17"/>
        <v>0</v>
      </c>
      <c r="I10" s="997">
        <f t="shared" si="1"/>
        <v>0</v>
      </c>
      <c r="J10" s="997">
        <f t="shared" si="2"/>
        <v>0</v>
      </c>
      <c r="K10" s="997">
        <f t="shared" si="3"/>
        <v>0</v>
      </c>
      <c r="L10" s="997" t="str">
        <f>IF(input_engine_r!$P$21&gt;A9,VLOOKUP(A10,input_engine_r!$P$23:$T$36,3,FALSE),"")</f>
        <v/>
      </c>
      <c r="M10" s="1002" t="str">
        <f t="shared" si="18"/>
        <v>up</v>
      </c>
      <c r="N10" s="1002" t="str">
        <f t="shared" si="46"/>
        <v/>
      </c>
      <c r="O10" s="1002" t="str">
        <f t="shared" si="4"/>
        <v/>
      </c>
      <c r="P10" s="1032">
        <f t="shared" si="19"/>
        <v>0.499</v>
      </c>
      <c r="Q10" s="997" t="str">
        <f t="shared" si="20"/>
        <v/>
      </c>
      <c r="R10" s="997">
        <f t="shared" si="21"/>
        <v>0</v>
      </c>
      <c r="S10" s="1006">
        <f>IF(input_engine_r!$P$21&gt;A9,VLOOKUP(A10,input_engine_r!$P$23:$T$35,4,FALSE),0)</f>
        <v>0</v>
      </c>
      <c r="T10" s="2442">
        <f t="shared" ca="1" si="22"/>
        <v>0</v>
      </c>
      <c r="U10" s="997" t="b">
        <f t="shared" si="23"/>
        <v>0</v>
      </c>
      <c r="V10" s="997" t="b">
        <f>advanced!$M$22="y"</f>
        <v>0</v>
      </c>
      <c r="W10" s="997">
        <f>data!$D$33</f>
        <v>15000</v>
      </c>
      <c r="X10" s="997" t="b">
        <f t="shared" si="24"/>
        <v>0</v>
      </c>
      <c r="Y10" s="997">
        <f t="shared" si="25"/>
        <v>0</v>
      </c>
      <c r="Z10" s="997">
        <f t="shared" si="5"/>
        <v>0</v>
      </c>
      <c r="AA10" s="1002">
        <f>data!$G$53</f>
        <v>75000</v>
      </c>
      <c r="AB10" s="1002">
        <f>data!$F$53</f>
        <v>0.02</v>
      </c>
      <c r="AC10" s="997">
        <f t="shared" si="26"/>
        <v>0</v>
      </c>
      <c r="AD10" s="997">
        <f>IF(B10="",0,(IF($AE$1=authorities!$I$1,0,IF(L10&gt;AE10,VLOOKUP($AD$1,authorities!A:H,C10+1,FALSE),0)))*L10/$CK$2*H10)</f>
        <v>0</v>
      </c>
      <c r="AE10" s="997">
        <f>IF($AE$1=authorities!$I$1,0,$AE$1)</f>
        <v>0</v>
      </c>
      <c r="AF10" s="1002">
        <f>IF(input_engine_r!$P$21&gt;A9,VLOOKUP(A10,input_engine_r!$P$23:$T$35,5,FALSE),0)</f>
        <v>0</v>
      </c>
      <c r="AG10" s="1002">
        <f>data!$C$43</f>
        <v>2900</v>
      </c>
      <c r="AH10" s="1007">
        <f t="shared" si="6"/>
        <v>1</v>
      </c>
      <c r="AI10" s="997">
        <f t="shared" si="27"/>
        <v>0</v>
      </c>
      <c r="AJ10" s="997" t="b">
        <f t="shared" si="7"/>
        <v>0</v>
      </c>
      <c r="AL10" s="997">
        <f t="shared" si="28"/>
        <v>0</v>
      </c>
      <c r="AO10" s="1002">
        <f t="shared" si="29"/>
        <v>0</v>
      </c>
      <c r="AP10" s="1002">
        <f>SUM($AO$3:AO10)</f>
        <v>1</v>
      </c>
      <c r="AQ10" s="1002">
        <f t="shared" si="30"/>
        <v>366</v>
      </c>
      <c r="AR10" s="997">
        <f t="shared" ca="1" si="31"/>
        <v>0</v>
      </c>
      <c r="AS10" s="997"/>
      <c r="AT10" s="997">
        <f t="shared" si="32"/>
        <v>0</v>
      </c>
      <c r="AU10" s="997" t="b">
        <f t="shared" si="8"/>
        <v>1</v>
      </c>
      <c r="AV10" s="997" t="b">
        <f t="shared" si="9"/>
        <v>0</v>
      </c>
      <c r="AW10" s="997" t="b">
        <f t="shared" si="10"/>
        <v>0</v>
      </c>
      <c r="AX10" s="997">
        <f t="shared" si="33"/>
        <v>0</v>
      </c>
      <c r="AY10" s="997">
        <f ca="1">AR10/reliefs!$D$7*AX10*-1</f>
        <v>0</v>
      </c>
      <c r="AZ10" s="1002">
        <f t="shared" ca="1" si="34"/>
        <v>0</v>
      </c>
      <c r="BA10" s="2370"/>
      <c r="BB10" s="997"/>
      <c r="BC10" s="997"/>
      <c r="BD10" s="997"/>
      <c r="BE10" s="997"/>
      <c r="BG10" s="997">
        <f t="shared" si="35"/>
        <v>0</v>
      </c>
      <c r="BH10" s="997">
        <f t="shared" si="36"/>
        <v>15000</v>
      </c>
      <c r="BI10" s="1001">
        <f t="shared" si="36"/>
        <v>0</v>
      </c>
      <c r="BJ10" s="997">
        <f t="shared" si="36"/>
        <v>5000000</v>
      </c>
      <c r="BK10" s="997">
        <f t="shared" si="36"/>
        <v>0.499</v>
      </c>
      <c r="BL10" s="997" t="b">
        <f t="shared" si="36"/>
        <v>1</v>
      </c>
      <c r="BM10" s="997" t="b">
        <f t="shared" si="36"/>
        <v>0</v>
      </c>
      <c r="BN10" s="997">
        <f t="shared" si="36"/>
        <v>0</v>
      </c>
      <c r="BO10" s="997">
        <f t="shared" si="37"/>
        <v>0</v>
      </c>
      <c r="BP10" s="997"/>
      <c r="BQ10" s="997"/>
      <c r="BR10" s="997">
        <f t="shared" si="38"/>
        <v>600</v>
      </c>
      <c r="BS10" s="997"/>
      <c r="BT10" s="997" t="b">
        <f t="shared" si="39"/>
        <v>0</v>
      </c>
      <c r="BU10" s="997" t="b">
        <f t="shared" si="47"/>
        <v>1</v>
      </c>
      <c r="BV10" s="997" t="b">
        <f t="shared" si="40"/>
        <v>0</v>
      </c>
      <c r="BW10" s="997" t="b">
        <f t="shared" si="41"/>
        <v>0</v>
      </c>
      <c r="BX10" s="997" t="b">
        <f t="shared" si="42"/>
        <v>0</v>
      </c>
      <c r="BY10" s="997">
        <f t="shared" si="43"/>
        <v>600</v>
      </c>
      <c r="BZ10" s="997">
        <f t="shared" si="44"/>
        <v>366</v>
      </c>
      <c r="CA10" s="997">
        <f t="shared" si="48"/>
        <v>0</v>
      </c>
      <c r="CB10" s="997">
        <f t="shared" si="45"/>
        <v>0</v>
      </c>
      <c r="CC10" s="997">
        <f t="shared" si="11"/>
        <v>0</v>
      </c>
      <c r="CD10" s="997">
        <f t="shared" si="49"/>
        <v>600</v>
      </c>
      <c r="CE10" s="1002" t="b">
        <f t="shared" si="50"/>
        <v>0</v>
      </c>
      <c r="CH10" s="1036"/>
      <c r="CM10" s="1037">
        <f>nncalc2!$D$5</f>
        <v>0</v>
      </c>
      <c r="CN10" s="1037">
        <f>nccalc2!$D$5</f>
        <v>0</v>
      </c>
      <c r="CO10" s="1037">
        <f>bncalc2!$D$5</f>
        <v>0</v>
      </c>
      <c r="CP10" s="1037">
        <f>bccalc2!$D$5</f>
        <v>0</v>
      </c>
      <c r="CV10" s="1034"/>
    </row>
    <row r="11" spans="1:111" x14ac:dyDescent="0.35">
      <c r="A11" s="997">
        <f t="shared" si="12"/>
        <v>9</v>
      </c>
      <c r="B11" s="1003" t="str">
        <f>IF(input_engine_r!$P$21&gt;A10,VLOOKUP(A11,input_engine_r!$P$23:$T$35,2,FALSE),"")</f>
        <v/>
      </c>
      <c r="C11" s="997" t="str">
        <f t="shared" si="13"/>
        <v/>
      </c>
      <c r="D11" s="1003">
        <f t="shared" si="14"/>
        <v>45382</v>
      </c>
      <c r="E11" s="1002" t="str">
        <f>IF(B11="",E10,VLOOKUP(B11,input_engine_r!$B$23:$F$35,5,FALSE))</f>
        <v>nn</v>
      </c>
      <c r="F11" s="1003" t="str">
        <f t="shared" si="15"/>
        <v/>
      </c>
      <c r="G11" s="1003" t="str">
        <f t="shared" si="16"/>
        <v/>
      </c>
      <c r="H11" s="1002">
        <f t="shared" si="17"/>
        <v>0</v>
      </c>
      <c r="I11" s="997">
        <f t="shared" si="1"/>
        <v>0</v>
      </c>
      <c r="J11" s="997">
        <f t="shared" si="2"/>
        <v>0</v>
      </c>
      <c r="K11" s="997">
        <f t="shared" si="3"/>
        <v>0</v>
      </c>
      <c r="L11" s="997" t="str">
        <f>IF(input_engine_r!$P$21&gt;A10,VLOOKUP(A11,input_engine_r!$P$23:$T$36,3,FALSE),"")</f>
        <v/>
      </c>
      <c r="M11" s="1002" t="str">
        <f t="shared" si="18"/>
        <v>up</v>
      </c>
      <c r="N11" s="1002" t="str">
        <f t="shared" si="46"/>
        <v/>
      </c>
      <c r="O11" s="1002" t="str">
        <f t="shared" si="4"/>
        <v/>
      </c>
      <c r="P11" s="1032">
        <f t="shared" si="19"/>
        <v>0.499</v>
      </c>
      <c r="Q11" s="997" t="str">
        <f t="shared" si="20"/>
        <v/>
      </c>
      <c r="R11" s="997">
        <f t="shared" si="21"/>
        <v>0</v>
      </c>
      <c r="S11" s="1006">
        <f>IF(input_engine_r!$P$21&gt;A10,VLOOKUP(A11,input_engine_r!$P$23:$T$35,4,FALSE),0)</f>
        <v>0</v>
      </c>
      <c r="T11" s="2442">
        <f t="shared" ca="1" si="22"/>
        <v>0</v>
      </c>
      <c r="U11" s="997" t="b">
        <f t="shared" si="23"/>
        <v>0</v>
      </c>
      <c r="V11" s="997" t="b">
        <f>advanced!$M$22="y"</f>
        <v>0</v>
      </c>
      <c r="W11" s="997">
        <f>data!$D$33</f>
        <v>15000</v>
      </c>
      <c r="X11" s="997" t="b">
        <f t="shared" si="24"/>
        <v>0</v>
      </c>
      <c r="Y11" s="997">
        <f t="shared" si="25"/>
        <v>0</v>
      </c>
      <c r="Z11" s="997">
        <f t="shared" si="5"/>
        <v>0</v>
      </c>
      <c r="AA11" s="1002">
        <f>data!$G$53</f>
        <v>75000</v>
      </c>
      <c r="AB11" s="1002">
        <f>data!$F$53</f>
        <v>0.02</v>
      </c>
      <c r="AC11" s="997">
        <f t="shared" si="26"/>
        <v>0</v>
      </c>
      <c r="AD11" s="997">
        <f>IF(B11="",0,(IF($AE$1=authorities!$I$1,0,IF(L11&gt;AE11,VLOOKUP($AD$1,authorities!A:H,C11+1,FALSE),0)))*L11/$CK$2*H11)</f>
        <v>0</v>
      </c>
      <c r="AE11" s="997">
        <f>IF($AE$1=authorities!$I$1,0,$AE$1)</f>
        <v>0</v>
      </c>
      <c r="AF11" s="1002">
        <f>IF(input_engine_r!$P$21&gt;A10,VLOOKUP(A11,input_engine_r!$P$23:$T$35,5,FALSE),0)</f>
        <v>0</v>
      </c>
      <c r="AG11" s="1002">
        <f>data!$C$43</f>
        <v>2900</v>
      </c>
      <c r="AH11" s="1007">
        <f t="shared" si="6"/>
        <v>1</v>
      </c>
      <c r="AI11" s="997">
        <f t="shared" si="27"/>
        <v>0</v>
      </c>
      <c r="AJ11" s="997" t="b">
        <f t="shared" si="7"/>
        <v>0</v>
      </c>
      <c r="AL11" s="997">
        <f t="shared" si="28"/>
        <v>0</v>
      </c>
      <c r="AO11" s="1002">
        <f t="shared" si="29"/>
        <v>0</v>
      </c>
      <c r="AP11" s="1002">
        <f>SUM($AO$3:AO11)</f>
        <v>1</v>
      </c>
      <c r="AQ11" s="1002">
        <f t="shared" si="30"/>
        <v>366</v>
      </c>
      <c r="AR11" s="997">
        <f t="shared" ca="1" si="31"/>
        <v>0</v>
      </c>
      <c r="AS11" s="997"/>
      <c r="AT11" s="997">
        <f t="shared" si="32"/>
        <v>0</v>
      </c>
      <c r="AU11" s="997" t="b">
        <f t="shared" si="8"/>
        <v>1</v>
      </c>
      <c r="AV11" s="997" t="b">
        <f t="shared" si="9"/>
        <v>0</v>
      </c>
      <c r="AW11" s="997" t="b">
        <f t="shared" si="10"/>
        <v>0</v>
      </c>
      <c r="AX11" s="997">
        <f t="shared" si="33"/>
        <v>0</v>
      </c>
      <c r="AY11" s="997">
        <f ca="1">AR11/reliefs!$D$7*AX11*-1</f>
        <v>0</v>
      </c>
      <c r="AZ11" s="1002">
        <f t="shared" ca="1" si="34"/>
        <v>0</v>
      </c>
      <c r="BA11" s="2370"/>
      <c r="BB11" s="997"/>
      <c r="BC11" s="997"/>
      <c r="BD11" s="997"/>
      <c r="BE11" s="997"/>
      <c r="BG11" s="997">
        <f t="shared" si="35"/>
        <v>0</v>
      </c>
      <c r="BH11" s="997">
        <f t="shared" si="36"/>
        <v>15000</v>
      </c>
      <c r="BI11" s="1001">
        <f t="shared" si="36"/>
        <v>0</v>
      </c>
      <c r="BJ11" s="997">
        <f t="shared" si="36"/>
        <v>5000000</v>
      </c>
      <c r="BK11" s="997">
        <f t="shared" si="36"/>
        <v>0.499</v>
      </c>
      <c r="BL11" s="997" t="b">
        <f t="shared" si="36"/>
        <v>1</v>
      </c>
      <c r="BM11" s="997" t="b">
        <f t="shared" si="36"/>
        <v>0</v>
      </c>
      <c r="BN11" s="997">
        <f t="shared" si="36"/>
        <v>0</v>
      </c>
      <c r="BO11" s="997">
        <f t="shared" si="37"/>
        <v>0</v>
      </c>
      <c r="BP11" s="997"/>
      <c r="BQ11" s="997"/>
      <c r="BR11" s="997">
        <f t="shared" si="38"/>
        <v>600</v>
      </c>
      <c r="BS11" s="997"/>
      <c r="BT11" s="997" t="b">
        <f t="shared" si="39"/>
        <v>0</v>
      </c>
      <c r="BU11" s="997" t="b">
        <f t="shared" si="47"/>
        <v>1</v>
      </c>
      <c r="BV11" s="997" t="b">
        <f t="shared" si="40"/>
        <v>0</v>
      </c>
      <c r="BW11" s="997" t="b">
        <f t="shared" si="41"/>
        <v>0</v>
      </c>
      <c r="BX11" s="997" t="b">
        <f t="shared" si="42"/>
        <v>0</v>
      </c>
      <c r="BY11" s="997">
        <f t="shared" si="43"/>
        <v>600</v>
      </c>
      <c r="BZ11" s="997">
        <f t="shared" si="44"/>
        <v>366</v>
      </c>
      <c r="CA11" s="997">
        <f t="shared" si="48"/>
        <v>0</v>
      </c>
      <c r="CB11" s="997">
        <f t="shared" si="45"/>
        <v>0</v>
      </c>
      <c r="CC11" s="997">
        <f t="shared" si="11"/>
        <v>0</v>
      </c>
      <c r="CD11" s="997">
        <f t="shared" si="49"/>
        <v>600</v>
      </c>
      <c r="CE11" s="1002" t="b">
        <f t="shared" si="50"/>
        <v>0</v>
      </c>
      <c r="CH11" s="1036"/>
      <c r="CK11" s="997">
        <f>ROW()</f>
        <v>11</v>
      </c>
      <c r="CL11" s="1038" t="s">
        <v>586</v>
      </c>
      <c r="CM11" s="1038"/>
      <c r="CN11" s="1038"/>
      <c r="CO11" s="1038"/>
      <c r="CP11" s="1038"/>
      <c r="CV11" s="1034"/>
    </row>
    <row r="12" spans="1:111" x14ac:dyDescent="0.35">
      <c r="A12" s="997">
        <f t="shared" si="12"/>
        <v>10</v>
      </c>
      <c r="B12" s="1003" t="str">
        <f>IF(input_engine_r!$P$21&gt;A11,VLOOKUP(A12,input_engine_r!$P$23:$T$35,2,FALSE),"")</f>
        <v/>
      </c>
      <c r="C12" s="997" t="str">
        <f t="shared" si="13"/>
        <v/>
      </c>
      <c r="D12" s="1003">
        <f t="shared" si="14"/>
        <v>45382</v>
      </c>
      <c r="E12" s="1002" t="str">
        <f>IF(B12="",E11,VLOOKUP(B12,input_engine_r!$B$23:$F$35,5,FALSE))</f>
        <v>nn</v>
      </c>
      <c r="F12" s="1003" t="str">
        <f t="shared" si="15"/>
        <v/>
      </c>
      <c r="G12" s="1003" t="str">
        <f t="shared" si="16"/>
        <v/>
      </c>
      <c r="H12" s="1002">
        <f t="shared" si="17"/>
        <v>0</v>
      </c>
      <c r="I12" s="997">
        <f t="shared" si="1"/>
        <v>0</v>
      </c>
      <c r="J12" s="997">
        <f t="shared" si="2"/>
        <v>0</v>
      </c>
      <c r="K12" s="997">
        <f t="shared" si="3"/>
        <v>0</v>
      </c>
      <c r="L12" s="997" t="str">
        <f>IF(input_engine_r!$P$21&gt;A11,VLOOKUP(A12,input_engine_r!$P$23:$T$36,3,FALSE),"")</f>
        <v/>
      </c>
      <c r="M12" s="1002" t="str">
        <f t="shared" si="18"/>
        <v>up</v>
      </c>
      <c r="N12" s="1002" t="str">
        <f t="shared" si="46"/>
        <v/>
      </c>
      <c r="O12" s="1002" t="str">
        <f t="shared" si="4"/>
        <v/>
      </c>
      <c r="P12" s="1032">
        <f t="shared" si="19"/>
        <v>0.499</v>
      </c>
      <c r="Q12" s="997" t="str">
        <f t="shared" si="20"/>
        <v/>
      </c>
      <c r="R12" s="997">
        <f t="shared" si="21"/>
        <v>0</v>
      </c>
      <c r="S12" s="1006">
        <f>IF(input_engine_r!$P$21&gt;A11,VLOOKUP(A12,input_engine_r!$P$23:$T$35,4,FALSE),0)</f>
        <v>0</v>
      </c>
      <c r="T12" s="2442">
        <f t="shared" ca="1" si="22"/>
        <v>0</v>
      </c>
      <c r="U12" s="997" t="b">
        <f t="shared" si="23"/>
        <v>0</v>
      </c>
      <c r="V12" s="997" t="b">
        <f>advanced!$M$22="y"</f>
        <v>0</v>
      </c>
      <c r="W12" s="997">
        <f>data!$D$33</f>
        <v>15000</v>
      </c>
      <c r="X12" s="997" t="b">
        <f t="shared" si="24"/>
        <v>0</v>
      </c>
      <c r="Y12" s="997">
        <f t="shared" si="25"/>
        <v>0</v>
      </c>
      <c r="Z12" s="997">
        <f t="shared" si="5"/>
        <v>0</v>
      </c>
      <c r="AA12" s="1002">
        <f>data!$G$53</f>
        <v>75000</v>
      </c>
      <c r="AB12" s="1002">
        <f>data!$F$53</f>
        <v>0.02</v>
      </c>
      <c r="AC12" s="997">
        <f t="shared" si="26"/>
        <v>0</v>
      </c>
      <c r="AD12" s="997">
        <f>IF(B12="",0,(IF($AE$1=authorities!$I$1,0,IF(L12&gt;AE12,VLOOKUP($AD$1,authorities!A:H,C12+1,FALSE),0)))*L12/$CK$2*H12)</f>
        <v>0</v>
      </c>
      <c r="AE12" s="997">
        <f>IF($AE$1=authorities!$I$1,0,$AE$1)</f>
        <v>0</v>
      </c>
      <c r="AF12" s="1002">
        <f>IF(input_engine_r!$P$21&gt;A11,VLOOKUP(A12,input_engine_r!$P$23:$T$35,5,FALSE),0)</f>
        <v>0</v>
      </c>
      <c r="AG12" s="1002">
        <f>data!$C$43</f>
        <v>2900</v>
      </c>
      <c r="AH12" s="1007">
        <f t="shared" si="6"/>
        <v>1</v>
      </c>
      <c r="AI12" s="997">
        <f t="shared" si="27"/>
        <v>0</v>
      </c>
      <c r="AJ12" s="997" t="b">
        <f t="shared" si="7"/>
        <v>0</v>
      </c>
      <c r="AL12" s="997">
        <f t="shared" si="28"/>
        <v>0</v>
      </c>
      <c r="AO12" s="1002">
        <f t="shared" si="29"/>
        <v>0</v>
      </c>
      <c r="AP12" s="1002">
        <f>SUM($AO$3:AO12)</f>
        <v>1</v>
      </c>
      <c r="AQ12" s="1002">
        <f t="shared" si="30"/>
        <v>366</v>
      </c>
      <c r="AR12" s="997">
        <f t="shared" ca="1" si="31"/>
        <v>0</v>
      </c>
      <c r="AS12" s="997"/>
      <c r="AT12" s="997">
        <f t="shared" si="32"/>
        <v>0</v>
      </c>
      <c r="AU12" s="997" t="b">
        <f t="shared" si="8"/>
        <v>1</v>
      </c>
      <c r="AV12" s="997" t="b">
        <f t="shared" si="9"/>
        <v>0</v>
      </c>
      <c r="AW12" s="997" t="b">
        <f t="shared" si="10"/>
        <v>0</v>
      </c>
      <c r="AX12" s="997">
        <f t="shared" si="33"/>
        <v>0</v>
      </c>
      <c r="AY12" s="997">
        <f ca="1">AR12/reliefs!$D$7*AX12*-1</f>
        <v>0</v>
      </c>
      <c r="AZ12" s="1002">
        <f t="shared" ca="1" si="34"/>
        <v>0</v>
      </c>
      <c r="BA12" s="2370"/>
      <c r="BB12" s="997"/>
      <c r="BC12" s="997"/>
      <c r="BD12" s="997"/>
      <c r="BE12" s="997"/>
      <c r="BG12" s="997">
        <f t="shared" si="35"/>
        <v>0</v>
      </c>
      <c r="BH12" s="997">
        <f t="shared" si="36"/>
        <v>15000</v>
      </c>
      <c r="BI12" s="1001">
        <f t="shared" si="36"/>
        <v>0</v>
      </c>
      <c r="BJ12" s="997">
        <f t="shared" si="36"/>
        <v>5000000</v>
      </c>
      <c r="BK12" s="997">
        <f t="shared" si="36"/>
        <v>0.499</v>
      </c>
      <c r="BL12" s="997" t="b">
        <f t="shared" si="36"/>
        <v>1</v>
      </c>
      <c r="BM12" s="997" t="b">
        <f t="shared" si="36"/>
        <v>0</v>
      </c>
      <c r="BN12" s="997">
        <f t="shared" si="36"/>
        <v>0</v>
      </c>
      <c r="BO12" s="997">
        <f t="shared" si="37"/>
        <v>0</v>
      </c>
      <c r="BP12" s="997"/>
      <c r="BQ12" s="997"/>
      <c r="BR12" s="997">
        <f t="shared" si="38"/>
        <v>600</v>
      </c>
      <c r="BS12" s="997"/>
      <c r="BT12" s="997" t="b">
        <f t="shared" si="39"/>
        <v>0</v>
      </c>
      <c r="BU12" s="997" t="b">
        <f t="shared" si="47"/>
        <v>1</v>
      </c>
      <c r="BV12" s="997" t="b">
        <f t="shared" si="40"/>
        <v>0</v>
      </c>
      <c r="BW12" s="997" t="b">
        <f t="shared" si="41"/>
        <v>0</v>
      </c>
      <c r="BX12" s="997" t="b">
        <f t="shared" si="42"/>
        <v>0</v>
      </c>
      <c r="BY12" s="997">
        <f t="shared" si="43"/>
        <v>600</v>
      </c>
      <c r="BZ12" s="997">
        <f t="shared" si="44"/>
        <v>366</v>
      </c>
      <c r="CA12" s="997">
        <f t="shared" si="48"/>
        <v>0</v>
      </c>
      <c r="CB12" s="997">
        <f t="shared" si="45"/>
        <v>0</v>
      </c>
      <c r="CC12" s="997">
        <f t="shared" si="11"/>
        <v>0</v>
      </c>
      <c r="CD12" s="997">
        <f t="shared" si="49"/>
        <v>600</v>
      </c>
      <c r="CE12" s="1002" t="b">
        <f t="shared" si="50"/>
        <v>0</v>
      </c>
      <c r="CH12" s="1036"/>
      <c r="CL12" s="1038">
        <f t="shared" ref="CL12:CL17" si="51">CI2</f>
        <v>1</v>
      </c>
      <c r="CM12" s="1038" t="b">
        <f>nncalc2!$D$30</f>
        <v>0</v>
      </c>
      <c r="CN12" s="1038" t="b">
        <f>nccalc2!$D$30</f>
        <v>0</v>
      </c>
      <c r="CO12" s="1038" t="b">
        <f>bncalc2!$D$30</f>
        <v>0</v>
      </c>
      <c r="CP12" s="1038" t="b">
        <f>bccalc2!$D$30</f>
        <v>0</v>
      </c>
      <c r="CV12" s="1034"/>
    </row>
    <row r="13" spans="1:111" x14ac:dyDescent="0.35">
      <c r="A13" s="997">
        <f t="shared" si="12"/>
        <v>11</v>
      </c>
      <c r="B13" s="1003" t="str">
        <f>IF(input_engine_r!$P$21&gt;A12,VLOOKUP(A13,input_engine_r!$P$23:$T$35,2,FALSE),"")</f>
        <v/>
      </c>
      <c r="C13" s="997" t="str">
        <f t="shared" si="13"/>
        <v/>
      </c>
      <c r="D13" s="1003">
        <f t="shared" si="14"/>
        <v>45382</v>
      </c>
      <c r="E13" s="1002" t="str">
        <f>IF(B13="",E12,VLOOKUP(B13,input_engine_r!$B$23:$F$35,5,FALSE))</f>
        <v>nn</v>
      </c>
      <c r="F13" s="1003" t="str">
        <f t="shared" si="15"/>
        <v/>
      </c>
      <c r="G13" s="1003" t="str">
        <f t="shared" si="16"/>
        <v/>
      </c>
      <c r="H13" s="1002">
        <f t="shared" si="17"/>
        <v>0</v>
      </c>
      <c r="I13" s="997">
        <f t="shared" si="1"/>
        <v>0</v>
      </c>
      <c r="J13" s="997">
        <f t="shared" si="2"/>
        <v>0</v>
      </c>
      <c r="K13" s="997">
        <f t="shared" si="3"/>
        <v>0</v>
      </c>
      <c r="L13" s="997" t="str">
        <f>IF(input_engine_r!$P$21&gt;A12,VLOOKUP(A13,input_engine_r!$P$23:$T$36,3,FALSE),"")</f>
        <v/>
      </c>
      <c r="M13" s="1002" t="str">
        <f t="shared" si="18"/>
        <v>up</v>
      </c>
      <c r="N13" s="1002" t="str">
        <f t="shared" si="46"/>
        <v/>
      </c>
      <c r="O13" s="1002" t="str">
        <f t="shared" si="4"/>
        <v/>
      </c>
      <c r="P13" s="1032">
        <f t="shared" si="19"/>
        <v>0.499</v>
      </c>
      <c r="Q13" s="997" t="str">
        <f t="shared" si="20"/>
        <v/>
      </c>
      <c r="R13" s="997">
        <f t="shared" si="21"/>
        <v>0</v>
      </c>
      <c r="S13" s="1006">
        <f>IF(input_engine_r!$P$21&gt;A12,VLOOKUP(A13,input_engine_r!$P$23:$T$35,4,FALSE),0)</f>
        <v>0</v>
      </c>
      <c r="T13" s="2442">
        <f t="shared" ca="1" si="22"/>
        <v>0</v>
      </c>
      <c r="U13" s="997" t="b">
        <f t="shared" si="23"/>
        <v>0</v>
      </c>
      <c r="V13" s="997" t="b">
        <f>advanced!$M$22="y"</f>
        <v>0</v>
      </c>
      <c r="W13" s="997">
        <f>data!$D$33</f>
        <v>15000</v>
      </c>
      <c r="X13" s="997" t="b">
        <f t="shared" si="24"/>
        <v>0</v>
      </c>
      <c r="Y13" s="997">
        <f t="shared" si="25"/>
        <v>0</v>
      </c>
      <c r="Z13" s="997">
        <f t="shared" si="5"/>
        <v>0</v>
      </c>
      <c r="AA13" s="1002">
        <f>data!$G$53</f>
        <v>75000</v>
      </c>
      <c r="AB13" s="1002">
        <f>data!$F$53</f>
        <v>0.02</v>
      </c>
      <c r="AC13" s="997">
        <f t="shared" si="26"/>
        <v>0</v>
      </c>
      <c r="AD13" s="997">
        <f>IF(B13="",0,(IF($AE$1=authorities!$I$1,0,IF(L13&gt;AE13,VLOOKUP($AD$1,authorities!A:H,C13+1,FALSE),0)))*L13/$CK$2*H13)</f>
        <v>0</v>
      </c>
      <c r="AE13" s="997">
        <f>IF($AE$1=authorities!$I$1,0,$AE$1)</f>
        <v>0</v>
      </c>
      <c r="AF13" s="1002">
        <f>IF(input_engine_r!$P$21&gt;A12,VLOOKUP(A13,input_engine_r!$P$23:$T$35,5,FALSE),0)</f>
        <v>0</v>
      </c>
      <c r="AG13" s="1002">
        <f>data!$C$43</f>
        <v>2900</v>
      </c>
      <c r="AH13" s="1007">
        <f t="shared" si="6"/>
        <v>1</v>
      </c>
      <c r="AI13" s="997">
        <f t="shared" si="27"/>
        <v>0</v>
      </c>
      <c r="AJ13" s="997" t="b">
        <f t="shared" si="7"/>
        <v>0</v>
      </c>
      <c r="AL13" s="997">
        <f t="shared" si="28"/>
        <v>0</v>
      </c>
      <c r="AO13" s="1002">
        <f t="shared" si="29"/>
        <v>0</v>
      </c>
      <c r="AP13" s="1002">
        <f>SUM($AO$3:AO13)</f>
        <v>1</v>
      </c>
      <c r="AQ13" s="1002">
        <f t="shared" si="30"/>
        <v>366</v>
      </c>
      <c r="AR13" s="997">
        <f t="shared" ca="1" si="31"/>
        <v>0</v>
      </c>
      <c r="AS13" s="997"/>
      <c r="AT13" s="997">
        <f t="shared" si="32"/>
        <v>0</v>
      </c>
      <c r="AU13" s="997" t="b">
        <f t="shared" si="8"/>
        <v>1</v>
      </c>
      <c r="AV13" s="997" t="b">
        <f t="shared" si="9"/>
        <v>0</v>
      </c>
      <c r="AW13" s="997" t="b">
        <f t="shared" si="10"/>
        <v>0</v>
      </c>
      <c r="AX13" s="997">
        <f t="shared" si="33"/>
        <v>0</v>
      </c>
      <c r="AY13" s="997">
        <f ca="1">AR13/reliefs!$D$7*AX13*-1</f>
        <v>0</v>
      </c>
      <c r="AZ13" s="1002">
        <f t="shared" ca="1" si="34"/>
        <v>0</v>
      </c>
      <c r="BA13" s="2370"/>
      <c r="BB13" s="997"/>
      <c r="BC13" s="997"/>
      <c r="BD13" s="997"/>
      <c r="BE13" s="997"/>
      <c r="BG13" s="997">
        <f t="shared" si="35"/>
        <v>0</v>
      </c>
      <c r="BH13" s="997">
        <f t="shared" si="36"/>
        <v>15000</v>
      </c>
      <c r="BI13" s="1001">
        <f t="shared" si="36"/>
        <v>0</v>
      </c>
      <c r="BJ13" s="997">
        <f t="shared" si="36"/>
        <v>5000000</v>
      </c>
      <c r="BK13" s="997">
        <f t="shared" si="36"/>
        <v>0.499</v>
      </c>
      <c r="BL13" s="997" t="b">
        <f t="shared" si="36"/>
        <v>1</v>
      </c>
      <c r="BM13" s="997" t="b">
        <f t="shared" si="36"/>
        <v>0</v>
      </c>
      <c r="BN13" s="997">
        <f t="shared" si="36"/>
        <v>0</v>
      </c>
      <c r="BO13" s="997">
        <f t="shared" si="37"/>
        <v>0</v>
      </c>
      <c r="BP13" s="997"/>
      <c r="BQ13" s="997"/>
      <c r="BR13" s="997">
        <f t="shared" si="38"/>
        <v>600</v>
      </c>
      <c r="BS13" s="997"/>
      <c r="BT13" s="997" t="b">
        <f t="shared" si="39"/>
        <v>0</v>
      </c>
      <c r="BU13" s="997" t="b">
        <f t="shared" si="47"/>
        <v>1</v>
      </c>
      <c r="BV13" s="997" t="b">
        <f t="shared" si="40"/>
        <v>0</v>
      </c>
      <c r="BW13" s="997" t="b">
        <f t="shared" si="41"/>
        <v>0</v>
      </c>
      <c r="BX13" s="997" t="b">
        <f t="shared" si="42"/>
        <v>0</v>
      </c>
      <c r="BY13" s="997">
        <f t="shared" si="43"/>
        <v>600</v>
      </c>
      <c r="BZ13" s="997">
        <f t="shared" si="44"/>
        <v>366</v>
      </c>
      <c r="CA13" s="997">
        <f t="shared" si="48"/>
        <v>0</v>
      </c>
      <c r="CB13" s="997">
        <f t="shared" si="45"/>
        <v>0</v>
      </c>
      <c r="CC13" s="997">
        <f t="shared" si="11"/>
        <v>0</v>
      </c>
      <c r="CD13" s="997">
        <f t="shared" si="49"/>
        <v>600</v>
      </c>
      <c r="CE13" s="1002" t="b">
        <f t="shared" si="50"/>
        <v>0</v>
      </c>
      <c r="CH13" s="1036"/>
      <c r="CL13" s="1038">
        <f t="shared" si="51"/>
        <v>2</v>
      </c>
      <c r="CM13" s="1038" t="b">
        <f>nncalc2!$E$30</f>
        <v>0</v>
      </c>
      <c r="CN13" s="1038" t="b">
        <f>nccalc2!$E$30</f>
        <v>0</v>
      </c>
      <c r="CO13" s="1038" t="b">
        <f>bncalc2!$E$30</f>
        <v>0</v>
      </c>
      <c r="CP13" s="1038" t="b">
        <f>bccalc2!$E$30</f>
        <v>0</v>
      </c>
      <c r="CV13" s="1034"/>
    </row>
    <row r="14" spans="1:111" x14ac:dyDescent="0.35">
      <c r="A14" s="997">
        <f t="shared" si="12"/>
        <v>12</v>
      </c>
      <c r="B14" s="1003" t="str">
        <f>IF(input_engine_r!$P$21&gt;A13,VLOOKUP(A14,input_engine_r!$P$23:$T$35,2,FALSE),"")</f>
        <v/>
      </c>
      <c r="C14" s="997" t="str">
        <f t="shared" si="13"/>
        <v/>
      </c>
      <c r="D14" s="1003">
        <f t="shared" si="14"/>
        <v>45382</v>
      </c>
      <c r="E14" s="1002" t="str">
        <f>IF(B14="",E13,VLOOKUP(B14,input_engine_r!$B$23:$F$35,5,FALSE))</f>
        <v>nn</v>
      </c>
      <c r="F14" s="1003" t="str">
        <f t="shared" si="15"/>
        <v/>
      </c>
      <c r="G14" s="1003" t="str">
        <f>IF(B14="","",IF(#REF!=C14,#REF!-1,D14))</f>
        <v/>
      </c>
      <c r="H14" s="1002">
        <f t="shared" si="17"/>
        <v>0</v>
      </c>
      <c r="I14" s="997">
        <f t="shared" si="1"/>
        <v>0</v>
      </c>
      <c r="J14" s="997">
        <f t="shared" si="2"/>
        <v>0</v>
      </c>
      <c r="K14" s="997">
        <f t="shared" si="3"/>
        <v>0</v>
      </c>
      <c r="L14" s="997" t="str">
        <f>IF(input_engine_r!$P$21&gt;A13,VLOOKUP(A14,input_engine_r!$P$23:$T$36,3,FALSE),"")</f>
        <v/>
      </c>
      <c r="M14" s="1002" t="str">
        <f t="shared" si="18"/>
        <v>up</v>
      </c>
      <c r="N14" s="1002" t="str">
        <f t="shared" si="46"/>
        <v/>
      </c>
      <c r="O14" s="1002" t="str">
        <f t="shared" si="4"/>
        <v/>
      </c>
      <c r="P14" s="1032">
        <f t="shared" si="19"/>
        <v>0.499</v>
      </c>
      <c r="Q14" s="997" t="str">
        <f t="shared" si="20"/>
        <v/>
      </c>
      <c r="R14" s="997">
        <f t="shared" si="21"/>
        <v>0</v>
      </c>
      <c r="S14" s="1006">
        <f>IF(input_engine_r!$P$21&gt;A13,VLOOKUP(A14,input_engine_r!$P$23:$T$35,4,FALSE),0)</f>
        <v>0</v>
      </c>
      <c r="T14" s="2442">
        <f t="shared" ca="1" si="22"/>
        <v>0</v>
      </c>
      <c r="U14" s="997" t="b">
        <f t="shared" si="23"/>
        <v>0</v>
      </c>
      <c r="V14" s="997" t="b">
        <f>advanced!$M$22="y"</f>
        <v>0</v>
      </c>
      <c r="W14" s="997">
        <f>data!$D$33</f>
        <v>15000</v>
      </c>
      <c r="X14" s="997" t="b">
        <f t="shared" si="24"/>
        <v>0</v>
      </c>
      <c r="Y14" s="997">
        <f t="shared" si="25"/>
        <v>0</v>
      </c>
      <c r="Z14" s="997">
        <f t="shared" si="5"/>
        <v>0</v>
      </c>
      <c r="AA14" s="1002">
        <f>data!$G$53</f>
        <v>75000</v>
      </c>
      <c r="AB14" s="1002">
        <f>data!$F$53</f>
        <v>0.02</v>
      </c>
      <c r="AC14" s="997">
        <f t="shared" si="26"/>
        <v>0</v>
      </c>
      <c r="AD14" s="997">
        <f>IF(B14="",0,(IF($AE$1=authorities!$I$1,0,IF(L14&gt;AE14,VLOOKUP($AD$1,authorities!A:H,C14+1,FALSE),0)))*L14/$CK$2*H14)</f>
        <v>0</v>
      </c>
      <c r="AE14" s="997">
        <f>IF($AE$1=authorities!$I$1,0,$AE$1)</f>
        <v>0</v>
      </c>
      <c r="AF14" s="1002">
        <f>IF(input_engine_r!$P$21&gt;A13,VLOOKUP(A14,input_engine_r!$P$23:$T$35,5,FALSE),0)</f>
        <v>0</v>
      </c>
      <c r="AG14" s="1002">
        <f>data!$C$43</f>
        <v>2900</v>
      </c>
      <c r="AH14" s="1007">
        <f t="shared" si="6"/>
        <v>1</v>
      </c>
      <c r="AI14" s="997">
        <f t="shared" si="27"/>
        <v>0</v>
      </c>
      <c r="AJ14" s="997" t="b">
        <f t="shared" si="7"/>
        <v>0</v>
      </c>
      <c r="AL14" s="997">
        <f t="shared" si="28"/>
        <v>0</v>
      </c>
      <c r="AO14" s="1002">
        <f t="shared" si="29"/>
        <v>0</v>
      </c>
      <c r="AP14" s="1002">
        <f>SUM($AO$3:AO14)</f>
        <v>1</v>
      </c>
      <c r="AQ14" s="1002">
        <f t="shared" si="30"/>
        <v>366</v>
      </c>
      <c r="AR14" s="997">
        <f t="shared" ca="1" si="31"/>
        <v>0</v>
      </c>
      <c r="AS14" s="997"/>
      <c r="AT14" s="997">
        <f t="shared" si="32"/>
        <v>0</v>
      </c>
      <c r="AU14" s="997" t="b">
        <f t="shared" si="8"/>
        <v>1</v>
      </c>
      <c r="AV14" s="997" t="b">
        <f t="shared" si="9"/>
        <v>0</v>
      </c>
      <c r="AW14" s="997" t="b">
        <f t="shared" si="10"/>
        <v>0</v>
      </c>
      <c r="AX14" s="997">
        <f t="shared" si="33"/>
        <v>0</v>
      </c>
      <c r="AY14" s="997">
        <f ca="1">AR14/reliefs!$D$7*AX14*-1</f>
        <v>0</v>
      </c>
      <c r="AZ14" s="1002">
        <f t="shared" ca="1" si="34"/>
        <v>0</v>
      </c>
      <c r="BA14" s="2370"/>
      <c r="BB14" s="997"/>
      <c r="BC14" s="997"/>
      <c r="BD14" s="997"/>
      <c r="BE14" s="997"/>
      <c r="BG14" s="997">
        <f t="shared" si="35"/>
        <v>0</v>
      </c>
      <c r="BH14" s="997">
        <f t="shared" si="36"/>
        <v>15000</v>
      </c>
      <c r="BI14" s="1001">
        <f t="shared" si="36"/>
        <v>0</v>
      </c>
      <c r="BJ14" s="997">
        <f t="shared" si="36"/>
        <v>5000000</v>
      </c>
      <c r="BK14" s="997">
        <f t="shared" si="36"/>
        <v>0.499</v>
      </c>
      <c r="BL14" s="997" t="b">
        <f t="shared" si="36"/>
        <v>1</v>
      </c>
      <c r="BM14" s="997" t="b">
        <f t="shared" si="36"/>
        <v>0</v>
      </c>
      <c r="BN14" s="997">
        <f t="shared" si="36"/>
        <v>0</v>
      </c>
      <c r="BO14" s="997">
        <f t="shared" si="37"/>
        <v>0</v>
      </c>
      <c r="BP14" s="997"/>
      <c r="BQ14" s="997"/>
      <c r="BR14" s="997">
        <f t="shared" si="38"/>
        <v>600</v>
      </c>
      <c r="BS14" s="997"/>
      <c r="BT14" s="997" t="b">
        <f t="shared" si="39"/>
        <v>0</v>
      </c>
      <c r="BU14" s="997" t="b">
        <f t="shared" si="47"/>
        <v>1</v>
      </c>
      <c r="BV14" s="997" t="b">
        <f t="shared" si="40"/>
        <v>0</v>
      </c>
      <c r="BW14" s="997" t="b">
        <f t="shared" si="41"/>
        <v>0</v>
      </c>
      <c r="BX14" s="997" t="b">
        <f t="shared" si="42"/>
        <v>0</v>
      </c>
      <c r="BY14" s="997">
        <f t="shared" si="43"/>
        <v>600</v>
      </c>
      <c r="BZ14" s="997">
        <f t="shared" si="44"/>
        <v>366</v>
      </c>
      <c r="CA14" s="997">
        <f t="shared" si="48"/>
        <v>0</v>
      </c>
      <c r="CB14" s="997">
        <f t="shared" si="45"/>
        <v>0</v>
      </c>
      <c r="CC14" s="997">
        <f t="shared" si="11"/>
        <v>0</v>
      </c>
      <c r="CD14" s="997">
        <f t="shared" si="49"/>
        <v>600</v>
      </c>
      <c r="CE14" s="1002" t="b">
        <f t="shared" si="50"/>
        <v>0</v>
      </c>
      <c r="CH14" s="1036"/>
      <c r="CL14" s="1038">
        <f t="shared" si="51"/>
        <v>3</v>
      </c>
      <c r="CM14" s="1038" t="b">
        <f>nncalc2!$F$30</f>
        <v>0</v>
      </c>
      <c r="CN14" s="1038" t="b">
        <f>nccalc2!$F$30</f>
        <v>0</v>
      </c>
      <c r="CO14" s="1038" t="b">
        <f>bncalc2!$F$30</f>
        <v>0</v>
      </c>
      <c r="CP14" s="1038" t="b">
        <f>bccalc2!$F$30</f>
        <v>0</v>
      </c>
      <c r="CV14" s="1034"/>
    </row>
    <row r="15" spans="1:111" x14ac:dyDescent="0.35">
      <c r="B15" s="1003"/>
      <c r="H15" s="1002"/>
      <c r="T15" s="2445">
        <f ca="1">ROUND(SUM(T3:T14),2)</f>
        <v>0</v>
      </c>
      <c r="U15" s="1008">
        <f>U3+U4+U5+U6+U7+U8+U9+U10+U11+U12+U13+U14</f>
        <v>0</v>
      </c>
      <c r="V15" s="1008"/>
      <c r="W15" s="1008"/>
      <c r="X15" s="1008"/>
      <c r="AH15" s="1007"/>
      <c r="AI15" s="1009">
        <f>SUM(AI3:AI14)</f>
        <v>1</v>
      </c>
      <c r="AJ15" s="1002">
        <f>AJ14+AJ13+AJ12+AJ11+AJ10+AJ9+AJ8+AJ7+AJ6+AJ5+AJ4+AJ3</f>
        <v>0</v>
      </c>
      <c r="AK15" s="997" t="str">
        <f>IF(AJ15=12,"Phased",IF(AJ15=0,"True","***"))</f>
        <v>True</v>
      </c>
      <c r="AL15" s="1002">
        <f>SUM(AL3:AL14)</f>
        <v>0</v>
      </c>
      <c r="AM15" s="1010">
        <f>IF(AL15&lt;1,AL15,INT(AL15))</f>
        <v>0</v>
      </c>
      <c r="AN15" s="1010" t="str">
        <f>IF(AL15-AM15&lt;&gt;0,"N/J + T",IF(AND(0&lt;AL15,AL15&lt;1),"P + T",IF(AL15&gt;=1,"N/J","")))</f>
        <v/>
      </c>
      <c r="AP15" s="1002">
        <f>SUM($AO$3:AO15)</f>
        <v>1</v>
      </c>
      <c r="AR15" s="997"/>
      <c r="AY15" s="1002">
        <f ca="1">IF(SUM(AY3:AY14)&lt;$AY$1,$AY$1,SUM(AY3:AY14))</f>
        <v>0</v>
      </c>
      <c r="BA15" s="2371">
        <f ca="1">BA3+(AY15*-1)</f>
        <v>0</v>
      </c>
      <c r="BB15" s="1043" t="s">
        <v>2902</v>
      </c>
      <c r="BC15" s="15">
        <f>reliefs!D16</f>
        <v>315000</v>
      </c>
      <c r="BG15" s="1002">
        <f>SUM(BG3:BG14)+0.0000001</f>
        <v>9.9999999999999995E-8</v>
      </c>
      <c r="BH15" s="997">
        <f t="shared" ref="BH15:BN30" si="52">BH14</f>
        <v>15000</v>
      </c>
      <c r="BI15" s="1001">
        <f t="shared" si="52"/>
        <v>0</v>
      </c>
      <c r="BJ15" s="997">
        <f t="shared" si="52"/>
        <v>5000000</v>
      </c>
      <c r="BK15" s="997">
        <f t="shared" si="52"/>
        <v>0.499</v>
      </c>
      <c r="BL15" s="997" t="b">
        <f t="shared" si="36"/>
        <v>1</v>
      </c>
      <c r="BM15" s="997" t="b">
        <f t="shared" si="36"/>
        <v>0</v>
      </c>
      <c r="BN15" s="997"/>
      <c r="BW15" s="997" t="b">
        <f t="shared" si="41"/>
        <v>0</v>
      </c>
      <c r="CE15" s="1002" t="b">
        <f t="shared" si="50"/>
        <v>0</v>
      </c>
      <c r="CH15" s="1036"/>
      <c r="CL15" s="1038">
        <f t="shared" si="51"/>
        <v>4</v>
      </c>
      <c r="CM15" s="1038" t="b">
        <f>nncalc2!$G$30</f>
        <v>0</v>
      </c>
      <c r="CN15" s="1038" t="b">
        <f>nccalc2!$G$30</f>
        <v>0</v>
      </c>
      <c r="CO15" s="1038" t="b">
        <f>bncalc2!$G$30</f>
        <v>0</v>
      </c>
      <c r="CP15" s="1038" t="b">
        <f>bccalc2!$G$30</f>
        <v>0</v>
      </c>
      <c r="CV15" s="1034"/>
      <c r="DG15" s="1002"/>
    </row>
    <row r="16" spans="1:111" x14ac:dyDescent="0.35">
      <c r="A16" s="997">
        <v>0</v>
      </c>
      <c r="B16" s="1003">
        <f>CH3</f>
        <v>45383</v>
      </c>
      <c r="C16" s="997">
        <f>IF(OR(B16=0,B16=""),"",2)</f>
        <v>2</v>
      </c>
      <c r="D16" s="1003">
        <f>$CJ$3</f>
        <v>45747</v>
      </c>
      <c r="E16" s="1002" t="str">
        <f ca="1">IF(B16=B17,E17,OFFSET(E2,AI15,0))</f>
        <v>nn</v>
      </c>
      <c r="F16" s="1003">
        <f>B16</f>
        <v>45383</v>
      </c>
      <c r="G16" s="1003">
        <f>IF(B16="","",IF(C17=C16,F17-1,D16))</f>
        <v>45747</v>
      </c>
      <c r="H16" s="1002">
        <f>IF(B16&lt;&gt;"",G16-F16+1,0)</f>
        <v>365</v>
      </c>
      <c r="I16" s="997">
        <f t="shared" ref="I16:I27" ca="1" si="53">IF(AP16&gt;0,K16*P16,HLOOKUP(E16,$CM$1:$CP$9,1+$C$16,FALSE))</f>
        <v>0</v>
      </c>
      <c r="J16" s="997">
        <f t="shared" ref="J16:J27" ca="1" si="54">I16/$CK$3</f>
        <v>0</v>
      </c>
      <c r="K16" s="997">
        <f t="shared" ref="K16:K27" ca="1" si="55">HLOOKUP(E16,$CM$1:$CP$10,10,FALSE)</f>
        <v>0</v>
      </c>
      <c r="L16" s="997">
        <f ca="1">IF(B16=B17,L17,OFFSET(L2,AI15,0))</f>
        <v>0</v>
      </c>
      <c r="M16" s="1002" t="str">
        <f ca="1">IF(L16&lt;K16,"down","up")</f>
        <v>up</v>
      </c>
      <c r="N16" s="1002">
        <f ca="1">IF(OR(B16="",K16=0),0,IF(M16="down",J16*L16/K16*H16,0))</f>
        <v>0</v>
      </c>
      <c r="O16" s="1002">
        <f t="shared" ref="O16:O27" ca="1" si="56">IF(B16="","",IF(M16="up",((J16*H16)+((L16-K16)*P16/$CK$3*H16)),0))</f>
        <v>0</v>
      </c>
      <c r="P16" s="1032">
        <f>$CL$3</f>
        <v>0.499</v>
      </c>
      <c r="Q16" s="997">
        <f ca="1">IF(M16="down",N16,O16)</f>
        <v>0</v>
      </c>
      <c r="R16" s="997">
        <f ca="1">IF(B16="",0,IF(U16=TRUE,(Q16/AH16)+AC16+(AD16/AH16),(Q16)+Y16+Z16+AC16+AD16))</f>
        <v>0</v>
      </c>
      <c r="S16" s="1006">
        <f ca="1">IF(B16=B17,S17,OFFSET(S2,AI15,0))</f>
        <v>1</v>
      </c>
      <c r="T16" s="2442">
        <f ca="1">$CV$1*(IF(AND(AF16="y",L16&lt;AG16),0,R16*S16))+CB16+AZ16</f>
        <v>0</v>
      </c>
      <c r="U16" s="997" t="b">
        <f ca="1">AND(V16=TRUE,L16&lt;=W16,AF16="n",X16=FALSE)</f>
        <v>0</v>
      </c>
      <c r="V16" s="997" t="b">
        <f>advanced!$M$23="y"</f>
        <v>0</v>
      </c>
      <c r="W16" s="997">
        <f>data!$D$34</f>
        <v>15000</v>
      </c>
      <c r="X16" s="997" t="b">
        <f t="shared" si="24"/>
        <v>0</v>
      </c>
      <c r="Y16" s="997">
        <f ca="1">IF(B16="",0,IF(OR(L16&lt;$CV$3,U16=TRUE,BX16=TRUE),0,L16*$CS$3/$CK$3*H16))</f>
        <v>0</v>
      </c>
      <c r="Z16" s="997">
        <f t="shared" ref="Z16:Z27" ca="1" si="57">IF(B16="",0,IF(AND($Z$2=TRUE,L16&gt;AA16),L16*AB16*H16/AQ16,0))</f>
        <v>0</v>
      </c>
      <c r="AA16" s="1002">
        <f>data!$G$54</f>
        <v>75000</v>
      </c>
      <c r="AB16" s="1002">
        <f>data!$F$54</f>
        <v>0.02</v>
      </c>
      <c r="AC16" s="997">
        <f ca="1">IF(B16="",0,L16*($CQ$3-IF(L16&lt;$CV$3,CW$3,0))/$CK$3*H16)*$AC$2/IF(U16=TRUE,AH16,1)</f>
        <v>0</v>
      </c>
      <c r="AD16" s="997">
        <f ca="1">IF(B16="",0,(IF($AE$1=authorities!$I$1,0,IF(L16&gt;AE16,VLOOKUP($AD$1,authorities!A:H,C16+1,FALSE),0)))*L16/$CK$3*H16)</f>
        <v>0</v>
      </c>
      <c r="AE16" s="997">
        <f>IF($AE$1=authorities!$I$1,0,$AE$1)</f>
        <v>0</v>
      </c>
      <c r="AF16" s="1006" t="str">
        <f ca="1">IF(B16=B17,AF17,OFFSET(AF2,AI15,0))</f>
        <v>n</v>
      </c>
      <c r="AG16" s="1002">
        <f>data!$C$44</f>
        <v>2900</v>
      </c>
      <c r="AH16" s="1007">
        <f t="shared" ref="AH16:AH27" ca="1" si="58">IF(L16&lt;=$CT$3,5000000,IF(L16&gt;$CU$3,1,IF(MID((($CU$3-$CT$3)/(L16-$CT$3)),6,1)="5",ROUND((($CU$3-$CT$3)/(L16-$CT$3))-0.0001,3),ROUND(($CU$3-$CT$3)/(L16-$CT$3),3))))</f>
        <v>5000000</v>
      </c>
      <c r="AI16" s="997">
        <f ca="1">IF(L16&lt;&gt;"",1,0)</f>
        <v>1</v>
      </c>
      <c r="AJ16" s="997" t="b">
        <f ca="1">IF(AP16&gt;0,FALSE,HLOOKUP(E16,$CM$1:$CP$17,$AJ$1+2,FALSE))</f>
        <v>0</v>
      </c>
      <c r="AL16" s="997">
        <f ca="1">IF(OR(H16=0,F16="",K16=L16,AJ16=FALSE),0,IF(L16&lt;K16,1,0.01))</f>
        <v>0</v>
      </c>
      <c r="AO16" s="1002">
        <f t="shared" ca="1" si="29"/>
        <v>1</v>
      </c>
      <c r="AP16" s="1002">
        <f ca="1">SUM($AO$3:AO16)</f>
        <v>2</v>
      </c>
      <c r="AQ16" s="1002">
        <f>$CK$3</f>
        <v>365</v>
      </c>
      <c r="AR16" s="997">
        <f t="shared" ca="1" si="31"/>
        <v>0</v>
      </c>
      <c r="AT16" s="997">
        <f ca="1">L16</f>
        <v>0</v>
      </c>
      <c r="AU16" s="997" t="b">
        <f t="shared" ref="AU16:AU27" ca="1" si="59">AT16&lt;$AU$1</f>
        <v>1</v>
      </c>
      <c r="AV16" s="997" t="b">
        <f t="shared" si="9"/>
        <v>0</v>
      </c>
      <c r="AW16" s="997" t="b">
        <f t="shared" ref="AW16:AW27" ca="1" si="60">AF16="n"</f>
        <v>1</v>
      </c>
      <c r="AX16" s="997">
        <f ca="1">AU16*AV16*AW16*IF(S16=0,0,1)</f>
        <v>0</v>
      </c>
      <c r="AY16" s="997">
        <f ca="1">AR16/reliefs!$E$7*AX16*-1</f>
        <v>0</v>
      </c>
      <c r="AZ16" s="1002">
        <f ca="1">$AY$28/$BG$28*H16*AX16</f>
        <v>0</v>
      </c>
      <c r="BA16" s="2370"/>
      <c r="BB16" s="997"/>
      <c r="BC16" s="997"/>
      <c r="BD16" s="997"/>
      <c r="BE16" s="997"/>
      <c r="BG16" s="997">
        <f ca="1">H16*AX16</f>
        <v>0</v>
      </c>
      <c r="BH16" s="997">
        <f t="shared" si="52"/>
        <v>15000</v>
      </c>
      <c r="BI16" s="1001">
        <f t="shared" si="52"/>
        <v>0</v>
      </c>
      <c r="BJ16" s="997">
        <f t="shared" si="52"/>
        <v>5000000</v>
      </c>
      <c r="BK16" s="997">
        <f t="shared" si="52"/>
        <v>0.499</v>
      </c>
      <c r="BL16" s="997" t="b">
        <f t="shared" si="36"/>
        <v>1</v>
      </c>
      <c r="BM16" s="997" t="b">
        <f t="shared" si="36"/>
        <v>0</v>
      </c>
      <c r="BN16" s="997">
        <f>CD14</f>
        <v>600</v>
      </c>
      <c r="BO16" s="997">
        <f t="shared" ref="BO16:BO27" ca="1" si="61">I16/IF(U16=TRUE,AH16,1)</f>
        <v>0</v>
      </c>
      <c r="BP16" s="997"/>
      <c r="BQ16" s="997"/>
      <c r="BR16" s="997">
        <f>BN16+600</f>
        <v>1200</v>
      </c>
      <c r="BS16" s="997"/>
      <c r="BT16" s="997" t="b">
        <f ca="1">BO16&gt;BR16</f>
        <v>0</v>
      </c>
      <c r="BU16" s="997" t="b">
        <f>BU14</f>
        <v>1</v>
      </c>
      <c r="BV16" s="997" t="b">
        <f ca="1">AW16</f>
        <v>1</v>
      </c>
      <c r="BW16" s="997" t="b">
        <f ca="1">BV16</f>
        <v>1</v>
      </c>
      <c r="BX16" s="997" t="b">
        <f ca="1">IF(CE16=TRUE,FALSE,BL16+BM16+BT16+BU16+BV16+BW16=6)</f>
        <v>0</v>
      </c>
      <c r="BY16" s="997">
        <f t="shared" ref="BY16:BY27" ca="1" si="62">(BR16-BO16)</f>
        <v>1200</v>
      </c>
      <c r="BZ16" s="997">
        <f t="shared" ref="BZ16:BZ27" si="63">AQ16</f>
        <v>365</v>
      </c>
      <c r="CA16" s="997">
        <f>H16</f>
        <v>365</v>
      </c>
      <c r="CB16" s="997">
        <f ca="1">BY16/BZ16*CA16*BX16</f>
        <v>0</v>
      </c>
      <c r="CC16" s="997">
        <f t="shared" ref="CC16:CC27" ca="1" si="64">CB16</f>
        <v>0</v>
      </c>
      <c r="CD16" s="997">
        <f>BR16</f>
        <v>1200</v>
      </c>
      <c r="CE16" s="1002" t="b">
        <f t="shared" si="50"/>
        <v>0</v>
      </c>
      <c r="CH16" s="1036"/>
      <c r="CL16" s="1038">
        <f t="shared" si="51"/>
        <v>5</v>
      </c>
      <c r="CM16" s="1038" t="b">
        <f>nncalc2!$H$30</f>
        <v>0</v>
      </c>
      <c r="CN16" s="1038" t="b">
        <f>nccalc2!$H$30</f>
        <v>0</v>
      </c>
      <c r="CO16" s="1038" t="b">
        <f>bncalc2!$H$30</f>
        <v>0</v>
      </c>
      <c r="CP16" s="1038" t="b">
        <f>bccalc2!$H$30</f>
        <v>0</v>
      </c>
      <c r="CV16" s="1034"/>
      <c r="DB16" s="1001"/>
      <c r="DG16" s="1002"/>
    </row>
    <row r="17" spans="1:111" x14ac:dyDescent="0.35">
      <c r="A17" s="997">
        <f t="shared" ref="A17:A27" si="65">A16+1</f>
        <v>1</v>
      </c>
      <c r="B17" s="1003" t="str">
        <f>IF(input_engine_r!$U$21&gt;A16,VLOOKUP(A17,input_engine_r!$U$23:$Y$35,2,FALSE),"")</f>
        <v/>
      </c>
      <c r="C17" s="997" t="str">
        <f t="shared" ref="C17:C27" si="66">IF(OR(B17=0,B17=""),"",2)</f>
        <v/>
      </c>
      <c r="D17" s="1003">
        <f t="shared" ref="D17:D27" si="67">$CJ$3</f>
        <v>45747</v>
      </c>
      <c r="E17" s="1002" t="str">
        <f ca="1">IF(B17="",E16,VLOOKUP(B17,input_engine_r!$B$23:$F$35,5,FALSE))</f>
        <v>nn</v>
      </c>
      <c r="F17" s="1003" t="str">
        <f t="shared" ref="F17:F27" si="68">B17</f>
        <v/>
      </c>
      <c r="G17" s="1003" t="str">
        <f t="shared" ref="G17:G26" si="69">IF(B17="","",IF(C18=C17,F18-1,D17))</f>
        <v/>
      </c>
      <c r="H17" s="1002">
        <f t="shared" ref="H17:H27" si="70">IF(B17&lt;&gt;"",G17-F17+1,0)</f>
        <v>0</v>
      </c>
      <c r="I17" s="997">
        <f t="shared" ca="1" si="53"/>
        <v>0</v>
      </c>
      <c r="J17" s="997">
        <f t="shared" ca="1" si="54"/>
        <v>0</v>
      </c>
      <c r="K17" s="997">
        <f t="shared" ca="1" si="55"/>
        <v>0</v>
      </c>
      <c r="L17" s="997" t="str">
        <f>IF(input_engine_r!$U$21&gt;A16,VLOOKUP(A17,input_engine_r!$U$23:$Y$36,3,FALSE),"")</f>
        <v/>
      </c>
      <c r="M17" s="1002" t="str">
        <f t="shared" ref="M17:M27" ca="1" si="71">IF(L17&lt;K17,"down","up")</f>
        <v>up</v>
      </c>
      <c r="N17" s="1002" t="str">
        <f>IF(B17="","",IF(M17="down",J17*L17/K17*H17,0))</f>
        <v/>
      </c>
      <c r="O17" s="1002" t="str">
        <f t="shared" si="56"/>
        <v/>
      </c>
      <c r="P17" s="1032">
        <f t="shared" ref="P17:P27" si="72">$CL$3</f>
        <v>0.499</v>
      </c>
      <c r="Q17" s="997" t="str">
        <f t="shared" ref="Q17:Q27" ca="1" si="73">IF(M17="down",N17,O17)</f>
        <v/>
      </c>
      <c r="R17" s="997">
        <f t="shared" ref="R17:R27" si="74">IF(B17="",0,IF(U17=TRUE,(Q17/AH17)+AC17+(AD17/AH17),(Q17)+Y17+Z17+AC17+AD17))</f>
        <v>0</v>
      </c>
      <c r="S17" s="1006">
        <f>IF(input_engine_r!$U$21&gt;A16,VLOOKUP(A17,input_engine_r!$U$23:$Y$35,4,FALSE),0)</f>
        <v>0</v>
      </c>
      <c r="T17" s="2442">
        <f t="shared" ref="T17:T27" ca="1" si="75">$CV$1*(IF(AND(AF17="y",L17&lt;AG17),0,R17*S17))+CB17+AZ17</f>
        <v>0</v>
      </c>
      <c r="U17" s="997" t="b">
        <f t="shared" ref="U17:U27" si="76">AND(V17=TRUE,L17&lt;=W17,AF17="n",X17=FALSE)</f>
        <v>0</v>
      </c>
      <c r="V17" s="997" t="b">
        <f>advanced!$M$23="y"</f>
        <v>0</v>
      </c>
      <c r="W17" s="997">
        <f>data!$D$34</f>
        <v>15000</v>
      </c>
      <c r="X17" s="997" t="b">
        <f t="shared" si="24"/>
        <v>0</v>
      </c>
      <c r="Y17" s="997">
        <f t="shared" ref="Y17:Y27" si="77">IF(B17="",0,IF(OR(L17&lt;$CV$3,U17=TRUE,BX17=TRUE),0,L17*$CS$3/$CK$3*H17))</f>
        <v>0</v>
      </c>
      <c r="Z17" s="997">
        <f t="shared" si="57"/>
        <v>0</v>
      </c>
      <c r="AA17" s="1002">
        <f>data!$G$54</f>
        <v>75000</v>
      </c>
      <c r="AB17" s="1002">
        <f>data!$F$54</f>
        <v>0.02</v>
      </c>
      <c r="AC17" s="997">
        <f t="shared" ref="AC17:AC27" si="78">IF(B17="",0,L17*($CQ$3-IF(L17&lt;$CV$3,CW$3,0))/$CK$3*H17)*$AC$2/IF(U17=TRUE,AH17,1)</f>
        <v>0</v>
      </c>
      <c r="AD17" s="997">
        <f>IF(B17="",0,(IF($AE$1=authorities!$I$1,0,IF(L17&gt;AE17,VLOOKUP($AD$1,authorities!A:H,C17+1,FALSE),0)))*L17/$CK$3*H17)</f>
        <v>0</v>
      </c>
      <c r="AE17" s="997">
        <f>IF($AE$1=authorities!$I$1,0,$AE$1)</f>
        <v>0</v>
      </c>
      <c r="AF17" s="1002">
        <f>IF(input_engine_r!$U$21&gt;A16,VLOOKUP(A17,input_engine_r!$U$23:$Y$35,5,FALSE),0)</f>
        <v>0</v>
      </c>
      <c r="AG17" s="1002">
        <f>data!$C$44</f>
        <v>2900</v>
      </c>
      <c r="AH17" s="1007">
        <f t="shared" si="58"/>
        <v>1</v>
      </c>
      <c r="AI17" s="997">
        <f t="shared" ref="AI17:AI27" si="79">IF(L17&lt;&gt;"",1,0)</f>
        <v>0</v>
      </c>
      <c r="AJ17" s="997" t="b">
        <f t="shared" ref="AJ17:AJ27" ca="1" si="80">IF(AP17&gt;0,FALSE,HLOOKUP(E17,$CM$1:$CP$17,$AJ$1+2,FALSE))</f>
        <v>0</v>
      </c>
      <c r="AL17" s="997">
        <f t="shared" ref="AL17:AL27" ca="1" si="81">IF(OR(H17=0,F17="",K17=L17,AJ17=FALSE),0,IF(L17&lt;K17,1,0.01))</f>
        <v>0</v>
      </c>
      <c r="AO17" s="1002">
        <f t="shared" si="29"/>
        <v>0</v>
      </c>
      <c r="AP17" s="1002">
        <f ca="1">SUM($AO$3:AO17)</f>
        <v>2</v>
      </c>
      <c r="AQ17" s="1002">
        <f t="shared" ref="AQ17:AQ27" si="82">$CK$3</f>
        <v>365</v>
      </c>
      <c r="AR17" s="997">
        <f t="shared" ca="1" si="31"/>
        <v>0</v>
      </c>
      <c r="AT17" s="997">
        <f t="shared" ref="AT17:AT27" ca="1" si="83">IF(L17="",AT16,L17)</f>
        <v>0</v>
      </c>
      <c r="AU17" s="997" t="b">
        <f t="shared" ca="1" si="59"/>
        <v>1</v>
      </c>
      <c r="AV17" s="997" t="b">
        <f t="shared" si="9"/>
        <v>0</v>
      </c>
      <c r="AW17" s="997" t="b">
        <f t="shared" si="60"/>
        <v>0</v>
      </c>
      <c r="AX17" s="997">
        <f t="shared" ref="AX17:AX27" ca="1" si="84">AU17*AV17*AW17*IF(S17=0,0,1)</f>
        <v>0</v>
      </c>
      <c r="AY17" s="997">
        <f ca="1">AR17/reliefs!$E$7*AX17*-1</f>
        <v>0</v>
      </c>
      <c r="AZ17" s="1002">
        <f t="shared" ref="AZ17:AZ27" ca="1" si="85">$AY$28/$BG$28*H17*AX17</f>
        <v>0</v>
      </c>
      <c r="BA17" s="2370"/>
      <c r="BB17" s="997"/>
      <c r="BC17" s="997"/>
      <c r="BD17" s="997"/>
      <c r="BE17" s="997"/>
      <c r="BG17" s="997">
        <f t="shared" ref="BG17:BG27" ca="1" si="86">H17*AX17</f>
        <v>0</v>
      </c>
      <c r="BH17" s="997">
        <f t="shared" si="52"/>
        <v>15000</v>
      </c>
      <c r="BI17" s="1001">
        <f t="shared" si="52"/>
        <v>0</v>
      </c>
      <c r="BJ17" s="997">
        <f t="shared" si="52"/>
        <v>5000000</v>
      </c>
      <c r="BK17" s="997">
        <f t="shared" si="52"/>
        <v>0.499</v>
      </c>
      <c r="BL17" s="997" t="b">
        <f t="shared" si="36"/>
        <v>1</v>
      </c>
      <c r="BM17" s="997" t="b">
        <f t="shared" si="36"/>
        <v>0</v>
      </c>
      <c r="BN17" s="997">
        <f t="shared" si="36"/>
        <v>600</v>
      </c>
      <c r="BO17" s="997">
        <f t="shared" ca="1" si="61"/>
        <v>0</v>
      </c>
      <c r="BP17" s="997"/>
      <c r="BQ17" s="997"/>
      <c r="BR17" s="997">
        <f t="shared" ref="BR17:BR40" si="87">BN17+600</f>
        <v>1200</v>
      </c>
      <c r="BS17" s="997"/>
      <c r="BT17" s="997" t="b">
        <f t="shared" ref="BT17:BT27" ca="1" si="88">BO17&gt;BR17</f>
        <v>0</v>
      </c>
      <c r="BU17" s="997" t="b">
        <f>BU16</f>
        <v>1</v>
      </c>
      <c r="BV17" s="997" t="b">
        <f t="shared" ref="BV17:BV27" si="89">AW17</f>
        <v>0</v>
      </c>
      <c r="BW17" s="997" t="b">
        <f t="shared" ref="BW17:BW27" ca="1" si="90">AND(BW16=TRUE,BV17=TRUE)</f>
        <v>0</v>
      </c>
      <c r="BX17" s="997" t="b">
        <f t="shared" ref="BX17:BX41" ca="1" si="91">IF(CE17=TRUE,FALSE,BL17+BM17+BT17+BU17+BV17+BW17=6)</f>
        <v>0</v>
      </c>
      <c r="BY17" s="997">
        <f t="shared" ca="1" si="62"/>
        <v>1200</v>
      </c>
      <c r="BZ17" s="997">
        <f t="shared" si="63"/>
        <v>365</v>
      </c>
      <c r="CA17" s="997">
        <f t="shared" ref="CA17:CA27" si="92">H17</f>
        <v>0</v>
      </c>
      <c r="CB17" s="997">
        <f t="shared" ref="CB17:CB27" ca="1" si="93">BY17/BZ17*CA17*BX17</f>
        <v>0</v>
      </c>
      <c r="CC17" s="997">
        <f t="shared" ca="1" si="64"/>
        <v>0</v>
      </c>
      <c r="CD17" s="997">
        <f>CD16</f>
        <v>1200</v>
      </c>
      <c r="CE17" s="1002" t="b">
        <f t="shared" si="50"/>
        <v>0</v>
      </c>
      <c r="CH17" s="1036"/>
      <c r="CL17" s="1038">
        <f t="shared" si="51"/>
        <v>6</v>
      </c>
      <c r="CM17" s="1038" t="b">
        <f>nncalc2!$I$30</f>
        <v>0</v>
      </c>
      <c r="CN17" s="1038" t="b">
        <f>nccalc2!$I$30</f>
        <v>0</v>
      </c>
      <c r="CO17" s="1038" t="b">
        <f>bncalc2!$I$30</f>
        <v>0</v>
      </c>
      <c r="CP17" s="1038" t="b">
        <f>bccalc2!$I$30</f>
        <v>0</v>
      </c>
      <c r="CV17" s="1034"/>
      <c r="DB17" s="1001"/>
      <c r="DG17" s="1002"/>
    </row>
    <row r="18" spans="1:111" ht="15" thickBot="1" x14ac:dyDescent="0.4">
      <c r="A18" s="997">
        <f t="shared" si="65"/>
        <v>2</v>
      </c>
      <c r="B18" s="1003" t="str">
        <f>IF(input_engine_r!$U$21&gt;A17,VLOOKUP(A18,input_engine_r!$U$23:$Y$35,2,FALSE),"")</f>
        <v/>
      </c>
      <c r="C18" s="997" t="str">
        <f t="shared" si="66"/>
        <v/>
      </c>
      <c r="D18" s="1003">
        <f t="shared" si="67"/>
        <v>45747</v>
      </c>
      <c r="E18" s="1002" t="str">
        <f ca="1">IF(B18="",E17,VLOOKUP(B18,input_engine_r!$B$23:$F$35,5,FALSE))</f>
        <v>nn</v>
      </c>
      <c r="F18" s="1003" t="str">
        <f t="shared" si="68"/>
        <v/>
      </c>
      <c r="G18" s="1003" t="str">
        <f t="shared" si="69"/>
        <v/>
      </c>
      <c r="H18" s="1002">
        <f t="shared" si="70"/>
        <v>0</v>
      </c>
      <c r="I18" s="997">
        <f t="shared" ca="1" si="53"/>
        <v>0</v>
      </c>
      <c r="J18" s="997">
        <f t="shared" ca="1" si="54"/>
        <v>0</v>
      </c>
      <c r="K18" s="997">
        <f t="shared" ca="1" si="55"/>
        <v>0</v>
      </c>
      <c r="L18" s="997" t="str">
        <f>IF(input_engine_r!$U$21&gt;A17,VLOOKUP(A18,input_engine_r!$U$23:$Y$36,3,FALSE),"")</f>
        <v/>
      </c>
      <c r="M18" s="1002" t="str">
        <f t="shared" ca="1" si="71"/>
        <v>up</v>
      </c>
      <c r="N18" s="1002" t="str">
        <f t="shared" ref="N18:N27" si="94">IF(B18="","",IF(M18="down",J18*L18/K18*H18,0))</f>
        <v/>
      </c>
      <c r="O18" s="1002" t="str">
        <f t="shared" si="56"/>
        <v/>
      </c>
      <c r="P18" s="1032">
        <f t="shared" si="72"/>
        <v>0.499</v>
      </c>
      <c r="Q18" s="997" t="str">
        <f t="shared" ca="1" si="73"/>
        <v/>
      </c>
      <c r="R18" s="997">
        <f t="shared" si="74"/>
        <v>0</v>
      </c>
      <c r="S18" s="1006">
        <f>IF(input_engine_r!$U$21&gt;A17,VLOOKUP(A18,input_engine_r!$U$23:$Y$35,4,FALSE),0)</f>
        <v>0</v>
      </c>
      <c r="T18" s="2442">
        <f t="shared" ca="1" si="75"/>
        <v>0</v>
      </c>
      <c r="U18" s="997" t="b">
        <f t="shared" si="76"/>
        <v>0</v>
      </c>
      <c r="V18" s="997" t="b">
        <f>advanced!$M$23="y"</f>
        <v>0</v>
      </c>
      <c r="W18" s="997">
        <f>data!$D$34</f>
        <v>15000</v>
      </c>
      <c r="X18" s="997" t="b">
        <f t="shared" si="24"/>
        <v>0</v>
      </c>
      <c r="Y18" s="997">
        <f t="shared" si="77"/>
        <v>0</v>
      </c>
      <c r="Z18" s="997">
        <f t="shared" si="57"/>
        <v>0</v>
      </c>
      <c r="AA18" s="1002">
        <f>data!$G$54</f>
        <v>75000</v>
      </c>
      <c r="AB18" s="1002">
        <f>data!$F$54</f>
        <v>0.02</v>
      </c>
      <c r="AC18" s="997">
        <f t="shared" si="78"/>
        <v>0</v>
      </c>
      <c r="AD18" s="997">
        <f>IF(B18="",0,(IF($AE$1=authorities!$I$1,0,IF(L18&gt;AE18,VLOOKUP($AD$1,authorities!A:H,C18+1,FALSE),0)))*L18/$CK$3*H18)</f>
        <v>0</v>
      </c>
      <c r="AE18" s="997">
        <f>IF($AE$1=authorities!$I$1,0,$AE$1)</f>
        <v>0</v>
      </c>
      <c r="AF18" s="1002">
        <f>IF(input_engine_r!$U$21&gt;A17,VLOOKUP(A18,input_engine_r!$U$23:$Y$35,5,FALSE),0)</f>
        <v>0</v>
      </c>
      <c r="AG18" s="1002">
        <f>data!$C$44</f>
        <v>2900</v>
      </c>
      <c r="AH18" s="1007">
        <f t="shared" si="58"/>
        <v>1</v>
      </c>
      <c r="AI18" s="997">
        <f t="shared" si="79"/>
        <v>0</v>
      </c>
      <c r="AJ18" s="997" t="b">
        <f t="shared" ca="1" si="80"/>
        <v>0</v>
      </c>
      <c r="AL18" s="997">
        <f t="shared" ca="1" si="81"/>
        <v>0</v>
      </c>
      <c r="AO18" s="1002">
        <f t="shared" si="29"/>
        <v>0</v>
      </c>
      <c r="AP18" s="1002">
        <f ca="1">SUM($AO$3:AO18)</f>
        <v>2</v>
      </c>
      <c r="AQ18" s="1002">
        <f t="shared" si="82"/>
        <v>365</v>
      </c>
      <c r="AR18" s="997">
        <f t="shared" ca="1" si="31"/>
        <v>0</v>
      </c>
      <c r="AT18" s="997">
        <f t="shared" ca="1" si="83"/>
        <v>0</v>
      </c>
      <c r="AU18" s="997" t="b">
        <f t="shared" ca="1" si="59"/>
        <v>1</v>
      </c>
      <c r="AV18" s="997" t="b">
        <f t="shared" si="9"/>
        <v>0</v>
      </c>
      <c r="AW18" s="997" t="b">
        <f t="shared" si="60"/>
        <v>0</v>
      </c>
      <c r="AX18" s="997">
        <f t="shared" ca="1" si="84"/>
        <v>0</v>
      </c>
      <c r="AY18" s="997">
        <f ca="1">AR18/reliefs!$E$7*AX18*-1</f>
        <v>0</v>
      </c>
      <c r="AZ18" s="1002">
        <f t="shared" ca="1" si="85"/>
        <v>0</v>
      </c>
      <c r="BA18" s="2370"/>
      <c r="BB18" s="997"/>
      <c r="BC18" s="997"/>
      <c r="BD18" s="997"/>
      <c r="BE18" s="997"/>
      <c r="BG18" s="997">
        <f t="shared" ca="1" si="86"/>
        <v>0</v>
      </c>
      <c r="BH18" s="997">
        <f t="shared" si="52"/>
        <v>15000</v>
      </c>
      <c r="BI18" s="1001">
        <f t="shared" si="52"/>
        <v>0</v>
      </c>
      <c r="BJ18" s="997">
        <f t="shared" si="52"/>
        <v>5000000</v>
      </c>
      <c r="BK18" s="997">
        <f t="shared" si="52"/>
        <v>0.499</v>
      </c>
      <c r="BL18" s="997" t="b">
        <f t="shared" si="36"/>
        <v>1</v>
      </c>
      <c r="BM18" s="997" t="b">
        <f t="shared" si="36"/>
        <v>0</v>
      </c>
      <c r="BN18" s="997">
        <f t="shared" si="36"/>
        <v>600</v>
      </c>
      <c r="BO18" s="997">
        <f t="shared" ca="1" si="61"/>
        <v>0</v>
      </c>
      <c r="BP18" s="997"/>
      <c r="BQ18" s="997"/>
      <c r="BR18" s="997">
        <f t="shared" si="87"/>
        <v>1200</v>
      </c>
      <c r="BS18" s="997"/>
      <c r="BT18" s="997" t="b">
        <f t="shared" ca="1" si="88"/>
        <v>0</v>
      </c>
      <c r="BU18" s="997" t="b">
        <f t="shared" ref="BU18:BU27" si="95">BU17</f>
        <v>1</v>
      </c>
      <c r="BV18" s="997" t="b">
        <f t="shared" si="89"/>
        <v>0</v>
      </c>
      <c r="BW18" s="997" t="b">
        <f t="shared" ca="1" si="90"/>
        <v>0</v>
      </c>
      <c r="BX18" s="997" t="b">
        <f t="shared" ca="1" si="91"/>
        <v>0</v>
      </c>
      <c r="BY18" s="997">
        <f t="shared" ca="1" si="62"/>
        <v>1200</v>
      </c>
      <c r="BZ18" s="997">
        <f t="shared" si="63"/>
        <v>365</v>
      </c>
      <c r="CA18" s="997">
        <f t="shared" si="92"/>
        <v>0</v>
      </c>
      <c r="CB18" s="997">
        <f t="shared" ca="1" si="93"/>
        <v>0</v>
      </c>
      <c r="CC18" s="997">
        <f t="shared" ca="1" si="64"/>
        <v>0</v>
      </c>
      <c r="CD18" s="997">
        <f t="shared" ref="CD18:CD27" si="96">CD17</f>
        <v>1200</v>
      </c>
      <c r="CE18" s="1002" t="b">
        <f t="shared" si="50"/>
        <v>0</v>
      </c>
      <c r="CH18" s="1039"/>
      <c r="CI18" s="1040"/>
      <c r="CJ18" s="1040"/>
      <c r="CK18" s="1040"/>
      <c r="CL18" s="1040"/>
      <c r="CM18" s="1040"/>
      <c r="CN18" s="1040"/>
      <c r="CO18" s="1040"/>
      <c r="CP18" s="1040"/>
      <c r="CQ18" s="1040"/>
      <c r="CR18" s="1040"/>
      <c r="CS18" s="1040"/>
      <c r="CT18" s="1040"/>
      <c r="CU18" s="1040"/>
      <c r="CV18" s="1041"/>
      <c r="DB18" s="1001"/>
      <c r="DG18" s="1002"/>
    </row>
    <row r="19" spans="1:111" x14ac:dyDescent="0.35">
      <c r="A19" s="997">
        <f t="shared" si="65"/>
        <v>3</v>
      </c>
      <c r="B19" s="1003" t="str">
        <f>IF(input_engine_r!$U$21&gt;A18,VLOOKUP(A19,input_engine_r!$U$23:$Y$35,2,FALSE),"")</f>
        <v/>
      </c>
      <c r="C19" s="997" t="str">
        <f t="shared" si="66"/>
        <v/>
      </c>
      <c r="D19" s="1003">
        <f t="shared" si="67"/>
        <v>45747</v>
      </c>
      <c r="E19" s="1002" t="str">
        <f ca="1">IF(B19="",E18,VLOOKUP(B19,input_engine_r!$B$23:$F$35,5,FALSE))</f>
        <v>nn</v>
      </c>
      <c r="F19" s="1003" t="str">
        <f t="shared" si="68"/>
        <v/>
      </c>
      <c r="G19" s="1003" t="str">
        <f t="shared" si="69"/>
        <v/>
      </c>
      <c r="H19" s="1002">
        <f t="shared" si="70"/>
        <v>0</v>
      </c>
      <c r="I19" s="997">
        <f t="shared" ca="1" si="53"/>
        <v>0</v>
      </c>
      <c r="J19" s="997">
        <f t="shared" ca="1" si="54"/>
        <v>0</v>
      </c>
      <c r="K19" s="997">
        <f t="shared" ca="1" si="55"/>
        <v>0</v>
      </c>
      <c r="L19" s="997" t="str">
        <f>IF(input_engine_r!$U$21&gt;A18,VLOOKUP(A19,input_engine_r!$U$23:$Y$36,3,FALSE),"")</f>
        <v/>
      </c>
      <c r="M19" s="1002" t="str">
        <f t="shared" ca="1" si="71"/>
        <v>up</v>
      </c>
      <c r="N19" s="1002" t="str">
        <f t="shared" si="94"/>
        <v/>
      </c>
      <c r="O19" s="1002" t="str">
        <f t="shared" si="56"/>
        <v/>
      </c>
      <c r="P19" s="1032">
        <f t="shared" si="72"/>
        <v>0.499</v>
      </c>
      <c r="Q19" s="997" t="str">
        <f t="shared" ca="1" si="73"/>
        <v/>
      </c>
      <c r="R19" s="997">
        <f t="shared" si="74"/>
        <v>0</v>
      </c>
      <c r="S19" s="1006">
        <f>IF(input_engine_r!$U$21&gt;A18,VLOOKUP(A19,input_engine_r!$U$23:$Y$35,4,FALSE),0)</f>
        <v>0</v>
      </c>
      <c r="T19" s="2442">
        <f t="shared" ca="1" si="75"/>
        <v>0</v>
      </c>
      <c r="U19" s="997" t="b">
        <f t="shared" si="76"/>
        <v>0</v>
      </c>
      <c r="V19" s="997" t="b">
        <f>advanced!$M$23="y"</f>
        <v>0</v>
      </c>
      <c r="W19" s="997">
        <f>data!$D$34</f>
        <v>15000</v>
      </c>
      <c r="X19" s="997" t="b">
        <f t="shared" si="24"/>
        <v>0</v>
      </c>
      <c r="Y19" s="997">
        <f t="shared" si="77"/>
        <v>0</v>
      </c>
      <c r="Z19" s="997">
        <f t="shared" si="57"/>
        <v>0</v>
      </c>
      <c r="AA19" s="1002">
        <f>data!$G$54</f>
        <v>75000</v>
      </c>
      <c r="AB19" s="1002">
        <f>data!$F$54</f>
        <v>0.02</v>
      </c>
      <c r="AC19" s="997">
        <f t="shared" si="78"/>
        <v>0</v>
      </c>
      <c r="AD19" s="997">
        <f>IF(B19="",0,(IF($AE$1=authorities!$I$1,0,IF(L19&gt;AE19,VLOOKUP($AD$1,authorities!A:H,C19+1,FALSE),0)))*L19/$CK$3*H19)</f>
        <v>0</v>
      </c>
      <c r="AE19" s="997">
        <f>IF($AE$1=authorities!$I$1,0,$AE$1)</f>
        <v>0</v>
      </c>
      <c r="AF19" s="1002">
        <f>IF(input_engine_r!$U$21&gt;A18,VLOOKUP(A19,input_engine_r!$U$23:$Y$35,5,FALSE),0)</f>
        <v>0</v>
      </c>
      <c r="AG19" s="1002">
        <f>data!$C$44</f>
        <v>2900</v>
      </c>
      <c r="AH19" s="1007">
        <f t="shared" si="58"/>
        <v>1</v>
      </c>
      <c r="AI19" s="997">
        <f t="shared" si="79"/>
        <v>0</v>
      </c>
      <c r="AJ19" s="997" t="b">
        <f t="shared" ca="1" si="80"/>
        <v>0</v>
      </c>
      <c r="AL19" s="997">
        <f t="shared" ca="1" si="81"/>
        <v>0</v>
      </c>
      <c r="AO19" s="1002">
        <f t="shared" si="29"/>
        <v>0</v>
      </c>
      <c r="AP19" s="1002">
        <f ca="1">SUM($AO$3:AO19)</f>
        <v>2</v>
      </c>
      <c r="AQ19" s="1002">
        <f t="shared" si="82"/>
        <v>365</v>
      </c>
      <c r="AR19" s="997">
        <f t="shared" ca="1" si="31"/>
        <v>0</v>
      </c>
      <c r="AT19" s="997">
        <f t="shared" ca="1" si="83"/>
        <v>0</v>
      </c>
      <c r="AU19" s="997" t="b">
        <f t="shared" ca="1" si="59"/>
        <v>1</v>
      </c>
      <c r="AV19" s="997" t="b">
        <f t="shared" si="9"/>
        <v>0</v>
      </c>
      <c r="AW19" s="997" t="b">
        <f t="shared" si="60"/>
        <v>0</v>
      </c>
      <c r="AX19" s="997">
        <f t="shared" ca="1" si="84"/>
        <v>0</v>
      </c>
      <c r="AY19" s="997">
        <f ca="1">AR19/reliefs!$E$7*AX19*-1</f>
        <v>0</v>
      </c>
      <c r="AZ19" s="1002">
        <f t="shared" ca="1" si="85"/>
        <v>0</v>
      </c>
      <c r="BA19" s="2370"/>
      <c r="BB19" s="997"/>
      <c r="BC19" s="997"/>
      <c r="BD19" s="997"/>
      <c r="BE19" s="997"/>
      <c r="BG19" s="997">
        <f t="shared" ca="1" si="86"/>
        <v>0</v>
      </c>
      <c r="BH19" s="997">
        <f t="shared" si="52"/>
        <v>15000</v>
      </c>
      <c r="BI19" s="1001">
        <f t="shared" si="52"/>
        <v>0</v>
      </c>
      <c r="BJ19" s="997">
        <f t="shared" si="52"/>
        <v>5000000</v>
      </c>
      <c r="BK19" s="997">
        <f t="shared" si="52"/>
        <v>0.499</v>
      </c>
      <c r="BL19" s="997" t="b">
        <f t="shared" si="36"/>
        <v>1</v>
      </c>
      <c r="BM19" s="997" t="b">
        <f t="shared" si="36"/>
        <v>0</v>
      </c>
      <c r="BN19" s="997">
        <f t="shared" si="36"/>
        <v>600</v>
      </c>
      <c r="BO19" s="997">
        <f t="shared" ca="1" si="61"/>
        <v>0</v>
      </c>
      <c r="BP19" s="997"/>
      <c r="BQ19" s="997"/>
      <c r="BR19" s="997">
        <f t="shared" si="87"/>
        <v>1200</v>
      </c>
      <c r="BS19" s="997"/>
      <c r="BT19" s="997" t="b">
        <f t="shared" ca="1" si="88"/>
        <v>0</v>
      </c>
      <c r="BU19" s="997" t="b">
        <f t="shared" si="95"/>
        <v>1</v>
      </c>
      <c r="BV19" s="997" t="b">
        <f t="shared" si="89"/>
        <v>0</v>
      </c>
      <c r="BW19" s="997" t="b">
        <f t="shared" ca="1" si="90"/>
        <v>0</v>
      </c>
      <c r="BX19" s="997" t="b">
        <f t="shared" ca="1" si="91"/>
        <v>0</v>
      </c>
      <c r="BY19" s="997">
        <f t="shared" ca="1" si="62"/>
        <v>1200</v>
      </c>
      <c r="BZ19" s="997">
        <f t="shared" si="63"/>
        <v>365</v>
      </c>
      <c r="CA19" s="997">
        <f t="shared" si="92"/>
        <v>0</v>
      </c>
      <c r="CB19" s="997">
        <f t="shared" ca="1" si="93"/>
        <v>0</v>
      </c>
      <c r="CC19" s="997">
        <f t="shared" ca="1" si="64"/>
        <v>0</v>
      </c>
      <c r="CD19" s="997">
        <f t="shared" si="96"/>
        <v>1200</v>
      </c>
      <c r="CE19" s="1002" t="b">
        <f t="shared" si="50"/>
        <v>0</v>
      </c>
      <c r="DB19" s="1001"/>
      <c r="DG19" s="1002"/>
    </row>
    <row r="20" spans="1:111" customFormat="1" x14ac:dyDescent="0.35">
      <c r="A20" s="997">
        <f t="shared" si="65"/>
        <v>4</v>
      </c>
      <c r="B20" s="1003" t="str">
        <f>IF(input_engine_r!$U$21&gt;A19,VLOOKUP(A20,input_engine_r!$U$23:$Y$35,2,FALSE),"")</f>
        <v/>
      </c>
      <c r="C20" s="997" t="str">
        <f t="shared" si="66"/>
        <v/>
      </c>
      <c r="D20" s="1003">
        <f t="shared" si="67"/>
        <v>45747</v>
      </c>
      <c r="E20" s="1002" t="str">
        <f ca="1">IF(B20="",E19,VLOOKUP(B20,input_engine_r!$B$23:$F$35,5,FALSE))</f>
        <v>nn</v>
      </c>
      <c r="F20" s="1003" t="str">
        <f t="shared" si="68"/>
        <v/>
      </c>
      <c r="G20" s="1003" t="str">
        <f t="shared" si="69"/>
        <v/>
      </c>
      <c r="H20" s="1002">
        <f t="shared" si="70"/>
        <v>0</v>
      </c>
      <c r="I20" s="997">
        <f t="shared" ca="1" si="53"/>
        <v>0</v>
      </c>
      <c r="J20" s="997">
        <f t="shared" ca="1" si="54"/>
        <v>0</v>
      </c>
      <c r="K20" s="997">
        <f t="shared" ca="1" si="55"/>
        <v>0</v>
      </c>
      <c r="L20" s="997" t="str">
        <f>IF(input_engine_r!$U$21&gt;A19,VLOOKUP(A20,input_engine_r!$U$23:$Y$36,3,FALSE),"")</f>
        <v/>
      </c>
      <c r="M20" s="1002" t="str">
        <f t="shared" ca="1" si="71"/>
        <v>up</v>
      </c>
      <c r="N20" s="1002" t="str">
        <f t="shared" si="94"/>
        <v/>
      </c>
      <c r="O20" s="1002" t="str">
        <f t="shared" si="56"/>
        <v/>
      </c>
      <c r="P20" s="1032">
        <f t="shared" si="72"/>
        <v>0.499</v>
      </c>
      <c r="Q20" s="997" t="str">
        <f t="shared" ca="1" si="73"/>
        <v/>
      </c>
      <c r="R20" s="997">
        <f t="shared" si="74"/>
        <v>0</v>
      </c>
      <c r="S20" s="1006">
        <f>IF(input_engine_r!$U$21&gt;A19,VLOOKUP(A20,input_engine_r!$U$23:$Y$35,4,FALSE),0)</f>
        <v>0</v>
      </c>
      <c r="T20" s="2442">
        <f t="shared" ca="1" si="75"/>
        <v>0</v>
      </c>
      <c r="U20" s="997" t="b">
        <f t="shared" si="76"/>
        <v>0</v>
      </c>
      <c r="V20" s="997" t="b">
        <f>advanced!$M$23="y"</f>
        <v>0</v>
      </c>
      <c r="W20" s="997">
        <f>data!$D$34</f>
        <v>15000</v>
      </c>
      <c r="X20" s="997" t="b">
        <f t="shared" si="24"/>
        <v>0</v>
      </c>
      <c r="Y20" s="997">
        <f t="shared" si="77"/>
        <v>0</v>
      </c>
      <c r="Z20" s="997">
        <f t="shared" si="57"/>
        <v>0</v>
      </c>
      <c r="AA20" s="1002">
        <f>data!$G$54</f>
        <v>75000</v>
      </c>
      <c r="AB20" s="1002">
        <f>data!$F$54</f>
        <v>0.02</v>
      </c>
      <c r="AC20" s="997">
        <f t="shared" si="78"/>
        <v>0</v>
      </c>
      <c r="AD20" s="997">
        <f>IF(B20="",0,(IF($AE$1=authorities!$I$1,0,IF(L20&gt;AE20,VLOOKUP($AD$1,authorities!A:H,C20+1,FALSE),0)))*L20/$CK$3*H20)</f>
        <v>0</v>
      </c>
      <c r="AE20" s="997">
        <f>IF($AE$1=authorities!$I$1,0,$AE$1)</f>
        <v>0</v>
      </c>
      <c r="AF20" s="1002">
        <f>IF(input_engine_r!$U$21&gt;A19,VLOOKUP(A20,input_engine_r!$U$23:$Y$35,5,FALSE),0)</f>
        <v>0</v>
      </c>
      <c r="AG20" s="1002">
        <f>data!$C$44</f>
        <v>2900</v>
      </c>
      <c r="AH20" s="1007">
        <f t="shared" si="58"/>
        <v>1</v>
      </c>
      <c r="AI20" s="997">
        <f t="shared" si="79"/>
        <v>0</v>
      </c>
      <c r="AJ20" s="997" t="b">
        <f t="shared" ca="1" si="80"/>
        <v>0</v>
      </c>
      <c r="AK20" s="997"/>
      <c r="AL20" s="997">
        <f t="shared" ca="1" si="81"/>
        <v>0</v>
      </c>
      <c r="AM20" s="997"/>
      <c r="AN20" s="997"/>
      <c r="AO20" s="1002">
        <f t="shared" si="29"/>
        <v>0</v>
      </c>
      <c r="AP20" s="1002">
        <f ca="1">SUM($AO$3:AO20)</f>
        <v>2</v>
      </c>
      <c r="AQ20" s="1002">
        <f t="shared" si="82"/>
        <v>365</v>
      </c>
      <c r="AR20" s="997">
        <f t="shared" ca="1" si="31"/>
        <v>0</v>
      </c>
      <c r="AS20" s="5"/>
      <c r="AT20" s="997">
        <f t="shared" ca="1" si="83"/>
        <v>0</v>
      </c>
      <c r="AU20" s="997" t="b">
        <f t="shared" ca="1" si="59"/>
        <v>1</v>
      </c>
      <c r="AV20" s="997" t="b">
        <f t="shared" si="9"/>
        <v>0</v>
      </c>
      <c r="AW20" s="997" t="b">
        <f t="shared" si="60"/>
        <v>0</v>
      </c>
      <c r="AX20" s="997">
        <f t="shared" ca="1" si="84"/>
        <v>0</v>
      </c>
      <c r="AY20" s="997">
        <f ca="1">AR20/reliefs!$E$7*AX20*-1</f>
        <v>0</v>
      </c>
      <c r="AZ20" s="1002">
        <f t="shared" ca="1" si="85"/>
        <v>0</v>
      </c>
      <c r="BA20" s="2370"/>
      <c r="BB20" s="997"/>
      <c r="BC20" s="997"/>
      <c r="BD20" s="997"/>
      <c r="BE20" s="997"/>
      <c r="BF20" s="1002"/>
      <c r="BG20" s="997">
        <f t="shared" ca="1" si="86"/>
        <v>0</v>
      </c>
      <c r="BH20" s="997">
        <f t="shared" si="52"/>
        <v>15000</v>
      </c>
      <c r="BI20" s="1001">
        <f t="shared" si="52"/>
        <v>0</v>
      </c>
      <c r="BJ20" s="997">
        <f t="shared" si="52"/>
        <v>5000000</v>
      </c>
      <c r="BK20" s="997">
        <f t="shared" si="52"/>
        <v>0.499</v>
      </c>
      <c r="BL20" s="997" t="b">
        <f t="shared" si="52"/>
        <v>1</v>
      </c>
      <c r="BM20" s="997" t="b">
        <f t="shared" si="52"/>
        <v>0</v>
      </c>
      <c r="BN20" s="997">
        <f t="shared" si="52"/>
        <v>600</v>
      </c>
      <c r="BO20" s="997">
        <f t="shared" ca="1" si="61"/>
        <v>0</v>
      </c>
      <c r="BP20" s="997"/>
      <c r="BQ20" s="997"/>
      <c r="BR20" s="997">
        <f t="shared" si="87"/>
        <v>1200</v>
      </c>
      <c r="BS20" s="997"/>
      <c r="BT20" s="997" t="b">
        <f t="shared" ca="1" si="88"/>
        <v>0</v>
      </c>
      <c r="BU20" s="997" t="b">
        <f t="shared" si="95"/>
        <v>1</v>
      </c>
      <c r="BV20" s="997" t="b">
        <f t="shared" si="89"/>
        <v>0</v>
      </c>
      <c r="BW20" s="997" t="b">
        <f t="shared" ca="1" si="90"/>
        <v>0</v>
      </c>
      <c r="BX20" s="997" t="b">
        <f t="shared" ca="1" si="91"/>
        <v>0</v>
      </c>
      <c r="BY20" s="997">
        <f t="shared" ca="1" si="62"/>
        <v>1200</v>
      </c>
      <c r="BZ20" s="997">
        <f t="shared" si="63"/>
        <v>365</v>
      </c>
      <c r="CA20" s="997">
        <f t="shared" si="92"/>
        <v>0</v>
      </c>
      <c r="CB20" s="997">
        <f t="shared" ca="1" si="93"/>
        <v>0</v>
      </c>
      <c r="CC20" s="997">
        <f t="shared" ca="1" si="64"/>
        <v>0</v>
      </c>
      <c r="CD20" s="997">
        <f t="shared" si="96"/>
        <v>1200</v>
      </c>
      <c r="CE20" s="1002" t="b">
        <f t="shared" si="50"/>
        <v>0</v>
      </c>
      <c r="CF20" s="5"/>
      <c r="CG20" s="5"/>
    </row>
    <row r="21" spans="1:111" customFormat="1" x14ac:dyDescent="0.35">
      <c r="A21" s="997">
        <f t="shared" si="65"/>
        <v>5</v>
      </c>
      <c r="B21" s="1003" t="str">
        <f>IF(input_engine_r!$U$21&gt;A20,VLOOKUP(A21,input_engine_r!$U$23:$Y$35,2,FALSE),"")</f>
        <v/>
      </c>
      <c r="C21" s="997" t="str">
        <f t="shared" si="66"/>
        <v/>
      </c>
      <c r="D21" s="1003">
        <f t="shared" si="67"/>
        <v>45747</v>
      </c>
      <c r="E21" s="1002" t="str">
        <f ca="1">IF(B21="",E20,VLOOKUP(B21,input_engine_r!$B$23:$F$35,5,FALSE))</f>
        <v>nn</v>
      </c>
      <c r="F21" s="1003" t="str">
        <f t="shared" si="68"/>
        <v/>
      </c>
      <c r="G21" s="1003" t="str">
        <f t="shared" si="69"/>
        <v/>
      </c>
      <c r="H21" s="1002">
        <f t="shared" si="70"/>
        <v>0</v>
      </c>
      <c r="I21" s="997">
        <f t="shared" ca="1" si="53"/>
        <v>0</v>
      </c>
      <c r="J21" s="997">
        <f t="shared" ca="1" si="54"/>
        <v>0</v>
      </c>
      <c r="K21" s="997">
        <f t="shared" ca="1" si="55"/>
        <v>0</v>
      </c>
      <c r="L21" s="997" t="str">
        <f>IF(input_engine_r!$U$21&gt;A20,VLOOKUP(A21,input_engine_r!$U$23:$Y$36,3,FALSE),"")</f>
        <v/>
      </c>
      <c r="M21" s="1002" t="str">
        <f t="shared" ca="1" si="71"/>
        <v>up</v>
      </c>
      <c r="N21" s="1002" t="str">
        <f t="shared" si="94"/>
        <v/>
      </c>
      <c r="O21" s="1002" t="str">
        <f t="shared" si="56"/>
        <v/>
      </c>
      <c r="P21" s="1032">
        <f t="shared" si="72"/>
        <v>0.499</v>
      </c>
      <c r="Q21" s="997" t="str">
        <f t="shared" ca="1" si="73"/>
        <v/>
      </c>
      <c r="R21" s="997">
        <f t="shared" si="74"/>
        <v>0</v>
      </c>
      <c r="S21" s="1006">
        <f>IF(input_engine_r!$U$21&gt;A20,VLOOKUP(A21,input_engine_r!$U$23:$Y$35,4,FALSE),0)</f>
        <v>0</v>
      </c>
      <c r="T21" s="2442">
        <f t="shared" ca="1" si="75"/>
        <v>0</v>
      </c>
      <c r="U21" s="997" t="b">
        <f t="shared" si="76"/>
        <v>0</v>
      </c>
      <c r="V21" s="997" t="b">
        <f>advanced!$M$23="y"</f>
        <v>0</v>
      </c>
      <c r="W21" s="997">
        <f>data!$D$34</f>
        <v>15000</v>
      </c>
      <c r="X21" s="997" t="b">
        <f t="shared" si="24"/>
        <v>0</v>
      </c>
      <c r="Y21" s="997">
        <f t="shared" si="77"/>
        <v>0</v>
      </c>
      <c r="Z21" s="997">
        <f t="shared" si="57"/>
        <v>0</v>
      </c>
      <c r="AA21" s="1002">
        <f>data!$G$54</f>
        <v>75000</v>
      </c>
      <c r="AB21" s="1002">
        <f>data!$F$54</f>
        <v>0.02</v>
      </c>
      <c r="AC21" s="997">
        <f t="shared" si="78"/>
        <v>0</v>
      </c>
      <c r="AD21" s="997">
        <f>IF(B21="",0,(IF($AE$1=authorities!$I$1,0,IF(L21&gt;AE21,VLOOKUP($AD$1,authorities!A:H,C21+1,FALSE),0)))*L21/$CK$3*H21)</f>
        <v>0</v>
      </c>
      <c r="AE21" s="997">
        <f>IF($AE$1=authorities!$I$1,0,$AE$1)</f>
        <v>0</v>
      </c>
      <c r="AF21" s="1002">
        <f>IF(input_engine_r!$U$21&gt;A20,VLOOKUP(A21,input_engine_r!$U$23:$Y$35,5,FALSE),0)</f>
        <v>0</v>
      </c>
      <c r="AG21" s="1002">
        <f>data!$C$44</f>
        <v>2900</v>
      </c>
      <c r="AH21" s="1007">
        <f t="shared" si="58"/>
        <v>1</v>
      </c>
      <c r="AI21" s="997">
        <f t="shared" si="79"/>
        <v>0</v>
      </c>
      <c r="AJ21" s="997" t="b">
        <f t="shared" ca="1" si="80"/>
        <v>0</v>
      </c>
      <c r="AK21" s="997"/>
      <c r="AL21" s="997">
        <f t="shared" ca="1" si="81"/>
        <v>0</v>
      </c>
      <c r="AM21" s="997"/>
      <c r="AN21" s="997"/>
      <c r="AO21" s="1002">
        <f t="shared" si="29"/>
        <v>0</v>
      </c>
      <c r="AP21" s="1002">
        <f ca="1">SUM($AO$3:AO21)</f>
        <v>2</v>
      </c>
      <c r="AQ21" s="1002">
        <f t="shared" si="82"/>
        <v>365</v>
      </c>
      <c r="AR21" s="997">
        <f t="shared" ca="1" si="31"/>
        <v>0</v>
      </c>
      <c r="AS21" s="5"/>
      <c r="AT21" s="997">
        <f t="shared" ca="1" si="83"/>
        <v>0</v>
      </c>
      <c r="AU21" s="997" t="b">
        <f t="shared" ca="1" si="59"/>
        <v>1</v>
      </c>
      <c r="AV21" s="997" t="b">
        <f t="shared" si="9"/>
        <v>0</v>
      </c>
      <c r="AW21" s="997" t="b">
        <f t="shared" si="60"/>
        <v>0</v>
      </c>
      <c r="AX21" s="997">
        <f t="shared" ca="1" si="84"/>
        <v>0</v>
      </c>
      <c r="AY21" s="997">
        <f ca="1">AR21/reliefs!$E$7*AX21*-1</f>
        <v>0</v>
      </c>
      <c r="AZ21" s="1002">
        <f t="shared" ca="1" si="85"/>
        <v>0</v>
      </c>
      <c r="BA21" s="2370"/>
      <c r="BB21" s="997"/>
      <c r="BC21" s="997"/>
      <c r="BD21" s="997"/>
      <c r="BE21" s="997"/>
      <c r="BF21" s="1002"/>
      <c r="BG21" s="997">
        <f t="shared" ca="1" si="86"/>
        <v>0</v>
      </c>
      <c r="BH21" s="997">
        <f t="shared" si="52"/>
        <v>15000</v>
      </c>
      <c r="BI21" s="1001">
        <f t="shared" si="52"/>
        <v>0</v>
      </c>
      <c r="BJ21" s="997">
        <f t="shared" si="52"/>
        <v>5000000</v>
      </c>
      <c r="BK21" s="997">
        <f t="shared" si="52"/>
        <v>0.499</v>
      </c>
      <c r="BL21" s="997" t="b">
        <f t="shared" si="52"/>
        <v>1</v>
      </c>
      <c r="BM21" s="997" t="b">
        <f t="shared" si="52"/>
        <v>0</v>
      </c>
      <c r="BN21" s="997">
        <f t="shared" si="52"/>
        <v>600</v>
      </c>
      <c r="BO21" s="997">
        <f t="shared" ca="1" si="61"/>
        <v>0</v>
      </c>
      <c r="BP21" s="997"/>
      <c r="BQ21" s="997"/>
      <c r="BR21" s="997">
        <f t="shared" si="87"/>
        <v>1200</v>
      </c>
      <c r="BS21" s="997"/>
      <c r="BT21" s="997" t="b">
        <f t="shared" ca="1" si="88"/>
        <v>0</v>
      </c>
      <c r="BU21" s="997" t="b">
        <f t="shared" si="95"/>
        <v>1</v>
      </c>
      <c r="BV21" s="997" t="b">
        <f t="shared" si="89"/>
        <v>0</v>
      </c>
      <c r="BW21" s="997" t="b">
        <f t="shared" ca="1" si="90"/>
        <v>0</v>
      </c>
      <c r="BX21" s="997" t="b">
        <f t="shared" ca="1" si="91"/>
        <v>0</v>
      </c>
      <c r="BY21" s="997">
        <f t="shared" ca="1" si="62"/>
        <v>1200</v>
      </c>
      <c r="BZ21" s="997">
        <f t="shared" si="63"/>
        <v>365</v>
      </c>
      <c r="CA21" s="997">
        <f t="shared" si="92"/>
        <v>0</v>
      </c>
      <c r="CB21" s="997">
        <f t="shared" ca="1" si="93"/>
        <v>0</v>
      </c>
      <c r="CC21" s="997">
        <f t="shared" ca="1" si="64"/>
        <v>0</v>
      </c>
      <c r="CD21" s="997">
        <f t="shared" si="96"/>
        <v>1200</v>
      </c>
      <c r="CE21" s="1002" t="b">
        <f t="shared" si="50"/>
        <v>0</v>
      </c>
      <c r="CF21" s="5"/>
      <c r="CG21" s="5"/>
    </row>
    <row r="22" spans="1:111" customFormat="1" x14ac:dyDescent="0.35">
      <c r="A22" s="997">
        <f t="shared" si="65"/>
        <v>6</v>
      </c>
      <c r="B22" s="1003" t="str">
        <f>IF(input_engine_r!$U$21&gt;A21,VLOOKUP(A22,input_engine_r!$U$23:$Y$35,2,FALSE),"")</f>
        <v/>
      </c>
      <c r="C22" s="997" t="str">
        <f t="shared" si="66"/>
        <v/>
      </c>
      <c r="D22" s="1003">
        <f t="shared" si="67"/>
        <v>45747</v>
      </c>
      <c r="E22" s="1002" t="str">
        <f ca="1">IF(B22="",E21,VLOOKUP(B22,input_engine_r!$B$23:$F$35,5,FALSE))</f>
        <v>nn</v>
      </c>
      <c r="F22" s="1003" t="str">
        <f t="shared" si="68"/>
        <v/>
      </c>
      <c r="G22" s="1003" t="str">
        <f t="shared" si="69"/>
        <v/>
      </c>
      <c r="H22" s="1002">
        <f t="shared" si="70"/>
        <v>0</v>
      </c>
      <c r="I22" s="997">
        <f t="shared" ca="1" si="53"/>
        <v>0</v>
      </c>
      <c r="J22" s="997">
        <f t="shared" ca="1" si="54"/>
        <v>0</v>
      </c>
      <c r="K22" s="997">
        <f t="shared" ca="1" si="55"/>
        <v>0</v>
      </c>
      <c r="L22" s="997" t="str">
        <f>IF(input_engine_r!$U$21&gt;A21,VLOOKUP(A22,input_engine_r!$U$23:$Y$36,3,FALSE),"")</f>
        <v/>
      </c>
      <c r="M22" s="1002" t="str">
        <f t="shared" ca="1" si="71"/>
        <v>up</v>
      </c>
      <c r="N22" s="1002" t="str">
        <f t="shared" si="94"/>
        <v/>
      </c>
      <c r="O22" s="1002" t="str">
        <f t="shared" si="56"/>
        <v/>
      </c>
      <c r="P22" s="1032">
        <f t="shared" si="72"/>
        <v>0.499</v>
      </c>
      <c r="Q22" s="997" t="str">
        <f t="shared" ca="1" si="73"/>
        <v/>
      </c>
      <c r="R22" s="997">
        <f t="shared" si="74"/>
        <v>0</v>
      </c>
      <c r="S22" s="1006">
        <f>IF(input_engine_r!$U$21&gt;A21,VLOOKUP(A22,input_engine_r!$U$23:$Y$35,4,FALSE),0)</f>
        <v>0</v>
      </c>
      <c r="T22" s="2442">
        <f t="shared" ca="1" si="75"/>
        <v>0</v>
      </c>
      <c r="U22" s="997" t="b">
        <f t="shared" si="76"/>
        <v>0</v>
      </c>
      <c r="V22" s="997" t="b">
        <f>advanced!$M$23="y"</f>
        <v>0</v>
      </c>
      <c r="W22" s="997">
        <f>data!$D$34</f>
        <v>15000</v>
      </c>
      <c r="X22" s="997" t="b">
        <f t="shared" si="24"/>
        <v>0</v>
      </c>
      <c r="Y22" s="997">
        <f t="shared" si="77"/>
        <v>0</v>
      </c>
      <c r="Z22" s="997">
        <f t="shared" si="57"/>
        <v>0</v>
      </c>
      <c r="AA22" s="1002">
        <f>data!$G$54</f>
        <v>75000</v>
      </c>
      <c r="AB22" s="1002">
        <f>data!$F$54</f>
        <v>0.02</v>
      </c>
      <c r="AC22" s="997">
        <f t="shared" si="78"/>
        <v>0</v>
      </c>
      <c r="AD22" s="997">
        <f>IF(B22="",0,(IF($AE$1=authorities!$I$1,0,IF(L22&gt;AE22,VLOOKUP($AD$1,authorities!A:H,C22+1,FALSE),0)))*L22/$CK$3*H22)</f>
        <v>0</v>
      </c>
      <c r="AE22" s="997">
        <f>IF($AE$1=authorities!$I$1,0,$AE$1)</f>
        <v>0</v>
      </c>
      <c r="AF22" s="1002">
        <f>IF(input_engine_r!$U$21&gt;A21,VLOOKUP(A22,input_engine_r!$U$23:$Y$35,5,FALSE),0)</f>
        <v>0</v>
      </c>
      <c r="AG22" s="1002">
        <f>data!$C$44</f>
        <v>2900</v>
      </c>
      <c r="AH22" s="1007">
        <f t="shared" si="58"/>
        <v>1</v>
      </c>
      <c r="AI22" s="997">
        <f t="shared" si="79"/>
        <v>0</v>
      </c>
      <c r="AJ22" s="997" t="b">
        <f t="shared" ca="1" si="80"/>
        <v>0</v>
      </c>
      <c r="AK22" s="997"/>
      <c r="AL22" s="997">
        <f t="shared" ca="1" si="81"/>
        <v>0</v>
      </c>
      <c r="AM22" s="997"/>
      <c r="AN22" s="997"/>
      <c r="AO22" s="1002">
        <f t="shared" si="29"/>
        <v>0</v>
      </c>
      <c r="AP22" s="1002">
        <f ca="1">SUM($AO$3:AO22)</f>
        <v>2</v>
      </c>
      <c r="AQ22" s="1002">
        <f t="shared" si="82"/>
        <v>365</v>
      </c>
      <c r="AR22" s="997">
        <f t="shared" ca="1" si="31"/>
        <v>0</v>
      </c>
      <c r="AS22" s="5"/>
      <c r="AT22" s="997">
        <f t="shared" ca="1" si="83"/>
        <v>0</v>
      </c>
      <c r="AU22" s="997" t="b">
        <f t="shared" ca="1" si="59"/>
        <v>1</v>
      </c>
      <c r="AV22" s="997" t="b">
        <f t="shared" si="9"/>
        <v>0</v>
      </c>
      <c r="AW22" s="997" t="b">
        <f t="shared" si="60"/>
        <v>0</v>
      </c>
      <c r="AX22" s="997">
        <f t="shared" ca="1" si="84"/>
        <v>0</v>
      </c>
      <c r="AY22" s="997">
        <f ca="1">AR22/reliefs!$E$7*AX22*-1</f>
        <v>0</v>
      </c>
      <c r="AZ22" s="1002">
        <f t="shared" ca="1" si="85"/>
        <v>0</v>
      </c>
      <c r="BA22" s="2370"/>
      <c r="BB22" s="997"/>
      <c r="BC22" s="997"/>
      <c r="BD22" s="997"/>
      <c r="BE22" s="997"/>
      <c r="BF22" s="1002"/>
      <c r="BG22" s="997">
        <f t="shared" ca="1" si="86"/>
        <v>0</v>
      </c>
      <c r="BH22" s="997">
        <f t="shared" si="52"/>
        <v>15000</v>
      </c>
      <c r="BI22" s="1001">
        <f t="shared" si="52"/>
        <v>0</v>
      </c>
      <c r="BJ22" s="997">
        <f t="shared" si="52"/>
        <v>5000000</v>
      </c>
      <c r="BK22" s="997">
        <f t="shared" si="52"/>
        <v>0.499</v>
      </c>
      <c r="BL22" s="997" t="b">
        <f t="shared" si="52"/>
        <v>1</v>
      </c>
      <c r="BM22" s="997" t="b">
        <f t="shared" si="52"/>
        <v>0</v>
      </c>
      <c r="BN22" s="997">
        <f t="shared" si="52"/>
        <v>600</v>
      </c>
      <c r="BO22" s="997">
        <f t="shared" ca="1" si="61"/>
        <v>0</v>
      </c>
      <c r="BP22" s="997"/>
      <c r="BQ22" s="997"/>
      <c r="BR22" s="997">
        <f t="shared" si="87"/>
        <v>1200</v>
      </c>
      <c r="BS22" s="997"/>
      <c r="BT22" s="997" t="b">
        <f t="shared" ca="1" si="88"/>
        <v>0</v>
      </c>
      <c r="BU22" s="997" t="b">
        <f t="shared" si="95"/>
        <v>1</v>
      </c>
      <c r="BV22" s="997" t="b">
        <f t="shared" si="89"/>
        <v>0</v>
      </c>
      <c r="BW22" s="997" t="b">
        <f t="shared" ca="1" si="90"/>
        <v>0</v>
      </c>
      <c r="BX22" s="997" t="b">
        <f t="shared" ca="1" si="91"/>
        <v>0</v>
      </c>
      <c r="BY22" s="997">
        <f t="shared" ca="1" si="62"/>
        <v>1200</v>
      </c>
      <c r="BZ22" s="997">
        <f t="shared" si="63"/>
        <v>365</v>
      </c>
      <c r="CA22" s="997">
        <f t="shared" si="92"/>
        <v>0</v>
      </c>
      <c r="CB22" s="997">
        <f t="shared" ca="1" si="93"/>
        <v>0</v>
      </c>
      <c r="CC22" s="997">
        <f t="shared" ca="1" si="64"/>
        <v>0</v>
      </c>
      <c r="CD22" s="997">
        <f t="shared" si="96"/>
        <v>1200</v>
      </c>
      <c r="CE22" s="1002" t="b">
        <f t="shared" si="50"/>
        <v>0</v>
      </c>
      <c r="CF22" s="5"/>
      <c r="CG22" s="5"/>
    </row>
    <row r="23" spans="1:111" customFormat="1" x14ac:dyDescent="0.35">
      <c r="A23" s="997">
        <f t="shared" si="65"/>
        <v>7</v>
      </c>
      <c r="B23" s="1003" t="str">
        <f>IF(input_engine_r!$U$21&gt;A22,VLOOKUP(A23,input_engine_r!$U$23:$Y$35,2,FALSE),"")</f>
        <v/>
      </c>
      <c r="C23" s="997" t="str">
        <f t="shared" si="66"/>
        <v/>
      </c>
      <c r="D23" s="1003">
        <f t="shared" si="67"/>
        <v>45747</v>
      </c>
      <c r="E23" s="1002" t="str">
        <f ca="1">IF(B23="",E22,VLOOKUP(B23,input_engine_r!$B$23:$F$35,5,FALSE))</f>
        <v>nn</v>
      </c>
      <c r="F23" s="1003" t="str">
        <f t="shared" si="68"/>
        <v/>
      </c>
      <c r="G23" s="1003" t="str">
        <f t="shared" si="69"/>
        <v/>
      </c>
      <c r="H23" s="1002">
        <f t="shared" si="70"/>
        <v>0</v>
      </c>
      <c r="I23" s="997">
        <f t="shared" ca="1" si="53"/>
        <v>0</v>
      </c>
      <c r="J23" s="997">
        <f t="shared" ca="1" si="54"/>
        <v>0</v>
      </c>
      <c r="K23" s="997">
        <f t="shared" ca="1" si="55"/>
        <v>0</v>
      </c>
      <c r="L23" s="997" t="str">
        <f>IF(input_engine_r!$U$21&gt;A22,VLOOKUP(A23,input_engine_r!$U$23:$Y$36,3,FALSE),"")</f>
        <v/>
      </c>
      <c r="M23" s="1002" t="str">
        <f t="shared" ca="1" si="71"/>
        <v>up</v>
      </c>
      <c r="N23" s="1002" t="str">
        <f t="shared" si="94"/>
        <v/>
      </c>
      <c r="O23" s="1002" t="str">
        <f t="shared" si="56"/>
        <v/>
      </c>
      <c r="P23" s="1032">
        <f t="shared" si="72"/>
        <v>0.499</v>
      </c>
      <c r="Q23" s="997" t="str">
        <f t="shared" ca="1" si="73"/>
        <v/>
      </c>
      <c r="R23" s="997">
        <f t="shared" si="74"/>
        <v>0</v>
      </c>
      <c r="S23" s="1006">
        <f>IF(input_engine_r!$U$21&gt;A22,VLOOKUP(A23,input_engine_r!$U$23:$Y$35,4,FALSE),0)</f>
        <v>0</v>
      </c>
      <c r="T23" s="2442">
        <f t="shared" ca="1" si="75"/>
        <v>0</v>
      </c>
      <c r="U23" s="997" t="b">
        <f t="shared" si="76"/>
        <v>0</v>
      </c>
      <c r="V23" s="997" t="b">
        <f>advanced!$M$23="y"</f>
        <v>0</v>
      </c>
      <c r="W23" s="997">
        <f>data!$D$34</f>
        <v>15000</v>
      </c>
      <c r="X23" s="997" t="b">
        <f t="shared" si="24"/>
        <v>0</v>
      </c>
      <c r="Y23" s="997">
        <f t="shared" si="77"/>
        <v>0</v>
      </c>
      <c r="Z23" s="997">
        <f t="shared" si="57"/>
        <v>0</v>
      </c>
      <c r="AA23" s="1002">
        <f>data!$G$54</f>
        <v>75000</v>
      </c>
      <c r="AB23" s="1002">
        <f>data!$F$54</f>
        <v>0.02</v>
      </c>
      <c r="AC23" s="997">
        <f t="shared" si="78"/>
        <v>0</v>
      </c>
      <c r="AD23" s="997">
        <f>IF(B23="",0,(IF($AE$1=authorities!$I$1,0,IF(L23&gt;AE23,VLOOKUP($AD$1,authorities!A:H,C23+1,FALSE),0)))*L23/$CK$3*H23)</f>
        <v>0</v>
      </c>
      <c r="AE23" s="997">
        <f>IF($AE$1=authorities!$I$1,0,$AE$1)</f>
        <v>0</v>
      </c>
      <c r="AF23" s="1002">
        <f>IF(input_engine_r!$U$21&gt;A22,VLOOKUP(A23,input_engine_r!$U$23:$Y$35,5,FALSE),0)</f>
        <v>0</v>
      </c>
      <c r="AG23" s="1002">
        <f>data!$C$44</f>
        <v>2900</v>
      </c>
      <c r="AH23" s="1007">
        <f t="shared" si="58"/>
        <v>1</v>
      </c>
      <c r="AI23" s="997">
        <f t="shared" si="79"/>
        <v>0</v>
      </c>
      <c r="AJ23" s="997" t="b">
        <f t="shared" ca="1" si="80"/>
        <v>0</v>
      </c>
      <c r="AK23" s="997"/>
      <c r="AL23" s="997">
        <f t="shared" ca="1" si="81"/>
        <v>0</v>
      </c>
      <c r="AM23" s="997"/>
      <c r="AN23" s="997"/>
      <c r="AO23" s="1002">
        <f t="shared" si="29"/>
        <v>0</v>
      </c>
      <c r="AP23" s="1002">
        <f ca="1">SUM($AO$3:AO23)</f>
        <v>2</v>
      </c>
      <c r="AQ23" s="1002">
        <f t="shared" si="82"/>
        <v>365</v>
      </c>
      <c r="AR23" s="997">
        <f t="shared" ca="1" si="31"/>
        <v>0</v>
      </c>
      <c r="AS23" s="5"/>
      <c r="AT23" s="997">
        <f t="shared" ca="1" si="83"/>
        <v>0</v>
      </c>
      <c r="AU23" s="997" t="b">
        <f t="shared" ca="1" si="59"/>
        <v>1</v>
      </c>
      <c r="AV23" s="997" t="b">
        <f t="shared" si="9"/>
        <v>0</v>
      </c>
      <c r="AW23" s="997" t="b">
        <f t="shared" si="60"/>
        <v>0</v>
      </c>
      <c r="AX23" s="997">
        <f t="shared" ca="1" si="84"/>
        <v>0</v>
      </c>
      <c r="AY23" s="997">
        <f ca="1">AR23/reliefs!$E$7*AX23*-1</f>
        <v>0</v>
      </c>
      <c r="AZ23" s="1002">
        <f t="shared" ca="1" si="85"/>
        <v>0</v>
      </c>
      <c r="BA23" s="2370"/>
      <c r="BB23" s="997"/>
      <c r="BC23" s="997"/>
      <c r="BD23" s="997"/>
      <c r="BE23" s="997"/>
      <c r="BF23" s="1002"/>
      <c r="BG23" s="997">
        <f t="shared" ca="1" si="86"/>
        <v>0</v>
      </c>
      <c r="BH23" s="997">
        <f t="shared" si="52"/>
        <v>15000</v>
      </c>
      <c r="BI23" s="1001">
        <f t="shared" si="52"/>
        <v>0</v>
      </c>
      <c r="BJ23" s="997">
        <f t="shared" si="52"/>
        <v>5000000</v>
      </c>
      <c r="BK23" s="997">
        <f t="shared" si="52"/>
        <v>0.499</v>
      </c>
      <c r="BL23" s="997" t="b">
        <f t="shared" si="52"/>
        <v>1</v>
      </c>
      <c r="BM23" s="997" t="b">
        <f t="shared" si="52"/>
        <v>0</v>
      </c>
      <c r="BN23" s="997">
        <f t="shared" si="52"/>
        <v>600</v>
      </c>
      <c r="BO23" s="997">
        <f t="shared" ca="1" si="61"/>
        <v>0</v>
      </c>
      <c r="BP23" s="997"/>
      <c r="BQ23" s="997"/>
      <c r="BR23" s="997">
        <f t="shared" si="87"/>
        <v>1200</v>
      </c>
      <c r="BS23" s="997"/>
      <c r="BT23" s="997" t="b">
        <f t="shared" ca="1" si="88"/>
        <v>0</v>
      </c>
      <c r="BU23" s="997" t="b">
        <f t="shared" si="95"/>
        <v>1</v>
      </c>
      <c r="BV23" s="997" t="b">
        <f t="shared" si="89"/>
        <v>0</v>
      </c>
      <c r="BW23" s="997" t="b">
        <f t="shared" ca="1" si="90"/>
        <v>0</v>
      </c>
      <c r="BX23" s="997" t="b">
        <f t="shared" ca="1" si="91"/>
        <v>0</v>
      </c>
      <c r="BY23" s="997">
        <f t="shared" ca="1" si="62"/>
        <v>1200</v>
      </c>
      <c r="BZ23" s="997">
        <f t="shared" si="63"/>
        <v>365</v>
      </c>
      <c r="CA23" s="997">
        <f t="shared" si="92"/>
        <v>0</v>
      </c>
      <c r="CB23" s="997">
        <f t="shared" ca="1" si="93"/>
        <v>0</v>
      </c>
      <c r="CC23" s="997">
        <f t="shared" ca="1" si="64"/>
        <v>0</v>
      </c>
      <c r="CD23" s="997">
        <f t="shared" si="96"/>
        <v>1200</v>
      </c>
      <c r="CE23" s="1002" t="b">
        <f t="shared" si="50"/>
        <v>0</v>
      </c>
      <c r="CF23" s="5"/>
      <c r="CG23" s="5"/>
    </row>
    <row r="24" spans="1:111" customFormat="1" x14ac:dyDescent="0.35">
      <c r="A24" s="997">
        <f t="shared" si="65"/>
        <v>8</v>
      </c>
      <c r="B24" s="1003" t="str">
        <f>IF(input_engine_r!$U$21&gt;A23,VLOOKUP(A24,input_engine_r!$U$23:$Y$35,2,FALSE),"")</f>
        <v/>
      </c>
      <c r="C24" s="997" t="str">
        <f t="shared" si="66"/>
        <v/>
      </c>
      <c r="D24" s="1003">
        <f t="shared" si="67"/>
        <v>45747</v>
      </c>
      <c r="E24" s="1002" t="str">
        <f ca="1">IF(B24="",E23,VLOOKUP(B24,input_engine_r!$B$23:$F$35,5,FALSE))</f>
        <v>nn</v>
      </c>
      <c r="F24" s="1003" t="str">
        <f t="shared" si="68"/>
        <v/>
      </c>
      <c r="G24" s="1003" t="str">
        <f t="shared" si="69"/>
        <v/>
      </c>
      <c r="H24" s="1002">
        <f t="shared" si="70"/>
        <v>0</v>
      </c>
      <c r="I24" s="997">
        <f t="shared" ca="1" si="53"/>
        <v>0</v>
      </c>
      <c r="J24" s="997">
        <f t="shared" ca="1" si="54"/>
        <v>0</v>
      </c>
      <c r="K24" s="997">
        <f t="shared" ca="1" si="55"/>
        <v>0</v>
      </c>
      <c r="L24" s="997" t="str">
        <f>IF(input_engine_r!$U$21&gt;A23,VLOOKUP(A24,input_engine_r!$U$23:$Y$36,3,FALSE),"")</f>
        <v/>
      </c>
      <c r="M24" s="1002" t="str">
        <f t="shared" ca="1" si="71"/>
        <v>up</v>
      </c>
      <c r="N24" s="1002" t="str">
        <f t="shared" si="94"/>
        <v/>
      </c>
      <c r="O24" s="1002" t="str">
        <f t="shared" si="56"/>
        <v/>
      </c>
      <c r="P24" s="1032">
        <f t="shared" si="72"/>
        <v>0.499</v>
      </c>
      <c r="Q24" s="997" t="str">
        <f t="shared" ca="1" si="73"/>
        <v/>
      </c>
      <c r="R24" s="997">
        <f t="shared" si="74"/>
        <v>0</v>
      </c>
      <c r="S24" s="1006">
        <f>IF(input_engine_r!$U$21&gt;A23,VLOOKUP(A24,input_engine_r!$U$23:$Y$35,4,FALSE),0)</f>
        <v>0</v>
      </c>
      <c r="T24" s="2442">
        <f t="shared" ca="1" si="75"/>
        <v>0</v>
      </c>
      <c r="U24" s="997" t="b">
        <f t="shared" si="76"/>
        <v>0</v>
      </c>
      <c r="V24" s="997" t="b">
        <f>advanced!$M$23="y"</f>
        <v>0</v>
      </c>
      <c r="W24" s="997">
        <f>data!$D$34</f>
        <v>15000</v>
      </c>
      <c r="X24" s="997" t="b">
        <f t="shared" si="24"/>
        <v>0</v>
      </c>
      <c r="Y24" s="997">
        <f t="shared" si="77"/>
        <v>0</v>
      </c>
      <c r="Z24" s="997">
        <f t="shared" si="57"/>
        <v>0</v>
      </c>
      <c r="AA24" s="1002">
        <f>data!$G$54</f>
        <v>75000</v>
      </c>
      <c r="AB24" s="1002">
        <f>data!$F$54</f>
        <v>0.02</v>
      </c>
      <c r="AC24" s="997">
        <f t="shared" si="78"/>
        <v>0</v>
      </c>
      <c r="AD24" s="997">
        <f>IF(B24="",0,(IF($AE$1=authorities!$I$1,0,IF(L24&gt;AE24,VLOOKUP($AD$1,authorities!A:H,C24+1,FALSE),0)))*L24/$CK$3*H24)</f>
        <v>0</v>
      </c>
      <c r="AE24" s="997">
        <f>IF($AE$1=authorities!$I$1,0,$AE$1)</f>
        <v>0</v>
      </c>
      <c r="AF24" s="1002">
        <f>IF(input_engine_r!$U$21&gt;A23,VLOOKUP(A24,input_engine_r!$U$23:$Y$35,5,FALSE),0)</f>
        <v>0</v>
      </c>
      <c r="AG24" s="1002">
        <f>data!$C$44</f>
        <v>2900</v>
      </c>
      <c r="AH24" s="1007">
        <f t="shared" si="58"/>
        <v>1</v>
      </c>
      <c r="AI24" s="997">
        <f t="shared" si="79"/>
        <v>0</v>
      </c>
      <c r="AJ24" s="997" t="b">
        <f t="shared" ca="1" si="80"/>
        <v>0</v>
      </c>
      <c r="AK24" s="997"/>
      <c r="AL24" s="997">
        <f t="shared" ca="1" si="81"/>
        <v>0</v>
      </c>
      <c r="AM24" s="997"/>
      <c r="AN24" s="997"/>
      <c r="AO24" s="1002">
        <f t="shared" si="29"/>
        <v>0</v>
      </c>
      <c r="AP24" s="1002">
        <f ca="1">SUM($AO$3:AO24)</f>
        <v>2</v>
      </c>
      <c r="AQ24" s="1002">
        <f t="shared" si="82"/>
        <v>365</v>
      </c>
      <c r="AR24" s="997">
        <f t="shared" ca="1" si="31"/>
        <v>0</v>
      </c>
      <c r="AS24" s="5"/>
      <c r="AT24" s="997">
        <f t="shared" ca="1" si="83"/>
        <v>0</v>
      </c>
      <c r="AU24" s="997" t="b">
        <f t="shared" ca="1" si="59"/>
        <v>1</v>
      </c>
      <c r="AV24" s="997" t="b">
        <f t="shared" si="9"/>
        <v>0</v>
      </c>
      <c r="AW24" s="997" t="b">
        <f t="shared" si="60"/>
        <v>0</v>
      </c>
      <c r="AX24" s="997">
        <f t="shared" ca="1" si="84"/>
        <v>0</v>
      </c>
      <c r="AY24" s="997">
        <f ca="1">AR24/reliefs!$E$7*AX24*-1</f>
        <v>0</v>
      </c>
      <c r="AZ24" s="1002">
        <f t="shared" ca="1" si="85"/>
        <v>0</v>
      </c>
      <c r="BA24" s="2370"/>
      <c r="BB24" s="997"/>
      <c r="BC24" s="997"/>
      <c r="BD24" s="997"/>
      <c r="BE24" s="997"/>
      <c r="BF24" s="1002"/>
      <c r="BG24" s="997">
        <f t="shared" ca="1" si="86"/>
        <v>0</v>
      </c>
      <c r="BH24" s="997">
        <f t="shared" si="52"/>
        <v>15000</v>
      </c>
      <c r="BI24" s="1001">
        <f t="shared" si="52"/>
        <v>0</v>
      </c>
      <c r="BJ24" s="997">
        <f t="shared" si="52"/>
        <v>5000000</v>
      </c>
      <c r="BK24" s="997">
        <f t="shared" si="52"/>
        <v>0.499</v>
      </c>
      <c r="BL24" s="997" t="b">
        <f t="shared" si="52"/>
        <v>1</v>
      </c>
      <c r="BM24" s="997" t="b">
        <f t="shared" si="52"/>
        <v>0</v>
      </c>
      <c r="BN24" s="997">
        <f t="shared" si="52"/>
        <v>600</v>
      </c>
      <c r="BO24" s="997">
        <f t="shared" ca="1" si="61"/>
        <v>0</v>
      </c>
      <c r="BP24" s="997"/>
      <c r="BQ24" s="997"/>
      <c r="BR24" s="997">
        <f t="shared" si="87"/>
        <v>1200</v>
      </c>
      <c r="BS24" s="997"/>
      <c r="BT24" s="997" t="b">
        <f t="shared" ca="1" si="88"/>
        <v>0</v>
      </c>
      <c r="BU24" s="997" t="b">
        <f t="shared" si="95"/>
        <v>1</v>
      </c>
      <c r="BV24" s="997" t="b">
        <f t="shared" si="89"/>
        <v>0</v>
      </c>
      <c r="BW24" s="997" t="b">
        <f t="shared" ca="1" si="90"/>
        <v>0</v>
      </c>
      <c r="BX24" s="997" t="b">
        <f t="shared" ca="1" si="91"/>
        <v>0</v>
      </c>
      <c r="BY24" s="997">
        <f t="shared" ca="1" si="62"/>
        <v>1200</v>
      </c>
      <c r="BZ24" s="997">
        <f t="shared" si="63"/>
        <v>365</v>
      </c>
      <c r="CA24" s="997">
        <f t="shared" si="92"/>
        <v>0</v>
      </c>
      <c r="CB24" s="997">
        <f t="shared" ca="1" si="93"/>
        <v>0</v>
      </c>
      <c r="CC24" s="997">
        <f t="shared" ca="1" si="64"/>
        <v>0</v>
      </c>
      <c r="CD24" s="997">
        <f t="shared" si="96"/>
        <v>1200</v>
      </c>
      <c r="CE24" s="1002" t="b">
        <f t="shared" si="50"/>
        <v>0</v>
      </c>
      <c r="CF24" s="5"/>
      <c r="CG24" s="5"/>
    </row>
    <row r="25" spans="1:111" customFormat="1" x14ac:dyDescent="0.35">
      <c r="A25" s="997">
        <f t="shared" si="65"/>
        <v>9</v>
      </c>
      <c r="B25" s="1003" t="str">
        <f>IF(input_engine_r!$U$21&gt;A24,VLOOKUP(A25,input_engine_r!$U$23:$Y$35,2,FALSE),"")</f>
        <v/>
      </c>
      <c r="C25" s="997" t="str">
        <f t="shared" si="66"/>
        <v/>
      </c>
      <c r="D25" s="1003">
        <f t="shared" si="67"/>
        <v>45747</v>
      </c>
      <c r="E25" s="1002" t="str">
        <f ca="1">IF(B25="",E24,VLOOKUP(B25,input_engine_r!$B$23:$F$35,5,FALSE))</f>
        <v>nn</v>
      </c>
      <c r="F25" s="1003" t="str">
        <f t="shared" si="68"/>
        <v/>
      </c>
      <c r="G25" s="1003" t="str">
        <f t="shared" si="69"/>
        <v/>
      </c>
      <c r="H25" s="1002">
        <f t="shared" si="70"/>
        <v>0</v>
      </c>
      <c r="I25" s="997">
        <f t="shared" ca="1" si="53"/>
        <v>0</v>
      </c>
      <c r="J25" s="997">
        <f t="shared" ca="1" si="54"/>
        <v>0</v>
      </c>
      <c r="K25" s="997">
        <f t="shared" ca="1" si="55"/>
        <v>0</v>
      </c>
      <c r="L25" s="997" t="str">
        <f>IF(input_engine_r!$U$21&gt;A24,VLOOKUP(A25,input_engine_r!$U$23:$Y$36,3,FALSE),"")</f>
        <v/>
      </c>
      <c r="M25" s="1002" t="str">
        <f t="shared" ca="1" si="71"/>
        <v>up</v>
      </c>
      <c r="N25" s="1002" t="str">
        <f t="shared" si="94"/>
        <v/>
      </c>
      <c r="O25" s="1002" t="str">
        <f t="shared" si="56"/>
        <v/>
      </c>
      <c r="P25" s="1032">
        <f t="shared" si="72"/>
        <v>0.499</v>
      </c>
      <c r="Q25" s="997" t="str">
        <f t="shared" ca="1" si="73"/>
        <v/>
      </c>
      <c r="R25" s="997">
        <f t="shared" si="74"/>
        <v>0</v>
      </c>
      <c r="S25" s="1006">
        <f>IF(input_engine_r!$U$21&gt;A24,VLOOKUP(A25,input_engine_r!$U$23:$Y$35,4,FALSE),0)</f>
        <v>0</v>
      </c>
      <c r="T25" s="2442">
        <f t="shared" ca="1" si="75"/>
        <v>0</v>
      </c>
      <c r="U25" s="997" t="b">
        <f t="shared" si="76"/>
        <v>0</v>
      </c>
      <c r="V25" s="997" t="b">
        <f>advanced!$M$23="y"</f>
        <v>0</v>
      </c>
      <c r="W25" s="997">
        <f>data!$D$34</f>
        <v>15000</v>
      </c>
      <c r="X25" s="997" t="b">
        <f t="shared" si="24"/>
        <v>0</v>
      </c>
      <c r="Y25" s="997">
        <f t="shared" si="77"/>
        <v>0</v>
      </c>
      <c r="Z25" s="997">
        <f t="shared" si="57"/>
        <v>0</v>
      </c>
      <c r="AA25" s="1002">
        <f>data!$G$54</f>
        <v>75000</v>
      </c>
      <c r="AB25" s="1002">
        <f>data!$F$54</f>
        <v>0.02</v>
      </c>
      <c r="AC25" s="997">
        <f t="shared" si="78"/>
        <v>0</v>
      </c>
      <c r="AD25" s="997">
        <f>IF(B25="",0,(IF($AE$1=authorities!$I$1,0,IF(L25&gt;AE25,VLOOKUP($AD$1,authorities!A:H,C25+1,FALSE),0)))*L25/$CK$3*H25)</f>
        <v>0</v>
      </c>
      <c r="AE25" s="997">
        <f>IF($AE$1=authorities!$I$1,0,$AE$1)</f>
        <v>0</v>
      </c>
      <c r="AF25" s="1002">
        <f>IF(input_engine_r!$U$21&gt;A24,VLOOKUP(A25,input_engine_r!$U$23:$Y$35,5,FALSE),0)</f>
        <v>0</v>
      </c>
      <c r="AG25" s="1002">
        <f>data!$C$44</f>
        <v>2900</v>
      </c>
      <c r="AH25" s="1007">
        <f t="shared" si="58"/>
        <v>1</v>
      </c>
      <c r="AI25" s="997">
        <f t="shared" si="79"/>
        <v>0</v>
      </c>
      <c r="AJ25" s="997" t="b">
        <f t="shared" ca="1" si="80"/>
        <v>0</v>
      </c>
      <c r="AK25" s="997"/>
      <c r="AL25" s="997">
        <f t="shared" ca="1" si="81"/>
        <v>0</v>
      </c>
      <c r="AM25" s="997"/>
      <c r="AN25" s="997"/>
      <c r="AO25" s="1002">
        <f t="shared" si="29"/>
        <v>0</v>
      </c>
      <c r="AP25" s="1002">
        <f ca="1">SUM($AO$3:AO25)</f>
        <v>2</v>
      </c>
      <c r="AQ25" s="1002">
        <f t="shared" si="82"/>
        <v>365</v>
      </c>
      <c r="AR25" s="997">
        <f t="shared" ca="1" si="31"/>
        <v>0</v>
      </c>
      <c r="AS25" s="5"/>
      <c r="AT25" s="997">
        <f t="shared" ca="1" si="83"/>
        <v>0</v>
      </c>
      <c r="AU25" s="997" t="b">
        <f t="shared" ca="1" si="59"/>
        <v>1</v>
      </c>
      <c r="AV25" s="997" t="b">
        <f t="shared" si="9"/>
        <v>0</v>
      </c>
      <c r="AW25" s="997" t="b">
        <f t="shared" si="60"/>
        <v>0</v>
      </c>
      <c r="AX25" s="997">
        <f t="shared" ca="1" si="84"/>
        <v>0</v>
      </c>
      <c r="AY25" s="997">
        <f ca="1">AR25/reliefs!$E$7*AX25*-1</f>
        <v>0</v>
      </c>
      <c r="AZ25" s="1002">
        <f t="shared" ca="1" si="85"/>
        <v>0</v>
      </c>
      <c r="BA25" s="2370"/>
      <c r="BB25" s="997"/>
      <c r="BC25" s="997"/>
      <c r="BD25" s="997"/>
      <c r="BE25" s="997"/>
      <c r="BF25" s="1002"/>
      <c r="BG25" s="997">
        <f t="shared" ca="1" si="86"/>
        <v>0</v>
      </c>
      <c r="BH25" s="997">
        <f t="shared" si="52"/>
        <v>15000</v>
      </c>
      <c r="BI25" s="1001">
        <f t="shared" si="52"/>
        <v>0</v>
      </c>
      <c r="BJ25" s="997">
        <f t="shared" si="52"/>
        <v>5000000</v>
      </c>
      <c r="BK25" s="997">
        <f t="shared" si="52"/>
        <v>0.499</v>
      </c>
      <c r="BL25" s="997" t="b">
        <f t="shared" si="52"/>
        <v>1</v>
      </c>
      <c r="BM25" s="997" t="b">
        <f t="shared" si="52"/>
        <v>0</v>
      </c>
      <c r="BN25" s="997">
        <f t="shared" si="52"/>
        <v>600</v>
      </c>
      <c r="BO25" s="997">
        <f t="shared" ca="1" si="61"/>
        <v>0</v>
      </c>
      <c r="BP25" s="997"/>
      <c r="BQ25" s="997"/>
      <c r="BR25" s="997">
        <f t="shared" si="87"/>
        <v>1200</v>
      </c>
      <c r="BS25" s="997"/>
      <c r="BT25" s="997" t="b">
        <f t="shared" ca="1" si="88"/>
        <v>0</v>
      </c>
      <c r="BU25" s="997" t="b">
        <f t="shared" si="95"/>
        <v>1</v>
      </c>
      <c r="BV25" s="997" t="b">
        <f t="shared" si="89"/>
        <v>0</v>
      </c>
      <c r="BW25" s="997" t="b">
        <f t="shared" ca="1" si="90"/>
        <v>0</v>
      </c>
      <c r="BX25" s="997" t="b">
        <f t="shared" ca="1" si="91"/>
        <v>0</v>
      </c>
      <c r="BY25" s="997">
        <f t="shared" ca="1" si="62"/>
        <v>1200</v>
      </c>
      <c r="BZ25" s="997">
        <f t="shared" si="63"/>
        <v>365</v>
      </c>
      <c r="CA25" s="997">
        <f t="shared" si="92"/>
        <v>0</v>
      </c>
      <c r="CB25" s="997">
        <f t="shared" ca="1" si="93"/>
        <v>0</v>
      </c>
      <c r="CC25" s="997">
        <f t="shared" ca="1" si="64"/>
        <v>0</v>
      </c>
      <c r="CD25" s="997">
        <f t="shared" si="96"/>
        <v>1200</v>
      </c>
      <c r="CE25" s="1002" t="b">
        <f t="shared" si="50"/>
        <v>0</v>
      </c>
      <c r="CF25" s="5"/>
      <c r="CG25" s="5"/>
    </row>
    <row r="26" spans="1:111" customFormat="1" x14ac:dyDescent="0.35">
      <c r="A26" s="997">
        <f t="shared" si="65"/>
        <v>10</v>
      </c>
      <c r="B26" s="1003" t="str">
        <f>IF(input_engine_r!$U$21&gt;A25,VLOOKUP(A26,input_engine_r!$U$23:$Y$35,2,FALSE),"")</f>
        <v/>
      </c>
      <c r="C26" s="997" t="str">
        <f t="shared" si="66"/>
        <v/>
      </c>
      <c r="D26" s="1003">
        <f t="shared" si="67"/>
        <v>45747</v>
      </c>
      <c r="E26" s="1002" t="str">
        <f ca="1">IF(B26="",E25,VLOOKUP(B26,input_engine_r!$B$23:$F$35,5,FALSE))</f>
        <v>nn</v>
      </c>
      <c r="F26" s="1003" t="str">
        <f t="shared" si="68"/>
        <v/>
      </c>
      <c r="G26" s="1003" t="str">
        <f t="shared" si="69"/>
        <v/>
      </c>
      <c r="H26" s="1002">
        <f t="shared" si="70"/>
        <v>0</v>
      </c>
      <c r="I26" s="997">
        <f t="shared" ca="1" si="53"/>
        <v>0</v>
      </c>
      <c r="J26" s="997">
        <f t="shared" ca="1" si="54"/>
        <v>0</v>
      </c>
      <c r="K26" s="997">
        <f t="shared" ca="1" si="55"/>
        <v>0</v>
      </c>
      <c r="L26" s="997" t="str">
        <f>IF(input_engine_r!$U$21&gt;A25,VLOOKUP(A26,input_engine_r!$U$23:$Y$36,3,FALSE),"")</f>
        <v/>
      </c>
      <c r="M26" s="1002" t="str">
        <f t="shared" ca="1" si="71"/>
        <v>up</v>
      </c>
      <c r="N26" s="1002" t="str">
        <f t="shared" si="94"/>
        <v/>
      </c>
      <c r="O26" s="1002" t="str">
        <f t="shared" si="56"/>
        <v/>
      </c>
      <c r="P26" s="1032">
        <f t="shared" si="72"/>
        <v>0.499</v>
      </c>
      <c r="Q26" s="997" t="str">
        <f t="shared" ca="1" si="73"/>
        <v/>
      </c>
      <c r="R26" s="997">
        <f t="shared" si="74"/>
        <v>0</v>
      </c>
      <c r="S26" s="1006">
        <f>IF(input_engine_r!$U$21&gt;A25,VLOOKUP(A26,input_engine_r!$U$23:$Y$35,4,FALSE),0)</f>
        <v>0</v>
      </c>
      <c r="T26" s="2442">
        <f t="shared" ca="1" si="75"/>
        <v>0</v>
      </c>
      <c r="U26" s="997" t="b">
        <f t="shared" si="76"/>
        <v>0</v>
      </c>
      <c r="V26" s="997" t="b">
        <f>advanced!$M$23="y"</f>
        <v>0</v>
      </c>
      <c r="W26" s="997">
        <f>data!$D$34</f>
        <v>15000</v>
      </c>
      <c r="X26" s="997" t="b">
        <f t="shared" si="24"/>
        <v>0</v>
      </c>
      <c r="Y26" s="997">
        <f t="shared" si="77"/>
        <v>0</v>
      </c>
      <c r="Z26" s="997">
        <f t="shared" si="57"/>
        <v>0</v>
      </c>
      <c r="AA26" s="1002">
        <f>data!$G$54</f>
        <v>75000</v>
      </c>
      <c r="AB26" s="1002">
        <f>data!$F$54</f>
        <v>0.02</v>
      </c>
      <c r="AC26" s="997">
        <f t="shared" si="78"/>
        <v>0</v>
      </c>
      <c r="AD26" s="997">
        <f>IF(B26="",0,(IF($AE$1=authorities!$I$1,0,IF(L26&gt;AE26,VLOOKUP($AD$1,authorities!A:H,C26+1,FALSE),0)))*L26/$CK$3*H26)</f>
        <v>0</v>
      </c>
      <c r="AE26" s="997">
        <f>IF($AE$1=authorities!$I$1,0,$AE$1)</f>
        <v>0</v>
      </c>
      <c r="AF26" s="1002">
        <f>IF(input_engine_r!$U$21&gt;A25,VLOOKUP(A26,input_engine_r!$U$23:$Y$35,5,FALSE),0)</f>
        <v>0</v>
      </c>
      <c r="AG26" s="1002">
        <f>data!$C$44</f>
        <v>2900</v>
      </c>
      <c r="AH26" s="1007">
        <f t="shared" si="58"/>
        <v>1</v>
      </c>
      <c r="AI26" s="997">
        <f t="shared" si="79"/>
        <v>0</v>
      </c>
      <c r="AJ26" s="997" t="b">
        <f t="shared" ca="1" si="80"/>
        <v>0</v>
      </c>
      <c r="AK26" s="997"/>
      <c r="AL26" s="997">
        <f t="shared" ca="1" si="81"/>
        <v>0</v>
      </c>
      <c r="AM26" s="997"/>
      <c r="AN26" s="997"/>
      <c r="AO26" s="1002">
        <f t="shared" si="29"/>
        <v>0</v>
      </c>
      <c r="AP26" s="1002">
        <f ca="1">SUM($AO$3:AO26)</f>
        <v>2</v>
      </c>
      <c r="AQ26" s="1002">
        <f t="shared" si="82"/>
        <v>365</v>
      </c>
      <c r="AR26" s="997">
        <f t="shared" ca="1" si="31"/>
        <v>0</v>
      </c>
      <c r="AS26" s="5"/>
      <c r="AT26" s="997">
        <f t="shared" ca="1" si="83"/>
        <v>0</v>
      </c>
      <c r="AU26" s="997" t="b">
        <f t="shared" ca="1" si="59"/>
        <v>1</v>
      </c>
      <c r="AV26" s="997" t="b">
        <f t="shared" si="9"/>
        <v>0</v>
      </c>
      <c r="AW26" s="997" t="b">
        <f t="shared" si="60"/>
        <v>0</v>
      </c>
      <c r="AX26" s="997">
        <f t="shared" ca="1" si="84"/>
        <v>0</v>
      </c>
      <c r="AY26" s="997">
        <f ca="1">AR26/reliefs!$E$7*AX26*-1</f>
        <v>0</v>
      </c>
      <c r="AZ26" s="1002">
        <f t="shared" ca="1" si="85"/>
        <v>0</v>
      </c>
      <c r="BA26" s="2370"/>
      <c r="BB26" s="997"/>
      <c r="BC26" s="997"/>
      <c r="BD26" s="997"/>
      <c r="BE26" s="997"/>
      <c r="BF26" s="1002"/>
      <c r="BG26" s="997">
        <f t="shared" ca="1" si="86"/>
        <v>0</v>
      </c>
      <c r="BH26" s="997">
        <f t="shared" si="52"/>
        <v>15000</v>
      </c>
      <c r="BI26" s="1001">
        <f t="shared" si="52"/>
        <v>0</v>
      </c>
      <c r="BJ26" s="997">
        <f t="shared" si="52"/>
        <v>5000000</v>
      </c>
      <c r="BK26" s="997">
        <f t="shared" si="52"/>
        <v>0.499</v>
      </c>
      <c r="BL26" s="997" t="b">
        <f t="shared" si="52"/>
        <v>1</v>
      </c>
      <c r="BM26" s="997" t="b">
        <f t="shared" si="52"/>
        <v>0</v>
      </c>
      <c r="BN26" s="997">
        <f t="shared" si="52"/>
        <v>600</v>
      </c>
      <c r="BO26" s="997">
        <f t="shared" ca="1" si="61"/>
        <v>0</v>
      </c>
      <c r="BP26" s="997"/>
      <c r="BQ26" s="997"/>
      <c r="BR26" s="997">
        <f t="shared" si="87"/>
        <v>1200</v>
      </c>
      <c r="BS26" s="997"/>
      <c r="BT26" s="997" t="b">
        <f t="shared" ca="1" si="88"/>
        <v>0</v>
      </c>
      <c r="BU26" s="997" t="b">
        <f t="shared" si="95"/>
        <v>1</v>
      </c>
      <c r="BV26" s="997" t="b">
        <f t="shared" si="89"/>
        <v>0</v>
      </c>
      <c r="BW26" s="997" t="b">
        <f t="shared" ca="1" si="90"/>
        <v>0</v>
      </c>
      <c r="BX26" s="997" t="b">
        <f t="shared" ca="1" si="91"/>
        <v>0</v>
      </c>
      <c r="BY26" s="997">
        <f t="shared" ca="1" si="62"/>
        <v>1200</v>
      </c>
      <c r="BZ26" s="997">
        <f t="shared" si="63"/>
        <v>365</v>
      </c>
      <c r="CA26" s="997">
        <f t="shared" si="92"/>
        <v>0</v>
      </c>
      <c r="CB26" s="997">
        <f t="shared" ca="1" si="93"/>
        <v>0</v>
      </c>
      <c r="CC26" s="997">
        <f t="shared" ca="1" si="64"/>
        <v>0</v>
      </c>
      <c r="CD26" s="997">
        <f t="shared" si="96"/>
        <v>1200</v>
      </c>
      <c r="CE26" s="1002" t="b">
        <f t="shared" si="50"/>
        <v>0</v>
      </c>
      <c r="CF26" s="5"/>
      <c r="CG26" s="5"/>
    </row>
    <row r="27" spans="1:111" customFormat="1" x14ac:dyDescent="0.35">
      <c r="A27" s="997">
        <f t="shared" si="65"/>
        <v>11</v>
      </c>
      <c r="B27" s="1003" t="str">
        <f>IF(input_engine_r!$U$21&gt;A26,VLOOKUP(A27,input_engine_r!$U$23:$Y$35,2,FALSE),"")</f>
        <v/>
      </c>
      <c r="C27" s="997" t="str">
        <f t="shared" si="66"/>
        <v/>
      </c>
      <c r="D27" s="1003">
        <f t="shared" si="67"/>
        <v>45747</v>
      </c>
      <c r="E27" s="1002" t="str">
        <f ca="1">IF(B27="",E26,VLOOKUP(B27,input_engine_r!$B$23:$F$35,5,FALSE))</f>
        <v>nn</v>
      </c>
      <c r="F27" s="1003" t="str">
        <f t="shared" si="68"/>
        <v/>
      </c>
      <c r="G27" s="1003" t="str">
        <f>IF(B27="","",IF(#REF!=C27,#REF!-1,D27))</f>
        <v/>
      </c>
      <c r="H27" s="1002">
        <f t="shared" si="70"/>
        <v>0</v>
      </c>
      <c r="I27" s="997">
        <f t="shared" ca="1" si="53"/>
        <v>0</v>
      </c>
      <c r="J27" s="997">
        <f t="shared" ca="1" si="54"/>
        <v>0</v>
      </c>
      <c r="K27" s="997">
        <f t="shared" ca="1" si="55"/>
        <v>0</v>
      </c>
      <c r="L27" s="997" t="str">
        <f>IF(input_engine_r!$U$21&gt;A26,VLOOKUP(A27,input_engine_r!$U$23:$Y$36,3,FALSE),"")</f>
        <v/>
      </c>
      <c r="M27" s="1002" t="str">
        <f t="shared" ca="1" si="71"/>
        <v>up</v>
      </c>
      <c r="N27" s="1002" t="str">
        <f t="shared" si="94"/>
        <v/>
      </c>
      <c r="O27" s="1002" t="str">
        <f t="shared" si="56"/>
        <v/>
      </c>
      <c r="P27" s="1032">
        <f t="shared" si="72"/>
        <v>0.499</v>
      </c>
      <c r="Q27" s="997" t="str">
        <f t="shared" ca="1" si="73"/>
        <v/>
      </c>
      <c r="R27" s="997">
        <f t="shared" si="74"/>
        <v>0</v>
      </c>
      <c r="S27" s="1006">
        <f>IF(input_engine_r!$U$21&gt;A26,VLOOKUP(A27,input_engine_r!$U$23:$Y$35,4,FALSE),0)</f>
        <v>0</v>
      </c>
      <c r="T27" s="2442">
        <f t="shared" ca="1" si="75"/>
        <v>0</v>
      </c>
      <c r="U27" s="997" t="b">
        <f t="shared" si="76"/>
        <v>0</v>
      </c>
      <c r="V27" s="997" t="b">
        <f>advanced!$M$23="y"</f>
        <v>0</v>
      </c>
      <c r="W27" s="997">
        <f>data!$D$34</f>
        <v>15000</v>
      </c>
      <c r="X27" s="997" t="b">
        <f t="shared" si="24"/>
        <v>0</v>
      </c>
      <c r="Y27" s="997">
        <f t="shared" si="77"/>
        <v>0</v>
      </c>
      <c r="Z27" s="997">
        <f t="shared" si="57"/>
        <v>0</v>
      </c>
      <c r="AA27" s="1002">
        <f>data!$G$54</f>
        <v>75000</v>
      </c>
      <c r="AB27" s="1002">
        <f>data!$F$54</f>
        <v>0.02</v>
      </c>
      <c r="AC27" s="997">
        <f t="shared" si="78"/>
        <v>0</v>
      </c>
      <c r="AD27" s="997">
        <f>IF(B27="",0,(IF($AE$1=authorities!$I$1,0,IF(L27&gt;AE27,VLOOKUP($AD$1,authorities!A:H,C27+1,FALSE),0)))*L27/$CK$3*H27)</f>
        <v>0</v>
      </c>
      <c r="AE27" s="997">
        <f>IF($AE$1=authorities!$I$1,0,$AE$1)</f>
        <v>0</v>
      </c>
      <c r="AF27" s="1002">
        <f>IF(input_engine_r!$U$21&gt;A26,VLOOKUP(A27,input_engine_r!$U$23:$Y$35,5,FALSE),0)</f>
        <v>0</v>
      </c>
      <c r="AG27" s="1002">
        <f>data!$C$44</f>
        <v>2900</v>
      </c>
      <c r="AH27" s="1007">
        <f t="shared" si="58"/>
        <v>1</v>
      </c>
      <c r="AI27" s="997">
        <f t="shared" si="79"/>
        <v>0</v>
      </c>
      <c r="AJ27" s="997" t="b">
        <f t="shared" ca="1" si="80"/>
        <v>0</v>
      </c>
      <c r="AK27" s="997"/>
      <c r="AL27" s="997">
        <f t="shared" ca="1" si="81"/>
        <v>0</v>
      </c>
      <c r="AM27" s="997"/>
      <c r="AN27" s="997"/>
      <c r="AO27" s="1002">
        <f t="shared" si="29"/>
        <v>0</v>
      </c>
      <c r="AP27" s="1002">
        <f ca="1">SUM($AO$3:AO27)</f>
        <v>2</v>
      </c>
      <c r="AQ27" s="1002">
        <f t="shared" si="82"/>
        <v>365</v>
      </c>
      <c r="AR27" s="997">
        <f t="shared" ca="1" si="31"/>
        <v>0</v>
      </c>
      <c r="AS27" s="5"/>
      <c r="AT27" s="997">
        <f t="shared" ca="1" si="83"/>
        <v>0</v>
      </c>
      <c r="AU27" s="997" t="b">
        <f t="shared" ca="1" si="59"/>
        <v>1</v>
      </c>
      <c r="AV27" s="997" t="b">
        <f t="shared" si="9"/>
        <v>0</v>
      </c>
      <c r="AW27" s="997" t="b">
        <f t="shared" si="60"/>
        <v>0</v>
      </c>
      <c r="AX27" s="997">
        <f t="shared" ca="1" si="84"/>
        <v>0</v>
      </c>
      <c r="AY27" s="997">
        <f ca="1">AR27/reliefs!$E$7*AX27*-1</f>
        <v>0</v>
      </c>
      <c r="AZ27" s="1002">
        <f t="shared" ca="1" si="85"/>
        <v>0</v>
      </c>
      <c r="BA27" s="2372" t="s">
        <v>2905</v>
      </c>
      <c r="BB27" s="1000" t="s">
        <v>2903</v>
      </c>
      <c r="BC27" s="997"/>
      <c r="BD27" s="1000" t="s">
        <v>2904</v>
      </c>
      <c r="BE27" s="997"/>
      <c r="BF27" s="1002"/>
      <c r="BG27" s="997">
        <f t="shared" ca="1" si="86"/>
        <v>0</v>
      </c>
      <c r="BH27" s="997">
        <f t="shared" si="52"/>
        <v>15000</v>
      </c>
      <c r="BI27" s="1001">
        <f t="shared" si="52"/>
        <v>0</v>
      </c>
      <c r="BJ27" s="997">
        <f t="shared" si="52"/>
        <v>5000000</v>
      </c>
      <c r="BK27" s="997">
        <f t="shared" si="52"/>
        <v>0.499</v>
      </c>
      <c r="BL27" s="997" t="b">
        <f t="shared" si="52"/>
        <v>1</v>
      </c>
      <c r="BM27" s="997" t="b">
        <f t="shared" si="52"/>
        <v>0</v>
      </c>
      <c r="BN27" s="997">
        <f t="shared" si="52"/>
        <v>600</v>
      </c>
      <c r="BO27" s="997">
        <f t="shared" ca="1" si="61"/>
        <v>0</v>
      </c>
      <c r="BP27" s="997"/>
      <c r="BQ27" s="997"/>
      <c r="BR27" s="997">
        <f t="shared" si="87"/>
        <v>1200</v>
      </c>
      <c r="BS27" s="997"/>
      <c r="BT27" s="997" t="b">
        <f t="shared" ca="1" si="88"/>
        <v>0</v>
      </c>
      <c r="BU27" s="997" t="b">
        <f t="shared" si="95"/>
        <v>1</v>
      </c>
      <c r="BV27" s="997" t="b">
        <f t="shared" si="89"/>
        <v>0</v>
      </c>
      <c r="BW27" s="997" t="b">
        <f t="shared" ca="1" si="90"/>
        <v>0</v>
      </c>
      <c r="BX27" s="997" t="b">
        <f t="shared" ca="1" si="91"/>
        <v>0</v>
      </c>
      <c r="BY27" s="997">
        <f t="shared" ca="1" si="62"/>
        <v>1200</v>
      </c>
      <c r="BZ27" s="997">
        <f t="shared" si="63"/>
        <v>365</v>
      </c>
      <c r="CA27" s="997">
        <f t="shared" si="92"/>
        <v>0</v>
      </c>
      <c r="CB27" s="997">
        <f t="shared" ca="1" si="93"/>
        <v>0</v>
      </c>
      <c r="CC27" s="997">
        <f t="shared" ca="1" si="64"/>
        <v>0</v>
      </c>
      <c r="CD27" s="997">
        <f t="shared" si="96"/>
        <v>1200</v>
      </c>
      <c r="CE27" s="1002" t="b">
        <f t="shared" si="50"/>
        <v>0</v>
      </c>
      <c r="CF27" s="5"/>
      <c r="CG27" s="5"/>
    </row>
    <row r="28" spans="1:111" customFormat="1" x14ac:dyDescent="0.35">
      <c r="P28" s="1042"/>
      <c r="T28" s="2445">
        <f ca="1">ROUND(SUM(T16:T27),2)</f>
        <v>0</v>
      </c>
      <c r="U28" s="1008">
        <f ca="1">U16+U17+U18+U19+U20+U21+U22+U23+U24+U25+U26+U27</f>
        <v>0</v>
      </c>
      <c r="AI28" s="1009">
        <f ca="1">SUM(AI16:AI27)</f>
        <v>1</v>
      </c>
      <c r="AJ28" s="1002">
        <f ca="1">AJ27+AJ26+AJ25+AJ24+AJ23+AJ22+AJ21+AJ20+AJ19+AJ18+AJ17+AJ16</f>
        <v>0</v>
      </c>
      <c r="AK28" s="997" t="str">
        <f ca="1">IF(AJ28=12,"Phased",IF(AJ28=0,"True","***"))</f>
        <v>True</v>
      </c>
      <c r="AL28" s="1002">
        <f ca="1">SUM(AL16:AL27)</f>
        <v>0</v>
      </c>
      <c r="AM28" s="1010">
        <f ca="1">IF(AL28&lt;1,AL28,INT(AL28))</f>
        <v>0</v>
      </c>
      <c r="AN28" s="1010" t="str">
        <f ca="1">IF(AL28-AM28&lt;&gt;0,"N/J + T",IF(AND(0&lt;AL28,AL28&lt;1),"P + T",IF(AL28&gt;=1,"N/J","")))</f>
        <v/>
      </c>
      <c r="AO28" s="5"/>
      <c r="AP28" s="1002">
        <f ca="1">SUM($AO$3:AO28)</f>
        <v>2</v>
      </c>
      <c r="AQ28" s="5"/>
      <c r="AR28" s="997"/>
      <c r="AS28" s="5"/>
      <c r="AT28" s="5"/>
      <c r="AU28" s="5"/>
      <c r="AV28" s="5"/>
      <c r="AW28" s="5"/>
      <c r="AX28" s="5"/>
      <c r="AY28" s="2371">
        <f ca="1">IF(SUM(AY16:AY27)&lt;BA28,BA28,SUM(AY16:AY27))</f>
        <v>0</v>
      </c>
      <c r="AZ28" s="5"/>
      <c r="BA28" s="2371">
        <f ca="1">MIN(BB28,BD28)*-1</f>
        <v>-110000</v>
      </c>
      <c r="BB28" s="15">
        <f ca="1">BC28-BA15</f>
        <v>315000</v>
      </c>
      <c r="BC28" s="15">
        <f>reliefs!E16</f>
        <v>315000</v>
      </c>
      <c r="BD28" s="15">
        <f>reliefs!E15</f>
        <v>110000</v>
      </c>
      <c r="BE28" s="5"/>
      <c r="BF28" s="5"/>
      <c r="BG28" s="1002">
        <f ca="1">SUM(BG16:BG27)+0.0000001</f>
        <v>9.9999999999999995E-8</v>
      </c>
      <c r="BH28" s="997">
        <f t="shared" si="52"/>
        <v>15000</v>
      </c>
      <c r="BI28" s="1001">
        <f t="shared" si="52"/>
        <v>0</v>
      </c>
      <c r="BJ28" s="997">
        <f t="shared" si="52"/>
        <v>5000000</v>
      </c>
      <c r="BK28" s="997">
        <f t="shared" si="52"/>
        <v>0.499</v>
      </c>
      <c r="BL28" s="997" t="b">
        <f t="shared" si="52"/>
        <v>1</v>
      </c>
      <c r="BM28" s="997" t="b">
        <f t="shared" si="52"/>
        <v>0</v>
      </c>
      <c r="BN28" s="5"/>
      <c r="BO28" s="5"/>
      <c r="BP28" s="5"/>
      <c r="BQ28" s="5"/>
      <c r="BR28" s="997"/>
      <c r="BS28" s="5"/>
      <c r="BT28" s="997"/>
      <c r="BU28" s="997"/>
      <c r="BV28" s="997"/>
      <c r="BW28" s="997" t="b">
        <f ca="1">AND(BW27=TRUE,BV28=TRUE)</f>
        <v>0</v>
      </c>
      <c r="BX28" s="997" t="b">
        <f t="shared" ca="1" si="91"/>
        <v>0</v>
      </c>
      <c r="BY28" s="5"/>
      <c r="BZ28" s="5"/>
      <c r="CA28" s="5"/>
      <c r="CB28" s="5"/>
      <c r="CC28" s="5"/>
      <c r="CD28" s="5"/>
      <c r="CE28" s="1002" t="b">
        <f t="shared" si="50"/>
        <v>0</v>
      </c>
      <c r="CF28" s="5"/>
      <c r="CG28" s="5"/>
    </row>
    <row r="29" spans="1:111" customFormat="1" x14ac:dyDescent="0.35">
      <c r="A29" s="997">
        <v>0</v>
      </c>
      <c r="B29" s="1003">
        <f>CH4</f>
        <v>45748</v>
      </c>
      <c r="C29" s="997">
        <f>IF(OR(B29=0,B29=""),"",3)</f>
        <v>3</v>
      </c>
      <c r="D29" s="1003">
        <f>$CJ$4</f>
        <v>46112</v>
      </c>
      <c r="E29" s="1002" t="str">
        <f ca="1">IF(B29=B30,E30,OFFSET(E15,AI28,0))</f>
        <v>nn</v>
      </c>
      <c r="F29" s="1003">
        <f>B29</f>
        <v>45748</v>
      </c>
      <c r="G29" s="1003">
        <f>IF(B29="","",IF(C30=C29,F30-1,D29))</f>
        <v>46112</v>
      </c>
      <c r="H29" s="1002">
        <f>IF(B29&lt;&gt;"",G29-F29+1,0)</f>
        <v>365</v>
      </c>
      <c r="I29" s="997">
        <f t="shared" ref="I29:I40" ca="1" si="97">IF(AP29&gt;0,K29*P29,HLOOKUP(E29,$CM$1:$CP$9,1+$C$29,FALSE))</f>
        <v>0</v>
      </c>
      <c r="J29" s="997">
        <f t="shared" ref="J29:J40" ca="1" si="98">I29/$CK$4</f>
        <v>0</v>
      </c>
      <c r="K29" s="997">
        <f t="shared" ref="K29:K40" ca="1" si="99">HLOOKUP(E29,$CM$1:$CP$10,10,FALSE)</f>
        <v>0</v>
      </c>
      <c r="L29" s="997">
        <f ca="1">IF(B29=B30,L30,OFFSET(L15,AI28,0))</f>
        <v>0</v>
      </c>
      <c r="M29" s="1002" t="str">
        <f ca="1">IF(L29&lt;K29,"down","up")</f>
        <v>up</v>
      </c>
      <c r="N29" s="1002">
        <f ca="1">IF(OR(B29="",K29=0),0,IF(M29="down",J29*L29/K29*H29,0))</f>
        <v>0</v>
      </c>
      <c r="O29" s="1002">
        <f t="shared" ref="O29:O40" ca="1" si="100">IF(B29="","",IF(M29="up",((J29*H29)+((L29-K29)*P29/$CK$4*H29)),0))</f>
        <v>0</v>
      </c>
      <c r="P29" s="1032">
        <f>$CL$4</f>
        <v>0.499</v>
      </c>
      <c r="Q29" s="997">
        <f ca="1">IF(M29="down",N29,O29)</f>
        <v>0</v>
      </c>
      <c r="R29" s="997">
        <f ca="1">IF(B29="",0,IF(U29=TRUE,(Q29/AH29)+AC29+(AD29/AH29),(Q29)+Y29+Z29+AC29+AD29))</f>
        <v>0</v>
      </c>
      <c r="S29" s="1006">
        <f ca="1">IF(B29=B30,S30,OFFSET(S15,AI28,0))</f>
        <v>1</v>
      </c>
      <c r="T29" s="2442">
        <f ca="1">$CV$1*(IF(AND(AF29="y",L29&lt;AG29),0,R29*S29))+CB29+AZ29</f>
        <v>0</v>
      </c>
      <c r="U29" s="997" t="b">
        <f ca="1">AND(V29=TRUE,L29&lt;=W29,AF29="n",X29=FALSE)</f>
        <v>0</v>
      </c>
      <c r="V29" s="997" t="b">
        <f>advanced!$M$24="y"</f>
        <v>0</v>
      </c>
      <c r="W29" s="997">
        <f>data!$D$35</f>
        <v>15000</v>
      </c>
      <c r="X29" s="997" t="b">
        <f t="shared" si="24"/>
        <v>0</v>
      </c>
      <c r="Y29" s="997">
        <f ca="1">IF(B29="",0,IF(OR(L29&lt;$CV$4,U29=TRUE,BX29=TRUE),0,L29*$CS$4/$CK$4*H29))</f>
        <v>0</v>
      </c>
      <c r="Z29" s="997">
        <f t="shared" ref="Z29:Z40" ca="1" si="101">IF(B29="",0,IF(AND($Z$2=TRUE,L29&gt;AA29),L29*AB29*H29/AQ29,0))</f>
        <v>0</v>
      </c>
      <c r="AA29" s="1002">
        <f>data!$G$55</f>
        <v>75000</v>
      </c>
      <c r="AB29" s="1002">
        <f>data!$F$55</f>
        <v>0.02</v>
      </c>
      <c r="AC29" s="997">
        <f ca="1">IF(B29="",0,L29*($CQ$4-IF(L29&lt;$CV$4,CW$4,0))/$CK$4*H29)*$AC$2/IF(U29=TRUE,AH29,1)</f>
        <v>0</v>
      </c>
      <c r="AD29" s="997">
        <f ca="1">IF(B29="",0,(IF($AE$1=authorities!$I$1,0,IF(L29&gt;AE29,VLOOKUP($AD$1,authorities!A:H,C29+1,FALSE),0)))*L29/$CK$4*H29)</f>
        <v>0</v>
      </c>
      <c r="AE29" s="997">
        <f>IF($AE$1=authorities!$I$1,0,$AE$1)</f>
        <v>0</v>
      </c>
      <c r="AF29" s="1006" t="str">
        <f ca="1">IF(B29=B30,AF30,OFFSET(AF15,AI28,0))</f>
        <v>n</v>
      </c>
      <c r="AG29" s="1002">
        <f>data!$C$45</f>
        <v>2900</v>
      </c>
      <c r="AH29" s="1007">
        <f t="shared" ref="AH29:AH40" ca="1" si="102">IF(L29&lt;=$CT$4,5000000,IF(L29&gt;$CU$4,1,IF(MID((($CU$4-$CT$4)/(L29-$CT$4)),6,1)="5",ROUND((($CU$4-$CT$4)/(L29-$CT$4))-0.0001,3),ROUND(($CU$4-$CT$4)/(L29-$CT$4),3))))</f>
        <v>5000000</v>
      </c>
      <c r="AI29" s="997">
        <f ca="1">IF(L29&lt;&gt;"",1,0)</f>
        <v>1</v>
      </c>
      <c r="AJ29" s="997" t="b">
        <f ca="1">IF(AP29&gt;0,FALSE,HLOOKUP(E29,$CM$1:$CP$17,$AJ$1+3,FALSE))</f>
        <v>0</v>
      </c>
      <c r="AK29" s="997"/>
      <c r="AL29" s="997">
        <f ca="1">IF(OR(H29=0,F29="",K29=L29,AJ29=FALSE),0,IF(L29&lt;K29,1,0.01))</f>
        <v>0</v>
      </c>
      <c r="AM29" s="997"/>
      <c r="AN29" s="997"/>
      <c r="AO29" s="1002">
        <f t="shared" ref="AO29:AO40" ca="1" si="103">IF(L29=0,1,0)</f>
        <v>1</v>
      </c>
      <c r="AP29" s="1002">
        <f ca="1">SUM($AO$3:AO29)</f>
        <v>3</v>
      </c>
      <c r="AQ29" s="1002">
        <f>$CK$4</f>
        <v>365</v>
      </c>
      <c r="AR29" s="997">
        <f t="shared" ca="1" si="31"/>
        <v>0</v>
      </c>
      <c r="AS29" s="1002"/>
      <c r="AT29" s="997">
        <f ca="1">L29</f>
        <v>0</v>
      </c>
      <c r="AU29" s="997" t="b">
        <f t="shared" ref="AU29:AU40" ca="1" si="104">AT29&lt;$AU$1</f>
        <v>1</v>
      </c>
      <c r="AV29" s="997" t="b">
        <f t="shared" si="9"/>
        <v>0</v>
      </c>
      <c r="AW29" s="997" t="b">
        <f t="shared" ref="AW29:AW40" ca="1" si="105">AF29="n"</f>
        <v>1</v>
      </c>
      <c r="AX29" s="997">
        <f ca="1">AU29*AV29*AW29*IF(S29=0,0,1)</f>
        <v>0</v>
      </c>
      <c r="AY29" s="997">
        <f ca="1">AR29/reliefs!$F$7*AX29*-1</f>
        <v>0</v>
      </c>
      <c r="AZ29" s="1002">
        <f ca="1">$AY$41/$BG$41*H29*AX29</f>
        <v>0</v>
      </c>
      <c r="BA29" s="2370"/>
      <c r="BB29" s="997"/>
      <c r="BC29" s="997"/>
      <c r="BD29" s="997"/>
      <c r="BE29" s="997"/>
      <c r="BF29" s="1002"/>
      <c r="BG29" s="997">
        <f ca="1">H29*AX29</f>
        <v>0</v>
      </c>
      <c r="BH29" s="997">
        <f t="shared" si="52"/>
        <v>15000</v>
      </c>
      <c r="BI29" s="1001">
        <f t="shared" si="52"/>
        <v>0</v>
      </c>
      <c r="BJ29" s="997">
        <f t="shared" si="52"/>
        <v>5000000</v>
      </c>
      <c r="BK29" s="997">
        <f t="shared" si="52"/>
        <v>0.499</v>
      </c>
      <c r="BL29" s="997" t="b">
        <f t="shared" si="52"/>
        <v>1</v>
      </c>
      <c r="BM29" s="997" t="b">
        <f t="shared" si="52"/>
        <v>0</v>
      </c>
      <c r="BN29" s="997">
        <f>CD27</f>
        <v>1200</v>
      </c>
      <c r="BO29" s="997">
        <f t="shared" ref="BO29:BO40" ca="1" si="106">I29/IF(U29=TRUE,AH29,1)</f>
        <v>0</v>
      </c>
      <c r="BP29" s="997"/>
      <c r="BQ29" s="997"/>
      <c r="BR29" s="997">
        <f t="shared" si="87"/>
        <v>1800</v>
      </c>
      <c r="BS29" s="997"/>
      <c r="BT29" s="997" t="b">
        <f ca="1">BO29&gt;BR29</f>
        <v>0</v>
      </c>
      <c r="BU29" s="997" t="b">
        <f>BU27</f>
        <v>1</v>
      </c>
      <c r="BV29" s="997" t="b">
        <f ca="1">AW29</f>
        <v>1</v>
      </c>
      <c r="BW29" s="997" t="b">
        <f ca="1">BV29</f>
        <v>1</v>
      </c>
      <c r="BX29" s="997" t="b">
        <f t="shared" ca="1" si="91"/>
        <v>0</v>
      </c>
      <c r="BY29" s="997">
        <f t="shared" ref="BY29:BY40" ca="1" si="107">(BR29-BO29)</f>
        <v>1800</v>
      </c>
      <c r="BZ29" s="997">
        <f t="shared" ref="BZ29:BZ40" si="108">AQ29</f>
        <v>365</v>
      </c>
      <c r="CA29" s="997">
        <f>H29</f>
        <v>365</v>
      </c>
      <c r="CB29" s="997">
        <f ca="1">BY29/BZ29*CA29*BX29</f>
        <v>0</v>
      </c>
      <c r="CC29" s="997">
        <f t="shared" ref="CC29:CC40" ca="1" si="109">CB29</f>
        <v>0</v>
      </c>
      <c r="CD29" s="997"/>
      <c r="CE29" s="1002" t="b">
        <f t="shared" si="50"/>
        <v>0</v>
      </c>
      <c r="CF29" s="5"/>
      <c r="CG29" s="5"/>
    </row>
    <row r="30" spans="1:111" customFormat="1" x14ac:dyDescent="0.35">
      <c r="A30" s="997">
        <f t="shared" ref="A30:A40" si="110">A29+1</f>
        <v>1</v>
      </c>
      <c r="B30" s="1003" t="str">
        <f>IF(input_engine_r!$Z$21&gt;A29,VLOOKUP(A30,input_engine_r!$Z$23:$AD$35,2,FALSE),"")</f>
        <v/>
      </c>
      <c r="C30" s="997" t="str">
        <f t="shared" ref="C30:C40" si="111">IF(OR(B30=0,B30=""),"",3)</f>
        <v/>
      </c>
      <c r="D30" s="1003">
        <f t="shared" ref="D30:D40" si="112">$CJ$4</f>
        <v>46112</v>
      </c>
      <c r="E30" s="1002" t="str">
        <f ca="1">IF(B30="",E29,VLOOKUP(B30,input_engine_r!$B$23:$F$35,5,FALSE))</f>
        <v>nn</v>
      </c>
      <c r="F30" s="1003" t="str">
        <f t="shared" ref="F30:F40" si="113">B30</f>
        <v/>
      </c>
      <c r="G30" s="1003" t="str">
        <f t="shared" ref="G30:G39" si="114">IF(B30="","",IF(C31=C30,F31-1,D30))</f>
        <v/>
      </c>
      <c r="H30" s="1002">
        <f t="shared" ref="H30:H40" si="115">IF(B30&lt;&gt;"",G30-F30+1,0)</f>
        <v>0</v>
      </c>
      <c r="I30" s="997">
        <f t="shared" ca="1" si="97"/>
        <v>0</v>
      </c>
      <c r="J30" s="997">
        <f t="shared" ca="1" si="98"/>
        <v>0</v>
      </c>
      <c r="K30" s="997">
        <f t="shared" ca="1" si="99"/>
        <v>0</v>
      </c>
      <c r="L30" s="997" t="str">
        <f>IF(input_engine_r!$Z$21&gt;A29,VLOOKUP(A30,input_engine_r!$Z$23:$AD$36,3,FALSE),"")</f>
        <v/>
      </c>
      <c r="M30" s="1002" t="str">
        <f t="shared" ref="M30:M40" ca="1" si="116">IF(L30&lt;K30,"down","up")</f>
        <v>up</v>
      </c>
      <c r="N30" s="1002" t="str">
        <f>IF(B30="","",IF(M30="down",J30*L30/K30*H30,0))</f>
        <v/>
      </c>
      <c r="O30" s="1002" t="str">
        <f t="shared" si="100"/>
        <v/>
      </c>
      <c r="P30" s="1032">
        <f t="shared" ref="P30:P40" si="117">$CL$4</f>
        <v>0.499</v>
      </c>
      <c r="Q30" s="997" t="str">
        <f t="shared" ref="Q30:Q40" ca="1" si="118">IF(M30="down",N30,O30)</f>
        <v/>
      </c>
      <c r="R30" s="997">
        <f t="shared" ref="R30:R40" si="119">IF(B30="",0,IF(U30=TRUE,(Q30/AH30)+AC30+(AD30/AH30),(Q30)+Y30+Z30+AC30+AD30))</f>
        <v>0</v>
      </c>
      <c r="S30" s="1006">
        <f>IF(input_engine_r!$Z$21&gt;A29,VLOOKUP(A30,input_engine_r!$Z$23:$AD$35,4,FALSE),0)</f>
        <v>0</v>
      </c>
      <c r="T30" s="2442">
        <f t="shared" ref="T30:T40" ca="1" si="120">$CV$1*(IF(AND(AF30="y",L30&lt;AG30),0,R30*S30))+CB30+AZ30</f>
        <v>0</v>
      </c>
      <c r="U30" s="997" t="b">
        <f t="shared" ref="U30:U40" si="121">AND(V30=TRUE,L30&lt;=W30,AF30="n",X30=FALSE)</f>
        <v>0</v>
      </c>
      <c r="V30" s="997" t="b">
        <f>advanced!$M$24="y"</f>
        <v>0</v>
      </c>
      <c r="W30" s="997">
        <f>data!$D$35</f>
        <v>15000</v>
      </c>
      <c r="X30" s="997" t="b">
        <f t="shared" si="24"/>
        <v>0</v>
      </c>
      <c r="Y30" s="997">
        <f t="shared" ref="Y30:Y40" si="122">IF(B30="",0,IF(OR(L30&lt;$CV$4,U30=TRUE,BX30=TRUE),0,L30*$CS$4/$CK$4*H30))</f>
        <v>0</v>
      </c>
      <c r="Z30" s="997">
        <f t="shared" si="101"/>
        <v>0</v>
      </c>
      <c r="AA30" s="1002">
        <f>data!$G$55</f>
        <v>75000</v>
      </c>
      <c r="AB30" s="1002">
        <f>data!$F$55</f>
        <v>0.02</v>
      </c>
      <c r="AC30" s="997">
        <f t="shared" ref="AC30:AC40" si="123">IF(B30="",0,L30*($CQ$4-IF(L30&lt;$CV$4,CW$4,0))/$CK$4*H30)*$AC$2/IF(U30=TRUE,AH30,1)</f>
        <v>0</v>
      </c>
      <c r="AD30" s="997">
        <f>IF(B30="",0,(IF($AE$1=authorities!$I$1,0,IF(L30&gt;AE30,VLOOKUP($AD$1,authorities!A:H,C30+1,FALSE),0)))*L30/$CK$4*H30)</f>
        <v>0</v>
      </c>
      <c r="AE30" s="997">
        <f>IF($AE$1=authorities!$I$1,0,$AE$1)</f>
        <v>0</v>
      </c>
      <c r="AF30" s="1002">
        <f>IF(input_engine_r!$Z$21&gt;A29,VLOOKUP(A30,input_engine_r!$Z$23:$AD$35,5,FALSE),0)</f>
        <v>0</v>
      </c>
      <c r="AG30" s="1002">
        <f>data!$C$45</f>
        <v>2900</v>
      </c>
      <c r="AH30" s="1007">
        <f t="shared" si="102"/>
        <v>1</v>
      </c>
      <c r="AI30" s="997">
        <f t="shared" ref="AI30:AI40" si="124">IF(L30&lt;&gt;"",1,0)</f>
        <v>0</v>
      </c>
      <c r="AJ30" s="997" t="b">
        <f t="shared" ref="AJ30:AJ40" ca="1" si="125">IF(AP30&gt;0,FALSE,HLOOKUP(E30,$CM$1:$CP$17,$AJ$1+3,FALSE))</f>
        <v>0</v>
      </c>
      <c r="AK30" s="997"/>
      <c r="AL30" s="997">
        <f t="shared" ref="AL30:AL40" ca="1" si="126">IF(OR(H30=0,F30="",K30=L30,AJ30=FALSE),0,IF(L30&lt;K30,1,0.01))</f>
        <v>0</v>
      </c>
      <c r="AM30" s="997"/>
      <c r="AN30" s="997"/>
      <c r="AO30" s="1002">
        <f t="shared" si="103"/>
        <v>0</v>
      </c>
      <c r="AP30" s="1002">
        <f ca="1">SUM($AO$3:AO30)</f>
        <v>3</v>
      </c>
      <c r="AQ30" s="1002">
        <f t="shared" ref="AQ30:AQ40" si="127">$CK$4</f>
        <v>365</v>
      </c>
      <c r="AR30" s="997">
        <f t="shared" ca="1" si="31"/>
        <v>0</v>
      </c>
      <c r="AS30" s="1002"/>
      <c r="AT30" s="997">
        <f t="shared" ref="AT30:AT40" ca="1" si="128">IF(L30="",AT29,L30)</f>
        <v>0</v>
      </c>
      <c r="AU30" s="997" t="b">
        <f t="shared" ca="1" si="104"/>
        <v>1</v>
      </c>
      <c r="AV30" s="997" t="b">
        <f t="shared" si="9"/>
        <v>0</v>
      </c>
      <c r="AW30" s="997" t="b">
        <f t="shared" si="105"/>
        <v>0</v>
      </c>
      <c r="AX30" s="997">
        <f t="shared" ref="AX30:AX40" ca="1" si="129">AU30*AV30*AW30*IF(S30=0,0,1)</f>
        <v>0</v>
      </c>
      <c r="AY30" s="997">
        <f ca="1">AR30/reliefs!$F$7*AX30*-1</f>
        <v>0</v>
      </c>
      <c r="AZ30" s="1002">
        <f t="shared" ref="AZ30:AZ40" ca="1" si="130">$AY$41/$BG$41*H30*AX30</f>
        <v>0</v>
      </c>
      <c r="BA30" s="2370"/>
      <c r="BB30" s="997"/>
      <c r="BC30" s="997"/>
      <c r="BD30" s="997"/>
      <c r="BE30" s="997"/>
      <c r="BF30" s="1002"/>
      <c r="BG30" s="997">
        <f t="shared" ref="BG30:BG40" ca="1" si="131">H30*AX30</f>
        <v>0</v>
      </c>
      <c r="BH30" s="997">
        <f t="shared" si="52"/>
        <v>15000</v>
      </c>
      <c r="BI30" s="1001">
        <f t="shared" si="52"/>
        <v>0</v>
      </c>
      <c r="BJ30" s="997">
        <f t="shared" si="52"/>
        <v>5000000</v>
      </c>
      <c r="BK30" s="997">
        <f t="shared" si="52"/>
        <v>0.499</v>
      </c>
      <c r="BL30" s="997" t="b">
        <f t="shared" si="52"/>
        <v>1</v>
      </c>
      <c r="BM30" s="997" t="b">
        <f t="shared" si="52"/>
        <v>0</v>
      </c>
      <c r="BN30" s="997">
        <f>BN29</f>
        <v>1200</v>
      </c>
      <c r="BO30" s="997">
        <f t="shared" ca="1" si="106"/>
        <v>0</v>
      </c>
      <c r="BP30" s="997"/>
      <c r="BQ30" s="997"/>
      <c r="BR30" s="997">
        <f t="shared" si="87"/>
        <v>1800</v>
      </c>
      <c r="BS30" s="997"/>
      <c r="BT30" s="997" t="b">
        <f t="shared" ref="BT30:BT40" ca="1" si="132">BO30&gt;BR30</f>
        <v>0</v>
      </c>
      <c r="BU30" s="997" t="b">
        <f>BU29</f>
        <v>1</v>
      </c>
      <c r="BV30" s="997" t="b">
        <f t="shared" ref="BV30:BV40" si="133">AW30</f>
        <v>0</v>
      </c>
      <c r="BW30" s="997" t="b">
        <f t="shared" ref="BW30:BW40" ca="1" si="134">AND(BW29=TRUE,BV30=TRUE)</f>
        <v>0</v>
      </c>
      <c r="BX30" s="997" t="b">
        <f t="shared" ca="1" si="91"/>
        <v>0</v>
      </c>
      <c r="BY30" s="997">
        <f t="shared" ca="1" si="107"/>
        <v>1800</v>
      </c>
      <c r="BZ30" s="997">
        <f t="shared" si="108"/>
        <v>365</v>
      </c>
      <c r="CA30" s="997">
        <f t="shared" ref="CA30:CA40" si="135">H30</f>
        <v>0</v>
      </c>
      <c r="CB30" s="997">
        <f t="shared" ref="CB30:CB40" ca="1" si="136">BY30/BZ30*CA30*BX30</f>
        <v>0</v>
      </c>
      <c r="CC30" s="997">
        <f t="shared" ca="1" si="109"/>
        <v>0</v>
      </c>
      <c r="CD30" s="997"/>
      <c r="CE30" s="1002" t="b">
        <f t="shared" si="50"/>
        <v>0</v>
      </c>
      <c r="CF30" s="5"/>
      <c r="CG30" s="5"/>
    </row>
    <row r="31" spans="1:111" customFormat="1" x14ac:dyDescent="0.35">
      <c r="A31" s="997">
        <f t="shared" si="110"/>
        <v>2</v>
      </c>
      <c r="B31" s="1003" t="str">
        <f>IF(input_engine_r!$Z$21&gt;A30,VLOOKUP(A31,input_engine_r!$Z$23:$AD$35,2,FALSE),"")</f>
        <v/>
      </c>
      <c r="C31" s="997" t="str">
        <f t="shared" si="111"/>
        <v/>
      </c>
      <c r="D31" s="1003">
        <f t="shared" si="112"/>
        <v>46112</v>
      </c>
      <c r="E31" s="1002" t="str">
        <f ca="1">IF(B31="",E30,VLOOKUP(B31,input_engine_r!$B$23:$F$35,5,FALSE))</f>
        <v>nn</v>
      </c>
      <c r="F31" s="1003" t="str">
        <f t="shared" si="113"/>
        <v/>
      </c>
      <c r="G31" s="1003" t="str">
        <f t="shared" si="114"/>
        <v/>
      </c>
      <c r="H31" s="1002">
        <f t="shared" si="115"/>
        <v>0</v>
      </c>
      <c r="I31" s="997">
        <f t="shared" ca="1" si="97"/>
        <v>0</v>
      </c>
      <c r="J31" s="997">
        <f t="shared" ca="1" si="98"/>
        <v>0</v>
      </c>
      <c r="K31" s="997">
        <f t="shared" ca="1" si="99"/>
        <v>0</v>
      </c>
      <c r="L31" s="997" t="str">
        <f>IF(input_engine_r!$Z$21&gt;A30,VLOOKUP(A31,input_engine_r!$Z$23:$AD$36,3,FALSE),"")</f>
        <v/>
      </c>
      <c r="M31" s="1002" t="str">
        <f t="shared" ca="1" si="116"/>
        <v>up</v>
      </c>
      <c r="N31" s="1002" t="str">
        <f t="shared" ref="N31:N40" si="137">IF(B31="","",IF(M31="down",J31*L31/K31*H31,0))</f>
        <v/>
      </c>
      <c r="O31" s="1002" t="str">
        <f t="shared" si="100"/>
        <v/>
      </c>
      <c r="P31" s="1032">
        <f t="shared" si="117"/>
        <v>0.499</v>
      </c>
      <c r="Q31" s="997" t="str">
        <f t="shared" ca="1" si="118"/>
        <v/>
      </c>
      <c r="R31" s="997">
        <f t="shared" si="119"/>
        <v>0</v>
      </c>
      <c r="S31" s="1006">
        <f>IF(input_engine_r!$Z$21&gt;A30,VLOOKUP(A31,input_engine_r!$Z$23:$AD$35,4,FALSE),0)</f>
        <v>0</v>
      </c>
      <c r="T31" s="2442">
        <f t="shared" ca="1" si="120"/>
        <v>0</v>
      </c>
      <c r="U31" s="997" t="b">
        <f t="shared" si="121"/>
        <v>0</v>
      </c>
      <c r="V31" s="997" t="b">
        <f>advanced!$M$24="y"</f>
        <v>0</v>
      </c>
      <c r="W31" s="997">
        <f>data!$D$35</f>
        <v>15000</v>
      </c>
      <c r="X31" s="997" t="b">
        <f t="shared" si="24"/>
        <v>0</v>
      </c>
      <c r="Y31" s="997">
        <f t="shared" si="122"/>
        <v>0</v>
      </c>
      <c r="Z31" s="997">
        <f t="shared" si="101"/>
        <v>0</v>
      </c>
      <c r="AA31" s="1002">
        <f>data!$G$55</f>
        <v>75000</v>
      </c>
      <c r="AB31" s="1002">
        <f>data!$F$55</f>
        <v>0.02</v>
      </c>
      <c r="AC31" s="997">
        <f t="shared" si="123"/>
        <v>0</v>
      </c>
      <c r="AD31" s="997">
        <f>IF(B31="",0,(IF($AE$1=authorities!$I$1,0,IF(L31&gt;AE31,VLOOKUP($AD$1,authorities!A:H,C31+1,FALSE),0)))*L31/$CK$4*H31)</f>
        <v>0</v>
      </c>
      <c r="AE31" s="997">
        <f>IF($AE$1=authorities!$I$1,0,$AE$1)</f>
        <v>0</v>
      </c>
      <c r="AF31" s="1002">
        <f>IF(input_engine_r!$Z$21&gt;A30,VLOOKUP(A31,input_engine_r!$Z$23:$AD$35,5,FALSE),0)</f>
        <v>0</v>
      </c>
      <c r="AG31" s="1002">
        <f>data!$C$45</f>
        <v>2900</v>
      </c>
      <c r="AH31" s="1007">
        <f t="shared" si="102"/>
        <v>1</v>
      </c>
      <c r="AI31" s="997">
        <f t="shared" si="124"/>
        <v>0</v>
      </c>
      <c r="AJ31" s="997" t="b">
        <f t="shared" ca="1" si="125"/>
        <v>0</v>
      </c>
      <c r="AK31" s="997"/>
      <c r="AL31" s="997">
        <f t="shared" ca="1" si="126"/>
        <v>0</v>
      </c>
      <c r="AM31" s="997"/>
      <c r="AN31" s="997"/>
      <c r="AO31" s="1002">
        <f t="shared" si="103"/>
        <v>0</v>
      </c>
      <c r="AP31" s="1002">
        <f ca="1">SUM($AO$3:AO31)</f>
        <v>3</v>
      </c>
      <c r="AQ31" s="1002">
        <f t="shared" si="127"/>
        <v>365</v>
      </c>
      <c r="AR31" s="997">
        <f t="shared" ca="1" si="31"/>
        <v>0</v>
      </c>
      <c r="AS31" s="1002"/>
      <c r="AT31" s="997">
        <f t="shared" ca="1" si="128"/>
        <v>0</v>
      </c>
      <c r="AU31" s="997" t="b">
        <f t="shared" ca="1" si="104"/>
        <v>1</v>
      </c>
      <c r="AV31" s="997" t="b">
        <f t="shared" si="9"/>
        <v>0</v>
      </c>
      <c r="AW31" s="997" t="b">
        <f t="shared" si="105"/>
        <v>0</v>
      </c>
      <c r="AX31" s="997">
        <f t="shared" ca="1" si="129"/>
        <v>0</v>
      </c>
      <c r="AY31" s="997">
        <f ca="1">AR31/reliefs!$F$7*AX31*-1</f>
        <v>0</v>
      </c>
      <c r="AZ31" s="1002">
        <f t="shared" ca="1" si="130"/>
        <v>0</v>
      </c>
      <c r="BA31" s="2370"/>
      <c r="BB31" s="997"/>
      <c r="BC31" s="997"/>
      <c r="BD31" s="997"/>
      <c r="BE31" s="997"/>
      <c r="BF31" s="1002"/>
      <c r="BG31" s="997">
        <f t="shared" ca="1" si="131"/>
        <v>0</v>
      </c>
      <c r="BH31" s="997">
        <f t="shared" ref="BH31:BN40" si="138">BH30</f>
        <v>15000</v>
      </c>
      <c r="BI31" s="1001">
        <f t="shared" si="138"/>
        <v>0</v>
      </c>
      <c r="BJ31" s="997">
        <f t="shared" si="138"/>
        <v>5000000</v>
      </c>
      <c r="BK31" s="997">
        <f t="shared" si="138"/>
        <v>0.499</v>
      </c>
      <c r="BL31" s="997" t="b">
        <f t="shared" si="138"/>
        <v>1</v>
      </c>
      <c r="BM31" s="997" t="b">
        <f t="shared" si="138"/>
        <v>0</v>
      </c>
      <c r="BN31" s="997">
        <f>BN30</f>
        <v>1200</v>
      </c>
      <c r="BO31" s="997">
        <f t="shared" ca="1" si="106"/>
        <v>0</v>
      </c>
      <c r="BP31" s="997"/>
      <c r="BQ31" s="997"/>
      <c r="BR31" s="997">
        <f t="shared" si="87"/>
        <v>1800</v>
      </c>
      <c r="BS31" s="997"/>
      <c r="BT31" s="997" t="b">
        <f t="shared" ca="1" si="132"/>
        <v>0</v>
      </c>
      <c r="BU31" s="997" t="b">
        <f t="shared" ref="BU31:BU40" si="139">BU30</f>
        <v>1</v>
      </c>
      <c r="BV31" s="997" t="b">
        <f t="shared" si="133"/>
        <v>0</v>
      </c>
      <c r="BW31" s="997" t="b">
        <f t="shared" ca="1" si="134"/>
        <v>0</v>
      </c>
      <c r="BX31" s="997" t="b">
        <f t="shared" ca="1" si="91"/>
        <v>0</v>
      </c>
      <c r="BY31" s="997">
        <f t="shared" ca="1" si="107"/>
        <v>1800</v>
      </c>
      <c r="BZ31" s="997">
        <f t="shared" si="108"/>
        <v>365</v>
      </c>
      <c r="CA31" s="997">
        <f t="shared" si="135"/>
        <v>0</v>
      </c>
      <c r="CB31" s="997">
        <f t="shared" ca="1" si="136"/>
        <v>0</v>
      </c>
      <c r="CC31" s="997">
        <f t="shared" ca="1" si="109"/>
        <v>0</v>
      </c>
      <c r="CD31" s="997"/>
      <c r="CE31" s="1002" t="b">
        <f t="shared" si="50"/>
        <v>0</v>
      </c>
      <c r="CF31" s="5"/>
      <c r="CG31" s="5"/>
    </row>
    <row r="32" spans="1:111" customFormat="1" x14ac:dyDescent="0.35">
      <c r="A32" s="997">
        <f t="shared" si="110"/>
        <v>3</v>
      </c>
      <c r="B32" s="1003" t="str">
        <f>IF(input_engine_r!$Z$21&gt;A31,VLOOKUP(A32,input_engine_r!$Z$23:$AD$35,2,FALSE),"")</f>
        <v/>
      </c>
      <c r="C32" s="997" t="str">
        <f t="shared" si="111"/>
        <v/>
      </c>
      <c r="D32" s="1003">
        <f t="shared" si="112"/>
        <v>46112</v>
      </c>
      <c r="E32" s="1002" t="str">
        <f ca="1">IF(B32="",E31,VLOOKUP(B32,input_engine_r!$B$23:$F$35,5,FALSE))</f>
        <v>nn</v>
      </c>
      <c r="F32" s="1003" t="str">
        <f t="shared" si="113"/>
        <v/>
      </c>
      <c r="G32" s="1003" t="str">
        <f t="shared" si="114"/>
        <v/>
      </c>
      <c r="H32" s="1002">
        <f t="shared" si="115"/>
        <v>0</v>
      </c>
      <c r="I32" s="997">
        <f t="shared" ca="1" si="97"/>
        <v>0</v>
      </c>
      <c r="J32" s="997">
        <f t="shared" ca="1" si="98"/>
        <v>0</v>
      </c>
      <c r="K32" s="997">
        <f t="shared" ca="1" si="99"/>
        <v>0</v>
      </c>
      <c r="L32" s="997" t="str">
        <f>IF(input_engine_r!$Z$21&gt;A31,VLOOKUP(A32,input_engine_r!$Z$23:$AD$36,3,FALSE),"")</f>
        <v/>
      </c>
      <c r="M32" s="1002" t="str">
        <f t="shared" ca="1" si="116"/>
        <v>up</v>
      </c>
      <c r="N32" s="1002" t="str">
        <f t="shared" si="137"/>
        <v/>
      </c>
      <c r="O32" s="1002" t="str">
        <f t="shared" si="100"/>
        <v/>
      </c>
      <c r="P32" s="1032">
        <f t="shared" si="117"/>
        <v>0.499</v>
      </c>
      <c r="Q32" s="997" t="str">
        <f t="shared" ca="1" si="118"/>
        <v/>
      </c>
      <c r="R32" s="997">
        <f t="shared" si="119"/>
        <v>0</v>
      </c>
      <c r="S32" s="1006">
        <f>IF(input_engine_r!$Z$21&gt;A31,VLOOKUP(A32,input_engine_r!$Z$23:$AD$35,4,FALSE),0)</f>
        <v>0</v>
      </c>
      <c r="T32" s="2442">
        <f t="shared" ca="1" si="120"/>
        <v>0</v>
      </c>
      <c r="U32" s="997" t="b">
        <f t="shared" si="121"/>
        <v>0</v>
      </c>
      <c r="V32" s="997" t="b">
        <f>advanced!$M$24="y"</f>
        <v>0</v>
      </c>
      <c r="W32" s="997">
        <f>data!$D$35</f>
        <v>15000</v>
      </c>
      <c r="X32" s="997" t="b">
        <f t="shared" si="24"/>
        <v>0</v>
      </c>
      <c r="Y32" s="997">
        <f t="shared" si="122"/>
        <v>0</v>
      </c>
      <c r="Z32" s="997">
        <f t="shared" si="101"/>
        <v>0</v>
      </c>
      <c r="AA32" s="1002">
        <f>data!$G$55</f>
        <v>75000</v>
      </c>
      <c r="AB32" s="1002">
        <f>data!$F$55</f>
        <v>0.02</v>
      </c>
      <c r="AC32" s="997">
        <f t="shared" si="123"/>
        <v>0</v>
      </c>
      <c r="AD32" s="997">
        <f>IF(B32="",0,(IF($AE$1=authorities!$I$1,0,IF(L32&gt;AE32,VLOOKUP($AD$1,authorities!A:H,C32+1,FALSE),0)))*L32/$CK$4*H32)</f>
        <v>0</v>
      </c>
      <c r="AE32" s="997">
        <f>IF($AE$1=authorities!$I$1,0,$AE$1)</f>
        <v>0</v>
      </c>
      <c r="AF32" s="1002">
        <f>IF(input_engine_r!$Z$21&gt;A31,VLOOKUP(A32,input_engine_r!$Z$23:$AD$35,5,FALSE),0)</f>
        <v>0</v>
      </c>
      <c r="AG32" s="1002">
        <f>data!$C$45</f>
        <v>2900</v>
      </c>
      <c r="AH32" s="1007">
        <f t="shared" si="102"/>
        <v>1</v>
      </c>
      <c r="AI32" s="997">
        <f t="shared" si="124"/>
        <v>0</v>
      </c>
      <c r="AJ32" s="997" t="b">
        <f t="shared" ca="1" si="125"/>
        <v>0</v>
      </c>
      <c r="AK32" s="997"/>
      <c r="AL32" s="997">
        <f t="shared" ca="1" si="126"/>
        <v>0</v>
      </c>
      <c r="AM32" s="997"/>
      <c r="AN32" s="997"/>
      <c r="AO32" s="1002">
        <f t="shared" si="103"/>
        <v>0</v>
      </c>
      <c r="AP32" s="1002">
        <f ca="1">SUM($AO$3:AO32)</f>
        <v>3</v>
      </c>
      <c r="AQ32" s="1002">
        <f t="shared" si="127"/>
        <v>365</v>
      </c>
      <c r="AR32" s="997">
        <f t="shared" ca="1" si="31"/>
        <v>0</v>
      </c>
      <c r="AS32" s="1002"/>
      <c r="AT32" s="997">
        <f t="shared" ca="1" si="128"/>
        <v>0</v>
      </c>
      <c r="AU32" s="997" t="b">
        <f t="shared" ca="1" si="104"/>
        <v>1</v>
      </c>
      <c r="AV32" s="997" t="b">
        <f t="shared" si="9"/>
        <v>0</v>
      </c>
      <c r="AW32" s="997" t="b">
        <f t="shared" si="105"/>
        <v>0</v>
      </c>
      <c r="AX32" s="997">
        <f t="shared" ca="1" si="129"/>
        <v>0</v>
      </c>
      <c r="AY32" s="997">
        <f ca="1">AR32/reliefs!$F$7*AX32*-1</f>
        <v>0</v>
      </c>
      <c r="AZ32" s="1002">
        <f t="shared" ca="1" si="130"/>
        <v>0</v>
      </c>
      <c r="BA32" s="2370"/>
      <c r="BB32" s="997"/>
      <c r="BC32" s="997"/>
      <c r="BD32" s="997"/>
      <c r="BE32" s="997"/>
      <c r="BF32" s="1002"/>
      <c r="BG32" s="997">
        <f t="shared" ca="1" si="131"/>
        <v>0</v>
      </c>
      <c r="BH32" s="997">
        <f t="shared" si="138"/>
        <v>15000</v>
      </c>
      <c r="BI32" s="1001">
        <f t="shared" si="138"/>
        <v>0</v>
      </c>
      <c r="BJ32" s="997">
        <f t="shared" si="138"/>
        <v>5000000</v>
      </c>
      <c r="BK32" s="997">
        <f t="shared" si="138"/>
        <v>0.499</v>
      </c>
      <c r="BL32" s="997" t="b">
        <f t="shared" si="138"/>
        <v>1</v>
      </c>
      <c r="BM32" s="997" t="b">
        <f t="shared" si="138"/>
        <v>0</v>
      </c>
      <c r="BN32" s="997">
        <f>BN31</f>
        <v>1200</v>
      </c>
      <c r="BO32" s="997">
        <f t="shared" ca="1" si="106"/>
        <v>0</v>
      </c>
      <c r="BP32" s="997"/>
      <c r="BQ32" s="997"/>
      <c r="BR32" s="997">
        <f t="shared" si="87"/>
        <v>1800</v>
      </c>
      <c r="BS32" s="997"/>
      <c r="BT32" s="997" t="b">
        <f t="shared" ca="1" si="132"/>
        <v>0</v>
      </c>
      <c r="BU32" s="997" t="b">
        <f t="shared" si="139"/>
        <v>1</v>
      </c>
      <c r="BV32" s="997" t="b">
        <f t="shared" si="133"/>
        <v>0</v>
      </c>
      <c r="BW32" s="997" t="b">
        <f t="shared" ca="1" si="134"/>
        <v>0</v>
      </c>
      <c r="BX32" s="997" t="b">
        <f t="shared" ca="1" si="91"/>
        <v>0</v>
      </c>
      <c r="BY32" s="997">
        <f t="shared" ca="1" si="107"/>
        <v>1800</v>
      </c>
      <c r="BZ32" s="997">
        <f t="shared" si="108"/>
        <v>365</v>
      </c>
      <c r="CA32" s="997">
        <f t="shared" si="135"/>
        <v>0</v>
      </c>
      <c r="CB32" s="997">
        <f t="shared" ca="1" si="136"/>
        <v>0</v>
      </c>
      <c r="CC32" s="997">
        <f t="shared" ca="1" si="109"/>
        <v>0</v>
      </c>
      <c r="CD32" s="997"/>
      <c r="CE32" s="1002" t="b">
        <f t="shared" si="50"/>
        <v>0</v>
      </c>
      <c r="CF32" s="5"/>
      <c r="CG32" s="5"/>
    </row>
    <row r="33" spans="1:85" customFormat="1" x14ac:dyDescent="0.35">
      <c r="A33" s="997">
        <f t="shared" si="110"/>
        <v>4</v>
      </c>
      <c r="B33" s="1003" t="str">
        <f>IF(input_engine_r!$Z$21&gt;A32,VLOOKUP(A33,input_engine_r!$Z$23:$AD$35,2,FALSE),"")</f>
        <v/>
      </c>
      <c r="C33" s="997" t="str">
        <f t="shared" si="111"/>
        <v/>
      </c>
      <c r="D33" s="1003">
        <f t="shared" si="112"/>
        <v>46112</v>
      </c>
      <c r="E33" s="1002" t="str">
        <f ca="1">IF(B33="",E32,VLOOKUP(B33,input_engine_r!$B$23:$F$35,5,FALSE))</f>
        <v>nn</v>
      </c>
      <c r="F33" s="1003" t="str">
        <f t="shared" si="113"/>
        <v/>
      </c>
      <c r="G33" s="1003" t="str">
        <f t="shared" si="114"/>
        <v/>
      </c>
      <c r="H33" s="1002">
        <f t="shared" si="115"/>
        <v>0</v>
      </c>
      <c r="I33" s="997">
        <f t="shared" ca="1" si="97"/>
        <v>0</v>
      </c>
      <c r="J33" s="997">
        <f t="shared" ca="1" si="98"/>
        <v>0</v>
      </c>
      <c r="K33" s="997">
        <f t="shared" ca="1" si="99"/>
        <v>0</v>
      </c>
      <c r="L33" s="997" t="str">
        <f>IF(input_engine_r!$Z$21&gt;A32,VLOOKUP(A33,input_engine_r!$Z$23:$AD$36,3,FALSE),"")</f>
        <v/>
      </c>
      <c r="M33" s="1002" t="str">
        <f t="shared" ca="1" si="116"/>
        <v>up</v>
      </c>
      <c r="N33" s="1002" t="str">
        <f t="shared" si="137"/>
        <v/>
      </c>
      <c r="O33" s="1002" t="str">
        <f t="shared" si="100"/>
        <v/>
      </c>
      <c r="P33" s="1032">
        <f t="shared" si="117"/>
        <v>0.499</v>
      </c>
      <c r="Q33" s="997" t="str">
        <f t="shared" ca="1" si="118"/>
        <v/>
      </c>
      <c r="R33" s="997">
        <f t="shared" si="119"/>
        <v>0</v>
      </c>
      <c r="S33" s="1006">
        <f>IF(input_engine_r!$Z$21&gt;A32,VLOOKUP(A33,input_engine_r!$Z$23:$AD$35,4,FALSE),0)</f>
        <v>0</v>
      </c>
      <c r="T33" s="2442">
        <f t="shared" ca="1" si="120"/>
        <v>0</v>
      </c>
      <c r="U33" s="997" t="b">
        <f t="shared" si="121"/>
        <v>0</v>
      </c>
      <c r="V33" s="997" t="b">
        <f>advanced!$M$24="y"</f>
        <v>0</v>
      </c>
      <c r="W33" s="997">
        <f>data!$D$35</f>
        <v>15000</v>
      </c>
      <c r="X33" s="997" t="b">
        <f t="shared" si="24"/>
        <v>0</v>
      </c>
      <c r="Y33" s="997">
        <f t="shared" si="122"/>
        <v>0</v>
      </c>
      <c r="Z33" s="997">
        <f t="shared" si="101"/>
        <v>0</v>
      </c>
      <c r="AA33" s="1002">
        <f>data!$G$55</f>
        <v>75000</v>
      </c>
      <c r="AB33" s="1002">
        <f>data!$F$55</f>
        <v>0.02</v>
      </c>
      <c r="AC33" s="997">
        <f t="shared" si="123"/>
        <v>0</v>
      </c>
      <c r="AD33" s="997">
        <f>IF(B33="",0,(IF($AE$1=authorities!$I$1,0,IF(L33&gt;AE33,VLOOKUP($AD$1,authorities!A:H,C33+1,FALSE),0)))*L33/$CK$4*H33)</f>
        <v>0</v>
      </c>
      <c r="AE33" s="997">
        <f>IF($AE$1=authorities!$I$1,0,$AE$1)</f>
        <v>0</v>
      </c>
      <c r="AF33" s="1002">
        <f>IF(input_engine_r!$Z$21&gt;A32,VLOOKUP(A33,input_engine_r!$Z$23:$AD$35,5,FALSE),0)</f>
        <v>0</v>
      </c>
      <c r="AG33" s="1002">
        <f>data!$C$45</f>
        <v>2900</v>
      </c>
      <c r="AH33" s="1007">
        <f t="shared" si="102"/>
        <v>1</v>
      </c>
      <c r="AI33" s="997">
        <f t="shared" si="124"/>
        <v>0</v>
      </c>
      <c r="AJ33" s="997" t="b">
        <f t="shared" ca="1" si="125"/>
        <v>0</v>
      </c>
      <c r="AK33" s="997"/>
      <c r="AL33" s="997">
        <f t="shared" ca="1" si="126"/>
        <v>0</v>
      </c>
      <c r="AM33" s="997"/>
      <c r="AN33" s="997"/>
      <c r="AO33" s="1002">
        <f t="shared" si="103"/>
        <v>0</v>
      </c>
      <c r="AP33" s="1002">
        <f ca="1">SUM($AO$3:AO33)</f>
        <v>3</v>
      </c>
      <c r="AQ33" s="1002">
        <f t="shared" si="127"/>
        <v>365</v>
      </c>
      <c r="AR33" s="997">
        <f t="shared" ca="1" si="31"/>
        <v>0</v>
      </c>
      <c r="AS33" s="5"/>
      <c r="AT33" s="997">
        <f t="shared" ca="1" si="128"/>
        <v>0</v>
      </c>
      <c r="AU33" s="997" t="b">
        <f t="shared" ca="1" si="104"/>
        <v>1</v>
      </c>
      <c r="AV33" s="997" t="b">
        <f t="shared" si="9"/>
        <v>0</v>
      </c>
      <c r="AW33" s="997" t="b">
        <f t="shared" si="105"/>
        <v>0</v>
      </c>
      <c r="AX33" s="997">
        <f t="shared" ca="1" si="129"/>
        <v>0</v>
      </c>
      <c r="AY33" s="997">
        <f ca="1">AR33/reliefs!$F$7*AX33*-1</f>
        <v>0</v>
      </c>
      <c r="AZ33" s="1002">
        <f t="shared" ca="1" si="130"/>
        <v>0</v>
      </c>
      <c r="BA33" s="2370"/>
      <c r="BB33" s="997"/>
      <c r="BC33" s="997"/>
      <c r="BD33" s="997"/>
      <c r="BE33" s="997"/>
      <c r="BF33" s="1002"/>
      <c r="BG33" s="997">
        <f t="shared" ca="1" si="131"/>
        <v>0</v>
      </c>
      <c r="BH33" s="997">
        <f t="shared" si="138"/>
        <v>15000</v>
      </c>
      <c r="BI33" s="1001">
        <f t="shared" si="138"/>
        <v>0</v>
      </c>
      <c r="BJ33" s="997">
        <f t="shared" si="138"/>
        <v>5000000</v>
      </c>
      <c r="BK33" s="997">
        <f t="shared" si="138"/>
        <v>0.499</v>
      </c>
      <c r="BL33" s="997" t="b">
        <f t="shared" si="138"/>
        <v>1</v>
      </c>
      <c r="BM33" s="997" t="b">
        <f t="shared" si="138"/>
        <v>0</v>
      </c>
      <c r="BN33" s="997">
        <f>BN32</f>
        <v>1200</v>
      </c>
      <c r="BO33" s="997">
        <f t="shared" ca="1" si="106"/>
        <v>0</v>
      </c>
      <c r="BP33" s="997"/>
      <c r="BQ33" s="997"/>
      <c r="BR33" s="997">
        <f t="shared" si="87"/>
        <v>1800</v>
      </c>
      <c r="BS33" s="997"/>
      <c r="BT33" s="997" t="b">
        <f t="shared" ca="1" si="132"/>
        <v>0</v>
      </c>
      <c r="BU33" s="997" t="b">
        <f t="shared" si="139"/>
        <v>1</v>
      </c>
      <c r="BV33" s="997" t="b">
        <f t="shared" si="133"/>
        <v>0</v>
      </c>
      <c r="BW33" s="997" t="b">
        <f t="shared" ca="1" si="134"/>
        <v>0</v>
      </c>
      <c r="BX33" s="997" t="b">
        <f t="shared" ca="1" si="91"/>
        <v>0</v>
      </c>
      <c r="BY33" s="997">
        <f t="shared" ca="1" si="107"/>
        <v>1800</v>
      </c>
      <c r="BZ33" s="997">
        <f t="shared" si="108"/>
        <v>365</v>
      </c>
      <c r="CA33" s="997">
        <f t="shared" si="135"/>
        <v>0</v>
      </c>
      <c r="CB33" s="997">
        <f t="shared" ca="1" si="136"/>
        <v>0</v>
      </c>
      <c r="CC33" s="997">
        <f t="shared" ca="1" si="109"/>
        <v>0</v>
      </c>
      <c r="CD33" s="997"/>
      <c r="CE33" s="1002" t="b">
        <f t="shared" si="50"/>
        <v>0</v>
      </c>
      <c r="CF33" s="5"/>
      <c r="CG33" s="5"/>
    </row>
    <row r="34" spans="1:85" customFormat="1" x14ac:dyDescent="0.35">
      <c r="A34" s="997">
        <f t="shared" si="110"/>
        <v>5</v>
      </c>
      <c r="B34" s="1003" t="str">
        <f>IF(input_engine_r!$Z$21&gt;A33,VLOOKUP(A34,input_engine_r!$Z$23:$AD$35,2,FALSE),"")</f>
        <v/>
      </c>
      <c r="C34" s="997" t="str">
        <f t="shared" si="111"/>
        <v/>
      </c>
      <c r="D34" s="1003">
        <f t="shared" si="112"/>
        <v>46112</v>
      </c>
      <c r="E34" s="1002" t="str">
        <f ca="1">IF(B34="",E33,VLOOKUP(B34,input_engine_r!$B$23:$F$35,5,FALSE))</f>
        <v>nn</v>
      </c>
      <c r="F34" s="1003" t="str">
        <f t="shared" si="113"/>
        <v/>
      </c>
      <c r="G34" s="1003" t="str">
        <f t="shared" si="114"/>
        <v/>
      </c>
      <c r="H34" s="1002">
        <f t="shared" si="115"/>
        <v>0</v>
      </c>
      <c r="I34" s="997">
        <f t="shared" ca="1" si="97"/>
        <v>0</v>
      </c>
      <c r="J34" s="997">
        <f t="shared" ca="1" si="98"/>
        <v>0</v>
      </c>
      <c r="K34" s="997">
        <f t="shared" ca="1" si="99"/>
        <v>0</v>
      </c>
      <c r="L34" s="997" t="str">
        <f>IF(input_engine_r!$Z$21&gt;A33,VLOOKUP(A34,input_engine_r!$Z$23:$AD$36,3,FALSE),"")</f>
        <v/>
      </c>
      <c r="M34" s="1002" t="str">
        <f t="shared" ca="1" si="116"/>
        <v>up</v>
      </c>
      <c r="N34" s="1002" t="str">
        <f t="shared" si="137"/>
        <v/>
      </c>
      <c r="O34" s="1002" t="str">
        <f t="shared" si="100"/>
        <v/>
      </c>
      <c r="P34" s="1032">
        <f t="shared" si="117"/>
        <v>0.499</v>
      </c>
      <c r="Q34" s="997" t="str">
        <f t="shared" ca="1" si="118"/>
        <v/>
      </c>
      <c r="R34" s="997">
        <f t="shared" si="119"/>
        <v>0</v>
      </c>
      <c r="S34" s="1006">
        <f>IF(input_engine_r!$Z$21&gt;A33,VLOOKUP(A34,input_engine_r!$Z$23:$AD$35,4,FALSE),0)</f>
        <v>0</v>
      </c>
      <c r="T34" s="2442">
        <f t="shared" ca="1" si="120"/>
        <v>0</v>
      </c>
      <c r="U34" s="997" t="b">
        <f t="shared" si="121"/>
        <v>0</v>
      </c>
      <c r="V34" s="997" t="b">
        <f>advanced!$M$24="y"</f>
        <v>0</v>
      </c>
      <c r="W34" s="997">
        <f>data!$D$35</f>
        <v>15000</v>
      </c>
      <c r="X34" s="997" t="b">
        <f t="shared" si="24"/>
        <v>0</v>
      </c>
      <c r="Y34" s="997">
        <f t="shared" si="122"/>
        <v>0</v>
      </c>
      <c r="Z34" s="997">
        <f t="shared" si="101"/>
        <v>0</v>
      </c>
      <c r="AA34" s="1002">
        <f>data!$G$55</f>
        <v>75000</v>
      </c>
      <c r="AB34" s="1002">
        <f>data!$F$55</f>
        <v>0.02</v>
      </c>
      <c r="AC34" s="997">
        <f t="shared" si="123"/>
        <v>0</v>
      </c>
      <c r="AD34" s="997">
        <f>IF(B34="",0,(IF($AE$1=authorities!$I$1,0,IF(L34&gt;AE34,VLOOKUP($AD$1,authorities!A:H,C34+1,FALSE),0)))*L34/$CK$4*H34)</f>
        <v>0</v>
      </c>
      <c r="AE34" s="997">
        <f>IF($AE$1=authorities!$I$1,0,$AE$1)</f>
        <v>0</v>
      </c>
      <c r="AF34" s="1002">
        <f>IF(input_engine_r!$Z$21&gt;A33,VLOOKUP(A34,input_engine_r!$Z$23:$AD$35,5,FALSE),0)</f>
        <v>0</v>
      </c>
      <c r="AG34" s="1002">
        <f>data!$C$45</f>
        <v>2900</v>
      </c>
      <c r="AH34" s="1007">
        <f t="shared" si="102"/>
        <v>1</v>
      </c>
      <c r="AI34" s="997">
        <f t="shared" si="124"/>
        <v>0</v>
      </c>
      <c r="AJ34" s="997" t="b">
        <f t="shared" ca="1" si="125"/>
        <v>0</v>
      </c>
      <c r="AK34" s="997"/>
      <c r="AL34" s="997">
        <f t="shared" ca="1" si="126"/>
        <v>0</v>
      </c>
      <c r="AM34" s="997"/>
      <c r="AN34" s="997"/>
      <c r="AO34" s="1002">
        <f t="shared" si="103"/>
        <v>0</v>
      </c>
      <c r="AP34" s="1002">
        <f ca="1">SUM($AO$3:AO34)</f>
        <v>3</v>
      </c>
      <c r="AQ34" s="1002">
        <f t="shared" si="127"/>
        <v>365</v>
      </c>
      <c r="AR34" s="997">
        <f t="shared" ca="1" si="31"/>
        <v>0</v>
      </c>
      <c r="AS34" s="5"/>
      <c r="AT34" s="997">
        <f t="shared" ca="1" si="128"/>
        <v>0</v>
      </c>
      <c r="AU34" s="997" t="b">
        <f t="shared" ca="1" si="104"/>
        <v>1</v>
      </c>
      <c r="AV34" s="997" t="b">
        <f t="shared" si="9"/>
        <v>0</v>
      </c>
      <c r="AW34" s="997" t="b">
        <f t="shared" si="105"/>
        <v>0</v>
      </c>
      <c r="AX34" s="997">
        <f t="shared" ca="1" si="129"/>
        <v>0</v>
      </c>
      <c r="AY34" s="997">
        <f ca="1">AR34/reliefs!$F$7*AX34*-1</f>
        <v>0</v>
      </c>
      <c r="AZ34" s="1002">
        <f t="shared" ca="1" si="130"/>
        <v>0</v>
      </c>
      <c r="BA34" s="2370"/>
      <c r="BB34" s="997"/>
      <c r="BC34" s="997"/>
      <c r="BD34" s="997"/>
      <c r="BE34" s="997"/>
      <c r="BF34" s="1002"/>
      <c r="BG34" s="997">
        <f t="shared" ca="1" si="131"/>
        <v>0</v>
      </c>
      <c r="BH34" s="997">
        <f t="shared" si="138"/>
        <v>15000</v>
      </c>
      <c r="BI34" s="1001">
        <f t="shared" si="138"/>
        <v>0</v>
      </c>
      <c r="BJ34" s="997">
        <f t="shared" si="138"/>
        <v>5000000</v>
      </c>
      <c r="BK34" s="997">
        <f t="shared" si="138"/>
        <v>0.499</v>
      </c>
      <c r="BL34" s="997" t="b">
        <f t="shared" si="138"/>
        <v>1</v>
      </c>
      <c r="BM34" s="997" t="b">
        <f t="shared" si="138"/>
        <v>0</v>
      </c>
      <c r="BN34" s="997">
        <f>BN33</f>
        <v>1200</v>
      </c>
      <c r="BO34" s="997">
        <f t="shared" ca="1" si="106"/>
        <v>0</v>
      </c>
      <c r="BP34" s="997"/>
      <c r="BQ34" s="997"/>
      <c r="BR34" s="997">
        <f t="shared" si="87"/>
        <v>1800</v>
      </c>
      <c r="BS34" s="997"/>
      <c r="BT34" s="997" t="b">
        <f t="shared" ca="1" si="132"/>
        <v>0</v>
      </c>
      <c r="BU34" s="997" t="b">
        <f t="shared" si="139"/>
        <v>1</v>
      </c>
      <c r="BV34" s="997" t="b">
        <f t="shared" si="133"/>
        <v>0</v>
      </c>
      <c r="BW34" s="997" t="b">
        <f t="shared" ca="1" si="134"/>
        <v>0</v>
      </c>
      <c r="BX34" s="997" t="b">
        <f t="shared" ca="1" si="91"/>
        <v>0</v>
      </c>
      <c r="BY34" s="997">
        <f t="shared" ca="1" si="107"/>
        <v>1800</v>
      </c>
      <c r="BZ34" s="997">
        <f t="shared" si="108"/>
        <v>365</v>
      </c>
      <c r="CA34" s="997">
        <f t="shared" si="135"/>
        <v>0</v>
      </c>
      <c r="CB34" s="997">
        <f t="shared" ca="1" si="136"/>
        <v>0</v>
      </c>
      <c r="CC34" s="997">
        <f t="shared" ca="1" si="109"/>
        <v>0</v>
      </c>
      <c r="CD34" s="997"/>
      <c r="CE34" s="1002" t="b">
        <f t="shared" si="50"/>
        <v>0</v>
      </c>
      <c r="CF34" s="5"/>
      <c r="CG34" s="5"/>
    </row>
    <row r="35" spans="1:85" customFormat="1" x14ac:dyDescent="0.35">
      <c r="A35" s="997">
        <f t="shared" si="110"/>
        <v>6</v>
      </c>
      <c r="B35" s="1003" t="str">
        <f>IF(input_engine_r!$Z$21&gt;A34,VLOOKUP(A35,input_engine_r!$Z$23:$AD$35,2,FALSE),"")</f>
        <v/>
      </c>
      <c r="C35" s="997" t="str">
        <f t="shared" si="111"/>
        <v/>
      </c>
      <c r="D35" s="1003">
        <f t="shared" si="112"/>
        <v>46112</v>
      </c>
      <c r="E35" s="1002" t="str">
        <f ca="1">IF(B35="",E34,VLOOKUP(B35,input_engine_r!$B$23:$F$35,5,FALSE))</f>
        <v>nn</v>
      </c>
      <c r="F35" s="1003" t="str">
        <f t="shared" si="113"/>
        <v/>
      </c>
      <c r="G35" s="1003" t="str">
        <f t="shared" si="114"/>
        <v/>
      </c>
      <c r="H35" s="1002">
        <f t="shared" si="115"/>
        <v>0</v>
      </c>
      <c r="I35" s="997">
        <f t="shared" ca="1" si="97"/>
        <v>0</v>
      </c>
      <c r="J35" s="997">
        <f t="shared" ca="1" si="98"/>
        <v>0</v>
      </c>
      <c r="K35" s="997">
        <f t="shared" ca="1" si="99"/>
        <v>0</v>
      </c>
      <c r="L35" s="997" t="str">
        <f>IF(input_engine_r!$Z$21&gt;A34,VLOOKUP(A35,input_engine_r!$Z$23:$AD$36,3,FALSE),"")</f>
        <v/>
      </c>
      <c r="M35" s="1002" t="str">
        <f t="shared" ca="1" si="116"/>
        <v>up</v>
      </c>
      <c r="N35" s="1002" t="str">
        <f t="shared" si="137"/>
        <v/>
      </c>
      <c r="O35" s="1002" t="str">
        <f t="shared" si="100"/>
        <v/>
      </c>
      <c r="P35" s="1032">
        <f t="shared" si="117"/>
        <v>0.499</v>
      </c>
      <c r="Q35" s="997" t="str">
        <f t="shared" ca="1" si="118"/>
        <v/>
      </c>
      <c r="R35" s="997">
        <f t="shared" si="119"/>
        <v>0</v>
      </c>
      <c r="S35" s="1006">
        <f>IF(input_engine_r!$Z$21&gt;A34,VLOOKUP(A35,input_engine_r!$Z$23:$AD$35,4,FALSE),0)</f>
        <v>0</v>
      </c>
      <c r="T35" s="2442">
        <f t="shared" ca="1" si="120"/>
        <v>0</v>
      </c>
      <c r="U35" s="997" t="b">
        <f t="shared" si="121"/>
        <v>0</v>
      </c>
      <c r="V35" s="997" t="b">
        <f>advanced!$M$24="y"</f>
        <v>0</v>
      </c>
      <c r="W35" s="997">
        <f>data!$D$35</f>
        <v>15000</v>
      </c>
      <c r="X35" s="997" t="b">
        <f t="shared" si="24"/>
        <v>0</v>
      </c>
      <c r="Y35" s="997">
        <f t="shared" si="122"/>
        <v>0</v>
      </c>
      <c r="Z35" s="997">
        <f t="shared" si="101"/>
        <v>0</v>
      </c>
      <c r="AA35" s="1002">
        <f>data!$G$55</f>
        <v>75000</v>
      </c>
      <c r="AB35" s="1002">
        <f>data!$F$55</f>
        <v>0.02</v>
      </c>
      <c r="AC35" s="997">
        <f t="shared" si="123"/>
        <v>0</v>
      </c>
      <c r="AD35" s="997">
        <f>IF(B35="",0,(IF($AE$1=authorities!$I$1,0,IF(L35&gt;AE35,VLOOKUP($AD$1,authorities!A:H,C35+1,FALSE),0)))*L35/$CK$4*H35)</f>
        <v>0</v>
      </c>
      <c r="AE35" s="997">
        <f>IF($AE$1=authorities!$I$1,0,$AE$1)</f>
        <v>0</v>
      </c>
      <c r="AF35" s="1002">
        <f>IF(input_engine_r!$Z$21&gt;A34,VLOOKUP(A35,input_engine_r!$Z$23:$AD$35,5,FALSE),0)</f>
        <v>0</v>
      </c>
      <c r="AG35" s="1002">
        <f>data!$C$45</f>
        <v>2900</v>
      </c>
      <c r="AH35" s="1007">
        <f t="shared" si="102"/>
        <v>1</v>
      </c>
      <c r="AI35" s="997">
        <f t="shared" si="124"/>
        <v>0</v>
      </c>
      <c r="AJ35" s="997" t="b">
        <f t="shared" ca="1" si="125"/>
        <v>0</v>
      </c>
      <c r="AK35" s="997"/>
      <c r="AL35" s="997">
        <f t="shared" ca="1" si="126"/>
        <v>0</v>
      </c>
      <c r="AM35" s="997"/>
      <c r="AN35" s="997"/>
      <c r="AO35" s="1002">
        <f t="shared" si="103"/>
        <v>0</v>
      </c>
      <c r="AP35" s="1002">
        <f ca="1">SUM($AO$3:AO35)</f>
        <v>3</v>
      </c>
      <c r="AQ35" s="1002">
        <f t="shared" si="127"/>
        <v>365</v>
      </c>
      <c r="AR35" s="997">
        <f t="shared" ca="1" si="31"/>
        <v>0</v>
      </c>
      <c r="AS35" s="5"/>
      <c r="AT35" s="997">
        <f t="shared" ca="1" si="128"/>
        <v>0</v>
      </c>
      <c r="AU35" s="997" t="b">
        <f t="shared" ca="1" si="104"/>
        <v>1</v>
      </c>
      <c r="AV35" s="997" t="b">
        <f t="shared" si="9"/>
        <v>0</v>
      </c>
      <c r="AW35" s="997" t="b">
        <f t="shared" si="105"/>
        <v>0</v>
      </c>
      <c r="AX35" s="997">
        <f t="shared" ca="1" si="129"/>
        <v>0</v>
      </c>
      <c r="AY35" s="997">
        <f ca="1">AR35/reliefs!$F$7*AX35*-1</f>
        <v>0</v>
      </c>
      <c r="AZ35" s="1002">
        <f t="shared" ca="1" si="130"/>
        <v>0</v>
      </c>
      <c r="BA35" s="2370"/>
      <c r="BB35" s="997"/>
      <c r="BC35" s="997"/>
      <c r="BD35" s="997"/>
      <c r="BE35" s="997"/>
      <c r="BF35" s="1002"/>
      <c r="BG35" s="997">
        <f t="shared" ca="1" si="131"/>
        <v>0</v>
      </c>
      <c r="BH35" s="997">
        <f t="shared" si="138"/>
        <v>15000</v>
      </c>
      <c r="BI35" s="1001">
        <f t="shared" si="138"/>
        <v>0</v>
      </c>
      <c r="BJ35" s="997">
        <f t="shared" si="138"/>
        <v>5000000</v>
      </c>
      <c r="BK35" s="997">
        <f t="shared" si="138"/>
        <v>0.499</v>
      </c>
      <c r="BL35" s="997" t="b">
        <f t="shared" si="138"/>
        <v>1</v>
      </c>
      <c r="BM35" s="997" t="b">
        <f t="shared" si="138"/>
        <v>0</v>
      </c>
      <c r="BN35" s="997">
        <f t="shared" si="138"/>
        <v>1200</v>
      </c>
      <c r="BO35" s="997">
        <f t="shared" ca="1" si="106"/>
        <v>0</v>
      </c>
      <c r="BP35" s="997"/>
      <c r="BQ35" s="997"/>
      <c r="BR35" s="997">
        <f t="shared" si="87"/>
        <v>1800</v>
      </c>
      <c r="BS35" s="997"/>
      <c r="BT35" s="997" t="b">
        <f t="shared" ca="1" si="132"/>
        <v>0</v>
      </c>
      <c r="BU35" s="997" t="b">
        <f t="shared" si="139"/>
        <v>1</v>
      </c>
      <c r="BV35" s="997" t="b">
        <f t="shared" si="133"/>
        <v>0</v>
      </c>
      <c r="BW35" s="997" t="b">
        <f t="shared" ca="1" si="134"/>
        <v>0</v>
      </c>
      <c r="BX35" s="997" t="b">
        <f t="shared" ca="1" si="91"/>
        <v>0</v>
      </c>
      <c r="BY35" s="997">
        <f t="shared" ca="1" si="107"/>
        <v>1800</v>
      </c>
      <c r="BZ35" s="997">
        <f t="shared" si="108"/>
        <v>365</v>
      </c>
      <c r="CA35" s="997">
        <f t="shared" si="135"/>
        <v>0</v>
      </c>
      <c r="CB35" s="997">
        <f t="shared" ca="1" si="136"/>
        <v>0</v>
      </c>
      <c r="CC35" s="997">
        <f t="shared" ca="1" si="109"/>
        <v>0</v>
      </c>
      <c r="CD35" s="997"/>
      <c r="CE35" s="1002" t="b">
        <f t="shared" si="50"/>
        <v>0</v>
      </c>
      <c r="CF35" s="5"/>
      <c r="CG35" s="5"/>
    </row>
    <row r="36" spans="1:85" customFormat="1" x14ac:dyDescent="0.35">
      <c r="A36" s="997">
        <f t="shared" si="110"/>
        <v>7</v>
      </c>
      <c r="B36" s="1003" t="str">
        <f>IF(input_engine_r!$Z$21&gt;A35,VLOOKUP(A36,input_engine_r!$Z$23:$AD$35,2,FALSE),"")</f>
        <v/>
      </c>
      <c r="C36" s="997" t="str">
        <f t="shared" si="111"/>
        <v/>
      </c>
      <c r="D36" s="1003">
        <f t="shared" si="112"/>
        <v>46112</v>
      </c>
      <c r="E36" s="1002" t="str">
        <f ca="1">IF(B36="",E35,VLOOKUP(B36,input_engine_r!$B$23:$F$35,5,FALSE))</f>
        <v>nn</v>
      </c>
      <c r="F36" s="1003" t="str">
        <f t="shared" si="113"/>
        <v/>
      </c>
      <c r="G36" s="1003" t="str">
        <f t="shared" si="114"/>
        <v/>
      </c>
      <c r="H36" s="1002">
        <f t="shared" si="115"/>
        <v>0</v>
      </c>
      <c r="I36" s="997">
        <f t="shared" ca="1" si="97"/>
        <v>0</v>
      </c>
      <c r="J36" s="997">
        <f t="shared" ca="1" si="98"/>
        <v>0</v>
      </c>
      <c r="K36" s="997">
        <f t="shared" ca="1" si="99"/>
        <v>0</v>
      </c>
      <c r="L36" s="997" t="str">
        <f>IF(input_engine_r!$Z$21&gt;A35,VLOOKUP(A36,input_engine_r!$Z$23:$AD$36,3,FALSE),"")</f>
        <v/>
      </c>
      <c r="M36" s="1002" t="str">
        <f t="shared" ca="1" si="116"/>
        <v>up</v>
      </c>
      <c r="N36" s="1002" t="str">
        <f t="shared" si="137"/>
        <v/>
      </c>
      <c r="O36" s="1002" t="str">
        <f t="shared" si="100"/>
        <v/>
      </c>
      <c r="P36" s="1032">
        <f t="shared" si="117"/>
        <v>0.499</v>
      </c>
      <c r="Q36" s="997" t="str">
        <f t="shared" ca="1" si="118"/>
        <v/>
      </c>
      <c r="R36" s="997">
        <f t="shared" si="119"/>
        <v>0</v>
      </c>
      <c r="S36" s="1006">
        <f>IF(input_engine_r!$Z$21&gt;A35,VLOOKUP(A36,input_engine_r!$Z$23:$AD$35,4,FALSE),0)</f>
        <v>0</v>
      </c>
      <c r="T36" s="2442">
        <f t="shared" ca="1" si="120"/>
        <v>0</v>
      </c>
      <c r="U36" s="997" t="b">
        <f t="shared" si="121"/>
        <v>0</v>
      </c>
      <c r="V36" s="997" t="b">
        <f>advanced!$M$24="y"</f>
        <v>0</v>
      </c>
      <c r="W36" s="997">
        <f>data!$D$35</f>
        <v>15000</v>
      </c>
      <c r="X36" s="997" t="b">
        <f t="shared" si="24"/>
        <v>0</v>
      </c>
      <c r="Y36" s="997">
        <f t="shared" si="122"/>
        <v>0</v>
      </c>
      <c r="Z36" s="997">
        <f t="shared" si="101"/>
        <v>0</v>
      </c>
      <c r="AA36" s="1002">
        <f>data!$G$55</f>
        <v>75000</v>
      </c>
      <c r="AB36" s="1002">
        <f>data!$F$55</f>
        <v>0.02</v>
      </c>
      <c r="AC36" s="997">
        <f t="shared" si="123"/>
        <v>0</v>
      </c>
      <c r="AD36" s="997">
        <f>IF(B36="",0,(IF($AE$1=authorities!$I$1,0,IF(L36&gt;AE36,VLOOKUP($AD$1,authorities!A:H,C36+1,FALSE),0)))*L36/$CK$4*H36)</f>
        <v>0</v>
      </c>
      <c r="AE36" s="997">
        <f>IF($AE$1=authorities!$I$1,0,$AE$1)</f>
        <v>0</v>
      </c>
      <c r="AF36" s="1002">
        <f>IF(input_engine_r!$Z$21&gt;A35,VLOOKUP(A36,input_engine_r!$Z$23:$AD$35,5,FALSE),0)</f>
        <v>0</v>
      </c>
      <c r="AG36" s="1002">
        <f>data!$C$45</f>
        <v>2900</v>
      </c>
      <c r="AH36" s="1007">
        <f t="shared" si="102"/>
        <v>1</v>
      </c>
      <c r="AI36" s="997">
        <f t="shared" si="124"/>
        <v>0</v>
      </c>
      <c r="AJ36" s="997" t="b">
        <f t="shared" ca="1" si="125"/>
        <v>0</v>
      </c>
      <c r="AK36" s="997"/>
      <c r="AL36" s="997">
        <f t="shared" ca="1" si="126"/>
        <v>0</v>
      </c>
      <c r="AM36" s="997"/>
      <c r="AN36" s="997"/>
      <c r="AO36" s="1002">
        <f t="shared" si="103"/>
        <v>0</v>
      </c>
      <c r="AP36" s="1002">
        <f ca="1">SUM($AO$3:AO36)</f>
        <v>3</v>
      </c>
      <c r="AQ36" s="1002">
        <f t="shared" si="127"/>
        <v>365</v>
      </c>
      <c r="AR36" s="997">
        <f t="shared" ca="1" si="31"/>
        <v>0</v>
      </c>
      <c r="AS36" s="5"/>
      <c r="AT36" s="997">
        <f t="shared" ca="1" si="128"/>
        <v>0</v>
      </c>
      <c r="AU36" s="997" t="b">
        <f t="shared" ca="1" si="104"/>
        <v>1</v>
      </c>
      <c r="AV36" s="997" t="b">
        <f t="shared" si="9"/>
        <v>0</v>
      </c>
      <c r="AW36" s="997" t="b">
        <f t="shared" si="105"/>
        <v>0</v>
      </c>
      <c r="AX36" s="997">
        <f t="shared" ca="1" si="129"/>
        <v>0</v>
      </c>
      <c r="AY36" s="997">
        <f ca="1">AR36/reliefs!$F$7*AX36*-1</f>
        <v>0</v>
      </c>
      <c r="AZ36" s="1002">
        <f t="shared" ca="1" si="130"/>
        <v>0</v>
      </c>
      <c r="BA36" s="2370"/>
      <c r="BB36" s="997"/>
      <c r="BC36" s="997"/>
      <c r="BD36" s="997"/>
      <c r="BE36" s="997"/>
      <c r="BF36" s="1002"/>
      <c r="BG36" s="997">
        <f t="shared" ca="1" si="131"/>
        <v>0</v>
      </c>
      <c r="BH36" s="997">
        <f t="shared" si="138"/>
        <v>15000</v>
      </c>
      <c r="BI36" s="1001">
        <f t="shared" si="138"/>
        <v>0</v>
      </c>
      <c r="BJ36" s="997">
        <f t="shared" si="138"/>
        <v>5000000</v>
      </c>
      <c r="BK36" s="997">
        <f t="shared" si="138"/>
        <v>0.499</v>
      </c>
      <c r="BL36" s="997" t="b">
        <f t="shared" si="138"/>
        <v>1</v>
      </c>
      <c r="BM36" s="997" t="b">
        <f t="shared" si="138"/>
        <v>0</v>
      </c>
      <c r="BN36" s="997">
        <f t="shared" si="138"/>
        <v>1200</v>
      </c>
      <c r="BO36" s="997">
        <f t="shared" ca="1" si="106"/>
        <v>0</v>
      </c>
      <c r="BP36" s="997"/>
      <c r="BQ36" s="997"/>
      <c r="BR36" s="997">
        <f t="shared" si="87"/>
        <v>1800</v>
      </c>
      <c r="BS36" s="997"/>
      <c r="BT36" s="997" t="b">
        <f t="shared" ca="1" si="132"/>
        <v>0</v>
      </c>
      <c r="BU36" s="997" t="b">
        <f t="shared" si="139"/>
        <v>1</v>
      </c>
      <c r="BV36" s="997" t="b">
        <f t="shared" si="133"/>
        <v>0</v>
      </c>
      <c r="BW36" s="997" t="b">
        <f t="shared" ca="1" si="134"/>
        <v>0</v>
      </c>
      <c r="BX36" s="997" t="b">
        <f t="shared" ca="1" si="91"/>
        <v>0</v>
      </c>
      <c r="BY36" s="997">
        <f t="shared" ca="1" si="107"/>
        <v>1800</v>
      </c>
      <c r="BZ36" s="997">
        <f t="shared" si="108"/>
        <v>365</v>
      </c>
      <c r="CA36" s="997">
        <f t="shared" si="135"/>
        <v>0</v>
      </c>
      <c r="CB36" s="997">
        <f t="shared" ca="1" si="136"/>
        <v>0</v>
      </c>
      <c r="CC36" s="997">
        <f t="shared" ca="1" si="109"/>
        <v>0</v>
      </c>
      <c r="CD36" s="997"/>
      <c r="CE36" s="1002" t="b">
        <f t="shared" si="50"/>
        <v>0</v>
      </c>
      <c r="CF36" s="5"/>
      <c r="CG36" s="5"/>
    </row>
    <row r="37" spans="1:85" customFormat="1" x14ac:dyDescent="0.35">
      <c r="A37" s="997">
        <f t="shared" si="110"/>
        <v>8</v>
      </c>
      <c r="B37" s="1003" t="str">
        <f>IF(input_engine_r!$Z$21&gt;A36,VLOOKUP(A37,input_engine_r!$Z$23:$AD$35,2,FALSE),"")</f>
        <v/>
      </c>
      <c r="C37" s="997" t="str">
        <f t="shared" si="111"/>
        <v/>
      </c>
      <c r="D37" s="1003">
        <f t="shared" si="112"/>
        <v>46112</v>
      </c>
      <c r="E37" s="1002" t="str">
        <f ca="1">IF(B37="",E36,VLOOKUP(B37,input_engine_r!$B$23:$F$35,5,FALSE))</f>
        <v>nn</v>
      </c>
      <c r="F37" s="1003" t="str">
        <f t="shared" si="113"/>
        <v/>
      </c>
      <c r="G37" s="1003" t="str">
        <f t="shared" si="114"/>
        <v/>
      </c>
      <c r="H37" s="1002">
        <f t="shared" si="115"/>
        <v>0</v>
      </c>
      <c r="I37" s="997">
        <f t="shared" ca="1" si="97"/>
        <v>0</v>
      </c>
      <c r="J37" s="997">
        <f t="shared" ca="1" si="98"/>
        <v>0</v>
      </c>
      <c r="K37" s="997">
        <f t="shared" ca="1" si="99"/>
        <v>0</v>
      </c>
      <c r="L37" s="997" t="str">
        <f>IF(input_engine_r!$Z$21&gt;A36,VLOOKUP(A37,input_engine_r!$Z$23:$AD$36,3,FALSE),"")</f>
        <v/>
      </c>
      <c r="M37" s="1002" t="str">
        <f t="shared" ca="1" si="116"/>
        <v>up</v>
      </c>
      <c r="N37" s="1002" t="str">
        <f t="shared" si="137"/>
        <v/>
      </c>
      <c r="O37" s="1002" t="str">
        <f t="shared" si="100"/>
        <v/>
      </c>
      <c r="P37" s="1032">
        <f t="shared" si="117"/>
        <v>0.499</v>
      </c>
      <c r="Q37" s="997" t="str">
        <f t="shared" ca="1" si="118"/>
        <v/>
      </c>
      <c r="R37" s="997">
        <f t="shared" si="119"/>
        <v>0</v>
      </c>
      <c r="S37" s="1006">
        <f>IF(input_engine_r!$Z$21&gt;A36,VLOOKUP(A37,input_engine_r!$Z$23:$AD$35,4,FALSE),0)</f>
        <v>0</v>
      </c>
      <c r="T37" s="2442">
        <f t="shared" ca="1" si="120"/>
        <v>0</v>
      </c>
      <c r="U37" s="997" t="b">
        <f t="shared" si="121"/>
        <v>0</v>
      </c>
      <c r="V37" s="997" t="b">
        <f>advanced!$M$24="y"</f>
        <v>0</v>
      </c>
      <c r="W37" s="997">
        <f>data!$D$35</f>
        <v>15000</v>
      </c>
      <c r="X37" s="997" t="b">
        <f t="shared" si="24"/>
        <v>0</v>
      </c>
      <c r="Y37" s="997">
        <f t="shared" si="122"/>
        <v>0</v>
      </c>
      <c r="Z37" s="997">
        <f t="shared" si="101"/>
        <v>0</v>
      </c>
      <c r="AA37" s="1002">
        <f>data!$G$55</f>
        <v>75000</v>
      </c>
      <c r="AB37" s="1002">
        <f>data!$F$55</f>
        <v>0.02</v>
      </c>
      <c r="AC37" s="997">
        <f t="shared" si="123"/>
        <v>0</v>
      </c>
      <c r="AD37" s="997">
        <f>IF(B37="",0,(IF($AE$1=authorities!$I$1,0,IF(L37&gt;AE37,VLOOKUP($AD$1,authorities!A:H,C37+1,FALSE),0)))*L37/$CK$4*H37)</f>
        <v>0</v>
      </c>
      <c r="AE37" s="997">
        <f>IF($AE$1=authorities!$I$1,0,$AE$1)</f>
        <v>0</v>
      </c>
      <c r="AF37" s="1002">
        <f>IF(input_engine_r!$Z$21&gt;A36,VLOOKUP(A37,input_engine_r!$Z$23:$AD$35,5,FALSE),0)</f>
        <v>0</v>
      </c>
      <c r="AG37" s="1002">
        <f>data!$C$45</f>
        <v>2900</v>
      </c>
      <c r="AH37" s="1007">
        <f t="shared" si="102"/>
        <v>1</v>
      </c>
      <c r="AI37" s="997">
        <f t="shared" si="124"/>
        <v>0</v>
      </c>
      <c r="AJ37" s="997" t="b">
        <f t="shared" ca="1" si="125"/>
        <v>0</v>
      </c>
      <c r="AK37" s="997"/>
      <c r="AL37" s="997">
        <f t="shared" ca="1" si="126"/>
        <v>0</v>
      </c>
      <c r="AM37" s="997"/>
      <c r="AN37" s="997"/>
      <c r="AO37" s="1002">
        <f t="shared" si="103"/>
        <v>0</v>
      </c>
      <c r="AP37" s="1002">
        <f ca="1">SUM($AO$3:AO37)</f>
        <v>3</v>
      </c>
      <c r="AQ37" s="1002">
        <f t="shared" si="127"/>
        <v>365</v>
      </c>
      <c r="AR37" s="997">
        <f t="shared" ca="1" si="31"/>
        <v>0</v>
      </c>
      <c r="AS37" s="5"/>
      <c r="AT37" s="997">
        <f t="shared" ca="1" si="128"/>
        <v>0</v>
      </c>
      <c r="AU37" s="997" t="b">
        <f t="shared" ca="1" si="104"/>
        <v>1</v>
      </c>
      <c r="AV37" s="997" t="b">
        <f t="shared" si="9"/>
        <v>0</v>
      </c>
      <c r="AW37" s="997" t="b">
        <f t="shared" si="105"/>
        <v>0</v>
      </c>
      <c r="AX37" s="997">
        <f t="shared" ca="1" si="129"/>
        <v>0</v>
      </c>
      <c r="AY37" s="997">
        <f ca="1">AR37/reliefs!$F$7*AX37*-1</f>
        <v>0</v>
      </c>
      <c r="AZ37" s="1002">
        <f t="shared" ca="1" si="130"/>
        <v>0</v>
      </c>
      <c r="BA37" s="2370"/>
      <c r="BB37" s="997"/>
      <c r="BC37" s="997"/>
      <c r="BD37" s="997"/>
      <c r="BE37" s="997"/>
      <c r="BF37" s="1002"/>
      <c r="BG37" s="997">
        <f t="shared" ca="1" si="131"/>
        <v>0</v>
      </c>
      <c r="BH37" s="997">
        <f t="shared" si="138"/>
        <v>15000</v>
      </c>
      <c r="BI37" s="1001">
        <f t="shared" si="138"/>
        <v>0</v>
      </c>
      <c r="BJ37" s="997">
        <f t="shared" si="138"/>
        <v>5000000</v>
      </c>
      <c r="BK37" s="997">
        <f t="shared" si="138"/>
        <v>0.499</v>
      </c>
      <c r="BL37" s="997" t="b">
        <f t="shared" si="138"/>
        <v>1</v>
      </c>
      <c r="BM37" s="997" t="b">
        <f t="shared" si="138"/>
        <v>0</v>
      </c>
      <c r="BN37" s="997">
        <f t="shared" si="138"/>
        <v>1200</v>
      </c>
      <c r="BO37" s="997">
        <f t="shared" ca="1" si="106"/>
        <v>0</v>
      </c>
      <c r="BP37" s="997"/>
      <c r="BQ37" s="997"/>
      <c r="BR37" s="997">
        <f t="shared" si="87"/>
        <v>1800</v>
      </c>
      <c r="BS37" s="997"/>
      <c r="BT37" s="997" t="b">
        <f t="shared" ca="1" si="132"/>
        <v>0</v>
      </c>
      <c r="BU37" s="997" t="b">
        <f t="shared" si="139"/>
        <v>1</v>
      </c>
      <c r="BV37" s="997" t="b">
        <f t="shared" si="133"/>
        <v>0</v>
      </c>
      <c r="BW37" s="997" t="b">
        <f t="shared" ca="1" si="134"/>
        <v>0</v>
      </c>
      <c r="BX37" s="997" t="b">
        <f t="shared" ca="1" si="91"/>
        <v>0</v>
      </c>
      <c r="BY37" s="997">
        <f t="shared" ca="1" si="107"/>
        <v>1800</v>
      </c>
      <c r="BZ37" s="997">
        <f t="shared" si="108"/>
        <v>365</v>
      </c>
      <c r="CA37" s="997">
        <f t="shared" si="135"/>
        <v>0</v>
      </c>
      <c r="CB37" s="997">
        <f t="shared" ca="1" si="136"/>
        <v>0</v>
      </c>
      <c r="CC37" s="997">
        <f t="shared" ca="1" si="109"/>
        <v>0</v>
      </c>
      <c r="CD37" s="997"/>
      <c r="CE37" s="1002" t="b">
        <f t="shared" si="50"/>
        <v>0</v>
      </c>
      <c r="CF37" s="5"/>
      <c r="CG37" s="5"/>
    </row>
    <row r="38" spans="1:85" customFormat="1" x14ac:dyDescent="0.35">
      <c r="A38" s="997">
        <f t="shared" si="110"/>
        <v>9</v>
      </c>
      <c r="B38" s="1003" t="str">
        <f>IF(input_engine_r!$Z$21&gt;A37,VLOOKUP(A38,input_engine_r!$Z$23:$AD$35,2,FALSE),"")</f>
        <v/>
      </c>
      <c r="C38" s="997" t="str">
        <f t="shared" si="111"/>
        <v/>
      </c>
      <c r="D38" s="1003">
        <f t="shared" si="112"/>
        <v>46112</v>
      </c>
      <c r="E38" s="1002" t="str">
        <f ca="1">IF(B38="",E37,VLOOKUP(B38,input_engine_r!$B$23:$F$35,5,FALSE))</f>
        <v>nn</v>
      </c>
      <c r="F38" s="1003" t="str">
        <f t="shared" si="113"/>
        <v/>
      </c>
      <c r="G38" s="1003" t="str">
        <f t="shared" si="114"/>
        <v/>
      </c>
      <c r="H38" s="1002">
        <f t="shared" si="115"/>
        <v>0</v>
      </c>
      <c r="I38" s="997">
        <f t="shared" ca="1" si="97"/>
        <v>0</v>
      </c>
      <c r="J38" s="997">
        <f t="shared" ca="1" si="98"/>
        <v>0</v>
      </c>
      <c r="K38" s="997">
        <f t="shared" ca="1" si="99"/>
        <v>0</v>
      </c>
      <c r="L38" s="997" t="str">
        <f>IF(input_engine_r!$Z$21&gt;A37,VLOOKUP(A38,input_engine_r!$Z$23:$AD$36,3,FALSE),"")</f>
        <v/>
      </c>
      <c r="M38" s="1002" t="str">
        <f t="shared" ca="1" si="116"/>
        <v>up</v>
      </c>
      <c r="N38" s="1002" t="str">
        <f t="shared" si="137"/>
        <v/>
      </c>
      <c r="O38" s="1002" t="str">
        <f t="shared" si="100"/>
        <v/>
      </c>
      <c r="P38" s="1032">
        <f t="shared" si="117"/>
        <v>0.499</v>
      </c>
      <c r="Q38" s="997" t="str">
        <f t="shared" ca="1" si="118"/>
        <v/>
      </c>
      <c r="R38" s="997">
        <f t="shared" si="119"/>
        <v>0</v>
      </c>
      <c r="S38" s="1006">
        <f>IF(input_engine_r!$Z$21&gt;A37,VLOOKUP(A38,input_engine_r!$Z$23:$AD$35,4,FALSE),0)</f>
        <v>0</v>
      </c>
      <c r="T38" s="2442">
        <f t="shared" ca="1" si="120"/>
        <v>0</v>
      </c>
      <c r="U38" s="997" t="b">
        <f t="shared" si="121"/>
        <v>0</v>
      </c>
      <c r="V38" s="997" t="b">
        <f>advanced!$M$24="y"</f>
        <v>0</v>
      </c>
      <c r="W38" s="997">
        <f>data!$D$35</f>
        <v>15000</v>
      </c>
      <c r="X38" s="997" t="b">
        <f t="shared" si="24"/>
        <v>0</v>
      </c>
      <c r="Y38" s="997">
        <f t="shared" si="122"/>
        <v>0</v>
      </c>
      <c r="Z38" s="997">
        <f t="shared" si="101"/>
        <v>0</v>
      </c>
      <c r="AA38" s="1002">
        <f>data!$G$55</f>
        <v>75000</v>
      </c>
      <c r="AB38" s="1002">
        <f>data!$F$55</f>
        <v>0.02</v>
      </c>
      <c r="AC38" s="997">
        <f t="shared" si="123"/>
        <v>0</v>
      </c>
      <c r="AD38" s="997">
        <f>IF(B38="",0,(IF($AE$1=authorities!$I$1,0,IF(L38&gt;AE38,VLOOKUP($AD$1,authorities!A:H,C38+1,FALSE),0)))*L38/$CK$4*H38)</f>
        <v>0</v>
      </c>
      <c r="AE38" s="997">
        <f>IF($AE$1=authorities!$I$1,0,$AE$1)</f>
        <v>0</v>
      </c>
      <c r="AF38" s="1002">
        <f>IF(input_engine_r!$Z$21&gt;A37,VLOOKUP(A38,input_engine_r!$Z$23:$AD$35,5,FALSE),0)</f>
        <v>0</v>
      </c>
      <c r="AG38" s="1002">
        <f>data!$C$45</f>
        <v>2900</v>
      </c>
      <c r="AH38" s="1007">
        <f t="shared" si="102"/>
        <v>1</v>
      </c>
      <c r="AI38" s="997">
        <f t="shared" si="124"/>
        <v>0</v>
      </c>
      <c r="AJ38" s="997" t="b">
        <f t="shared" ca="1" si="125"/>
        <v>0</v>
      </c>
      <c r="AK38" s="997"/>
      <c r="AL38" s="997">
        <f t="shared" ca="1" si="126"/>
        <v>0</v>
      </c>
      <c r="AM38" s="997"/>
      <c r="AN38" s="997"/>
      <c r="AO38" s="1002">
        <f t="shared" si="103"/>
        <v>0</v>
      </c>
      <c r="AP38" s="1002">
        <f ca="1">SUM($AO$3:AO38)</f>
        <v>3</v>
      </c>
      <c r="AQ38" s="1002">
        <f t="shared" si="127"/>
        <v>365</v>
      </c>
      <c r="AR38" s="997">
        <f t="shared" ca="1" si="31"/>
        <v>0</v>
      </c>
      <c r="AS38" s="5"/>
      <c r="AT38" s="997">
        <f t="shared" ca="1" si="128"/>
        <v>0</v>
      </c>
      <c r="AU38" s="997" t="b">
        <f t="shared" ca="1" si="104"/>
        <v>1</v>
      </c>
      <c r="AV38" s="997" t="b">
        <f t="shared" si="9"/>
        <v>0</v>
      </c>
      <c r="AW38" s="997" t="b">
        <f t="shared" si="105"/>
        <v>0</v>
      </c>
      <c r="AX38" s="997">
        <f t="shared" ca="1" si="129"/>
        <v>0</v>
      </c>
      <c r="AY38" s="997">
        <f ca="1">AR38/reliefs!$F$7*AX38*-1</f>
        <v>0</v>
      </c>
      <c r="AZ38" s="1002">
        <f t="shared" ca="1" si="130"/>
        <v>0</v>
      </c>
      <c r="BA38" s="2370"/>
      <c r="BB38" s="997"/>
      <c r="BC38" s="997"/>
      <c r="BD38" s="997"/>
      <c r="BE38" s="997"/>
      <c r="BF38" s="1002"/>
      <c r="BG38" s="997">
        <f t="shared" ca="1" si="131"/>
        <v>0</v>
      </c>
      <c r="BH38" s="997">
        <f t="shared" si="138"/>
        <v>15000</v>
      </c>
      <c r="BI38" s="1001">
        <f t="shared" si="138"/>
        <v>0</v>
      </c>
      <c r="BJ38" s="997">
        <f t="shared" si="138"/>
        <v>5000000</v>
      </c>
      <c r="BK38" s="997">
        <f t="shared" si="138"/>
        <v>0.499</v>
      </c>
      <c r="BL38" s="997" t="b">
        <f t="shared" si="138"/>
        <v>1</v>
      </c>
      <c r="BM38" s="997" t="b">
        <f t="shared" si="138"/>
        <v>0</v>
      </c>
      <c r="BN38" s="997">
        <f t="shared" si="138"/>
        <v>1200</v>
      </c>
      <c r="BO38" s="997">
        <f t="shared" ca="1" si="106"/>
        <v>0</v>
      </c>
      <c r="BP38" s="997"/>
      <c r="BQ38" s="997"/>
      <c r="BR38" s="997">
        <f t="shared" si="87"/>
        <v>1800</v>
      </c>
      <c r="BS38" s="997"/>
      <c r="BT38" s="997" t="b">
        <f t="shared" ca="1" si="132"/>
        <v>0</v>
      </c>
      <c r="BU38" s="997" t="b">
        <f t="shared" si="139"/>
        <v>1</v>
      </c>
      <c r="BV38" s="997" t="b">
        <f t="shared" si="133"/>
        <v>0</v>
      </c>
      <c r="BW38" s="997" t="b">
        <f t="shared" ca="1" si="134"/>
        <v>0</v>
      </c>
      <c r="BX38" s="997" t="b">
        <f t="shared" ca="1" si="91"/>
        <v>0</v>
      </c>
      <c r="BY38" s="997">
        <f t="shared" ca="1" si="107"/>
        <v>1800</v>
      </c>
      <c r="BZ38" s="997">
        <f t="shared" si="108"/>
        <v>365</v>
      </c>
      <c r="CA38" s="997">
        <f t="shared" si="135"/>
        <v>0</v>
      </c>
      <c r="CB38" s="997">
        <f t="shared" ca="1" si="136"/>
        <v>0</v>
      </c>
      <c r="CC38" s="997">
        <f t="shared" ca="1" si="109"/>
        <v>0</v>
      </c>
      <c r="CD38" s="997"/>
      <c r="CE38" s="1002" t="b">
        <f t="shared" si="50"/>
        <v>0</v>
      </c>
      <c r="CF38" s="5"/>
      <c r="CG38" s="5"/>
    </row>
    <row r="39" spans="1:85" customFormat="1" x14ac:dyDescent="0.35">
      <c r="A39" s="997">
        <f t="shared" si="110"/>
        <v>10</v>
      </c>
      <c r="B39" s="1003" t="str">
        <f>IF(input_engine_r!$Z$21&gt;A38,VLOOKUP(A39,input_engine_r!$Z$23:$AD$35,2,FALSE),"")</f>
        <v/>
      </c>
      <c r="C39" s="997" t="str">
        <f t="shared" si="111"/>
        <v/>
      </c>
      <c r="D39" s="1003">
        <f t="shared" si="112"/>
        <v>46112</v>
      </c>
      <c r="E39" s="1002" t="str">
        <f ca="1">IF(B39="",E38,VLOOKUP(B39,input_engine_r!$B$23:$F$35,5,FALSE))</f>
        <v>nn</v>
      </c>
      <c r="F39" s="1003" t="str">
        <f t="shared" si="113"/>
        <v/>
      </c>
      <c r="G39" s="1003" t="str">
        <f t="shared" si="114"/>
        <v/>
      </c>
      <c r="H39" s="1002">
        <f t="shared" si="115"/>
        <v>0</v>
      </c>
      <c r="I39" s="997">
        <f t="shared" ca="1" si="97"/>
        <v>0</v>
      </c>
      <c r="J39" s="997">
        <f t="shared" ca="1" si="98"/>
        <v>0</v>
      </c>
      <c r="K39" s="997">
        <f t="shared" ca="1" si="99"/>
        <v>0</v>
      </c>
      <c r="L39" s="997" t="str">
        <f>IF(input_engine_r!$Z$21&gt;A38,VLOOKUP(A39,input_engine_r!$Z$23:$AD$36,3,FALSE),"")</f>
        <v/>
      </c>
      <c r="M39" s="1002" t="str">
        <f t="shared" ca="1" si="116"/>
        <v>up</v>
      </c>
      <c r="N39" s="1002" t="str">
        <f t="shared" si="137"/>
        <v/>
      </c>
      <c r="O39" s="1002" t="str">
        <f t="shared" si="100"/>
        <v/>
      </c>
      <c r="P39" s="1032">
        <f t="shared" si="117"/>
        <v>0.499</v>
      </c>
      <c r="Q39" s="997" t="str">
        <f t="shared" ca="1" si="118"/>
        <v/>
      </c>
      <c r="R39" s="997">
        <f t="shared" si="119"/>
        <v>0</v>
      </c>
      <c r="S39" s="1006">
        <f>IF(input_engine_r!$Z$21&gt;A38,VLOOKUP(A39,input_engine_r!$Z$23:$AD$35,4,FALSE),0)</f>
        <v>0</v>
      </c>
      <c r="T39" s="2442">
        <f t="shared" ca="1" si="120"/>
        <v>0</v>
      </c>
      <c r="U39" s="997" t="b">
        <f t="shared" si="121"/>
        <v>0</v>
      </c>
      <c r="V39" s="997" t="b">
        <f>advanced!$M$24="y"</f>
        <v>0</v>
      </c>
      <c r="W39" s="997">
        <f>data!$D$35</f>
        <v>15000</v>
      </c>
      <c r="X39" s="997" t="b">
        <f t="shared" si="24"/>
        <v>0</v>
      </c>
      <c r="Y39" s="997">
        <f t="shared" si="122"/>
        <v>0</v>
      </c>
      <c r="Z39" s="997">
        <f t="shared" si="101"/>
        <v>0</v>
      </c>
      <c r="AA39" s="1002">
        <f>data!$G$55</f>
        <v>75000</v>
      </c>
      <c r="AB39" s="1002">
        <f>data!$F$55</f>
        <v>0.02</v>
      </c>
      <c r="AC39" s="997">
        <f t="shared" si="123"/>
        <v>0</v>
      </c>
      <c r="AD39" s="997">
        <f>IF(B39="",0,(IF($AE$1=authorities!$I$1,0,IF(L39&gt;AE39,VLOOKUP($AD$1,authorities!A:H,C39+1,FALSE),0)))*L39/$CK$4*H39)</f>
        <v>0</v>
      </c>
      <c r="AE39" s="997">
        <f>IF($AE$1=authorities!$I$1,0,$AE$1)</f>
        <v>0</v>
      </c>
      <c r="AF39" s="1002">
        <f>IF(input_engine_r!$Z$21&gt;A38,VLOOKUP(A39,input_engine_r!$Z$23:$AD$35,5,FALSE),0)</f>
        <v>0</v>
      </c>
      <c r="AG39" s="1002">
        <f>data!$C$45</f>
        <v>2900</v>
      </c>
      <c r="AH39" s="1007">
        <f t="shared" si="102"/>
        <v>1</v>
      </c>
      <c r="AI39" s="997">
        <f t="shared" si="124"/>
        <v>0</v>
      </c>
      <c r="AJ39" s="997" t="b">
        <f t="shared" ca="1" si="125"/>
        <v>0</v>
      </c>
      <c r="AK39" s="997"/>
      <c r="AL39" s="997">
        <f t="shared" ca="1" si="126"/>
        <v>0</v>
      </c>
      <c r="AM39" s="997"/>
      <c r="AN39" s="997"/>
      <c r="AO39" s="1002">
        <f t="shared" si="103"/>
        <v>0</v>
      </c>
      <c r="AP39" s="1002">
        <f ca="1">SUM($AO$3:AO39)</f>
        <v>3</v>
      </c>
      <c r="AQ39" s="1002">
        <f t="shared" si="127"/>
        <v>365</v>
      </c>
      <c r="AR39" s="997">
        <f t="shared" ca="1" si="31"/>
        <v>0</v>
      </c>
      <c r="AS39" s="5"/>
      <c r="AT39" s="997">
        <f t="shared" ca="1" si="128"/>
        <v>0</v>
      </c>
      <c r="AU39" s="997" t="b">
        <f t="shared" ca="1" si="104"/>
        <v>1</v>
      </c>
      <c r="AV39" s="997" t="b">
        <f t="shared" si="9"/>
        <v>0</v>
      </c>
      <c r="AW39" s="997" t="b">
        <f t="shared" si="105"/>
        <v>0</v>
      </c>
      <c r="AX39" s="997">
        <f t="shared" ca="1" si="129"/>
        <v>0</v>
      </c>
      <c r="AY39" s="997">
        <f ca="1">AR39/reliefs!$F$7*AX39*-1</f>
        <v>0</v>
      </c>
      <c r="AZ39" s="1002">
        <f t="shared" ca="1" si="130"/>
        <v>0</v>
      </c>
      <c r="BA39" s="2370"/>
      <c r="BB39" s="997"/>
      <c r="BC39" s="997"/>
      <c r="BD39" s="997"/>
      <c r="BE39" s="997"/>
      <c r="BF39" s="1002"/>
      <c r="BG39" s="997">
        <f t="shared" ca="1" si="131"/>
        <v>0</v>
      </c>
      <c r="BH39" s="997">
        <f t="shared" si="138"/>
        <v>15000</v>
      </c>
      <c r="BI39" s="1001">
        <f t="shared" si="138"/>
        <v>0</v>
      </c>
      <c r="BJ39" s="997">
        <f t="shared" si="138"/>
        <v>5000000</v>
      </c>
      <c r="BK39" s="997">
        <f t="shared" si="138"/>
        <v>0.499</v>
      </c>
      <c r="BL39" s="997" t="b">
        <f t="shared" si="138"/>
        <v>1</v>
      </c>
      <c r="BM39" s="997" t="b">
        <f t="shared" si="138"/>
        <v>0</v>
      </c>
      <c r="BN39" s="997">
        <f t="shared" si="138"/>
        <v>1200</v>
      </c>
      <c r="BO39" s="997">
        <f t="shared" ca="1" si="106"/>
        <v>0</v>
      </c>
      <c r="BP39" s="997"/>
      <c r="BQ39" s="997"/>
      <c r="BR39" s="997">
        <f t="shared" si="87"/>
        <v>1800</v>
      </c>
      <c r="BS39" s="997"/>
      <c r="BT39" s="997" t="b">
        <f t="shared" ca="1" si="132"/>
        <v>0</v>
      </c>
      <c r="BU39" s="997" t="b">
        <f t="shared" si="139"/>
        <v>1</v>
      </c>
      <c r="BV39" s="997" t="b">
        <f t="shared" si="133"/>
        <v>0</v>
      </c>
      <c r="BW39" s="997" t="b">
        <f t="shared" ca="1" si="134"/>
        <v>0</v>
      </c>
      <c r="BX39" s="997" t="b">
        <f t="shared" ca="1" si="91"/>
        <v>0</v>
      </c>
      <c r="BY39" s="997">
        <f t="shared" ca="1" si="107"/>
        <v>1800</v>
      </c>
      <c r="BZ39" s="997">
        <f t="shared" si="108"/>
        <v>365</v>
      </c>
      <c r="CA39" s="997">
        <f t="shared" si="135"/>
        <v>0</v>
      </c>
      <c r="CB39" s="997">
        <f t="shared" ca="1" si="136"/>
        <v>0</v>
      </c>
      <c r="CC39" s="997">
        <f t="shared" ca="1" si="109"/>
        <v>0</v>
      </c>
      <c r="CD39" s="997"/>
      <c r="CE39" s="1002" t="b">
        <f t="shared" si="50"/>
        <v>0</v>
      </c>
      <c r="CF39" s="5"/>
      <c r="CG39" s="5"/>
    </row>
    <row r="40" spans="1:85" customFormat="1" x14ac:dyDescent="0.35">
      <c r="A40" s="997">
        <f t="shared" si="110"/>
        <v>11</v>
      </c>
      <c r="B40" s="1003" t="str">
        <f>IF(input_engine_r!$Z$21&gt;A39,VLOOKUP(A40,input_engine_r!$Z$23:$AD$35,2,FALSE),"")</f>
        <v/>
      </c>
      <c r="C40" s="997" t="str">
        <f t="shared" si="111"/>
        <v/>
      </c>
      <c r="D40" s="1003">
        <f t="shared" si="112"/>
        <v>46112</v>
      </c>
      <c r="E40" s="1002" t="str">
        <f ca="1">IF(B40="",E39,VLOOKUP(B40,input_engine_r!$B$23:$F$35,5,FALSE))</f>
        <v>nn</v>
      </c>
      <c r="F40" s="1003" t="str">
        <f t="shared" si="113"/>
        <v/>
      </c>
      <c r="G40" s="1003" t="str">
        <f>IF(B40="","",IF(#REF!=C40,#REF!-1,D40))</f>
        <v/>
      </c>
      <c r="H40" s="1002">
        <f t="shared" si="115"/>
        <v>0</v>
      </c>
      <c r="I40" s="997">
        <f t="shared" ca="1" si="97"/>
        <v>0</v>
      </c>
      <c r="J40" s="997">
        <f t="shared" ca="1" si="98"/>
        <v>0</v>
      </c>
      <c r="K40" s="997">
        <f t="shared" ca="1" si="99"/>
        <v>0</v>
      </c>
      <c r="L40" s="997" t="str">
        <f>IF(input_engine_r!$Z$21&gt;A39,VLOOKUP(A40,input_engine_r!$Z$23:$AD$36,3,FALSE),"")</f>
        <v/>
      </c>
      <c r="M40" s="1002" t="str">
        <f t="shared" ca="1" si="116"/>
        <v>up</v>
      </c>
      <c r="N40" s="1002" t="str">
        <f t="shared" si="137"/>
        <v/>
      </c>
      <c r="O40" s="1002" t="str">
        <f t="shared" si="100"/>
        <v/>
      </c>
      <c r="P40" s="1032">
        <f t="shared" si="117"/>
        <v>0.499</v>
      </c>
      <c r="Q40" s="997" t="str">
        <f t="shared" ca="1" si="118"/>
        <v/>
      </c>
      <c r="R40" s="997">
        <f t="shared" si="119"/>
        <v>0</v>
      </c>
      <c r="S40" s="1006">
        <f>IF(input_engine_r!$Z$21&gt;A39,VLOOKUP(A40,input_engine_r!$Z$23:$AD$35,4,FALSE),0)</f>
        <v>0</v>
      </c>
      <c r="T40" s="2442">
        <f t="shared" ca="1" si="120"/>
        <v>0</v>
      </c>
      <c r="U40" s="997" t="b">
        <f t="shared" si="121"/>
        <v>0</v>
      </c>
      <c r="V40" s="997" t="b">
        <f>advanced!$M$24="y"</f>
        <v>0</v>
      </c>
      <c r="W40" s="997">
        <f>data!$D$35</f>
        <v>15000</v>
      </c>
      <c r="X40" s="997" t="b">
        <f t="shared" si="24"/>
        <v>0</v>
      </c>
      <c r="Y40" s="997">
        <f t="shared" si="122"/>
        <v>0</v>
      </c>
      <c r="Z40" s="997">
        <f t="shared" si="101"/>
        <v>0</v>
      </c>
      <c r="AA40" s="1002">
        <f>data!$G$55</f>
        <v>75000</v>
      </c>
      <c r="AB40" s="1002">
        <f>data!$F$55</f>
        <v>0.02</v>
      </c>
      <c r="AC40" s="997">
        <f t="shared" si="123"/>
        <v>0</v>
      </c>
      <c r="AD40" s="997">
        <f>IF(B40="",0,(IF($AE$1=authorities!$I$1,0,IF(L40&gt;AE40,VLOOKUP($AD$1,authorities!A:H,C40+1,FALSE),0)))*L40/$CK$4*H40)</f>
        <v>0</v>
      </c>
      <c r="AE40" s="997">
        <f>IF($AE$1=authorities!$I$1,0,$AE$1)</f>
        <v>0</v>
      </c>
      <c r="AF40" s="1002">
        <f>IF(input_engine_r!$Z$21&gt;A39,VLOOKUP(A40,input_engine_r!$Z$23:$AD$35,5,FALSE),0)</f>
        <v>0</v>
      </c>
      <c r="AG40" s="1002">
        <f>data!$C$45</f>
        <v>2900</v>
      </c>
      <c r="AH40" s="1007">
        <f t="shared" si="102"/>
        <v>1</v>
      </c>
      <c r="AI40" s="997">
        <f t="shared" si="124"/>
        <v>0</v>
      </c>
      <c r="AJ40" s="997" t="b">
        <f t="shared" ca="1" si="125"/>
        <v>0</v>
      </c>
      <c r="AK40" s="997"/>
      <c r="AL40" s="997">
        <f t="shared" ca="1" si="126"/>
        <v>0</v>
      </c>
      <c r="AM40" s="997"/>
      <c r="AN40" s="997"/>
      <c r="AO40" s="1002">
        <f t="shared" si="103"/>
        <v>0</v>
      </c>
      <c r="AP40" s="1002">
        <f ca="1">SUM($AO$3:AO40)</f>
        <v>3</v>
      </c>
      <c r="AQ40" s="1002">
        <f t="shared" si="127"/>
        <v>365</v>
      </c>
      <c r="AR40" s="997">
        <f t="shared" ca="1" si="31"/>
        <v>0</v>
      </c>
      <c r="AS40" s="5"/>
      <c r="AT40" s="997">
        <f t="shared" ca="1" si="128"/>
        <v>0</v>
      </c>
      <c r="AU40" s="997" t="b">
        <f t="shared" ca="1" si="104"/>
        <v>1</v>
      </c>
      <c r="AV40" s="997" t="b">
        <f t="shared" si="9"/>
        <v>0</v>
      </c>
      <c r="AW40" s="997" t="b">
        <f t="shared" si="105"/>
        <v>0</v>
      </c>
      <c r="AX40" s="997">
        <f t="shared" ca="1" si="129"/>
        <v>0</v>
      </c>
      <c r="AY40" s="997">
        <f ca="1">AR40/reliefs!$F$7*AX40*-1</f>
        <v>0</v>
      </c>
      <c r="AZ40" s="1002">
        <f t="shared" ca="1" si="130"/>
        <v>0</v>
      </c>
      <c r="BA40" s="2372" t="s">
        <v>2905</v>
      </c>
      <c r="BB40" s="1000" t="s">
        <v>2903</v>
      </c>
      <c r="BC40" s="997"/>
      <c r="BD40" s="1000" t="s">
        <v>2904</v>
      </c>
      <c r="BE40" s="997"/>
      <c r="BF40" s="1002"/>
      <c r="BG40" s="997">
        <f t="shared" ca="1" si="131"/>
        <v>0</v>
      </c>
      <c r="BH40" s="997">
        <f t="shared" si="138"/>
        <v>15000</v>
      </c>
      <c r="BI40" s="1001">
        <f t="shared" si="138"/>
        <v>0</v>
      </c>
      <c r="BJ40" s="997">
        <f t="shared" si="138"/>
        <v>5000000</v>
      </c>
      <c r="BK40" s="997">
        <f t="shared" si="138"/>
        <v>0.499</v>
      </c>
      <c r="BL40" s="997" t="b">
        <f t="shared" si="138"/>
        <v>1</v>
      </c>
      <c r="BM40" s="997" t="b">
        <f t="shared" si="138"/>
        <v>0</v>
      </c>
      <c r="BN40" s="997">
        <f t="shared" si="138"/>
        <v>1200</v>
      </c>
      <c r="BO40" s="997">
        <f t="shared" ca="1" si="106"/>
        <v>0</v>
      </c>
      <c r="BP40" s="997"/>
      <c r="BQ40" s="997"/>
      <c r="BR40" s="997">
        <f t="shared" si="87"/>
        <v>1800</v>
      </c>
      <c r="BS40" s="997"/>
      <c r="BT40" s="997" t="b">
        <f t="shared" ca="1" si="132"/>
        <v>0</v>
      </c>
      <c r="BU40" s="997" t="b">
        <f t="shared" si="139"/>
        <v>1</v>
      </c>
      <c r="BV40" s="997" t="b">
        <f t="shared" si="133"/>
        <v>0</v>
      </c>
      <c r="BW40" s="997" t="b">
        <f t="shared" ca="1" si="134"/>
        <v>0</v>
      </c>
      <c r="BX40" s="997" t="b">
        <f t="shared" ca="1" si="91"/>
        <v>0</v>
      </c>
      <c r="BY40" s="997">
        <f t="shared" ca="1" si="107"/>
        <v>1800</v>
      </c>
      <c r="BZ40" s="997">
        <f t="shared" si="108"/>
        <v>365</v>
      </c>
      <c r="CA40" s="997">
        <f t="shared" si="135"/>
        <v>0</v>
      </c>
      <c r="CB40" s="997">
        <f t="shared" ca="1" si="136"/>
        <v>0</v>
      </c>
      <c r="CC40" s="997">
        <f t="shared" ca="1" si="109"/>
        <v>0</v>
      </c>
      <c r="CD40" s="997"/>
      <c r="CE40" s="1002" t="b">
        <f t="shared" si="50"/>
        <v>0</v>
      </c>
      <c r="CF40" s="5"/>
      <c r="CG40" s="5"/>
    </row>
    <row r="41" spans="1:85" customFormat="1" x14ac:dyDescent="0.35">
      <c r="P41" s="1042"/>
      <c r="T41" s="2445">
        <f ca="1">ROUND(SUM(T29:T40),2)</f>
        <v>0</v>
      </c>
      <c r="U41" s="1008">
        <f ca="1">U29+U30+U31+U32+U33+U34+U35+U36+U37+U38+U39+U40</f>
        <v>0</v>
      </c>
      <c r="AI41" s="1009">
        <f ca="1">SUM(AI29:AI40)</f>
        <v>1</v>
      </c>
      <c r="AJ41" s="1002">
        <f ca="1">AJ40+AJ39+AJ38+AJ37+AJ36+AJ35+AJ34+AJ33+AJ32+AJ31+AJ30+AJ29</f>
        <v>0</v>
      </c>
      <c r="AK41" s="997" t="str">
        <f ca="1">IF(AJ41=12,"Phased",IF(AJ41=0,"True","***"))</f>
        <v>True</v>
      </c>
      <c r="AL41" s="1002">
        <f ca="1">SUM(AL29:AL40)</f>
        <v>0</v>
      </c>
      <c r="AM41" s="1010">
        <f ca="1">IF(AL41&lt;1,AL41,INT(AL41))</f>
        <v>0</v>
      </c>
      <c r="AN41" s="1010" t="str">
        <f ca="1">IF(AL41-AM41&lt;&gt;0,"N/J + T",IF(AND(0&lt;AL41,AL41&lt;1),"P + T",IF(AL41&gt;=1,"N/J","")))</f>
        <v/>
      </c>
      <c r="AO41" s="5"/>
      <c r="AP41" s="1002">
        <f ca="1">SUM($AO$3:AO41)</f>
        <v>3</v>
      </c>
      <c r="AQ41" s="5"/>
      <c r="AR41" s="5"/>
      <c r="AS41" s="5"/>
      <c r="AT41" s="5"/>
      <c r="AU41" s="5"/>
      <c r="AV41" s="5"/>
      <c r="AW41" s="5"/>
      <c r="AX41" s="5"/>
      <c r="AY41" s="2371">
        <f ca="1">IF(SUM(AY29:AY40)&lt;BA41,BA41,SUM(AY29:AY40))</f>
        <v>0</v>
      </c>
      <c r="AZ41" s="5"/>
      <c r="BA41" s="2371">
        <f ca="1">MIN(BB41,BD41)*-1</f>
        <v>-110000</v>
      </c>
      <c r="BB41" s="15">
        <f ca="1">BC41-(AY28*-1)-(AY15*-1)</f>
        <v>315000</v>
      </c>
      <c r="BC41" s="15">
        <f>reliefs!F16</f>
        <v>315000</v>
      </c>
      <c r="BD41" s="15">
        <f>reliefs!F15</f>
        <v>110000</v>
      </c>
      <c r="BE41" s="5"/>
      <c r="BF41" s="5"/>
      <c r="BG41" s="1002">
        <f ca="1">SUM(BG29:BG40)+0.0000001</f>
        <v>9.9999999999999995E-8</v>
      </c>
      <c r="BH41" s="997"/>
      <c r="BI41" s="1001"/>
      <c r="BJ41" s="5"/>
      <c r="BK41" s="5"/>
      <c r="BL41" s="5"/>
      <c r="BM41" s="5"/>
      <c r="BN41" s="5"/>
      <c r="BO41" s="5"/>
      <c r="BP41" s="5"/>
      <c r="BQ41" s="5"/>
      <c r="BR41" s="997"/>
      <c r="BS41" s="5"/>
      <c r="BT41" s="997"/>
      <c r="BU41" s="997"/>
      <c r="BV41" s="997"/>
      <c r="BW41" s="997" t="b">
        <f ca="1">AND(BW40=TRUE,BV41=TRUE)</f>
        <v>0</v>
      </c>
      <c r="BX41" s="997" t="b">
        <f t="shared" ca="1" si="91"/>
        <v>0</v>
      </c>
      <c r="BY41" s="5"/>
      <c r="BZ41" s="5"/>
      <c r="CA41" s="5"/>
      <c r="CB41" s="5"/>
      <c r="CC41" s="5"/>
      <c r="CD41" s="5"/>
      <c r="CE41" s="1002" t="b">
        <f t="shared" si="50"/>
        <v>0</v>
      </c>
      <c r="CF41" s="5"/>
      <c r="CG41" s="5"/>
    </row>
    <row r="42" spans="1:85" s="2396" customFormat="1" x14ac:dyDescent="0.35">
      <c r="A42" s="2388">
        <v>0</v>
      </c>
      <c r="B42" s="2389">
        <f>CH5</f>
        <v>46113</v>
      </c>
      <c r="C42" s="2388">
        <f>IF(OR(B42=0,B42=""),"",4)</f>
        <v>4</v>
      </c>
      <c r="D42" s="2389">
        <f>$CJ$5</f>
        <v>46477</v>
      </c>
      <c r="E42" s="2390" t="str">
        <f ca="1">IF(B42=B43,E43,OFFSET(E28,AI41,0))</f>
        <v>nn</v>
      </c>
      <c r="F42" s="2389">
        <f>B42</f>
        <v>46113</v>
      </c>
      <c r="G42" s="2389">
        <f>IF(B42="","",IF(C43=C42,F43-1,D42))</f>
        <v>46112</v>
      </c>
      <c r="H42" s="2390">
        <f>IF(B42&lt;&gt;"",G42-F42+1,0)</f>
        <v>0</v>
      </c>
      <c r="I42" s="2388">
        <f t="shared" ref="I42:I53" ca="1" si="140">IF(AP42&gt;0,K42*P42,HLOOKUP(E42,$CM$1:$CP$9,1+$C$42,FALSE))</f>
        <v>0</v>
      </c>
      <c r="J42" s="2388">
        <f t="shared" ref="J42:J53" ca="1" si="141">I42/$CK$5</f>
        <v>0</v>
      </c>
      <c r="K42" s="2388">
        <f t="shared" ref="K42:K53" ca="1" si="142">HLOOKUP(E42,$CM$1:$CP$10,10,FALSE)</f>
        <v>0</v>
      </c>
      <c r="L42" s="2388" t="str">
        <f ca="1">IF(B42=B43,L43,OFFSET(L28,AI41,0))</f>
        <v/>
      </c>
      <c r="M42" s="2390" t="str">
        <f ca="1">IF(L42&lt;K42,"down","up")</f>
        <v>up</v>
      </c>
      <c r="N42" s="2390">
        <f ca="1">IF(OR(B42="",K42=0),0,IF(M42="down",J42*L42/K42*H42,0))</f>
        <v>0</v>
      </c>
      <c r="O42" s="2390" t="e">
        <f t="shared" ref="O42:O53" ca="1" si="143">IF(B42="","",IF(M42="up",((J42*H42)+((L42-K42)*P42/$CK$5*H42)),0))</f>
        <v>#VALUE!</v>
      </c>
      <c r="P42" s="2391">
        <f>$CL$5</f>
        <v>0.51900000000000002</v>
      </c>
      <c r="Q42" s="2388" t="e">
        <f ca="1">IF(M42="down",N42,O42)</f>
        <v>#VALUE!</v>
      </c>
      <c r="R42" s="2388" t="e">
        <f ca="1">IF(B42="",0,IF(U42=TRUE,(Q42/AH42)+AC42+(AD42/AH42),(Q42)+Y42+Z42+AC42+AD42))</f>
        <v>#VALUE!</v>
      </c>
      <c r="S42" s="2392">
        <f ca="1">IF(B42=B43,S43,OFFSET(S28,AI41,0))</f>
        <v>1</v>
      </c>
      <c r="T42" s="2442" t="e">
        <f t="shared" ref="T42:T53" ca="1" si="144">$CV$1*IF(AND(AF42="y",L42&lt;AG42),0,R42*S42)+AY42+CD42</f>
        <v>#VALUE!</v>
      </c>
      <c r="U42" s="2388" t="b">
        <f ca="1">AND(V42=TRUE,L42&lt;=W42,AF42="n",X42=FALSE)</f>
        <v>0</v>
      </c>
      <c r="V42" s="2388" t="b">
        <f>advanced!$M$25="y"</f>
        <v>0</v>
      </c>
      <c r="W42" s="2388">
        <f>data!$D$36</f>
        <v>15000</v>
      </c>
      <c r="X42" s="2388" t="b">
        <f t="shared" si="24"/>
        <v>0</v>
      </c>
      <c r="Y42" s="2388" t="e">
        <f ca="1">IF(B42="",0,IF(OR(L42&lt;$CV$5,U42=TRUE),0,L42*$CS$5/$CK$5*H42))</f>
        <v>#VALUE!</v>
      </c>
      <c r="Z42" s="2388">
        <f t="shared" ref="Z42:Z53" ca="1" si="145">IF(B42="",0,IF(AND($Z$2=TRUE,L42&gt;AA42),L42*AB42*H42/AQ42,0))</f>
        <v>0</v>
      </c>
      <c r="AA42" s="2390">
        <f>data!$G$56</f>
        <v>75000</v>
      </c>
      <c r="AB42" s="2390">
        <f>data!$F$56</f>
        <v>0.02</v>
      </c>
      <c r="AC42" s="2388" t="e">
        <f ca="1">IF(B42="",0,L42*($CQ$5-IF(L42&lt;$CV$5,CW$5,0))/$CK$5*H42)*$AC$2/IF(U42=TRUE,AH42,1)</f>
        <v>#VALUE!</v>
      </c>
      <c r="AD42" s="2388" t="e">
        <f ca="1">IF(B42="",0,(IF($AE$1=authorities!$I$1,0,IF(L42&gt;AE42,VLOOKUP($AD$1,authorities!A:H,C42+1,FALSE),0)))*L42/$CK$5*H42)</f>
        <v>#VALUE!</v>
      </c>
      <c r="AE42" s="2388">
        <f>IF($AE$1=authorities!$I$1,0,$AE$1)</f>
        <v>0</v>
      </c>
      <c r="AF42" s="2392" t="str">
        <f ca="1">IF(B42=B43,AF43,OFFSET(AF28,AI41,0))</f>
        <v>n</v>
      </c>
      <c r="AG42" s="2390">
        <f>data!$C$46</f>
        <v>2900</v>
      </c>
      <c r="AH42" s="2393">
        <f ca="1">IF(L42&lt;=$CT$5,5000000,IF(L42&gt;$CU$5,1,IF(MID((($CU$5-$CT$5)/(L42-$CT$5)),6,1)="5",ROUND((($CU$5-$CT$5)/(L42-$CT$5))-0.0001,3),ROUND(($CU$5-$CT$5)/(L42-$CT$5),3))))</f>
        <v>1</v>
      </c>
      <c r="AI42" s="2388">
        <f ca="1">IF(L42&lt;&gt;"",1,0)</f>
        <v>0</v>
      </c>
      <c r="AJ42" s="2388" t="b">
        <f ca="1">IF(AP42&gt;0,FALSE,HLOOKUP(E42,$CM$1:$CP$17,$AJ$1+4,FALSE))</f>
        <v>0</v>
      </c>
      <c r="AK42" s="2388"/>
      <c r="AL42" s="2388">
        <f ca="1">IF(OR(H42=0,F42="",K42=L42,AJ42=FALSE),0,IF(L42&lt;K42,1,0.01))</f>
        <v>0</v>
      </c>
      <c r="AM42" s="2388"/>
      <c r="AN42" s="2388"/>
      <c r="AO42" s="2390">
        <f t="shared" ref="AO42:AO53" ca="1" si="146">IF(L42=0,1,0)</f>
        <v>0</v>
      </c>
      <c r="AP42" s="2390">
        <f ca="1">SUM($AO$3:AO42)</f>
        <v>3</v>
      </c>
      <c r="AQ42" s="2390">
        <f t="shared" ref="AQ42:AQ53" si="147">$CK$5</f>
        <v>365</v>
      </c>
      <c r="AR42" s="2388" t="e">
        <f t="shared" ref="AR42:AR53" ca="1" si="148">$CV$1*IF(AND(AF42="y",L42&lt;AG42),0,R42*S42)</f>
        <v>#VALUE!</v>
      </c>
      <c r="AS42" s="2390"/>
      <c r="AT42" s="2388" t="str">
        <f ca="1">L42</f>
        <v/>
      </c>
      <c r="AU42" s="2388" t="b">
        <f t="shared" ref="AU42:AU53" ca="1" si="149">AT42&lt;$AU$1</f>
        <v>0</v>
      </c>
      <c r="AV42" s="2388" t="b">
        <f t="shared" si="9"/>
        <v>0</v>
      </c>
      <c r="AW42" s="2388" t="b">
        <f t="shared" ref="AW42:AW53" ca="1" si="150">AF42="n"</f>
        <v>1</v>
      </c>
      <c r="AX42" s="2388">
        <f ca="1">AU42*AV42*AW42*IF(S42=0,0,1)</f>
        <v>0</v>
      </c>
      <c r="AY42" s="2388" t="e">
        <f ca="1">AR42/reliefs!$G$7*AX42*-1</f>
        <v>#VALUE!</v>
      </c>
      <c r="AZ42" s="2390"/>
      <c r="BA42" s="2394"/>
      <c r="BB42" s="2388"/>
      <c r="BC42" s="2388"/>
      <c r="BD42" s="2388"/>
      <c r="BE42" s="2388"/>
      <c r="BF42" s="2390"/>
      <c r="BG42" s="2388"/>
      <c r="BH42" s="2388"/>
      <c r="BI42" s="2388"/>
      <c r="BJ42" s="2388"/>
      <c r="BK42" s="2388"/>
      <c r="BL42" s="2388"/>
      <c r="BM42" s="2388"/>
      <c r="BN42" s="2388"/>
      <c r="BO42" s="2388"/>
      <c r="BP42" s="2388"/>
      <c r="BQ42" s="2388"/>
      <c r="BR42" s="2388"/>
      <c r="BS42" s="2388"/>
      <c r="BT42" s="2388"/>
      <c r="BU42" s="2388"/>
      <c r="BV42" s="2388"/>
      <c r="BW42" s="2388"/>
      <c r="BX42" s="2388"/>
      <c r="BY42" s="2388"/>
      <c r="BZ42" s="2388"/>
      <c r="CA42" s="2388"/>
      <c r="CB42" s="2388"/>
      <c r="CC42" s="2388"/>
      <c r="CD42" s="2388"/>
      <c r="CE42" s="2395"/>
      <c r="CF42" s="2395"/>
      <c r="CG42" s="2395"/>
    </row>
    <row r="43" spans="1:85" s="2396" customFormat="1" x14ac:dyDescent="0.35">
      <c r="A43" s="2388">
        <f t="shared" ref="A43:A53" si="151">A42+1</f>
        <v>1</v>
      </c>
      <c r="B43" s="2389">
        <f>IF(input_engine_r!$AE$21&gt;A42,VLOOKUP(A43,input_engine_r!$AE$23:$AI$35,2,FALSE),"")</f>
        <v>46113</v>
      </c>
      <c r="C43" s="2388">
        <f t="shared" ref="C43:C53" si="152">IF(OR(B43=0,B43=""),"",4)</f>
        <v>4</v>
      </c>
      <c r="D43" s="2389">
        <f t="shared" ref="D43:D53" si="153">$CJ$5</f>
        <v>46477</v>
      </c>
      <c r="E43" s="2390" t="str">
        <f>IF(B43="",E42,VLOOKUP(B43,input_engine_r!$B$23:$F$35,5,FALSE))</f>
        <v>nn</v>
      </c>
      <c r="F43" s="2389">
        <f t="shared" ref="F43:F53" si="154">B43</f>
        <v>46113</v>
      </c>
      <c r="G43" s="2389">
        <f t="shared" ref="G43:G52" si="155">IF(B43="","",IF(C44=C43,F44-1,D43))</f>
        <v>46112</v>
      </c>
      <c r="H43" s="2390">
        <f t="shared" ref="H43:H53" si="156">IF(B43&lt;&gt;"",G43-F43+1,0)</f>
        <v>0</v>
      </c>
      <c r="I43" s="2388">
        <f t="shared" ca="1" si="140"/>
        <v>0</v>
      </c>
      <c r="J43" s="2388">
        <f t="shared" ca="1" si="141"/>
        <v>0</v>
      </c>
      <c r="K43" s="2388">
        <f t="shared" si="142"/>
        <v>0</v>
      </c>
      <c r="L43" s="2388" t="str">
        <f>IF(input_engine_r!$AE$21&gt;A42,VLOOKUP(A43,input_engine_r!$AE$23:$AI$36,3,FALSE),"")</f>
        <v/>
      </c>
      <c r="M43" s="2390" t="str">
        <f t="shared" ref="M43:M53" si="157">IF(L43&lt;K43,"down","up")</f>
        <v>up</v>
      </c>
      <c r="N43" s="2390">
        <f>IF(B43="","",IF(M43="down",J43*L43/K43*H43,0))</f>
        <v>0</v>
      </c>
      <c r="O43" s="2390" t="e">
        <f t="shared" ca="1" si="143"/>
        <v>#VALUE!</v>
      </c>
      <c r="P43" s="2391">
        <f t="shared" ref="P43:P53" si="158">$CL$5</f>
        <v>0.51900000000000002</v>
      </c>
      <c r="Q43" s="2388" t="e">
        <f t="shared" ref="Q43:Q53" ca="1" si="159">IF(M43="down",N43,O43)</f>
        <v>#VALUE!</v>
      </c>
      <c r="R43" s="2388" t="e">
        <f t="shared" ref="R43:R53" ca="1" si="160">IF(B43="",0,IF(U43=TRUE,(Q43/AH43)+AC43+(AD43/AH43),(Q43)+Y43+Z43+AC43+AD43))</f>
        <v>#VALUE!</v>
      </c>
      <c r="S43" s="2392">
        <f>IF(input_engine_r!$AE$21&gt;A42,VLOOKUP(A43,input_engine_r!$AE$23:$AI$35,4,FALSE),0)</f>
        <v>1</v>
      </c>
      <c r="T43" s="2442" t="e">
        <f t="shared" ca="1" si="144"/>
        <v>#VALUE!</v>
      </c>
      <c r="U43" s="2388" t="b">
        <f t="shared" ref="U43:U53" si="161">AND(V43=TRUE,L43&lt;=W43,AF43="n",X43=FALSE)</f>
        <v>0</v>
      </c>
      <c r="V43" s="2388" t="b">
        <f>advanced!$M$25="y"</f>
        <v>0</v>
      </c>
      <c r="W43" s="2388">
        <f>data!$D$36</f>
        <v>15000</v>
      </c>
      <c r="X43" s="2388" t="b">
        <f t="shared" si="24"/>
        <v>0</v>
      </c>
      <c r="Y43" s="2388" t="e">
        <f t="shared" ref="Y43:Y53" si="162">IF(B43="",0,IF(OR(L43&lt;$CV$5,U43=TRUE),0,L43*$CS$5/$CK$5*H43))</f>
        <v>#VALUE!</v>
      </c>
      <c r="Z43" s="2388">
        <f t="shared" si="145"/>
        <v>0</v>
      </c>
      <c r="AA43" s="2390">
        <f>data!$G$56</f>
        <v>75000</v>
      </c>
      <c r="AB43" s="2390">
        <f>data!$F$56</f>
        <v>0.02</v>
      </c>
      <c r="AC43" s="2388" t="e">
        <f t="shared" ref="AC43:AC53" si="163">IF(B43="",0,L43*($CQ$5-IF(L43&lt;$CV$5,CW$5,0))/$CK$5*H43)*$AC$2/IF(U43=TRUE,AH43,1)</f>
        <v>#VALUE!</v>
      </c>
      <c r="AD43" s="2388" t="e">
        <f>IF(B43="",0,(IF($AE$1=authorities!$I$1,0,IF(L43&gt;AE43,VLOOKUP($AD$1,authorities!A:H,C43+1,FALSE),0)))*L43/$CK$5*H43)</f>
        <v>#VALUE!</v>
      </c>
      <c r="AE43" s="2388">
        <f>IF($AE$1=authorities!$I$1,0,$AE$1)</f>
        <v>0</v>
      </c>
      <c r="AF43" s="2390" t="str">
        <f>IF(input_engine_r!$AE$21&gt;A42,VLOOKUP(A43,input_engine_r!$AE$23:$AI$35,5,FALSE),0)</f>
        <v>n</v>
      </c>
      <c r="AG43" s="2390">
        <f>data!$C$46</f>
        <v>2900</v>
      </c>
      <c r="AH43" s="2393">
        <f t="shared" ref="AH43:AH53" si="164">IF(L43&lt;=$CT$5,5000000,IF(L43&gt;$CU$5,1,IF(MID((($CU$5-$CT$5)/(L43-$CT$5)),6,1)="5",ROUND((($CU$5-$CT$5)/(L43-$CT$5))-0.0001,3),ROUND(($CU$5-$CT$5)/(L43-$CT$5),3))))</f>
        <v>1</v>
      </c>
      <c r="AI43" s="2388">
        <f t="shared" ref="AI43:AI53" si="165">IF(L43&lt;&gt;"",1,0)</f>
        <v>0</v>
      </c>
      <c r="AJ43" s="2388" t="b">
        <f t="shared" ref="AJ43:AJ53" ca="1" si="166">IF(AP43&gt;0,FALSE,HLOOKUP(E43,$CM$1:$CP$17,$AJ$1+4,FALSE))</f>
        <v>0</v>
      </c>
      <c r="AK43" s="2388"/>
      <c r="AL43" s="2388">
        <f t="shared" ref="AL43:AL53" ca="1" si="167">IF(OR(H43=0,F43="",K43=L43,AJ43=FALSE),0,IF(L43&lt;K43,1,0.01))</f>
        <v>0</v>
      </c>
      <c r="AM43" s="2388"/>
      <c r="AN43" s="2388"/>
      <c r="AO43" s="2390">
        <f t="shared" si="146"/>
        <v>0</v>
      </c>
      <c r="AP43" s="2390">
        <f ca="1">SUM($AO$3:AO43)</f>
        <v>3</v>
      </c>
      <c r="AQ43" s="2390">
        <f t="shared" si="147"/>
        <v>365</v>
      </c>
      <c r="AR43" s="2388" t="e">
        <f t="shared" ca="1" si="148"/>
        <v>#VALUE!</v>
      </c>
      <c r="AS43" s="2390"/>
      <c r="AT43" s="2388" t="str">
        <f t="shared" ref="AT43:AT53" ca="1" si="168">IF(L43="",AT42,L43)</f>
        <v/>
      </c>
      <c r="AU43" s="2388" t="b">
        <f t="shared" ca="1" si="149"/>
        <v>0</v>
      </c>
      <c r="AV43" s="2388" t="b">
        <f t="shared" si="9"/>
        <v>0</v>
      </c>
      <c r="AW43" s="2388" t="b">
        <f t="shared" si="150"/>
        <v>1</v>
      </c>
      <c r="AX43" s="2388">
        <f t="shared" ref="AX43:AX53" ca="1" si="169">0*AU43*AV43*AW43*IF(S43=0,0,1)</f>
        <v>0</v>
      </c>
      <c r="AY43" s="2388" t="e">
        <f ca="1">AR43/reliefs!$G$7*AX43*-1</f>
        <v>#VALUE!</v>
      </c>
      <c r="AZ43" s="2390"/>
      <c r="BA43" s="2397"/>
      <c r="BB43" s="2388"/>
      <c r="BC43" s="2388"/>
      <c r="BD43" s="2388"/>
      <c r="BE43" s="2388"/>
      <c r="BF43" s="2390"/>
      <c r="BG43" s="2388"/>
      <c r="BH43" s="2388"/>
      <c r="BI43" s="2388"/>
      <c r="BJ43" s="2388"/>
      <c r="BK43" s="2388"/>
      <c r="BL43" s="2388"/>
      <c r="BM43" s="2388"/>
      <c r="BN43" s="2388"/>
      <c r="BO43" s="2388"/>
      <c r="BP43" s="2388"/>
      <c r="BQ43" s="2388"/>
      <c r="BR43" s="2388"/>
      <c r="BS43" s="2388"/>
      <c r="BT43" s="2388"/>
      <c r="BU43" s="2388"/>
      <c r="BV43" s="2388"/>
      <c r="BW43" s="2388"/>
      <c r="BX43" s="2388"/>
      <c r="BY43" s="2388"/>
      <c r="BZ43" s="2388"/>
      <c r="CA43" s="2388"/>
      <c r="CB43" s="2388"/>
      <c r="CC43" s="2388"/>
      <c r="CD43" s="2388"/>
      <c r="CE43" s="2395"/>
      <c r="CF43" s="2395"/>
      <c r="CG43" s="2395"/>
    </row>
    <row r="44" spans="1:85" s="2396" customFormat="1" x14ac:dyDescent="0.35">
      <c r="A44" s="2388">
        <f t="shared" si="151"/>
        <v>2</v>
      </c>
      <c r="B44" s="2389">
        <f>IF(input_engine_r!$AE$21&gt;A43,VLOOKUP(A44,input_engine_r!$AE$23:$AI$35,2,FALSE),"")</f>
        <v>46113</v>
      </c>
      <c r="C44" s="2388">
        <f t="shared" si="152"/>
        <v>4</v>
      </c>
      <c r="D44" s="2389">
        <f t="shared" si="153"/>
        <v>46477</v>
      </c>
      <c r="E44" s="2390" t="str">
        <f>IF(B44="",E43,VLOOKUP(B44,input_engine_r!$B$23:$F$35,5,FALSE))</f>
        <v>nn</v>
      </c>
      <c r="F44" s="2389">
        <f t="shared" si="154"/>
        <v>46113</v>
      </c>
      <c r="G44" s="2389">
        <f t="shared" si="155"/>
        <v>46112</v>
      </c>
      <c r="H44" s="2390">
        <f t="shared" si="156"/>
        <v>0</v>
      </c>
      <c r="I44" s="2388">
        <f t="shared" ca="1" si="140"/>
        <v>0</v>
      </c>
      <c r="J44" s="2388">
        <f t="shared" ca="1" si="141"/>
        <v>0</v>
      </c>
      <c r="K44" s="2388">
        <f t="shared" si="142"/>
        <v>0</v>
      </c>
      <c r="L44" s="2388" t="str">
        <f>IF(input_engine_r!$AE$21&gt;A43,VLOOKUP(A44,input_engine_r!$AE$23:$AI$36,3,FALSE),"")</f>
        <v/>
      </c>
      <c r="M44" s="2390" t="str">
        <f t="shared" si="157"/>
        <v>up</v>
      </c>
      <c r="N44" s="2390">
        <f t="shared" ref="N44:N53" si="170">IF(B44="","",IF(M44="down",J44*L44/K44*H44,0))</f>
        <v>0</v>
      </c>
      <c r="O44" s="2390" t="e">
        <f t="shared" ca="1" si="143"/>
        <v>#VALUE!</v>
      </c>
      <c r="P44" s="2391">
        <f t="shared" si="158"/>
        <v>0.51900000000000002</v>
      </c>
      <c r="Q44" s="2388" t="e">
        <f t="shared" ca="1" si="159"/>
        <v>#VALUE!</v>
      </c>
      <c r="R44" s="2388" t="e">
        <f t="shared" ca="1" si="160"/>
        <v>#VALUE!</v>
      </c>
      <c r="S44" s="2392">
        <f>IF(input_engine_r!$AE$21&gt;A43,VLOOKUP(A44,input_engine_r!$AE$23:$AI$35,4,FALSE),0)</f>
        <v>1</v>
      </c>
      <c r="T44" s="2442" t="e">
        <f t="shared" ca="1" si="144"/>
        <v>#VALUE!</v>
      </c>
      <c r="U44" s="2388" t="b">
        <f t="shared" si="161"/>
        <v>0</v>
      </c>
      <c r="V44" s="2388" t="b">
        <f>advanced!$M$25="y"</f>
        <v>0</v>
      </c>
      <c r="W44" s="2388">
        <f>data!$D$36</f>
        <v>15000</v>
      </c>
      <c r="X44" s="2388" t="b">
        <f t="shared" si="24"/>
        <v>0</v>
      </c>
      <c r="Y44" s="2388" t="e">
        <f t="shared" si="162"/>
        <v>#VALUE!</v>
      </c>
      <c r="Z44" s="2388">
        <f t="shared" si="145"/>
        <v>0</v>
      </c>
      <c r="AA44" s="2390">
        <f>data!$G$56</f>
        <v>75000</v>
      </c>
      <c r="AB44" s="2390">
        <f>data!$F$56</f>
        <v>0.02</v>
      </c>
      <c r="AC44" s="2388" t="e">
        <f t="shared" si="163"/>
        <v>#VALUE!</v>
      </c>
      <c r="AD44" s="2388" t="e">
        <f>IF(B44="",0,(IF($AE$1=authorities!$I$1,0,IF(L44&gt;AE44,VLOOKUP($AD$1,authorities!A:H,C44+1,FALSE),0)))*L44/$CK$5*H44)</f>
        <v>#VALUE!</v>
      </c>
      <c r="AE44" s="2388">
        <f>IF($AE$1=authorities!$I$1,0,$AE$1)</f>
        <v>0</v>
      </c>
      <c r="AF44" s="2390" t="str">
        <f>IF(input_engine_r!$AE$21&gt;A43,VLOOKUP(A44,input_engine_r!$AE$23:$AI$35,5,FALSE),0)</f>
        <v>n</v>
      </c>
      <c r="AG44" s="2390">
        <f>data!$C$46</f>
        <v>2900</v>
      </c>
      <c r="AH44" s="2393">
        <f t="shared" si="164"/>
        <v>1</v>
      </c>
      <c r="AI44" s="2388">
        <f t="shared" si="165"/>
        <v>0</v>
      </c>
      <c r="AJ44" s="2388" t="b">
        <f t="shared" ca="1" si="166"/>
        <v>0</v>
      </c>
      <c r="AK44" s="2388"/>
      <c r="AL44" s="2388">
        <f t="shared" ca="1" si="167"/>
        <v>0</v>
      </c>
      <c r="AM44" s="2388"/>
      <c r="AN44" s="2388"/>
      <c r="AO44" s="2390">
        <f t="shared" si="146"/>
        <v>0</v>
      </c>
      <c r="AP44" s="2390">
        <f ca="1">SUM($AO$3:AO44)</f>
        <v>3</v>
      </c>
      <c r="AQ44" s="2390">
        <f t="shared" si="147"/>
        <v>365</v>
      </c>
      <c r="AR44" s="2388" t="e">
        <f t="shared" ca="1" si="148"/>
        <v>#VALUE!</v>
      </c>
      <c r="AS44" s="2390"/>
      <c r="AT44" s="2388" t="str">
        <f t="shared" ca="1" si="168"/>
        <v/>
      </c>
      <c r="AU44" s="2388" t="b">
        <f t="shared" ca="1" si="149"/>
        <v>0</v>
      </c>
      <c r="AV44" s="2388" t="b">
        <f t="shared" si="9"/>
        <v>0</v>
      </c>
      <c r="AW44" s="2388" t="b">
        <f t="shared" si="150"/>
        <v>1</v>
      </c>
      <c r="AX44" s="2388">
        <f t="shared" ca="1" si="169"/>
        <v>0</v>
      </c>
      <c r="AY44" s="2388" t="e">
        <f ca="1">AR44/reliefs!$G$7*AX44*-1</f>
        <v>#VALUE!</v>
      </c>
      <c r="AZ44" s="2390"/>
      <c r="BA44" s="2397"/>
      <c r="BB44" s="2388"/>
      <c r="BC44" s="2388"/>
      <c r="BD44" s="2388"/>
      <c r="BE44" s="2388"/>
      <c r="BF44" s="2390"/>
      <c r="BG44" s="2388"/>
      <c r="BH44" s="2388"/>
      <c r="BI44" s="2388"/>
      <c r="BJ44" s="2388"/>
      <c r="BK44" s="2388"/>
      <c r="BL44" s="2388"/>
      <c r="BM44" s="2388"/>
      <c r="BN44" s="2388"/>
      <c r="BO44" s="2388"/>
      <c r="BP44" s="2388"/>
      <c r="BQ44" s="2388"/>
      <c r="BR44" s="2388"/>
      <c r="BS44" s="2388"/>
      <c r="BT44" s="2388"/>
      <c r="BU44" s="2388"/>
      <c r="BV44" s="2388"/>
      <c r="BW44" s="2388"/>
      <c r="BX44" s="2388"/>
      <c r="BY44" s="2388"/>
      <c r="BZ44" s="2388"/>
      <c r="CA44" s="2388"/>
      <c r="CB44" s="2388"/>
      <c r="CC44" s="2388"/>
      <c r="CD44" s="2388"/>
      <c r="CE44" s="2395"/>
      <c r="CF44" s="2395"/>
      <c r="CG44" s="2395"/>
    </row>
    <row r="45" spans="1:85" s="2396" customFormat="1" x14ac:dyDescent="0.35">
      <c r="A45" s="2388">
        <f t="shared" si="151"/>
        <v>3</v>
      </c>
      <c r="B45" s="2389">
        <f>IF(input_engine_r!$AE$21&gt;A44,VLOOKUP(A45,input_engine_r!$AE$23:$AI$35,2,FALSE),"")</f>
        <v>46113</v>
      </c>
      <c r="C45" s="2388">
        <f t="shared" si="152"/>
        <v>4</v>
      </c>
      <c r="D45" s="2389">
        <f t="shared" si="153"/>
        <v>46477</v>
      </c>
      <c r="E45" s="2390" t="str">
        <f>IF(B45="",E44,VLOOKUP(B45,input_engine_r!$B$23:$F$35,5,FALSE))</f>
        <v>nn</v>
      </c>
      <c r="F45" s="2389">
        <f t="shared" si="154"/>
        <v>46113</v>
      </c>
      <c r="G45" s="2389">
        <f t="shared" si="155"/>
        <v>46112</v>
      </c>
      <c r="H45" s="2390">
        <f t="shared" si="156"/>
        <v>0</v>
      </c>
      <c r="I45" s="2388">
        <f t="shared" ca="1" si="140"/>
        <v>0</v>
      </c>
      <c r="J45" s="2388">
        <f t="shared" ca="1" si="141"/>
        <v>0</v>
      </c>
      <c r="K45" s="2388">
        <f t="shared" si="142"/>
        <v>0</v>
      </c>
      <c r="L45" s="2388" t="str">
        <f>IF(input_engine_r!$AE$21&gt;A44,VLOOKUP(A45,input_engine_r!$AE$23:$AI$36,3,FALSE),"")</f>
        <v/>
      </c>
      <c r="M45" s="2390" t="str">
        <f t="shared" si="157"/>
        <v>up</v>
      </c>
      <c r="N45" s="2390">
        <f t="shared" si="170"/>
        <v>0</v>
      </c>
      <c r="O45" s="2390" t="e">
        <f t="shared" ca="1" si="143"/>
        <v>#VALUE!</v>
      </c>
      <c r="P45" s="2391">
        <f t="shared" si="158"/>
        <v>0.51900000000000002</v>
      </c>
      <c r="Q45" s="2388" t="e">
        <f t="shared" ca="1" si="159"/>
        <v>#VALUE!</v>
      </c>
      <c r="R45" s="2388" t="e">
        <f t="shared" ca="1" si="160"/>
        <v>#VALUE!</v>
      </c>
      <c r="S45" s="2392">
        <f>IF(input_engine_r!$AE$21&gt;A44,VLOOKUP(A45,input_engine_r!$AE$23:$AI$35,4,FALSE),0)</f>
        <v>1</v>
      </c>
      <c r="T45" s="2442" t="e">
        <f t="shared" ca="1" si="144"/>
        <v>#VALUE!</v>
      </c>
      <c r="U45" s="2388" t="b">
        <f t="shared" si="161"/>
        <v>0</v>
      </c>
      <c r="V45" s="2388" t="b">
        <f>advanced!$M$25="y"</f>
        <v>0</v>
      </c>
      <c r="W45" s="2388">
        <f>data!$D$36</f>
        <v>15000</v>
      </c>
      <c r="X45" s="2388" t="b">
        <f t="shared" si="24"/>
        <v>0</v>
      </c>
      <c r="Y45" s="2388" t="e">
        <f t="shared" si="162"/>
        <v>#VALUE!</v>
      </c>
      <c r="Z45" s="2388">
        <f t="shared" si="145"/>
        <v>0</v>
      </c>
      <c r="AA45" s="2390">
        <f>data!$G$56</f>
        <v>75000</v>
      </c>
      <c r="AB45" s="2390">
        <f>data!$F$56</f>
        <v>0.02</v>
      </c>
      <c r="AC45" s="2388" t="e">
        <f t="shared" si="163"/>
        <v>#VALUE!</v>
      </c>
      <c r="AD45" s="2388" t="e">
        <f>IF(B45="",0,(IF($AE$1=authorities!$I$1,0,IF(L45&gt;AE45,VLOOKUP($AD$1,authorities!A:H,C45+1,FALSE),0)))*L45/$CK$5*H45)</f>
        <v>#VALUE!</v>
      </c>
      <c r="AE45" s="2388">
        <f>IF($AE$1=authorities!$I$1,0,$AE$1)</f>
        <v>0</v>
      </c>
      <c r="AF45" s="2390" t="str">
        <f>IF(input_engine_r!$AE$21&gt;A44,VLOOKUP(A45,input_engine_r!$AE$23:$AI$35,5,FALSE),0)</f>
        <v>n</v>
      </c>
      <c r="AG45" s="2390">
        <f>data!$C$46</f>
        <v>2900</v>
      </c>
      <c r="AH45" s="2393">
        <f t="shared" si="164"/>
        <v>1</v>
      </c>
      <c r="AI45" s="2388">
        <f t="shared" si="165"/>
        <v>0</v>
      </c>
      <c r="AJ45" s="2388" t="b">
        <f t="shared" ca="1" si="166"/>
        <v>0</v>
      </c>
      <c r="AK45" s="2388"/>
      <c r="AL45" s="2388">
        <f t="shared" ca="1" si="167"/>
        <v>0</v>
      </c>
      <c r="AM45" s="2388"/>
      <c r="AN45" s="2388"/>
      <c r="AO45" s="2390">
        <f t="shared" si="146"/>
        <v>0</v>
      </c>
      <c r="AP45" s="2390">
        <f ca="1">SUM($AO$3:AO45)</f>
        <v>3</v>
      </c>
      <c r="AQ45" s="2390">
        <f t="shared" si="147"/>
        <v>365</v>
      </c>
      <c r="AR45" s="2388" t="e">
        <f t="shared" ca="1" si="148"/>
        <v>#VALUE!</v>
      </c>
      <c r="AS45" s="2390"/>
      <c r="AT45" s="2388" t="str">
        <f t="shared" ca="1" si="168"/>
        <v/>
      </c>
      <c r="AU45" s="2388" t="b">
        <f t="shared" ca="1" si="149"/>
        <v>0</v>
      </c>
      <c r="AV45" s="2388" t="b">
        <f t="shared" si="9"/>
        <v>0</v>
      </c>
      <c r="AW45" s="2388" t="b">
        <f t="shared" si="150"/>
        <v>1</v>
      </c>
      <c r="AX45" s="2388">
        <f t="shared" ca="1" si="169"/>
        <v>0</v>
      </c>
      <c r="AY45" s="2388" t="e">
        <f ca="1">AR45/reliefs!$G$7*AX45*-1</f>
        <v>#VALUE!</v>
      </c>
      <c r="AZ45" s="2390"/>
      <c r="BA45" s="2397"/>
      <c r="BB45" s="2388"/>
      <c r="BC45" s="2388"/>
      <c r="BD45" s="2388"/>
      <c r="BE45" s="2388"/>
      <c r="BF45" s="2390"/>
      <c r="BG45" s="2388"/>
      <c r="BH45" s="2388"/>
      <c r="BI45" s="2388"/>
      <c r="BJ45" s="2388"/>
      <c r="BK45" s="2388"/>
      <c r="BL45" s="2388"/>
      <c r="BM45" s="2388"/>
      <c r="BN45" s="2388"/>
      <c r="BO45" s="2388"/>
      <c r="BP45" s="2388"/>
      <c r="BQ45" s="2388"/>
      <c r="BR45" s="2388"/>
      <c r="BS45" s="2388"/>
      <c r="BT45" s="2388"/>
      <c r="BU45" s="2388"/>
      <c r="BV45" s="2388"/>
      <c r="BW45" s="2388"/>
      <c r="BX45" s="2388"/>
      <c r="BY45" s="2388"/>
      <c r="BZ45" s="2388"/>
      <c r="CA45" s="2388"/>
      <c r="CB45" s="2388"/>
      <c r="CC45" s="2388"/>
      <c r="CD45" s="2388"/>
      <c r="CE45" s="2395"/>
      <c r="CF45" s="2395"/>
      <c r="CG45" s="2395"/>
    </row>
    <row r="46" spans="1:85" s="2396" customFormat="1" x14ac:dyDescent="0.35">
      <c r="A46" s="2388">
        <f t="shared" si="151"/>
        <v>4</v>
      </c>
      <c r="B46" s="2389">
        <f>IF(input_engine_r!$AE$21&gt;A45,VLOOKUP(A46,input_engine_r!$AE$23:$AI$35,2,FALSE),"")</f>
        <v>46113</v>
      </c>
      <c r="C46" s="2388">
        <f t="shared" si="152"/>
        <v>4</v>
      </c>
      <c r="D46" s="2389">
        <f t="shared" si="153"/>
        <v>46477</v>
      </c>
      <c r="E46" s="2390" t="str">
        <f>IF(B46="",E45,VLOOKUP(B46,input_engine_r!$B$23:$F$35,5,FALSE))</f>
        <v>nn</v>
      </c>
      <c r="F46" s="2389">
        <f t="shared" si="154"/>
        <v>46113</v>
      </c>
      <c r="G46" s="2389">
        <f t="shared" si="155"/>
        <v>46112</v>
      </c>
      <c r="H46" s="2390">
        <f t="shared" si="156"/>
        <v>0</v>
      </c>
      <c r="I46" s="2388">
        <f t="shared" ca="1" si="140"/>
        <v>0</v>
      </c>
      <c r="J46" s="2388">
        <f t="shared" ca="1" si="141"/>
        <v>0</v>
      </c>
      <c r="K46" s="2388">
        <f t="shared" si="142"/>
        <v>0</v>
      </c>
      <c r="L46" s="2388" t="str">
        <f>IF(input_engine_r!$AE$21&gt;A45,VLOOKUP(A46,input_engine_r!$AE$23:$AI$36,3,FALSE),"")</f>
        <v/>
      </c>
      <c r="M46" s="2390" t="str">
        <f t="shared" si="157"/>
        <v>up</v>
      </c>
      <c r="N46" s="2390">
        <f t="shared" si="170"/>
        <v>0</v>
      </c>
      <c r="O46" s="2390" t="e">
        <f t="shared" ca="1" si="143"/>
        <v>#VALUE!</v>
      </c>
      <c r="P46" s="2391">
        <f t="shared" si="158"/>
        <v>0.51900000000000002</v>
      </c>
      <c r="Q46" s="2388" t="e">
        <f t="shared" ca="1" si="159"/>
        <v>#VALUE!</v>
      </c>
      <c r="R46" s="2388" t="e">
        <f t="shared" ca="1" si="160"/>
        <v>#VALUE!</v>
      </c>
      <c r="S46" s="2392">
        <f>IF(input_engine_r!$AE$21&gt;A45,VLOOKUP(A46,input_engine_r!$AE$23:$AI$35,4,FALSE),0)</f>
        <v>1</v>
      </c>
      <c r="T46" s="2442" t="e">
        <f t="shared" ca="1" si="144"/>
        <v>#VALUE!</v>
      </c>
      <c r="U46" s="2388" t="b">
        <f t="shared" si="161"/>
        <v>0</v>
      </c>
      <c r="V46" s="2388" t="b">
        <f>advanced!$M$25="y"</f>
        <v>0</v>
      </c>
      <c r="W46" s="2388">
        <f>data!$D$36</f>
        <v>15000</v>
      </c>
      <c r="X46" s="2388" t="b">
        <f t="shared" si="24"/>
        <v>0</v>
      </c>
      <c r="Y46" s="2388" t="e">
        <f t="shared" si="162"/>
        <v>#VALUE!</v>
      </c>
      <c r="Z46" s="2388">
        <f t="shared" si="145"/>
        <v>0</v>
      </c>
      <c r="AA46" s="2390">
        <f>data!$G$56</f>
        <v>75000</v>
      </c>
      <c r="AB46" s="2390">
        <f>data!$F$56</f>
        <v>0.02</v>
      </c>
      <c r="AC46" s="2388" t="e">
        <f t="shared" si="163"/>
        <v>#VALUE!</v>
      </c>
      <c r="AD46" s="2388" t="e">
        <f>IF(B46="",0,(IF($AE$1=authorities!$I$1,0,IF(L46&gt;AE46,VLOOKUP($AD$1,authorities!A:H,C46+1,FALSE),0)))*L46/$CK$5*H46)</f>
        <v>#VALUE!</v>
      </c>
      <c r="AE46" s="2388">
        <f>IF($AE$1=authorities!$I$1,0,$AE$1)</f>
        <v>0</v>
      </c>
      <c r="AF46" s="2390" t="str">
        <f>IF(input_engine_r!$AE$21&gt;A45,VLOOKUP(A46,input_engine_r!$AE$23:$AI$35,5,FALSE),0)</f>
        <v>n</v>
      </c>
      <c r="AG46" s="2390">
        <f>data!$C$46</f>
        <v>2900</v>
      </c>
      <c r="AH46" s="2393">
        <f t="shared" si="164"/>
        <v>1</v>
      </c>
      <c r="AI46" s="2388">
        <f t="shared" si="165"/>
        <v>0</v>
      </c>
      <c r="AJ46" s="2388" t="b">
        <f t="shared" ca="1" si="166"/>
        <v>0</v>
      </c>
      <c r="AK46" s="2388"/>
      <c r="AL46" s="2388">
        <f t="shared" ca="1" si="167"/>
        <v>0</v>
      </c>
      <c r="AM46" s="2388"/>
      <c r="AN46" s="2388"/>
      <c r="AO46" s="2390">
        <f t="shared" si="146"/>
        <v>0</v>
      </c>
      <c r="AP46" s="2390">
        <f ca="1">SUM($AO$3:AO46)</f>
        <v>3</v>
      </c>
      <c r="AQ46" s="2390">
        <f t="shared" si="147"/>
        <v>365</v>
      </c>
      <c r="AR46" s="2388" t="e">
        <f t="shared" ca="1" si="148"/>
        <v>#VALUE!</v>
      </c>
      <c r="AS46" s="2395"/>
      <c r="AT46" s="2388" t="str">
        <f t="shared" ca="1" si="168"/>
        <v/>
      </c>
      <c r="AU46" s="2388" t="b">
        <f t="shared" ca="1" si="149"/>
        <v>0</v>
      </c>
      <c r="AV46" s="2388" t="b">
        <f t="shared" si="9"/>
        <v>0</v>
      </c>
      <c r="AW46" s="2388" t="b">
        <f t="shared" si="150"/>
        <v>1</v>
      </c>
      <c r="AX46" s="2388">
        <f t="shared" ca="1" si="169"/>
        <v>0</v>
      </c>
      <c r="AY46" s="2388" t="e">
        <f ca="1">AR46/reliefs!$G$7*AX46*-1</f>
        <v>#VALUE!</v>
      </c>
      <c r="AZ46" s="2395"/>
      <c r="BA46" s="2397"/>
      <c r="BB46" s="2388"/>
      <c r="BC46" s="2388"/>
      <c r="BD46" s="2388"/>
      <c r="BE46" s="2388"/>
      <c r="BF46" s="2390"/>
      <c r="BG46" s="2388"/>
      <c r="BH46" s="2388"/>
      <c r="BI46" s="2388"/>
      <c r="BJ46" s="2388"/>
      <c r="BK46" s="2388"/>
      <c r="BL46" s="2388"/>
      <c r="BM46" s="2388"/>
      <c r="BN46" s="2388"/>
      <c r="BO46" s="2388"/>
      <c r="BP46" s="2388"/>
      <c r="BQ46" s="2388"/>
      <c r="BR46" s="2388"/>
      <c r="BS46" s="2388"/>
      <c r="BT46" s="2388"/>
      <c r="BU46" s="2388"/>
      <c r="BV46" s="2388"/>
      <c r="BW46" s="2388"/>
      <c r="BX46" s="2388"/>
      <c r="BY46" s="2388"/>
      <c r="BZ46" s="2388"/>
      <c r="CA46" s="2388"/>
      <c r="CB46" s="2388"/>
      <c r="CC46" s="2388"/>
      <c r="CD46" s="2388"/>
      <c r="CE46" s="2395"/>
      <c r="CF46" s="2395"/>
      <c r="CG46" s="2395"/>
    </row>
    <row r="47" spans="1:85" s="2396" customFormat="1" x14ac:dyDescent="0.35">
      <c r="A47" s="2388">
        <f t="shared" si="151"/>
        <v>5</v>
      </c>
      <c r="B47" s="2389">
        <f>IF(input_engine_r!$AE$21&gt;A46,VLOOKUP(A47,input_engine_r!$AE$23:$AI$35,2,FALSE),"")</f>
        <v>46113</v>
      </c>
      <c r="C47" s="2388">
        <f t="shared" si="152"/>
        <v>4</v>
      </c>
      <c r="D47" s="2389">
        <f t="shared" si="153"/>
        <v>46477</v>
      </c>
      <c r="E47" s="2390" t="str">
        <f>IF(B47="",E46,VLOOKUP(B47,input_engine_r!$B$23:$F$35,5,FALSE))</f>
        <v>nn</v>
      </c>
      <c r="F47" s="2389">
        <f t="shared" si="154"/>
        <v>46113</v>
      </c>
      <c r="G47" s="2389">
        <f t="shared" si="155"/>
        <v>46112</v>
      </c>
      <c r="H47" s="2390">
        <f t="shared" si="156"/>
        <v>0</v>
      </c>
      <c r="I47" s="2388">
        <f t="shared" ca="1" si="140"/>
        <v>0</v>
      </c>
      <c r="J47" s="2388">
        <f t="shared" ca="1" si="141"/>
        <v>0</v>
      </c>
      <c r="K47" s="2388">
        <f t="shared" si="142"/>
        <v>0</v>
      </c>
      <c r="L47" s="2388" t="str">
        <f>IF(input_engine_r!$AE$21&gt;A46,VLOOKUP(A47,input_engine_r!$AE$23:$AI$36,3,FALSE),"")</f>
        <v/>
      </c>
      <c r="M47" s="2390" t="str">
        <f t="shared" si="157"/>
        <v>up</v>
      </c>
      <c r="N47" s="2390">
        <f t="shared" si="170"/>
        <v>0</v>
      </c>
      <c r="O47" s="2390" t="e">
        <f t="shared" ca="1" si="143"/>
        <v>#VALUE!</v>
      </c>
      <c r="P47" s="2391">
        <f t="shared" si="158"/>
        <v>0.51900000000000002</v>
      </c>
      <c r="Q47" s="2388" t="e">
        <f t="shared" ca="1" si="159"/>
        <v>#VALUE!</v>
      </c>
      <c r="R47" s="2388" t="e">
        <f t="shared" ca="1" si="160"/>
        <v>#VALUE!</v>
      </c>
      <c r="S47" s="2392">
        <f>IF(input_engine_r!$AE$21&gt;A46,VLOOKUP(A47,input_engine_r!$AE$23:$AI$35,4,FALSE),0)</f>
        <v>1</v>
      </c>
      <c r="T47" s="2442" t="e">
        <f t="shared" ca="1" si="144"/>
        <v>#VALUE!</v>
      </c>
      <c r="U47" s="2388" t="b">
        <f t="shared" si="161"/>
        <v>0</v>
      </c>
      <c r="V47" s="2388" t="b">
        <f>advanced!$M$25="y"</f>
        <v>0</v>
      </c>
      <c r="W47" s="2388">
        <f>data!$D$36</f>
        <v>15000</v>
      </c>
      <c r="X47" s="2388" t="b">
        <f t="shared" si="24"/>
        <v>0</v>
      </c>
      <c r="Y47" s="2388" t="e">
        <f t="shared" si="162"/>
        <v>#VALUE!</v>
      </c>
      <c r="Z47" s="2388">
        <f t="shared" si="145"/>
        <v>0</v>
      </c>
      <c r="AA47" s="2390">
        <f>data!$G$56</f>
        <v>75000</v>
      </c>
      <c r="AB47" s="2390">
        <f>data!$F$56</f>
        <v>0.02</v>
      </c>
      <c r="AC47" s="2388" t="e">
        <f t="shared" si="163"/>
        <v>#VALUE!</v>
      </c>
      <c r="AD47" s="2388" t="e">
        <f>IF(B47="",0,(IF($AE$1=authorities!$I$1,0,IF(L47&gt;AE47,VLOOKUP($AD$1,authorities!A:H,C47+1,FALSE),0)))*L47/$CK$5*H47)</f>
        <v>#VALUE!</v>
      </c>
      <c r="AE47" s="2388">
        <f>IF($AE$1=authorities!$I$1,0,$AE$1)</f>
        <v>0</v>
      </c>
      <c r="AF47" s="2390" t="str">
        <f>IF(input_engine_r!$AE$21&gt;A46,VLOOKUP(A47,input_engine_r!$AE$23:$AI$35,5,FALSE),0)</f>
        <v>n</v>
      </c>
      <c r="AG47" s="2390">
        <f>data!$C$46</f>
        <v>2900</v>
      </c>
      <c r="AH47" s="2393">
        <f t="shared" si="164"/>
        <v>1</v>
      </c>
      <c r="AI47" s="2388">
        <f t="shared" si="165"/>
        <v>0</v>
      </c>
      <c r="AJ47" s="2388" t="b">
        <f t="shared" ca="1" si="166"/>
        <v>0</v>
      </c>
      <c r="AK47" s="2388"/>
      <c r="AL47" s="2388">
        <f t="shared" ca="1" si="167"/>
        <v>0</v>
      </c>
      <c r="AM47" s="2388"/>
      <c r="AN47" s="2388"/>
      <c r="AO47" s="2390">
        <f t="shared" si="146"/>
        <v>0</v>
      </c>
      <c r="AP47" s="2390">
        <f ca="1">SUM($AO$3:AO47)</f>
        <v>3</v>
      </c>
      <c r="AQ47" s="2390">
        <f t="shared" si="147"/>
        <v>365</v>
      </c>
      <c r="AR47" s="2388" t="e">
        <f t="shared" ca="1" si="148"/>
        <v>#VALUE!</v>
      </c>
      <c r="AS47" s="2395"/>
      <c r="AT47" s="2388" t="str">
        <f t="shared" ca="1" si="168"/>
        <v/>
      </c>
      <c r="AU47" s="2388" t="b">
        <f t="shared" ca="1" si="149"/>
        <v>0</v>
      </c>
      <c r="AV47" s="2388" t="b">
        <f t="shared" si="9"/>
        <v>0</v>
      </c>
      <c r="AW47" s="2388" t="b">
        <f t="shared" si="150"/>
        <v>1</v>
      </c>
      <c r="AX47" s="2388">
        <f t="shared" ca="1" si="169"/>
        <v>0</v>
      </c>
      <c r="AY47" s="2388" t="e">
        <f ca="1">AR47/reliefs!$G$7*AX47*-1</f>
        <v>#VALUE!</v>
      </c>
      <c r="AZ47" s="2395"/>
      <c r="BA47" s="2397"/>
      <c r="BB47" s="2388"/>
      <c r="BC47" s="2388"/>
      <c r="BD47" s="2388"/>
      <c r="BE47" s="2388"/>
      <c r="BF47" s="2390"/>
      <c r="BG47" s="2388"/>
      <c r="BH47" s="2388"/>
      <c r="BI47" s="2388"/>
      <c r="BJ47" s="2388"/>
      <c r="BK47" s="2388"/>
      <c r="BL47" s="2388"/>
      <c r="BM47" s="2388"/>
      <c r="BN47" s="2388"/>
      <c r="BO47" s="2388"/>
      <c r="BP47" s="2388"/>
      <c r="BQ47" s="2388"/>
      <c r="BR47" s="2388"/>
      <c r="BS47" s="2388"/>
      <c r="BT47" s="2388"/>
      <c r="BU47" s="2388"/>
      <c r="BV47" s="2388"/>
      <c r="BW47" s="2388"/>
      <c r="BX47" s="2388"/>
      <c r="BY47" s="2388"/>
      <c r="BZ47" s="2388"/>
      <c r="CA47" s="2388"/>
      <c r="CB47" s="2388"/>
      <c r="CC47" s="2388"/>
      <c r="CD47" s="2388"/>
      <c r="CE47" s="2395"/>
      <c r="CF47" s="2395"/>
      <c r="CG47" s="2395"/>
    </row>
    <row r="48" spans="1:85" s="2396" customFormat="1" x14ac:dyDescent="0.35">
      <c r="A48" s="2388">
        <f t="shared" si="151"/>
        <v>6</v>
      </c>
      <c r="B48" s="2389">
        <f>IF(input_engine_r!$AE$21&gt;A47,VLOOKUP(A48,input_engine_r!$AE$23:$AI$35,2,FALSE),"")</f>
        <v>46113</v>
      </c>
      <c r="C48" s="2388">
        <f t="shared" si="152"/>
        <v>4</v>
      </c>
      <c r="D48" s="2389">
        <f t="shared" si="153"/>
        <v>46477</v>
      </c>
      <c r="E48" s="2390" t="str">
        <f>IF(B48="",E47,VLOOKUP(B48,input_engine_r!$B$23:$F$35,5,FALSE))</f>
        <v>nn</v>
      </c>
      <c r="F48" s="2389">
        <f t="shared" si="154"/>
        <v>46113</v>
      </c>
      <c r="G48" s="2389">
        <f t="shared" si="155"/>
        <v>46112</v>
      </c>
      <c r="H48" s="2390">
        <f t="shared" si="156"/>
        <v>0</v>
      </c>
      <c r="I48" s="2388">
        <f t="shared" ca="1" si="140"/>
        <v>0</v>
      </c>
      <c r="J48" s="2388">
        <f t="shared" ca="1" si="141"/>
        <v>0</v>
      </c>
      <c r="K48" s="2388">
        <f t="shared" si="142"/>
        <v>0</v>
      </c>
      <c r="L48" s="2388" t="str">
        <f>IF(input_engine_r!$AE$21&gt;A47,VLOOKUP(A48,input_engine_r!$AE$23:$AI$36,3,FALSE),"")</f>
        <v/>
      </c>
      <c r="M48" s="2390" t="str">
        <f t="shared" si="157"/>
        <v>up</v>
      </c>
      <c r="N48" s="2390">
        <f t="shared" si="170"/>
        <v>0</v>
      </c>
      <c r="O48" s="2390" t="e">
        <f t="shared" ca="1" si="143"/>
        <v>#VALUE!</v>
      </c>
      <c r="P48" s="2391">
        <f t="shared" si="158"/>
        <v>0.51900000000000002</v>
      </c>
      <c r="Q48" s="2388" t="e">
        <f t="shared" ca="1" si="159"/>
        <v>#VALUE!</v>
      </c>
      <c r="R48" s="2388" t="e">
        <f t="shared" ca="1" si="160"/>
        <v>#VALUE!</v>
      </c>
      <c r="S48" s="2392">
        <f>IF(input_engine_r!$AE$21&gt;A47,VLOOKUP(A48,input_engine_r!$AE$23:$AI$35,4,FALSE),0)</f>
        <v>1</v>
      </c>
      <c r="T48" s="2442" t="e">
        <f t="shared" ca="1" si="144"/>
        <v>#VALUE!</v>
      </c>
      <c r="U48" s="2388" t="b">
        <f t="shared" si="161"/>
        <v>0</v>
      </c>
      <c r="V48" s="2388" t="b">
        <f>advanced!$M$25="y"</f>
        <v>0</v>
      </c>
      <c r="W48" s="2388">
        <f>data!$D$36</f>
        <v>15000</v>
      </c>
      <c r="X48" s="2388" t="b">
        <f t="shared" si="24"/>
        <v>0</v>
      </c>
      <c r="Y48" s="2388" t="e">
        <f t="shared" si="162"/>
        <v>#VALUE!</v>
      </c>
      <c r="Z48" s="2388">
        <f t="shared" si="145"/>
        <v>0</v>
      </c>
      <c r="AA48" s="2390">
        <f>data!$G$56</f>
        <v>75000</v>
      </c>
      <c r="AB48" s="2390">
        <f>data!$F$56</f>
        <v>0.02</v>
      </c>
      <c r="AC48" s="2388" t="e">
        <f t="shared" si="163"/>
        <v>#VALUE!</v>
      </c>
      <c r="AD48" s="2388" t="e">
        <f>IF(B48="",0,(IF($AE$1=authorities!$I$1,0,IF(L48&gt;AE48,VLOOKUP($AD$1,authorities!A:H,C48+1,FALSE),0)))*L48/$CK$5*H48)</f>
        <v>#VALUE!</v>
      </c>
      <c r="AE48" s="2388">
        <f>IF($AE$1=authorities!$I$1,0,$AE$1)</f>
        <v>0</v>
      </c>
      <c r="AF48" s="2390" t="str">
        <f>IF(input_engine_r!$AE$21&gt;A47,VLOOKUP(A48,input_engine_r!$AE$23:$AI$35,5,FALSE),0)</f>
        <v>n</v>
      </c>
      <c r="AG48" s="2390">
        <f>data!$C$46</f>
        <v>2900</v>
      </c>
      <c r="AH48" s="2393">
        <f t="shared" si="164"/>
        <v>1</v>
      </c>
      <c r="AI48" s="2388">
        <f t="shared" si="165"/>
        <v>0</v>
      </c>
      <c r="AJ48" s="2388" t="b">
        <f t="shared" ca="1" si="166"/>
        <v>0</v>
      </c>
      <c r="AK48" s="2388"/>
      <c r="AL48" s="2388">
        <f t="shared" ca="1" si="167"/>
        <v>0</v>
      </c>
      <c r="AM48" s="2388"/>
      <c r="AN48" s="2388"/>
      <c r="AO48" s="2390">
        <f t="shared" si="146"/>
        <v>0</v>
      </c>
      <c r="AP48" s="2390">
        <f ca="1">SUM($AO$3:AO48)</f>
        <v>3</v>
      </c>
      <c r="AQ48" s="2390">
        <f t="shared" si="147"/>
        <v>365</v>
      </c>
      <c r="AR48" s="2388" t="e">
        <f t="shared" ca="1" si="148"/>
        <v>#VALUE!</v>
      </c>
      <c r="AS48" s="2395"/>
      <c r="AT48" s="2388" t="str">
        <f t="shared" ca="1" si="168"/>
        <v/>
      </c>
      <c r="AU48" s="2388" t="b">
        <f t="shared" ca="1" si="149"/>
        <v>0</v>
      </c>
      <c r="AV48" s="2388" t="b">
        <f t="shared" si="9"/>
        <v>0</v>
      </c>
      <c r="AW48" s="2388" t="b">
        <f t="shared" si="150"/>
        <v>1</v>
      </c>
      <c r="AX48" s="2388">
        <f t="shared" ca="1" si="169"/>
        <v>0</v>
      </c>
      <c r="AY48" s="2388" t="e">
        <f ca="1">AR48/reliefs!$G$7*AX48*-1</f>
        <v>#VALUE!</v>
      </c>
      <c r="AZ48" s="2395"/>
      <c r="BA48" s="2397"/>
      <c r="BB48" s="2388"/>
      <c r="BC48" s="2388"/>
      <c r="BD48" s="2388"/>
      <c r="BE48" s="2388"/>
      <c r="BF48" s="2390"/>
      <c r="BG48" s="2388"/>
      <c r="BH48" s="2388"/>
      <c r="BI48" s="2388"/>
      <c r="BJ48" s="2388"/>
      <c r="BK48" s="2388"/>
      <c r="BL48" s="2388"/>
      <c r="BM48" s="2388"/>
      <c r="BN48" s="2388"/>
      <c r="BO48" s="2388"/>
      <c r="BP48" s="2388"/>
      <c r="BQ48" s="2388"/>
      <c r="BR48" s="2388"/>
      <c r="BS48" s="2388"/>
      <c r="BT48" s="2388"/>
      <c r="BU48" s="2388"/>
      <c r="BV48" s="2388"/>
      <c r="BW48" s="2388"/>
      <c r="BX48" s="2388"/>
      <c r="BY48" s="2388"/>
      <c r="BZ48" s="2388"/>
      <c r="CA48" s="2388"/>
      <c r="CB48" s="2388"/>
      <c r="CC48" s="2388"/>
      <c r="CD48" s="2388"/>
      <c r="CE48" s="2395"/>
      <c r="CF48" s="2395"/>
      <c r="CG48" s="2395"/>
    </row>
    <row r="49" spans="1:85" s="2396" customFormat="1" x14ac:dyDescent="0.35">
      <c r="A49" s="2388">
        <f t="shared" si="151"/>
        <v>7</v>
      </c>
      <c r="B49" s="2389">
        <f>IF(input_engine_r!$AE$21&gt;A48,VLOOKUP(A49,input_engine_r!$AE$23:$AI$35,2,FALSE),"")</f>
        <v>46113</v>
      </c>
      <c r="C49" s="2388">
        <f t="shared" si="152"/>
        <v>4</v>
      </c>
      <c r="D49" s="2389">
        <f t="shared" si="153"/>
        <v>46477</v>
      </c>
      <c r="E49" s="2390" t="str">
        <f>IF(B49="",E48,VLOOKUP(B49,input_engine_r!$B$23:$F$35,5,FALSE))</f>
        <v>nn</v>
      </c>
      <c r="F49" s="2389">
        <f t="shared" si="154"/>
        <v>46113</v>
      </c>
      <c r="G49" s="2389">
        <f t="shared" si="155"/>
        <v>46112</v>
      </c>
      <c r="H49" s="2390">
        <f t="shared" si="156"/>
        <v>0</v>
      </c>
      <c r="I49" s="2388">
        <f t="shared" ca="1" si="140"/>
        <v>0</v>
      </c>
      <c r="J49" s="2388">
        <f t="shared" ca="1" si="141"/>
        <v>0</v>
      </c>
      <c r="K49" s="2388">
        <f t="shared" si="142"/>
        <v>0</v>
      </c>
      <c r="L49" s="2388" t="str">
        <f>IF(input_engine_r!$AE$21&gt;A48,VLOOKUP(A49,input_engine_r!$AE$23:$AI$36,3,FALSE),"")</f>
        <v/>
      </c>
      <c r="M49" s="2390" t="str">
        <f t="shared" si="157"/>
        <v>up</v>
      </c>
      <c r="N49" s="2390">
        <f t="shared" si="170"/>
        <v>0</v>
      </c>
      <c r="O49" s="2390" t="e">
        <f t="shared" ca="1" si="143"/>
        <v>#VALUE!</v>
      </c>
      <c r="P49" s="2391">
        <f t="shared" si="158"/>
        <v>0.51900000000000002</v>
      </c>
      <c r="Q49" s="2388" t="e">
        <f t="shared" ca="1" si="159"/>
        <v>#VALUE!</v>
      </c>
      <c r="R49" s="2388" t="e">
        <f t="shared" ca="1" si="160"/>
        <v>#VALUE!</v>
      </c>
      <c r="S49" s="2392">
        <f>IF(input_engine_r!$AE$21&gt;A48,VLOOKUP(A49,input_engine_r!$AE$23:$AI$35,4,FALSE),0)</f>
        <v>1</v>
      </c>
      <c r="T49" s="2442" t="e">
        <f t="shared" ca="1" si="144"/>
        <v>#VALUE!</v>
      </c>
      <c r="U49" s="2388" t="b">
        <f t="shared" si="161"/>
        <v>0</v>
      </c>
      <c r="V49" s="2388" t="b">
        <f>advanced!$M$25="y"</f>
        <v>0</v>
      </c>
      <c r="W49" s="2388">
        <f>data!$D$36</f>
        <v>15000</v>
      </c>
      <c r="X49" s="2388" t="b">
        <f t="shared" si="24"/>
        <v>0</v>
      </c>
      <c r="Y49" s="2388" t="e">
        <f t="shared" si="162"/>
        <v>#VALUE!</v>
      </c>
      <c r="Z49" s="2388">
        <f t="shared" si="145"/>
        <v>0</v>
      </c>
      <c r="AA49" s="2390">
        <f>data!$G$56</f>
        <v>75000</v>
      </c>
      <c r="AB49" s="2390">
        <f>data!$F$56</f>
        <v>0.02</v>
      </c>
      <c r="AC49" s="2388" t="e">
        <f t="shared" si="163"/>
        <v>#VALUE!</v>
      </c>
      <c r="AD49" s="2388" t="e">
        <f>IF(B49="",0,(IF($AE$1=authorities!$I$1,0,IF(L49&gt;AE49,VLOOKUP($AD$1,authorities!A:H,C49+1,FALSE),0)))*L49/$CK$5*H49)</f>
        <v>#VALUE!</v>
      </c>
      <c r="AE49" s="2388">
        <f>IF($AE$1=authorities!$I$1,0,$AE$1)</f>
        <v>0</v>
      </c>
      <c r="AF49" s="2390" t="str">
        <f>IF(input_engine_r!$AE$21&gt;A48,VLOOKUP(A49,input_engine_r!$AE$23:$AI$35,5,FALSE),0)</f>
        <v>n</v>
      </c>
      <c r="AG49" s="2390">
        <f>data!$C$46</f>
        <v>2900</v>
      </c>
      <c r="AH49" s="2393">
        <f t="shared" si="164"/>
        <v>1</v>
      </c>
      <c r="AI49" s="2388">
        <f t="shared" si="165"/>
        <v>0</v>
      </c>
      <c r="AJ49" s="2388" t="b">
        <f t="shared" ca="1" si="166"/>
        <v>0</v>
      </c>
      <c r="AK49" s="2388"/>
      <c r="AL49" s="2388">
        <f t="shared" ca="1" si="167"/>
        <v>0</v>
      </c>
      <c r="AM49" s="2388"/>
      <c r="AN49" s="2388"/>
      <c r="AO49" s="2390">
        <f t="shared" si="146"/>
        <v>0</v>
      </c>
      <c r="AP49" s="2390">
        <f ca="1">SUM($AO$3:AO49)</f>
        <v>3</v>
      </c>
      <c r="AQ49" s="2390">
        <f t="shared" si="147"/>
        <v>365</v>
      </c>
      <c r="AR49" s="2388" t="e">
        <f t="shared" ca="1" si="148"/>
        <v>#VALUE!</v>
      </c>
      <c r="AS49" s="2395"/>
      <c r="AT49" s="2388" t="str">
        <f t="shared" ca="1" si="168"/>
        <v/>
      </c>
      <c r="AU49" s="2388" t="b">
        <f t="shared" ca="1" si="149"/>
        <v>0</v>
      </c>
      <c r="AV49" s="2388" t="b">
        <f t="shared" si="9"/>
        <v>0</v>
      </c>
      <c r="AW49" s="2388" t="b">
        <f t="shared" si="150"/>
        <v>1</v>
      </c>
      <c r="AX49" s="2388">
        <f t="shared" ca="1" si="169"/>
        <v>0</v>
      </c>
      <c r="AY49" s="2388" t="e">
        <f ca="1">AR49/reliefs!$G$7*AX49*-1</f>
        <v>#VALUE!</v>
      </c>
      <c r="AZ49" s="2395"/>
      <c r="BA49" s="2397"/>
      <c r="BB49" s="2388"/>
      <c r="BC49" s="2388"/>
      <c r="BD49" s="2388"/>
      <c r="BE49" s="2388"/>
      <c r="BF49" s="2390"/>
      <c r="BG49" s="2388"/>
      <c r="BH49" s="2388"/>
      <c r="BI49" s="2388"/>
      <c r="BJ49" s="2388"/>
      <c r="BK49" s="2388"/>
      <c r="BL49" s="2388"/>
      <c r="BM49" s="2388"/>
      <c r="BN49" s="2388"/>
      <c r="BO49" s="2388"/>
      <c r="BP49" s="2388"/>
      <c r="BQ49" s="2388"/>
      <c r="BR49" s="2388"/>
      <c r="BS49" s="2388"/>
      <c r="BT49" s="2388"/>
      <c r="BU49" s="2388"/>
      <c r="BV49" s="2388"/>
      <c r="BW49" s="2388"/>
      <c r="BX49" s="2388"/>
      <c r="BY49" s="2388"/>
      <c r="BZ49" s="2388"/>
      <c r="CA49" s="2388"/>
      <c r="CB49" s="2388"/>
      <c r="CC49" s="2388"/>
      <c r="CD49" s="2388"/>
      <c r="CE49" s="2395"/>
      <c r="CF49" s="2395"/>
      <c r="CG49" s="2395"/>
    </row>
    <row r="50" spans="1:85" s="2396" customFormat="1" x14ac:dyDescent="0.35">
      <c r="A50" s="2388">
        <f t="shared" si="151"/>
        <v>8</v>
      </c>
      <c r="B50" s="2389">
        <f>IF(input_engine_r!$AE$21&gt;A49,VLOOKUP(A50,input_engine_r!$AE$23:$AI$35,2,FALSE),"")</f>
        <v>46113</v>
      </c>
      <c r="C50" s="2388">
        <f t="shared" si="152"/>
        <v>4</v>
      </c>
      <c r="D50" s="2389">
        <f t="shared" si="153"/>
        <v>46477</v>
      </c>
      <c r="E50" s="2390" t="str">
        <f>IF(B50="",E49,VLOOKUP(B50,input_engine_r!$B$23:$F$35,5,FALSE))</f>
        <v>nn</v>
      </c>
      <c r="F50" s="2389">
        <f t="shared" si="154"/>
        <v>46113</v>
      </c>
      <c r="G50" s="2389">
        <f t="shared" si="155"/>
        <v>46112</v>
      </c>
      <c r="H50" s="2390">
        <f t="shared" si="156"/>
        <v>0</v>
      </c>
      <c r="I50" s="2388">
        <f t="shared" ca="1" si="140"/>
        <v>0</v>
      </c>
      <c r="J50" s="2388">
        <f t="shared" ca="1" si="141"/>
        <v>0</v>
      </c>
      <c r="K50" s="2388">
        <f t="shared" si="142"/>
        <v>0</v>
      </c>
      <c r="L50" s="2388" t="str">
        <f>IF(input_engine_r!$AE$21&gt;A49,VLOOKUP(A50,input_engine_r!$AE$23:$AI$36,3,FALSE),"")</f>
        <v/>
      </c>
      <c r="M50" s="2390" t="str">
        <f t="shared" si="157"/>
        <v>up</v>
      </c>
      <c r="N50" s="2390">
        <f t="shared" si="170"/>
        <v>0</v>
      </c>
      <c r="O50" s="2390" t="e">
        <f t="shared" ca="1" si="143"/>
        <v>#VALUE!</v>
      </c>
      <c r="P50" s="2391">
        <f t="shared" si="158"/>
        <v>0.51900000000000002</v>
      </c>
      <c r="Q50" s="2388" t="e">
        <f t="shared" ca="1" si="159"/>
        <v>#VALUE!</v>
      </c>
      <c r="R50" s="2388" t="e">
        <f t="shared" ca="1" si="160"/>
        <v>#VALUE!</v>
      </c>
      <c r="S50" s="2392">
        <f>IF(input_engine_r!$AE$21&gt;A49,VLOOKUP(A50,input_engine_r!$AE$23:$AI$35,4,FALSE),0)</f>
        <v>1</v>
      </c>
      <c r="T50" s="2442" t="e">
        <f t="shared" ca="1" si="144"/>
        <v>#VALUE!</v>
      </c>
      <c r="U50" s="2388" t="b">
        <f t="shared" si="161"/>
        <v>0</v>
      </c>
      <c r="V50" s="2388" t="b">
        <f>advanced!$M$25="y"</f>
        <v>0</v>
      </c>
      <c r="W50" s="2388">
        <f>data!$D$36</f>
        <v>15000</v>
      </c>
      <c r="X50" s="2388" t="b">
        <f t="shared" si="24"/>
        <v>0</v>
      </c>
      <c r="Y50" s="2388" t="e">
        <f t="shared" si="162"/>
        <v>#VALUE!</v>
      </c>
      <c r="Z50" s="2388">
        <f t="shared" si="145"/>
        <v>0</v>
      </c>
      <c r="AA50" s="2390">
        <f>data!$G$56</f>
        <v>75000</v>
      </c>
      <c r="AB50" s="2390">
        <f>data!$F$56</f>
        <v>0.02</v>
      </c>
      <c r="AC50" s="2388" t="e">
        <f t="shared" si="163"/>
        <v>#VALUE!</v>
      </c>
      <c r="AD50" s="2388" t="e">
        <f>IF(B50="",0,(IF($AE$1=authorities!$I$1,0,IF(L50&gt;AE50,VLOOKUP($AD$1,authorities!A:H,C50+1,FALSE),0)))*L50/$CK$5*H50)</f>
        <v>#VALUE!</v>
      </c>
      <c r="AE50" s="2388">
        <f>IF($AE$1=authorities!$I$1,0,$AE$1)</f>
        <v>0</v>
      </c>
      <c r="AF50" s="2390" t="str">
        <f>IF(input_engine_r!$AE$21&gt;A49,VLOOKUP(A50,input_engine_r!$AE$23:$AI$35,5,FALSE),0)</f>
        <v>n</v>
      </c>
      <c r="AG50" s="2390">
        <f>data!$C$46</f>
        <v>2900</v>
      </c>
      <c r="AH50" s="2393">
        <f t="shared" si="164"/>
        <v>1</v>
      </c>
      <c r="AI50" s="2388">
        <f t="shared" si="165"/>
        <v>0</v>
      </c>
      <c r="AJ50" s="2388" t="b">
        <f t="shared" ca="1" si="166"/>
        <v>0</v>
      </c>
      <c r="AK50" s="2388"/>
      <c r="AL50" s="2388">
        <f t="shared" ca="1" si="167"/>
        <v>0</v>
      </c>
      <c r="AM50" s="2388"/>
      <c r="AN50" s="2388"/>
      <c r="AO50" s="2390">
        <f t="shared" si="146"/>
        <v>0</v>
      </c>
      <c r="AP50" s="2390">
        <f ca="1">SUM($AO$3:AO50)</f>
        <v>3</v>
      </c>
      <c r="AQ50" s="2390">
        <f t="shared" si="147"/>
        <v>365</v>
      </c>
      <c r="AR50" s="2388" t="e">
        <f t="shared" ca="1" si="148"/>
        <v>#VALUE!</v>
      </c>
      <c r="AS50" s="2395"/>
      <c r="AT50" s="2388" t="str">
        <f t="shared" ca="1" si="168"/>
        <v/>
      </c>
      <c r="AU50" s="2388" t="b">
        <f t="shared" ca="1" si="149"/>
        <v>0</v>
      </c>
      <c r="AV50" s="2388" t="b">
        <f t="shared" si="9"/>
        <v>0</v>
      </c>
      <c r="AW50" s="2388" t="b">
        <f t="shared" si="150"/>
        <v>1</v>
      </c>
      <c r="AX50" s="2388">
        <f t="shared" ca="1" si="169"/>
        <v>0</v>
      </c>
      <c r="AY50" s="2388" t="e">
        <f ca="1">AR50/reliefs!$G$7*AX50*-1</f>
        <v>#VALUE!</v>
      </c>
      <c r="AZ50" s="2395"/>
      <c r="BA50" s="2397"/>
      <c r="BB50" s="2388"/>
      <c r="BC50" s="2388"/>
      <c r="BD50" s="2388"/>
      <c r="BE50" s="2388"/>
      <c r="BF50" s="2390"/>
      <c r="BG50" s="2388"/>
      <c r="BH50" s="2388"/>
      <c r="BI50" s="2388"/>
      <c r="BJ50" s="2388"/>
      <c r="BK50" s="2388"/>
      <c r="BL50" s="2388"/>
      <c r="BM50" s="2388"/>
      <c r="BN50" s="2388"/>
      <c r="BO50" s="2388"/>
      <c r="BP50" s="2388"/>
      <c r="BQ50" s="2388"/>
      <c r="BR50" s="2388"/>
      <c r="BS50" s="2388"/>
      <c r="BT50" s="2388"/>
      <c r="BU50" s="2388"/>
      <c r="BV50" s="2388"/>
      <c r="BW50" s="2388"/>
      <c r="BX50" s="2388"/>
      <c r="BY50" s="2388"/>
      <c r="BZ50" s="2388"/>
      <c r="CA50" s="2388"/>
      <c r="CB50" s="2388"/>
      <c r="CC50" s="2388"/>
      <c r="CD50" s="2388"/>
      <c r="CE50" s="2395"/>
      <c r="CF50" s="2395"/>
      <c r="CG50" s="2395"/>
    </row>
    <row r="51" spans="1:85" s="2396" customFormat="1" x14ac:dyDescent="0.35">
      <c r="A51" s="2388">
        <f t="shared" si="151"/>
        <v>9</v>
      </c>
      <c r="B51" s="2389">
        <f>IF(input_engine_r!$AE$21&gt;A50,VLOOKUP(A51,input_engine_r!$AE$23:$AI$35,2,FALSE),"")</f>
        <v>46113</v>
      </c>
      <c r="C51" s="2388">
        <f t="shared" si="152"/>
        <v>4</v>
      </c>
      <c r="D51" s="2389">
        <f t="shared" si="153"/>
        <v>46477</v>
      </c>
      <c r="E51" s="2390" t="str">
        <f>IF(B51="",E50,VLOOKUP(B51,input_engine_r!$B$23:$F$35,5,FALSE))</f>
        <v>nn</v>
      </c>
      <c r="F51" s="2389">
        <f t="shared" si="154"/>
        <v>46113</v>
      </c>
      <c r="G51" s="2389">
        <f t="shared" si="155"/>
        <v>46112</v>
      </c>
      <c r="H51" s="2390">
        <f t="shared" si="156"/>
        <v>0</v>
      </c>
      <c r="I51" s="2388">
        <f t="shared" ca="1" si="140"/>
        <v>0</v>
      </c>
      <c r="J51" s="2388">
        <f t="shared" ca="1" si="141"/>
        <v>0</v>
      </c>
      <c r="K51" s="2388">
        <f t="shared" si="142"/>
        <v>0</v>
      </c>
      <c r="L51" s="2388" t="str">
        <f>IF(input_engine_r!$AE$21&gt;A50,VLOOKUP(A51,input_engine_r!$AE$23:$AI$36,3,FALSE),"")</f>
        <v/>
      </c>
      <c r="M51" s="2390" t="str">
        <f t="shared" si="157"/>
        <v>up</v>
      </c>
      <c r="N51" s="2390">
        <f t="shared" si="170"/>
        <v>0</v>
      </c>
      <c r="O51" s="2390" t="e">
        <f t="shared" ca="1" si="143"/>
        <v>#VALUE!</v>
      </c>
      <c r="P51" s="2391">
        <f t="shared" si="158"/>
        <v>0.51900000000000002</v>
      </c>
      <c r="Q51" s="2388" t="e">
        <f t="shared" ca="1" si="159"/>
        <v>#VALUE!</v>
      </c>
      <c r="R51" s="2388" t="e">
        <f t="shared" ca="1" si="160"/>
        <v>#VALUE!</v>
      </c>
      <c r="S51" s="2392">
        <f>IF(input_engine_r!$AE$21&gt;A50,VLOOKUP(A51,input_engine_r!$AE$23:$AI$35,4,FALSE),0)</f>
        <v>1</v>
      </c>
      <c r="T51" s="2442" t="e">
        <f t="shared" ca="1" si="144"/>
        <v>#VALUE!</v>
      </c>
      <c r="U51" s="2388" t="b">
        <f t="shared" si="161"/>
        <v>0</v>
      </c>
      <c r="V51" s="2388" t="b">
        <f>advanced!$M$25="y"</f>
        <v>0</v>
      </c>
      <c r="W51" s="2388">
        <f>data!$D$36</f>
        <v>15000</v>
      </c>
      <c r="X51" s="2388" t="b">
        <f t="shared" si="24"/>
        <v>0</v>
      </c>
      <c r="Y51" s="2388" t="e">
        <f t="shared" si="162"/>
        <v>#VALUE!</v>
      </c>
      <c r="Z51" s="2388">
        <f t="shared" si="145"/>
        <v>0</v>
      </c>
      <c r="AA51" s="2390">
        <f>data!$G$56</f>
        <v>75000</v>
      </c>
      <c r="AB51" s="2390">
        <f>data!$F$56</f>
        <v>0.02</v>
      </c>
      <c r="AC51" s="2388" t="e">
        <f t="shared" si="163"/>
        <v>#VALUE!</v>
      </c>
      <c r="AD51" s="2388" t="e">
        <f>IF(B51="",0,(IF($AE$1=authorities!$I$1,0,IF(L51&gt;AE51,VLOOKUP($AD$1,authorities!A:H,C51+1,FALSE),0)))*L51/$CK$5*H51)</f>
        <v>#VALUE!</v>
      </c>
      <c r="AE51" s="2388">
        <f>IF($AE$1=authorities!$I$1,0,$AE$1)</f>
        <v>0</v>
      </c>
      <c r="AF51" s="2390" t="str">
        <f>IF(input_engine_r!$AE$21&gt;A50,VLOOKUP(A51,input_engine_r!$AE$23:$AI$35,5,FALSE),0)</f>
        <v>n</v>
      </c>
      <c r="AG51" s="2390">
        <f>data!$C$46</f>
        <v>2900</v>
      </c>
      <c r="AH51" s="2393">
        <f t="shared" si="164"/>
        <v>1</v>
      </c>
      <c r="AI51" s="2388">
        <f t="shared" si="165"/>
        <v>0</v>
      </c>
      <c r="AJ51" s="2388" t="b">
        <f t="shared" ca="1" si="166"/>
        <v>0</v>
      </c>
      <c r="AK51" s="2388"/>
      <c r="AL51" s="2388">
        <f t="shared" ca="1" si="167"/>
        <v>0</v>
      </c>
      <c r="AM51" s="2388"/>
      <c r="AN51" s="2388"/>
      <c r="AO51" s="2390">
        <f t="shared" si="146"/>
        <v>0</v>
      </c>
      <c r="AP51" s="2390">
        <f ca="1">SUM($AO$3:AO51)</f>
        <v>3</v>
      </c>
      <c r="AQ51" s="2390">
        <f t="shared" si="147"/>
        <v>365</v>
      </c>
      <c r="AR51" s="2388" t="e">
        <f t="shared" ca="1" si="148"/>
        <v>#VALUE!</v>
      </c>
      <c r="AS51" s="2395"/>
      <c r="AT51" s="2388" t="str">
        <f t="shared" ca="1" si="168"/>
        <v/>
      </c>
      <c r="AU51" s="2388" t="b">
        <f t="shared" ca="1" si="149"/>
        <v>0</v>
      </c>
      <c r="AV51" s="2388" t="b">
        <f t="shared" si="9"/>
        <v>0</v>
      </c>
      <c r="AW51" s="2388" t="b">
        <f t="shared" si="150"/>
        <v>1</v>
      </c>
      <c r="AX51" s="2388">
        <f t="shared" ca="1" si="169"/>
        <v>0</v>
      </c>
      <c r="AY51" s="2388" t="e">
        <f ca="1">AR51/reliefs!$G$7*AX51*-1</f>
        <v>#VALUE!</v>
      </c>
      <c r="AZ51" s="2395"/>
      <c r="BA51" s="2397"/>
      <c r="BB51" s="2388"/>
      <c r="BC51" s="2388"/>
      <c r="BD51" s="2388"/>
      <c r="BE51" s="2388"/>
      <c r="BF51" s="2390"/>
      <c r="BG51" s="2388"/>
      <c r="BH51" s="2388"/>
      <c r="BI51" s="2388"/>
      <c r="BJ51" s="2388"/>
      <c r="BK51" s="2388"/>
      <c r="BL51" s="2388"/>
      <c r="BM51" s="2388"/>
      <c r="BN51" s="2388"/>
      <c r="BO51" s="2388"/>
      <c r="BP51" s="2388"/>
      <c r="BQ51" s="2388"/>
      <c r="BR51" s="2388"/>
      <c r="BS51" s="2388"/>
      <c r="BT51" s="2388"/>
      <c r="BU51" s="2388"/>
      <c r="BV51" s="2388"/>
      <c r="BW51" s="2388"/>
      <c r="BX51" s="2388"/>
      <c r="BY51" s="2388"/>
      <c r="BZ51" s="2388"/>
      <c r="CA51" s="2388"/>
      <c r="CB51" s="2388"/>
      <c r="CC51" s="2388"/>
      <c r="CD51" s="2388"/>
      <c r="CE51" s="2395"/>
      <c r="CF51" s="2395"/>
      <c r="CG51" s="2395"/>
    </row>
    <row r="52" spans="1:85" s="2396" customFormat="1" x14ac:dyDescent="0.35">
      <c r="A52" s="2388">
        <f t="shared" si="151"/>
        <v>10</v>
      </c>
      <c r="B52" s="2389">
        <f>IF(input_engine_r!$AE$21&gt;A51,VLOOKUP(A52,input_engine_r!$AE$23:$AI$35,2,FALSE),"")</f>
        <v>46113</v>
      </c>
      <c r="C52" s="2388">
        <f t="shared" si="152"/>
        <v>4</v>
      </c>
      <c r="D52" s="2389">
        <f t="shared" si="153"/>
        <v>46477</v>
      </c>
      <c r="E52" s="2390" t="str">
        <f>IF(B52="",E51,VLOOKUP(B52,input_engine_r!$B$23:$F$35,5,FALSE))</f>
        <v>nn</v>
      </c>
      <c r="F52" s="2389">
        <f t="shared" si="154"/>
        <v>46113</v>
      </c>
      <c r="G52" s="2389">
        <f t="shared" si="155"/>
        <v>46112</v>
      </c>
      <c r="H52" s="2390">
        <f t="shared" si="156"/>
        <v>0</v>
      </c>
      <c r="I52" s="2388">
        <f t="shared" ca="1" si="140"/>
        <v>0</v>
      </c>
      <c r="J52" s="2388">
        <f t="shared" ca="1" si="141"/>
        <v>0</v>
      </c>
      <c r="K52" s="2388">
        <f t="shared" si="142"/>
        <v>0</v>
      </c>
      <c r="L52" s="2388" t="str">
        <f>IF(input_engine_r!$AE$21&gt;A51,VLOOKUP(A52,input_engine_r!$AE$23:$AI$36,3,FALSE),"")</f>
        <v/>
      </c>
      <c r="M52" s="2390" t="str">
        <f t="shared" si="157"/>
        <v>up</v>
      </c>
      <c r="N52" s="2390">
        <f t="shared" si="170"/>
        <v>0</v>
      </c>
      <c r="O52" s="2390" t="e">
        <f t="shared" ca="1" si="143"/>
        <v>#VALUE!</v>
      </c>
      <c r="P52" s="2391">
        <f t="shared" si="158"/>
        <v>0.51900000000000002</v>
      </c>
      <c r="Q52" s="2388" t="e">
        <f t="shared" ca="1" si="159"/>
        <v>#VALUE!</v>
      </c>
      <c r="R52" s="2388" t="e">
        <f t="shared" ca="1" si="160"/>
        <v>#VALUE!</v>
      </c>
      <c r="S52" s="2392">
        <f>IF(input_engine_r!$AE$21&gt;A51,VLOOKUP(A52,input_engine_r!$AE$23:$AI$35,4,FALSE),0)</f>
        <v>1</v>
      </c>
      <c r="T52" s="2442" t="e">
        <f t="shared" ca="1" si="144"/>
        <v>#VALUE!</v>
      </c>
      <c r="U52" s="2388" t="b">
        <f t="shared" si="161"/>
        <v>0</v>
      </c>
      <c r="V52" s="2388" t="b">
        <f>advanced!$M$25="y"</f>
        <v>0</v>
      </c>
      <c r="W52" s="2388">
        <f>data!$D$36</f>
        <v>15000</v>
      </c>
      <c r="X52" s="2388" t="b">
        <f t="shared" si="24"/>
        <v>0</v>
      </c>
      <c r="Y52" s="2388" t="e">
        <f t="shared" si="162"/>
        <v>#VALUE!</v>
      </c>
      <c r="Z52" s="2388">
        <f t="shared" si="145"/>
        <v>0</v>
      </c>
      <c r="AA52" s="2390">
        <f>data!$G$56</f>
        <v>75000</v>
      </c>
      <c r="AB52" s="2390">
        <f>data!$F$56</f>
        <v>0.02</v>
      </c>
      <c r="AC52" s="2388" t="e">
        <f t="shared" si="163"/>
        <v>#VALUE!</v>
      </c>
      <c r="AD52" s="2388" t="e">
        <f>IF(B52="",0,(IF($AE$1=authorities!$I$1,0,IF(L52&gt;AE52,VLOOKUP($AD$1,authorities!A:H,C52+1,FALSE),0)))*L52/$CK$5*H52)</f>
        <v>#VALUE!</v>
      </c>
      <c r="AE52" s="2388">
        <f>IF($AE$1=authorities!$I$1,0,$AE$1)</f>
        <v>0</v>
      </c>
      <c r="AF52" s="2390" t="str">
        <f>IF(input_engine_r!$AE$21&gt;A51,VLOOKUP(A52,input_engine_r!$AE$23:$AI$35,5,FALSE),0)</f>
        <v>n</v>
      </c>
      <c r="AG52" s="2390">
        <f>data!$C$46</f>
        <v>2900</v>
      </c>
      <c r="AH52" s="2393">
        <f t="shared" si="164"/>
        <v>1</v>
      </c>
      <c r="AI52" s="2388">
        <f t="shared" si="165"/>
        <v>0</v>
      </c>
      <c r="AJ52" s="2388" t="b">
        <f t="shared" ca="1" si="166"/>
        <v>0</v>
      </c>
      <c r="AK52" s="2388"/>
      <c r="AL52" s="2388">
        <f t="shared" ca="1" si="167"/>
        <v>0</v>
      </c>
      <c r="AM52" s="2388"/>
      <c r="AN52" s="2388"/>
      <c r="AO52" s="2390">
        <f t="shared" si="146"/>
        <v>0</v>
      </c>
      <c r="AP52" s="2390">
        <f ca="1">SUM($AO$3:AO52)</f>
        <v>3</v>
      </c>
      <c r="AQ52" s="2390">
        <f t="shared" si="147"/>
        <v>365</v>
      </c>
      <c r="AR52" s="2388" t="e">
        <f t="shared" ca="1" si="148"/>
        <v>#VALUE!</v>
      </c>
      <c r="AS52" s="2395"/>
      <c r="AT52" s="2388" t="str">
        <f t="shared" ca="1" si="168"/>
        <v/>
      </c>
      <c r="AU52" s="2388" t="b">
        <f t="shared" ca="1" si="149"/>
        <v>0</v>
      </c>
      <c r="AV52" s="2388" t="b">
        <f t="shared" si="9"/>
        <v>0</v>
      </c>
      <c r="AW52" s="2388" t="b">
        <f t="shared" si="150"/>
        <v>1</v>
      </c>
      <c r="AX52" s="2388">
        <f t="shared" ca="1" si="169"/>
        <v>0</v>
      </c>
      <c r="AY52" s="2388" t="e">
        <f ca="1">AR52/reliefs!$G$7*AX52*-1</f>
        <v>#VALUE!</v>
      </c>
      <c r="AZ52" s="2395"/>
      <c r="BA52" s="2397"/>
      <c r="BB52" s="2388"/>
      <c r="BC52" s="2388"/>
      <c r="BD52" s="2388"/>
      <c r="BE52" s="2388"/>
      <c r="BF52" s="2390"/>
      <c r="BG52" s="2388"/>
      <c r="BH52" s="2388"/>
      <c r="BI52" s="2388"/>
      <c r="BJ52" s="2388"/>
      <c r="BK52" s="2388"/>
      <c r="BL52" s="2388"/>
      <c r="BM52" s="2388"/>
      <c r="BN52" s="2388"/>
      <c r="BO52" s="2388"/>
      <c r="BP52" s="2388"/>
      <c r="BQ52" s="2388"/>
      <c r="BR52" s="2388"/>
      <c r="BS52" s="2388"/>
      <c r="BT52" s="2388"/>
      <c r="BU52" s="2388"/>
      <c r="BV52" s="2388"/>
      <c r="BW52" s="2388"/>
      <c r="BX52" s="2388"/>
      <c r="BY52" s="2388"/>
      <c r="BZ52" s="2388"/>
      <c r="CA52" s="2388"/>
      <c r="CB52" s="2388"/>
      <c r="CC52" s="2388"/>
      <c r="CD52" s="2388"/>
      <c r="CE52" s="2395"/>
      <c r="CF52" s="2395"/>
      <c r="CG52" s="2395"/>
    </row>
    <row r="53" spans="1:85" s="2396" customFormat="1" x14ac:dyDescent="0.35">
      <c r="A53" s="2388">
        <f t="shared" si="151"/>
        <v>11</v>
      </c>
      <c r="B53" s="2389">
        <f>IF(input_engine_r!$AE$21&gt;A52,VLOOKUP(A53,input_engine_r!$AE$23:$AI$35,2,FALSE),"")</f>
        <v>46113</v>
      </c>
      <c r="C53" s="2388">
        <f t="shared" si="152"/>
        <v>4</v>
      </c>
      <c r="D53" s="2389">
        <f t="shared" si="153"/>
        <v>46477</v>
      </c>
      <c r="E53" s="2390" t="str">
        <f>IF(B53="",E52,VLOOKUP(B53,input_engine_r!$B$23:$F$35,5,FALSE))</f>
        <v>nn</v>
      </c>
      <c r="F53" s="2389">
        <f t="shared" si="154"/>
        <v>46113</v>
      </c>
      <c r="G53" s="2389" t="e">
        <f>IF(B53="","",IF(#REF!=C53,#REF!-1,D53))</f>
        <v>#REF!</v>
      </c>
      <c r="H53" s="2390" t="e">
        <f t="shared" si="156"/>
        <v>#REF!</v>
      </c>
      <c r="I53" s="2388">
        <f t="shared" ca="1" si="140"/>
        <v>0</v>
      </c>
      <c r="J53" s="2388">
        <f t="shared" ca="1" si="141"/>
        <v>0</v>
      </c>
      <c r="K53" s="2388">
        <f t="shared" si="142"/>
        <v>0</v>
      </c>
      <c r="L53" s="2388" t="str">
        <f>IF(input_engine_r!$AE$21&gt;A52,VLOOKUP(A53,input_engine_r!$AE$23:$AI$36,3,FALSE),"")</f>
        <v/>
      </c>
      <c r="M53" s="2390" t="str">
        <f t="shared" si="157"/>
        <v>up</v>
      </c>
      <c r="N53" s="2390">
        <f t="shared" si="170"/>
        <v>0</v>
      </c>
      <c r="O53" s="2390" t="e">
        <f t="shared" ca="1" si="143"/>
        <v>#REF!</v>
      </c>
      <c r="P53" s="2391">
        <f t="shared" si="158"/>
        <v>0.51900000000000002</v>
      </c>
      <c r="Q53" s="2388" t="e">
        <f t="shared" ca="1" si="159"/>
        <v>#REF!</v>
      </c>
      <c r="R53" s="2388" t="e">
        <f t="shared" ca="1" si="160"/>
        <v>#REF!</v>
      </c>
      <c r="S53" s="2392">
        <f>IF(input_engine_r!$AE$21&gt;A52,VLOOKUP(A53,input_engine_r!$AE$23:$AI$35,4,FALSE),0)</f>
        <v>1</v>
      </c>
      <c r="T53" s="2442" t="e">
        <f t="shared" ca="1" si="144"/>
        <v>#REF!</v>
      </c>
      <c r="U53" s="2388" t="b">
        <f t="shared" si="161"/>
        <v>0</v>
      </c>
      <c r="V53" s="2388" t="b">
        <f>advanced!$M$25="y"</f>
        <v>0</v>
      </c>
      <c r="W53" s="2388">
        <f>data!$D$36</f>
        <v>15000</v>
      </c>
      <c r="X53" s="2388" t="b">
        <f t="shared" si="24"/>
        <v>0</v>
      </c>
      <c r="Y53" s="2388" t="e">
        <f t="shared" si="162"/>
        <v>#VALUE!</v>
      </c>
      <c r="Z53" s="2388">
        <f t="shared" si="145"/>
        <v>0</v>
      </c>
      <c r="AA53" s="2390">
        <f>data!$G$56</f>
        <v>75000</v>
      </c>
      <c r="AB53" s="2390">
        <f>data!$F$56</f>
        <v>0.02</v>
      </c>
      <c r="AC53" s="2388" t="e">
        <f t="shared" si="163"/>
        <v>#VALUE!</v>
      </c>
      <c r="AD53" s="2388" t="e">
        <f>IF(B53="",0,(IF($AE$1=authorities!$I$1,0,IF(L53&gt;AE53,VLOOKUP($AD$1,authorities!A:H,C53+1,FALSE),0)))*L53/$CK$5*H53)</f>
        <v>#VALUE!</v>
      </c>
      <c r="AE53" s="2388">
        <f>IF($AE$1=authorities!$I$1,0,$AE$1)</f>
        <v>0</v>
      </c>
      <c r="AF53" s="2390" t="str">
        <f>IF(input_engine_r!$AE$21&gt;A52,VLOOKUP(A53,input_engine_r!$AE$23:$AI$35,5,FALSE),0)</f>
        <v>n</v>
      </c>
      <c r="AG53" s="2390">
        <f>data!$C$46</f>
        <v>2900</v>
      </c>
      <c r="AH53" s="2393">
        <f t="shared" si="164"/>
        <v>1</v>
      </c>
      <c r="AI53" s="2388">
        <f t="shared" si="165"/>
        <v>0</v>
      </c>
      <c r="AJ53" s="2388" t="b">
        <f t="shared" ca="1" si="166"/>
        <v>0</v>
      </c>
      <c r="AK53" s="2388"/>
      <c r="AL53" s="2388" t="e">
        <f t="shared" ca="1" si="167"/>
        <v>#REF!</v>
      </c>
      <c r="AM53" s="2388"/>
      <c r="AN53" s="2388"/>
      <c r="AO53" s="2390">
        <f t="shared" si="146"/>
        <v>0</v>
      </c>
      <c r="AP53" s="2390">
        <f ca="1">SUM($AO$3:AO53)</f>
        <v>3</v>
      </c>
      <c r="AQ53" s="2390">
        <f t="shared" si="147"/>
        <v>365</v>
      </c>
      <c r="AR53" s="2388" t="e">
        <f t="shared" ca="1" si="148"/>
        <v>#REF!</v>
      </c>
      <c r="AS53" s="2395"/>
      <c r="AT53" s="2388" t="str">
        <f t="shared" ca="1" si="168"/>
        <v/>
      </c>
      <c r="AU53" s="2388" t="b">
        <f t="shared" ca="1" si="149"/>
        <v>0</v>
      </c>
      <c r="AV53" s="2388" t="b">
        <f t="shared" si="9"/>
        <v>0</v>
      </c>
      <c r="AW53" s="2388" t="b">
        <f t="shared" si="150"/>
        <v>1</v>
      </c>
      <c r="AX53" s="2388">
        <f t="shared" ca="1" si="169"/>
        <v>0</v>
      </c>
      <c r="AY53" s="2388" t="e">
        <f ca="1">AR53/reliefs!$G$7*AX53*-1</f>
        <v>#REF!</v>
      </c>
      <c r="AZ53" s="2395"/>
      <c r="BA53" s="2397"/>
      <c r="BB53" s="2388"/>
      <c r="BC53" s="2388"/>
      <c r="BD53" s="2388"/>
      <c r="BE53" s="2388"/>
      <c r="BF53" s="2390"/>
      <c r="BG53" s="2388"/>
      <c r="BH53" s="2388"/>
      <c r="BI53" s="2388"/>
      <c r="BJ53" s="2388"/>
      <c r="BK53" s="2388"/>
      <c r="BL53" s="2388"/>
      <c r="BM53" s="2388"/>
      <c r="BN53" s="2388"/>
      <c r="BO53" s="2388"/>
      <c r="BP53" s="2388"/>
      <c r="BQ53" s="2388"/>
      <c r="BR53" s="2388"/>
      <c r="BS53" s="2388"/>
      <c r="BT53" s="2388"/>
      <c r="BU53" s="2388"/>
      <c r="BV53" s="2388"/>
      <c r="BW53" s="2388"/>
      <c r="BX53" s="2388"/>
      <c r="BY53" s="2388"/>
      <c r="BZ53" s="2388"/>
      <c r="CA53" s="2388"/>
      <c r="CB53" s="2388"/>
      <c r="CC53" s="2388"/>
      <c r="CD53" s="2388"/>
      <c r="CE53" s="2395"/>
      <c r="CF53" s="2395"/>
      <c r="CG53" s="2395"/>
    </row>
    <row r="54" spans="1:85" customFormat="1" x14ac:dyDescent="0.35">
      <c r="P54" s="1042"/>
      <c r="T54" s="2445" t="e">
        <f ca="1">ROUND(SUM(T42:T53),2)</f>
        <v>#VALUE!</v>
      </c>
      <c r="U54" s="1008">
        <f ca="1">U42+U43+U44+U45+U46+U47+U48+U49+U50+U51+U52+U53</f>
        <v>0</v>
      </c>
      <c r="AI54" s="1009">
        <f ca="1">SUM(AI42:AI53)</f>
        <v>0</v>
      </c>
      <c r="AJ54" s="1002">
        <f ca="1">AJ53+AJ52+AJ51+AJ50+AJ49+AJ48+AJ47+AJ46+AJ45+AJ44+AJ43+AJ42</f>
        <v>0</v>
      </c>
      <c r="AK54" s="997" t="str">
        <f ca="1">IF(AJ54=12,"Phased",IF(AJ54=0,"True","***"))</f>
        <v>True</v>
      </c>
      <c r="AL54" s="1002" t="e">
        <f ca="1">SUM(AL42:AL53)</f>
        <v>#REF!</v>
      </c>
      <c r="AM54" s="1010" t="e">
        <f ca="1">IF(AL54&lt;1,AL54,INT(AL54))</f>
        <v>#REF!</v>
      </c>
      <c r="AN54" s="1010" t="e">
        <f ca="1">IF(AL54-AM54&lt;&gt;0,"N/J + T",IF(AND(0&lt;AL54,AL54&lt;1),"P + T",IF(AL54&gt;=1,"N/J","")))</f>
        <v>#REF!</v>
      </c>
      <c r="AO54" s="5"/>
      <c r="AP54" s="1002">
        <f ca="1">SUM($AO$3:AO54)</f>
        <v>3</v>
      </c>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row>
    <row r="55" spans="1:85" customFormat="1" x14ac:dyDescent="0.35">
      <c r="P55" s="1042"/>
      <c r="AO55" s="5"/>
      <c r="AP55" s="1002"/>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row>
    <row r="56" spans="1:85" customFormat="1" x14ac:dyDescent="0.35">
      <c r="P56" s="1042"/>
      <c r="AO56" s="5"/>
      <c r="AP56" s="1002"/>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row>
    <row r="57" spans="1:85" customFormat="1" x14ac:dyDescent="0.35">
      <c r="P57" s="1042"/>
      <c r="AO57" s="5"/>
      <c r="AP57" s="1002"/>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row>
    <row r="58" spans="1:85" customFormat="1" x14ac:dyDescent="0.35">
      <c r="P58" s="1042"/>
      <c r="AO58" s="5"/>
      <c r="AP58" s="1002"/>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row>
    <row r="59" spans="1:85" customFormat="1" x14ac:dyDescent="0.35">
      <c r="P59" s="1042"/>
      <c r="AO59" s="5"/>
      <c r="AP59" s="1002"/>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row>
    <row r="60" spans="1:85" customFormat="1" x14ac:dyDescent="0.35">
      <c r="P60" s="1042"/>
      <c r="AO60" s="5"/>
      <c r="AP60" s="1002"/>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row>
    <row r="61" spans="1:85" customFormat="1" x14ac:dyDescent="0.35">
      <c r="P61" s="1042"/>
      <c r="AO61" s="5"/>
      <c r="AP61" s="1002"/>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row>
    <row r="62" spans="1:85" customFormat="1" x14ac:dyDescent="0.35">
      <c r="P62" s="1042"/>
      <c r="AO62" s="5"/>
      <c r="AP62" s="1002"/>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row>
    <row r="63" spans="1:85" customFormat="1" x14ac:dyDescent="0.35">
      <c r="P63" s="1042"/>
      <c r="AO63" s="5"/>
      <c r="AP63" s="1002"/>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row>
    <row r="64" spans="1:85" customFormat="1" x14ac:dyDescent="0.35">
      <c r="P64" s="1042"/>
      <c r="AO64" s="5"/>
      <c r="AP64" s="1002"/>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row>
    <row r="65" spans="16:85" customFormat="1" x14ac:dyDescent="0.35">
      <c r="P65" s="1042"/>
      <c r="AO65" s="5"/>
      <c r="AP65" s="1002"/>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row>
    <row r="66" spans="16:85" customFormat="1" x14ac:dyDescent="0.35">
      <c r="P66" s="1042"/>
      <c r="AO66" s="5"/>
      <c r="AP66" s="1002"/>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row>
    <row r="67" spans="16:85" customFormat="1" x14ac:dyDescent="0.35">
      <c r="P67" s="1042"/>
      <c r="AO67" s="5"/>
      <c r="AP67" s="1002"/>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row>
    <row r="68" spans="16:85" customFormat="1" x14ac:dyDescent="0.35">
      <c r="P68" s="1042"/>
      <c r="AO68" s="5"/>
      <c r="AP68" s="1002"/>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row>
    <row r="69" spans="16:85" customFormat="1" x14ac:dyDescent="0.35">
      <c r="P69" s="1042"/>
      <c r="AO69" s="5"/>
      <c r="AP69" s="1002"/>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row>
    <row r="70" spans="16:85" customFormat="1" x14ac:dyDescent="0.35">
      <c r="P70" s="1042"/>
      <c r="AO70" s="5"/>
      <c r="AP70" s="1002"/>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row>
    <row r="71" spans="16:85" customFormat="1" x14ac:dyDescent="0.35">
      <c r="P71" s="1042"/>
      <c r="AO71" s="5"/>
      <c r="AP71" s="1002"/>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row>
    <row r="72" spans="16:85" customFormat="1" x14ac:dyDescent="0.35">
      <c r="P72" s="1042"/>
      <c r="AO72" s="5"/>
      <c r="AP72" s="1002"/>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row>
    <row r="73" spans="16:85" customFormat="1" x14ac:dyDescent="0.35">
      <c r="P73" s="1042"/>
      <c r="AO73" s="5"/>
      <c r="AP73" s="1002"/>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row>
    <row r="74" spans="16:85" customFormat="1" x14ac:dyDescent="0.35">
      <c r="P74" s="1042"/>
      <c r="AO74" s="5"/>
      <c r="AP74" s="1002"/>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row>
    <row r="75" spans="16:85" customFormat="1" x14ac:dyDescent="0.35">
      <c r="P75" s="1042"/>
      <c r="AO75" s="5"/>
      <c r="AP75" s="1002"/>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row>
    <row r="76" spans="16:85" customFormat="1" x14ac:dyDescent="0.35">
      <c r="P76" s="1042"/>
      <c r="AO76" s="5"/>
      <c r="AP76" s="1002"/>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row>
    <row r="77" spans="16:85" customFormat="1" x14ac:dyDescent="0.35">
      <c r="P77" s="1042"/>
      <c r="AO77" s="5"/>
      <c r="AP77" s="1002"/>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row>
    <row r="78" spans="16:85" customFormat="1" x14ac:dyDescent="0.35">
      <c r="P78" s="1042"/>
      <c r="AO78" s="5"/>
      <c r="AP78" s="1002"/>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row>
    <row r="79" spans="16:85" customFormat="1" x14ac:dyDescent="0.35">
      <c r="P79" s="1042"/>
      <c r="AO79" s="5"/>
      <c r="AP79" s="1002"/>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row>
    <row r="80" spans="16:85" customFormat="1" x14ac:dyDescent="0.35">
      <c r="P80" s="1042"/>
      <c r="AO80" s="5"/>
      <c r="AP80" s="1002"/>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row>
    <row r="81" spans="16:85" customFormat="1" x14ac:dyDescent="0.35">
      <c r="P81" s="1042"/>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row>
    <row r="82" spans="16:85" customFormat="1" x14ac:dyDescent="0.35">
      <c r="P82" s="1042"/>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row>
    <row r="83" spans="16:85" customFormat="1" x14ac:dyDescent="0.35">
      <c r="P83" s="1042"/>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row>
    <row r="84" spans="16:85" customFormat="1" x14ac:dyDescent="0.35">
      <c r="P84" s="1042"/>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row>
    <row r="85" spans="16:85" customFormat="1" x14ac:dyDescent="0.35">
      <c r="P85" s="1042"/>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row>
    <row r="86" spans="16:85" customFormat="1" x14ac:dyDescent="0.35">
      <c r="P86" s="1042"/>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row>
    <row r="87" spans="16:85" customFormat="1" x14ac:dyDescent="0.35">
      <c r="P87" s="1042"/>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row>
    <row r="88" spans="16:85" customFormat="1" x14ac:dyDescent="0.35">
      <c r="P88" s="1042"/>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row>
    <row r="89" spans="16:85" customFormat="1" x14ac:dyDescent="0.35">
      <c r="P89" s="1042"/>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row>
    <row r="90" spans="16:85" customFormat="1" x14ac:dyDescent="0.35">
      <c r="P90" s="1042"/>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row>
    <row r="91" spans="16:85" customFormat="1" x14ac:dyDescent="0.35">
      <c r="P91" s="1042"/>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row>
    <row r="92" spans="16:85" customFormat="1" x14ac:dyDescent="0.35">
      <c r="P92" s="1042"/>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row>
    <row r="93" spans="16:85" customFormat="1" x14ac:dyDescent="0.35">
      <c r="P93" s="1042"/>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row>
    <row r="94" spans="16:85" customFormat="1" x14ac:dyDescent="0.35">
      <c r="P94" s="1042"/>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row>
    <row r="95" spans="16:85" customFormat="1" x14ac:dyDescent="0.35">
      <c r="P95" s="1042"/>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row>
    <row r="96" spans="16:85" customFormat="1" x14ac:dyDescent="0.35">
      <c r="P96" s="1042"/>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row>
    <row r="97" spans="16:85" customFormat="1" x14ac:dyDescent="0.35">
      <c r="P97" s="1042"/>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row>
    <row r="98" spans="16:85" customFormat="1" x14ac:dyDescent="0.35">
      <c r="P98" s="1042"/>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row>
    <row r="99" spans="16:85" customFormat="1" x14ac:dyDescent="0.35">
      <c r="P99" s="1042"/>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row>
    <row r="100" spans="16:85" customFormat="1" x14ac:dyDescent="0.35">
      <c r="P100" s="1042"/>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row>
    <row r="101" spans="16:85" customFormat="1" x14ac:dyDescent="0.35">
      <c r="P101" s="1042"/>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row>
    <row r="102" spans="16:85" customFormat="1" x14ac:dyDescent="0.35">
      <c r="P102" s="1042"/>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row>
    <row r="103" spans="16:85" customFormat="1" x14ac:dyDescent="0.35">
      <c r="P103" s="1042"/>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row>
    <row r="104" spans="16:85" customFormat="1" x14ac:dyDescent="0.35">
      <c r="P104" s="1042"/>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row>
    <row r="105" spans="16:85" customFormat="1" x14ac:dyDescent="0.35">
      <c r="P105" s="1042"/>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row>
    <row r="106" spans="16:85" customFormat="1" x14ac:dyDescent="0.35">
      <c r="P106" s="1042"/>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row>
    <row r="107" spans="16:85" customFormat="1" x14ac:dyDescent="0.35">
      <c r="P107" s="1042"/>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row>
    <row r="108" spans="16:85" customFormat="1" x14ac:dyDescent="0.35">
      <c r="P108" s="1042"/>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row>
    <row r="109" spans="16:85" customFormat="1" x14ac:dyDescent="0.35">
      <c r="P109" s="1042"/>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row>
    <row r="110" spans="16:85" customFormat="1" x14ac:dyDescent="0.35">
      <c r="P110" s="1042"/>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row>
    <row r="111" spans="16:85" customFormat="1" x14ac:dyDescent="0.35">
      <c r="P111" s="1042"/>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row>
    <row r="112" spans="16:85" customFormat="1" x14ac:dyDescent="0.35">
      <c r="P112" s="1042"/>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row>
    <row r="113" spans="16:85" customFormat="1" x14ac:dyDescent="0.35">
      <c r="P113" s="1042"/>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row>
    <row r="114" spans="16:85" customFormat="1" x14ac:dyDescent="0.35">
      <c r="P114" s="1042"/>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row>
    <row r="115" spans="16:85" customFormat="1" x14ac:dyDescent="0.35">
      <c r="P115" s="1042"/>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row>
    <row r="116" spans="16:85" customFormat="1" x14ac:dyDescent="0.35">
      <c r="P116" s="1042"/>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row>
    <row r="117" spans="16:85" customFormat="1" x14ac:dyDescent="0.35">
      <c r="P117" s="1042"/>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row>
    <row r="118" spans="16:85" customFormat="1" x14ac:dyDescent="0.35">
      <c r="P118" s="1042"/>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row>
    <row r="119" spans="16:85" customFormat="1" x14ac:dyDescent="0.35">
      <c r="P119" s="1042"/>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row>
    <row r="120" spans="16:85" customFormat="1" x14ac:dyDescent="0.35">
      <c r="P120" s="1042"/>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row>
    <row r="121" spans="16:85" customFormat="1" x14ac:dyDescent="0.35">
      <c r="P121" s="1042"/>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row>
    <row r="122" spans="16:85" customFormat="1" x14ac:dyDescent="0.35">
      <c r="P122" s="1042"/>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row>
    <row r="123" spans="16:85" customFormat="1" x14ac:dyDescent="0.35">
      <c r="P123" s="1042"/>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row>
    <row r="124" spans="16:85" customFormat="1" x14ac:dyDescent="0.35">
      <c r="P124" s="1042"/>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row>
    <row r="125" spans="16:85" customFormat="1" x14ac:dyDescent="0.35">
      <c r="P125" s="1042"/>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row>
    <row r="126" spans="16:85" customFormat="1" x14ac:dyDescent="0.35">
      <c r="P126" s="1042"/>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row>
    <row r="127" spans="16:85" customFormat="1" x14ac:dyDescent="0.35">
      <c r="P127" s="1042"/>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row>
    <row r="128" spans="16:85" customFormat="1" x14ac:dyDescent="0.35">
      <c r="P128" s="1042"/>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row>
    <row r="129" spans="16:85" customFormat="1" x14ac:dyDescent="0.35">
      <c r="P129" s="1042"/>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row>
    <row r="130" spans="16:85" customFormat="1" x14ac:dyDescent="0.35">
      <c r="P130" s="1042"/>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row>
    <row r="131" spans="16:85" customFormat="1" x14ac:dyDescent="0.35">
      <c r="P131" s="1042"/>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row>
    <row r="132" spans="16:85" customFormat="1" x14ac:dyDescent="0.35">
      <c r="P132" s="1042"/>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row>
    <row r="133" spans="16:85" customFormat="1" x14ac:dyDescent="0.35">
      <c r="P133" s="1042"/>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row>
    <row r="134" spans="16:85" customFormat="1" x14ac:dyDescent="0.35">
      <c r="P134" s="1042"/>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row>
    <row r="135" spans="16:85" customFormat="1" x14ac:dyDescent="0.35">
      <c r="P135" s="1042"/>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row>
    <row r="136" spans="16:85" customFormat="1" x14ac:dyDescent="0.35">
      <c r="P136" s="1042"/>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row>
    <row r="137" spans="16:85" customFormat="1" x14ac:dyDescent="0.35">
      <c r="P137" s="1042"/>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row>
    <row r="138" spans="16:85" customFormat="1" x14ac:dyDescent="0.35">
      <c r="P138" s="1042"/>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row>
    <row r="139" spans="16:85" customFormat="1" x14ac:dyDescent="0.35">
      <c r="P139" s="1042"/>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row>
    <row r="140" spans="16:85" customFormat="1" x14ac:dyDescent="0.35">
      <c r="P140" s="1042"/>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row>
    <row r="141" spans="16:85" customFormat="1" x14ac:dyDescent="0.35">
      <c r="P141" s="1042"/>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row>
    <row r="142" spans="16:85" customFormat="1" x14ac:dyDescent="0.35">
      <c r="P142" s="1042"/>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row>
    <row r="143" spans="16:85" customFormat="1" x14ac:dyDescent="0.35">
      <c r="P143" s="1042"/>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row>
    <row r="144" spans="16:85" customFormat="1" x14ac:dyDescent="0.35">
      <c r="P144" s="1042"/>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row>
    <row r="145" spans="16:85" customFormat="1" x14ac:dyDescent="0.35">
      <c r="P145" s="1042"/>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row>
    <row r="146" spans="16:85" customFormat="1" x14ac:dyDescent="0.35">
      <c r="P146" s="1042"/>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row>
    <row r="147" spans="16:85" customFormat="1" x14ac:dyDescent="0.35">
      <c r="P147" s="1042"/>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row>
    <row r="148" spans="16:85" customFormat="1" x14ac:dyDescent="0.35">
      <c r="P148" s="1042"/>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row>
    <row r="149" spans="16:85" customFormat="1" x14ac:dyDescent="0.35">
      <c r="P149" s="1042"/>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row>
    <row r="150" spans="16:85" customFormat="1" x14ac:dyDescent="0.35">
      <c r="P150" s="1042"/>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row>
    <row r="151" spans="16:85" customFormat="1" x14ac:dyDescent="0.35">
      <c r="P151" s="1042"/>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row>
    <row r="152" spans="16:85" customFormat="1" x14ac:dyDescent="0.35">
      <c r="P152" s="1042"/>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row>
    <row r="153" spans="16:85" customFormat="1" x14ac:dyDescent="0.35">
      <c r="P153" s="1042"/>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row>
    <row r="154" spans="16:85" customFormat="1" x14ac:dyDescent="0.35">
      <c r="P154" s="1042"/>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row>
    <row r="155" spans="16:85" customFormat="1" x14ac:dyDescent="0.35">
      <c r="P155" s="1042"/>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row>
    <row r="156" spans="16:85" customFormat="1" x14ac:dyDescent="0.35">
      <c r="P156" s="1042"/>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row>
    <row r="157" spans="16:85" customFormat="1" x14ac:dyDescent="0.35">
      <c r="P157" s="1042"/>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row>
    <row r="158" spans="16:85" customFormat="1" x14ac:dyDescent="0.35">
      <c r="P158" s="1042"/>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row>
    <row r="159" spans="16:85" customFormat="1" x14ac:dyDescent="0.35">
      <c r="P159" s="1042"/>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row>
    <row r="160" spans="16:85" customFormat="1" x14ac:dyDescent="0.35">
      <c r="P160" s="1042"/>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row>
    <row r="161" spans="16:85" customFormat="1" x14ac:dyDescent="0.35">
      <c r="P161" s="1042"/>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row>
    <row r="162" spans="16:85" customFormat="1" x14ac:dyDescent="0.35">
      <c r="P162" s="1042"/>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row>
    <row r="163" spans="16:85" customFormat="1" x14ac:dyDescent="0.35">
      <c r="P163" s="1042"/>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row>
    <row r="164" spans="16:85" customFormat="1" x14ac:dyDescent="0.35">
      <c r="P164" s="1042"/>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row>
    <row r="165" spans="16:85" customFormat="1" x14ac:dyDescent="0.35">
      <c r="P165" s="1042"/>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row>
    <row r="166" spans="16:85" customFormat="1" x14ac:dyDescent="0.35">
      <c r="P166" s="1042"/>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row>
    <row r="167" spans="16:85" customFormat="1" x14ac:dyDescent="0.35">
      <c r="P167" s="1042"/>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row>
    <row r="168" spans="16:85" customFormat="1" x14ac:dyDescent="0.35">
      <c r="P168" s="1042"/>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row>
    <row r="169" spans="16:85" customFormat="1" x14ac:dyDescent="0.35">
      <c r="P169" s="1042"/>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row>
    <row r="170" spans="16:85" customFormat="1" x14ac:dyDescent="0.35">
      <c r="P170" s="1042"/>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row>
    <row r="171" spans="16:85" customFormat="1" x14ac:dyDescent="0.35">
      <c r="P171" s="1042"/>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row>
    <row r="172" spans="16:85" customFormat="1" x14ac:dyDescent="0.35">
      <c r="P172" s="1042"/>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row>
    <row r="173" spans="16:85" customFormat="1" x14ac:dyDescent="0.35">
      <c r="P173" s="1042"/>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row>
    <row r="174" spans="16:85" customFormat="1" x14ac:dyDescent="0.35">
      <c r="P174" s="1042"/>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row>
    <row r="175" spans="16:85" customFormat="1" x14ac:dyDescent="0.35">
      <c r="P175" s="1042"/>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row>
    <row r="176" spans="16:85" customFormat="1" x14ac:dyDescent="0.35">
      <c r="P176" s="1042"/>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row>
    <row r="177" spans="16:85" customFormat="1" x14ac:dyDescent="0.35">
      <c r="P177" s="1042"/>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row>
    <row r="178" spans="16:85" customFormat="1" x14ac:dyDescent="0.35">
      <c r="P178" s="1042"/>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row>
    <row r="179" spans="16:85" customFormat="1" x14ac:dyDescent="0.35">
      <c r="P179" s="1042"/>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row>
    <row r="180" spans="16:85" customFormat="1" x14ac:dyDescent="0.35">
      <c r="P180" s="1042"/>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row>
    <row r="181" spans="16:85" customFormat="1" x14ac:dyDescent="0.35">
      <c r="P181" s="1042"/>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row>
    <row r="182" spans="16:85" customFormat="1" x14ac:dyDescent="0.35">
      <c r="P182" s="1042"/>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row>
    <row r="183" spans="16:85" customFormat="1" x14ac:dyDescent="0.35">
      <c r="P183" s="1042"/>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row>
    <row r="184" spans="16:85" customFormat="1" x14ac:dyDescent="0.35">
      <c r="P184" s="1042"/>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row>
    <row r="185" spans="16:85" customFormat="1" x14ac:dyDescent="0.35">
      <c r="P185" s="1042"/>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row>
    <row r="186" spans="16:85" customFormat="1" x14ac:dyDescent="0.35">
      <c r="P186" s="1042"/>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row>
    <row r="187" spans="16:85" customFormat="1" x14ac:dyDescent="0.35">
      <c r="P187" s="1042"/>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row>
    <row r="188" spans="16:85" customFormat="1" x14ac:dyDescent="0.35">
      <c r="P188" s="1042"/>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row>
    <row r="189" spans="16:85" customFormat="1" x14ac:dyDescent="0.35">
      <c r="P189" s="1042"/>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row>
    <row r="190" spans="16:85" customFormat="1" x14ac:dyDescent="0.35">
      <c r="P190" s="1042"/>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row>
    <row r="191" spans="16:85" customFormat="1" x14ac:dyDescent="0.35">
      <c r="P191" s="1042"/>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row>
    <row r="192" spans="16:85" customFormat="1" x14ac:dyDescent="0.35">
      <c r="P192" s="1042"/>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row>
    <row r="193" spans="16:85" customFormat="1" x14ac:dyDescent="0.35">
      <c r="P193" s="1042"/>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row>
    <row r="194" spans="16:85" customFormat="1" x14ac:dyDescent="0.35">
      <c r="P194" s="1042"/>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row>
    <row r="195" spans="16:85" customFormat="1" x14ac:dyDescent="0.35">
      <c r="P195" s="1042"/>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row>
    <row r="196" spans="16:85" customFormat="1" x14ac:dyDescent="0.35">
      <c r="P196" s="1042"/>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row>
    <row r="197" spans="16:85" customFormat="1" x14ac:dyDescent="0.35">
      <c r="P197" s="1042"/>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row>
    <row r="198" spans="16:85" customFormat="1" x14ac:dyDescent="0.35">
      <c r="P198" s="1042"/>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row>
    <row r="199" spans="16:85" customFormat="1" x14ac:dyDescent="0.35">
      <c r="P199" s="1042"/>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row>
    <row r="200" spans="16:85" customFormat="1" x14ac:dyDescent="0.35">
      <c r="P200" s="1042"/>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row>
    <row r="201" spans="16:85" customFormat="1" x14ac:dyDescent="0.35">
      <c r="P201" s="1042"/>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row>
    <row r="202" spans="16:85" customFormat="1" x14ac:dyDescent="0.35">
      <c r="P202" s="1042"/>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row>
    <row r="203" spans="16:85" customFormat="1" x14ac:dyDescent="0.35">
      <c r="P203" s="1042"/>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row>
    <row r="204" spans="16:85" customFormat="1" x14ac:dyDescent="0.35">
      <c r="P204" s="1042"/>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row>
    <row r="205" spans="16:85" customFormat="1" x14ac:dyDescent="0.35">
      <c r="P205" s="1042"/>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row>
    <row r="206" spans="16:85" customFormat="1" x14ac:dyDescent="0.35">
      <c r="P206" s="1042"/>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row>
    <row r="207" spans="16:85" customFormat="1" x14ac:dyDescent="0.35">
      <c r="P207" s="1042"/>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row>
    <row r="208" spans="16:85" customFormat="1" x14ac:dyDescent="0.35">
      <c r="P208" s="1042"/>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row>
    <row r="209" spans="16:85" customFormat="1" x14ac:dyDescent="0.35">
      <c r="P209" s="1042"/>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row>
    <row r="210" spans="16:85" customFormat="1" x14ac:dyDescent="0.35">
      <c r="P210" s="1042"/>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row>
    <row r="211" spans="16:85" customFormat="1" x14ac:dyDescent="0.35">
      <c r="P211" s="1042"/>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row>
    <row r="212" spans="16:85" customFormat="1" x14ac:dyDescent="0.35">
      <c r="P212" s="1042"/>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row>
    <row r="213" spans="16:85" customFormat="1" x14ac:dyDescent="0.35">
      <c r="P213" s="1042"/>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row>
    <row r="214" spans="16:85" customFormat="1" x14ac:dyDescent="0.35">
      <c r="P214" s="1042"/>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row>
    <row r="215" spans="16:85" customFormat="1" x14ac:dyDescent="0.35">
      <c r="P215" s="1042"/>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row>
    <row r="216" spans="16:85" customFormat="1" x14ac:dyDescent="0.35">
      <c r="P216" s="1042"/>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row>
    <row r="217" spans="16:85" customFormat="1" x14ac:dyDescent="0.35">
      <c r="P217" s="1042"/>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row>
    <row r="218" spans="16:85" customFormat="1" x14ac:dyDescent="0.35">
      <c r="P218" s="1042"/>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row>
    <row r="219" spans="16:85" customFormat="1" x14ac:dyDescent="0.35">
      <c r="P219" s="1042"/>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row>
    <row r="220" spans="16:85" customFormat="1" x14ac:dyDescent="0.35">
      <c r="P220" s="1042"/>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row>
    <row r="221" spans="16:85" customFormat="1" x14ac:dyDescent="0.35">
      <c r="P221" s="1042"/>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row>
    <row r="222" spans="16:85" customFormat="1" x14ac:dyDescent="0.35">
      <c r="P222" s="1042"/>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row>
    <row r="223" spans="16:85" customFormat="1" x14ac:dyDescent="0.35">
      <c r="P223" s="1042"/>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row>
    <row r="224" spans="16:85" customFormat="1" x14ac:dyDescent="0.35">
      <c r="P224" s="1042"/>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row>
    <row r="225" spans="16:85" customFormat="1" x14ac:dyDescent="0.35">
      <c r="P225" s="1042"/>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row>
    <row r="226" spans="16:85" customFormat="1" x14ac:dyDescent="0.35">
      <c r="P226" s="1042"/>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row>
    <row r="227" spans="16:85" customFormat="1" x14ac:dyDescent="0.35">
      <c r="P227" s="1042"/>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row>
    <row r="228" spans="16:85" customFormat="1" x14ac:dyDescent="0.35">
      <c r="P228" s="1042"/>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row>
    <row r="229" spans="16:85" customFormat="1" x14ac:dyDescent="0.35">
      <c r="P229" s="1042"/>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row>
    <row r="230" spans="16:85" customFormat="1" x14ac:dyDescent="0.35">
      <c r="P230" s="1042"/>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row>
    <row r="231" spans="16:85" customFormat="1" x14ac:dyDescent="0.35">
      <c r="P231" s="1042"/>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row>
    <row r="232" spans="16:85" customFormat="1" x14ac:dyDescent="0.35">
      <c r="P232" s="1042"/>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row>
    <row r="233" spans="16:85" customFormat="1" x14ac:dyDescent="0.35">
      <c r="P233" s="1042"/>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row>
    <row r="234" spans="16:85" customFormat="1" x14ac:dyDescent="0.35">
      <c r="P234" s="1042"/>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row>
    <row r="235" spans="16:85" customFormat="1" x14ac:dyDescent="0.35">
      <c r="P235" s="1042"/>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row>
    <row r="236" spans="16:85" customFormat="1" x14ac:dyDescent="0.35">
      <c r="P236" s="1042"/>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row>
    <row r="237" spans="16:85" customFormat="1" x14ac:dyDescent="0.35">
      <c r="P237" s="1042"/>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row>
    <row r="238" spans="16:85" customFormat="1" x14ac:dyDescent="0.35">
      <c r="P238" s="1042"/>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row>
    <row r="239" spans="16:85" customFormat="1" x14ac:dyDescent="0.35">
      <c r="P239" s="1042"/>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row>
    <row r="240" spans="16:85" customFormat="1" x14ac:dyDescent="0.35">
      <c r="P240" s="1042"/>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row>
    <row r="241" spans="16:85" customFormat="1" x14ac:dyDescent="0.35">
      <c r="P241" s="1042"/>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row>
    <row r="242" spans="16:85" customFormat="1" x14ac:dyDescent="0.35">
      <c r="P242" s="1042"/>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row>
    <row r="243" spans="16:85" customFormat="1" x14ac:dyDescent="0.35">
      <c r="P243" s="1042"/>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row>
    <row r="244" spans="16:85" customFormat="1" x14ac:dyDescent="0.35">
      <c r="P244" s="1042"/>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row>
    <row r="245" spans="16:85" customFormat="1" x14ac:dyDescent="0.35">
      <c r="P245" s="1042"/>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row>
    <row r="246" spans="16:85" customFormat="1" x14ac:dyDescent="0.35">
      <c r="P246" s="1042"/>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row>
    <row r="247" spans="16:85" customFormat="1" x14ac:dyDescent="0.35">
      <c r="P247" s="1042"/>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row>
    <row r="248" spans="16:85" customFormat="1" x14ac:dyDescent="0.35">
      <c r="P248" s="1042"/>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row>
    <row r="249" spans="16:85" customFormat="1" x14ac:dyDescent="0.35">
      <c r="P249" s="1042"/>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row>
    <row r="250" spans="16:85" customFormat="1" x14ac:dyDescent="0.35">
      <c r="P250" s="1042"/>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row>
    <row r="251" spans="16:85" customFormat="1" x14ac:dyDescent="0.35">
      <c r="P251" s="1042"/>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row>
    <row r="252" spans="16:85" customFormat="1" x14ac:dyDescent="0.35">
      <c r="P252" s="1042"/>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row>
    <row r="253" spans="16:85" customFormat="1" x14ac:dyDescent="0.35">
      <c r="P253" s="1042"/>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row>
    <row r="254" spans="16:85" customFormat="1" x14ac:dyDescent="0.35">
      <c r="P254" s="1042"/>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row>
    <row r="255" spans="16:85" customFormat="1" x14ac:dyDescent="0.35">
      <c r="P255" s="1042"/>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row>
    <row r="256" spans="16:85" customFormat="1" x14ac:dyDescent="0.35">
      <c r="P256" s="1042"/>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row>
    <row r="257" spans="16:85" customFormat="1" x14ac:dyDescent="0.35">
      <c r="P257" s="1042"/>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row>
    <row r="258" spans="16:85" customFormat="1" x14ac:dyDescent="0.35">
      <c r="P258" s="1042"/>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row>
    <row r="259" spans="16:85" customFormat="1" x14ac:dyDescent="0.35">
      <c r="P259" s="1042"/>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row>
    <row r="260" spans="16:85" customFormat="1" x14ac:dyDescent="0.35">
      <c r="P260" s="1042"/>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row>
    <row r="261" spans="16:85" customFormat="1" x14ac:dyDescent="0.35">
      <c r="P261" s="1042"/>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row>
    <row r="262" spans="16:85" customFormat="1" x14ac:dyDescent="0.35">
      <c r="P262" s="1042"/>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row>
    <row r="263" spans="16:85" customFormat="1" x14ac:dyDescent="0.35">
      <c r="P263" s="1042"/>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row>
    <row r="264" spans="16:85" customFormat="1" x14ac:dyDescent="0.35">
      <c r="P264" s="1042"/>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row>
    <row r="265" spans="16:85" customFormat="1" x14ac:dyDescent="0.35">
      <c r="P265" s="1042"/>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row>
    <row r="266" spans="16:85" customFormat="1" x14ac:dyDescent="0.35">
      <c r="P266" s="1042"/>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row>
    <row r="267" spans="16:85" customFormat="1" x14ac:dyDescent="0.35">
      <c r="P267" s="1042"/>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row>
    <row r="268" spans="16:85" customFormat="1" x14ac:dyDescent="0.35">
      <c r="P268" s="1042"/>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row>
    <row r="269" spans="16:85" customFormat="1" x14ac:dyDescent="0.35">
      <c r="P269" s="1042"/>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row>
    <row r="270" spans="16:85" customFormat="1" x14ac:dyDescent="0.35">
      <c r="P270" s="1042"/>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row>
    <row r="271" spans="16:85" customFormat="1" x14ac:dyDescent="0.35">
      <c r="P271" s="1042"/>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row>
    <row r="272" spans="16:85" customFormat="1" x14ac:dyDescent="0.35">
      <c r="P272" s="1042"/>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row>
    <row r="273" spans="16:85" customFormat="1" x14ac:dyDescent="0.35">
      <c r="P273" s="1042"/>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row>
    <row r="274" spans="16:85" customFormat="1" x14ac:dyDescent="0.35">
      <c r="P274" s="1042"/>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row>
    <row r="275" spans="16:85" customFormat="1" x14ac:dyDescent="0.35">
      <c r="P275" s="1042"/>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row>
    <row r="276" spans="16:85" customFormat="1" x14ac:dyDescent="0.35">
      <c r="P276" s="1042"/>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row>
    <row r="277" spans="16:85" customFormat="1" x14ac:dyDescent="0.35">
      <c r="P277" s="1042"/>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row>
    <row r="278" spans="16:85" customFormat="1" x14ac:dyDescent="0.35">
      <c r="P278" s="1042"/>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row>
    <row r="279" spans="16:85" customFormat="1" x14ac:dyDescent="0.35">
      <c r="P279" s="1042"/>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row>
    <row r="280" spans="16:85" customFormat="1" x14ac:dyDescent="0.35">
      <c r="P280" s="1042"/>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row>
    <row r="281" spans="16:85" customFormat="1" x14ac:dyDescent="0.35">
      <c r="P281" s="1042"/>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row>
    <row r="282" spans="16:85" customFormat="1" x14ac:dyDescent="0.35">
      <c r="P282" s="1042"/>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row>
    <row r="283" spans="16:85" customFormat="1" x14ac:dyDescent="0.35">
      <c r="P283" s="1042"/>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row>
    <row r="284" spans="16:85" customFormat="1" x14ac:dyDescent="0.35">
      <c r="P284" s="1042"/>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row>
    <row r="285" spans="16:85" customFormat="1" x14ac:dyDescent="0.35">
      <c r="P285" s="1042"/>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row>
    <row r="286" spans="16:85" customFormat="1" x14ac:dyDescent="0.35">
      <c r="P286" s="1042"/>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row>
    <row r="287" spans="16:85" customFormat="1" x14ac:dyDescent="0.35">
      <c r="P287" s="1042"/>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row>
    <row r="288" spans="16:85" customFormat="1" x14ac:dyDescent="0.35">
      <c r="P288" s="1042"/>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row>
    <row r="289" spans="16:85" customFormat="1" x14ac:dyDescent="0.35">
      <c r="P289" s="1042"/>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row>
    <row r="290" spans="16:85" customFormat="1" x14ac:dyDescent="0.35">
      <c r="P290" s="1042"/>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row>
    <row r="291" spans="16:85" customFormat="1" x14ac:dyDescent="0.35">
      <c r="P291" s="1042"/>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row>
    <row r="292" spans="16:85" customFormat="1" x14ac:dyDescent="0.35">
      <c r="P292" s="1042"/>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row>
    <row r="293" spans="16:85" customFormat="1" x14ac:dyDescent="0.35">
      <c r="P293" s="1042"/>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row>
    <row r="294" spans="16:85" customFormat="1" x14ac:dyDescent="0.35">
      <c r="P294" s="1042"/>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row>
    <row r="295" spans="16:85" customFormat="1" x14ac:dyDescent="0.35">
      <c r="P295" s="1042"/>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row>
    <row r="296" spans="16:85" customFormat="1" x14ac:dyDescent="0.35">
      <c r="P296" s="1042"/>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row>
    <row r="297" spans="16:85" customFormat="1" x14ac:dyDescent="0.35">
      <c r="P297" s="1042"/>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row>
    <row r="298" spans="16:85" customFormat="1" x14ac:dyDescent="0.35">
      <c r="P298" s="1042"/>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row>
    <row r="299" spans="16:85" customFormat="1" x14ac:dyDescent="0.35">
      <c r="P299" s="1042"/>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row>
    <row r="300" spans="16:85" customFormat="1" x14ac:dyDescent="0.35">
      <c r="P300" s="1042"/>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row>
    <row r="301" spans="16:85" customFormat="1" x14ac:dyDescent="0.35">
      <c r="P301" s="1042"/>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row>
    <row r="302" spans="16:85" customFormat="1" x14ac:dyDescent="0.35">
      <c r="P302" s="1042"/>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row>
    <row r="303" spans="16:85" customFormat="1" x14ac:dyDescent="0.35">
      <c r="P303" s="1042"/>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row>
    <row r="304" spans="16:85" customFormat="1" x14ac:dyDescent="0.35">
      <c r="P304" s="1042"/>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row>
    <row r="305" spans="16:85" customFormat="1" x14ac:dyDescent="0.35">
      <c r="P305" s="1042"/>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row>
    <row r="306" spans="16:85" customFormat="1" x14ac:dyDescent="0.35">
      <c r="P306" s="1042"/>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row>
    <row r="307" spans="16:85" customFormat="1" x14ac:dyDescent="0.35">
      <c r="P307" s="1042"/>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row>
    <row r="308" spans="16:85" customFormat="1" x14ac:dyDescent="0.35">
      <c r="P308" s="1042"/>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row>
    <row r="309" spans="16:85" customFormat="1" x14ac:dyDescent="0.35">
      <c r="P309" s="1042"/>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row>
    <row r="310" spans="16:85" customFormat="1" x14ac:dyDescent="0.35">
      <c r="P310" s="1042"/>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row>
    <row r="311" spans="16:85" customFormat="1" x14ac:dyDescent="0.35">
      <c r="P311" s="1042"/>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row>
    <row r="312" spans="16:85" customFormat="1" x14ac:dyDescent="0.35">
      <c r="P312" s="1042"/>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row>
    <row r="313" spans="16:85" customFormat="1" x14ac:dyDescent="0.35">
      <c r="P313" s="1042"/>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row>
    <row r="314" spans="16:85" customFormat="1" x14ac:dyDescent="0.35">
      <c r="P314" s="1042"/>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row>
    <row r="315" spans="16:85" customFormat="1" x14ac:dyDescent="0.35">
      <c r="P315" s="1042"/>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row>
    <row r="316" spans="16:85" customFormat="1" x14ac:dyDescent="0.35">
      <c r="P316" s="1042"/>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row>
    <row r="317" spans="16:85" customFormat="1" x14ac:dyDescent="0.35">
      <c r="P317" s="1042"/>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row>
    <row r="318" spans="16:85" customFormat="1" x14ac:dyDescent="0.35">
      <c r="P318" s="1042"/>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row>
    <row r="319" spans="16:85" customFormat="1" x14ac:dyDescent="0.35">
      <c r="P319" s="1042"/>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row>
    <row r="320" spans="16:85" customFormat="1" x14ac:dyDescent="0.35">
      <c r="P320" s="1042"/>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row>
    <row r="321" spans="16:85" customFormat="1" x14ac:dyDescent="0.35">
      <c r="P321" s="1042"/>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row>
    <row r="322" spans="16:85" customFormat="1" x14ac:dyDescent="0.35">
      <c r="P322" s="1042"/>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row>
    <row r="323" spans="16:85" customFormat="1" x14ac:dyDescent="0.35">
      <c r="P323" s="1042"/>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row>
    <row r="324" spans="16:85" customFormat="1" x14ac:dyDescent="0.35">
      <c r="P324" s="1042"/>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row>
    <row r="325" spans="16:85" customFormat="1" x14ac:dyDescent="0.35">
      <c r="P325" s="1042"/>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row>
    <row r="326" spans="16:85" customFormat="1" x14ac:dyDescent="0.35">
      <c r="P326" s="1042"/>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row>
    <row r="327" spans="16:85" customFormat="1" x14ac:dyDescent="0.35">
      <c r="P327" s="1042"/>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row>
    <row r="328" spans="16:85" customFormat="1" x14ac:dyDescent="0.35">
      <c r="P328" s="1042"/>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row>
    <row r="329" spans="16:85" customFormat="1" x14ac:dyDescent="0.35">
      <c r="P329" s="1042"/>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row>
    <row r="330" spans="16:85" customFormat="1" x14ac:dyDescent="0.35">
      <c r="P330" s="1042"/>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row>
    <row r="331" spans="16:85" customFormat="1" x14ac:dyDescent="0.35">
      <c r="P331" s="1042"/>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row>
    <row r="332" spans="16:85" customFormat="1" x14ac:dyDescent="0.35">
      <c r="P332" s="1042"/>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row>
    <row r="333" spans="16:85" customFormat="1" x14ac:dyDescent="0.35">
      <c r="P333" s="1042"/>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row>
    <row r="334" spans="16:85" customFormat="1" x14ac:dyDescent="0.35">
      <c r="P334" s="1042"/>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row>
    <row r="335" spans="16:85" customFormat="1" x14ac:dyDescent="0.35">
      <c r="P335" s="1042"/>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row>
    <row r="336" spans="16:85" customFormat="1" x14ac:dyDescent="0.35">
      <c r="P336" s="1042"/>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row>
    <row r="337" spans="16:85" customFormat="1" x14ac:dyDescent="0.35">
      <c r="P337" s="1042"/>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row>
    <row r="338" spans="16:85" customFormat="1" x14ac:dyDescent="0.35">
      <c r="P338" s="1042"/>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row>
    <row r="339" spans="16:85" customFormat="1" x14ac:dyDescent="0.35">
      <c r="P339" s="1042"/>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row>
    <row r="340" spans="16:85" customFormat="1" x14ac:dyDescent="0.35">
      <c r="P340" s="1042"/>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row>
    <row r="341" spans="16:85" customFormat="1" x14ac:dyDescent="0.35">
      <c r="P341" s="1042"/>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row>
    <row r="342" spans="16:85" customFormat="1" x14ac:dyDescent="0.35">
      <c r="P342" s="1042"/>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row>
    <row r="343" spans="16:85" customFormat="1" x14ac:dyDescent="0.35">
      <c r="P343" s="1042"/>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row>
    <row r="344" spans="16:85" customFormat="1" x14ac:dyDescent="0.35">
      <c r="P344" s="1042"/>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row>
    <row r="345" spans="16:85" customFormat="1" x14ac:dyDescent="0.35">
      <c r="P345" s="1042"/>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row>
    <row r="346" spans="16:85" customFormat="1" x14ac:dyDescent="0.35">
      <c r="P346" s="1042"/>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row>
    <row r="347" spans="16:85" customFormat="1" x14ac:dyDescent="0.35">
      <c r="P347" s="1042"/>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row>
    <row r="348" spans="16:85" customFormat="1" x14ac:dyDescent="0.35">
      <c r="P348" s="1042"/>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row>
    <row r="349" spans="16:85" customFormat="1" x14ac:dyDescent="0.35">
      <c r="P349" s="1042"/>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row>
    <row r="350" spans="16:85" customFormat="1" x14ac:dyDescent="0.35">
      <c r="P350" s="1042"/>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row>
    <row r="351" spans="16:85" customFormat="1" x14ac:dyDescent="0.35">
      <c r="P351" s="1042"/>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row>
    <row r="352" spans="16:85" customFormat="1" x14ac:dyDescent="0.35">
      <c r="P352" s="1042"/>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row>
    <row r="353" spans="16:85" customFormat="1" x14ac:dyDescent="0.35">
      <c r="P353" s="1042"/>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row>
    <row r="354" spans="16:85" customFormat="1" x14ac:dyDescent="0.35">
      <c r="P354" s="1042"/>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row>
    <row r="355" spans="16:85" customFormat="1" x14ac:dyDescent="0.35">
      <c r="P355" s="1042"/>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row>
    <row r="356" spans="16:85" customFormat="1" x14ac:dyDescent="0.35">
      <c r="P356" s="1042"/>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row>
    <row r="357" spans="16:85" customFormat="1" x14ac:dyDescent="0.35">
      <c r="P357" s="1042"/>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row>
    <row r="358" spans="16:85" customFormat="1" x14ac:dyDescent="0.35">
      <c r="P358" s="1042"/>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row>
    <row r="359" spans="16:85" customFormat="1" x14ac:dyDescent="0.35">
      <c r="P359" s="1042"/>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row>
    <row r="360" spans="16:85" customFormat="1" x14ac:dyDescent="0.35">
      <c r="P360" s="1042"/>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row>
    <row r="361" spans="16:85" customFormat="1" x14ac:dyDescent="0.35">
      <c r="P361" s="1042"/>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row>
    <row r="362" spans="16:85" customFormat="1" x14ac:dyDescent="0.35">
      <c r="P362" s="1042"/>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row>
    <row r="363" spans="16:85" customFormat="1" x14ac:dyDescent="0.35">
      <c r="P363" s="1042"/>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row>
    <row r="364" spans="16:85" customFormat="1" x14ac:dyDescent="0.35">
      <c r="P364" s="1042"/>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row>
    <row r="365" spans="16:85" customFormat="1" x14ac:dyDescent="0.35">
      <c r="P365" s="1042"/>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row>
    <row r="366" spans="16:85" customFormat="1" x14ac:dyDescent="0.35">
      <c r="P366" s="1042"/>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row>
    <row r="367" spans="16:85" customFormat="1" x14ac:dyDescent="0.35">
      <c r="P367" s="1042"/>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row>
    <row r="368" spans="16:85" customFormat="1" x14ac:dyDescent="0.35">
      <c r="P368" s="1042"/>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row>
    <row r="369" spans="16:85" customFormat="1" x14ac:dyDescent="0.35">
      <c r="P369" s="1042"/>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row>
    <row r="370" spans="16:85" customFormat="1" x14ac:dyDescent="0.35">
      <c r="P370" s="1042"/>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row>
    <row r="371" spans="16:85" customFormat="1" x14ac:dyDescent="0.35">
      <c r="P371" s="1042"/>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row>
    <row r="372" spans="16:85" customFormat="1" x14ac:dyDescent="0.35">
      <c r="P372" s="1042"/>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row>
    <row r="373" spans="16:85" customFormat="1" x14ac:dyDescent="0.35">
      <c r="P373" s="1042"/>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row>
    <row r="374" spans="16:85" customFormat="1" x14ac:dyDescent="0.35">
      <c r="P374" s="1042"/>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row>
    <row r="375" spans="16:85" customFormat="1" x14ac:dyDescent="0.35">
      <c r="P375" s="1042"/>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row>
    <row r="376" spans="16:85" customFormat="1" x14ac:dyDescent="0.35">
      <c r="P376" s="1042"/>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row>
    <row r="377" spans="16:85" customFormat="1" x14ac:dyDescent="0.35">
      <c r="P377" s="1042"/>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row>
    <row r="378" spans="16:85" customFormat="1" x14ac:dyDescent="0.35">
      <c r="P378" s="1042"/>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row>
    <row r="379" spans="16:85" customFormat="1" x14ac:dyDescent="0.35">
      <c r="P379" s="1042"/>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row>
    <row r="380" spans="16:85" customFormat="1" x14ac:dyDescent="0.35">
      <c r="P380" s="1042"/>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row>
    <row r="381" spans="16:85" customFormat="1" x14ac:dyDescent="0.35">
      <c r="P381" s="1042"/>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row>
    <row r="382" spans="16:85" customFormat="1" x14ac:dyDescent="0.35">
      <c r="P382" s="1042"/>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row>
    <row r="383" spans="16:85" customFormat="1" x14ac:dyDescent="0.35">
      <c r="P383" s="1042"/>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row>
    <row r="384" spans="16:85" customFormat="1" x14ac:dyDescent="0.35">
      <c r="P384" s="1042"/>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row>
    <row r="385" spans="16:85" customFormat="1" x14ac:dyDescent="0.35">
      <c r="P385" s="1042"/>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row>
    <row r="386" spans="16:85" customFormat="1" x14ac:dyDescent="0.35">
      <c r="P386" s="1042"/>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row>
    <row r="387" spans="16:85" customFormat="1" x14ac:dyDescent="0.35">
      <c r="P387" s="1042"/>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row>
    <row r="388" spans="16:85" customFormat="1" x14ac:dyDescent="0.35">
      <c r="P388" s="1042"/>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row>
  </sheetData>
  <sheetProtection algorithmName="SHA-512" hashValue="CWzhzD81sYhvdryQ4Yu+j7WZNRcbsbPTzvuFw9VqkwfSJ3rGJzL84uOwbraCKngDP5aCkAMSNRSEVDZ99sUBUA==" saltValue="HLpusIofoGBiRUmmkpNu8Q==" spinCount="100000" sheet="1" objects="1" scenarios="1"/>
  <phoneticPr fontId="0" type="noConversion"/>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5CAF5-8B6B-4425-B391-69754E89512D}">
  <sheetPr codeName="Sheet9"/>
  <dimension ref="A1:J31"/>
  <sheetViews>
    <sheetView workbookViewId="0"/>
  </sheetViews>
  <sheetFormatPr defaultRowHeight="14.5" x14ac:dyDescent="0.35"/>
  <cols>
    <col min="1" max="1" width="27"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1" width="0" hidden="1" customWidth="1"/>
    <col min="13" max="13" width="12.453125" customWidth="1"/>
    <col min="14" max="14" width="12.08984375" customWidth="1"/>
    <col min="15" max="15" width="11.54296875" customWidth="1"/>
    <col min="16" max="16" width="12.54296875" customWidth="1"/>
  </cols>
  <sheetData>
    <row r="1" spans="1:10" x14ac:dyDescent="0.35">
      <c r="A1" t="s">
        <v>442</v>
      </c>
      <c r="B1" s="5" t="s">
        <v>373</v>
      </c>
      <c r="C1" t="s">
        <v>374</v>
      </c>
      <c r="D1" s="5" t="s">
        <v>361</v>
      </c>
      <c r="E1" s="5" t="s">
        <v>362</v>
      </c>
      <c r="F1" s="5" t="s">
        <v>363</v>
      </c>
      <c r="G1" s="5" t="s">
        <v>364</v>
      </c>
      <c r="H1" s="5" t="s">
        <v>371</v>
      </c>
      <c r="I1" s="5" t="s">
        <v>372</v>
      </c>
    </row>
    <row r="2" spans="1:10" x14ac:dyDescent="0.35">
      <c r="C2" t="s">
        <v>251</v>
      </c>
      <c r="D2" s="13">
        <f>text!D1</f>
        <v>45017</v>
      </c>
      <c r="E2" s="13">
        <f>text!E1</f>
        <v>45383</v>
      </c>
      <c r="F2" s="13">
        <f>text!F1</f>
        <v>45748</v>
      </c>
      <c r="G2" s="13">
        <f>text!G1</f>
        <v>46113</v>
      </c>
      <c r="H2" s="13">
        <f>text!H1</f>
        <v>46478</v>
      </c>
      <c r="I2" s="13">
        <f>text!I1</f>
        <v>46844</v>
      </c>
    </row>
    <row r="3" spans="1:10" x14ac:dyDescent="0.35">
      <c r="C3" t="s">
        <v>268</v>
      </c>
      <c r="D3" s="5" t="str">
        <f>text!D2</f>
        <v>2023/24</v>
      </c>
      <c r="E3" s="5" t="str">
        <f>text!E2</f>
        <v>2024/25</v>
      </c>
      <c r="F3" s="5" t="str">
        <f>text!F2</f>
        <v>2025/26</v>
      </c>
      <c r="G3" s="5" t="str">
        <f>text!G2</f>
        <v>2026/27</v>
      </c>
      <c r="H3" s="5" t="str">
        <f>text!H2</f>
        <v>2027/28</v>
      </c>
      <c r="I3" s="5" t="str">
        <f>text!I2</f>
        <v>2028/29</v>
      </c>
    </row>
    <row r="4" spans="1:10" x14ac:dyDescent="0.35">
      <c r="C4" t="s">
        <v>271</v>
      </c>
      <c r="D4" s="5">
        <f>text!D3</f>
        <v>1</v>
      </c>
      <c r="E4" s="5">
        <f>text!E3</f>
        <v>2</v>
      </c>
      <c r="F4" s="5">
        <f>text!F3</f>
        <v>3</v>
      </c>
      <c r="G4" s="5">
        <f>text!G3</f>
        <v>4</v>
      </c>
      <c r="H4" s="5">
        <f>text!H3</f>
        <v>5</v>
      </c>
      <c r="I4" s="5">
        <f>text!I3</f>
        <v>6</v>
      </c>
    </row>
    <row r="5" spans="1:10" x14ac:dyDescent="0.35">
      <c r="C5" t="s">
        <v>272</v>
      </c>
      <c r="D5" s="27">
        <f>advanced!I10</f>
        <v>0</v>
      </c>
      <c r="E5" s="5">
        <f t="shared" ref="E5:I6" si="0">D5</f>
        <v>0</v>
      </c>
      <c r="F5" s="5">
        <f t="shared" si="0"/>
        <v>0</v>
      </c>
      <c r="G5" s="5">
        <f t="shared" si="0"/>
        <v>0</v>
      </c>
      <c r="H5" s="5">
        <f t="shared" si="0"/>
        <v>0</v>
      </c>
      <c r="I5" s="5">
        <f t="shared" si="0"/>
        <v>0</v>
      </c>
    </row>
    <row r="6" spans="1:10" x14ac:dyDescent="0.35">
      <c r="C6" t="s">
        <v>273</v>
      </c>
      <c r="D6" s="5" t="str">
        <f>advanced!I8</f>
        <v>e</v>
      </c>
      <c r="E6" s="5" t="str">
        <f t="shared" si="0"/>
        <v>e</v>
      </c>
      <c r="F6" s="5" t="str">
        <f t="shared" si="0"/>
        <v>e</v>
      </c>
      <c r="G6" s="5" t="str">
        <f t="shared" si="0"/>
        <v>e</v>
      </c>
      <c r="H6" s="5" t="str">
        <f t="shared" si="0"/>
        <v>e</v>
      </c>
      <c r="I6" s="5" t="str">
        <f t="shared" si="0"/>
        <v>e</v>
      </c>
    </row>
    <row r="7" spans="1:10" x14ac:dyDescent="0.35">
      <c r="B7" s="23"/>
      <c r="C7" s="24" t="s">
        <v>334</v>
      </c>
      <c r="D7" s="23" t="b">
        <v>0</v>
      </c>
      <c r="E7" s="23" t="b">
        <v>0</v>
      </c>
      <c r="F7" s="23" t="b">
        <v>0</v>
      </c>
      <c r="G7" s="23" t="b">
        <v>0</v>
      </c>
      <c r="H7" s="23" t="b">
        <v>0</v>
      </c>
      <c r="I7" s="23" t="b">
        <v>0</v>
      </c>
      <c r="J7" s="24"/>
    </row>
    <row r="8" spans="1:10" x14ac:dyDescent="0.35">
      <c r="B8" s="23"/>
      <c r="C8" s="24" t="s">
        <v>335</v>
      </c>
      <c r="D8" s="23" t="b">
        <v>0</v>
      </c>
      <c r="E8" s="23" t="b">
        <v>0</v>
      </c>
      <c r="F8" s="23" t="b">
        <v>0</v>
      </c>
      <c r="G8" s="23" t="b">
        <v>0</v>
      </c>
      <c r="H8" s="23" t="b">
        <v>0</v>
      </c>
      <c r="I8" s="23" t="b">
        <v>0</v>
      </c>
      <c r="J8" s="24"/>
    </row>
    <row r="9" spans="1:10" x14ac:dyDescent="0.35">
      <c r="B9" s="23"/>
      <c r="C9" s="24" t="s">
        <v>336</v>
      </c>
      <c r="D9" s="23" t="b">
        <v>0</v>
      </c>
      <c r="E9" s="23" t="b">
        <v>0</v>
      </c>
      <c r="F9" s="23" t="b">
        <v>0</v>
      </c>
      <c r="G9" s="23" t="b">
        <v>0</v>
      </c>
      <c r="H9" s="23" t="b">
        <v>0</v>
      </c>
      <c r="I9" s="23" t="b">
        <v>0</v>
      </c>
      <c r="J9" s="24"/>
    </row>
    <row r="10" spans="1:10" x14ac:dyDescent="0.35">
      <c r="B10" s="5">
        <v>3</v>
      </c>
      <c r="C10" t="s">
        <v>300</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301</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302</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306</v>
      </c>
      <c r="B13" s="5">
        <f>IF(D6="e",3,IF(D6="l",4,5))</f>
        <v>3</v>
      </c>
      <c r="C13" t="s">
        <v>304</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305</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
        <v>307</v>
      </c>
      <c r="D15" s="27">
        <f>advanced!I9</f>
        <v>0</v>
      </c>
      <c r="E15" s="5">
        <f>D15</f>
        <v>0</v>
      </c>
      <c r="F15" s="5">
        <f>E15</f>
        <v>0</v>
      </c>
      <c r="G15" s="5">
        <f>F15</f>
        <v>0</v>
      </c>
      <c r="H15" s="5">
        <f>G15</f>
        <v>0</v>
      </c>
      <c r="I15" s="5">
        <f>H15</f>
        <v>0</v>
      </c>
    </row>
    <row r="16" spans="1:10" x14ac:dyDescent="0.35">
      <c r="C16" t="s">
        <v>309</v>
      </c>
      <c r="D16" s="5">
        <f>data!C52</f>
        <v>0.499</v>
      </c>
    </row>
    <row r="17" spans="2:9" x14ac:dyDescent="0.35">
      <c r="C17" t="s">
        <v>311</v>
      </c>
      <c r="D17" s="5">
        <f>D15*D16</f>
        <v>0</v>
      </c>
    </row>
    <row r="18" spans="2:9" x14ac:dyDescent="0.35">
      <c r="B18" s="12" t="b">
        <f>advanced!V13</f>
        <v>0</v>
      </c>
      <c r="C18" t="s">
        <v>360</v>
      </c>
      <c r="D18" s="12">
        <f>advanced!H13</f>
        <v>0</v>
      </c>
    </row>
    <row r="19" spans="2:9" x14ac:dyDescent="0.35">
      <c r="C19" t="s">
        <v>312</v>
      </c>
      <c r="D19" s="5">
        <f>IF(B18=TRUE,D18,D17)</f>
        <v>0</v>
      </c>
      <c r="E19" s="5">
        <f>D28</f>
        <v>0</v>
      </c>
      <c r="F19" s="5">
        <f>E28</f>
        <v>0</v>
      </c>
      <c r="G19" s="5">
        <f>F28</f>
        <v>0</v>
      </c>
      <c r="H19" s="5">
        <f>G28</f>
        <v>0</v>
      </c>
      <c r="I19" s="5">
        <f>H28</f>
        <v>0</v>
      </c>
    </row>
    <row r="20" spans="2:9" x14ac:dyDescent="0.35">
      <c r="B20" s="5">
        <v>3</v>
      </c>
      <c r="C20" t="s">
        <v>275</v>
      </c>
      <c r="D20" s="5">
        <f>VLOOKUP(D$4,data!$A$53:$C$59,$B20,FALSE)</f>
        <v>0.499</v>
      </c>
      <c r="E20" s="5">
        <f>VLOOKUP(E$4,data!$A$53:$C$59,$B20,FALSE)</f>
        <v>0.499</v>
      </c>
      <c r="F20" s="5">
        <f>VLOOKUP(F$4,data!$A$53:$C$59,$B20,FALSE)</f>
        <v>0.499</v>
      </c>
      <c r="G20" s="5">
        <f>VLOOKUP(G$4,data!$A$53:$C$59,$B20,FALSE)</f>
        <v>0.51900000000000002</v>
      </c>
      <c r="H20" s="5">
        <f>VLOOKUP(H$4,data!$A$53:$C$59,$B20,FALSE)</f>
        <v>0.54</v>
      </c>
      <c r="I20" s="5">
        <f>VLOOKUP(I$4,data!$A$53:$C$59,$B20,FALSE)</f>
        <v>0.56200000000000006</v>
      </c>
    </row>
    <row r="21" spans="2:9" x14ac:dyDescent="0.35">
      <c r="C21" t="s">
        <v>276</v>
      </c>
      <c r="D21" s="5">
        <f t="shared" ref="D21:I21" si="1">D5*D20</f>
        <v>0</v>
      </c>
      <c r="E21" s="5">
        <f t="shared" si="1"/>
        <v>0</v>
      </c>
      <c r="F21" s="5">
        <f t="shared" si="1"/>
        <v>0</v>
      </c>
      <c r="G21" s="5">
        <f t="shared" si="1"/>
        <v>0</v>
      </c>
      <c r="H21" s="5">
        <f t="shared" si="1"/>
        <v>0</v>
      </c>
      <c r="I21" s="5">
        <f t="shared" si="1"/>
        <v>0</v>
      </c>
    </row>
    <row r="22" spans="2:9" x14ac:dyDescent="0.35">
      <c r="C22" t="s">
        <v>277</v>
      </c>
      <c r="D22" s="5" t="str">
        <f t="shared" ref="D22:I22" si="2">IF(D21&gt;D19,"l","w")</f>
        <v>w</v>
      </c>
      <c r="E22" s="5" t="str">
        <f t="shared" si="2"/>
        <v>w</v>
      </c>
      <c r="F22" s="5" t="str">
        <f t="shared" si="2"/>
        <v>w</v>
      </c>
      <c r="G22" s="5" t="str">
        <f t="shared" si="2"/>
        <v>w</v>
      </c>
      <c r="H22" s="5" t="str">
        <f t="shared" si="2"/>
        <v>w</v>
      </c>
      <c r="I22" s="5" t="str">
        <f t="shared" si="2"/>
        <v>w</v>
      </c>
    </row>
    <row r="23" spans="2:9" x14ac:dyDescent="0.35">
      <c r="C23" t="s">
        <v>278</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5">
      <c r="C24" t="s">
        <v>279</v>
      </c>
      <c r="D24" s="5" t="str">
        <f t="shared" ref="D24:I24" si="4">D22&amp;D23</f>
        <v>ws</v>
      </c>
      <c r="E24" s="5" t="str">
        <f t="shared" si="4"/>
        <v>ws</v>
      </c>
      <c r="F24" s="5" t="str">
        <f t="shared" si="4"/>
        <v>ws</v>
      </c>
      <c r="G24" s="5" t="str">
        <f t="shared" si="4"/>
        <v>ws</v>
      </c>
      <c r="H24" s="5" t="str">
        <f t="shared" si="4"/>
        <v>ws</v>
      </c>
      <c r="I24" s="5" t="str">
        <f t="shared" si="4"/>
        <v>ws</v>
      </c>
    </row>
    <row r="25" spans="2:9" x14ac:dyDescent="0.35">
      <c r="C25" t="s">
        <v>313</v>
      </c>
      <c r="D25" s="5">
        <f>HLOOKUP(D24,data!$C$2:$H$10,D4+1,FALSE)</f>
        <v>0</v>
      </c>
      <c r="E25" s="5">
        <f>HLOOKUP(E24,data!$C$2:$H$10,E4+1,FALSE)</f>
        <v>0</v>
      </c>
      <c r="F25" s="5">
        <f>HLOOKUP(F24,data!$C$2:$H$10,F4+1,FALSE)</f>
        <v>0</v>
      </c>
      <c r="G25" s="5">
        <f>HLOOKUP(G24,data!$C$2:$H$10,G4+1,FALSE)</f>
        <v>45</v>
      </c>
      <c r="H25" s="5">
        <f>HLOOKUP(H24,data!$C$2:$H$10,H4+1,FALSE)</f>
        <v>45</v>
      </c>
      <c r="I25" s="5">
        <f>HLOOKUP(I24,data!$C$2:$H$10,I4+1,FALSE)</f>
        <v>0</v>
      </c>
    </row>
    <row r="26" spans="2:9" x14ac:dyDescent="0.35">
      <c r="B26" s="5">
        <v>4</v>
      </c>
      <c r="C26" t="s">
        <v>314</v>
      </c>
      <c r="D26" s="5">
        <f>VLOOKUP(D$4,data!$A$53:$D$60,$B26,FALSE)</f>
        <v>1</v>
      </c>
      <c r="E26" s="5">
        <f>VLOOKUP(E$4,data!$A$53:$D$60,$B26,FALSE)</f>
        <v>1</v>
      </c>
      <c r="F26" s="5">
        <f>VLOOKUP(F$4,data!$A$53:$D$60,$B26,FALSE)</f>
        <v>1</v>
      </c>
      <c r="G26" s="5">
        <f>VLOOKUP(G$4,data!$A$53:$D$60,$B26,FALSE)</f>
        <v>1.04</v>
      </c>
      <c r="H26" s="5">
        <f>VLOOKUP(H$4,data!$A$53:$D$60,$B26,FALSE)</f>
        <v>1.04</v>
      </c>
      <c r="I26" s="5">
        <f>VLOOKUP(I$4,data!$A$53:$D$60,$B26,FALSE)</f>
        <v>1.0409999999999999</v>
      </c>
    </row>
    <row r="27" spans="2:9" x14ac:dyDescent="0.35">
      <c r="C27" t="s">
        <v>280</v>
      </c>
      <c r="D27" s="5">
        <f t="shared" ref="D27:I27" si="5">D25*D26/100</f>
        <v>0</v>
      </c>
      <c r="E27" s="5">
        <f t="shared" si="5"/>
        <v>0</v>
      </c>
      <c r="F27" s="5">
        <f t="shared" si="5"/>
        <v>0</v>
      </c>
      <c r="G27" s="5">
        <f t="shared" si="5"/>
        <v>0.46800000000000003</v>
      </c>
      <c r="H27" s="5">
        <f t="shared" si="5"/>
        <v>0.46800000000000003</v>
      </c>
      <c r="I27" s="5">
        <f t="shared" si="5"/>
        <v>0</v>
      </c>
    </row>
    <row r="28" spans="2:9" x14ac:dyDescent="0.35">
      <c r="C28" t="s">
        <v>281</v>
      </c>
      <c r="D28" s="5">
        <f t="shared" ref="D28:I28" si="6">D19*D27</f>
        <v>0</v>
      </c>
      <c r="E28" s="5">
        <f t="shared" si="6"/>
        <v>0</v>
      </c>
      <c r="F28" s="5">
        <f t="shared" si="6"/>
        <v>0</v>
      </c>
      <c r="G28" s="5">
        <f t="shared" si="6"/>
        <v>0</v>
      </c>
      <c r="H28" s="5">
        <f t="shared" si="6"/>
        <v>0</v>
      </c>
      <c r="I28" s="5">
        <f t="shared" si="6"/>
        <v>0</v>
      </c>
    </row>
    <row r="29" spans="2:9" x14ac:dyDescent="0.35">
      <c r="C29" t="s">
        <v>282</v>
      </c>
      <c r="D29" s="5" t="b">
        <v>0</v>
      </c>
      <c r="E29" s="5" t="b">
        <f>E22&lt;&gt;D22</f>
        <v>0</v>
      </c>
      <c r="F29" s="5" t="b">
        <f>F22&lt;&gt;E22</f>
        <v>0</v>
      </c>
      <c r="G29" s="5" t="b">
        <f>G22&lt;&gt;F22</f>
        <v>0</v>
      </c>
      <c r="H29" s="5" t="b">
        <f>H22&lt;&gt;G22</f>
        <v>0</v>
      </c>
      <c r="I29" s="5" t="b">
        <f>I22&lt;&gt;H22</f>
        <v>0</v>
      </c>
    </row>
    <row r="30" spans="2:9" x14ac:dyDescent="0.35">
      <c r="C30" t="s">
        <v>283</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421</v>
      </c>
      <c r="C31" t="s">
        <v>316</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C6DD7-FE34-46B6-8E07-35290327FFA3}">
  <sheetPr codeName="Sheet10"/>
  <dimension ref="A1:J31"/>
  <sheetViews>
    <sheetView workbookViewId="0">
      <selection activeCell="A3" sqref="A3"/>
    </sheetView>
  </sheetViews>
  <sheetFormatPr defaultRowHeight="14.5" x14ac:dyDescent="0.35"/>
  <cols>
    <col min="1" max="1" width="27"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0" hidden="1" customWidth="1"/>
    <col min="13" max="13" width="12.453125" customWidth="1"/>
    <col min="14" max="14" width="12.08984375" customWidth="1"/>
    <col min="15" max="15" width="11.54296875" customWidth="1"/>
    <col min="16" max="16" width="12.54296875" customWidth="1"/>
  </cols>
  <sheetData>
    <row r="1" spans="1:10" x14ac:dyDescent="0.35">
      <c r="A1" t="s">
        <v>443</v>
      </c>
      <c r="B1" s="5" t="s">
        <v>373</v>
      </c>
      <c r="C1" t="s">
        <v>374</v>
      </c>
      <c r="D1" s="5" t="s">
        <v>361</v>
      </c>
      <c r="E1" s="5" t="s">
        <v>362</v>
      </c>
      <c r="F1" s="5" t="s">
        <v>363</v>
      </c>
      <c r="G1" s="5" t="s">
        <v>364</v>
      </c>
      <c r="H1" s="5" t="s">
        <v>371</v>
      </c>
      <c r="I1" s="5" t="s">
        <v>372</v>
      </c>
    </row>
    <row r="2" spans="1:10" x14ac:dyDescent="0.35">
      <c r="C2" t="s">
        <v>251</v>
      </c>
      <c r="D2" s="13">
        <f>text!D1</f>
        <v>45017</v>
      </c>
      <c r="E2" s="13">
        <f>text!E1</f>
        <v>45383</v>
      </c>
      <c r="F2" s="13">
        <f>text!F1</f>
        <v>45748</v>
      </c>
      <c r="G2" s="13">
        <f>text!G1</f>
        <v>46113</v>
      </c>
      <c r="H2" s="13">
        <f>text!H1</f>
        <v>46478</v>
      </c>
      <c r="I2" s="13">
        <f>text!I1</f>
        <v>46844</v>
      </c>
    </row>
    <row r="3" spans="1:10" x14ac:dyDescent="0.35">
      <c r="C3" t="s">
        <v>268</v>
      </c>
      <c r="D3" s="5" t="str">
        <f>text!D2</f>
        <v>2023/24</v>
      </c>
      <c r="E3" s="5" t="str">
        <f>text!E2</f>
        <v>2024/25</v>
      </c>
      <c r="F3" s="5" t="str">
        <f>text!F2</f>
        <v>2025/26</v>
      </c>
      <c r="G3" s="5" t="str">
        <f>text!G2</f>
        <v>2026/27</v>
      </c>
      <c r="H3" s="5" t="str">
        <f>text!H2</f>
        <v>2027/28</v>
      </c>
      <c r="I3" s="5" t="str">
        <f>text!I2</f>
        <v>2028/29</v>
      </c>
    </row>
    <row r="4" spans="1:10" x14ac:dyDescent="0.35">
      <c r="C4" t="s">
        <v>271</v>
      </c>
      <c r="D4" s="5">
        <f>text!D3</f>
        <v>1</v>
      </c>
      <c r="E4" s="5">
        <f>text!E3</f>
        <v>2</v>
      </c>
      <c r="F4" s="5">
        <f>text!F3</f>
        <v>3</v>
      </c>
      <c r="G4" s="5">
        <f>text!G3</f>
        <v>4</v>
      </c>
      <c r="H4" s="5">
        <f>text!H3</f>
        <v>5</v>
      </c>
      <c r="I4" s="5">
        <f>text!I3</f>
        <v>6</v>
      </c>
    </row>
    <row r="5" spans="1:10" x14ac:dyDescent="0.35">
      <c r="C5" t="str">
        <f>"Cert Value "&amp;TEXT(D2,"dd/mm/yy")</f>
        <v>Cert Value 01/04/23</v>
      </c>
      <c r="D5" s="27">
        <f>advanced!I36</f>
        <v>0</v>
      </c>
      <c r="E5" s="5">
        <f t="shared" ref="E5:I6" si="0">D5</f>
        <v>0</v>
      </c>
      <c r="F5" s="5">
        <f t="shared" si="0"/>
        <v>0</v>
      </c>
      <c r="G5" s="5">
        <f t="shared" si="0"/>
        <v>0</v>
      </c>
      <c r="H5" s="5">
        <f t="shared" si="0"/>
        <v>0</v>
      </c>
      <c r="I5" s="5">
        <f t="shared" si="0"/>
        <v>0</v>
      </c>
    </row>
    <row r="6" spans="1:10" x14ac:dyDescent="0.35">
      <c r="C6" t="s">
        <v>273</v>
      </c>
      <c r="D6" s="5" t="str">
        <f>advanced!I8</f>
        <v>e</v>
      </c>
      <c r="E6" s="5" t="str">
        <f t="shared" si="0"/>
        <v>e</v>
      </c>
      <c r="F6" s="5" t="str">
        <f t="shared" si="0"/>
        <v>e</v>
      </c>
      <c r="G6" s="5" t="str">
        <f t="shared" si="0"/>
        <v>e</v>
      </c>
      <c r="H6" s="5" t="str">
        <f t="shared" si="0"/>
        <v>e</v>
      </c>
      <c r="I6" s="5" t="str">
        <f t="shared" si="0"/>
        <v>e</v>
      </c>
    </row>
    <row r="7" spans="1:10" x14ac:dyDescent="0.35">
      <c r="B7" s="23"/>
      <c r="C7" s="24" t="s">
        <v>334</v>
      </c>
      <c r="D7" s="23" t="b">
        <v>0</v>
      </c>
      <c r="E7" s="23" t="b">
        <v>0</v>
      </c>
      <c r="F7" s="23" t="b">
        <v>0</v>
      </c>
      <c r="G7" s="23" t="b">
        <v>0</v>
      </c>
      <c r="H7" s="23" t="b">
        <v>0</v>
      </c>
      <c r="I7" s="23" t="b">
        <v>0</v>
      </c>
      <c r="J7" s="24"/>
    </row>
    <row r="8" spans="1:10" x14ac:dyDescent="0.35">
      <c r="B8" s="23"/>
      <c r="C8" s="24" t="s">
        <v>335</v>
      </c>
      <c r="D8" s="23" t="b">
        <v>0</v>
      </c>
      <c r="E8" s="23" t="b">
        <v>0</v>
      </c>
      <c r="F8" s="23" t="b">
        <v>0</v>
      </c>
      <c r="G8" s="23" t="b">
        <v>0</v>
      </c>
      <c r="H8" s="23" t="b">
        <v>0</v>
      </c>
      <c r="I8" s="23" t="b">
        <v>0</v>
      </c>
      <c r="J8" s="24"/>
    </row>
    <row r="9" spans="1:10" x14ac:dyDescent="0.35">
      <c r="B9" s="23"/>
      <c r="C9" s="24" t="s">
        <v>336</v>
      </c>
      <c r="D9" s="23" t="b">
        <v>0</v>
      </c>
      <c r="E9" s="23" t="b">
        <v>0</v>
      </c>
      <c r="F9" s="23" t="b">
        <v>0</v>
      </c>
      <c r="G9" s="23" t="b">
        <v>0</v>
      </c>
      <c r="H9" s="23" t="b">
        <v>0</v>
      </c>
      <c r="I9" s="23" t="b">
        <v>0</v>
      </c>
      <c r="J9" s="24"/>
    </row>
    <row r="10" spans="1:10" x14ac:dyDescent="0.35">
      <c r="B10" s="5">
        <v>3</v>
      </c>
      <c r="C10" t="s">
        <v>300</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301</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302</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306</v>
      </c>
      <c r="B13" s="5">
        <f>IF(D6="e",3,IF(D6="l",4,5))</f>
        <v>3</v>
      </c>
      <c r="C13" t="s">
        <v>304</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305</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
        <v>307</v>
      </c>
      <c r="D15" s="27">
        <f>advanced!I9</f>
        <v>0</v>
      </c>
      <c r="E15" s="5">
        <f>D15</f>
        <v>0</v>
      </c>
      <c r="F15" s="5">
        <f>E15</f>
        <v>0</v>
      </c>
      <c r="G15" s="5">
        <f>F15</f>
        <v>0</v>
      </c>
      <c r="H15" s="5">
        <f>G15</f>
        <v>0</v>
      </c>
      <c r="I15" s="5">
        <f>H15</f>
        <v>0</v>
      </c>
    </row>
    <row r="16" spans="1:10" x14ac:dyDescent="0.35">
      <c r="C16" t="s">
        <v>309</v>
      </c>
      <c r="D16" s="5">
        <f>data!C52</f>
        <v>0.499</v>
      </c>
    </row>
    <row r="17" spans="2:9" x14ac:dyDescent="0.35">
      <c r="C17" t="s">
        <v>311</v>
      </c>
      <c r="D17" s="5">
        <f>D15*D16</f>
        <v>0</v>
      </c>
    </row>
    <row r="18" spans="2:9" x14ac:dyDescent="0.35">
      <c r="B18" s="12" t="b">
        <f>advanced!V13</f>
        <v>0</v>
      </c>
      <c r="C18" t="s">
        <v>360</v>
      </c>
      <c r="D18" s="12">
        <f>advanced!H13</f>
        <v>0</v>
      </c>
    </row>
    <row r="19" spans="2:9" x14ac:dyDescent="0.35">
      <c r="C19" t="s">
        <v>312</v>
      </c>
      <c r="D19" s="5">
        <f>IF(B18=TRUE,D18,D17)</f>
        <v>0</v>
      </c>
      <c r="E19" s="5">
        <f>D28</f>
        <v>0</v>
      </c>
      <c r="F19" s="5">
        <f>E28</f>
        <v>0</v>
      </c>
      <c r="G19" s="5">
        <f>F28</f>
        <v>0</v>
      </c>
      <c r="H19" s="5">
        <f>G28</f>
        <v>0</v>
      </c>
      <c r="I19" s="5">
        <f>H28</f>
        <v>0</v>
      </c>
    </row>
    <row r="20" spans="2:9" x14ac:dyDescent="0.35">
      <c r="B20" s="5">
        <v>3</v>
      </c>
      <c r="C20" t="s">
        <v>275</v>
      </c>
      <c r="D20" s="5">
        <f>VLOOKUP(D$4,data!$A$53:$C$59,$B20,FALSE)</f>
        <v>0.499</v>
      </c>
      <c r="E20" s="5">
        <f>VLOOKUP(E$4,data!$A$53:$C$59,$B20,FALSE)</f>
        <v>0.499</v>
      </c>
      <c r="F20" s="5">
        <f>VLOOKUP(F$4,data!$A$53:$C$59,$B20,FALSE)</f>
        <v>0.499</v>
      </c>
      <c r="G20" s="5">
        <f>VLOOKUP(G$4,data!$A$53:$C$59,$B20,FALSE)</f>
        <v>0.51900000000000002</v>
      </c>
      <c r="H20" s="5">
        <f>VLOOKUP(H$4,data!$A$53:$C$59,$B20,FALSE)</f>
        <v>0.54</v>
      </c>
      <c r="I20" s="5">
        <f>VLOOKUP(I$4,data!$A$53:$C$59,$B20,FALSE)</f>
        <v>0.56200000000000006</v>
      </c>
    </row>
    <row r="21" spans="2:9" x14ac:dyDescent="0.35">
      <c r="C21" t="s">
        <v>276</v>
      </c>
      <c r="D21" s="5">
        <f t="shared" ref="D21:I21" si="1">D5*D20</f>
        <v>0</v>
      </c>
      <c r="E21" s="5">
        <f t="shared" si="1"/>
        <v>0</v>
      </c>
      <c r="F21" s="5">
        <f t="shared" si="1"/>
        <v>0</v>
      </c>
      <c r="G21" s="5">
        <f t="shared" si="1"/>
        <v>0</v>
      </c>
      <c r="H21" s="5">
        <f t="shared" si="1"/>
        <v>0</v>
      </c>
      <c r="I21" s="5">
        <f t="shared" si="1"/>
        <v>0</v>
      </c>
    </row>
    <row r="22" spans="2:9" x14ac:dyDescent="0.35">
      <c r="C22" t="s">
        <v>277</v>
      </c>
      <c r="D22" s="5" t="str">
        <f t="shared" ref="D22:I22" si="2">IF(D21&gt;D19,"l","w")</f>
        <v>w</v>
      </c>
      <c r="E22" s="5" t="str">
        <f t="shared" si="2"/>
        <v>w</v>
      </c>
      <c r="F22" s="5" t="str">
        <f t="shared" si="2"/>
        <v>w</v>
      </c>
      <c r="G22" s="5" t="str">
        <f t="shared" si="2"/>
        <v>w</v>
      </c>
      <c r="H22" s="5" t="str">
        <f t="shared" si="2"/>
        <v>w</v>
      </c>
      <c r="I22" s="5" t="str">
        <f t="shared" si="2"/>
        <v>w</v>
      </c>
    </row>
    <row r="23" spans="2:9" x14ac:dyDescent="0.35">
      <c r="C23" t="s">
        <v>278</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5">
      <c r="C24" t="s">
        <v>279</v>
      </c>
      <c r="D24" s="5" t="str">
        <f t="shared" ref="D24:I24" si="4">D22&amp;D23</f>
        <v>ws</v>
      </c>
      <c r="E24" s="5" t="str">
        <f t="shared" si="4"/>
        <v>ws</v>
      </c>
      <c r="F24" s="5" t="str">
        <f t="shared" si="4"/>
        <v>ws</v>
      </c>
      <c r="G24" s="5" t="str">
        <f t="shared" si="4"/>
        <v>ws</v>
      </c>
      <c r="H24" s="5" t="str">
        <f t="shared" si="4"/>
        <v>ws</v>
      </c>
      <c r="I24" s="5" t="str">
        <f t="shared" si="4"/>
        <v>ws</v>
      </c>
    </row>
    <row r="25" spans="2:9" x14ac:dyDescent="0.35">
      <c r="C25" t="s">
        <v>313</v>
      </c>
      <c r="D25" s="5">
        <f>HLOOKUP(D24,data!$C$2:$H$10,D4+1,FALSE)</f>
        <v>0</v>
      </c>
      <c r="E25" s="5">
        <f>HLOOKUP(E24,data!$C$2:$H$10,E4+1,FALSE)</f>
        <v>0</v>
      </c>
      <c r="F25" s="5">
        <f>HLOOKUP(F24,data!$C$2:$H$10,F4+1,FALSE)</f>
        <v>0</v>
      </c>
      <c r="G25" s="5">
        <f>HLOOKUP(G24,data!$C$2:$H$10,G4+1,FALSE)</f>
        <v>45</v>
      </c>
      <c r="H25" s="5">
        <f>HLOOKUP(H24,data!$C$2:$H$10,H4+1,FALSE)</f>
        <v>45</v>
      </c>
      <c r="I25" s="5">
        <f>HLOOKUP(I24,data!$C$2:$H$10,I4+1,FALSE)</f>
        <v>0</v>
      </c>
    </row>
    <row r="26" spans="2:9" x14ac:dyDescent="0.35">
      <c r="B26" s="5">
        <v>4</v>
      </c>
      <c r="C26" t="s">
        <v>314</v>
      </c>
      <c r="D26" s="5">
        <f>VLOOKUP(D$4,data!$A$53:$D$60,$B26,FALSE)</f>
        <v>1</v>
      </c>
      <c r="E26" s="5">
        <f>VLOOKUP(E$4,data!$A$53:$D$60,$B26,FALSE)</f>
        <v>1</v>
      </c>
      <c r="F26" s="5">
        <f>VLOOKUP(F$4,data!$A$53:$D$60,$B26,FALSE)</f>
        <v>1</v>
      </c>
      <c r="G26" s="5">
        <f>VLOOKUP(G$4,data!$A$53:$D$60,$B26,FALSE)</f>
        <v>1.04</v>
      </c>
      <c r="H26" s="5">
        <f>VLOOKUP(H$4,data!$A$53:$D$60,$B26,FALSE)</f>
        <v>1.04</v>
      </c>
      <c r="I26" s="5">
        <f>VLOOKUP(I$4,data!$A$53:$D$60,$B26,FALSE)</f>
        <v>1.0409999999999999</v>
      </c>
    </row>
    <row r="27" spans="2:9" x14ac:dyDescent="0.35">
      <c r="C27" t="s">
        <v>280</v>
      </c>
      <c r="D27" s="5">
        <f t="shared" ref="D27:I27" si="5">D25*D26/100</f>
        <v>0</v>
      </c>
      <c r="E27" s="5">
        <f t="shared" si="5"/>
        <v>0</v>
      </c>
      <c r="F27" s="5">
        <f t="shared" si="5"/>
        <v>0</v>
      </c>
      <c r="G27" s="5">
        <f t="shared" si="5"/>
        <v>0.46800000000000003</v>
      </c>
      <c r="H27" s="5">
        <f t="shared" si="5"/>
        <v>0.46800000000000003</v>
      </c>
      <c r="I27" s="5">
        <f t="shared" si="5"/>
        <v>0</v>
      </c>
    </row>
    <row r="28" spans="2:9" x14ac:dyDescent="0.35">
      <c r="C28" t="s">
        <v>281</v>
      </c>
      <c r="D28" s="5">
        <f t="shared" ref="D28:I28" si="6">D19*D27</f>
        <v>0</v>
      </c>
      <c r="E28" s="5">
        <f t="shared" si="6"/>
        <v>0</v>
      </c>
      <c r="F28" s="5">
        <f t="shared" si="6"/>
        <v>0</v>
      </c>
      <c r="G28" s="5">
        <f t="shared" si="6"/>
        <v>0</v>
      </c>
      <c r="H28" s="5">
        <f t="shared" si="6"/>
        <v>0</v>
      </c>
      <c r="I28" s="5">
        <f t="shared" si="6"/>
        <v>0</v>
      </c>
    </row>
    <row r="29" spans="2:9" x14ac:dyDescent="0.35">
      <c r="C29" t="s">
        <v>282</v>
      </c>
      <c r="D29" s="5" t="b">
        <v>0</v>
      </c>
      <c r="E29" s="5" t="b">
        <f>E22&lt;&gt;D22</f>
        <v>0</v>
      </c>
      <c r="F29" s="5" t="b">
        <f>F22&lt;&gt;E22</f>
        <v>0</v>
      </c>
      <c r="G29" s="5" t="b">
        <f>G22&lt;&gt;F22</f>
        <v>0</v>
      </c>
      <c r="H29" s="5" t="b">
        <f>H22&lt;&gt;G22</f>
        <v>0</v>
      </c>
      <c r="I29" s="5" t="b">
        <f>I22&lt;&gt;H22</f>
        <v>0</v>
      </c>
    </row>
    <row r="30" spans="2:9" x14ac:dyDescent="0.35">
      <c r="C30" t="s">
        <v>283</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421</v>
      </c>
      <c r="C31" t="s">
        <v>316</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B0C69-AA4B-48D1-BA5A-B2EEC79F064F}">
  <sheetPr codeName="Sheet11"/>
  <dimension ref="A1:J31"/>
  <sheetViews>
    <sheetView workbookViewId="0">
      <selection activeCell="A3" sqref="A3"/>
    </sheetView>
  </sheetViews>
  <sheetFormatPr defaultRowHeight="14.5" x14ac:dyDescent="0.35"/>
  <cols>
    <col min="1" max="1" width="27"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0" hidden="1" customWidth="1"/>
    <col min="13" max="13" width="12.453125" customWidth="1"/>
    <col min="14" max="14" width="12.08984375" customWidth="1"/>
    <col min="15" max="15" width="11.54296875" customWidth="1"/>
    <col min="16" max="16" width="12.54296875" customWidth="1"/>
  </cols>
  <sheetData>
    <row r="1" spans="1:10" x14ac:dyDescent="0.35">
      <c r="A1" t="s">
        <v>481</v>
      </c>
      <c r="B1" s="5" t="s">
        <v>373</v>
      </c>
      <c r="C1" t="s">
        <v>374</v>
      </c>
      <c r="D1" s="5" t="s">
        <v>361</v>
      </c>
      <c r="E1" s="5" t="s">
        <v>362</v>
      </c>
      <c r="F1" s="5" t="s">
        <v>363</v>
      </c>
      <c r="G1" s="5" t="s">
        <v>364</v>
      </c>
      <c r="H1" s="5" t="s">
        <v>371</v>
      </c>
      <c r="I1" s="5" t="s">
        <v>372</v>
      </c>
    </row>
    <row r="2" spans="1:10" x14ac:dyDescent="0.35">
      <c r="C2" t="s">
        <v>251</v>
      </c>
      <c r="D2" s="13">
        <f>text!D1</f>
        <v>45017</v>
      </c>
      <c r="E2" s="13">
        <f>text!E1</f>
        <v>45383</v>
      </c>
      <c r="F2" s="13">
        <f>text!F1</f>
        <v>45748</v>
      </c>
      <c r="G2" s="13">
        <f>text!G1</f>
        <v>46113</v>
      </c>
      <c r="H2" s="13">
        <f>text!H1</f>
        <v>46478</v>
      </c>
      <c r="I2" s="13">
        <f>text!I1</f>
        <v>46844</v>
      </c>
    </row>
    <row r="3" spans="1:10" x14ac:dyDescent="0.35">
      <c r="C3" t="s">
        <v>268</v>
      </c>
      <c r="D3" s="5" t="str">
        <f>text!D2</f>
        <v>2023/24</v>
      </c>
      <c r="E3" s="5" t="str">
        <f>text!E2</f>
        <v>2024/25</v>
      </c>
      <c r="F3" s="5" t="str">
        <f>text!F2</f>
        <v>2025/26</v>
      </c>
      <c r="G3" s="5" t="str">
        <f>text!G2</f>
        <v>2026/27</v>
      </c>
      <c r="H3" s="5" t="str">
        <f>text!H2</f>
        <v>2027/28</v>
      </c>
      <c r="I3" s="5" t="str">
        <f>text!I2</f>
        <v>2028/29</v>
      </c>
    </row>
    <row r="4" spans="1:10" x14ac:dyDescent="0.35">
      <c r="C4" t="s">
        <v>271</v>
      </c>
      <c r="D4" s="5">
        <f>text!D3</f>
        <v>1</v>
      </c>
      <c r="E4" s="5">
        <f>text!E3</f>
        <v>2</v>
      </c>
      <c r="F4" s="5">
        <f>text!F3</f>
        <v>3</v>
      </c>
      <c r="G4" s="5">
        <f>text!G3</f>
        <v>4</v>
      </c>
      <c r="H4" s="5">
        <f>text!H3</f>
        <v>5</v>
      </c>
      <c r="I4" s="5">
        <f>text!I3</f>
        <v>6</v>
      </c>
    </row>
    <row r="5" spans="1:10" x14ac:dyDescent="0.35">
      <c r="C5" t="str">
        <f>"RATEABLE Value "&amp;TEXT(D2,"dd/mm/yy")</f>
        <v>RATEABLE Value 01/04/23</v>
      </c>
      <c r="D5" s="27">
        <f>advanced!I10</f>
        <v>0</v>
      </c>
      <c r="E5" s="5">
        <f t="shared" ref="E5:I6" si="0">D5</f>
        <v>0</v>
      </c>
      <c r="F5" s="5">
        <f t="shared" si="0"/>
        <v>0</v>
      </c>
      <c r="G5" s="5">
        <f t="shared" si="0"/>
        <v>0</v>
      </c>
      <c r="H5" s="5">
        <f t="shared" si="0"/>
        <v>0</v>
      </c>
      <c r="I5" s="5">
        <f t="shared" si="0"/>
        <v>0</v>
      </c>
    </row>
    <row r="6" spans="1:10" x14ac:dyDescent="0.35">
      <c r="C6" t="s">
        <v>273</v>
      </c>
      <c r="D6" s="5" t="str">
        <f>advanced!I8</f>
        <v>e</v>
      </c>
      <c r="E6" s="5" t="str">
        <f t="shared" si="0"/>
        <v>e</v>
      </c>
      <c r="F6" s="5" t="str">
        <f t="shared" si="0"/>
        <v>e</v>
      </c>
      <c r="G6" s="5" t="str">
        <f t="shared" si="0"/>
        <v>e</v>
      </c>
      <c r="H6" s="5" t="str">
        <f t="shared" si="0"/>
        <v>e</v>
      </c>
      <c r="I6" s="5" t="str">
        <f t="shared" si="0"/>
        <v>e</v>
      </c>
    </row>
    <row r="7" spans="1:10" x14ac:dyDescent="0.35">
      <c r="B7" s="23"/>
      <c r="C7" s="24" t="s">
        <v>334</v>
      </c>
      <c r="D7" s="23" t="b">
        <v>0</v>
      </c>
      <c r="E7" s="23" t="b">
        <v>0</v>
      </c>
      <c r="F7" s="23" t="b">
        <v>0</v>
      </c>
      <c r="G7" s="23" t="b">
        <v>0</v>
      </c>
      <c r="H7" s="23" t="b">
        <v>0</v>
      </c>
      <c r="I7" s="23" t="b">
        <v>0</v>
      </c>
      <c r="J7" s="24"/>
    </row>
    <row r="8" spans="1:10" x14ac:dyDescent="0.35">
      <c r="B8" s="23"/>
      <c r="C8" s="24" t="s">
        <v>335</v>
      </c>
      <c r="D8" s="23" t="b">
        <v>0</v>
      </c>
      <c r="E8" s="23" t="b">
        <v>0</v>
      </c>
      <c r="F8" s="23" t="b">
        <v>0</v>
      </c>
      <c r="G8" s="23" t="b">
        <v>0</v>
      </c>
      <c r="H8" s="23" t="b">
        <v>0</v>
      </c>
      <c r="I8" s="23" t="b">
        <v>0</v>
      </c>
      <c r="J8" s="24"/>
    </row>
    <row r="9" spans="1:10" x14ac:dyDescent="0.35">
      <c r="B9" s="23"/>
      <c r="C9" s="24" t="s">
        <v>336</v>
      </c>
      <c r="D9" s="23" t="b">
        <v>0</v>
      </c>
      <c r="E9" s="23" t="b">
        <v>0</v>
      </c>
      <c r="F9" s="23" t="b">
        <v>0</v>
      </c>
      <c r="G9" s="23" t="b">
        <v>0</v>
      </c>
      <c r="H9" s="23" t="b">
        <v>0</v>
      </c>
      <c r="I9" s="23" t="b">
        <v>0</v>
      </c>
      <c r="J9" s="24"/>
    </row>
    <row r="10" spans="1:10" x14ac:dyDescent="0.35">
      <c r="B10" s="5">
        <v>3</v>
      </c>
      <c r="C10" t="s">
        <v>300</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301</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302</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306</v>
      </c>
      <c r="B13" s="5">
        <f>IF(D6="e",3,IF(D6="l",4,5))</f>
        <v>3</v>
      </c>
      <c r="C13" t="s">
        <v>304</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305</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tr">
        <f>"Certified Value "&amp;TEXT(D2-1,"dd/mm/yy")</f>
        <v>Certified Value 31/03/23</v>
      </c>
      <c r="D15" s="27">
        <f>advanced!I41</f>
        <v>0</v>
      </c>
      <c r="E15" s="5">
        <f>D15</f>
        <v>0</v>
      </c>
      <c r="F15" s="5">
        <f>E15</f>
        <v>0</v>
      </c>
      <c r="G15" s="5">
        <f>F15</f>
        <v>0</v>
      </c>
      <c r="H15" s="5">
        <f>G15</f>
        <v>0</v>
      </c>
      <c r="I15" s="5">
        <f>H15</f>
        <v>0</v>
      </c>
    </row>
    <row r="16" spans="1:10" x14ac:dyDescent="0.35">
      <c r="C16" t="s">
        <v>309</v>
      </c>
      <c r="D16" s="5">
        <f>data!C52</f>
        <v>0.499</v>
      </c>
    </row>
    <row r="17" spans="2:9" x14ac:dyDescent="0.35">
      <c r="C17" t="s">
        <v>311</v>
      </c>
      <c r="D17" s="5">
        <f>D15*D16</f>
        <v>0</v>
      </c>
    </row>
    <row r="18" spans="2:9" x14ac:dyDescent="0.35">
      <c r="B18" s="12" t="b">
        <f>advanced!V13</f>
        <v>0</v>
      </c>
      <c r="C18" t="s">
        <v>360</v>
      </c>
      <c r="D18" s="12">
        <f>advanced!H13</f>
        <v>0</v>
      </c>
    </row>
    <row r="19" spans="2:9" x14ac:dyDescent="0.35">
      <c r="C19" t="s">
        <v>312</v>
      </c>
      <c r="D19" s="5">
        <f>IF(B18=TRUE,D18,D17)</f>
        <v>0</v>
      </c>
      <c r="E19" s="5">
        <f>D28</f>
        <v>0</v>
      </c>
      <c r="F19" s="5">
        <f>E28</f>
        <v>0</v>
      </c>
      <c r="G19" s="5">
        <f>F28</f>
        <v>0</v>
      </c>
      <c r="H19" s="5">
        <f>G28</f>
        <v>0</v>
      </c>
      <c r="I19" s="5">
        <f>H28</f>
        <v>0</v>
      </c>
    </row>
    <row r="20" spans="2:9" x14ac:dyDescent="0.35">
      <c r="B20" s="5">
        <v>3</v>
      </c>
      <c r="C20" t="s">
        <v>275</v>
      </c>
      <c r="D20" s="5">
        <f>VLOOKUP(D$4,data!$A$53:$C$59,$B20,FALSE)</f>
        <v>0.499</v>
      </c>
      <c r="E20" s="5">
        <f>VLOOKUP(E$4,data!$A$53:$C$59,$B20,FALSE)</f>
        <v>0.499</v>
      </c>
      <c r="F20" s="5">
        <f>VLOOKUP(F$4,data!$A$53:$C$59,$B20,FALSE)</f>
        <v>0.499</v>
      </c>
      <c r="G20" s="5">
        <f>VLOOKUP(G$4,data!$A$53:$C$59,$B20,FALSE)</f>
        <v>0.51900000000000002</v>
      </c>
      <c r="H20" s="5">
        <f>VLOOKUP(H$4,data!$A$53:$C$59,$B20,FALSE)</f>
        <v>0.54</v>
      </c>
      <c r="I20" s="5">
        <f>VLOOKUP(I$4,data!$A$53:$C$59,$B20,FALSE)</f>
        <v>0.56200000000000006</v>
      </c>
    </row>
    <row r="21" spans="2:9" x14ac:dyDescent="0.35">
      <c r="C21" t="s">
        <v>276</v>
      </c>
      <c r="D21" s="5">
        <f t="shared" ref="D21:I21" si="1">D5*D20</f>
        <v>0</v>
      </c>
      <c r="E21" s="5">
        <f t="shared" si="1"/>
        <v>0</v>
      </c>
      <c r="F21" s="5">
        <f t="shared" si="1"/>
        <v>0</v>
      </c>
      <c r="G21" s="5">
        <f t="shared" si="1"/>
        <v>0</v>
      </c>
      <c r="H21" s="5">
        <f t="shared" si="1"/>
        <v>0</v>
      </c>
      <c r="I21" s="5">
        <f t="shared" si="1"/>
        <v>0</v>
      </c>
    </row>
    <row r="22" spans="2:9" x14ac:dyDescent="0.35">
      <c r="C22" t="s">
        <v>277</v>
      </c>
      <c r="D22" s="5" t="str">
        <f t="shared" ref="D22:I22" si="2">IF(D21&gt;D19,"l","w")</f>
        <v>w</v>
      </c>
      <c r="E22" s="5" t="str">
        <f t="shared" si="2"/>
        <v>w</v>
      </c>
      <c r="F22" s="5" t="str">
        <f t="shared" si="2"/>
        <v>w</v>
      </c>
      <c r="G22" s="5" t="str">
        <f t="shared" si="2"/>
        <v>w</v>
      </c>
      <c r="H22" s="5" t="str">
        <f t="shared" si="2"/>
        <v>w</v>
      </c>
      <c r="I22" s="5" t="str">
        <f t="shared" si="2"/>
        <v>w</v>
      </c>
    </row>
    <row r="23" spans="2:9" x14ac:dyDescent="0.35">
      <c r="C23" t="s">
        <v>278</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5">
      <c r="C24" t="s">
        <v>279</v>
      </c>
      <c r="D24" s="5" t="str">
        <f t="shared" ref="D24:I24" si="4">D22&amp;D23</f>
        <v>ws</v>
      </c>
      <c r="E24" s="5" t="str">
        <f t="shared" si="4"/>
        <v>ws</v>
      </c>
      <c r="F24" s="5" t="str">
        <f t="shared" si="4"/>
        <v>ws</v>
      </c>
      <c r="G24" s="5" t="str">
        <f t="shared" si="4"/>
        <v>ws</v>
      </c>
      <c r="H24" s="5" t="str">
        <f t="shared" si="4"/>
        <v>ws</v>
      </c>
      <c r="I24" s="5" t="str">
        <f t="shared" si="4"/>
        <v>ws</v>
      </c>
    </row>
    <row r="25" spans="2:9" x14ac:dyDescent="0.35">
      <c r="C25" t="s">
        <v>313</v>
      </c>
      <c r="D25" s="5">
        <f>HLOOKUP(D24,data!$C$2:$H$10,D4+1,FALSE)</f>
        <v>0</v>
      </c>
      <c r="E25" s="5">
        <f>HLOOKUP(E24,data!$C$2:$H$10,E4+1,FALSE)</f>
        <v>0</v>
      </c>
      <c r="F25" s="5">
        <f>HLOOKUP(F24,data!$C$2:$H$10,F4+1,FALSE)</f>
        <v>0</v>
      </c>
      <c r="G25" s="5">
        <f>HLOOKUP(G24,data!$C$2:$H$10,G4+1,FALSE)</f>
        <v>45</v>
      </c>
      <c r="H25" s="5">
        <f>HLOOKUP(H24,data!$C$2:$H$10,H4+1,FALSE)</f>
        <v>45</v>
      </c>
      <c r="I25" s="5">
        <f>HLOOKUP(I24,data!$C$2:$H$10,I4+1,FALSE)</f>
        <v>0</v>
      </c>
    </row>
    <row r="26" spans="2:9" x14ac:dyDescent="0.35">
      <c r="B26" s="5">
        <v>4</v>
      </c>
      <c r="C26" t="s">
        <v>314</v>
      </c>
      <c r="D26" s="5">
        <f>VLOOKUP(D$4,data!$A$53:$D$60,$B26,FALSE)</f>
        <v>1</v>
      </c>
      <c r="E26" s="5">
        <f>VLOOKUP(E$4,data!$A$53:$D$60,$B26,FALSE)</f>
        <v>1</v>
      </c>
      <c r="F26" s="5">
        <f>VLOOKUP(F$4,data!$A$53:$D$60,$B26,FALSE)</f>
        <v>1</v>
      </c>
      <c r="G26" s="5">
        <f>VLOOKUP(G$4,data!$A$53:$D$60,$B26,FALSE)</f>
        <v>1.04</v>
      </c>
      <c r="H26" s="5">
        <f>VLOOKUP(H$4,data!$A$53:$D$60,$B26,FALSE)</f>
        <v>1.04</v>
      </c>
      <c r="I26" s="5">
        <f>VLOOKUP(I$4,data!$A$53:$D$60,$B26,FALSE)</f>
        <v>1.0409999999999999</v>
      </c>
    </row>
    <row r="27" spans="2:9" x14ac:dyDescent="0.35">
      <c r="C27" t="s">
        <v>280</v>
      </c>
      <c r="D27" s="5">
        <f t="shared" ref="D27:I27" si="5">D25*D26/100</f>
        <v>0</v>
      </c>
      <c r="E27" s="5">
        <f t="shared" si="5"/>
        <v>0</v>
      </c>
      <c r="F27" s="5">
        <f t="shared" si="5"/>
        <v>0</v>
      </c>
      <c r="G27" s="5">
        <f t="shared" si="5"/>
        <v>0.46800000000000003</v>
      </c>
      <c r="H27" s="5">
        <f t="shared" si="5"/>
        <v>0.46800000000000003</v>
      </c>
      <c r="I27" s="5">
        <f t="shared" si="5"/>
        <v>0</v>
      </c>
    </row>
    <row r="28" spans="2:9" x14ac:dyDescent="0.35">
      <c r="C28" t="s">
        <v>281</v>
      </c>
      <c r="D28" s="5">
        <f t="shared" ref="D28:I28" si="6">D19*D27</f>
        <v>0</v>
      </c>
      <c r="E28" s="5">
        <f t="shared" si="6"/>
        <v>0</v>
      </c>
      <c r="F28" s="5">
        <f t="shared" si="6"/>
        <v>0</v>
      </c>
      <c r="G28" s="5">
        <f t="shared" si="6"/>
        <v>0</v>
      </c>
      <c r="H28" s="5">
        <f t="shared" si="6"/>
        <v>0</v>
      </c>
      <c r="I28" s="5">
        <f t="shared" si="6"/>
        <v>0</v>
      </c>
    </row>
    <row r="29" spans="2:9" x14ac:dyDescent="0.35">
      <c r="C29" t="s">
        <v>282</v>
      </c>
      <c r="D29" s="5" t="b">
        <v>0</v>
      </c>
      <c r="E29" s="5" t="b">
        <f>E22&lt;&gt;D22</f>
        <v>0</v>
      </c>
      <c r="F29" s="5" t="b">
        <f>F22&lt;&gt;E22</f>
        <v>0</v>
      </c>
      <c r="G29" s="5" t="b">
        <f>G22&lt;&gt;F22</f>
        <v>0</v>
      </c>
      <c r="H29" s="5" t="b">
        <f>H22&lt;&gt;G22</f>
        <v>0</v>
      </c>
      <c r="I29" s="5" t="b">
        <f>I22&lt;&gt;H22</f>
        <v>0</v>
      </c>
    </row>
    <row r="30" spans="2:9" x14ac:dyDescent="0.35">
      <c r="C30" t="s">
        <v>283</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421</v>
      </c>
      <c r="C31" t="s">
        <v>316</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6A862-23F5-47EA-922F-9B653D02086B}">
  <sheetPr codeName="Sheet12"/>
  <dimension ref="A1:J31"/>
  <sheetViews>
    <sheetView workbookViewId="0">
      <selection activeCell="A3" sqref="A3"/>
    </sheetView>
  </sheetViews>
  <sheetFormatPr defaultRowHeight="14.5" x14ac:dyDescent="0.35"/>
  <cols>
    <col min="1" max="1" width="32.08984375"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0" hidden="1" customWidth="1"/>
    <col min="13" max="13" width="12.453125" customWidth="1"/>
    <col min="14" max="14" width="12.08984375" customWidth="1"/>
    <col min="15" max="15" width="11.54296875" customWidth="1"/>
    <col min="16" max="16" width="12.54296875" customWidth="1"/>
  </cols>
  <sheetData>
    <row r="1" spans="1:10" x14ac:dyDescent="0.35">
      <c r="A1" t="s">
        <v>482</v>
      </c>
      <c r="B1" s="5" t="s">
        <v>373</v>
      </c>
      <c r="C1" t="s">
        <v>374</v>
      </c>
      <c r="D1" s="5" t="s">
        <v>361</v>
      </c>
      <c r="E1" s="5" t="s">
        <v>362</v>
      </c>
      <c r="F1" s="5" t="s">
        <v>363</v>
      </c>
      <c r="G1" s="5" t="s">
        <v>364</v>
      </c>
      <c r="H1" s="5" t="s">
        <v>371</v>
      </c>
      <c r="I1" s="5" t="s">
        <v>372</v>
      </c>
    </row>
    <row r="2" spans="1:10" x14ac:dyDescent="0.35">
      <c r="C2" t="s">
        <v>251</v>
      </c>
      <c r="D2" s="13">
        <f>text!D1</f>
        <v>45017</v>
      </c>
      <c r="E2" s="13">
        <f>text!E1</f>
        <v>45383</v>
      </c>
      <c r="F2" s="13">
        <f>text!F1</f>
        <v>45748</v>
      </c>
      <c r="G2" s="13">
        <f>text!G1</f>
        <v>46113</v>
      </c>
      <c r="H2" s="13">
        <f>text!H1</f>
        <v>46478</v>
      </c>
      <c r="I2" s="13">
        <f>text!I1</f>
        <v>46844</v>
      </c>
    </row>
    <row r="3" spans="1:10" x14ac:dyDescent="0.35">
      <c r="C3" t="s">
        <v>268</v>
      </c>
      <c r="D3" s="5" t="str">
        <f>text!D2</f>
        <v>2023/24</v>
      </c>
      <c r="E3" s="5" t="str">
        <f>text!E2</f>
        <v>2024/25</v>
      </c>
      <c r="F3" s="5" t="str">
        <f>text!F2</f>
        <v>2025/26</v>
      </c>
      <c r="G3" s="5" t="str">
        <f>text!G2</f>
        <v>2026/27</v>
      </c>
      <c r="H3" s="5" t="str">
        <f>text!H2</f>
        <v>2027/28</v>
      </c>
      <c r="I3" s="5" t="str">
        <f>text!I2</f>
        <v>2028/29</v>
      </c>
    </row>
    <row r="4" spans="1:10" x14ac:dyDescent="0.35">
      <c r="C4" t="s">
        <v>271</v>
      </c>
      <c r="D4" s="5">
        <f>text!D3</f>
        <v>1</v>
      </c>
      <c r="E4" s="5">
        <f>text!E3</f>
        <v>2</v>
      </c>
      <c r="F4" s="5">
        <f>text!F3</f>
        <v>3</v>
      </c>
      <c r="G4" s="5">
        <f>text!G3</f>
        <v>4</v>
      </c>
      <c r="H4" s="5">
        <f>text!H3</f>
        <v>5</v>
      </c>
      <c r="I4" s="5">
        <f>text!I3</f>
        <v>6</v>
      </c>
    </row>
    <row r="5" spans="1:10" x14ac:dyDescent="0.35">
      <c r="C5" t="str">
        <f>"Cert Value "&amp;TEXT(D2,"dd/mm/yy")</f>
        <v>Cert Value 01/04/23</v>
      </c>
      <c r="D5" s="27">
        <f>advanced!I36</f>
        <v>0</v>
      </c>
      <c r="E5" s="5">
        <f t="shared" ref="E5:I6" si="0">D5</f>
        <v>0</v>
      </c>
      <c r="F5" s="5">
        <f t="shared" si="0"/>
        <v>0</v>
      </c>
      <c r="G5" s="5">
        <f t="shared" si="0"/>
        <v>0</v>
      </c>
      <c r="H5" s="5">
        <f t="shared" si="0"/>
        <v>0</v>
      </c>
      <c r="I5" s="5">
        <f t="shared" si="0"/>
        <v>0</v>
      </c>
    </row>
    <row r="6" spans="1:10" x14ac:dyDescent="0.35">
      <c r="C6" t="s">
        <v>273</v>
      </c>
      <c r="D6" s="5" t="str">
        <f>advanced!I8</f>
        <v>e</v>
      </c>
      <c r="E6" s="5" t="str">
        <f t="shared" si="0"/>
        <v>e</v>
      </c>
      <c r="F6" s="5" t="str">
        <f t="shared" si="0"/>
        <v>e</v>
      </c>
      <c r="G6" s="5" t="str">
        <f t="shared" si="0"/>
        <v>e</v>
      </c>
      <c r="H6" s="5" t="str">
        <f t="shared" si="0"/>
        <v>e</v>
      </c>
      <c r="I6" s="5" t="str">
        <f t="shared" si="0"/>
        <v>e</v>
      </c>
    </row>
    <row r="7" spans="1:10" x14ac:dyDescent="0.35">
      <c r="B7" s="23"/>
      <c r="C7" s="24" t="s">
        <v>334</v>
      </c>
      <c r="D7" s="23" t="b">
        <v>0</v>
      </c>
      <c r="E7" s="23" t="b">
        <v>0</v>
      </c>
      <c r="F7" s="23" t="b">
        <v>0</v>
      </c>
      <c r="G7" s="23" t="b">
        <v>0</v>
      </c>
      <c r="H7" s="23" t="b">
        <v>0</v>
      </c>
      <c r="I7" s="23" t="b">
        <v>0</v>
      </c>
      <c r="J7" s="24"/>
    </row>
    <row r="8" spans="1:10" x14ac:dyDescent="0.35">
      <c r="B8" s="23"/>
      <c r="C8" s="24" t="s">
        <v>335</v>
      </c>
      <c r="D8" s="23" t="b">
        <v>0</v>
      </c>
      <c r="E8" s="23" t="b">
        <v>0</v>
      </c>
      <c r="F8" s="23" t="b">
        <v>0</v>
      </c>
      <c r="G8" s="23" t="b">
        <v>0</v>
      </c>
      <c r="H8" s="23" t="b">
        <v>0</v>
      </c>
      <c r="I8" s="23" t="b">
        <v>0</v>
      </c>
      <c r="J8" s="24"/>
    </row>
    <row r="9" spans="1:10" x14ac:dyDescent="0.35">
      <c r="B9" s="23"/>
      <c r="C9" s="24" t="s">
        <v>336</v>
      </c>
      <c r="D9" s="23" t="b">
        <v>0</v>
      </c>
      <c r="E9" s="23" t="b">
        <v>0</v>
      </c>
      <c r="F9" s="23" t="b">
        <v>0</v>
      </c>
      <c r="G9" s="23" t="b">
        <v>0</v>
      </c>
      <c r="H9" s="23" t="b">
        <v>0</v>
      </c>
      <c r="I9" s="23" t="b">
        <v>0</v>
      </c>
      <c r="J9" s="24"/>
    </row>
    <row r="10" spans="1:10" x14ac:dyDescent="0.35">
      <c r="B10" s="5">
        <v>3</v>
      </c>
      <c r="C10" t="s">
        <v>300</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301</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302</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306</v>
      </c>
      <c r="B13" s="5">
        <f>IF(D6="e",3,IF(D6="l",4,5))</f>
        <v>3</v>
      </c>
      <c r="C13" t="s">
        <v>304</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305</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tr">
        <f>"Certified Value "&amp;TEXT(D2-1,"dd/mm/yy")</f>
        <v>Certified Value 31/03/23</v>
      </c>
      <c r="D15" s="27">
        <f>advanced!I41</f>
        <v>0</v>
      </c>
      <c r="E15" s="5">
        <f>D15</f>
        <v>0</v>
      </c>
      <c r="F15" s="5">
        <f>E15</f>
        <v>0</v>
      </c>
      <c r="G15" s="5">
        <f>F15</f>
        <v>0</v>
      </c>
      <c r="H15" s="5">
        <f>G15</f>
        <v>0</v>
      </c>
      <c r="I15" s="5">
        <f>H15</f>
        <v>0</v>
      </c>
    </row>
    <row r="16" spans="1:10" x14ac:dyDescent="0.35">
      <c r="C16" t="s">
        <v>309</v>
      </c>
      <c r="D16" s="5">
        <f>data!C52</f>
        <v>0.499</v>
      </c>
    </row>
    <row r="17" spans="2:9" x14ac:dyDescent="0.35">
      <c r="C17" t="s">
        <v>311</v>
      </c>
      <c r="D17" s="5">
        <f>D15*D16</f>
        <v>0</v>
      </c>
    </row>
    <row r="18" spans="2:9" x14ac:dyDescent="0.35">
      <c r="B18" s="12" t="b">
        <f>advanced!V13</f>
        <v>0</v>
      </c>
      <c r="C18" t="s">
        <v>360</v>
      </c>
      <c r="D18" s="12">
        <f>advanced!H13</f>
        <v>0</v>
      </c>
    </row>
    <row r="19" spans="2:9" x14ac:dyDescent="0.35">
      <c r="C19" t="s">
        <v>312</v>
      </c>
      <c r="D19" s="5">
        <f>IF(B18=TRUE,D18,D17)</f>
        <v>0</v>
      </c>
      <c r="E19" s="5">
        <f>D28</f>
        <v>0</v>
      </c>
      <c r="F19" s="5">
        <f>E28</f>
        <v>0</v>
      </c>
      <c r="G19" s="5">
        <f>F28</f>
        <v>0</v>
      </c>
      <c r="H19" s="5">
        <f>G28</f>
        <v>0</v>
      </c>
      <c r="I19" s="5">
        <f>H28</f>
        <v>0</v>
      </c>
    </row>
    <row r="20" spans="2:9" x14ac:dyDescent="0.35">
      <c r="B20" s="5">
        <v>3</v>
      </c>
      <c r="C20" t="s">
        <v>275</v>
      </c>
      <c r="D20" s="5">
        <f>VLOOKUP(D$4,data!$A$53:$C$59,$B20,FALSE)</f>
        <v>0.499</v>
      </c>
      <c r="E20" s="5">
        <f>VLOOKUP(E$4,data!$A$53:$C$59,$B20,FALSE)</f>
        <v>0.499</v>
      </c>
      <c r="F20" s="5">
        <f>VLOOKUP(F$4,data!$A$53:$C$59,$B20,FALSE)</f>
        <v>0.499</v>
      </c>
      <c r="G20" s="5">
        <f>VLOOKUP(G$4,data!$A$53:$C$59,$B20,FALSE)</f>
        <v>0.51900000000000002</v>
      </c>
      <c r="H20" s="5">
        <f>VLOOKUP(H$4,data!$A$53:$C$59,$B20,FALSE)</f>
        <v>0.54</v>
      </c>
      <c r="I20" s="5">
        <f>VLOOKUP(I$4,data!$A$53:$C$59,$B20,FALSE)</f>
        <v>0.56200000000000006</v>
      </c>
    </row>
    <row r="21" spans="2:9" x14ac:dyDescent="0.35">
      <c r="C21" t="s">
        <v>276</v>
      </c>
      <c r="D21" s="5">
        <f t="shared" ref="D21:I21" si="1">D5*D20</f>
        <v>0</v>
      </c>
      <c r="E21" s="5">
        <f t="shared" si="1"/>
        <v>0</v>
      </c>
      <c r="F21" s="5">
        <f t="shared" si="1"/>
        <v>0</v>
      </c>
      <c r="G21" s="5">
        <f t="shared" si="1"/>
        <v>0</v>
      </c>
      <c r="H21" s="5">
        <f t="shared" si="1"/>
        <v>0</v>
      </c>
      <c r="I21" s="5">
        <f t="shared" si="1"/>
        <v>0</v>
      </c>
    </row>
    <row r="22" spans="2:9" x14ac:dyDescent="0.35">
      <c r="C22" t="s">
        <v>277</v>
      </c>
      <c r="D22" s="5" t="str">
        <f t="shared" ref="D22:I22" si="2">IF(D21&gt;D19,"l","w")</f>
        <v>w</v>
      </c>
      <c r="E22" s="5" t="str">
        <f t="shared" si="2"/>
        <v>w</v>
      </c>
      <c r="F22" s="5" t="str">
        <f t="shared" si="2"/>
        <v>w</v>
      </c>
      <c r="G22" s="5" t="str">
        <f t="shared" si="2"/>
        <v>w</v>
      </c>
      <c r="H22" s="5" t="str">
        <f t="shared" si="2"/>
        <v>w</v>
      </c>
      <c r="I22" s="5" t="str">
        <f t="shared" si="2"/>
        <v>w</v>
      </c>
    </row>
    <row r="23" spans="2:9" x14ac:dyDescent="0.35">
      <c r="C23" t="s">
        <v>278</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5">
      <c r="C24" t="s">
        <v>279</v>
      </c>
      <c r="D24" s="5" t="str">
        <f t="shared" ref="D24:I24" si="4">D22&amp;D23</f>
        <v>ws</v>
      </c>
      <c r="E24" s="5" t="str">
        <f t="shared" si="4"/>
        <v>ws</v>
      </c>
      <c r="F24" s="5" t="str">
        <f t="shared" si="4"/>
        <v>ws</v>
      </c>
      <c r="G24" s="5" t="str">
        <f t="shared" si="4"/>
        <v>ws</v>
      </c>
      <c r="H24" s="5" t="str">
        <f t="shared" si="4"/>
        <v>ws</v>
      </c>
      <c r="I24" s="5" t="str">
        <f t="shared" si="4"/>
        <v>ws</v>
      </c>
    </row>
    <row r="25" spans="2:9" x14ac:dyDescent="0.35">
      <c r="C25" t="s">
        <v>313</v>
      </c>
      <c r="D25" s="5">
        <f>HLOOKUP(D24,data!$C$2:$H$10,D4+1,FALSE)</f>
        <v>0</v>
      </c>
      <c r="E25" s="5">
        <f>HLOOKUP(E24,data!$C$2:$H$10,E4+1,FALSE)</f>
        <v>0</v>
      </c>
      <c r="F25" s="5">
        <f>HLOOKUP(F24,data!$C$2:$H$10,F4+1,FALSE)</f>
        <v>0</v>
      </c>
      <c r="G25" s="5">
        <f>HLOOKUP(G24,data!$C$2:$H$10,G4+1,FALSE)</f>
        <v>45</v>
      </c>
      <c r="H25" s="5">
        <f>HLOOKUP(H24,data!$C$2:$H$10,H4+1,FALSE)</f>
        <v>45</v>
      </c>
      <c r="I25" s="5">
        <f>HLOOKUP(I24,data!$C$2:$H$10,I4+1,FALSE)</f>
        <v>0</v>
      </c>
    </row>
    <row r="26" spans="2:9" x14ac:dyDescent="0.35">
      <c r="B26" s="5">
        <v>4</v>
      </c>
      <c r="C26" t="s">
        <v>314</v>
      </c>
      <c r="D26" s="5">
        <f>VLOOKUP(D$4,data!$A$53:$D$60,$B26,FALSE)</f>
        <v>1</v>
      </c>
      <c r="E26" s="5">
        <f>VLOOKUP(E$4,data!$A$53:$D$60,$B26,FALSE)</f>
        <v>1</v>
      </c>
      <c r="F26" s="5">
        <f>VLOOKUP(F$4,data!$A$53:$D$60,$B26,FALSE)</f>
        <v>1</v>
      </c>
      <c r="G26" s="5">
        <f>VLOOKUP(G$4,data!$A$53:$D$60,$B26,FALSE)</f>
        <v>1.04</v>
      </c>
      <c r="H26" s="5">
        <f>VLOOKUP(H$4,data!$A$53:$D$60,$B26,FALSE)</f>
        <v>1.04</v>
      </c>
      <c r="I26" s="5">
        <f>VLOOKUP(I$4,data!$A$53:$D$60,$B26,FALSE)</f>
        <v>1.0409999999999999</v>
      </c>
    </row>
    <row r="27" spans="2:9" x14ac:dyDescent="0.35">
      <c r="C27" t="s">
        <v>280</v>
      </c>
      <c r="D27" s="5">
        <f t="shared" ref="D27:I27" si="5">D25*D26/100</f>
        <v>0</v>
      </c>
      <c r="E27" s="5">
        <f t="shared" si="5"/>
        <v>0</v>
      </c>
      <c r="F27" s="5">
        <f t="shared" si="5"/>
        <v>0</v>
      </c>
      <c r="G27" s="5">
        <f t="shared" si="5"/>
        <v>0.46800000000000003</v>
      </c>
      <c r="H27" s="5">
        <f t="shared" si="5"/>
        <v>0.46800000000000003</v>
      </c>
      <c r="I27" s="5">
        <f t="shared" si="5"/>
        <v>0</v>
      </c>
    </row>
    <row r="28" spans="2:9" x14ac:dyDescent="0.35">
      <c r="C28" t="s">
        <v>281</v>
      </c>
      <c r="D28" s="5">
        <f t="shared" ref="D28:I28" si="6">D19*D27</f>
        <v>0</v>
      </c>
      <c r="E28" s="5">
        <f t="shared" si="6"/>
        <v>0</v>
      </c>
      <c r="F28" s="5">
        <f t="shared" si="6"/>
        <v>0</v>
      </c>
      <c r="G28" s="5">
        <f t="shared" si="6"/>
        <v>0</v>
      </c>
      <c r="H28" s="5">
        <f t="shared" si="6"/>
        <v>0</v>
      </c>
      <c r="I28" s="5">
        <f t="shared" si="6"/>
        <v>0</v>
      </c>
    </row>
    <row r="29" spans="2:9" x14ac:dyDescent="0.35">
      <c r="C29" t="s">
        <v>282</v>
      </c>
      <c r="D29" s="5" t="b">
        <v>0</v>
      </c>
      <c r="E29" s="5" t="b">
        <f>E22&lt;&gt;D22</f>
        <v>0</v>
      </c>
      <c r="F29" s="5" t="b">
        <f>F22&lt;&gt;E22</f>
        <v>0</v>
      </c>
      <c r="G29" s="5" t="b">
        <f>G22&lt;&gt;F22</f>
        <v>0</v>
      </c>
      <c r="H29" s="5" t="b">
        <f>H22&lt;&gt;G22</f>
        <v>0</v>
      </c>
      <c r="I29" s="5" t="b">
        <f>I22&lt;&gt;H22</f>
        <v>0</v>
      </c>
    </row>
    <row r="30" spans="2:9" x14ac:dyDescent="0.35">
      <c r="C30" t="s">
        <v>283</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421</v>
      </c>
      <c r="C31" t="s">
        <v>316</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524E1-C998-4884-ACE9-EC4227B12C54}">
  <sheetPr codeName="Sheet15"/>
  <dimension ref="A1:J31"/>
  <sheetViews>
    <sheetView workbookViewId="0">
      <selection activeCell="A4" sqref="A4"/>
    </sheetView>
  </sheetViews>
  <sheetFormatPr defaultRowHeight="14.5" x14ac:dyDescent="0.35"/>
  <cols>
    <col min="1" max="1" width="27"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0" hidden="1" customWidth="1"/>
    <col min="13" max="13" width="12.453125" customWidth="1"/>
    <col min="14" max="14" width="12.08984375" customWidth="1"/>
    <col min="15" max="15" width="11.54296875" customWidth="1"/>
    <col min="16" max="16" width="12.54296875" customWidth="1"/>
  </cols>
  <sheetData>
    <row r="1" spans="1:10" x14ac:dyDescent="0.35">
      <c r="A1" t="s">
        <v>484</v>
      </c>
      <c r="B1" s="5" t="s">
        <v>373</v>
      </c>
      <c r="C1" t="s">
        <v>374</v>
      </c>
      <c r="D1" s="5" t="s">
        <v>361</v>
      </c>
      <c r="E1" s="5" t="s">
        <v>362</v>
      </c>
      <c r="F1" s="5" t="s">
        <v>363</v>
      </c>
      <c r="G1" s="5" t="s">
        <v>364</v>
      </c>
      <c r="H1" s="5" t="s">
        <v>371</v>
      </c>
      <c r="I1" s="5" t="s">
        <v>372</v>
      </c>
    </row>
    <row r="2" spans="1:10" x14ac:dyDescent="0.35">
      <c r="C2" t="s">
        <v>251</v>
      </c>
      <c r="D2" s="13">
        <f>text!D1</f>
        <v>45017</v>
      </c>
      <c r="E2" s="13">
        <f>text!E1</f>
        <v>45383</v>
      </c>
      <c r="F2" s="13">
        <f>text!F1</f>
        <v>45748</v>
      </c>
      <c r="G2" s="13">
        <f>text!G1</f>
        <v>46113</v>
      </c>
      <c r="H2" s="13">
        <f>text!H1</f>
        <v>46478</v>
      </c>
      <c r="I2" s="13">
        <f>text!I1</f>
        <v>46844</v>
      </c>
    </row>
    <row r="3" spans="1:10" x14ac:dyDescent="0.35">
      <c r="C3" t="s">
        <v>268</v>
      </c>
      <c r="D3" s="5" t="str">
        <f>text!D2</f>
        <v>2023/24</v>
      </c>
      <c r="E3" s="5" t="str">
        <f>text!E2</f>
        <v>2024/25</v>
      </c>
      <c r="F3" s="5" t="str">
        <f>text!F2</f>
        <v>2025/26</v>
      </c>
      <c r="G3" s="5" t="str">
        <f>text!G2</f>
        <v>2026/27</v>
      </c>
      <c r="H3" s="5" t="str">
        <f>text!H2</f>
        <v>2027/28</v>
      </c>
      <c r="I3" s="5" t="str">
        <f>text!I2</f>
        <v>2028/29</v>
      </c>
    </row>
    <row r="4" spans="1:10" x14ac:dyDescent="0.35">
      <c r="C4" t="s">
        <v>271</v>
      </c>
      <c r="D4" s="5">
        <f>text!D3</f>
        <v>1</v>
      </c>
      <c r="E4" s="5">
        <f>text!E3</f>
        <v>2</v>
      </c>
      <c r="F4" s="5">
        <f>text!F3</f>
        <v>3</v>
      </c>
      <c r="G4" s="5">
        <f>text!G3</f>
        <v>4</v>
      </c>
      <c r="H4" s="5">
        <f>text!H3</f>
        <v>5</v>
      </c>
      <c r="I4" s="5">
        <f>text!I3</f>
        <v>6</v>
      </c>
    </row>
    <row r="5" spans="1:10" x14ac:dyDescent="0.35">
      <c r="C5" t="s">
        <v>272</v>
      </c>
      <c r="D5" s="27">
        <f>advanced!M10</f>
        <v>0</v>
      </c>
      <c r="E5" s="5">
        <f t="shared" ref="E5:I6" si="0">D5</f>
        <v>0</v>
      </c>
      <c r="F5" s="5">
        <f t="shared" si="0"/>
        <v>0</v>
      </c>
      <c r="G5" s="5">
        <f t="shared" si="0"/>
        <v>0</v>
      </c>
      <c r="H5" s="5">
        <f t="shared" si="0"/>
        <v>0</v>
      </c>
      <c r="I5" s="5">
        <f t="shared" si="0"/>
        <v>0</v>
      </c>
    </row>
    <row r="6" spans="1:10" x14ac:dyDescent="0.35">
      <c r="C6" t="s">
        <v>273</v>
      </c>
      <c r="D6" s="5" t="str">
        <f>advanced!I8</f>
        <v>e</v>
      </c>
      <c r="E6" s="5" t="str">
        <f t="shared" si="0"/>
        <v>e</v>
      </c>
      <c r="F6" s="5" t="str">
        <f t="shared" si="0"/>
        <v>e</v>
      </c>
      <c r="G6" s="5" t="str">
        <f t="shared" si="0"/>
        <v>e</v>
      </c>
      <c r="H6" s="5" t="str">
        <f t="shared" si="0"/>
        <v>e</v>
      </c>
      <c r="I6" s="5" t="str">
        <f t="shared" si="0"/>
        <v>e</v>
      </c>
    </row>
    <row r="7" spans="1:10" x14ac:dyDescent="0.35">
      <c r="B7" s="23"/>
      <c r="C7" s="24" t="s">
        <v>334</v>
      </c>
      <c r="D7" s="23" t="b">
        <v>0</v>
      </c>
      <c r="E7" s="23" t="b">
        <v>0</v>
      </c>
      <c r="F7" s="23" t="b">
        <v>0</v>
      </c>
      <c r="G7" s="23" t="b">
        <v>0</v>
      </c>
      <c r="H7" s="23" t="b">
        <v>0</v>
      </c>
      <c r="I7" s="23" t="b">
        <v>0</v>
      </c>
      <c r="J7" s="24"/>
    </row>
    <row r="8" spans="1:10" x14ac:dyDescent="0.35">
      <c r="B8" s="23"/>
      <c r="C8" s="24" t="s">
        <v>335</v>
      </c>
      <c r="D8" s="23" t="b">
        <v>0</v>
      </c>
      <c r="E8" s="23" t="b">
        <v>0</v>
      </c>
      <c r="F8" s="23" t="b">
        <v>0</v>
      </c>
      <c r="G8" s="23" t="b">
        <v>0</v>
      </c>
      <c r="H8" s="23" t="b">
        <v>0</v>
      </c>
      <c r="I8" s="23" t="b">
        <v>0</v>
      </c>
      <c r="J8" s="24"/>
    </row>
    <row r="9" spans="1:10" x14ac:dyDescent="0.35">
      <c r="B9" s="23"/>
      <c r="C9" s="24" t="s">
        <v>336</v>
      </c>
      <c r="D9" s="23" t="b">
        <v>0</v>
      </c>
      <c r="E9" s="23" t="b">
        <v>0</v>
      </c>
      <c r="F9" s="23" t="b">
        <v>0</v>
      </c>
      <c r="G9" s="23" t="b">
        <v>0</v>
      </c>
      <c r="H9" s="23" t="b">
        <v>0</v>
      </c>
      <c r="I9" s="23" t="b">
        <v>0</v>
      </c>
      <c r="J9" s="24"/>
    </row>
    <row r="10" spans="1:10" x14ac:dyDescent="0.35">
      <c r="B10" s="5">
        <v>3</v>
      </c>
      <c r="C10" t="s">
        <v>300</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301</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302</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306</v>
      </c>
      <c r="B13" s="5">
        <f>IF(D6="e",3,IF(D6="l",4,5))</f>
        <v>3</v>
      </c>
      <c r="C13" t="s">
        <v>304</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305</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
        <v>307</v>
      </c>
      <c r="D15" s="27">
        <f>advanced!M9</f>
        <v>0</v>
      </c>
      <c r="E15" s="5">
        <f>D15</f>
        <v>0</v>
      </c>
      <c r="F15" s="5">
        <f>E15</f>
        <v>0</v>
      </c>
      <c r="G15" s="5">
        <f>F15</f>
        <v>0</v>
      </c>
      <c r="H15" s="5">
        <f>G15</f>
        <v>0</v>
      </c>
      <c r="I15" s="5">
        <f>H15</f>
        <v>0</v>
      </c>
    </row>
    <row r="16" spans="1:10" x14ac:dyDescent="0.35">
      <c r="C16" t="s">
        <v>309</v>
      </c>
      <c r="D16" s="5">
        <f>data!C52</f>
        <v>0.499</v>
      </c>
    </row>
    <row r="17" spans="2:9" x14ac:dyDescent="0.35">
      <c r="C17" t="s">
        <v>311</v>
      </c>
      <c r="D17" s="5">
        <f>D15*D16</f>
        <v>0</v>
      </c>
    </row>
    <row r="18" spans="2:9" x14ac:dyDescent="0.35">
      <c r="B18" s="12" t="b">
        <f>advanced!W13</f>
        <v>0</v>
      </c>
      <c r="C18" t="s">
        <v>360</v>
      </c>
      <c r="D18" s="12">
        <f>advanced!N13</f>
        <v>0</v>
      </c>
    </row>
    <row r="19" spans="2:9" x14ac:dyDescent="0.35">
      <c r="C19" t="s">
        <v>312</v>
      </c>
      <c r="D19" s="5">
        <f>IF(B18=TRUE,D18,D17)</f>
        <v>0</v>
      </c>
      <c r="E19" s="5">
        <f>D28</f>
        <v>0</v>
      </c>
      <c r="F19" s="5">
        <f>E28</f>
        <v>0</v>
      </c>
      <c r="G19" s="5">
        <f>F28</f>
        <v>0</v>
      </c>
      <c r="H19" s="5">
        <f>G28</f>
        <v>0</v>
      </c>
      <c r="I19" s="5">
        <f>H28</f>
        <v>0</v>
      </c>
    </row>
    <row r="20" spans="2:9" x14ac:dyDescent="0.35">
      <c r="B20" s="5">
        <v>3</v>
      </c>
      <c r="C20" t="s">
        <v>275</v>
      </c>
      <c r="D20" s="5">
        <f>VLOOKUP(D$4,data!$A$53:$C$59,$B20,FALSE)</f>
        <v>0.499</v>
      </c>
      <c r="E20" s="5">
        <f>VLOOKUP(E$4,data!$A$53:$C$59,$B20,FALSE)</f>
        <v>0.499</v>
      </c>
      <c r="F20" s="5">
        <f>VLOOKUP(F$4,data!$A$53:$C$59,$B20,FALSE)</f>
        <v>0.499</v>
      </c>
      <c r="G20" s="5">
        <f>VLOOKUP(G$4,data!$A$53:$C$59,$B20,FALSE)</f>
        <v>0.51900000000000002</v>
      </c>
      <c r="H20" s="5">
        <f>VLOOKUP(H$4,data!$A$53:$C$59,$B20,FALSE)</f>
        <v>0.54</v>
      </c>
      <c r="I20" s="5">
        <f>VLOOKUP(I$4,data!$A$53:$C$59,$B20,FALSE)</f>
        <v>0.56200000000000006</v>
      </c>
    </row>
    <row r="21" spans="2:9" x14ac:dyDescent="0.35">
      <c r="C21" t="s">
        <v>276</v>
      </c>
      <c r="D21" s="5">
        <f t="shared" ref="D21:I21" si="1">D5*D20</f>
        <v>0</v>
      </c>
      <c r="E21" s="5">
        <f t="shared" si="1"/>
        <v>0</v>
      </c>
      <c r="F21" s="5">
        <f t="shared" si="1"/>
        <v>0</v>
      </c>
      <c r="G21" s="5">
        <f t="shared" si="1"/>
        <v>0</v>
      </c>
      <c r="H21" s="5">
        <f t="shared" si="1"/>
        <v>0</v>
      </c>
      <c r="I21" s="5">
        <f t="shared" si="1"/>
        <v>0</v>
      </c>
    </row>
    <row r="22" spans="2:9" x14ac:dyDescent="0.35">
      <c r="C22" t="s">
        <v>277</v>
      </c>
      <c r="D22" s="5" t="str">
        <f t="shared" ref="D22:I22" si="2">IF(D21&gt;D19,"l","w")</f>
        <v>w</v>
      </c>
      <c r="E22" s="5" t="str">
        <f t="shared" si="2"/>
        <v>w</v>
      </c>
      <c r="F22" s="5" t="str">
        <f t="shared" si="2"/>
        <v>w</v>
      </c>
      <c r="G22" s="5" t="str">
        <f t="shared" si="2"/>
        <v>w</v>
      </c>
      <c r="H22" s="5" t="str">
        <f t="shared" si="2"/>
        <v>w</v>
      </c>
      <c r="I22" s="5" t="str">
        <f t="shared" si="2"/>
        <v>w</v>
      </c>
    </row>
    <row r="23" spans="2:9" x14ac:dyDescent="0.35">
      <c r="C23" t="s">
        <v>278</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5">
      <c r="C24" t="s">
        <v>279</v>
      </c>
      <c r="D24" s="5" t="str">
        <f t="shared" ref="D24:I24" si="4">D22&amp;D23</f>
        <v>ws</v>
      </c>
      <c r="E24" s="5" t="str">
        <f t="shared" si="4"/>
        <v>ws</v>
      </c>
      <c r="F24" s="5" t="str">
        <f t="shared" si="4"/>
        <v>ws</v>
      </c>
      <c r="G24" s="5" t="str">
        <f t="shared" si="4"/>
        <v>ws</v>
      </c>
      <c r="H24" s="5" t="str">
        <f t="shared" si="4"/>
        <v>ws</v>
      </c>
      <c r="I24" s="5" t="str">
        <f t="shared" si="4"/>
        <v>ws</v>
      </c>
    </row>
    <row r="25" spans="2:9" x14ac:dyDescent="0.35">
      <c r="C25" t="s">
        <v>313</v>
      </c>
      <c r="D25" s="5">
        <f>HLOOKUP(D24,data!$C$2:$H$10,D4+1,FALSE)</f>
        <v>0</v>
      </c>
      <c r="E25" s="5">
        <f>HLOOKUP(E24,data!$C$2:$H$10,E4+1,FALSE)</f>
        <v>0</v>
      </c>
      <c r="F25" s="5">
        <f>HLOOKUP(F24,data!$C$2:$H$10,F4+1,FALSE)</f>
        <v>0</v>
      </c>
      <c r="G25" s="5">
        <f>HLOOKUP(G24,data!$C$2:$H$10,G4+1,FALSE)</f>
        <v>45</v>
      </c>
      <c r="H25" s="5">
        <f>HLOOKUP(H24,data!$C$2:$H$10,H4+1,FALSE)</f>
        <v>45</v>
      </c>
      <c r="I25" s="5">
        <f>HLOOKUP(I24,data!$C$2:$H$10,I4+1,FALSE)</f>
        <v>0</v>
      </c>
    </row>
    <row r="26" spans="2:9" x14ac:dyDescent="0.35">
      <c r="B26" s="5">
        <v>4</v>
      </c>
      <c r="C26" t="s">
        <v>314</v>
      </c>
      <c r="D26" s="5">
        <f>VLOOKUP(D$4,data!$A$53:$D$60,$B26,FALSE)</f>
        <v>1</v>
      </c>
      <c r="E26" s="5">
        <f>VLOOKUP(E$4,data!$A$53:$D$60,$B26,FALSE)</f>
        <v>1</v>
      </c>
      <c r="F26" s="5">
        <f>VLOOKUP(F$4,data!$A$53:$D$60,$B26,FALSE)</f>
        <v>1</v>
      </c>
      <c r="G26" s="5">
        <f>VLOOKUP(G$4,data!$A$53:$D$60,$B26,FALSE)</f>
        <v>1.04</v>
      </c>
      <c r="H26" s="5">
        <f>VLOOKUP(H$4,data!$A$53:$D$60,$B26,FALSE)</f>
        <v>1.04</v>
      </c>
      <c r="I26" s="5">
        <f>VLOOKUP(I$4,data!$A$53:$D$60,$B26,FALSE)</f>
        <v>1.0409999999999999</v>
      </c>
    </row>
    <row r="27" spans="2:9" x14ac:dyDescent="0.35">
      <c r="C27" t="s">
        <v>280</v>
      </c>
      <c r="D27" s="5">
        <f t="shared" ref="D27:I27" si="5">D25*D26/100</f>
        <v>0</v>
      </c>
      <c r="E27" s="5">
        <f t="shared" si="5"/>
        <v>0</v>
      </c>
      <c r="F27" s="5">
        <f t="shared" si="5"/>
        <v>0</v>
      </c>
      <c r="G27" s="5">
        <f t="shared" si="5"/>
        <v>0.46800000000000003</v>
      </c>
      <c r="H27" s="5">
        <f t="shared" si="5"/>
        <v>0.46800000000000003</v>
      </c>
      <c r="I27" s="5">
        <f t="shared" si="5"/>
        <v>0</v>
      </c>
    </row>
    <row r="28" spans="2:9" x14ac:dyDescent="0.35">
      <c r="C28" t="s">
        <v>281</v>
      </c>
      <c r="D28" s="5">
        <f t="shared" ref="D28:I28" si="6">D19*D27</f>
        <v>0</v>
      </c>
      <c r="E28" s="5">
        <f t="shared" si="6"/>
        <v>0</v>
      </c>
      <c r="F28" s="5">
        <f t="shared" si="6"/>
        <v>0</v>
      </c>
      <c r="G28" s="5">
        <f t="shared" si="6"/>
        <v>0</v>
      </c>
      <c r="H28" s="5">
        <f t="shared" si="6"/>
        <v>0</v>
      </c>
      <c r="I28" s="5">
        <f t="shared" si="6"/>
        <v>0</v>
      </c>
    </row>
    <row r="29" spans="2:9" x14ac:dyDescent="0.35">
      <c r="C29" t="s">
        <v>282</v>
      </c>
      <c r="D29" s="5" t="b">
        <v>0</v>
      </c>
      <c r="E29" s="5" t="b">
        <f>E22&lt;&gt;D22</f>
        <v>0</v>
      </c>
      <c r="F29" s="5" t="b">
        <f>F22&lt;&gt;E22</f>
        <v>0</v>
      </c>
      <c r="G29" s="5" t="b">
        <f>G22&lt;&gt;F22</f>
        <v>0</v>
      </c>
      <c r="H29" s="5" t="b">
        <f>H22&lt;&gt;G22</f>
        <v>0</v>
      </c>
      <c r="I29" s="5" t="b">
        <f>I22&lt;&gt;H22</f>
        <v>0</v>
      </c>
    </row>
    <row r="30" spans="2:9" x14ac:dyDescent="0.35">
      <c r="C30" t="s">
        <v>283</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421</v>
      </c>
      <c r="C31" t="s">
        <v>316</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3E4B-23B5-4223-8458-770B18E80BD8}">
  <sheetPr codeName="Sheet16"/>
  <dimension ref="A1:J31"/>
  <sheetViews>
    <sheetView workbookViewId="0">
      <selection activeCell="A2" sqref="A2"/>
    </sheetView>
  </sheetViews>
  <sheetFormatPr defaultRowHeight="14.5" x14ac:dyDescent="0.35"/>
  <cols>
    <col min="1" max="1" width="27"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0" hidden="1" customWidth="1"/>
    <col min="13" max="13" width="12.453125" customWidth="1"/>
    <col min="14" max="14" width="12.08984375" customWidth="1"/>
    <col min="15" max="15" width="11.54296875" customWidth="1"/>
    <col min="16" max="16" width="12.54296875" customWidth="1"/>
  </cols>
  <sheetData>
    <row r="1" spans="1:10" x14ac:dyDescent="0.35">
      <c r="A1" t="s">
        <v>483</v>
      </c>
      <c r="B1" s="5" t="s">
        <v>373</v>
      </c>
      <c r="C1" t="s">
        <v>374</v>
      </c>
      <c r="D1" s="5" t="s">
        <v>361</v>
      </c>
      <c r="E1" s="5" t="s">
        <v>362</v>
      </c>
      <c r="F1" s="5" t="s">
        <v>363</v>
      </c>
      <c r="G1" s="5" t="s">
        <v>364</v>
      </c>
      <c r="H1" s="5" t="s">
        <v>371</v>
      </c>
      <c r="I1" s="5" t="s">
        <v>372</v>
      </c>
    </row>
    <row r="2" spans="1:10" x14ac:dyDescent="0.35">
      <c r="C2" t="s">
        <v>251</v>
      </c>
      <c r="D2" s="13">
        <f>text!D1</f>
        <v>45017</v>
      </c>
      <c r="E2" s="13">
        <f>text!E1</f>
        <v>45383</v>
      </c>
      <c r="F2" s="13">
        <f>text!F1</f>
        <v>45748</v>
      </c>
      <c r="G2" s="13">
        <f>text!G1</f>
        <v>46113</v>
      </c>
      <c r="H2" s="13">
        <f>text!H1</f>
        <v>46478</v>
      </c>
      <c r="I2" s="13">
        <f>text!I1</f>
        <v>46844</v>
      </c>
    </row>
    <row r="3" spans="1:10" x14ac:dyDescent="0.35">
      <c r="C3" t="s">
        <v>268</v>
      </c>
      <c r="D3" s="5" t="str">
        <f>text!D2</f>
        <v>2023/24</v>
      </c>
      <c r="E3" s="5" t="str">
        <f>text!E2</f>
        <v>2024/25</v>
      </c>
      <c r="F3" s="5" t="str">
        <f>text!F2</f>
        <v>2025/26</v>
      </c>
      <c r="G3" s="5" t="str">
        <f>text!G2</f>
        <v>2026/27</v>
      </c>
      <c r="H3" s="5" t="str">
        <f>text!H2</f>
        <v>2027/28</v>
      </c>
      <c r="I3" s="5" t="str">
        <f>text!I2</f>
        <v>2028/29</v>
      </c>
    </row>
    <row r="4" spans="1:10" x14ac:dyDescent="0.35">
      <c r="C4" t="s">
        <v>271</v>
      </c>
      <c r="D4" s="5">
        <f>text!D3</f>
        <v>1</v>
      </c>
      <c r="E4" s="5">
        <f>text!E3</f>
        <v>2</v>
      </c>
      <c r="F4" s="5">
        <f>text!F3</f>
        <v>3</v>
      </c>
      <c r="G4" s="5">
        <f>text!G3</f>
        <v>4</v>
      </c>
      <c r="H4" s="5">
        <f>text!H3</f>
        <v>5</v>
      </c>
      <c r="I4" s="5">
        <f>text!I3</f>
        <v>6</v>
      </c>
    </row>
    <row r="5" spans="1:10" x14ac:dyDescent="0.35">
      <c r="C5" t="str">
        <f>"Cert Value "&amp;TEXT(D2,"dd/mm/yy")</f>
        <v>Cert Value 01/04/23</v>
      </c>
      <c r="D5" s="27">
        <f>advanced!M36</f>
        <v>0</v>
      </c>
      <c r="E5" s="5">
        <f t="shared" ref="E5:I6" si="0">D5</f>
        <v>0</v>
      </c>
      <c r="F5" s="5">
        <f t="shared" si="0"/>
        <v>0</v>
      </c>
      <c r="G5" s="5">
        <f t="shared" si="0"/>
        <v>0</v>
      </c>
      <c r="H5" s="5">
        <f t="shared" si="0"/>
        <v>0</v>
      </c>
      <c r="I5" s="5">
        <f t="shared" si="0"/>
        <v>0</v>
      </c>
    </row>
    <row r="6" spans="1:10" x14ac:dyDescent="0.35">
      <c r="C6" t="s">
        <v>273</v>
      </c>
      <c r="D6" s="5" t="str">
        <f>advanced!I8</f>
        <v>e</v>
      </c>
      <c r="E6" s="5" t="str">
        <f t="shared" si="0"/>
        <v>e</v>
      </c>
      <c r="F6" s="5" t="str">
        <f t="shared" si="0"/>
        <v>e</v>
      </c>
      <c r="G6" s="5" t="str">
        <f t="shared" si="0"/>
        <v>e</v>
      </c>
      <c r="H6" s="5" t="str">
        <f t="shared" si="0"/>
        <v>e</v>
      </c>
      <c r="I6" s="5" t="str">
        <f t="shared" si="0"/>
        <v>e</v>
      </c>
    </row>
    <row r="7" spans="1:10" x14ac:dyDescent="0.35">
      <c r="B7" s="23"/>
      <c r="C7" s="24" t="s">
        <v>334</v>
      </c>
      <c r="D7" s="23" t="b">
        <v>0</v>
      </c>
      <c r="E7" s="23" t="b">
        <v>0</v>
      </c>
      <c r="F7" s="23" t="b">
        <v>0</v>
      </c>
      <c r="G7" s="23" t="b">
        <v>0</v>
      </c>
      <c r="H7" s="23" t="b">
        <v>0</v>
      </c>
      <c r="I7" s="23" t="b">
        <v>0</v>
      </c>
      <c r="J7" s="24"/>
    </row>
    <row r="8" spans="1:10" x14ac:dyDescent="0.35">
      <c r="B8" s="23"/>
      <c r="C8" s="24" t="s">
        <v>335</v>
      </c>
      <c r="D8" s="23" t="b">
        <v>0</v>
      </c>
      <c r="E8" s="23" t="b">
        <v>0</v>
      </c>
      <c r="F8" s="23" t="b">
        <v>0</v>
      </c>
      <c r="G8" s="23" t="b">
        <v>0</v>
      </c>
      <c r="H8" s="23" t="b">
        <v>0</v>
      </c>
      <c r="I8" s="23" t="b">
        <v>0</v>
      </c>
      <c r="J8" s="24"/>
    </row>
    <row r="9" spans="1:10" x14ac:dyDescent="0.35">
      <c r="B9" s="23"/>
      <c r="C9" s="24" t="s">
        <v>336</v>
      </c>
      <c r="D9" s="23" t="b">
        <v>0</v>
      </c>
      <c r="E9" s="23" t="b">
        <v>0</v>
      </c>
      <c r="F9" s="23" t="b">
        <v>0</v>
      </c>
      <c r="G9" s="23" t="b">
        <v>0</v>
      </c>
      <c r="H9" s="23" t="b">
        <v>0</v>
      </c>
      <c r="I9" s="23" t="b">
        <v>0</v>
      </c>
      <c r="J9" s="24"/>
    </row>
    <row r="10" spans="1:10" x14ac:dyDescent="0.35">
      <c r="B10" s="5">
        <v>3</v>
      </c>
      <c r="C10" t="s">
        <v>300</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301</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302</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306</v>
      </c>
      <c r="B13" s="5">
        <f>IF(D6="e",3,IF(D6="l",4,5))</f>
        <v>3</v>
      </c>
      <c r="C13" t="s">
        <v>304</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305</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
        <v>307</v>
      </c>
      <c r="D15" s="27">
        <f>advanced!M9</f>
        <v>0</v>
      </c>
      <c r="E15" s="5">
        <f>D15</f>
        <v>0</v>
      </c>
      <c r="F15" s="5">
        <f>E15</f>
        <v>0</v>
      </c>
      <c r="G15" s="5">
        <f>F15</f>
        <v>0</v>
      </c>
      <c r="H15" s="5">
        <f>G15</f>
        <v>0</v>
      </c>
      <c r="I15" s="5">
        <f>H15</f>
        <v>0</v>
      </c>
    </row>
    <row r="16" spans="1:10" x14ac:dyDescent="0.35">
      <c r="C16" t="s">
        <v>309</v>
      </c>
      <c r="D16" s="5">
        <f>data!C52</f>
        <v>0.499</v>
      </c>
    </row>
    <row r="17" spans="2:9" x14ac:dyDescent="0.35">
      <c r="C17" t="s">
        <v>311</v>
      </c>
      <c r="D17" s="5">
        <f>D15*D16</f>
        <v>0</v>
      </c>
    </row>
    <row r="18" spans="2:9" x14ac:dyDescent="0.35">
      <c r="B18" s="12" t="b">
        <f>advanced!W13</f>
        <v>0</v>
      </c>
      <c r="C18" t="s">
        <v>360</v>
      </c>
      <c r="D18" s="12">
        <f>advanced!N13</f>
        <v>0</v>
      </c>
    </row>
    <row r="19" spans="2:9" x14ac:dyDescent="0.35">
      <c r="C19" t="s">
        <v>312</v>
      </c>
      <c r="D19" s="5">
        <f>IF(B18=TRUE,D18,D17)</f>
        <v>0</v>
      </c>
      <c r="E19" s="5">
        <f>D28</f>
        <v>0</v>
      </c>
      <c r="F19" s="5">
        <f>E28</f>
        <v>0</v>
      </c>
      <c r="G19" s="5">
        <f>F28</f>
        <v>0</v>
      </c>
      <c r="H19" s="5">
        <f>G28</f>
        <v>0</v>
      </c>
      <c r="I19" s="5">
        <f>H28</f>
        <v>0</v>
      </c>
    </row>
    <row r="20" spans="2:9" x14ac:dyDescent="0.35">
      <c r="B20" s="5">
        <v>3</v>
      </c>
      <c r="C20" t="s">
        <v>275</v>
      </c>
      <c r="D20" s="5">
        <f>VLOOKUP(D$4,data!$A$53:$C$59,$B20,FALSE)</f>
        <v>0.499</v>
      </c>
      <c r="E20" s="5">
        <f>VLOOKUP(E$4,data!$A$53:$C$59,$B20,FALSE)</f>
        <v>0.499</v>
      </c>
      <c r="F20" s="5">
        <f>VLOOKUP(F$4,data!$A$53:$C$59,$B20,FALSE)</f>
        <v>0.499</v>
      </c>
      <c r="G20" s="5">
        <f>VLOOKUP(G$4,data!$A$53:$C$59,$B20,FALSE)</f>
        <v>0.51900000000000002</v>
      </c>
      <c r="H20" s="5">
        <f>VLOOKUP(H$4,data!$A$53:$C$59,$B20,FALSE)</f>
        <v>0.54</v>
      </c>
      <c r="I20" s="5">
        <f>VLOOKUP(I$4,data!$A$53:$C$59,$B20,FALSE)</f>
        <v>0.56200000000000006</v>
      </c>
    </row>
    <row r="21" spans="2:9" x14ac:dyDescent="0.35">
      <c r="C21" t="s">
        <v>276</v>
      </c>
      <c r="D21" s="5">
        <f t="shared" ref="D21:I21" si="1">D5*D20</f>
        <v>0</v>
      </c>
      <c r="E21" s="5">
        <f t="shared" si="1"/>
        <v>0</v>
      </c>
      <c r="F21" s="5">
        <f t="shared" si="1"/>
        <v>0</v>
      </c>
      <c r="G21" s="5">
        <f t="shared" si="1"/>
        <v>0</v>
      </c>
      <c r="H21" s="5">
        <f t="shared" si="1"/>
        <v>0</v>
      </c>
      <c r="I21" s="5">
        <f t="shared" si="1"/>
        <v>0</v>
      </c>
    </row>
    <row r="22" spans="2:9" x14ac:dyDescent="0.35">
      <c r="C22" t="s">
        <v>277</v>
      </c>
      <c r="D22" s="5" t="str">
        <f t="shared" ref="D22:I22" si="2">IF(D21&gt;D19,"l","w")</f>
        <v>w</v>
      </c>
      <c r="E22" s="5" t="str">
        <f t="shared" si="2"/>
        <v>w</v>
      </c>
      <c r="F22" s="5" t="str">
        <f t="shared" si="2"/>
        <v>w</v>
      </c>
      <c r="G22" s="5" t="str">
        <f t="shared" si="2"/>
        <v>w</v>
      </c>
      <c r="H22" s="5" t="str">
        <f t="shared" si="2"/>
        <v>w</v>
      </c>
      <c r="I22" s="5" t="str">
        <f t="shared" si="2"/>
        <v>w</v>
      </c>
    </row>
    <row r="23" spans="2:9" x14ac:dyDescent="0.35">
      <c r="C23" t="s">
        <v>278</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5">
      <c r="C24" t="s">
        <v>279</v>
      </c>
      <c r="D24" s="5" t="str">
        <f t="shared" ref="D24:I24" si="4">D22&amp;D23</f>
        <v>ws</v>
      </c>
      <c r="E24" s="5" t="str">
        <f t="shared" si="4"/>
        <v>ws</v>
      </c>
      <c r="F24" s="5" t="str">
        <f t="shared" si="4"/>
        <v>ws</v>
      </c>
      <c r="G24" s="5" t="str">
        <f t="shared" si="4"/>
        <v>ws</v>
      </c>
      <c r="H24" s="5" t="str">
        <f t="shared" si="4"/>
        <v>ws</v>
      </c>
      <c r="I24" s="5" t="str">
        <f t="shared" si="4"/>
        <v>ws</v>
      </c>
    </row>
    <row r="25" spans="2:9" x14ac:dyDescent="0.35">
      <c r="C25" t="s">
        <v>313</v>
      </c>
      <c r="D25" s="5">
        <f>HLOOKUP(D24,data!$C$2:$H$10,D4+1,FALSE)</f>
        <v>0</v>
      </c>
      <c r="E25" s="5">
        <f>HLOOKUP(E24,data!$C$2:$H$10,E4+1,FALSE)</f>
        <v>0</v>
      </c>
      <c r="F25" s="5">
        <f>HLOOKUP(F24,data!$C$2:$H$10,F4+1,FALSE)</f>
        <v>0</v>
      </c>
      <c r="G25" s="5">
        <f>HLOOKUP(G24,data!$C$2:$H$10,G4+1,FALSE)</f>
        <v>45</v>
      </c>
      <c r="H25" s="5">
        <f>HLOOKUP(H24,data!$C$2:$H$10,H4+1,FALSE)</f>
        <v>45</v>
      </c>
      <c r="I25" s="5">
        <f>HLOOKUP(I24,data!$C$2:$H$10,I4+1,FALSE)</f>
        <v>0</v>
      </c>
    </row>
    <row r="26" spans="2:9" x14ac:dyDescent="0.35">
      <c r="B26" s="5">
        <v>4</v>
      </c>
      <c r="C26" t="s">
        <v>314</v>
      </c>
      <c r="D26" s="5">
        <f>VLOOKUP(D$4,data!$A$53:$D$60,$B26,FALSE)</f>
        <v>1</v>
      </c>
      <c r="E26" s="5">
        <f>VLOOKUP(E$4,data!$A$53:$D$60,$B26,FALSE)</f>
        <v>1</v>
      </c>
      <c r="F26" s="5">
        <f>VLOOKUP(F$4,data!$A$53:$D$60,$B26,FALSE)</f>
        <v>1</v>
      </c>
      <c r="G26" s="5">
        <f>VLOOKUP(G$4,data!$A$53:$D$60,$B26,FALSE)</f>
        <v>1.04</v>
      </c>
      <c r="H26" s="5">
        <f>VLOOKUP(H$4,data!$A$53:$D$60,$B26,FALSE)</f>
        <v>1.04</v>
      </c>
      <c r="I26" s="5">
        <f>VLOOKUP(I$4,data!$A$53:$D$60,$B26,FALSE)</f>
        <v>1.0409999999999999</v>
      </c>
    </row>
    <row r="27" spans="2:9" x14ac:dyDescent="0.35">
      <c r="C27" t="s">
        <v>280</v>
      </c>
      <c r="D27" s="5">
        <f t="shared" ref="D27:I27" si="5">D25*D26/100</f>
        <v>0</v>
      </c>
      <c r="E27" s="5">
        <f t="shared" si="5"/>
        <v>0</v>
      </c>
      <c r="F27" s="5">
        <f t="shared" si="5"/>
        <v>0</v>
      </c>
      <c r="G27" s="5">
        <f t="shared" si="5"/>
        <v>0.46800000000000003</v>
      </c>
      <c r="H27" s="5">
        <f t="shared" si="5"/>
        <v>0.46800000000000003</v>
      </c>
      <c r="I27" s="5">
        <f t="shared" si="5"/>
        <v>0</v>
      </c>
    </row>
    <row r="28" spans="2:9" x14ac:dyDescent="0.35">
      <c r="C28" t="s">
        <v>281</v>
      </c>
      <c r="D28" s="5">
        <f t="shared" ref="D28:I28" si="6">D19*D27</f>
        <v>0</v>
      </c>
      <c r="E28" s="5">
        <f t="shared" si="6"/>
        <v>0</v>
      </c>
      <c r="F28" s="5">
        <f t="shared" si="6"/>
        <v>0</v>
      </c>
      <c r="G28" s="5">
        <f t="shared" si="6"/>
        <v>0</v>
      </c>
      <c r="H28" s="5">
        <f t="shared" si="6"/>
        <v>0</v>
      </c>
      <c r="I28" s="5">
        <f t="shared" si="6"/>
        <v>0</v>
      </c>
    </row>
    <row r="29" spans="2:9" x14ac:dyDescent="0.35">
      <c r="C29" t="s">
        <v>282</v>
      </c>
      <c r="D29" s="5" t="b">
        <v>0</v>
      </c>
      <c r="E29" s="5" t="b">
        <f>E22&lt;&gt;D22</f>
        <v>0</v>
      </c>
      <c r="F29" s="5" t="b">
        <f>F22&lt;&gt;E22</f>
        <v>0</v>
      </c>
      <c r="G29" s="5" t="b">
        <f>G22&lt;&gt;F22</f>
        <v>0</v>
      </c>
      <c r="H29" s="5" t="b">
        <f>H22&lt;&gt;G22</f>
        <v>0</v>
      </c>
      <c r="I29" s="5" t="b">
        <f>I22&lt;&gt;H22</f>
        <v>0</v>
      </c>
    </row>
    <row r="30" spans="2:9" x14ac:dyDescent="0.35">
      <c r="C30" t="s">
        <v>283</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421</v>
      </c>
      <c r="C31" t="s">
        <v>316</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CD68-05BD-47D9-9CF3-AC14C7309364}">
  <sheetPr codeName="Sheet17"/>
  <dimension ref="A1:J31"/>
  <sheetViews>
    <sheetView workbookViewId="0">
      <selection activeCell="P11" sqref="P11"/>
    </sheetView>
  </sheetViews>
  <sheetFormatPr defaultRowHeight="14.5" x14ac:dyDescent="0.35"/>
  <cols>
    <col min="1" max="1" width="27"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0" hidden="1" customWidth="1"/>
    <col min="13" max="13" width="12.453125" customWidth="1"/>
    <col min="14" max="14" width="12.08984375" customWidth="1"/>
    <col min="15" max="15" width="11.54296875" customWidth="1"/>
    <col min="16" max="16" width="12.54296875" customWidth="1"/>
  </cols>
  <sheetData>
    <row r="1" spans="1:10" x14ac:dyDescent="0.35">
      <c r="A1" t="s">
        <v>485</v>
      </c>
      <c r="B1" s="5" t="s">
        <v>373</v>
      </c>
      <c r="C1" t="s">
        <v>374</v>
      </c>
      <c r="D1" s="5" t="s">
        <v>361</v>
      </c>
      <c r="E1" s="5" t="s">
        <v>362</v>
      </c>
      <c r="F1" s="5" t="s">
        <v>363</v>
      </c>
      <c r="G1" s="5" t="s">
        <v>364</v>
      </c>
      <c r="H1" s="5" t="s">
        <v>371</v>
      </c>
      <c r="I1" s="5" t="s">
        <v>372</v>
      </c>
    </row>
    <row r="2" spans="1:10" x14ac:dyDescent="0.35">
      <c r="C2" t="s">
        <v>251</v>
      </c>
      <c r="D2" s="13">
        <f>text!D1</f>
        <v>45017</v>
      </c>
      <c r="E2" s="13">
        <f>text!E1</f>
        <v>45383</v>
      </c>
      <c r="F2" s="13">
        <f>text!F1</f>
        <v>45748</v>
      </c>
      <c r="G2" s="13">
        <f>text!G1</f>
        <v>46113</v>
      </c>
      <c r="H2" s="13">
        <f>text!H1</f>
        <v>46478</v>
      </c>
      <c r="I2" s="13">
        <f>text!I1</f>
        <v>46844</v>
      </c>
    </row>
    <row r="3" spans="1:10" x14ac:dyDescent="0.35">
      <c r="C3" t="s">
        <v>268</v>
      </c>
      <c r="D3" s="5" t="str">
        <f>text!D2</f>
        <v>2023/24</v>
      </c>
      <c r="E3" s="5" t="str">
        <f>text!E2</f>
        <v>2024/25</v>
      </c>
      <c r="F3" s="5" t="str">
        <f>text!F2</f>
        <v>2025/26</v>
      </c>
      <c r="G3" s="5" t="str">
        <f>text!G2</f>
        <v>2026/27</v>
      </c>
      <c r="H3" s="5" t="str">
        <f>text!H2</f>
        <v>2027/28</v>
      </c>
      <c r="I3" s="5" t="str">
        <f>text!I2</f>
        <v>2028/29</v>
      </c>
    </row>
    <row r="4" spans="1:10" x14ac:dyDescent="0.35">
      <c r="C4" t="s">
        <v>271</v>
      </c>
      <c r="D4" s="5">
        <f>text!D3</f>
        <v>1</v>
      </c>
      <c r="E4" s="5">
        <f>text!E3</f>
        <v>2</v>
      </c>
      <c r="F4" s="5">
        <f>text!F3</f>
        <v>3</v>
      </c>
      <c r="G4" s="5">
        <f>text!G3</f>
        <v>4</v>
      </c>
      <c r="H4" s="5">
        <f>text!H3</f>
        <v>5</v>
      </c>
      <c r="I4" s="5">
        <f>text!I3</f>
        <v>6</v>
      </c>
    </row>
    <row r="5" spans="1:10" x14ac:dyDescent="0.35">
      <c r="C5" t="str">
        <f>"RATEABLE Value "&amp;TEXT(D2,"dd/mm/yy")</f>
        <v>RATEABLE Value 01/04/23</v>
      </c>
      <c r="D5" s="27">
        <f>advanced!M10</f>
        <v>0</v>
      </c>
      <c r="E5" s="5">
        <f t="shared" ref="E5:I6" si="0">D5</f>
        <v>0</v>
      </c>
      <c r="F5" s="5">
        <f t="shared" si="0"/>
        <v>0</v>
      </c>
      <c r="G5" s="5">
        <f t="shared" si="0"/>
        <v>0</v>
      </c>
      <c r="H5" s="5">
        <f t="shared" si="0"/>
        <v>0</v>
      </c>
      <c r="I5" s="5">
        <f t="shared" si="0"/>
        <v>0</v>
      </c>
    </row>
    <row r="6" spans="1:10" x14ac:dyDescent="0.35">
      <c r="C6" t="s">
        <v>273</v>
      </c>
      <c r="D6" s="5" t="str">
        <f>advanced!I8</f>
        <v>e</v>
      </c>
      <c r="E6" s="5" t="str">
        <f t="shared" si="0"/>
        <v>e</v>
      </c>
      <c r="F6" s="5" t="str">
        <f t="shared" si="0"/>
        <v>e</v>
      </c>
      <c r="G6" s="5" t="str">
        <f t="shared" si="0"/>
        <v>e</v>
      </c>
      <c r="H6" s="5" t="str">
        <f t="shared" si="0"/>
        <v>e</v>
      </c>
      <c r="I6" s="5" t="str">
        <f t="shared" si="0"/>
        <v>e</v>
      </c>
    </row>
    <row r="7" spans="1:10" x14ac:dyDescent="0.35">
      <c r="B7" s="23"/>
      <c r="C7" s="24" t="s">
        <v>334</v>
      </c>
      <c r="D7" s="23" t="b">
        <v>0</v>
      </c>
      <c r="E7" s="23" t="b">
        <v>0</v>
      </c>
      <c r="F7" s="23" t="b">
        <v>0</v>
      </c>
      <c r="G7" s="23" t="b">
        <v>0</v>
      </c>
      <c r="H7" s="23" t="b">
        <v>0</v>
      </c>
      <c r="I7" s="23" t="b">
        <v>0</v>
      </c>
      <c r="J7" s="24"/>
    </row>
    <row r="8" spans="1:10" x14ac:dyDescent="0.35">
      <c r="B8" s="23"/>
      <c r="C8" s="24" t="s">
        <v>335</v>
      </c>
      <c r="D8" s="23" t="b">
        <v>0</v>
      </c>
      <c r="E8" s="23" t="b">
        <v>0</v>
      </c>
      <c r="F8" s="23" t="b">
        <v>0</v>
      </c>
      <c r="G8" s="23" t="b">
        <v>0</v>
      </c>
      <c r="H8" s="23" t="b">
        <v>0</v>
      </c>
      <c r="I8" s="23" t="b">
        <v>0</v>
      </c>
      <c r="J8" s="24"/>
    </row>
    <row r="9" spans="1:10" x14ac:dyDescent="0.35">
      <c r="B9" s="23"/>
      <c r="C9" s="24" t="s">
        <v>336</v>
      </c>
      <c r="D9" s="23" t="b">
        <v>0</v>
      </c>
      <c r="E9" s="23" t="b">
        <v>0</v>
      </c>
      <c r="F9" s="23" t="b">
        <v>0</v>
      </c>
      <c r="G9" s="23" t="b">
        <v>0</v>
      </c>
      <c r="H9" s="23" t="b">
        <v>0</v>
      </c>
      <c r="I9" s="23" t="b">
        <v>0</v>
      </c>
      <c r="J9" s="24"/>
    </row>
    <row r="10" spans="1:10" x14ac:dyDescent="0.35">
      <c r="B10" s="5">
        <v>3</v>
      </c>
      <c r="C10" t="s">
        <v>300</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301</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302</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306</v>
      </c>
      <c r="B13" s="5">
        <f>IF(D6="e",3,IF(D6="l",4,5))</f>
        <v>3</v>
      </c>
      <c r="C13" t="s">
        <v>304</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305</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tr">
        <f>"Certified Value "&amp;TEXT(D2-1,"dd/mm/yy")</f>
        <v>Certified Value 31/03/23</v>
      </c>
      <c r="D15" s="27">
        <f>advanced!M41</f>
        <v>0</v>
      </c>
      <c r="E15" s="5">
        <f>D15</f>
        <v>0</v>
      </c>
      <c r="F15" s="5">
        <f>E15</f>
        <v>0</v>
      </c>
      <c r="G15" s="5">
        <f>F15</f>
        <v>0</v>
      </c>
      <c r="H15" s="5">
        <f>G15</f>
        <v>0</v>
      </c>
      <c r="I15" s="5">
        <f>H15</f>
        <v>0</v>
      </c>
    </row>
    <row r="16" spans="1:10" x14ac:dyDescent="0.35">
      <c r="C16" t="s">
        <v>309</v>
      </c>
      <c r="D16" s="5">
        <f>data!C52</f>
        <v>0.499</v>
      </c>
    </row>
    <row r="17" spans="2:9" x14ac:dyDescent="0.35">
      <c r="C17" t="s">
        <v>311</v>
      </c>
      <c r="D17" s="5">
        <f>D15*D16</f>
        <v>0</v>
      </c>
    </row>
    <row r="18" spans="2:9" x14ac:dyDescent="0.35">
      <c r="B18" s="12" t="b">
        <f>advanced!W13</f>
        <v>0</v>
      </c>
      <c r="C18" t="s">
        <v>360</v>
      </c>
      <c r="D18" s="12">
        <f>advanced!N13</f>
        <v>0</v>
      </c>
    </row>
    <row r="19" spans="2:9" x14ac:dyDescent="0.35">
      <c r="C19" t="s">
        <v>312</v>
      </c>
      <c r="D19" s="5">
        <f>IF(B18=TRUE,D18,D17)</f>
        <v>0</v>
      </c>
      <c r="E19" s="5">
        <f>D28</f>
        <v>0</v>
      </c>
      <c r="F19" s="5">
        <f>E28</f>
        <v>0</v>
      </c>
      <c r="G19" s="5">
        <f>F28</f>
        <v>0</v>
      </c>
      <c r="H19" s="5">
        <f>G28</f>
        <v>0</v>
      </c>
      <c r="I19" s="5">
        <f>H28</f>
        <v>0</v>
      </c>
    </row>
    <row r="20" spans="2:9" x14ac:dyDescent="0.35">
      <c r="B20" s="5">
        <v>3</v>
      </c>
      <c r="C20" t="s">
        <v>275</v>
      </c>
      <c r="D20" s="5">
        <f>VLOOKUP(D$4,data!$A$53:$C$59,$B20,FALSE)</f>
        <v>0.499</v>
      </c>
      <c r="E20" s="5">
        <f>VLOOKUP(E$4,data!$A$53:$C$59,$B20,FALSE)</f>
        <v>0.499</v>
      </c>
      <c r="F20" s="5">
        <f>VLOOKUP(F$4,data!$A$53:$C$59,$B20,FALSE)</f>
        <v>0.499</v>
      </c>
      <c r="G20" s="5">
        <f>VLOOKUP(G$4,data!$A$53:$C$59,$B20,FALSE)</f>
        <v>0.51900000000000002</v>
      </c>
      <c r="H20" s="5">
        <f>VLOOKUP(H$4,data!$A$53:$C$59,$B20,FALSE)</f>
        <v>0.54</v>
      </c>
      <c r="I20" s="5">
        <f>VLOOKUP(I$4,data!$A$53:$C$59,$B20,FALSE)</f>
        <v>0.56200000000000006</v>
      </c>
    </row>
    <row r="21" spans="2:9" x14ac:dyDescent="0.35">
      <c r="C21" t="s">
        <v>276</v>
      </c>
      <c r="D21" s="5">
        <f t="shared" ref="D21:I21" si="1">D5*D20</f>
        <v>0</v>
      </c>
      <c r="E21" s="5">
        <f t="shared" si="1"/>
        <v>0</v>
      </c>
      <c r="F21" s="5">
        <f t="shared" si="1"/>
        <v>0</v>
      </c>
      <c r="G21" s="5">
        <f t="shared" si="1"/>
        <v>0</v>
      </c>
      <c r="H21" s="5">
        <f t="shared" si="1"/>
        <v>0</v>
      </c>
      <c r="I21" s="5">
        <f t="shared" si="1"/>
        <v>0</v>
      </c>
    </row>
    <row r="22" spans="2:9" x14ac:dyDescent="0.35">
      <c r="C22" t="s">
        <v>277</v>
      </c>
      <c r="D22" s="5" t="str">
        <f t="shared" ref="D22:I22" si="2">IF(D21&gt;D19,"l","w")</f>
        <v>w</v>
      </c>
      <c r="E22" s="5" t="str">
        <f t="shared" si="2"/>
        <v>w</v>
      </c>
      <c r="F22" s="5" t="str">
        <f t="shared" si="2"/>
        <v>w</v>
      </c>
      <c r="G22" s="5" t="str">
        <f t="shared" si="2"/>
        <v>w</v>
      </c>
      <c r="H22" s="5" t="str">
        <f t="shared" si="2"/>
        <v>w</v>
      </c>
      <c r="I22" s="5" t="str">
        <f t="shared" si="2"/>
        <v>w</v>
      </c>
    </row>
    <row r="23" spans="2:9" x14ac:dyDescent="0.35">
      <c r="C23" t="s">
        <v>278</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5">
      <c r="C24" t="s">
        <v>279</v>
      </c>
      <c r="D24" s="5" t="str">
        <f t="shared" ref="D24:I24" si="4">D22&amp;D23</f>
        <v>ws</v>
      </c>
      <c r="E24" s="5" t="str">
        <f t="shared" si="4"/>
        <v>ws</v>
      </c>
      <c r="F24" s="5" t="str">
        <f t="shared" si="4"/>
        <v>ws</v>
      </c>
      <c r="G24" s="5" t="str">
        <f t="shared" si="4"/>
        <v>ws</v>
      </c>
      <c r="H24" s="5" t="str">
        <f t="shared" si="4"/>
        <v>ws</v>
      </c>
      <c r="I24" s="5" t="str">
        <f t="shared" si="4"/>
        <v>ws</v>
      </c>
    </row>
    <row r="25" spans="2:9" x14ac:dyDescent="0.35">
      <c r="C25" t="s">
        <v>313</v>
      </c>
      <c r="D25" s="5">
        <f>HLOOKUP(D24,data!$C$2:$H$10,D4+1,FALSE)</f>
        <v>0</v>
      </c>
      <c r="E25" s="5">
        <f>HLOOKUP(E24,data!$C$2:$H$10,E4+1,FALSE)</f>
        <v>0</v>
      </c>
      <c r="F25" s="5">
        <f>HLOOKUP(F24,data!$C$2:$H$10,F4+1,FALSE)</f>
        <v>0</v>
      </c>
      <c r="G25" s="5">
        <f>HLOOKUP(G24,data!$C$2:$H$10,G4+1,FALSE)</f>
        <v>45</v>
      </c>
      <c r="H25" s="5">
        <f>HLOOKUP(H24,data!$C$2:$H$10,H4+1,FALSE)</f>
        <v>45</v>
      </c>
      <c r="I25" s="5">
        <f>HLOOKUP(I24,data!$C$2:$H$10,I4+1,FALSE)</f>
        <v>0</v>
      </c>
    </row>
    <row r="26" spans="2:9" x14ac:dyDescent="0.35">
      <c r="B26" s="5">
        <v>4</v>
      </c>
      <c r="C26" t="s">
        <v>314</v>
      </c>
      <c r="D26" s="5">
        <f>VLOOKUP(D$4,data!$A$53:$D$60,$B26,FALSE)</f>
        <v>1</v>
      </c>
      <c r="E26" s="5">
        <f>VLOOKUP(E$4,data!$A$53:$D$60,$B26,FALSE)</f>
        <v>1</v>
      </c>
      <c r="F26" s="5">
        <f>VLOOKUP(F$4,data!$A$53:$D$60,$B26,FALSE)</f>
        <v>1</v>
      </c>
      <c r="G26" s="5">
        <f>VLOOKUP(G$4,data!$A$53:$D$60,$B26,FALSE)</f>
        <v>1.04</v>
      </c>
      <c r="H26" s="5">
        <f>VLOOKUP(H$4,data!$A$53:$D$60,$B26,FALSE)</f>
        <v>1.04</v>
      </c>
      <c r="I26" s="5">
        <f>VLOOKUP(I$4,data!$A$53:$D$60,$B26,FALSE)</f>
        <v>1.0409999999999999</v>
      </c>
    </row>
    <row r="27" spans="2:9" x14ac:dyDescent="0.35">
      <c r="C27" t="s">
        <v>280</v>
      </c>
      <c r="D27" s="5">
        <f t="shared" ref="D27:I27" si="5">D25*D26/100</f>
        <v>0</v>
      </c>
      <c r="E27" s="5">
        <f t="shared" si="5"/>
        <v>0</v>
      </c>
      <c r="F27" s="5">
        <f t="shared" si="5"/>
        <v>0</v>
      </c>
      <c r="G27" s="5">
        <f t="shared" si="5"/>
        <v>0.46800000000000003</v>
      </c>
      <c r="H27" s="5">
        <f t="shared" si="5"/>
        <v>0.46800000000000003</v>
      </c>
      <c r="I27" s="5">
        <f t="shared" si="5"/>
        <v>0</v>
      </c>
    </row>
    <row r="28" spans="2:9" x14ac:dyDescent="0.35">
      <c r="C28" t="s">
        <v>281</v>
      </c>
      <c r="D28" s="5">
        <f t="shared" ref="D28:I28" si="6">D19*D27</f>
        <v>0</v>
      </c>
      <c r="E28" s="5">
        <f t="shared" si="6"/>
        <v>0</v>
      </c>
      <c r="F28" s="5">
        <f t="shared" si="6"/>
        <v>0</v>
      </c>
      <c r="G28" s="5">
        <f t="shared" si="6"/>
        <v>0</v>
      </c>
      <c r="H28" s="5">
        <f t="shared" si="6"/>
        <v>0</v>
      </c>
      <c r="I28" s="5">
        <f t="shared" si="6"/>
        <v>0</v>
      </c>
    </row>
    <row r="29" spans="2:9" x14ac:dyDescent="0.35">
      <c r="C29" t="s">
        <v>282</v>
      </c>
      <c r="D29" s="5" t="b">
        <v>0</v>
      </c>
      <c r="E29" s="5" t="b">
        <f>E22&lt;&gt;D22</f>
        <v>0</v>
      </c>
      <c r="F29" s="5" t="b">
        <f>F22&lt;&gt;E22</f>
        <v>0</v>
      </c>
      <c r="G29" s="5" t="b">
        <f>G22&lt;&gt;F22</f>
        <v>0</v>
      </c>
      <c r="H29" s="5" t="b">
        <f>H22&lt;&gt;G22</f>
        <v>0</v>
      </c>
      <c r="I29" s="5" t="b">
        <f>I22&lt;&gt;H22</f>
        <v>0</v>
      </c>
    </row>
    <row r="30" spans="2:9" x14ac:dyDescent="0.35">
      <c r="C30" t="s">
        <v>283</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421</v>
      </c>
      <c r="C31" t="s">
        <v>316</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06829-F309-4AF3-8637-928D2D2566AE}">
  <sheetPr codeName="Sheet18"/>
  <dimension ref="A1:J31"/>
  <sheetViews>
    <sheetView workbookViewId="0">
      <selection activeCell="A5" sqref="A5"/>
    </sheetView>
  </sheetViews>
  <sheetFormatPr defaultRowHeight="14.5" x14ac:dyDescent="0.35"/>
  <cols>
    <col min="1" max="1" width="32.08984375"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0" max="10" width="0" hidden="1" customWidth="1"/>
    <col min="13" max="13" width="12.453125" customWidth="1"/>
    <col min="14" max="14" width="12.08984375" customWidth="1"/>
    <col min="15" max="15" width="11.54296875" customWidth="1"/>
    <col min="16" max="16" width="12.54296875" customWidth="1"/>
  </cols>
  <sheetData>
    <row r="1" spans="1:10" x14ac:dyDescent="0.35">
      <c r="A1" t="s">
        <v>486</v>
      </c>
      <c r="B1" s="5" t="s">
        <v>373</v>
      </c>
      <c r="C1" t="s">
        <v>374</v>
      </c>
      <c r="D1" s="5" t="s">
        <v>361</v>
      </c>
      <c r="E1" s="5" t="s">
        <v>362</v>
      </c>
      <c r="F1" s="5" t="s">
        <v>363</v>
      </c>
      <c r="G1" s="5" t="s">
        <v>364</v>
      </c>
      <c r="H1" s="5" t="s">
        <v>371</v>
      </c>
      <c r="I1" s="5" t="s">
        <v>372</v>
      </c>
    </row>
    <row r="2" spans="1:10" x14ac:dyDescent="0.35">
      <c r="C2" t="s">
        <v>251</v>
      </c>
      <c r="D2" s="13">
        <f>text!D1</f>
        <v>45017</v>
      </c>
      <c r="E2" s="13">
        <f>text!E1</f>
        <v>45383</v>
      </c>
      <c r="F2" s="13">
        <f>text!F1</f>
        <v>45748</v>
      </c>
      <c r="G2" s="13">
        <f>text!G1</f>
        <v>46113</v>
      </c>
      <c r="H2" s="13">
        <f>text!H1</f>
        <v>46478</v>
      </c>
      <c r="I2" s="13">
        <f>text!I1</f>
        <v>46844</v>
      </c>
    </row>
    <row r="3" spans="1:10" x14ac:dyDescent="0.35">
      <c r="C3" t="s">
        <v>268</v>
      </c>
      <c r="D3" s="5" t="str">
        <f>text!D2</f>
        <v>2023/24</v>
      </c>
      <c r="E3" s="5" t="str">
        <f>text!E2</f>
        <v>2024/25</v>
      </c>
      <c r="F3" s="5" t="str">
        <f>text!F2</f>
        <v>2025/26</v>
      </c>
      <c r="G3" s="5" t="str">
        <f>text!G2</f>
        <v>2026/27</v>
      </c>
      <c r="H3" s="5" t="str">
        <f>text!H2</f>
        <v>2027/28</v>
      </c>
      <c r="I3" s="5" t="str">
        <f>text!I2</f>
        <v>2028/29</v>
      </c>
    </row>
    <row r="4" spans="1:10" x14ac:dyDescent="0.35">
      <c r="C4" t="s">
        <v>271</v>
      </c>
      <c r="D4" s="5">
        <f>text!D3</f>
        <v>1</v>
      </c>
      <c r="E4" s="5">
        <f>text!E3</f>
        <v>2</v>
      </c>
      <c r="F4" s="5">
        <f>text!F3</f>
        <v>3</v>
      </c>
      <c r="G4" s="5">
        <f>text!G3</f>
        <v>4</v>
      </c>
      <c r="H4" s="5">
        <f>text!H3</f>
        <v>5</v>
      </c>
      <c r="I4" s="5">
        <f>text!I3</f>
        <v>6</v>
      </c>
    </row>
    <row r="5" spans="1:10" x14ac:dyDescent="0.35">
      <c r="C5" t="str">
        <f>"Cert Value "&amp;TEXT(D2,"dd/mm/yy")</f>
        <v>Cert Value 01/04/23</v>
      </c>
      <c r="D5" s="27">
        <f>advanced!M36</f>
        <v>0</v>
      </c>
      <c r="E5" s="5">
        <f t="shared" ref="E5:I6" si="0">D5</f>
        <v>0</v>
      </c>
      <c r="F5" s="5">
        <f t="shared" si="0"/>
        <v>0</v>
      </c>
      <c r="G5" s="5">
        <f t="shared" si="0"/>
        <v>0</v>
      </c>
      <c r="H5" s="5">
        <f t="shared" si="0"/>
        <v>0</v>
      </c>
      <c r="I5" s="5">
        <f t="shared" si="0"/>
        <v>0</v>
      </c>
    </row>
    <row r="6" spans="1:10" x14ac:dyDescent="0.35">
      <c r="C6" t="s">
        <v>273</v>
      </c>
      <c r="D6" s="5" t="str">
        <f>advanced!I8</f>
        <v>e</v>
      </c>
      <c r="E6" s="5" t="str">
        <f t="shared" si="0"/>
        <v>e</v>
      </c>
      <c r="F6" s="5" t="str">
        <f t="shared" si="0"/>
        <v>e</v>
      </c>
      <c r="G6" s="5" t="str">
        <f t="shared" si="0"/>
        <v>e</v>
      </c>
      <c r="H6" s="5" t="str">
        <f t="shared" si="0"/>
        <v>e</v>
      </c>
      <c r="I6" s="5" t="str">
        <f t="shared" si="0"/>
        <v>e</v>
      </c>
    </row>
    <row r="7" spans="1:10" x14ac:dyDescent="0.35">
      <c r="B7" s="23"/>
      <c r="C7" s="24" t="s">
        <v>334</v>
      </c>
      <c r="D7" s="23" t="b">
        <v>0</v>
      </c>
      <c r="E7" s="23" t="b">
        <v>0</v>
      </c>
      <c r="F7" s="23" t="b">
        <v>0</v>
      </c>
      <c r="G7" s="23" t="b">
        <v>0</v>
      </c>
      <c r="H7" s="23" t="b">
        <v>0</v>
      </c>
      <c r="I7" s="23" t="b">
        <v>0</v>
      </c>
      <c r="J7" s="24"/>
    </row>
    <row r="8" spans="1:10" x14ac:dyDescent="0.35">
      <c r="B8" s="23"/>
      <c r="C8" s="24" t="s">
        <v>335</v>
      </c>
      <c r="D8" s="23" t="b">
        <v>0</v>
      </c>
      <c r="E8" s="23" t="b">
        <v>0</v>
      </c>
      <c r="F8" s="23" t="b">
        <v>0</v>
      </c>
      <c r="G8" s="23" t="b">
        <v>0</v>
      </c>
      <c r="H8" s="23" t="b">
        <v>0</v>
      </c>
      <c r="I8" s="23" t="b">
        <v>0</v>
      </c>
      <c r="J8" s="24"/>
    </row>
    <row r="9" spans="1:10" x14ac:dyDescent="0.35">
      <c r="B9" s="23"/>
      <c r="C9" s="24" t="s">
        <v>336</v>
      </c>
      <c r="D9" s="23" t="b">
        <v>0</v>
      </c>
      <c r="E9" s="23" t="b">
        <v>0</v>
      </c>
      <c r="F9" s="23" t="b">
        <v>0</v>
      </c>
      <c r="G9" s="23" t="b">
        <v>0</v>
      </c>
      <c r="H9" s="23" t="b">
        <v>0</v>
      </c>
      <c r="I9" s="23" t="b">
        <v>0</v>
      </c>
      <c r="J9" s="24"/>
    </row>
    <row r="10" spans="1:10" x14ac:dyDescent="0.35">
      <c r="B10" s="5">
        <v>3</v>
      </c>
      <c r="C10" t="s">
        <v>300</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10" x14ac:dyDescent="0.35">
      <c r="B11" s="5">
        <v>4</v>
      </c>
      <c r="C11" t="s">
        <v>301</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10" x14ac:dyDescent="0.35">
      <c r="B12" s="5">
        <v>5</v>
      </c>
      <c r="C12" t="s">
        <v>302</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10" x14ac:dyDescent="0.35">
      <c r="A13" t="s">
        <v>306</v>
      </c>
      <c r="B13" s="5">
        <f>IF(D6="e",3,IF(D6="l",4,5))</f>
        <v>3</v>
      </c>
      <c r="C13" t="s">
        <v>304</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10" x14ac:dyDescent="0.35">
      <c r="B14" s="5">
        <v>6</v>
      </c>
      <c r="C14" t="s">
        <v>305</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10" x14ac:dyDescent="0.35">
      <c r="C15" t="str">
        <f>"Certified Value "&amp;TEXT(D2-1,"dd/mm/yy")</f>
        <v>Certified Value 31/03/23</v>
      </c>
      <c r="D15" s="27">
        <f>advanced!M41</f>
        <v>0</v>
      </c>
      <c r="E15" s="5">
        <f>D15</f>
        <v>0</v>
      </c>
      <c r="F15" s="5">
        <f>E15</f>
        <v>0</v>
      </c>
      <c r="G15" s="5">
        <f>F15</f>
        <v>0</v>
      </c>
      <c r="H15" s="5">
        <f>G15</f>
        <v>0</v>
      </c>
      <c r="I15" s="5">
        <f>H15</f>
        <v>0</v>
      </c>
    </row>
    <row r="16" spans="1:10" x14ac:dyDescent="0.35">
      <c r="C16" t="s">
        <v>309</v>
      </c>
      <c r="D16" s="5">
        <f>data!C52</f>
        <v>0.499</v>
      </c>
    </row>
    <row r="17" spans="2:9" x14ac:dyDescent="0.35">
      <c r="C17" t="s">
        <v>311</v>
      </c>
      <c r="D17" s="5">
        <f>D15*D16</f>
        <v>0</v>
      </c>
    </row>
    <row r="18" spans="2:9" x14ac:dyDescent="0.35">
      <c r="B18" s="12" t="b">
        <f>advanced!W13</f>
        <v>0</v>
      </c>
      <c r="C18" t="s">
        <v>360</v>
      </c>
      <c r="D18" s="12">
        <f>advanced!N13</f>
        <v>0</v>
      </c>
    </row>
    <row r="19" spans="2:9" x14ac:dyDescent="0.35">
      <c r="C19" t="s">
        <v>312</v>
      </c>
      <c r="D19" s="5">
        <f>IF(B18=TRUE,D18,D17)</f>
        <v>0</v>
      </c>
      <c r="E19" s="5">
        <f>D28</f>
        <v>0</v>
      </c>
      <c r="F19" s="5">
        <f>E28</f>
        <v>0</v>
      </c>
      <c r="G19" s="5">
        <f>F28</f>
        <v>0</v>
      </c>
      <c r="H19" s="5">
        <f>G28</f>
        <v>0</v>
      </c>
      <c r="I19" s="5">
        <f>H28</f>
        <v>0</v>
      </c>
    </row>
    <row r="20" spans="2:9" x14ac:dyDescent="0.35">
      <c r="B20" s="5">
        <v>3</v>
      </c>
      <c r="C20" t="s">
        <v>275</v>
      </c>
      <c r="D20" s="5">
        <f>VLOOKUP(D$4,data!$A$53:$C$59,$B20,FALSE)</f>
        <v>0.499</v>
      </c>
      <c r="E20" s="5">
        <f>VLOOKUP(E$4,data!$A$53:$C$59,$B20,FALSE)</f>
        <v>0.499</v>
      </c>
      <c r="F20" s="5">
        <f>VLOOKUP(F$4,data!$A$53:$C$59,$B20,FALSE)</f>
        <v>0.499</v>
      </c>
      <c r="G20" s="5">
        <f>VLOOKUP(G$4,data!$A$53:$C$59,$B20,FALSE)</f>
        <v>0.51900000000000002</v>
      </c>
      <c r="H20" s="5">
        <f>VLOOKUP(H$4,data!$A$53:$C$59,$B20,FALSE)</f>
        <v>0.54</v>
      </c>
      <c r="I20" s="5">
        <f>VLOOKUP(I$4,data!$A$53:$C$59,$B20,FALSE)</f>
        <v>0.56200000000000006</v>
      </c>
    </row>
    <row r="21" spans="2:9" x14ac:dyDescent="0.35">
      <c r="C21" t="s">
        <v>276</v>
      </c>
      <c r="D21" s="5">
        <f t="shared" ref="D21:I21" si="1">D5*D20</f>
        <v>0</v>
      </c>
      <c r="E21" s="5">
        <f t="shared" si="1"/>
        <v>0</v>
      </c>
      <c r="F21" s="5">
        <f t="shared" si="1"/>
        <v>0</v>
      </c>
      <c r="G21" s="5">
        <f t="shared" si="1"/>
        <v>0</v>
      </c>
      <c r="H21" s="5">
        <f t="shared" si="1"/>
        <v>0</v>
      </c>
      <c r="I21" s="5">
        <f t="shared" si="1"/>
        <v>0</v>
      </c>
    </row>
    <row r="22" spans="2:9" x14ac:dyDescent="0.35">
      <c r="C22" t="s">
        <v>277</v>
      </c>
      <c r="D22" s="5" t="str">
        <f t="shared" ref="D22:I22" si="2">IF(D21&gt;D19,"l","w")</f>
        <v>w</v>
      </c>
      <c r="E22" s="5" t="str">
        <f t="shared" si="2"/>
        <v>w</v>
      </c>
      <c r="F22" s="5" t="str">
        <f t="shared" si="2"/>
        <v>w</v>
      </c>
      <c r="G22" s="5" t="str">
        <f t="shared" si="2"/>
        <v>w</v>
      </c>
      <c r="H22" s="5" t="str">
        <f t="shared" si="2"/>
        <v>w</v>
      </c>
      <c r="I22" s="5" t="str">
        <f t="shared" si="2"/>
        <v>w</v>
      </c>
    </row>
    <row r="23" spans="2:9" x14ac:dyDescent="0.35">
      <c r="C23" t="s">
        <v>278</v>
      </c>
      <c r="D23" s="5" t="str">
        <f t="shared" ref="D23:I23" si="3">IF(D5&lt;=D13,"s",IF(D5&lt;=D14,"m","l"))</f>
        <v>s</v>
      </c>
      <c r="E23" s="5" t="str">
        <f t="shared" si="3"/>
        <v>s</v>
      </c>
      <c r="F23" s="5" t="str">
        <f t="shared" si="3"/>
        <v>s</v>
      </c>
      <c r="G23" s="5" t="str">
        <f t="shared" si="3"/>
        <v>s</v>
      </c>
      <c r="H23" s="5" t="str">
        <f t="shared" si="3"/>
        <v>s</v>
      </c>
      <c r="I23" s="5" t="str">
        <f t="shared" si="3"/>
        <v>s</v>
      </c>
    </row>
    <row r="24" spans="2:9" x14ac:dyDescent="0.35">
      <c r="C24" t="s">
        <v>279</v>
      </c>
      <c r="D24" s="5" t="str">
        <f t="shared" ref="D24:I24" si="4">D22&amp;D23</f>
        <v>ws</v>
      </c>
      <c r="E24" s="5" t="str">
        <f t="shared" si="4"/>
        <v>ws</v>
      </c>
      <c r="F24" s="5" t="str">
        <f t="shared" si="4"/>
        <v>ws</v>
      </c>
      <c r="G24" s="5" t="str">
        <f t="shared" si="4"/>
        <v>ws</v>
      </c>
      <c r="H24" s="5" t="str">
        <f t="shared" si="4"/>
        <v>ws</v>
      </c>
      <c r="I24" s="5" t="str">
        <f t="shared" si="4"/>
        <v>ws</v>
      </c>
    </row>
    <row r="25" spans="2:9" x14ac:dyDescent="0.35">
      <c r="C25" t="s">
        <v>313</v>
      </c>
      <c r="D25" s="5">
        <f>HLOOKUP(D24,data!$C$2:$H$10,D4+1,FALSE)</f>
        <v>0</v>
      </c>
      <c r="E25" s="5">
        <f>HLOOKUP(E24,data!$C$2:$H$10,E4+1,FALSE)</f>
        <v>0</v>
      </c>
      <c r="F25" s="5">
        <f>HLOOKUP(F24,data!$C$2:$H$10,F4+1,FALSE)</f>
        <v>0</v>
      </c>
      <c r="G25" s="5">
        <f>HLOOKUP(G24,data!$C$2:$H$10,G4+1,FALSE)</f>
        <v>45</v>
      </c>
      <c r="H25" s="5">
        <f>HLOOKUP(H24,data!$C$2:$H$10,H4+1,FALSE)</f>
        <v>45</v>
      </c>
      <c r="I25" s="5">
        <f>HLOOKUP(I24,data!$C$2:$H$10,I4+1,FALSE)</f>
        <v>0</v>
      </c>
    </row>
    <row r="26" spans="2:9" x14ac:dyDescent="0.35">
      <c r="B26" s="5">
        <v>4</v>
      </c>
      <c r="C26" t="s">
        <v>314</v>
      </c>
      <c r="D26" s="5">
        <f>VLOOKUP(D$4,data!$A$53:$D$60,$B26,FALSE)</f>
        <v>1</v>
      </c>
      <c r="E26" s="5">
        <f>VLOOKUP(E$4,data!$A$53:$D$60,$B26,FALSE)</f>
        <v>1</v>
      </c>
      <c r="F26" s="5">
        <f>VLOOKUP(F$4,data!$A$53:$D$60,$B26,FALSE)</f>
        <v>1</v>
      </c>
      <c r="G26" s="5">
        <f>VLOOKUP(G$4,data!$A$53:$D$60,$B26,FALSE)</f>
        <v>1.04</v>
      </c>
      <c r="H26" s="5">
        <f>VLOOKUP(H$4,data!$A$53:$D$60,$B26,FALSE)</f>
        <v>1.04</v>
      </c>
      <c r="I26" s="5">
        <f>VLOOKUP(I$4,data!$A$53:$D$60,$B26,FALSE)</f>
        <v>1.0409999999999999</v>
      </c>
    </row>
    <row r="27" spans="2:9" x14ac:dyDescent="0.35">
      <c r="C27" t="s">
        <v>280</v>
      </c>
      <c r="D27" s="5">
        <f t="shared" ref="D27:I27" si="5">D25*D26/100</f>
        <v>0</v>
      </c>
      <c r="E27" s="5">
        <f t="shared" si="5"/>
        <v>0</v>
      </c>
      <c r="F27" s="5">
        <f t="shared" si="5"/>
        <v>0</v>
      </c>
      <c r="G27" s="5">
        <f t="shared" si="5"/>
        <v>0.46800000000000003</v>
      </c>
      <c r="H27" s="5">
        <f t="shared" si="5"/>
        <v>0.46800000000000003</v>
      </c>
      <c r="I27" s="5">
        <f t="shared" si="5"/>
        <v>0</v>
      </c>
    </row>
    <row r="28" spans="2:9" x14ac:dyDescent="0.35">
      <c r="C28" t="s">
        <v>281</v>
      </c>
      <c r="D28" s="5">
        <f t="shared" ref="D28:I28" si="6">D19*D27</f>
        <v>0</v>
      </c>
      <c r="E28" s="5">
        <f t="shared" si="6"/>
        <v>0</v>
      </c>
      <c r="F28" s="5">
        <f t="shared" si="6"/>
        <v>0</v>
      </c>
      <c r="G28" s="5">
        <f t="shared" si="6"/>
        <v>0</v>
      </c>
      <c r="H28" s="5">
        <f t="shared" si="6"/>
        <v>0</v>
      </c>
      <c r="I28" s="5">
        <f t="shared" si="6"/>
        <v>0</v>
      </c>
    </row>
    <row r="29" spans="2:9" x14ac:dyDescent="0.35">
      <c r="C29" t="s">
        <v>282</v>
      </c>
      <c r="D29" s="5" t="b">
        <v>0</v>
      </c>
      <c r="E29" s="5" t="b">
        <f>E22&lt;&gt;D22</f>
        <v>0</v>
      </c>
      <c r="F29" s="5" t="b">
        <f>F22&lt;&gt;E22</f>
        <v>0</v>
      </c>
      <c r="G29" s="5" t="b">
        <f>G22&lt;&gt;F22</f>
        <v>0</v>
      </c>
      <c r="H29" s="5" t="b">
        <f>H22&lt;&gt;G22</f>
        <v>0</v>
      </c>
      <c r="I29" s="5" t="b">
        <f>I22&lt;&gt;H22</f>
        <v>0</v>
      </c>
    </row>
    <row r="30" spans="2:9" x14ac:dyDescent="0.35">
      <c r="C30" t="s">
        <v>283</v>
      </c>
      <c r="D30" s="5" t="b">
        <f>AND(OR(AND(D21&gt;D19,D21&gt;D28),AND(D21&lt;D19,D21&lt;D28)),D29=FALSE,D15&gt;0)</f>
        <v>0</v>
      </c>
      <c r="E30" s="5" t="b">
        <f>AND(OR(AND(E21&gt;E19,E21&gt;E28),AND(E21&lt;E19,E21&lt;E28)),E29=FALSE,E15&gt;0,D30=TRUE)</f>
        <v>0</v>
      </c>
      <c r="F30" s="5" t="b">
        <f>AND(OR(AND(F21&gt;F19,F21&gt;F28),AND(F21&lt;F19,F21&lt;F28)),F29=FALSE,F15&gt;0,E30=TRUE)</f>
        <v>0</v>
      </c>
      <c r="G30" s="5" t="b">
        <f>AND(OR(AND(G21&gt;G19,G21&gt;G28),AND(G21&lt;G19,G21&lt;G28)),G29=FALSE,G15&gt;0,F30=TRUE)</f>
        <v>0</v>
      </c>
      <c r="H30" s="5" t="b">
        <f>AND(OR(AND(H21&gt;H19,H21&gt;H28),AND(H21&lt;H19,H21&lt;H28)),H29=FALSE,H15&gt;0,G30=TRUE)</f>
        <v>0</v>
      </c>
      <c r="I30" s="5" t="b">
        <f>AND(OR(AND(I21&gt;I19,I21&gt;I28),AND(I21&lt;I19,I21&lt;I28)),I29=FALSE,I15&gt;0,H30=TRUE)</f>
        <v>0</v>
      </c>
    </row>
    <row r="31" spans="2:9" x14ac:dyDescent="0.35">
      <c r="B31" s="5" t="s">
        <v>421</v>
      </c>
      <c r="C31" t="s">
        <v>316</v>
      </c>
      <c r="D31" s="14">
        <f t="shared" ref="D31:I31" si="7">IF(D30=TRUE,D28,D21)</f>
        <v>0</v>
      </c>
      <c r="E31" s="14">
        <f t="shared" si="7"/>
        <v>0</v>
      </c>
      <c r="F31" s="14">
        <f t="shared" si="7"/>
        <v>0</v>
      </c>
      <c r="G31" s="14">
        <f t="shared" si="7"/>
        <v>0</v>
      </c>
      <c r="H31" s="14">
        <f t="shared" si="7"/>
        <v>0</v>
      </c>
      <c r="I31" s="14">
        <f t="shared" si="7"/>
        <v>0</v>
      </c>
    </row>
  </sheetData>
  <sheetProtection password="BCD8" sheet="1" objects="1" scenarios="1"/>
  <phoneticPr fontId="0" type="noConversion"/>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8E722-37AC-466A-9A6E-6ED5FD07E289}">
  <sheetPr codeName="Sheet83">
    <tabColor rgb="FFFF0000"/>
  </sheetPr>
  <dimension ref="A1:DG388"/>
  <sheetViews>
    <sheetView workbookViewId="0">
      <pane ySplit="2" topLeftCell="A3" activePane="bottomLeft" state="frozen"/>
      <selection activeCell="BG16" sqref="BG16"/>
      <selection pane="bottomLeft"/>
    </sheetView>
  </sheetViews>
  <sheetFormatPr defaultColWidth="9.08984375" defaultRowHeight="14.5" x14ac:dyDescent="0.35"/>
  <cols>
    <col min="1" max="1" width="12.90625" style="997" customWidth="1"/>
    <col min="2" max="2" width="10.08984375" style="997" hidden="1" customWidth="1"/>
    <col min="3" max="3" width="9.08984375" style="997" hidden="1" customWidth="1"/>
    <col min="4" max="4" width="11" style="997" hidden="1" customWidth="1"/>
    <col min="5" max="5" width="9.08984375" style="997" hidden="1" customWidth="1"/>
    <col min="6" max="8" width="10.08984375" style="997" hidden="1" customWidth="1"/>
    <col min="9" max="15" width="9.08984375" style="997" hidden="1" customWidth="1"/>
    <col min="16" max="16" width="9.08984375" style="1032" hidden="1" customWidth="1"/>
    <col min="17" max="24" width="9.08984375" style="997" hidden="1" customWidth="1"/>
    <col min="25" max="28" width="12.08984375" style="997" hidden="1" customWidth="1"/>
    <col min="29" max="29" width="9.08984375" style="997" hidden="1" customWidth="1"/>
    <col min="30" max="30" width="13.453125" style="997" hidden="1" customWidth="1"/>
    <col min="31" max="31" width="12.6328125" style="997" hidden="1" customWidth="1"/>
    <col min="32" max="32" width="9.08984375" style="997" hidden="1" customWidth="1"/>
    <col min="33" max="33" width="14.08984375" style="997" hidden="1" customWidth="1"/>
    <col min="34" max="34" width="10.54296875" style="997" hidden="1" customWidth="1"/>
    <col min="35" max="40" width="9.08984375" style="997" hidden="1" customWidth="1"/>
    <col min="41" max="41" width="9.08984375" style="1002" hidden="1" customWidth="1"/>
    <col min="42" max="42" width="15.453125" style="1002" hidden="1" customWidth="1"/>
    <col min="43" max="43" width="10" style="1002" hidden="1" customWidth="1"/>
    <col min="44" max="50" width="11.54296875" style="1002" hidden="1" customWidth="1"/>
    <col min="51" max="52" width="15.36328125" style="1002" hidden="1" customWidth="1"/>
    <col min="53" max="53" width="12.54296875" style="1002" hidden="1" customWidth="1"/>
    <col min="54" max="58" width="10" style="1002" hidden="1" customWidth="1"/>
    <col min="59" max="82" width="11.54296875" style="1002" hidden="1" customWidth="1"/>
    <col min="83" max="83" width="13.90625" style="1002" hidden="1" customWidth="1"/>
    <col min="84" max="85" width="5.6328125" style="1002" hidden="1" customWidth="1"/>
    <col min="86" max="87" width="10.08984375" style="997" hidden="1" customWidth="1"/>
    <col min="88" max="88" width="10.90625" style="997" hidden="1" customWidth="1"/>
    <col min="89" max="89" width="10.08984375" style="997" hidden="1" customWidth="1"/>
    <col min="90" max="100" width="9.08984375" style="997" hidden="1" customWidth="1"/>
    <col min="101" max="101" width="13.90625" style="997" hidden="1" customWidth="1"/>
    <col min="102" max="104" width="8.90625" hidden="1" customWidth="1"/>
    <col min="105" max="105" width="16" customWidth="1"/>
    <col min="106" max="16384" width="9.08984375" style="997"/>
  </cols>
  <sheetData>
    <row r="1" spans="1:111" x14ac:dyDescent="0.35">
      <c r="T1" s="2334"/>
      <c r="X1" s="998" t="s">
        <v>539</v>
      </c>
      <c r="Z1" s="1044" t="s">
        <v>1940</v>
      </c>
      <c r="AC1" s="1045" t="s">
        <v>581</v>
      </c>
      <c r="AD1" s="997" t="str">
        <f>global!H14</f>
        <v>Enter Levying Authority</v>
      </c>
      <c r="AE1" s="997" t="str">
        <f>VLOOKUP(AD1,authorities!A:I,9,FALSE)</f>
        <v>RV limit</v>
      </c>
      <c r="AH1" s="1025"/>
      <c r="AI1" s="1025"/>
      <c r="AJ1" s="999">
        <f>CK11</f>
        <v>11</v>
      </c>
      <c r="AK1" s="999"/>
      <c r="AL1" s="999"/>
      <c r="AM1" s="1002"/>
      <c r="AN1" s="1002"/>
      <c r="AR1" s="1000" t="s">
        <v>1936</v>
      </c>
      <c r="AS1" s="997"/>
      <c r="AT1" s="1000" t="s">
        <v>548</v>
      </c>
      <c r="AU1" s="1001">
        <f>data!C63</f>
        <v>1000000000000</v>
      </c>
      <c r="AV1" s="997" t="b">
        <f>advanced!AK8</f>
        <v>0</v>
      </c>
      <c r="AW1" s="997"/>
      <c r="AX1" s="997"/>
      <c r="AY1">
        <f>reliefs!D15*-1</f>
        <v>-110000</v>
      </c>
      <c r="BA1" s="2372" t="s">
        <v>2899</v>
      </c>
      <c r="BB1" s="997"/>
      <c r="BC1" s="997"/>
      <c r="BD1" s="997"/>
      <c r="BE1" s="997"/>
      <c r="BG1" s="997"/>
      <c r="BH1" s="2441" t="s">
        <v>2941</v>
      </c>
      <c r="BI1" s="2442"/>
      <c r="BJ1" s="2442"/>
      <c r="BK1" s="2442"/>
      <c r="BL1" s="2442"/>
      <c r="BM1" s="2442"/>
      <c r="BN1" s="2442"/>
      <c r="BO1" s="2442"/>
      <c r="BP1" s="2442"/>
      <c r="BQ1" s="2442"/>
      <c r="BR1" s="2442"/>
      <c r="BS1" s="2442"/>
      <c r="BT1" s="2442"/>
      <c r="BU1" s="2442"/>
      <c r="BV1" s="2442"/>
      <c r="BW1" s="2442"/>
      <c r="BX1" s="2442"/>
      <c r="BY1" s="2442"/>
      <c r="BZ1" s="2442"/>
      <c r="CA1" s="2442"/>
      <c r="CB1" s="2442"/>
      <c r="CC1" s="2442"/>
      <c r="CD1" s="2334"/>
      <c r="CE1" s="2444"/>
      <c r="CH1" s="1027" t="s">
        <v>251</v>
      </c>
      <c r="CI1" s="1028" t="s">
        <v>660</v>
      </c>
      <c r="CJ1" s="1028" t="s">
        <v>267</v>
      </c>
      <c r="CK1" s="1028" t="s">
        <v>527</v>
      </c>
      <c r="CL1" s="1028" t="s">
        <v>47</v>
      </c>
      <c r="CM1" s="1029" t="s">
        <v>516</v>
      </c>
      <c r="CN1" s="1029" t="s">
        <v>517</v>
      </c>
      <c r="CO1" s="1029" t="s">
        <v>518</v>
      </c>
      <c r="CP1" s="1029" t="s">
        <v>519</v>
      </c>
      <c r="CQ1" s="2293" t="s">
        <v>320</v>
      </c>
      <c r="CR1" s="1028" t="s">
        <v>540</v>
      </c>
      <c r="CS1" s="1028" t="s">
        <v>541</v>
      </c>
      <c r="CT1" s="1028" t="s">
        <v>542</v>
      </c>
      <c r="CU1" s="1028" t="s">
        <v>547</v>
      </c>
      <c r="CV1" s="1030" t="b">
        <f ca="1">codes!I20</f>
        <v>1</v>
      </c>
      <c r="CW1" s="2295" t="s">
        <v>2811</v>
      </c>
    </row>
    <row r="2" spans="1:111" x14ac:dyDescent="0.35">
      <c r="A2" s="997" t="s">
        <v>549</v>
      </c>
      <c r="B2" s="997" t="s">
        <v>550</v>
      </c>
      <c r="C2" s="997" t="s">
        <v>269</v>
      </c>
      <c r="D2" s="997" t="s">
        <v>267</v>
      </c>
      <c r="E2" s="1002" t="s">
        <v>279</v>
      </c>
      <c r="F2" s="997" t="s">
        <v>551</v>
      </c>
      <c r="G2" s="997" t="s">
        <v>2656</v>
      </c>
      <c r="H2" s="997" t="s">
        <v>563</v>
      </c>
      <c r="I2" s="997" t="s">
        <v>421</v>
      </c>
      <c r="J2" s="997" t="s">
        <v>564</v>
      </c>
      <c r="K2" s="997" t="s">
        <v>565</v>
      </c>
      <c r="L2" s="997" t="s">
        <v>308</v>
      </c>
      <c r="M2" s="997" t="s">
        <v>566</v>
      </c>
      <c r="N2" s="997" t="s">
        <v>567</v>
      </c>
      <c r="O2" s="997" t="s">
        <v>568</v>
      </c>
      <c r="P2" s="1032" t="s">
        <v>569</v>
      </c>
      <c r="Q2" s="997" t="s">
        <v>794</v>
      </c>
      <c r="R2" s="997" t="s">
        <v>570</v>
      </c>
      <c r="S2" s="997" t="s">
        <v>657</v>
      </c>
      <c r="T2" s="2442" t="s">
        <v>571</v>
      </c>
      <c r="U2" s="997" t="s">
        <v>935</v>
      </c>
      <c r="V2" s="1000" t="s">
        <v>1939</v>
      </c>
      <c r="W2" s="1000" t="s">
        <v>1935</v>
      </c>
      <c r="X2" s="998" t="b">
        <f>advanced!AJ7</f>
        <v>0</v>
      </c>
      <c r="Y2" s="997" t="s">
        <v>580</v>
      </c>
      <c r="Z2" s="1045" t="b">
        <f>OR(global!D4=1,global!D4=2)</f>
        <v>0</v>
      </c>
      <c r="AA2" s="1043" t="s">
        <v>596</v>
      </c>
      <c r="AB2" s="1043" t="s">
        <v>1941</v>
      </c>
      <c r="AC2" s="1045" t="b">
        <f>global!D4=1</f>
        <v>0</v>
      </c>
      <c r="AD2" s="997" t="s">
        <v>582</v>
      </c>
      <c r="AE2" s="997" t="s">
        <v>583</v>
      </c>
      <c r="AF2" s="997" t="s">
        <v>584</v>
      </c>
      <c r="AG2" s="1000" t="s">
        <v>1934</v>
      </c>
      <c r="AH2" s="1026" t="s">
        <v>274</v>
      </c>
      <c r="AI2" s="997" t="s">
        <v>585</v>
      </c>
      <c r="AJ2" s="997" t="s">
        <v>586</v>
      </c>
      <c r="AK2" s="997" t="s">
        <v>587</v>
      </c>
      <c r="AL2" s="997" t="s">
        <v>588</v>
      </c>
      <c r="AO2" s="1002" t="s">
        <v>589</v>
      </c>
      <c r="AP2" s="1002" t="s">
        <v>590</v>
      </c>
      <c r="AQ2" s="1043" t="s">
        <v>527</v>
      </c>
      <c r="AR2" s="1000" t="s">
        <v>1937</v>
      </c>
      <c r="AS2" s="997"/>
      <c r="AT2" s="1004" t="s">
        <v>272</v>
      </c>
      <c r="AU2" s="1004" t="s">
        <v>591</v>
      </c>
      <c r="AV2" s="1004" t="s">
        <v>592</v>
      </c>
      <c r="AW2" s="1004" t="s">
        <v>593</v>
      </c>
      <c r="AX2" s="1004" t="s">
        <v>594</v>
      </c>
      <c r="AY2" s="1004" t="s">
        <v>595</v>
      </c>
      <c r="AZ2" s="1002" t="s">
        <v>3045</v>
      </c>
      <c r="BA2" s="2373" t="b">
        <f>reliefs!F32</f>
        <v>0</v>
      </c>
      <c r="BC2" s="1005" t="s">
        <v>2913</v>
      </c>
      <c r="BD2" s="1005" t="s">
        <v>2901</v>
      </c>
      <c r="BE2" s="1005" t="s">
        <v>2914</v>
      </c>
      <c r="BF2" s="1005">
        <v>2021</v>
      </c>
      <c r="BG2" s="1004" t="s">
        <v>3044</v>
      </c>
      <c r="BH2" s="2441" t="s">
        <v>596</v>
      </c>
      <c r="BI2" s="2441" t="s">
        <v>43</v>
      </c>
      <c r="BJ2" s="2441" t="s">
        <v>2925</v>
      </c>
      <c r="BK2" s="2441" t="s">
        <v>2926</v>
      </c>
      <c r="BL2" s="2441" t="s">
        <v>2927</v>
      </c>
      <c r="BM2" s="2441" t="s">
        <v>2928</v>
      </c>
      <c r="BN2" s="2441" t="s">
        <v>1739</v>
      </c>
      <c r="BO2" s="2441" t="s">
        <v>2929</v>
      </c>
      <c r="BP2" s="2441" t="s">
        <v>58</v>
      </c>
      <c r="BQ2" s="2441" t="s">
        <v>2930</v>
      </c>
      <c r="BR2" s="2441" t="s">
        <v>2931</v>
      </c>
      <c r="BS2" s="2441" t="s">
        <v>2932</v>
      </c>
      <c r="BT2" s="2441" t="s">
        <v>2933</v>
      </c>
      <c r="BU2" s="2441" t="s">
        <v>2934</v>
      </c>
      <c r="BV2" s="2441" t="s">
        <v>2935</v>
      </c>
      <c r="BW2" s="2441" t="s">
        <v>2936</v>
      </c>
      <c r="BX2" s="2441" t="s">
        <v>2937</v>
      </c>
      <c r="BY2" s="2441" t="s">
        <v>2938</v>
      </c>
      <c r="BZ2" s="2441" t="s">
        <v>527</v>
      </c>
      <c r="CA2" s="2441" t="s">
        <v>563</v>
      </c>
      <c r="CB2" s="2441" t="s">
        <v>2939</v>
      </c>
      <c r="CC2" s="2334" t="s">
        <v>2940</v>
      </c>
      <c r="CD2" s="2443" t="s">
        <v>2944</v>
      </c>
      <c r="CE2" s="2443" t="s">
        <v>2953</v>
      </c>
      <c r="CH2" s="1031">
        <f>data!B13</f>
        <v>45017</v>
      </c>
      <c r="CI2" s="997">
        <v>1</v>
      </c>
      <c r="CJ2" s="1003">
        <f>data!E13</f>
        <v>45382</v>
      </c>
      <c r="CK2" s="1002">
        <f t="shared" ref="CK2:CK7" si="0">(CJ2-CH2)+1</f>
        <v>366</v>
      </c>
      <c r="CL2" s="1032">
        <f>data!C53</f>
        <v>0.499</v>
      </c>
      <c r="CM2" s="1033">
        <f ca="1">nncalc2!$D$31*$CV$1</f>
        <v>0</v>
      </c>
      <c r="CN2" s="1033">
        <f ca="1">nccalc2!$D$31*$CV$1</f>
        <v>0</v>
      </c>
      <c r="CO2" s="1033">
        <f ca="1">bncalc2!$D$31*$CV$1</f>
        <v>0</v>
      </c>
      <c r="CP2" s="1033">
        <f ca="1">bccalc2!$D$31*$CV$1</f>
        <v>0</v>
      </c>
      <c r="CQ2" s="997">
        <f>data!E53</f>
        <v>1.4E-2</v>
      </c>
      <c r="CR2" s="997">
        <f>CU2+1</f>
        <v>15001</v>
      </c>
      <c r="CS2" s="997">
        <f>data!F33</f>
        <v>1.2999999999999999E-2</v>
      </c>
      <c r="CT2" s="997">
        <f>data!C33</f>
        <v>12000</v>
      </c>
      <c r="CU2" s="997">
        <f>data!D33</f>
        <v>15000</v>
      </c>
      <c r="CV2" s="1034">
        <f>data!E33</f>
        <v>51000</v>
      </c>
      <c r="CW2" s="997">
        <f>data!L53</f>
        <v>0</v>
      </c>
    </row>
    <row r="3" spans="1:111" x14ac:dyDescent="0.35">
      <c r="A3" s="997">
        <v>1</v>
      </c>
      <c r="B3" s="1003">
        <f>CH2</f>
        <v>45017</v>
      </c>
      <c r="C3" s="997">
        <f>IF(OR(B3=0,B3=""),"",1)</f>
        <v>1</v>
      </c>
      <c r="D3" s="1003">
        <f>$CJ$2</f>
        <v>45382</v>
      </c>
      <c r="E3" s="1002" t="str">
        <f>VLOOKUP(B3,input_engine_rx!$B$23:$F$35,5,FALSE)</f>
        <v>nn</v>
      </c>
      <c r="F3" s="1003">
        <f>B3</f>
        <v>45017</v>
      </c>
      <c r="G3" s="1003">
        <f>IF(B3="","",IF(C4=C3,F4-1,D3))</f>
        <v>45382</v>
      </c>
      <c r="H3" s="1002">
        <f>IF(B3&lt;&gt;"",G3-F3+1,0)</f>
        <v>366</v>
      </c>
      <c r="I3" s="997">
        <f t="shared" ref="I3:I14" si="1">IF(AP3&gt;0,K3*P3,HLOOKUP(E3,$CM$1:$CP$9,1+$C$3,FALSE))</f>
        <v>0</v>
      </c>
      <c r="J3" s="997">
        <f t="shared" ref="J3:J14" si="2">I3/$CK$2</f>
        <v>0</v>
      </c>
      <c r="K3" s="997">
        <f t="shared" ref="K3:K14" si="3">HLOOKUP(E3,$CM$1:$CP$10,10,FALSE)</f>
        <v>0</v>
      </c>
      <c r="L3" s="1001">
        <f>input_engine_rx!E23</f>
        <v>0</v>
      </c>
      <c r="M3" s="1002" t="str">
        <f>IF(L3&lt;K3,"down","up")</f>
        <v>up</v>
      </c>
      <c r="N3" s="1002">
        <f>IF(OR(B3="",K3=0),0,IF(M3="down",J3*L3/K3*H3,0))</f>
        <v>0</v>
      </c>
      <c r="O3" s="1002">
        <f t="shared" ref="O3:O14" si="4">IF(B3="","",IF(M3="up",((J3*H3)+((L3-K3)*P3/$CK$2*H3)),0))</f>
        <v>0</v>
      </c>
      <c r="P3" s="1032">
        <f>$CL$2</f>
        <v>0.499</v>
      </c>
      <c r="Q3" s="997">
        <f>IF(M3="down",N3,O3)</f>
        <v>0</v>
      </c>
      <c r="R3" s="997">
        <f>IF(B3="",0,IF(U3=TRUE,(Q3/AH3)+AC3+(AD3/AH3),(Q3)+Y3+Z3+AC3+AD3))</f>
        <v>0</v>
      </c>
      <c r="S3" s="1006">
        <f>input_engine_rx!S23</f>
        <v>1</v>
      </c>
      <c r="T3" s="2442">
        <f ca="1">$CV$1*(IF(AND(AF3="y",L3&lt;AG3),0,R3*S3))+CB3+AZ3</f>
        <v>0</v>
      </c>
      <c r="U3" s="997" t="b">
        <f>AND(V3=TRUE,L3&lt;=W3,AF3="n",X3=FALSE)</f>
        <v>0</v>
      </c>
      <c r="V3" s="997" t="b">
        <f>advanced!$M$22="y"</f>
        <v>0</v>
      </c>
      <c r="W3" s="997">
        <f>data!$D$33</f>
        <v>15000</v>
      </c>
      <c r="X3" s="997" t="b">
        <f>$X$2</f>
        <v>0</v>
      </c>
      <c r="Y3" s="997">
        <f>IF(B3="",0,IF(AND($X$2=FALSE,AF3="n",OR(L3&lt;$CV$2,U3=TRUE,BX3=TRUE)),0,L3*$CS$2/$CK$2*H3))</f>
        <v>0</v>
      </c>
      <c r="Z3" s="997">
        <f t="shared" ref="Z3:Z14" si="5">IF(B3="",0,IF(AND($Z$2=TRUE,L3&gt;AA3),L3*AB3*H3/AQ3,0))</f>
        <v>0</v>
      </c>
      <c r="AA3" s="1002">
        <f>data!$G$53</f>
        <v>75000</v>
      </c>
      <c r="AB3" s="1002">
        <f>data!$F$53</f>
        <v>0.02</v>
      </c>
      <c r="AC3" s="997">
        <f>IF(B3="",0,L3*($CQ$2-IF(L3&lt;$CV$2,CW$2,0))/$CK$2*H3)*$AC$2/IF(U3=TRUE,AH3,1)</f>
        <v>0</v>
      </c>
      <c r="AD3" s="997">
        <f>IF(B3="",0,(IF($AE$1=authorities!$I$1,0,IF(L3&gt;AE3,VLOOKUP($AD$1,authorities!A:H,C3+1,FALSE),0)))*L3/$CK$2*H3)</f>
        <v>0</v>
      </c>
      <c r="AE3" s="997">
        <f>IF($AE$1=authorities!$I$1,0,$AE$1)</f>
        <v>0</v>
      </c>
      <c r="AF3" s="1006" t="str">
        <f>input_engine_rx!T23</f>
        <v>n</v>
      </c>
      <c r="AG3" s="1002">
        <f>data!$C$43</f>
        <v>2900</v>
      </c>
      <c r="AH3" s="1007">
        <f t="shared" ref="AH3:AH14" si="6">IF(L3&lt;=$CT$2,5000000,IF(L3&gt;$CU$2,1,IF(MID((($CU$2-$CT$2)/(L3-$CT$2)),6,1)="5",ROUND((($CU$2-$CT$2)/(L3-$CT$2))-0.0001,3),ROUND(($CU$2-$CT$2)/(L3-$CT$2),3))))</f>
        <v>5000000</v>
      </c>
      <c r="AI3" s="997">
        <f>IF(L3&lt;&gt;"",1,0)</f>
        <v>1</v>
      </c>
      <c r="AJ3" s="997" t="b">
        <f t="shared" ref="AJ3:AJ14" si="7">IF(AP3&gt;0,FALSE,HLOOKUP(E3,$CM$1:$CP$17,$AJ$1+1,FALSE))</f>
        <v>0</v>
      </c>
      <c r="AL3" s="997">
        <f>IF(OR(H3=0,F3="",K3=L3,AJ3=FALSE),0,IF(L3&lt;K3,1,0.01))</f>
        <v>0</v>
      </c>
      <c r="AO3" s="1002">
        <f>IF(advanced!M36&gt;0,0,IF(L3=0,1,0))</f>
        <v>1</v>
      </c>
      <c r="AP3" s="1002">
        <f>AO3</f>
        <v>1</v>
      </c>
      <c r="AQ3" s="1002">
        <f>$CK$2</f>
        <v>366</v>
      </c>
      <c r="AR3" s="997">
        <f ca="1">$CV$1*IF(AND(AF3="y",L3&lt;AG3),0,R3*S3)+CB3</f>
        <v>0</v>
      </c>
      <c r="AS3" s="997"/>
      <c r="AT3" s="997">
        <f>L3</f>
        <v>0</v>
      </c>
      <c r="AU3" s="997" t="b">
        <f t="shared" ref="AU3:AU14" si="8">AT3&lt;$AU$1</f>
        <v>1</v>
      </c>
      <c r="AV3" s="997" t="b">
        <f t="shared" ref="AV3:AV53" si="9">$AV$1</f>
        <v>0</v>
      </c>
      <c r="AW3" s="997" t="b">
        <f t="shared" ref="AW3:AW14" si="10">AF3="n"</f>
        <v>1</v>
      </c>
      <c r="AX3" s="997">
        <f>AU3*AV3*AW3*IF(S3=0,0,1)</f>
        <v>0</v>
      </c>
      <c r="AY3" s="997">
        <f ca="1">AR3/reliefs!$D$7*AX3*-1</f>
        <v>0</v>
      </c>
      <c r="AZ3" s="1002">
        <f ca="1">$AY$15/$BG$15*H3*AX3</f>
        <v>0</v>
      </c>
      <c r="BA3" s="2371">
        <f>IF(BE3="y",BD3,BC3)</f>
        <v>0</v>
      </c>
      <c r="BB3" s="1043" t="s">
        <v>2912</v>
      </c>
      <c r="BC3" s="2371">
        <f>reliefs!F30</f>
        <v>0</v>
      </c>
      <c r="BD3" s="2381">
        <f>advanced!AO12</f>
        <v>0</v>
      </c>
      <c r="BE3" s="2380" t="str">
        <f>advanced!AO13</f>
        <v>n</v>
      </c>
      <c r="BF3" s="2369">
        <v>0</v>
      </c>
      <c r="BG3" s="997">
        <f>H3*AX3</f>
        <v>0</v>
      </c>
      <c r="BH3" s="997">
        <f>data!$G$33</f>
        <v>15000</v>
      </c>
      <c r="BI3" s="1001">
        <f>advanced!I9</f>
        <v>0</v>
      </c>
      <c r="BJ3" s="997">
        <f>IF(BI3&lt;=12000,5000000,IF(BI3&gt;15000,1,IF(MID((3000/(BI3-12000)),6,1)="5",ROUND((3000/(BI3-12000))-0.0001,3),ROUND(3000/(BI3-12000),3))))</f>
        <v>5000000</v>
      </c>
      <c r="BK3" s="997">
        <f>calc1!D144</f>
        <v>0.499</v>
      </c>
      <c r="BL3" s="997" t="b">
        <f>BI3&lt;BH3</f>
        <v>1</v>
      </c>
      <c r="BM3" s="997" t="b">
        <f>advanced!AK5</f>
        <v>0</v>
      </c>
      <c r="BN3" s="997">
        <f>BI3*BK3/BJ3</f>
        <v>0</v>
      </c>
      <c r="BO3" s="997">
        <f>I3/IF(U3=TRUE,AH3,1)</f>
        <v>0</v>
      </c>
      <c r="BP3" s="997"/>
      <c r="BQ3" s="997"/>
      <c r="BR3" s="997">
        <f>BN3+600</f>
        <v>600</v>
      </c>
      <c r="BS3" s="997"/>
      <c r="BT3" s="997" t="b">
        <f>BO3&gt;BR3</f>
        <v>0</v>
      </c>
      <c r="BU3" s="997" t="b">
        <f>X2=FALSE</f>
        <v>1</v>
      </c>
      <c r="BV3" s="997" t="b">
        <f>AW3</f>
        <v>1</v>
      </c>
      <c r="BW3" s="997" t="b">
        <f>BV3</f>
        <v>1</v>
      </c>
      <c r="BX3" s="997" t="b">
        <f>BL3+BM3+BT3+BU3+BV3+BW3=6</f>
        <v>0</v>
      </c>
      <c r="BY3" s="997">
        <f>(BR3-BO3)</f>
        <v>600</v>
      </c>
      <c r="BZ3" s="997">
        <f>AQ3</f>
        <v>366</v>
      </c>
      <c r="CA3" s="997">
        <f>H3</f>
        <v>366</v>
      </c>
      <c r="CB3" s="997">
        <f>BY3/BZ3*CA3*BX3</f>
        <v>0</v>
      </c>
      <c r="CC3" s="997">
        <f t="shared" ref="CC3:CC14" si="11">CB3</f>
        <v>0</v>
      </c>
      <c r="CD3" s="997">
        <f>BR3</f>
        <v>600</v>
      </c>
      <c r="CE3" s="1002" t="b">
        <f>advanced!AK11</f>
        <v>0</v>
      </c>
      <c r="CH3" s="1031">
        <f>data!B14</f>
        <v>45383</v>
      </c>
      <c r="CI3" s="997">
        <v>2</v>
      </c>
      <c r="CJ3" s="1003">
        <f>data!E14</f>
        <v>45747</v>
      </c>
      <c r="CK3" s="1002">
        <f t="shared" si="0"/>
        <v>365</v>
      </c>
      <c r="CL3" s="1032">
        <f>data!C54</f>
        <v>0.499</v>
      </c>
      <c r="CM3" s="1033">
        <f ca="1">nncalc2!$E$31*$CV$1</f>
        <v>0</v>
      </c>
      <c r="CN3" s="1033">
        <f ca="1">nccalc2!$E$31*$CV$1</f>
        <v>0</v>
      </c>
      <c r="CO3" s="1033">
        <f ca="1">bncalc2!$E$31*$CV$1</f>
        <v>0</v>
      </c>
      <c r="CP3" s="1033">
        <f ca="1">bccalc2!$E$31*$CV$1</f>
        <v>0</v>
      </c>
      <c r="CQ3" s="997">
        <f>data!E54</f>
        <v>1.8000000000000002E-2</v>
      </c>
      <c r="CS3" s="997">
        <f>data!F34</f>
        <v>4.7000000000000042E-2</v>
      </c>
      <c r="CT3" s="997">
        <f>data!C34</f>
        <v>12000</v>
      </c>
      <c r="CU3" s="997">
        <f>data!D34</f>
        <v>15000</v>
      </c>
      <c r="CV3" s="1034">
        <f>data!E34</f>
        <v>51000</v>
      </c>
      <c r="CW3" s="997">
        <f>data!L54</f>
        <v>2.0000000000000018E-3</v>
      </c>
    </row>
    <row r="4" spans="1:111" x14ac:dyDescent="0.35">
      <c r="A4" s="997">
        <f t="shared" ref="A4:A14" si="12">A3+1</f>
        <v>2</v>
      </c>
      <c r="B4" s="1003" t="str">
        <f>IF(input_engine_rx!$P$21&gt;A3,VLOOKUP(A4,input_engine_rx!$P$23:$T$35,2,FALSE),"")</f>
        <v/>
      </c>
      <c r="C4" s="997" t="str">
        <f t="shared" ref="C4:C14" si="13">IF(OR(B4=0,B4=""),"",1)</f>
        <v/>
      </c>
      <c r="D4" s="1003">
        <f t="shared" ref="D4:D14" si="14">$CJ$2</f>
        <v>45382</v>
      </c>
      <c r="E4" s="1002" t="str">
        <f>IF(B4="",E3,VLOOKUP(B4,input_engine_rx!$B$23:$F$35,5,FALSE))</f>
        <v>nn</v>
      </c>
      <c r="F4" s="1003" t="str">
        <f t="shared" ref="F4:F14" si="15">B4</f>
        <v/>
      </c>
      <c r="G4" s="1003" t="str">
        <f t="shared" ref="G4:G13" si="16">IF(B4="","",IF(C5=C4,F5-1,D4))</f>
        <v/>
      </c>
      <c r="H4" s="1002">
        <f t="shared" ref="H4:H14" si="17">IF(B4&lt;&gt;"",G4-F4+1,0)</f>
        <v>0</v>
      </c>
      <c r="I4" s="997">
        <f t="shared" si="1"/>
        <v>0</v>
      </c>
      <c r="J4" s="997">
        <f t="shared" si="2"/>
        <v>0</v>
      </c>
      <c r="K4" s="997">
        <f t="shared" si="3"/>
        <v>0</v>
      </c>
      <c r="L4" s="997" t="str">
        <f>IF(input_engine_rx!$P$21&gt;A3,VLOOKUP(A4,input_engine_rx!$P$23:$T$36,3,FALSE),"")</f>
        <v/>
      </c>
      <c r="M4" s="1002" t="str">
        <f t="shared" ref="M4:M14" si="18">IF(L4&lt;K4,"down","up")</f>
        <v>up</v>
      </c>
      <c r="N4" s="1002" t="str">
        <f>IF(B4="","",IF(M4="down",J4*L4/K4*H4,0))</f>
        <v/>
      </c>
      <c r="O4" s="1002" t="str">
        <f t="shared" si="4"/>
        <v/>
      </c>
      <c r="P4" s="1032">
        <f t="shared" ref="P4:P14" si="19">$CL$2</f>
        <v>0.499</v>
      </c>
      <c r="Q4" s="997" t="str">
        <f t="shared" ref="Q4:Q14" si="20">IF(M4="down",N4,O4)</f>
        <v/>
      </c>
      <c r="R4" s="997">
        <f t="shared" ref="R4:R14" si="21">IF(B4="",0,IF(U4=TRUE,(Q4/AH4)+AC4+(AD4/AH4),(Q4)+Y4+Z4+AC4+AD4))</f>
        <v>0</v>
      </c>
      <c r="S4" s="1006">
        <f>IF(input_engine_rx!$P$21&gt;A3,VLOOKUP(A4,input_engine_rx!$P$23:$T$35,4,FALSE),0)</f>
        <v>0</v>
      </c>
      <c r="T4" s="2442">
        <f t="shared" ref="T4:T14" ca="1" si="22">$CV$1*(IF(AND(AF4="y",L4&lt;AG4),0,R4*S4))+CB4+AZ4</f>
        <v>0</v>
      </c>
      <c r="U4" s="997" t="b">
        <f t="shared" ref="U4:U14" si="23">AND(V4=TRUE,L4&lt;=W4,AF4="n",X4=FALSE)</f>
        <v>0</v>
      </c>
      <c r="V4" s="997" t="b">
        <f>advanced!$M$22="y"</f>
        <v>0</v>
      </c>
      <c r="W4" s="997">
        <f>data!$D$33</f>
        <v>15000</v>
      </c>
      <c r="X4" s="997" t="b">
        <f t="shared" ref="X4:X53" si="24">$X$2</f>
        <v>0</v>
      </c>
      <c r="Y4" s="997">
        <f t="shared" ref="Y4:Y14" si="25">IF(B4="",0,IF(AND($X$2=FALSE,AF4="n",OR(L4&lt;$CV$2,U4=TRUE,BX4=TRUE)),0,L4*$CS$2/$CK$2*H4))</f>
        <v>0</v>
      </c>
      <c r="Z4" s="997">
        <f t="shared" si="5"/>
        <v>0</v>
      </c>
      <c r="AA4" s="1002">
        <f>data!$G$53</f>
        <v>75000</v>
      </c>
      <c r="AB4" s="1002">
        <f>data!$F$53</f>
        <v>0.02</v>
      </c>
      <c r="AC4" s="997">
        <f t="shared" ref="AC4:AC14" si="26">IF(B4="",0,L4*($CQ$2-IF(L4&lt;$CV$2,CW$2,0))/$CK$2*H4)*$AC$2/IF(U4=TRUE,AH4,1)</f>
        <v>0</v>
      </c>
      <c r="AD4" s="997">
        <f>IF(B4="",0,(IF($AE$1=authorities!$I$1,0,IF(L4&gt;AE4,VLOOKUP($AD$1,authorities!A:H,C4+1,FALSE),0)))*L4/$CK$2*H4)</f>
        <v>0</v>
      </c>
      <c r="AE4" s="997">
        <f>IF($AE$1=authorities!$I$1,0,$AE$1)</f>
        <v>0</v>
      </c>
      <c r="AF4" s="1002">
        <f>IF(input_engine_rx!$P$21&gt;A3,VLOOKUP(A4,input_engine_rx!$P$23:$T$35,5,FALSE),0)</f>
        <v>0</v>
      </c>
      <c r="AG4" s="1002">
        <f>data!$C$43</f>
        <v>2900</v>
      </c>
      <c r="AH4" s="1007">
        <f t="shared" si="6"/>
        <v>1</v>
      </c>
      <c r="AI4" s="997">
        <f t="shared" ref="AI4:AI14" si="27">IF(L4&lt;&gt;"",1,0)</f>
        <v>0</v>
      </c>
      <c r="AJ4" s="997" t="b">
        <f t="shared" si="7"/>
        <v>0</v>
      </c>
      <c r="AL4" s="997">
        <f t="shared" ref="AL4:AL14" si="28">IF(OR(H4=0,F4="",K4=L4,AJ4=FALSE),0,IF(L4&lt;K4,1,0.01))</f>
        <v>0</v>
      </c>
      <c r="AO4" s="1002">
        <f t="shared" ref="AO4:AO27" si="29">IF(L4=0,1,0)</f>
        <v>0</v>
      </c>
      <c r="AP4" s="1002">
        <f>SUM(AO3:AO4)</f>
        <v>1</v>
      </c>
      <c r="AQ4" s="1002">
        <f t="shared" ref="AQ4:AQ14" si="30">$CK$2</f>
        <v>366</v>
      </c>
      <c r="AR4" s="997">
        <f t="shared" ref="AR4:AR40" ca="1" si="31">$CV$1*IF(AND(AF4="y",L4&lt;AG4),0,R4*S4)+CB4</f>
        <v>0</v>
      </c>
      <c r="AS4" s="997"/>
      <c r="AT4" s="997">
        <f t="shared" ref="AT4:AT14" si="32">IF(L4="",AT3,L4)</f>
        <v>0</v>
      </c>
      <c r="AU4" s="997" t="b">
        <f t="shared" si="8"/>
        <v>1</v>
      </c>
      <c r="AV4" s="997" t="b">
        <f t="shared" si="9"/>
        <v>0</v>
      </c>
      <c r="AW4" s="997" t="b">
        <f t="shared" si="10"/>
        <v>0</v>
      </c>
      <c r="AX4" s="997">
        <f t="shared" ref="AX4:AX14" si="33">AU4*AV4*AW4*IF(S4=0,0,1)</f>
        <v>0</v>
      </c>
      <c r="AY4" s="997">
        <f ca="1">AR4/reliefs!$D$7*AX4*-1</f>
        <v>0</v>
      </c>
      <c r="AZ4" s="1002">
        <f t="shared" ref="AZ4:AZ14" ca="1" si="34">$AY$15/$BG$15*H4*AX4</f>
        <v>0</v>
      </c>
      <c r="BA4" s="2370"/>
      <c r="BB4" s="997"/>
      <c r="BC4" s="997"/>
      <c r="BD4" s="997"/>
      <c r="BE4" s="997"/>
      <c r="BG4" s="997">
        <f t="shared" ref="BG4:BG14" si="35">H4*AX4</f>
        <v>0</v>
      </c>
      <c r="BH4" s="997">
        <f t="shared" ref="BH4:BN19" si="36">BH3</f>
        <v>15000</v>
      </c>
      <c r="BI4" s="1001">
        <f t="shared" si="36"/>
        <v>0</v>
      </c>
      <c r="BJ4" s="997">
        <f t="shared" si="36"/>
        <v>5000000</v>
      </c>
      <c r="BK4" s="997">
        <f t="shared" si="36"/>
        <v>0.499</v>
      </c>
      <c r="BL4" s="997" t="b">
        <f t="shared" si="36"/>
        <v>1</v>
      </c>
      <c r="BM4" s="997" t="b">
        <f t="shared" si="36"/>
        <v>0</v>
      </c>
      <c r="BN4" s="997">
        <f t="shared" si="36"/>
        <v>0</v>
      </c>
      <c r="BO4" s="997">
        <f t="shared" ref="BO4:BO14" si="37">I4/IF(U4=TRUE,AH4,1)</f>
        <v>0</v>
      </c>
      <c r="BP4" s="997"/>
      <c r="BQ4" s="997"/>
      <c r="BR4" s="997">
        <f t="shared" ref="BR4:BR14" si="38">BN4+600</f>
        <v>600</v>
      </c>
      <c r="BS4" s="997"/>
      <c r="BT4" s="997" t="b">
        <f t="shared" ref="BT4:BT14" si="39">BO4&gt;BR4</f>
        <v>0</v>
      </c>
      <c r="BU4" s="997" t="b">
        <f>BU3</f>
        <v>1</v>
      </c>
      <c r="BV4" s="997" t="b">
        <f t="shared" ref="BV4:BV14" si="40">AW4</f>
        <v>0</v>
      </c>
      <c r="BW4" s="997" t="b">
        <f t="shared" ref="BW4:BW15" si="41">AND(BW3=TRUE,BV4=TRUE)</f>
        <v>0</v>
      </c>
      <c r="BX4" s="997" t="b">
        <f t="shared" ref="BX4:BX14" si="42">BL4+BM4+BT4+BU4+BV4+BW4=6</f>
        <v>0</v>
      </c>
      <c r="BY4" s="997">
        <f t="shared" ref="BY4:BY14" si="43">(BR4-BO4)</f>
        <v>600</v>
      </c>
      <c r="BZ4" s="997">
        <f t="shared" ref="BZ4:BZ14" si="44">AQ4</f>
        <v>366</v>
      </c>
      <c r="CA4" s="997">
        <f>H4</f>
        <v>0</v>
      </c>
      <c r="CB4" s="997">
        <f t="shared" ref="CB4:CB14" si="45">BY4/BZ4*CA4*BX4</f>
        <v>0</v>
      </c>
      <c r="CC4" s="997">
        <f t="shared" si="11"/>
        <v>0</v>
      </c>
      <c r="CD4" s="997">
        <f>CD3</f>
        <v>600</v>
      </c>
      <c r="CE4" s="1002" t="b">
        <f>CE3</f>
        <v>0</v>
      </c>
      <c r="CH4" s="1031">
        <f>data!B15</f>
        <v>45748</v>
      </c>
      <c r="CI4" s="997">
        <v>3</v>
      </c>
      <c r="CJ4" s="1003">
        <f>data!E15</f>
        <v>46112</v>
      </c>
      <c r="CK4" s="1002">
        <f t="shared" si="0"/>
        <v>365</v>
      </c>
      <c r="CL4" s="1032">
        <f>data!C55</f>
        <v>0.499</v>
      </c>
      <c r="CM4" s="1033">
        <f ca="1">nncalc2!$F$31*$CV$1</f>
        <v>0</v>
      </c>
      <c r="CN4" s="1033">
        <f ca="1">nccalc2!$F$31*$CV$1</f>
        <v>0</v>
      </c>
      <c r="CO4" s="1033">
        <f ca="1">bncalc2!$F$31*$CV$1</f>
        <v>0</v>
      </c>
      <c r="CP4" s="1033">
        <f ca="1">bccalc2!$F$31*$CV$1</f>
        <v>0</v>
      </c>
      <c r="CQ4" s="997">
        <f>data!E55</f>
        <v>2.1999999999999999E-2</v>
      </c>
      <c r="CS4" s="997">
        <f>data!F35</f>
        <v>5.600000000000005E-2</v>
      </c>
      <c r="CT4" s="997">
        <f>data!C35</f>
        <v>12000</v>
      </c>
      <c r="CU4" s="997">
        <f>data!D35</f>
        <v>15000</v>
      </c>
      <c r="CV4" s="1034">
        <f>data!E35</f>
        <v>51000</v>
      </c>
      <c r="CW4" s="997">
        <f>data!L55</f>
        <v>1.9999999999999983E-3</v>
      </c>
    </row>
    <row r="5" spans="1:111" x14ac:dyDescent="0.35">
      <c r="A5" s="997">
        <f t="shared" si="12"/>
        <v>3</v>
      </c>
      <c r="B5" s="1003" t="str">
        <f>IF(input_engine_rx!$P$21&gt;A4,VLOOKUP(A5,input_engine_rx!$P$23:$T$35,2,FALSE),"")</f>
        <v/>
      </c>
      <c r="C5" s="997" t="str">
        <f t="shared" si="13"/>
        <v/>
      </c>
      <c r="D5" s="1003">
        <f t="shared" si="14"/>
        <v>45382</v>
      </c>
      <c r="E5" s="1002" t="str">
        <f>IF(B5="",E4,VLOOKUP(B5,input_engine_rx!$B$23:$F$35,5,FALSE))</f>
        <v>nn</v>
      </c>
      <c r="F5" s="1003" t="str">
        <f t="shared" si="15"/>
        <v/>
      </c>
      <c r="G5" s="1003" t="str">
        <f t="shared" si="16"/>
        <v/>
      </c>
      <c r="H5" s="1002">
        <f t="shared" si="17"/>
        <v>0</v>
      </c>
      <c r="I5" s="997">
        <f t="shared" si="1"/>
        <v>0</v>
      </c>
      <c r="J5" s="997">
        <f t="shared" si="2"/>
        <v>0</v>
      </c>
      <c r="K5" s="997">
        <f t="shared" si="3"/>
        <v>0</v>
      </c>
      <c r="L5" s="997" t="str">
        <f>IF(input_engine_rx!$P$21&gt;A4,VLOOKUP(A5,input_engine_rx!$P$23:$T$36,3,FALSE),"")</f>
        <v/>
      </c>
      <c r="M5" s="1002" t="str">
        <f t="shared" si="18"/>
        <v>up</v>
      </c>
      <c r="N5" s="1002" t="str">
        <f t="shared" ref="N5:N14" si="46">IF(B5="","",IF(M5="down",J5*L5/K5*H5,0))</f>
        <v/>
      </c>
      <c r="O5" s="1002" t="str">
        <f t="shared" si="4"/>
        <v/>
      </c>
      <c r="P5" s="1032">
        <f t="shared" si="19"/>
        <v>0.499</v>
      </c>
      <c r="Q5" s="997" t="str">
        <f t="shared" si="20"/>
        <v/>
      </c>
      <c r="R5" s="997">
        <f t="shared" si="21"/>
        <v>0</v>
      </c>
      <c r="S5" s="1006">
        <f>IF(input_engine_rx!$P$21&gt;A4,VLOOKUP(A5,input_engine_rx!$P$23:$T$35,4,FALSE),0)</f>
        <v>0</v>
      </c>
      <c r="T5" s="2442">
        <f t="shared" ca="1" si="22"/>
        <v>0</v>
      </c>
      <c r="U5" s="997" t="b">
        <f t="shared" si="23"/>
        <v>0</v>
      </c>
      <c r="V5" s="997" t="b">
        <f>advanced!$M$22="y"</f>
        <v>0</v>
      </c>
      <c r="W5" s="997">
        <f>data!$D$33</f>
        <v>15000</v>
      </c>
      <c r="X5" s="997" t="b">
        <f t="shared" si="24"/>
        <v>0</v>
      </c>
      <c r="Y5" s="997">
        <f t="shared" si="25"/>
        <v>0</v>
      </c>
      <c r="Z5" s="997">
        <f t="shared" si="5"/>
        <v>0</v>
      </c>
      <c r="AA5" s="1002">
        <f>data!$G$53</f>
        <v>75000</v>
      </c>
      <c r="AB5" s="1002">
        <f>data!$F$53</f>
        <v>0.02</v>
      </c>
      <c r="AC5" s="997">
        <f t="shared" si="26"/>
        <v>0</v>
      </c>
      <c r="AD5" s="997">
        <f>IF(B5="",0,(IF($AE$1=authorities!$I$1,0,IF(L5&gt;AE5,VLOOKUP($AD$1,authorities!A:H,C5+1,FALSE),0)))*L5/$CK$2*H5)</f>
        <v>0</v>
      </c>
      <c r="AE5" s="997">
        <f>IF($AE$1=authorities!$I$1,0,$AE$1)</f>
        <v>0</v>
      </c>
      <c r="AF5" s="1002">
        <f>IF(input_engine_rx!$P$21&gt;A4,VLOOKUP(A5,input_engine_rx!$P$23:$T$35,5,FALSE),0)</f>
        <v>0</v>
      </c>
      <c r="AG5" s="1002">
        <f>data!$C$43</f>
        <v>2900</v>
      </c>
      <c r="AH5" s="1007">
        <f t="shared" si="6"/>
        <v>1</v>
      </c>
      <c r="AI5" s="997">
        <f t="shared" si="27"/>
        <v>0</v>
      </c>
      <c r="AJ5" s="997" t="b">
        <f t="shared" si="7"/>
        <v>0</v>
      </c>
      <c r="AL5" s="997">
        <f t="shared" si="28"/>
        <v>0</v>
      </c>
      <c r="AO5" s="1002">
        <f t="shared" si="29"/>
        <v>0</v>
      </c>
      <c r="AP5" s="1002">
        <f>SUM($AO$3:AO5)</f>
        <v>1</v>
      </c>
      <c r="AQ5" s="1002">
        <f t="shared" si="30"/>
        <v>366</v>
      </c>
      <c r="AR5" s="997">
        <f t="shared" ca="1" si="31"/>
        <v>0</v>
      </c>
      <c r="AS5" s="997"/>
      <c r="AT5" s="997">
        <f t="shared" si="32"/>
        <v>0</v>
      </c>
      <c r="AU5" s="997" t="b">
        <f t="shared" si="8"/>
        <v>1</v>
      </c>
      <c r="AV5" s="997" t="b">
        <f t="shared" si="9"/>
        <v>0</v>
      </c>
      <c r="AW5" s="997" t="b">
        <f t="shared" si="10"/>
        <v>0</v>
      </c>
      <c r="AX5" s="997">
        <f t="shared" si="33"/>
        <v>0</v>
      </c>
      <c r="AY5" s="997">
        <f ca="1">AR5/reliefs!$D$7*AX5*-1</f>
        <v>0</v>
      </c>
      <c r="AZ5" s="1002">
        <f t="shared" ca="1" si="34"/>
        <v>0</v>
      </c>
      <c r="BA5" s="2370"/>
      <c r="BB5" s="997"/>
      <c r="BC5" s="997"/>
      <c r="BD5" s="997"/>
      <c r="BE5" s="997"/>
      <c r="BG5" s="997">
        <f t="shared" si="35"/>
        <v>0</v>
      </c>
      <c r="BH5" s="997">
        <f t="shared" si="36"/>
        <v>15000</v>
      </c>
      <c r="BI5" s="1001">
        <f t="shared" si="36"/>
        <v>0</v>
      </c>
      <c r="BJ5" s="997">
        <f t="shared" si="36"/>
        <v>5000000</v>
      </c>
      <c r="BK5" s="997">
        <f t="shared" si="36"/>
        <v>0.499</v>
      </c>
      <c r="BL5" s="997" t="b">
        <f t="shared" si="36"/>
        <v>1</v>
      </c>
      <c r="BM5" s="997" t="b">
        <f t="shared" si="36"/>
        <v>0</v>
      </c>
      <c r="BN5" s="997">
        <f t="shared" si="36"/>
        <v>0</v>
      </c>
      <c r="BO5" s="997">
        <f t="shared" si="37"/>
        <v>0</v>
      </c>
      <c r="BP5" s="997"/>
      <c r="BQ5" s="997"/>
      <c r="BR5" s="997">
        <f t="shared" si="38"/>
        <v>600</v>
      </c>
      <c r="BS5" s="997"/>
      <c r="BT5" s="997" t="b">
        <f t="shared" si="39"/>
        <v>0</v>
      </c>
      <c r="BU5" s="997" t="b">
        <f t="shared" ref="BU5:BU14" si="47">BU4</f>
        <v>1</v>
      </c>
      <c r="BV5" s="997" t="b">
        <f t="shared" si="40"/>
        <v>0</v>
      </c>
      <c r="BW5" s="997" t="b">
        <f t="shared" si="41"/>
        <v>0</v>
      </c>
      <c r="BX5" s="997" t="b">
        <f t="shared" si="42"/>
        <v>0</v>
      </c>
      <c r="BY5" s="997">
        <f t="shared" si="43"/>
        <v>600</v>
      </c>
      <c r="BZ5" s="997">
        <f t="shared" si="44"/>
        <v>366</v>
      </c>
      <c r="CA5" s="997">
        <f t="shared" ref="CA5:CA14" si="48">H5</f>
        <v>0</v>
      </c>
      <c r="CB5" s="997">
        <f t="shared" si="45"/>
        <v>0</v>
      </c>
      <c r="CC5" s="997">
        <f t="shared" si="11"/>
        <v>0</v>
      </c>
      <c r="CD5" s="997">
        <f t="shared" ref="CD5:CD14" si="49">CD4</f>
        <v>600</v>
      </c>
      <c r="CE5" s="1002" t="b">
        <f t="shared" ref="CE5:CE41" si="50">CE4</f>
        <v>0</v>
      </c>
      <c r="CH5" s="1031">
        <f>data!B16</f>
        <v>46113</v>
      </c>
      <c r="CI5" s="997">
        <v>4</v>
      </c>
      <c r="CJ5" s="1003">
        <f>data!E16</f>
        <v>46477</v>
      </c>
      <c r="CK5" s="1002">
        <f t="shared" si="0"/>
        <v>365</v>
      </c>
      <c r="CL5" s="1032">
        <f>data!C56</f>
        <v>0.51900000000000002</v>
      </c>
      <c r="CM5" s="1033">
        <f ca="1">nncalc2!$G$31*$CV$1</f>
        <v>0</v>
      </c>
      <c r="CN5" s="1033">
        <f ca="1">nccalc2!$G$31*$CV$1</f>
        <v>0</v>
      </c>
      <c r="CO5" s="1033">
        <f ca="1">bncalc2!$G$31*$CV$1</f>
        <v>0</v>
      </c>
      <c r="CP5" s="1033">
        <f ca="1">bccalc2!$G$31*$CV$1</f>
        <v>0</v>
      </c>
      <c r="CQ5" s="997">
        <f>data!E56</f>
        <v>8.0000000000000002E-3</v>
      </c>
      <c r="CS5" s="997">
        <f>data!F36</f>
        <v>5.600000000000005E-2</v>
      </c>
      <c r="CT5" s="997">
        <f>data!C36</f>
        <v>12000</v>
      </c>
      <c r="CU5" s="997">
        <f>data!D36</f>
        <v>15000</v>
      </c>
      <c r="CV5" s="1034">
        <f>data!E36</f>
        <v>51000</v>
      </c>
      <c r="CW5" s="997">
        <f>data!L56</f>
        <v>8.0000000000000002E-3</v>
      </c>
    </row>
    <row r="6" spans="1:111" x14ac:dyDescent="0.35">
      <c r="A6" s="997">
        <f t="shared" si="12"/>
        <v>4</v>
      </c>
      <c r="B6" s="1003" t="str">
        <f>IF(input_engine_rx!$P$21&gt;A5,VLOOKUP(A6,input_engine_rx!$P$23:$T$35,2,FALSE),"")</f>
        <v/>
      </c>
      <c r="C6" s="997" t="str">
        <f t="shared" si="13"/>
        <v/>
      </c>
      <c r="D6" s="1003">
        <f t="shared" si="14"/>
        <v>45382</v>
      </c>
      <c r="E6" s="1002" t="str">
        <f>IF(B6="",E5,VLOOKUP(B6,input_engine_rx!$B$23:$F$35,5,FALSE))</f>
        <v>nn</v>
      </c>
      <c r="F6" s="1003" t="str">
        <f t="shared" si="15"/>
        <v/>
      </c>
      <c r="G6" s="1003" t="str">
        <f t="shared" si="16"/>
        <v/>
      </c>
      <c r="H6" s="1002">
        <f t="shared" si="17"/>
        <v>0</v>
      </c>
      <c r="I6" s="997">
        <f t="shared" si="1"/>
        <v>0</v>
      </c>
      <c r="J6" s="997">
        <f t="shared" si="2"/>
        <v>0</v>
      </c>
      <c r="K6" s="997">
        <f t="shared" si="3"/>
        <v>0</v>
      </c>
      <c r="L6" s="997" t="str">
        <f>IF(input_engine_rx!$P$21&gt;A5,VLOOKUP(A6,input_engine_rx!$P$23:$T$36,3,FALSE),"")</f>
        <v/>
      </c>
      <c r="M6" s="1002" t="str">
        <f t="shared" si="18"/>
        <v>up</v>
      </c>
      <c r="N6" s="1002" t="str">
        <f t="shared" si="46"/>
        <v/>
      </c>
      <c r="O6" s="1002" t="str">
        <f t="shared" si="4"/>
        <v/>
      </c>
      <c r="P6" s="1032">
        <f t="shared" si="19"/>
        <v>0.499</v>
      </c>
      <c r="Q6" s="997" t="str">
        <f t="shared" si="20"/>
        <v/>
      </c>
      <c r="R6" s="997">
        <f t="shared" si="21"/>
        <v>0</v>
      </c>
      <c r="S6" s="1006">
        <f>IF(input_engine_rx!$P$21&gt;A5,VLOOKUP(A6,input_engine_rx!$P$23:$T$35,4,FALSE),0)</f>
        <v>0</v>
      </c>
      <c r="T6" s="2442">
        <f t="shared" ca="1" si="22"/>
        <v>0</v>
      </c>
      <c r="U6" s="997" t="b">
        <f t="shared" si="23"/>
        <v>0</v>
      </c>
      <c r="V6" s="997" t="b">
        <f>advanced!$M$22="y"</f>
        <v>0</v>
      </c>
      <c r="W6" s="997">
        <f>data!$D$33</f>
        <v>15000</v>
      </c>
      <c r="X6" s="997" t="b">
        <f t="shared" si="24"/>
        <v>0</v>
      </c>
      <c r="Y6" s="997">
        <f t="shared" si="25"/>
        <v>0</v>
      </c>
      <c r="Z6" s="997">
        <f t="shared" si="5"/>
        <v>0</v>
      </c>
      <c r="AA6" s="1002">
        <f>data!$G$53</f>
        <v>75000</v>
      </c>
      <c r="AB6" s="1002">
        <f>data!$F$53</f>
        <v>0.02</v>
      </c>
      <c r="AC6" s="997">
        <f t="shared" si="26"/>
        <v>0</v>
      </c>
      <c r="AD6" s="997">
        <f>IF(B6="",0,(IF($AE$1=authorities!$I$1,0,IF(L6&gt;AE6,VLOOKUP($AD$1,authorities!A:H,C6+1,FALSE),0)))*L6/$CK$2*H6)</f>
        <v>0</v>
      </c>
      <c r="AE6" s="997">
        <f>IF($AE$1=authorities!$I$1,0,$AE$1)</f>
        <v>0</v>
      </c>
      <c r="AF6" s="1002">
        <f>IF(input_engine_rx!$P$21&gt;A5,VLOOKUP(A6,input_engine_rx!$P$23:$T$35,5,FALSE),0)</f>
        <v>0</v>
      </c>
      <c r="AG6" s="1002">
        <f>data!$C$43</f>
        <v>2900</v>
      </c>
      <c r="AH6" s="1007">
        <f t="shared" si="6"/>
        <v>1</v>
      </c>
      <c r="AI6" s="997">
        <f t="shared" si="27"/>
        <v>0</v>
      </c>
      <c r="AJ6" s="997" t="b">
        <f t="shared" si="7"/>
        <v>0</v>
      </c>
      <c r="AL6" s="997">
        <f t="shared" si="28"/>
        <v>0</v>
      </c>
      <c r="AO6" s="1002">
        <f t="shared" si="29"/>
        <v>0</v>
      </c>
      <c r="AP6" s="1002">
        <f>SUM($AO$3:AO6)</f>
        <v>1</v>
      </c>
      <c r="AQ6" s="1002">
        <f t="shared" si="30"/>
        <v>366</v>
      </c>
      <c r="AR6" s="997">
        <f t="shared" ca="1" si="31"/>
        <v>0</v>
      </c>
      <c r="AS6" s="997"/>
      <c r="AT6" s="997">
        <f t="shared" si="32"/>
        <v>0</v>
      </c>
      <c r="AU6" s="997" t="b">
        <f t="shared" si="8"/>
        <v>1</v>
      </c>
      <c r="AV6" s="997" t="b">
        <f t="shared" si="9"/>
        <v>0</v>
      </c>
      <c r="AW6" s="997" t="b">
        <f t="shared" si="10"/>
        <v>0</v>
      </c>
      <c r="AX6" s="997">
        <f t="shared" si="33"/>
        <v>0</v>
      </c>
      <c r="AY6" s="997">
        <f ca="1">AR6/reliefs!$D$7*AX6*-1</f>
        <v>0</v>
      </c>
      <c r="AZ6" s="1002">
        <f t="shared" ca="1" si="34"/>
        <v>0</v>
      </c>
      <c r="BA6" s="2370"/>
      <c r="BB6" s="997"/>
      <c r="BC6" s="997"/>
      <c r="BD6" s="997"/>
      <c r="BE6" s="997"/>
      <c r="BG6" s="997">
        <f t="shared" si="35"/>
        <v>0</v>
      </c>
      <c r="BH6" s="997">
        <f t="shared" si="36"/>
        <v>15000</v>
      </c>
      <c r="BI6" s="1001">
        <f t="shared" si="36"/>
        <v>0</v>
      </c>
      <c r="BJ6" s="997">
        <f t="shared" si="36"/>
        <v>5000000</v>
      </c>
      <c r="BK6" s="997">
        <f t="shared" si="36"/>
        <v>0.499</v>
      </c>
      <c r="BL6" s="997" t="b">
        <f t="shared" si="36"/>
        <v>1</v>
      </c>
      <c r="BM6" s="997" t="b">
        <f t="shared" si="36"/>
        <v>0</v>
      </c>
      <c r="BN6" s="997">
        <f t="shared" si="36"/>
        <v>0</v>
      </c>
      <c r="BO6" s="997">
        <f t="shared" si="37"/>
        <v>0</v>
      </c>
      <c r="BP6" s="997"/>
      <c r="BQ6" s="997"/>
      <c r="BR6" s="997">
        <f t="shared" si="38"/>
        <v>600</v>
      </c>
      <c r="BS6" s="997"/>
      <c r="BT6" s="997" t="b">
        <f t="shared" si="39"/>
        <v>0</v>
      </c>
      <c r="BU6" s="997" t="b">
        <f t="shared" si="47"/>
        <v>1</v>
      </c>
      <c r="BV6" s="997" t="b">
        <f t="shared" si="40"/>
        <v>0</v>
      </c>
      <c r="BW6" s="997" t="b">
        <f t="shared" si="41"/>
        <v>0</v>
      </c>
      <c r="BX6" s="997" t="b">
        <f t="shared" si="42"/>
        <v>0</v>
      </c>
      <c r="BY6" s="997">
        <f t="shared" si="43"/>
        <v>600</v>
      </c>
      <c r="BZ6" s="997">
        <f t="shared" si="44"/>
        <v>366</v>
      </c>
      <c r="CA6" s="997">
        <f t="shared" si="48"/>
        <v>0</v>
      </c>
      <c r="CB6" s="997">
        <f t="shared" si="45"/>
        <v>0</v>
      </c>
      <c r="CC6" s="997">
        <f t="shared" si="11"/>
        <v>0</v>
      </c>
      <c r="CD6" s="997">
        <f t="shared" si="49"/>
        <v>600</v>
      </c>
      <c r="CE6" s="1002" t="b">
        <f t="shared" si="50"/>
        <v>0</v>
      </c>
      <c r="CH6" s="1031">
        <f>data!B17</f>
        <v>46478</v>
      </c>
      <c r="CI6" s="997">
        <v>5</v>
      </c>
      <c r="CJ6" s="1003">
        <f>data!E17</f>
        <v>46843</v>
      </c>
      <c r="CK6" s="1002">
        <f t="shared" si="0"/>
        <v>366</v>
      </c>
      <c r="CL6" s="1032">
        <f>data!C57</f>
        <v>0.54</v>
      </c>
      <c r="CM6" s="1033">
        <f ca="1">nncalc2!$H$31*$CV$1</f>
        <v>0</v>
      </c>
      <c r="CN6" s="1033">
        <f ca="1">nccalc2!$H$31*$CV$1</f>
        <v>0</v>
      </c>
      <c r="CO6" s="1033">
        <f ca="1">bncalc2!$H$31*$CV$1</f>
        <v>0</v>
      </c>
      <c r="CP6" s="1033">
        <f ca="1">bccalc2!$H$31*$CV$1</f>
        <v>0</v>
      </c>
      <c r="CQ6" s="997">
        <f>data!E57</f>
        <v>8.0000000000000002E-3</v>
      </c>
      <c r="CS6" s="997">
        <f>data!F37</f>
        <v>5.600000000000005E-2</v>
      </c>
      <c r="CT6" s="997">
        <f>data!C37</f>
        <v>12000</v>
      </c>
      <c r="CU6" s="997">
        <f>data!D37</f>
        <v>15000</v>
      </c>
      <c r="CV6" s="1034">
        <f>data!E37</f>
        <v>51000</v>
      </c>
      <c r="CW6" s="997">
        <f>data!L57</f>
        <v>8.0000000000000002E-3</v>
      </c>
    </row>
    <row r="7" spans="1:111" x14ac:dyDescent="0.35">
      <c r="A7" s="997">
        <f t="shared" si="12"/>
        <v>5</v>
      </c>
      <c r="B7" s="1003" t="str">
        <f>IF(input_engine_rx!$P$21&gt;A6,VLOOKUP(A7,input_engine_rx!$P$23:$T$35,2,FALSE),"")</f>
        <v/>
      </c>
      <c r="C7" s="997" t="str">
        <f t="shared" si="13"/>
        <v/>
      </c>
      <c r="D7" s="1003">
        <f t="shared" si="14"/>
        <v>45382</v>
      </c>
      <c r="E7" s="1002" t="str">
        <f>IF(B7="",E6,VLOOKUP(B7,input_engine_rx!$B$23:$F$35,5,FALSE))</f>
        <v>nn</v>
      </c>
      <c r="F7" s="1003" t="str">
        <f t="shared" si="15"/>
        <v/>
      </c>
      <c r="G7" s="1003" t="str">
        <f t="shared" si="16"/>
        <v/>
      </c>
      <c r="H7" s="1002">
        <f t="shared" si="17"/>
        <v>0</v>
      </c>
      <c r="I7" s="997">
        <f t="shared" si="1"/>
        <v>0</v>
      </c>
      <c r="J7" s="997">
        <f t="shared" si="2"/>
        <v>0</v>
      </c>
      <c r="K7" s="997">
        <f t="shared" si="3"/>
        <v>0</v>
      </c>
      <c r="L7" s="997" t="str">
        <f>IF(input_engine_rx!$P$21&gt;A6,VLOOKUP(A7,input_engine_rx!$P$23:$T$36,3,FALSE),"")</f>
        <v/>
      </c>
      <c r="M7" s="1002" t="str">
        <f t="shared" si="18"/>
        <v>up</v>
      </c>
      <c r="N7" s="1002" t="str">
        <f t="shared" si="46"/>
        <v/>
      </c>
      <c r="O7" s="1002" t="str">
        <f t="shared" si="4"/>
        <v/>
      </c>
      <c r="P7" s="1032">
        <f t="shared" si="19"/>
        <v>0.499</v>
      </c>
      <c r="Q7" s="997" t="str">
        <f t="shared" si="20"/>
        <v/>
      </c>
      <c r="R7" s="997">
        <f t="shared" si="21"/>
        <v>0</v>
      </c>
      <c r="S7" s="1006">
        <f>IF(input_engine_rx!$P$21&gt;A6,VLOOKUP(A7,input_engine_rx!$P$23:$T$35,4,FALSE),0)</f>
        <v>0</v>
      </c>
      <c r="T7" s="2442">
        <f t="shared" ca="1" si="22"/>
        <v>0</v>
      </c>
      <c r="U7" s="997" t="b">
        <f t="shared" si="23"/>
        <v>0</v>
      </c>
      <c r="V7" s="997" t="b">
        <f>advanced!$M$22="y"</f>
        <v>0</v>
      </c>
      <c r="W7" s="997">
        <f>data!$D$33</f>
        <v>15000</v>
      </c>
      <c r="X7" s="997" t="b">
        <f t="shared" si="24"/>
        <v>0</v>
      </c>
      <c r="Y7" s="997">
        <f t="shared" si="25"/>
        <v>0</v>
      </c>
      <c r="Z7" s="997">
        <f t="shared" si="5"/>
        <v>0</v>
      </c>
      <c r="AA7" s="1002">
        <f>data!$G$53</f>
        <v>75000</v>
      </c>
      <c r="AB7" s="1002">
        <f>data!$F$53</f>
        <v>0.02</v>
      </c>
      <c r="AC7" s="997">
        <f t="shared" si="26"/>
        <v>0</v>
      </c>
      <c r="AD7" s="997">
        <f>IF(B7="",0,(IF($AE$1=authorities!$I$1,0,IF(L7&gt;AE7,VLOOKUP($AD$1,authorities!A:H,C7+1,FALSE),0)))*L7/$CK$2*H7)</f>
        <v>0</v>
      </c>
      <c r="AE7" s="997">
        <f>IF($AE$1=authorities!$I$1,0,$AE$1)</f>
        <v>0</v>
      </c>
      <c r="AF7" s="1002">
        <f>IF(input_engine_rx!$P$21&gt;A6,VLOOKUP(A7,input_engine_rx!$P$23:$T$35,5,FALSE),0)</f>
        <v>0</v>
      </c>
      <c r="AG7" s="1002">
        <f>data!$C$43</f>
        <v>2900</v>
      </c>
      <c r="AH7" s="1007">
        <f t="shared" si="6"/>
        <v>1</v>
      </c>
      <c r="AI7" s="997">
        <f t="shared" si="27"/>
        <v>0</v>
      </c>
      <c r="AJ7" s="997" t="b">
        <f t="shared" si="7"/>
        <v>0</v>
      </c>
      <c r="AL7" s="997">
        <f t="shared" si="28"/>
        <v>0</v>
      </c>
      <c r="AO7" s="1002">
        <f t="shared" si="29"/>
        <v>0</v>
      </c>
      <c r="AP7" s="1002">
        <f>SUM($AO$3:AO7)</f>
        <v>1</v>
      </c>
      <c r="AQ7" s="1002">
        <f t="shared" si="30"/>
        <v>366</v>
      </c>
      <c r="AR7" s="997">
        <f t="shared" ca="1" si="31"/>
        <v>0</v>
      </c>
      <c r="AS7" s="997"/>
      <c r="AT7" s="997">
        <f t="shared" si="32"/>
        <v>0</v>
      </c>
      <c r="AU7" s="997" t="b">
        <f t="shared" si="8"/>
        <v>1</v>
      </c>
      <c r="AV7" s="997" t="b">
        <f t="shared" si="9"/>
        <v>0</v>
      </c>
      <c r="AW7" s="997" t="b">
        <f t="shared" si="10"/>
        <v>0</v>
      </c>
      <c r="AX7" s="997">
        <f t="shared" si="33"/>
        <v>0</v>
      </c>
      <c r="AY7" s="997">
        <f ca="1">AR7/reliefs!$D$7*AX7*-1</f>
        <v>0</v>
      </c>
      <c r="AZ7" s="1002">
        <f t="shared" ca="1" si="34"/>
        <v>0</v>
      </c>
      <c r="BA7" s="2370"/>
      <c r="BB7" s="997"/>
      <c r="BC7" s="997"/>
      <c r="BD7" s="997"/>
      <c r="BE7" s="997"/>
      <c r="BG7" s="997">
        <f t="shared" si="35"/>
        <v>0</v>
      </c>
      <c r="BH7" s="997">
        <f t="shared" si="36"/>
        <v>15000</v>
      </c>
      <c r="BI7" s="1001">
        <f t="shared" si="36"/>
        <v>0</v>
      </c>
      <c r="BJ7" s="997">
        <f t="shared" si="36"/>
        <v>5000000</v>
      </c>
      <c r="BK7" s="997">
        <f t="shared" si="36"/>
        <v>0.499</v>
      </c>
      <c r="BL7" s="997" t="b">
        <f t="shared" si="36"/>
        <v>1</v>
      </c>
      <c r="BM7" s="997" t="b">
        <f t="shared" si="36"/>
        <v>0</v>
      </c>
      <c r="BN7" s="997">
        <f t="shared" si="36"/>
        <v>0</v>
      </c>
      <c r="BO7" s="997">
        <f t="shared" si="37"/>
        <v>0</v>
      </c>
      <c r="BP7" s="997"/>
      <c r="BQ7" s="997"/>
      <c r="BR7" s="997">
        <f t="shared" si="38"/>
        <v>600</v>
      </c>
      <c r="BS7" s="997"/>
      <c r="BT7" s="997" t="b">
        <f t="shared" si="39"/>
        <v>0</v>
      </c>
      <c r="BU7" s="997" t="b">
        <f t="shared" si="47"/>
        <v>1</v>
      </c>
      <c r="BV7" s="997" t="b">
        <f t="shared" si="40"/>
        <v>0</v>
      </c>
      <c r="BW7" s="997" t="b">
        <f t="shared" si="41"/>
        <v>0</v>
      </c>
      <c r="BX7" s="997" t="b">
        <f t="shared" si="42"/>
        <v>0</v>
      </c>
      <c r="BY7" s="997">
        <f t="shared" si="43"/>
        <v>600</v>
      </c>
      <c r="BZ7" s="997">
        <f t="shared" si="44"/>
        <v>366</v>
      </c>
      <c r="CA7" s="997">
        <f t="shared" si="48"/>
        <v>0</v>
      </c>
      <c r="CB7" s="997">
        <f t="shared" si="45"/>
        <v>0</v>
      </c>
      <c r="CC7" s="997">
        <f t="shared" si="11"/>
        <v>0</v>
      </c>
      <c r="CD7" s="997">
        <f t="shared" si="49"/>
        <v>600</v>
      </c>
      <c r="CE7" s="1002" t="b">
        <f t="shared" si="50"/>
        <v>0</v>
      </c>
      <c r="CH7" s="1031">
        <f>data!B18</f>
        <v>46844</v>
      </c>
      <c r="CI7" s="997">
        <v>6</v>
      </c>
      <c r="CJ7" s="1003">
        <f>data!E18</f>
        <v>47208</v>
      </c>
      <c r="CK7" s="1002">
        <f t="shared" si="0"/>
        <v>365</v>
      </c>
      <c r="CL7" s="1032">
        <f>data!C58</f>
        <v>0.56200000000000006</v>
      </c>
      <c r="CM7" s="1033">
        <f ca="1">nncalc2!$I$31*$CV$1</f>
        <v>0</v>
      </c>
      <c r="CN7" s="1033">
        <f ca="1">nccalc2!$I$31*$CV$1</f>
        <v>0</v>
      </c>
      <c r="CO7" s="1033">
        <f ca="1">bncalc2!$I$31*$CV$1</f>
        <v>0</v>
      </c>
      <c r="CP7" s="1033">
        <f ca="1">bccalc2!$I$31*$CV$1</f>
        <v>0</v>
      </c>
      <c r="CQ7" s="997">
        <f>data!E58</f>
        <v>1.2E-2</v>
      </c>
      <c r="CS7" s="997">
        <f>data!F38</f>
        <v>5.600000000000005E-2</v>
      </c>
      <c r="CT7" s="997">
        <f>data!C38</f>
        <v>12000</v>
      </c>
      <c r="CU7" s="997">
        <f>data!D38</f>
        <v>15000</v>
      </c>
      <c r="CV7" s="1034">
        <f>data!E38</f>
        <v>51000</v>
      </c>
      <c r="CW7" s="997">
        <f>data!L58</f>
        <v>1.2E-2</v>
      </c>
    </row>
    <row r="8" spans="1:111" x14ac:dyDescent="0.35">
      <c r="A8" s="997">
        <f t="shared" si="12"/>
        <v>6</v>
      </c>
      <c r="B8" s="1003" t="str">
        <f>IF(input_engine_rx!$P$21&gt;A7,VLOOKUP(A8,input_engine_rx!$P$23:$T$35,2,FALSE),"")</f>
        <v/>
      </c>
      <c r="C8" s="997" t="str">
        <f t="shared" si="13"/>
        <v/>
      </c>
      <c r="D8" s="1003">
        <f t="shared" si="14"/>
        <v>45382</v>
      </c>
      <c r="E8" s="1002" t="str">
        <f>IF(B8="",E7,VLOOKUP(B8,input_engine_rx!$B$23:$F$35,5,FALSE))</f>
        <v>nn</v>
      </c>
      <c r="F8" s="1003" t="str">
        <f t="shared" si="15"/>
        <v/>
      </c>
      <c r="G8" s="1003" t="str">
        <f t="shared" si="16"/>
        <v/>
      </c>
      <c r="H8" s="1002">
        <f t="shared" si="17"/>
        <v>0</v>
      </c>
      <c r="I8" s="997">
        <f t="shared" si="1"/>
        <v>0</v>
      </c>
      <c r="J8" s="997">
        <f t="shared" si="2"/>
        <v>0</v>
      </c>
      <c r="K8" s="997">
        <f t="shared" si="3"/>
        <v>0</v>
      </c>
      <c r="L8" s="997" t="str">
        <f>IF(input_engine_rx!$P$21&gt;A7,VLOOKUP(A8,input_engine_rx!$P$23:$T$36,3,FALSE),"")</f>
        <v/>
      </c>
      <c r="M8" s="1002" t="str">
        <f t="shared" si="18"/>
        <v>up</v>
      </c>
      <c r="N8" s="1002" t="str">
        <f t="shared" si="46"/>
        <v/>
      </c>
      <c r="O8" s="1002" t="str">
        <f t="shared" si="4"/>
        <v/>
      </c>
      <c r="P8" s="1032">
        <f t="shared" si="19"/>
        <v>0.499</v>
      </c>
      <c r="Q8" s="997" t="str">
        <f t="shared" si="20"/>
        <v/>
      </c>
      <c r="R8" s="997">
        <f t="shared" si="21"/>
        <v>0</v>
      </c>
      <c r="S8" s="1006">
        <f>IF(input_engine_rx!$P$21&gt;A7,VLOOKUP(A8,input_engine_rx!$P$23:$T$35,4,FALSE),0)</f>
        <v>0</v>
      </c>
      <c r="T8" s="2442">
        <f t="shared" ca="1" si="22"/>
        <v>0</v>
      </c>
      <c r="U8" s="997" t="b">
        <f t="shared" si="23"/>
        <v>0</v>
      </c>
      <c r="V8" s="997" t="b">
        <f>advanced!$M$22="y"</f>
        <v>0</v>
      </c>
      <c r="W8" s="997">
        <f>data!$D$33</f>
        <v>15000</v>
      </c>
      <c r="X8" s="997" t="b">
        <f t="shared" si="24"/>
        <v>0</v>
      </c>
      <c r="Y8" s="997">
        <f t="shared" si="25"/>
        <v>0</v>
      </c>
      <c r="Z8" s="997">
        <f t="shared" si="5"/>
        <v>0</v>
      </c>
      <c r="AA8" s="1002">
        <f>data!$G$53</f>
        <v>75000</v>
      </c>
      <c r="AB8" s="1002">
        <f>data!$F$53</f>
        <v>0.02</v>
      </c>
      <c r="AC8" s="997">
        <f t="shared" si="26"/>
        <v>0</v>
      </c>
      <c r="AD8" s="997">
        <f>IF(B8="",0,(IF($AE$1=authorities!$I$1,0,IF(L8&gt;AE8,VLOOKUP($AD$1,authorities!A:H,C8+1,FALSE),0)))*L8/$CK$2*H8)</f>
        <v>0</v>
      </c>
      <c r="AE8" s="997">
        <f>IF($AE$1=authorities!$I$1,0,$AE$1)</f>
        <v>0</v>
      </c>
      <c r="AF8" s="1002">
        <f>IF(input_engine_rx!$P$21&gt;A7,VLOOKUP(A8,input_engine_rx!$P$23:$T$35,5,FALSE),0)</f>
        <v>0</v>
      </c>
      <c r="AG8" s="1002">
        <f>data!$C$43</f>
        <v>2900</v>
      </c>
      <c r="AH8" s="1007">
        <f t="shared" si="6"/>
        <v>1</v>
      </c>
      <c r="AI8" s="997">
        <f t="shared" si="27"/>
        <v>0</v>
      </c>
      <c r="AJ8" s="997" t="b">
        <f t="shared" si="7"/>
        <v>0</v>
      </c>
      <c r="AL8" s="997">
        <f t="shared" si="28"/>
        <v>0</v>
      </c>
      <c r="AO8" s="1002">
        <f t="shared" si="29"/>
        <v>0</v>
      </c>
      <c r="AP8" s="1002">
        <f>SUM($AO$3:AO8)</f>
        <v>1</v>
      </c>
      <c r="AQ8" s="1002">
        <f t="shared" si="30"/>
        <v>366</v>
      </c>
      <c r="AR8" s="997">
        <f t="shared" ca="1" si="31"/>
        <v>0</v>
      </c>
      <c r="AS8" s="997"/>
      <c r="AT8" s="997">
        <f t="shared" si="32"/>
        <v>0</v>
      </c>
      <c r="AU8" s="997" t="b">
        <f t="shared" si="8"/>
        <v>1</v>
      </c>
      <c r="AV8" s="997" t="b">
        <f t="shared" si="9"/>
        <v>0</v>
      </c>
      <c r="AW8" s="997" t="b">
        <f t="shared" si="10"/>
        <v>0</v>
      </c>
      <c r="AX8" s="997">
        <f t="shared" si="33"/>
        <v>0</v>
      </c>
      <c r="AY8" s="997">
        <f ca="1">AR8/reliefs!$D$7*AX8*-1</f>
        <v>0</v>
      </c>
      <c r="AZ8" s="1002">
        <f t="shared" ca="1" si="34"/>
        <v>0</v>
      </c>
      <c r="BA8" s="2370"/>
      <c r="BB8" s="997"/>
      <c r="BC8" s="997"/>
      <c r="BD8" s="997"/>
      <c r="BE8" s="997"/>
      <c r="BG8" s="997">
        <f t="shared" si="35"/>
        <v>0</v>
      </c>
      <c r="BH8" s="997">
        <f t="shared" si="36"/>
        <v>15000</v>
      </c>
      <c r="BI8" s="1001">
        <f t="shared" si="36"/>
        <v>0</v>
      </c>
      <c r="BJ8" s="997">
        <f t="shared" si="36"/>
        <v>5000000</v>
      </c>
      <c r="BK8" s="997">
        <f t="shared" si="36"/>
        <v>0.499</v>
      </c>
      <c r="BL8" s="997" t="b">
        <f t="shared" si="36"/>
        <v>1</v>
      </c>
      <c r="BM8" s="997" t="b">
        <f t="shared" si="36"/>
        <v>0</v>
      </c>
      <c r="BN8" s="997">
        <f t="shared" si="36"/>
        <v>0</v>
      </c>
      <c r="BO8" s="997">
        <f t="shared" si="37"/>
        <v>0</v>
      </c>
      <c r="BP8" s="997"/>
      <c r="BQ8" s="997"/>
      <c r="BR8" s="997">
        <f t="shared" si="38"/>
        <v>600</v>
      </c>
      <c r="BS8" s="997"/>
      <c r="BT8" s="997" t="b">
        <f t="shared" si="39"/>
        <v>0</v>
      </c>
      <c r="BU8" s="997" t="b">
        <f t="shared" si="47"/>
        <v>1</v>
      </c>
      <c r="BV8" s="997" t="b">
        <f t="shared" si="40"/>
        <v>0</v>
      </c>
      <c r="BW8" s="997" t="b">
        <f t="shared" si="41"/>
        <v>0</v>
      </c>
      <c r="BX8" s="997" t="b">
        <f t="shared" si="42"/>
        <v>0</v>
      </c>
      <c r="BY8" s="997">
        <f t="shared" si="43"/>
        <v>600</v>
      </c>
      <c r="BZ8" s="997">
        <f t="shared" si="44"/>
        <v>366</v>
      </c>
      <c r="CA8" s="997">
        <f t="shared" si="48"/>
        <v>0</v>
      </c>
      <c r="CB8" s="997">
        <f t="shared" si="45"/>
        <v>0</v>
      </c>
      <c r="CC8" s="997">
        <f t="shared" si="11"/>
        <v>0</v>
      </c>
      <c r="CD8" s="997">
        <f t="shared" si="49"/>
        <v>600</v>
      </c>
      <c r="CE8" s="1002" t="b">
        <f t="shared" si="50"/>
        <v>0</v>
      </c>
      <c r="CH8" s="1031"/>
      <c r="CJ8" s="1003"/>
      <c r="CK8" s="1002"/>
      <c r="CM8" s="1033"/>
      <c r="CN8" s="1033"/>
      <c r="CO8" s="1033"/>
      <c r="CP8" s="1033"/>
      <c r="CV8" s="1034"/>
    </row>
    <row r="9" spans="1:111" x14ac:dyDescent="0.35">
      <c r="A9" s="997">
        <f t="shared" si="12"/>
        <v>7</v>
      </c>
      <c r="B9" s="1003" t="str">
        <f>IF(input_engine_rx!$P$21&gt;A8,VLOOKUP(A9,input_engine_rx!$P$23:$T$35,2,FALSE),"")</f>
        <v/>
      </c>
      <c r="C9" s="997" t="str">
        <f t="shared" si="13"/>
        <v/>
      </c>
      <c r="D9" s="1003">
        <f t="shared" si="14"/>
        <v>45382</v>
      </c>
      <c r="E9" s="1002" t="str">
        <f>IF(B9="",E8,VLOOKUP(B9,input_engine_rx!$B$23:$F$35,5,FALSE))</f>
        <v>nn</v>
      </c>
      <c r="F9" s="1003" t="str">
        <f t="shared" si="15"/>
        <v/>
      </c>
      <c r="G9" s="1003" t="str">
        <f t="shared" si="16"/>
        <v/>
      </c>
      <c r="H9" s="1002">
        <f t="shared" si="17"/>
        <v>0</v>
      </c>
      <c r="I9" s="997">
        <f t="shared" si="1"/>
        <v>0</v>
      </c>
      <c r="J9" s="997">
        <f t="shared" si="2"/>
        <v>0</v>
      </c>
      <c r="K9" s="997">
        <f t="shared" si="3"/>
        <v>0</v>
      </c>
      <c r="L9" s="997" t="str">
        <f>IF(input_engine_rx!$P$21&gt;A8,VLOOKUP(A9,input_engine_rx!$P$23:$T$36,3,FALSE),"")</f>
        <v/>
      </c>
      <c r="M9" s="1002" t="str">
        <f t="shared" si="18"/>
        <v>up</v>
      </c>
      <c r="N9" s="1002" t="str">
        <f t="shared" si="46"/>
        <v/>
      </c>
      <c r="O9" s="1002" t="str">
        <f t="shared" si="4"/>
        <v/>
      </c>
      <c r="P9" s="1032">
        <f t="shared" si="19"/>
        <v>0.499</v>
      </c>
      <c r="Q9" s="997" t="str">
        <f t="shared" si="20"/>
        <v/>
      </c>
      <c r="R9" s="997">
        <f t="shared" si="21"/>
        <v>0</v>
      </c>
      <c r="S9" s="1006">
        <f>IF(input_engine_rx!$P$21&gt;A8,VLOOKUP(A9,input_engine_rx!$P$23:$T$35,4,FALSE),0)</f>
        <v>0</v>
      </c>
      <c r="T9" s="2442">
        <f t="shared" ca="1" si="22"/>
        <v>0</v>
      </c>
      <c r="U9" s="997" t="b">
        <f t="shared" si="23"/>
        <v>0</v>
      </c>
      <c r="V9" s="997" t="b">
        <f>advanced!$M$22="y"</f>
        <v>0</v>
      </c>
      <c r="W9" s="997">
        <f>data!$D$33</f>
        <v>15000</v>
      </c>
      <c r="X9" s="997" t="b">
        <f t="shared" si="24"/>
        <v>0</v>
      </c>
      <c r="Y9" s="997">
        <f t="shared" si="25"/>
        <v>0</v>
      </c>
      <c r="Z9" s="997">
        <f t="shared" si="5"/>
        <v>0</v>
      </c>
      <c r="AA9" s="1002">
        <f>data!$G$53</f>
        <v>75000</v>
      </c>
      <c r="AB9" s="1002">
        <f>data!$F$53</f>
        <v>0.02</v>
      </c>
      <c r="AC9" s="997">
        <f t="shared" si="26"/>
        <v>0</v>
      </c>
      <c r="AD9" s="997">
        <f>IF(B9="",0,(IF($AE$1=authorities!$I$1,0,IF(L9&gt;AE9,VLOOKUP($AD$1,authorities!A:H,C9+1,FALSE),0)))*L9/$CK$2*H9)</f>
        <v>0</v>
      </c>
      <c r="AE9" s="997">
        <f>IF($AE$1=authorities!$I$1,0,$AE$1)</f>
        <v>0</v>
      </c>
      <c r="AF9" s="1002">
        <f>IF(input_engine_rx!$P$21&gt;A8,VLOOKUP(A9,input_engine_rx!$P$23:$T$35,5,FALSE),0)</f>
        <v>0</v>
      </c>
      <c r="AG9" s="1002">
        <f>data!$C$43</f>
        <v>2900</v>
      </c>
      <c r="AH9" s="1007">
        <f t="shared" si="6"/>
        <v>1</v>
      </c>
      <c r="AI9" s="997">
        <f t="shared" si="27"/>
        <v>0</v>
      </c>
      <c r="AJ9" s="997" t="b">
        <f t="shared" si="7"/>
        <v>0</v>
      </c>
      <c r="AL9" s="997">
        <f t="shared" si="28"/>
        <v>0</v>
      </c>
      <c r="AO9" s="1002">
        <f t="shared" si="29"/>
        <v>0</v>
      </c>
      <c r="AP9" s="1002">
        <f>SUM($AO$3:AO9)</f>
        <v>1</v>
      </c>
      <c r="AQ9" s="1002">
        <f t="shared" si="30"/>
        <v>366</v>
      </c>
      <c r="AR9" s="997">
        <f t="shared" ca="1" si="31"/>
        <v>0</v>
      </c>
      <c r="AS9" s="997"/>
      <c r="AT9" s="997">
        <f t="shared" si="32"/>
        <v>0</v>
      </c>
      <c r="AU9" s="997" t="b">
        <f t="shared" si="8"/>
        <v>1</v>
      </c>
      <c r="AV9" s="997" t="b">
        <f t="shared" si="9"/>
        <v>0</v>
      </c>
      <c r="AW9" s="997" t="b">
        <f t="shared" si="10"/>
        <v>0</v>
      </c>
      <c r="AX9" s="997">
        <f t="shared" si="33"/>
        <v>0</v>
      </c>
      <c r="AY9" s="997">
        <f ca="1">AR9/reliefs!$D$7*AX9*-1</f>
        <v>0</v>
      </c>
      <c r="AZ9" s="1002">
        <f t="shared" ca="1" si="34"/>
        <v>0</v>
      </c>
      <c r="BA9" s="2370"/>
      <c r="BB9" s="997"/>
      <c r="BC9" s="997"/>
      <c r="BD9" s="997"/>
      <c r="BE9" s="997"/>
      <c r="BG9" s="997">
        <f t="shared" si="35"/>
        <v>0</v>
      </c>
      <c r="BH9" s="997">
        <f t="shared" si="36"/>
        <v>15000</v>
      </c>
      <c r="BI9" s="1001">
        <f t="shared" si="36"/>
        <v>0</v>
      </c>
      <c r="BJ9" s="997">
        <f t="shared" si="36"/>
        <v>5000000</v>
      </c>
      <c r="BK9" s="997">
        <f t="shared" si="36"/>
        <v>0.499</v>
      </c>
      <c r="BL9" s="997" t="b">
        <f t="shared" si="36"/>
        <v>1</v>
      </c>
      <c r="BM9" s="997" t="b">
        <f t="shared" si="36"/>
        <v>0</v>
      </c>
      <c r="BN9" s="997">
        <f t="shared" si="36"/>
        <v>0</v>
      </c>
      <c r="BO9" s="997">
        <f t="shared" si="37"/>
        <v>0</v>
      </c>
      <c r="BP9" s="997"/>
      <c r="BQ9" s="997"/>
      <c r="BR9" s="997">
        <f t="shared" si="38"/>
        <v>600</v>
      </c>
      <c r="BS9" s="997"/>
      <c r="BT9" s="997" t="b">
        <f t="shared" si="39"/>
        <v>0</v>
      </c>
      <c r="BU9" s="997" t="b">
        <f t="shared" si="47"/>
        <v>1</v>
      </c>
      <c r="BV9" s="997" t="b">
        <f t="shared" si="40"/>
        <v>0</v>
      </c>
      <c r="BW9" s="997" t="b">
        <f t="shared" si="41"/>
        <v>0</v>
      </c>
      <c r="BX9" s="997" t="b">
        <f t="shared" si="42"/>
        <v>0</v>
      </c>
      <c r="BY9" s="997">
        <f t="shared" si="43"/>
        <v>600</v>
      </c>
      <c r="BZ9" s="997">
        <f t="shared" si="44"/>
        <v>366</v>
      </c>
      <c r="CA9" s="997">
        <f t="shared" si="48"/>
        <v>0</v>
      </c>
      <c r="CB9" s="997">
        <f t="shared" si="45"/>
        <v>0</v>
      </c>
      <c r="CC9" s="997">
        <f t="shared" si="11"/>
        <v>0</v>
      </c>
      <c r="CD9" s="997">
        <f t="shared" si="49"/>
        <v>600</v>
      </c>
      <c r="CE9" s="1002" t="b">
        <f t="shared" si="50"/>
        <v>0</v>
      </c>
      <c r="CH9" s="1031"/>
      <c r="CJ9" s="1003"/>
      <c r="CK9" s="1002"/>
      <c r="CM9" s="1035">
        <v>0</v>
      </c>
      <c r="CN9" s="1035">
        <v>0</v>
      </c>
      <c r="CO9" s="1035">
        <v>0</v>
      </c>
      <c r="CP9" s="1035">
        <v>0</v>
      </c>
      <c r="CV9" s="1034"/>
    </row>
    <row r="10" spans="1:111" x14ac:dyDescent="0.35">
      <c r="A10" s="997">
        <f t="shared" si="12"/>
        <v>8</v>
      </c>
      <c r="B10" s="1003" t="str">
        <f>IF(input_engine_rx!$P$21&gt;A9,VLOOKUP(A10,input_engine_rx!$P$23:$T$35,2,FALSE),"")</f>
        <v/>
      </c>
      <c r="C10" s="997" t="str">
        <f t="shared" si="13"/>
        <v/>
      </c>
      <c r="D10" s="1003">
        <f t="shared" si="14"/>
        <v>45382</v>
      </c>
      <c r="E10" s="1002" t="str">
        <f>IF(B10="",E9,VLOOKUP(B10,input_engine_rx!$B$23:$F$35,5,FALSE))</f>
        <v>nn</v>
      </c>
      <c r="F10" s="1003" t="str">
        <f t="shared" si="15"/>
        <v/>
      </c>
      <c r="G10" s="1003" t="str">
        <f t="shared" si="16"/>
        <v/>
      </c>
      <c r="H10" s="1002">
        <f t="shared" si="17"/>
        <v>0</v>
      </c>
      <c r="I10" s="997">
        <f t="shared" si="1"/>
        <v>0</v>
      </c>
      <c r="J10" s="997">
        <f t="shared" si="2"/>
        <v>0</v>
      </c>
      <c r="K10" s="997">
        <f t="shared" si="3"/>
        <v>0</v>
      </c>
      <c r="L10" s="997" t="str">
        <f>IF(input_engine_rx!$P$21&gt;A9,VLOOKUP(A10,input_engine_rx!$P$23:$T$36,3,FALSE),"")</f>
        <v/>
      </c>
      <c r="M10" s="1002" t="str">
        <f t="shared" si="18"/>
        <v>up</v>
      </c>
      <c r="N10" s="1002" t="str">
        <f t="shared" si="46"/>
        <v/>
      </c>
      <c r="O10" s="1002" t="str">
        <f t="shared" si="4"/>
        <v/>
      </c>
      <c r="P10" s="1032">
        <f t="shared" si="19"/>
        <v>0.499</v>
      </c>
      <c r="Q10" s="997" t="str">
        <f t="shared" si="20"/>
        <v/>
      </c>
      <c r="R10" s="997">
        <f t="shared" si="21"/>
        <v>0</v>
      </c>
      <c r="S10" s="1006">
        <f>IF(input_engine_rx!$P$21&gt;A9,VLOOKUP(A10,input_engine_rx!$P$23:$T$35,4,FALSE),0)</f>
        <v>0</v>
      </c>
      <c r="T10" s="2442">
        <f t="shared" ca="1" si="22"/>
        <v>0</v>
      </c>
      <c r="U10" s="997" t="b">
        <f t="shared" si="23"/>
        <v>0</v>
      </c>
      <c r="V10" s="997" t="b">
        <f>advanced!$M$22="y"</f>
        <v>0</v>
      </c>
      <c r="W10" s="997">
        <f>data!$D$33</f>
        <v>15000</v>
      </c>
      <c r="X10" s="997" t="b">
        <f t="shared" si="24"/>
        <v>0</v>
      </c>
      <c r="Y10" s="997">
        <f t="shared" si="25"/>
        <v>0</v>
      </c>
      <c r="Z10" s="997">
        <f t="shared" si="5"/>
        <v>0</v>
      </c>
      <c r="AA10" s="1002">
        <f>data!$G$53</f>
        <v>75000</v>
      </c>
      <c r="AB10" s="1002">
        <f>data!$F$53</f>
        <v>0.02</v>
      </c>
      <c r="AC10" s="997">
        <f t="shared" si="26"/>
        <v>0</v>
      </c>
      <c r="AD10" s="997">
        <f>IF(B10="",0,(IF($AE$1=authorities!$I$1,0,IF(L10&gt;AE10,VLOOKUP($AD$1,authorities!A:H,C10+1,FALSE),0)))*L10/$CK$2*H10)</f>
        <v>0</v>
      </c>
      <c r="AE10" s="997">
        <f>IF($AE$1=authorities!$I$1,0,$AE$1)</f>
        <v>0</v>
      </c>
      <c r="AF10" s="1002">
        <f>IF(input_engine_rx!$P$21&gt;A9,VLOOKUP(A10,input_engine_rx!$P$23:$T$35,5,FALSE),0)</f>
        <v>0</v>
      </c>
      <c r="AG10" s="1002">
        <f>data!$C$43</f>
        <v>2900</v>
      </c>
      <c r="AH10" s="1007">
        <f t="shared" si="6"/>
        <v>1</v>
      </c>
      <c r="AI10" s="997">
        <f t="shared" si="27"/>
        <v>0</v>
      </c>
      <c r="AJ10" s="997" t="b">
        <f t="shared" si="7"/>
        <v>0</v>
      </c>
      <c r="AL10" s="997">
        <f t="shared" si="28"/>
        <v>0</v>
      </c>
      <c r="AO10" s="1002">
        <f t="shared" si="29"/>
        <v>0</v>
      </c>
      <c r="AP10" s="1002">
        <f>SUM($AO$3:AO10)</f>
        <v>1</v>
      </c>
      <c r="AQ10" s="1002">
        <f t="shared" si="30"/>
        <v>366</v>
      </c>
      <c r="AR10" s="997">
        <f t="shared" ca="1" si="31"/>
        <v>0</v>
      </c>
      <c r="AS10" s="997"/>
      <c r="AT10" s="997">
        <f t="shared" si="32"/>
        <v>0</v>
      </c>
      <c r="AU10" s="997" t="b">
        <f t="shared" si="8"/>
        <v>1</v>
      </c>
      <c r="AV10" s="997" t="b">
        <f t="shared" si="9"/>
        <v>0</v>
      </c>
      <c r="AW10" s="997" t="b">
        <f t="shared" si="10"/>
        <v>0</v>
      </c>
      <c r="AX10" s="997">
        <f t="shared" si="33"/>
        <v>0</v>
      </c>
      <c r="AY10" s="997">
        <f ca="1">AR10/reliefs!$D$7*AX10*-1</f>
        <v>0</v>
      </c>
      <c r="AZ10" s="1002">
        <f t="shared" ca="1" si="34"/>
        <v>0</v>
      </c>
      <c r="BA10" s="2370"/>
      <c r="BB10" s="997"/>
      <c r="BC10" s="997"/>
      <c r="BD10" s="997"/>
      <c r="BE10" s="997"/>
      <c r="BG10" s="997">
        <f t="shared" si="35"/>
        <v>0</v>
      </c>
      <c r="BH10" s="997">
        <f t="shared" si="36"/>
        <v>15000</v>
      </c>
      <c r="BI10" s="1001">
        <f t="shared" si="36"/>
        <v>0</v>
      </c>
      <c r="BJ10" s="997">
        <f t="shared" si="36"/>
        <v>5000000</v>
      </c>
      <c r="BK10" s="997">
        <f t="shared" si="36"/>
        <v>0.499</v>
      </c>
      <c r="BL10" s="997" t="b">
        <f t="shared" si="36"/>
        <v>1</v>
      </c>
      <c r="BM10" s="997" t="b">
        <f t="shared" si="36"/>
        <v>0</v>
      </c>
      <c r="BN10" s="997">
        <f t="shared" si="36"/>
        <v>0</v>
      </c>
      <c r="BO10" s="997">
        <f t="shared" si="37"/>
        <v>0</v>
      </c>
      <c r="BP10" s="997"/>
      <c r="BQ10" s="997"/>
      <c r="BR10" s="997">
        <f t="shared" si="38"/>
        <v>600</v>
      </c>
      <c r="BS10" s="997"/>
      <c r="BT10" s="997" t="b">
        <f t="shared" si="39"/>
        <v>0</v>
      </c>
      <c r="BU10" s="997" t="b">
        <f t="shared" si="47"/>
        <v>1</v>
      </c>
      <c r="BV10" s="997" t="b">
        <f t="shared" si="40"/>
        <v>0</v>
      </c>
      <c r="BW10" s="997" t="b">
        <f t="shared" si="41"/>
        <v>0</v>
      </c>
      <c r="BX10" s="997" t="b">
        <f t="shared" si="42"/>
        <v>0</v>
      </c>
      <c r="BY10" s="997">
        <f t="shared" si="43"/>
        <v>600</v>
      </c>
      <c r="BZ10" s="997">
        <f t="shared" si="44"/>
        <v>366</v>
      </c>
      <c r="CA10" s="997">
        <f t="shared" si="48"/>
        <v>0</v>
      </c>
      <c r="CB10" s="997">
        <f t="shared" si="45"/>
        <v>0</v>
      </c>
      <c r="CC10" s="997">
        <f t="shared" si="11"/>
        <v>0</v>
      </c>
      <c r="CD10" s="997">
        <f t="shared" si="49"/>
        <v>600</v>
      </c>
      <c r="CE10" s="1002" t="b">
        <f t="shared" si="50"/>
        <v>0</v>
      </c>
      <c r="CH10" s="1036"/>
      <c r="CM10" s="1037">
        <f>nncalc2!$D$5</f>
        <v>0</v>
      </c>
      <c r="CN10" s="1037">
        <f>nccalc2!$D$5</f>
        <v>0</v>
      </c>
      <c r="CO10" s="1037">
        <f>bncalc2!$D$5</f>
        <v>0</v>
      </c>
      <c r="CP10" s="1037">
        <f>bccalc2!$D$5</f>
        <v>0</v>
      </c>
      <c r="CV10" s="1034"/>
    </row>
    <row r="11" spans="1:111" x14ac:dyDescent="0.35">
      <c r="A11" s="997">
        <f t="shared" si="12"/>
        <v>9</v>
      </c>
      <c r="B11" s="1003" t="str">
        <f>IF(input_engine_rx!$P$21&gt;A10,VLOOKUP(A11,input_engine_rx!$P$23:$T$35,2,FALSE),"")</f>
        <v/>
      </c>
      <c r="C11" s="997" t="str">
        <f t="shared" si="13"/>
        <v/>
      </c>
      <c r="D11" s="1003">
        <f t="shared" si="14"/>
        <v>45382</v>
      </c>
      <c r="E11" s="1002" t="str">
        <f>IF(B11="",E10,VLOOKUP(B11,input_engine_rx!$B$23:$F$35,5,FALSE))</f>
        <v>nn</v>
      </c>
      <c r="F11" s="1003" t="str">
        <f t="shared" si="15"/>
        <v/>
      </c>
      <c r="G11" s="1003" t="str">
        <f t="shared" si="16"/>
        <v/>
      </c>
      <c r="H11" s="1002">
        <f t="shared" si="17"/>
        <v>0</v>
      </c>
      <c r="I11" s="997">
        <f t="shared" si="1"/>
        <v>0</v>
      </c>
      <c r="J11" s="997">
        <f t="shared" si="2"/>
        <v>0</v>
      </c>
      <c r="K11" s="997">
        <f t="shared" si="3"/>
        <v>0</v>
      </c>
      <c r="L11" s="997" t="str">
        <f>IF(input_engine_rx!$P$21&gt;A10,VLOOKUP(A11,input_engine_rx!$P$23:$T$36,3,FALSE),"")</f>
        <v/>
      </c>
      <c r="M11" s="1002" t="str">
        <f t="shared" si="18"/>
        <v>up</v>
      </c>
      <c r="N11" s="1002" t="str">
        <f t="shared" si="46"/>
        <v/>
      </c>
      <c r="O11" s="1002" t="str">
        <f t="shared" si="4"/>
        <v/>
      </c>
      <c r="P11" s="1032">
        <f t="shared" si="19"/>
        <v>0.499</v>
      </c>
      <c r="Q11" s="997" t="str">
        <f t="shared" si="20"/>
        <v/>
      </c>
      <c r="R11" s="997">
        <f t="shared" si="21"/>
        <v>0</v>
      </c>
      <c r="S11" s="1006">
        <f>IF(input_engine_rx!$P$21&gt;A10,VLOOKUP(A11,input_engine_rx!$P$23:$T$35,4,FALSE),0)</f>
        <v>0</v>
      </c>
      <c r="T11" s="2442">
        <f t="shared" ca="1" si="22"/>
        <v>0</v>
      </c>
      <c r="U11" s="997" t="b">
        <f t="shared" si="23"/>
        <v>0</v>
      </c>
      <c r="V11" s="997" t="b">
        <f>advanced!$M$22="y"</f>
        <v>0</v>
      </c>
      <c r="W11" s="997">
        <f>data!$D$33</f>
        <v>15000</v>
      </c>
      <c r="X11" s="997" t="b">
        <f t="shared" si="24"/>
        <v>0</v>
      </c>
      <c r="Y11" s="997">
        <f t="shared" si="25"/>
        <v>0</v>
      </c>
      <c r="Z11" s="997">
        <f t="shared" si="5"/>
        <v>0</v>
      </c>
      <c r="AA11" s="1002">
        <f>data!$G$53</f>
        <v>75000</v>
      </c>
      <c r="AB11" s="1002">
        <f>data!$F$53</f>
        <v>0.02</v>
      </c>
      <c r="AC11" s="997">
        <f t="shared" si="26"/>
        <v>0</v>
      </c>
      <c r="AD11" s="997">
        <f>IF(B11="",0,(IF($AE$1=authorities!$I$1,0,IF(L11&gt;AE11,VLOOKUP($AD$1,authorities!A:H,C11+1,FALSE),0)))*L11/$CK$2*H11)</f>
        <v>0</v>
      </c>
      <c r="AE11" s="997">
        <f>IF($AE$1=authorities!$I$1,0,$AE$1)</f>
        <v>0</v>
      </c>
      <c r="AF11" s="1002">
        <f>IF(input_engine_rx!$P$21&gt;A10,VLOOKUP(A11,input_engine_rx!$P$23:$T$35,5,FALSE),0)</f>
        <v>0</v>
      </c>
      <c r="AG11" s="1002">
        <f>data!$C$43</f>
        <v>2900</v>
      </c>
      <c r="AH11" s="1007">
        <f t="shared" si="6"/>
        <v>1</v>
      </c>
      <c r="AI11" s="997">
        <f t="shared" si="27"/>
        <v>0</v>
      </c>
      <c r="AJ11" s="997" t="b">
        <f t="shared" si="7"/>
        <v>0</v>
      </c>
      <c r="AL11" s="997">
        <f t="shared" si="28"/>
        <v>0</v>
      </c>
      <c r="AO11" s="1002">
        <f t="shared" si="29"/>
        <v>0</v>
      </c>
      <c r="AP11" s="1002">
        <f>SUM($AO$3:AO11)</f>
        <v>1</v>
      </c>
      <c r="AQ11" s="1002">
        <f t="shared" si="30"/>
        <v>366</v>
      </c>
      <c r="AR11" s="997">
        <f t="shared" ca="1" si="31"/>
        <v>0</v>
      </c>
      <c r="AS11" s="997"/>
      <c r="AT11" s="997">
        <f t="shared" si="32"/>
        <v>0</v>
      </c>
      <c r="AU11" s="997" t="b">
        <f t="shared" si="8"/>
        <v>1</v>
      </c>
      <c r="AV11" s="997" t="b">
        <f t="shared" si="9"/>
        <v>0</v>
      </c>
      <c r="AW11" s="997" t="b">
        <f t="shared" si="10"/>
        <v>0</v>
      </c>
      <c r="AX11" s="997">
        <f t="shared" si="33"/>
        <v>0</v>
      </c>
      <c r="AY11" s="997">
        <f ca="1">AR11/reliefs!$D$7*AX11*-1</f>
        <v>0</v>
      </c>
      <c r="AZ11" s="1002">
        <f t="shared" ca="1" si="34"/>
        <v>0</v>
      </c>
      <c r="BA11" s="2370"/>
      <c r="BB11" s="997"/>
      <c r="BC11" s="997"/>
      <c r="BD11" s="997"/>
      <c r="BE11" s="997"/>
      <c r="BG11" s="997">
        <f t="shared" si="35"/>
        <v>0</v>
      </c>
      <c r="BH11" s="997">
        <f t="shared" si="36"/>
        <v>15000</v>
      </c>
      <c r="BI11" s="1001">
        <f t="shared" si="36"/>
        <v>0</v>
      </c>
      <c r="BJ11" s="997">
        <f t="shared" si="36"/>
        <v>5000000</v>
      </c>
      <c r="BK11" s="997">
        <f t="shared" si="36"/>
        <v>0.499</v>
      </c>
      <c r="BL11" s="997" t="b">
        <f t="shared" si="36"/>
        <v>1</v>
      </c>
      <c r="BM11" s="997" t="b">
        <f t="shared" si="36"/>
        <v>0</v>
      </c>
      <c r="BN11" s="997">
        <f t="shared" si="36"/>
        <v>0</v>
      </c>
      <c r="BO11" s="997">
        <f t="shared" si="37"/>
        <v>0</v>
      </c>
      <c r="BP11" s="997"/>
      <c r="BQ11" s="997"/>
      <c r="BR11" s="997">
        <f t="shared" si="38"/>
        <v>600</v>
      </c>
      <c r="BS11" s="997"/>
      <c r="BT11" s="997" t="b">
        <f t="shared" si="39"/>
        <v>0</v>
      </c>
      <c r="BU11" s="997" t="b">
        <f t="shared" si="47"/>
        <v>1</v>
      </c>
      <c r="BV11" s="997" t="b">
        <f t="shared" si="40"/>
        <v>0</v>
      </c>
      <c r="BW11" s="997" t="b">
        <f t="shared" si="41"/>
        <v>0</v>
      </c>
      <c r="BX11" s="997" t="b">
        <f t="shared" si="42"/>
        <v>0</v>
      </c>
      <c r="BY11" s="997">
        <f t="shared" si="43"/>
        <v>600</v>
      </c>
      <c r="BZ11" s="997">
        <f t="shared" si="44"/>
        <v>366</v>
      </c>
      <c r="CA11" s="997">
        <f t="shared" si="48"/>
        <v>0</v>
      </c>
      <c r="CB11" s="997">
        <f t="shared" si="45"/>
        <v>0</v>
      </c>
      <c r="CC11" s="997">
        <f t="shared" si="11"/>
        <v>0</v>
      </c>
      <c r="CD11" s="997">
        <f t="shared" si="49"/>
        <v>600</v>
      </c>
      <c r="CE11" s="1002" t="b">
        <f t="shared" si="50"/>
        <v>0</v>
      </c>
      <c r="CH11" s="1036"/>
      <c r="CK11" s="997">
        <f>ROW()</f>
        <v>11</v>
      </c>
      <c r="CL11" s="1038" t="s">
        <v>586</v>
      </c>
      <c r="CM11" s="1038"/>
      <c r="CN11" s="1038"/>
      <c r="CO11" s="1038"/>
      <c r="CP11" s="1038"/>
      <c r="CV11" s="1034"/>
    </row>
    <row r="12" spans="1:111" x14ac:dyDescent="0.35">
      <c r="A12" s="997">
        <f t="shared" si="12"/>
        <v>10</v>
      </c>
      <c r="B12" s="1003" t="str">
        <f>IF(input_engine_rx!$P$21&gt;A11,VLOOKUP(A12,input_engine_rx!$P$23:$T$35,2,FALSE),"")</f>
        <v/>
      </c>
      <c r="C12" s="997" t="str">
        <f t="shared" si="13"/>
        <v/>
      </c>
      <c r="D12" s="1003">
        <f t="shared" si="14"/>
        <v>45382</v>
      </c>
      <c r="E12" s="1002" t="str">
        <f>IF(B12="",E11,VLOOKUP(B12,input_engine_rx!$B$23:$F$35,5,FALSE))</f>
        <v>nn</v>
      </c>
      <c r="F12" s="1003" t="str">
        <f t="shared" si="15"/>
        <v/>
      </c>
      <c r="G12" s="1003" t="str">
        <f t="shared" si="16"/>
        <v/>
      </c>
      <c r="H12" s="1002">
        <f t="shared" si="17"/>
        <v>0</v>
      </c>
      <c r="I12" s="997">
        <f t="shared" si="1"/>
        <v>0</v>
      </c>
      <c r="J12" s="997">
        <f t="shared" si="2"/>
        <v>0</v>
      </c>
      <c r="K12" s="997">
        <f t="shared" si="3"/>
        <v>0</v>
      </c>
      <c r="L12" s="997" t="str">
        <f>IF(input_engine_rx!$P$21&gt;A11,VLOOKUP(A12,input_engine_rx!$P$23:$T$36,3,FALSE),"")</f>
        <v/>
      </c>
      <c r="M12" s="1002" t="str">
        <f t="shared" si="18"/>
        <v>up</v>
      </c>
      <c r="N12" s="1002" t="str">
        <f t="shared" si="46"/>
        <v/>
      </c>
      <c r="O12" s="1002" t="str">
        <f t="shared" si="4"/>
        <v/>
      </c>
      <c r="P12" s="1032">
        <f t="shared" si="19"/>
        <v>0.499</v>
      </c>
      <c r="Q12" s="997" t="str">
        <f t="shared" si="20"/>
        <v/>
      </c>
      <c r="R12" s="997">
        <f t="shared" si="21"/>
        <v>0</v>
      </c>
      <c r="S12" s="1006">
        <f>IF(input_engine_rx!$P$21&gt;A11,VLOOKUP(A12,input_engine_rx!$P$23:$T$35,4,FALSE),0)</f>
        <v>0</v>
      </c>
      <c r="T12" s="2442">
        <f t="shared" ca="1" si="22"/>
        <v>0</v>
      </c>
      <c r="U12" s="997" t="b">
        <f t="shared" si="23"/>
        <v>0</v>
      </c>
      <c r="V12" s="997" t="b">
        <f>advanced!$M$22="y"</f>
        <v>0</v>
      </c>
      <c r="W12" s="997">
        <f>data!$D$33</f>
        <v>15000</v>
      </c>
      <c r="X12" s="997" t="b">
        <f t="shared" si="24"/>
        <v>0</v>
      </c>
      <c r="Y12" s="997">
        <f t="shared" si="25"/>
        <v>0</v>
      </c>
      <c r="Z12" s="997">
        <f t="shared" si="5"/>
        <v>0</v>
      </c>
      <c r="AA12" s="1002">
        <f>data!$G$53</f>
        <v>75000</v>
      </c>
      <c r="AB12" s="1002">
        <f>data!$F$53</f>
        <v>0.02</v>
      </c>
      <c r="AC12" s="997">
        <f t="shared" si="26"/>
        <v>0</v>
      </c>
      <c r="AD12" s="997">
        <f>IF(B12="",0,(IF($AE$1=authorities!$I$1,0,IF(L12&gt;AE12,VLOOKUP($AD$1,authorities!A:H,C12+1,FALSE),0)))*L12/$CK$2*H12)</f>
        <v>0</v>
      </c>
      <c r="AE12" s="997">
        <f>IF($AE$1=authorities!$I$1,0,$AE$1)</f>
        <v>0</v>
      </c>
      <c r="AF12" s="1002">
        <f>IF(input_engine_rx!$P$21&gt;A11,VLOOKUP(A12,input_engine_rx!$P$23:$T$35,5,FALSE),0)</f>
        <v>0</v>
      </c>
      <c r="AG12" s="1002">
        <f>data!$C$43</f>
        <v>2900</v>
      </c>
      <c r="AH12" s="1007">
        <f t="shared" si="6"/>
        <v>1</v>
      </c>
      <c r="AI12" s="997">
        <f t="shared" si="27"/>
        <v>0</v>
      </c>
      <c r="AJ12" s="997" t="b">
        <f t="shared" si="7"/>
        <v>0</v>
      </c>
      <c r="AL12" s="997">
        <f t="shared" si="28"/>
        <v>0</v>
      </c>
      <c r="AO12" s="1002">
        <f t="shared" si="29"/>
        <v>0</v>
      </c>
      <c r="AP12" s="1002">
        <f>SUM($AO$3:AO12)</f>
        <v>1</v>
      </c>
      <c r="AQ12" s="1002">
        <f t="shared" si="30"/>
        <v>366</v>
      </c>
      <c r="AR12" s="997">
        <f t="shared" ca="1" si="31"/>
        <v>0</v>
      </c>
      <c r="AS12" s="997"/>
      <c r="AT12" s="997">
        <f t="shared" si="32"/>
        <v>0</v>
      </c>
      <c r="AU12" s="997" t="b">
        <f t="shared" si="8"/>
        <v>1</v>
      </c>
      <c r="AV12" s="997" t="b">
        <f t="shared" si="9"/>
        <v>0</v>
      </c>
      <c r="AW12" s="997" t="b">
        <f t="shared" si="10"/>
        <v>0</v>
      </c>
      <c r="AX12" s="997">
        <f t="shared" si="33"/>
        <v>0</v>
      </c>
      <c r="AY12" s="997">
        <f ca="1">AR12/reliefs!$D$7*AX12*-1</f>
        <v>0</v>
      </c>
      <c r="AZ12" s="1002">
        <f t="shared" ca="1" si="34"/>
        <v>0</v>
      </c>
      <c r="BA12" s="2370"/>
      <c r="BB12" s="997"/>
      <c r="BC12" s="997"/>
      <c r="BD12" s="997"/>
      <c r="BE12" s="997"/>
      <c r="BG12" s="997">
        <f t="shared" si="35"/>
        <v>0</v>
      </c>
      <c r="BH12" s="997">
        <f t="shared" si="36"/>
        <v>15000</v>
      </c>
      <c r="BI12" s="1001">
        <f t="shared" si="36"/>
        <v>0</v>
      </c>
      <c r="BJ12" s="997">
        <f t="shared" si="36"/>
        <v>5000000</v>
      </c>
      <c r="BK12" s="997">
        <f t="shared" si="36"/>
        <v>0.499</v>
      </c>
      <c r="BL12" s="997" t="b">
        <f t="shared" si="36"/>
        <v>1</v>
      </c>
      <c r="BM12" s="997" t="b">
        <f t="shared" si="36"/>
        <v>0</v>
      </c>
      <c r="BN12" s="997">
        <f t="shared" si="36"/>
        <v>0</v>
      </c>
      <c r="BO12" s="997">
        <f t="shared" si="37"/>
        <v>0</v>
      </c>
      <c r="BP12" s="997"/>
      <c r="BQ12" s="997"/>
      <c r="BR12" s="997">
        <f t="shared" si="38"/>
        <v>600</v>
      </c>
      <c r="BS12" s="997"/>
      <c r="BT12" s="997" t="b">
        <f t="shared" si="39"/>
        <v>0</v>
      </c>
      <c r="BU12" s="997" t="b">
        <f t="shared" si="47"/>
        <v>1</v>
      </c>
      <c r="BV12" s="997" t="b">
        <f t="shared" si="40"/>
        <v>0</v>
      </c>
      <c r="BW12" s="997" t="b">
        <f t="shared" si="41"/>
        <v>0</v>
      </c>
      <c r="BX12" s="997" t="b">
        <f t="shared" si="42"/>
        <v>0</v>
      </c>
      <c r="BY12" s="997">
        <f t="shared" si="43"/>
        <v>600</v>
      </c>
      <c r="BZ12" s="997">
        <f t="shared" si="44"/>
        <v>366</v>
      </c>
      <c r="CA12" s="997">
        <f t="shared" si="48"/>
        <v>0</v>
      </c>
      <c r="CB12" s="997">
        <f t="shared" si="45"/>
        <v>0</v>
      </c>
      <c r="CC12" s="997">
        <f t="shared" si="11"/>
        <v>0</v>
      </c>
      <c r="CD12" s="997">
        <f t="shared" si="49"/>
        <v>600</v>
      </c>
      <c r="CE12" s="1002" t="b">
        <f t="shared" si="50"/>
        <v>0</v>
      </c>
      <c r="CH12" s="1036"/>
      <c r="CL12" s="1038">
        <f t="shared" ref="CL12:CL17" si="51">CI2</f>
        <v>1</v>
      </c>
      <c r="CM12" s="1038" t="b">
        <f>nncalc2!$D$30</f>
        <v>0</v>
      </c>
      <c r="CN12" s="1038" t="b">
        <f>nccalc2!$D$30</f>
        <v>0</v>
      </c>
      <c r="CO12" s="1038" t="b">
        <f>bncalc2!$D$30</f>
        <v>0</v>
      </c>
      <c r="CP12" s="1038" t="b">
        <f>bccalc2!$D$30</f>
        <v>0</v>
      </c>
      <c r="CV12" s="1034"/>
    </row>
    <row r="13" spans="1:111" x14ac:dyDescent="0.35">
      <c r="A13" s="997">
        <f t="shared" si="12"/>
        <v>11</v>
      </c>
      <c r="B13" s="1003" t="str">
        <f>IF(input_engine_rx!$P$21&gt;A12,VLOOKUP(A13,input_engine_rx!$P$23:$T$35,2,FALSE),"")</f>
        <v/>
      </c>
      <c r="C13" s="997" t="str">
        <f t="shared" si="13"/>
        <v/>
      </c>
      <c r="D13" s="1003">
        <f t="shared" si="14"/>
        <v>45382</v>
      </c>
      <c r="E13" s="1002" t="str">
        <f>IF(B13="",E12,VLOOKUP(B13,input_engine_rx!$B$23:$F$35,5,FALSE))</f>
        <v>nn</v>
      </c>
      <c r="F13" s="1003" t="str">
        <f t="shared" si="15"/>
        <v/>
      </c>
      <c r="G13" s="1003" t="str">
        <f t="shared" si="16"/>
        <v/>
      </c>
      <c r="H13" s="1002">
        <f t="shared" si="17"/>
        <v>0</v>
      </c>
      <c r="I13" s="997">
        <f t="shared" si="1"/>
        <v>0</v>
      </c>
      <c r="J13" s="997">
        <f t="shared" si="2"/>
        <v>0</v>
      </c>
      <c r="K13" s="997">
        <f t="shared" si="3"/>
        <v>0</v>
      </c>
      <c r="L13" s="997" t="str">
        <f>IF(input_engine_rx!$P$21&gt;A12,VLOOKUP(A13,input_engine_rx!$P$23:$T$36,3,FALSE),"")</f>
        <v/>
      </c>
      <c r="M13" s="1002" t="str">
        <f t="shared" si="18"/>
        <v>up</v>
      </c>
      <c r="N13" s="1002" t="str">
        <f t="shared" si="46"/>
        <v/>
      </c>
      <c r="O13" s="1002" t="str">
        <f t="shared" si="4"/>
        <v/>
      </c>
      <c r="P13" s="1032">
        <f t="shared" si="19"/>
        <v>0.499</v>
      </c>
      <c r="Q13" s="997" t="str">
        <f t="shared" si="20"/>
        <v/>
      </c>
      <c r="R13" s="997">
        <f t="shared" si="21"/>
        <v>0</v>
      </c>
      <c r="S13" s="1006">
        <f>IF(input_engine_rx!$P$21&gt;A12,VLOOKUP(A13,input_engine_rx!$P$23:$T$35,4,FALSE),0)</f>
        <v>0</v>
      </c>
      <c r="T13" s="2442">
        <f t="shared" ca="1" si="22"/>
        <v>0</v>
      </c>
      <c r="U13" s="997" t="b">
        <f t="shared" si="23"/>
        <v>0</v>
      </c>
      <c r="V13" s="997" t="b">
        <f>advanced!$M$22="y"</f>
        <v>0</v>
      </c>
      <c r="W13" s="997">
        <f>data!$D$33</f>
        <v>15000</v>
      </c>
      <c r="X13" s="997" t="b">
        <f t="shared" si="24"/>
        <v>0</v>
      </c>
      <c r="Y13" s="997">
        <f t="shared" si="25"/>
        <v>0</v>
      </c>
      <c r="Z13" s="997">
        <f t="shared" si="5"/>
        <v>0</v>
      </c>
      <c r="AA13" s="1002">
        <f>data!$G$53</f>
        <v>75000</v>
      </c>
      <c r="AB13" s="1002">
        <f>data!$F$53</f>
        <v>0.02</v>
      </c>
      <c r="AC13" s="997">
        <f t="shared" si="26"/>
        <v>0</v>
      </c>
      <c r="AD13" s="997">
        <f>IF(B13="",0,(IF($AE$1=authorities!$I$1,0,IF(L13&gt;AE13,VLOOKUP($AD$1,authorities!A:H,C13+1,FALSE),0)))*L13/$CK$2*H13)</f>
        <v>0</v>
      </c>
      <c r="AE13" s="997">
        <f>IF($AE$1=authorities!$I$1,0,$AE$1)</f>
        <v>0</v>
      </c>
      <c r="AF13" s="1002">
        <f>IF(input_engine_rx!$P$21&gt;A12,VLOOKUP(A13,input_engine_rx!$P$23:$T$35,5,FALSE),0)</f>
        <v>0</v>
      </c>
      <c r="AG13" s="1002">
        <f>data!$C$43</f>
        <v>2900</v>
      </c>
      <c r="AH13" s="1007">
        <f t="shared" si="6"/>
        <v>1</v>
      </c>
      <c r="AI13" s="997">
        <f t="shared" si="27"/>
        <v>0</v>
      </c>
      <c r="AJ13" s="997" t="b">
        <f t="shared" si="7"/>
        <v>0</v>
      </c>
      <c r="AL13" s="997">
        <f t="shared" si="28"/>
        <v>0</v>
      </c>
      <c r="AO13" s="1002">
        <f t="shared" si="29"/>
        <v>0</v>
      </c>
      <c r="AP13" s="1002">
        <f>SUM($AO$3:AO13)</f>
        <v>1</v>
      </c>
      <c r="AQ13" s="1002">
        <f t="shared" si="30"/>
        <v>366</v>
      </c>
      <c r="AR13" s="997">
        <f t="shared" ca="1" si="31"/>
        <v>0</v>
      </c>
      <c r="AS13" s="997"/>
      <c r="AT13" s="997">
        <f t="shared" si="32"/>
        <v>0</v>
      </c>
      <c r="AU13" s="997" t="b">
        <f t="shared" si="8"/>
        <v>1</v>
      </c>
      <c r="AV13" s="997" t="b">
        <f t="shared" si="9"/>
        <v>0</v>
      </c>
      <c r="AW13" s="997" t="b">
        <f t="shared" si="10"/>
        <v>0</v>
      </c>
      <c r="AX13" s="997">
        <f t="shared" si="33"/>
        <v>0</v>
      </c>
      <c r="AY13" s="997">
        <f ca="1">AR13/reliefs!$D$7*AX13*-1</f>
        <v>0</v>
      </c>
      <c r="AZ13" s="1002">
        <f t="shared" ca="1" si="34"/>
        <v>0</v>
      </c>
      <c r="BA13" s="2370"/>
      <c r="BB13" s="997"/>
      <c r="BC13" s="997"/>
      <c r="BD13" s="997"/>
      <c r="BE13" s="997"/>
      <c r="BG13" s="997">
        <f t="shared" si="35"/>
        <v>0</v>
      </c>
      <c r="BH13" s="997">
        <f t="shared" si="36"/>
        <v>15000</v>
      </c>
      <c r="BI13" s="1001">
        <f t="shared" si="36"/>
        <v>0</v>
      </c>
      <c r="BJ13" s="997">
        <f t="shared" si="36"/>
        <v>5000000</v>
      </c>
      <c r="BK13" s="997">
        <f t="shared" si="36"/>
        <v>0.499</v>
      </c>
      <c r="BL13" s="997" t="b">
        <f t="shared" si="36"/>
        <v>1</v>
      </c>
      <c r="BM13" s="997" t="b">
        <f t="shared" si="36"/>
        <v>0</v>
      </c>
      <c r="BN13" s="997">
        <f t="shared" si="36"/>
        <v>0</v>
      </c>
      <c r="BO13" s="997">
        <f t="shared" si="37"/>
        <v>0</v>
      </c>
      <c r="BP13" s="997"/>
      <c r="BQ13" s="997"/>
      <c r="BR13" s="997">
        <f t="shared" si="38"/>
        <v>600</v>
      </c>
      <c r="BS13" s="997"/>
      <c r="BT13" s="997" t="b">
        <f t="shared" si="39"/>
        <v>0</v>
      </c>
      <c r="BU13" s="997" t="b">
        <f t="shared" si="47"/>
        <v>1</v>
      </c>
      <c r="BV13" s="997" t="b">
        <f t="shared" si="40"/>
        <v>0</v>
      </c>
      <c r="BW13" s="997" t="b">
        <f t="shared" si="41"/>
        <v>0</v>
      </c>
      <c r="BX13" s="997" t="b">
        <f t="shared" si="42"/>
        <v>0</v>
      </c>
      <c r="BY13" s="997">
        <f t="shared" si="43"/>
        <v>600</v>
      </c>
      <c r="BZ13" s="997">
        <f t="shared" si="44"/>
        <v>366</v>
      </c>
      <c r="CA13" s="997">
        <f t="shared" si="48"/>
        <v>0</v>
      </c>
      <c r="CB13" s="997">
        <f t="shared" si="45"/>
        <v>0</v>
      </c>
      <c r="CC13" s="997">
        <f t="shared" si="11"/>
        <v>0</v>
      </c>
      <c r="CD13" s="997">
        <f t="shared" si="49"/>
        <v>600</v>
      </c>
      <c r="CE13" s="1002" t="b">
        <f t="shared" si="50"/>
        <v>0</v>
      </c>
      <c r="CH13" s="1036"/>
      <c r="CL13" s="1038">
        <f t="shared" si="51"/>
        <v>2</v>
      </c>
      <c r="CM13" s="1038" t="b">
        <f>nncalc2!$E$30</f>
        <v>0</v>
      </c>
      <c r="CN13" s="1038" t="b">
        <f>nccalc2!$E$30</f>
        <v>0</v>
      </c>
      <c r="CO13" s="1038" t="b">
        <f>bncalc2!$E$30</f>
        <v>0</v>
      </c>
      <c r="CP13" s="1038" t="b">
        <f>bccalc2!$E$30</f>
        <v>0</v>
      </c>
      <c r="CV13" s="1034"/>
    </row>
    <row r="14" spans="1:111" x14ac:dyDescent="0.35">
      <c r="A14" s="997">
        <f t="shared" si="12"/>
        <v>12</v>
      </c>
      <c r="B14" s="1003" t="str">
        <f>IF(input_engine_rx!$P$21&gt;A13,VLOOKUP(A14,input_engine_rx!$P$23:$T$35,2,FALSE),"")</f>
        <v/>
      </c>
      <c r="C14" s="997" t="str">
        <f t="shared" si="13"/>
        <v/>
      </c>
      <c r="D14" s="1003">
        <f t="shared" si="14"/>
        <v>45382</v>
      </c>
      <c r="E14" s="1002" t="str">
        <f>IF(B14="",E13,VLOOKUP(B14,input_engine_rx!$B$23:$F$35,5,FALSE))</f>
        <v>nn</v>
      </c>
      <c r="F14" s="1003" t="str">
        <f t="shared" si="15"/>
        <v/>
      </c>
      <c r="G14" s="1003" t="str">
        <f>IF(B14="","",IF(#REF!=C14,#REF!-1,D14))</f>
        <v/>
      </c>
      <c r="H14" s="1002">
        <f t="shared" si="17"/>
        <v>0</v>
      </c>
      <c r="I14" s="997">
        <f t="shared" si="1"/>
        <v>0</v>
      </c>
      <c r="J14" s="997">
        <f t="shared" si="2"/>
        <v>0</v>
      </c>
      <c r="K14" s="997">
        <f t="shared" si="3"/>
        <v>0</v>
      </c>
      <c r="L14" s="997" t="str">
        <f>IF(input_engine_rx!$P$21&gt;A13,VLOOKUP(A14,input_engine_rx!$P$23:$T$36,3,FALSE),"")</f>
        <v/>
      </c>
      <c r="M14" s="1002" t="str">
        <f t="shared" si="18"/>
        <v>up</v>
      </c>
      <c r="N14" s="1002" t="str">
        <f t="shared" si="46"/>
        <v/>
      </c>
      <c r="O14" s="1002" t="str">
        <f t="shared" si="4"/>
        <v/>
      </c>
      <c r="P14" s="1032">
        <f t="shared" si="19"/>
        <v>0.499</v>
      </c>
      <c r="Q14" s="997" t="str">
        <f t="shared" si="20"/>
        <v/>
      </c>
      <c r="R14" s="997">
        <f t="shared" si="21"/>
        <v>0</v>
      </c>
      <c r="S14" s="1006">
        <f>IF(input_engine_rx!$P$21&gt;A13,VLOOKUP(A14,input_engine_rx!$P$23:$T$35,4,FALSE),0)</f>
        <v>0</v>
      </c>
      <c r="T14" s="2442">
        <f t="shared" ca="1" si="22"/>
        <v>0</v>
      </c>
      <c r="U14" s="997" t="b">
        <f t="shared" si="23"/>
        <v>0</v>
      </c>
      <c r="V14" s="997" t="b">
        <f>advanced!$M$22="y"</f>
        <v>0</v>
      </c>
      <c r="W14" s="997">
        <f>data!$D$33</f>
        <v>15000</v>
      </c>
      <c r="X14" s="997" t="b">
        <f t="shared" si="24"/>
        <v>0</v>
      </c>
      <c r="Y14" s="997">
        <f t="shared" si="25"/>
        <v>0</v>
      </c>
      <c r="Z14" s="997">
        <f t="shared" si="5"/>
        <v>0</v>
      </c>
      <c r="AA14" s="1002">
        <f>data!$G$53</f>
        <v>75000</v>
      </c>
      <c r="AB14" s="1002">
        <f>data!$F$53</f>
        <v>0.02</v>
      </c>
      <c r="AC14" s="997">
        <f t="shared" si="26"/>
        <v>0</v>
      </c>
      <c r="AD14" s="997">
        <f>IF(B14="",0,(IF($AE$1=authorities!$I$1,0,IF(L14&gt;AE14,VLOOKUP($AD$1,authorities!A:H,C14+1,FALSE),0)))*L14/$CK$2*H14)</f>
        <v>0</v>
      </c>
      <c r="AE14" s="997">
        <f>IF($AE$1=authorities!$I$1,0,$AE$1)</f>
        <v>0</v>
      </c>
      <c r="AF14" s="1002">
        <f>IF(input_engine_rx!$P$21&gt;A13,VLOOKUP(A14,input_engine_rx!$P$23:$T$35,5,FALSE),0)</f>
        <v>0</v>
      </c>
      <c r="AG14" s="1002">
        <f>data!$C$43</f>
        <v>2900</v>
      </c>
      <c r="AH14" s="1007">
        <f t="shared" si="6"/>
        <v>1</v>
      </c>
      <c r="AI14" s="997">
        <f t="shared" si="27"/>
        <v>0</v>
      </c>
      <c r="AJ14" s="997" t="b">
        <f t="shared" si="7"/>
        <v>0</v>
      </c>
      <c r="AL14" s="997">
        <f t="shared" si="28"/>
        <v>0</v>
      </c>
      <c r="AO14" s="1002">
        <f t="shared" si="29"/>
        <v>0</v>
      </c>
      <c r="AP14" s="1002">
        <f>SUM($AO$3:AO14)</f>
        <v>1</v>
      </c>
      <c r="AQ14" s="1002">
        <f t="shared" si="30"/>
        <v>366</v>
      </c>
      <c r="AR14" s="997">
        <f t="shared" ca="1" si="31"/>
        <v>0</v>
      </c>
      <c r="AS14" s="997"/>
      <c r="AT14" s="997">
        <f t="shared" si="32"/>
        <v>0</v>
      </c>
      <c r="AU14" s="997" t="b">
        <f t="shared" si="8"/>
        <v>1</v>
      </c>
      <c r="AV14" s="997" t="b">
        <f t="shared" si="9"/>
        <v>0</v>
      </c>
      <c r="AW14" s="997" t="b">
        <f t="shared" si="10"/>
        <v>0</v>
      </c>
      <c r="AX14" s="997">
        <f t="shared" si="33"/>
        <v>0</v>
      </c>
      <c r="AY14" s="997">
        <f ca="1">AR14/reliefs!$D$7*AX14*-1</f>
        <v>0</v>
      </c>
      <c r="AZ14" s="1002">
        <f t="shared" ca="1" si="34"/>
        <v>0</v>
      </c>
      <c r="BA14" s="2370"/>
      <c r="BB14" s="997"/>
      <c r="BC14" s="997"/>
      <c r="BD14" s="997"/>
      <c r="BE14" s="997"/>
      <c r="BG14" s="997">
        <f t="shared" si="35"/>
        <v>0</v>
      </c>
      <c r="BH14" s="997">
        <f t="shared" si="36"/>
        <v>15000</v>
      </c>
      <c r="BI14" s="1001">
        <f t="shared" si="36"/>
        <v>0</v>
      </c>
      <c r="BJ14" s="997">
        <f t="shared" si="36"/>
        <v>5000000</v>
      </c>
      <c r="BK14" s="997">
        <f t="shared" si="36"/>
        <v>0.499</v>
      </c>
      <c r="BL14" s="997" t="b">
        <f t="shared" si="36"/>
        <v>1</v>
      </c>
      <c r="BM14" s="997" t="b">
        <f t="shared" si="36"/>
        <v>0</v>
      </c>
      <c r="BN14" s="997">
        <f t="shared" si="36"/>
        <v>0</v>
      </c>
      <c r="BO14" s="997">
        <f t="shared" si="37"/>
        <v>0</v>
      </c>
      <c r="BP14" s="997"/>
      <c r="BQ14" s="997"/>
      <c r="BR14" s="997">
        <f t="shared" si="38"/>
        <v>600</v>
      </c>
      <c r="BS14" s="997"/>
      <c r="BT14" s="997" t="b">
        <f t="shared" si="39"/>
        <v>0</v>
      </c>
      <c r="BU14" s="997" t="b">
        <f t="shared" si="47"/>
        <v>1</v>
      </c>
      <c r="BV14" s="997" t="b">
        <f t="shared" si="40"/>
        <v>0</v>
      </c>
      <c r="BW14" s="997" t="b">
        <f t="shared" si="41"/>
        <v>0</v>
      </c>
      <c r="BX14" s="997" t="b">
        <f t="shared" si="42"/>
        <v>0</v>
      </c>
      <c r="BY14" s="997">
        <f t="shared" si="43"/>
        <v>600</v>
      </c>
      <c r="BZ14" s="997">
        <f t="shared" si="44"/>
        <v>366</v>
      </c>
      <c r="CA14" s="997">
        <f t="shared" si="48"/>
        <v>0</v>
      </c>
      <c r="CB14" s="997">
        <f t="shared" si="45"/>
        <v>0</v>
      </c>
      <c r="CC14" s="997">
        <f t="shared" si="11"/>
        <v>0</v>
      </c>
      <c r="CD14" s="997">
        <f t="shared" si="49"/>
        <v>600</v>
      </c>
      <c r="CE14" s="1002" t="b">
        <f t="shared" si="50"/>
        <v>0</v>
      </c>
      <c r="CH14" s="1036"/>
      <c r="CL14" s="1038">
        <f t="shared" si="51"/>
        <v>3</v>
      </c>
      <c r="CM14" s="1038" t="b">
        <f>nncalc2!$F$30</f>
        <v>0</v>
      </c>
      <c r="CN14" s="1038" t="b">
        <f>nccalc2!$F$30</f>
        <v>0</v>
      </c>
      <c r="CO14" s="1038" t="b">
        <f>bncalc2!$F$30</f>
        <v>0</v>
      </c>
      <c r="CP14" s="1038" t="b">
        <f>bccalc2!$F$30</f>
        <v>0</v>
      </c>
      <c r="CV14" s="1034"/>
    </row>
    <row r="15" spans="1:111" x14ac:dyDescent="0.35">
      <c r="B15" s="1003"/>
      <c r="H15" s="1002"/>
      <c r="T15" s="2445">
        <f ca="1">ROUND(SUM(T3:T14),2)</f>
        <v>0</v>
      </c>
      <c r="U15" s="1008">
        <f>U3+U4+U5+U6+U7+U8+U9+U10+U11+U12+U13+U14</f>
        <v>0</v>
      </c>
      <c r="V15" s="1008"/>
      <c r="W15" s="1008"/>
      <c r="X15" s="1008"/>
      <c r="AH15" s="1007"/>
      <c r="AI15" s="1009">
        <f>SUM(AI3:AI14)</f>
        <v>1</v>
      </c>
      <c r="AJ15" s="1002">
        <f>AJ14+AJ13+AJ12+AJ11+AJ10+AJ9+AJ8+AJ7+AJ6+AJ5+AJ4+AJ3</f>
        <v>0</v>
      </c>
      <c r="AK15" s="997" t="str">
        <f>IF(AJ15=12,"Phased",IF(AJ15=0,"True","***"))</f>
        <v>True</v>
      </c>
      <c r="AL15" s="1002">
        <f>SUM(AL3:AL14)</f>
        <v>0</v>
      </c>
      <c r="AM15" s="1010">
        <f>IF(AL15&lt;1,AL15,INT(AL15))</f>
        <v>0</v>
      </c>
      <c r="AN15" s="1010" t="str">
        <f>IF(AL15-AM15&lt;&gt;0,"N/J + T",IF(AND(0&lt;AL15,AL15&lt;1),"P + T",IF(AL15&gt;=1,"N/J","")))</f>
        <v/>
      </c>
      <c r="AP15" s="1002">
        <f>SUM($AO$3:AO15)</f>
        <v>1</v>
      </c>
      <c r="AR15" s="997"/>
      <c r="AY15" s="1002">
        <f ca="1">IF(SUM(AY3:AY14)&lt;$AY$1,$AY$1,SUM(AY3:AY14))</f>
        <v>0</v>
      </c>
      <c r="BA15" s="2371">
        <f ca="1">BA3+(AY15*-1)</f>
        <v>0</v>
      </c>
      <c r="BB15" s="1043" t="s">
        <v>2902</v>
      </c>
      <c r="BC15" s="15">
        <f>reliefs!D16</f>
        <v>315000</v>
      </c>
      <c r="BG15" s="1002">
        <f>SUM(BG3:BG14)+0.0000001</f>
        <v>9.9999999999999995E-8</v>
      </c>
      <c r="BH15" s="997">
        <f t="shared" ref="BH15:BN30" si="52">BH14</f>
        <v>15000</v>
      </c>
      <c r="BI15" s="1001">
        <f t="shared" si="52"/>
        <v>0</v>
      </c>
      <c r="BJ15" s="997">
        <f t="shared" si="52"/>
        <v>5000000</v>
      </c>
      <c r="BK15" s="997">
        <f t="shared" si="52"/>
        <v>0.499</v>
      </c>
      <c r="BL15" s="997" t="b">
        <f t="shared" si="36"/>
        <v>1</v>
      </c>
      <c r="BM15" s="997" t="b">
        <f t="shared" si="36"/>
        <v>0</v>
      </c>
      <c r="BN15" s="997"/>
      <c r="BW15" s="997" t="b">
        <f t="shared" si="41"/>
        <v>0</v>
      </c>
      <c r="CE15" s="1002" t="b">
        <f t="shared" si="50"/>
        <v>0</v>
      </c>
      <c r="CH15" s="1036"/>
      <c r="CL15" s="1038">
        <f t="shared" si="51"/>
        <v>4</v>
      </c>
      <c r="CM15" s="1038" t="b">
        <f>nncalc2!$G$30</f>
        <v>0</v>
      </c>
      <c r="CN15" s="1038" t="b">
        <f>nccalc2!$G$30</f>
        <v>0</v>
      </c>
      <c r="CO15" s="1038" t="b">
        <f>bncalc2!$G$30</f>
        <v>0</v>
      </c>
      <c r="CP15" s="1038" t="b">
        <f>bccalc2!$G$30</f>
        <v>0</v>
      </c>
      <c r="CV15" s="1034"/>
      <c r="DG15" s="1002"/>
    </row>
    <row r="16" spans="1:111" x14ac:dyDescent="0.35">
      <c r="A16" s="997">
        <v>0</v>
      </c>
      <c r="B16" s="1003">
        <f>CH3</f>
        <v>45383</v>
      </c>
      <c r="C16" s="997">
        <f>IF(OR(B16=0,B16=""),"",2)</f>
        <v>2</v>
      </c>
      <c r="D16" s="1003">
        <f>$CJ$3</f>
        <v>45747</v>
      </c>
      <c r="E16" s="1002" t="str">
        <f ca="1">IF(B16=B17,E17,OFFSET(E2,AI15,0))</f>
        <v>nn</v>
      </c>
      <c r="F16" s="1003">
        <f>B16</f>
        <v>45383</v>
      </c>
      <c r="G16" s="1003">
        <f>IF(B16="","",IF(C17=C16,F17-1,D16))</f>
        <v>45747</v>
      </c>
      <c r="H16" s="1002">
        <f>IF(B16&lt;&gt;"",G16-F16+1,0)</f>
        <v>365</v>
      </c>
      <c r="I16" s="997">
        <f t="shared" ref="I16:I27" ca="1" si="53">IF(AP16&gt;0,K16*P16,HLOOKUP(E16,$CM$1:$CP$9,1+$C$16,FALSE))</f>
        <v>0</v>
      </c>
      <c r="J16" s="997">
        <f t="shared" ref="J16:J27" ca="1" si="54">I16/$CK$3</f>
        <v>0</v>
      </c>
      <c r="K16" s="997">
        <f t="shared" ref="K16:K27" ca="1" si="55">HLOOKUP(E16,$CM$1:$CP$10,10,FALSE)</f>
        <v>0</v>
      </c>
      <c r="L16" s="997">
        <f ca="1">IF(B16=B17,L17,OFFSET(L2,AI15,0))</f>
        <v>0</v>
      </c>
      <c r="M16" s="1002" t="str">
        <f ca="1">IF(L16&lt;K16,"down","up")</f>
        <v>up</v>
      </c>
      <c r="N16" s="1002">
        <f ca="1">IF(OR(B16="",K16=0),0,IF(M16="down",J16*L16/K16*H16,0))</f>
        <v>0</v>
      </c>
      <c r="O16" s="1002">
        <f t="shared" ref="O16:O27" ca="1" si="56">IF(B16="","",IF(M16="up",((J16*H16)+((L16-K16)*P16/$CK$3*H16)),0))</f>
        <v>0</v>
      </c>
      <c r="P16" s="1032">
        <f>$CL$3</f>
        <v>0.499</v>
      </c>
      <c r="Q16" s="997">
        <f ca="1">IF(M16="down",N16,O16)</f>
        <v>0</v>
      </c>
      <c r="R16" s="997">
        <f ca="1">IF(B16="",0,IF(U16=TRUE,(Q16/AH16)+AC16+(AD16/AH16),(Q16)+Y16+Z16+AC16+AD16))</f>
        <v>0</v>
      </c>
      <c r="S16" s="1006">
        <f ca="1">IF(B16=B17,S17,OFFSET(S2,AI15,0))</f>
        <v>1</v>
      </c>
      <c r="T16" s="2442">
        <f ca="1">$CV$1*(IF(AND(AF16="y",L16&lt;AG16),0,R16*S16))+CB16+AZ16</f>
        <v>0</v>
      </c>
      <c r="U16" s="997" t="b">
        <f ca="1">AND(V16=TRUE,L16&lt;=W16,AF16="n",X16=FALSE)</f>
        <v>0</v>
      </c>
      <c r="V16" s="997" t="b">
        <f>advanced!$M$23="y"</f>
        <v>0</v>
      </c>
      <c r="W16" s="997">
        <f>data!$D$34</f>
        <v>15000</v>
      </c>
      <c r="X16" s="997" t="b">
        <f t="shared" si="24"/>
        <v>0</v>
      </c>
      <c r="Y16" s="997">
        <f ca="1">IF(B16="",0,IF(OR(L16&lt;$CV$3,U16=TRUE,BX16=TRUE),0,L16*$CS$3/$CK$3*H16))</f>
        <v>0</v>
      </c>
      <c r="Z16" s="997">
        <f t="shared" ref="Z16:Z27" ca="1" si="57">IF(B16="",0,IF(AND($Z$2=TRUE,L16&gt;AA16),L16*AB16*H16/AQ16,0))</f>
        <v>0</v>
      </c>
      <c r="AA16" s="1002">
        <f>data!$G$54</f>
        <v>75000</v>
      </c>
      <c r="AB16" s="1002">
        <f>data!$F$54</f>
        <v>0.02</v>
      </c>
      <c r="AC16" s="997">
        <f ca="1">IF(B16="",0,L16*($CQ$3-IF(L16&lt;$CV$3,CW$3,0))/$CK$3*H16)*$AC$2/IF(U16=TRUE,AH16,1)</f>
        <v>0</v>
      </c>
      <c r="AD16" s="997">
        <f ca="1">IF(B16="",0,(IF($AE$1=authorities!$I$1,0,IF(L16&gt;AE16,VLOOKUP($AD$1,authorities!A:H,C16+1,FALSE),0)))*L16/$CK$3*H16)</f>
        <v>0</v>
      </c>
      <c r="AE16" s="997">
        <f>IF($AE$1=authorities!$I$1,0,$AE$1)</f>
        <v>0</v>
      </c>
      <c r="AF16" s="1006" t="str">
        <f ca="1">IF(B16=B17,AF17,OFFSET(AF2,AI15,0))</f>
        <v>n</v>
      </c>
      <c r="AG16" s="1002">
        <f>data!$C$44</f>
        <v>2900</v>
      </c>
      <c r="AH16" s="1007">
        <f t="shared" ref="AH16:AH27" ca="1" si="58">IF(L16&lt;=$CT$3,5000000,IF(L16&gt;$CU$3,1,IF(MID((($CU$3-$CT$3)/(L16-$CT$3)),6,1)="5",ROUND((($CU$3-$CT$3)/(L16-$CT$3))-0.0001,3),ROUND(($CU$3-$CT$3)/(L16-$CT$3),3))))</f>
        <v>5000000</v>
      </c>
      <c r="AI16" s="997">
        <f ca="1">IF(L16&lt;&gt;"",1,0)</f>
        <v>1</v>
      </c>
      <c r="AJ16" s="997" t="b">
        <f ca="1">IF(AP16&gt;0,FALSE,HLOOKUP(E16,$CM$1:$CP$17,$AJ$1+2,FALSE))</f>
        <v>0</v>
      </c>
      <c r="AL16" s="997">
        <f ca="1">IF(OR(H16=0,F16="",K16=L16,AJ16=FALSE),0,IF(L16&lt;K16,1,0.01))</f>
        <v>0</v>
      </c>
      <c r="AO16" s="1002">
        <f t="shared" ca="1" si="29"/>
        <v>1</v>
      </c>
      <c r="AP16" s="1002">
        <f ca="1">SUM($AO$3:AO16)</f>
        <v>2</v>
      </c>
      <c r="AQ16" s="1002">
        <f>$CK$3</f>
        <v>365</v>
      </c>
      <c r="AR16" s="997">
        <f t="shared" ca="1" si="31"/>
        <v>0</v>
      </c>
      <c r="AT16" s="997">
        <f ca="1">L16</f>
        <v>0</v>
      </c>
      <c r="AU16" s="997" t="b">
        <f t="shared" ref="AU16:AU27" ca="1" si="59">AT16&lt;$AU$1</f>
        <v>1</v>
      </c>
      <c r="AV16" s="997" t="b">
        <f t="shared" si="9"/>
        <v>0</v>
      </c>
      <c r="AW16" s="997" t="b">
        <f t="shared" ref="AW16:AW27" ca="1" si="60">AF16="n"</f>
        <v>1</v>
      </c>
      <c r="AX16" s="997">
        <f ca="1">AU16*AV16*AW16*IF(S16=0,0,1)</f>
        <v>0</v>
      </c>
      <c r="AY16" s="997">
        <f ca="1">AR16/reliefs!$E$7*AX16*-1</f>
        <v>0</v>
      </c>
      <c r="AZ16" s="1002">
        <f ca="1">$AY$28/$BG$28*H16*AX16</f>
        <v>0</v>
      </c>
      <c r="BA16" s="2370"/>
      <c r="BB16" s="997"/>
      <c r="BC16" s="997"/>
      <c r="BD16" s="997"/>
      <c r="BE16" s="997"/>
      <c r="BG16" s="997">
        <f ca="1">H16*AX16</f>
        <v>0</v>
      </c>
      <c r="BH16" s="997">
        <f t="shared" si="52"/>
        <v>15000</v>
      </c>
      <c r="BI16" s="1001">
        <f t="shared" si="52"/>
        <v>0</v>
      </c>
      <c r="BJ16" s="997">
        <f t="shared" si="52"/>
        <v>5000000</v>
      </c>
      <c r="BK16" s="997">
        <f t="shared" si="52"/>
        <v>0.499</v>
      </c>
      <c r="BL16" s="997" t="b">
        <f t="shared" si="36"/>
        <v>1</v>
      </c>
      <c r="BM16" s="997" t="b">
        <f t="shared" si="36"/>
        <v>0</v>
      </c>
      <c r="BN16" s="997">
        <f>CD14</f>
        <v>600</v>
      </c>
      <c r="BO16" s="997">
        <f t="shared" ref="BO16:BO27" ca="1" si="61">I16/IF(U16=TRUE,AH16,1)</f>
        <v>0</v>
      </c>
      <c r="BP16" s="997"/>
      <c r="BQ16" s="997"/>
      <c r="BR16" s="997">
        <f>BN16+600</f>
        <v>1200</v>
      </c>
      <c r="BS16" s="997"/>
      <c r="BT16" s="997" t="b">
        <f ca="1">BO16&gt;BR16</f>
        <v>0</v>
      </c>
      <c r="BU16" s="997" t="b">
        <f>BU14</f>
        <v>1</v>
      </c>
      <c r="BV16" s="997" t="b">
        <f ca="1">AW16</f>
        <v>1</v>
      </c>
      <c r="BW16" s="997" t="b">
        <f ca="1">BV16</f>
        <v>1</v>
      </c>
      <c r="BX16" s="997" t="b">
        <f ca="1">IF(CE16=TRUE,FALSE,BL16+BM16+BT16+BU16+BV16+BW16=6)</f>
        <v>0</v>
      </c>
      <c r="BY16" s="997">
        <f t="shared" ref="BY16:BY27" ca="1" si="62">(BR16-BO16)</f>
        <v>1200</v>
      </c>
      <c r="BZ16" s="997">
        <f t="shared" ref="BZ16:BZ27" si="63">AQ16</f>
        <v>365</v>
      </c>
      <c r="CA16" s="997">
        <f>H16</f>
        <v>365</v>
      </c>
      <c r="CB16" s="997">
        <f ca="1">BY16/BZ16*CA16*BX16</f>
        <v>0</v>
      </c>
      <c r="CC16" s="997">
        <f t="shared" ref="CC16:CC27" ca="1" si="64">CB16</f>
        <v>0</v>
      </c>
      <c r="CD16" s="997">
        <f>BR16</f>
        <v>1200</v>
      </c>
      <c r="CE16" s="1002" t="b">
        <f t="shared" si="50"/>
        <v>0</v>
      </c>
      <c r="CH16" s="1036"/>
      <c r="CL16" s="1038">
        <f t="shared" si="51"/>
        <v>5</v>
      </c>
      <c r="CM16" s="1038" t="b">
        <f>nncalc2!$H$30</f>
        <v>0</v>
      </c>
      <c r="CN16" s="1038" t="b">
        <f>nccalc2!$H$30</f>
        <v>0</v>
      </c>
      <c r="CO16" s="1038" t="b">
        <f>bncalc2!$H$30</f>
        <v>0</v>
      </c>
      <c r="CP16" s="1038" t="b">
        <f>bccalc2!$H$30</f>
        <v>0</v>
      </c>
      <c r="CV16" s="1034"/>
      <c r="DB16" s="1001"/>
      <c r="DG16" s="1002"/>
    </row>
    <row r="17" spans="1:111" x14ac:dyDescent="0.35">
      <c r="A17" s="997">
        <f t="shared" ref="A17:A27" si="65">A16+1</f>
        <v>1</v>
      </c>
      <c r="B17" s="1003" t="str">
        <f>IF(input_engine_rx!$U$21&gt;A16,VLOOKUP(A17,input_engine_rx!$U$23:$Y$35,2,FALSE),"")</f>
        <v/>
      </c>
      <c r="C17" s="997" t="str">
        <f t="shared" ref="C17:C27" si="66">IF(OR(B17=0,B17=""),"",2)</f>
        <v/>
      </c>
      <c r="D17" s="1003">
        <f t="shared" ref="D17:D27" si="67">$CJ$3</f>
        <v>45747</v>
      </c>
      <c r="E17" s="1002" t="str">
        <f ca="1">IF(B17="",E16,VLOOKUP(B17,input_engine_rx!$B$23:$F$35,5,FALSE))</f>
        <v>nn</v>
      </c>
      <c r="F17" s="1003" t="str">
        <f t="shared" ref="F17:F27" si="68">B17</f>
        <v/>
      </c>
      <c r="G17" s="1003" t="str">
        <f t="shared" ref="G17:G26" si="69">IF(B17="","",IF(C18=C17,F18-1,D17))</f>
        <v/>
      </c>
      <c r="H17" s="1002">
        <f t="shared" ref="H17:H27" si="70">IF(B17&lt;&gt;"",G17-F17+1,0)</f>
        <v>0</v>
      </c>
      <c r="I17" s="997">
        <f t="shared" ca="1" si="53"/>
        <v>0</v>
      </c>
      <c r="J17" s="997">
        <f t="shared" ca="1" si="54"/>
        <v>0</v>
      </c>
      <c r="K17" s="997">
        <f t="shared" ca="1" si="55"/>
        <v>0</v>
      </c>
      <c r="L17" s="997" t="str">
        <f>IF(input_engine_rx!$U$21&gt;A16,VLOOKUP(A17,input_engine_rx!$U$23:$Y$36,3,FALSE),"")</f>
        <v/>
      </c>
      <c r="M17" s="1002" t="str">
        <f t="shared" ref="M17:M27" ca="1" si="71">IF(L17&lt;K17,"down","up")</f>
        <v>up</v>
      </c>
      <c r="N17" s="1002" t="str">
        <f>IF(B17="","",IF(M17="down",J17*L17/K17*H17,0))</f>
        <v/>
      </c>
      <c r="O17" s="1002" t="str">
        <f t="shared" si="56"/>
        <v/>
      </c>
      <c r="P17" s="1032">
        <f t="shared" ref="P17:P27" si="72">$CL$3</f>
        <v>0.499</v>
      </c>
      <c r="Q17" s="997" t="str">
        <f t="shared" ref="Q17:Q27" ca="1" si="73">IF(M17="down",N17,O17)</f>
        <v/>
      </c>
      <c r="R17" s="997">
        <f t="shared" ref="R17:R27" si="74">IF(B17="",0,IF(U17=TRUE,(Q17/AH17)+AC17+(AD17/AH17),(Q17)+Y17+Z17+AC17+AD17))</f>
        <v>0</v>
      </c>
      <c r="S17" s="1006">
        <f>IF(input_engine_rx!$U$21&gt;A16,VLOOKUP(A17,input_engine_rx!$U$23:$Y$35,4,FALSE),0)</f>
        <v>0</v>
      </c>
      <c r="T17" s="2442">
        <f t="shared" ref="T17:T27" ca="1" si="75">$CV$1*(IF(AND(AF17="y",L17&lt;AG17),0,R17*S17))+CB17+AZ17</f>
        <v>0</v>
      </c>
      <c r="U17" s="997" t="b">
        <f t="shared" ref="U17:U27" si="76">AND(V17=TRUE,L17&lt;=W17,AF17="n",X17=FALSE)</f>
        <v>0</v>
      </c>
      <c r="V17" s="997" t="b">
        <f>advanced!$M$23="y"</f>
        <v>0</v>
      </c>
      <c r="W17" s="997">
        <f>data!$D$34</f>
        <v>15000</v>
      </c>
      <c r="X17" s="997" t="b">
        <f t="shared" si="24"/>
        <v>0</v>
      </c>
      <c r="Y17" s="997">
        <f t="shared" ref="Y17:Y27" si="77">IF(B17="",0,IF(OR(L17&lt;$CV$3,U17=TRUE,BX17=TRUE),0,L17*$CS$3/$CK$3*H17))</f>
        <v>0</v>
      </c>
      <c r="Z17" s="997">
        <f t="shared" si="57"/>
        <v>0</v>
      </c>
      <c r="AA17" s="1002">
        <f>data!$G$54</f>
        <v>75000</v>
      </c>
      <c r="AB17" s="1002">
        <f>data!$F$54</f>
        <v>0.02</v>
      </c>
      <c r="AC17" s="997">
        <f t="shared" ref="AC17:AC27" si="78">IF(B17="",0,L17*($CQ$3-IF(L17&lt;$CV$3,CW$3,0))/$CK$3*H17)*$AC$2/IF(U17=TRUE,AH17,1)</f>
        <v>0</v>
      </c>
      <c r="AD17" s="997">
        <f>IF(B17="",0,(IF($AE$1=authorities!$I$1,0,IF(L17&gt;AE17,VLOOKUP($AD$1,authorities!A:H,C17+1,FALSE),0)))*L17/$CK$3*H17)</f>
        <v>0</v>
      </c>
      <c r="AE17" s="997">
        <f>IF($AE$1=authorities!$I$1,0,$AE$1)</f>
        <v>0</v>
      </c>
      <c r="AF17" s="1002">
        <f>IF(input_engine_rx!$U$21&gt;A16,VLOOKUP(A17,input_engine_rx!$U$23:$Y$35,5,FALSE),0)</f>
        <v>0</v>
      </c>
      <c r="AG17" s="1002">
        <f>data!$C$44</f>
        <v>2900</v>
      </c>
      <c r="AH17" s="1007">
        <f t="shared" si="58"/>
        <v>1</v>
      </c>
      <c r="AI17" s="997">
        <f t="shared" ref="AI17:AI27" si="79">IF(L17&lt;&gt;"",1,0)</f>
        <v>0</v>
      </c>
      <c r="AJ17" s="997" t="b">
        <f t="shared" ref="AJ17:AJ27" ca="1" si="80">IF(AP17&gt;0,FALSE,HLOOKUP(E17,$CM$1:$CP$17,$AJ$1+2,FALSE))</f>
        <v>0</v>
      </c>
      <c r="AL17" s="997">
        <f t="shared" ref="AL17:AL27" ca="1" si="81">IF(OR(H17=0,F17="",K17=L17,AJ17=FALSE),0,IF(L17&lt;K17,1,0.01))</f>
        <v>0</v>
      </c>
      <c r="AO17" s="1002">
        <f t="shared" si="29"/>
        <v>0</v>
      </c>
      <c r="AP17" s="1002">
        <f ca="1">SUM($AO$3:AO17)</f>
        <v>2</v>
      </c>
      <c r="AQ17" s="1002">
        <f t="shared" ref="AQ17:AQ27" si="82">$CK$3</f>
        <v>365</v>
      </c>
      <c r="AR17" s="997">
        <f t="shared" ca="1" si="31"/>
        <v>0</v>
      </c>
      <c r="AT17" s="997">
        <f t="shared" ref="AT17:AT27" ca="1" si="83">IF(L17="",AT16,L17)</f>
        <v>0</v>
      </c>
      <c r="AU17" s="997" t="b">
        <f t="shared" ca="1" si="59"/>
        <v>1</v>
      </c>
      <c r="AV17" s="997" t="b">
        <f t="shared" si="9"/>
        <v>0</v>
      </c>
      <c r="AW17" s="997" t="b">
        <f t="shared" si="60"/>
        <v>0</v>
      </c>
      <c r="AX17" s="997">
        <f t="shared" ref="AX17:AX27" ca="1" si="84">AU17*AV17*AW17*IF(S17=0,0,1)</f>
        <v>0</v>
      </c>
      <c r="AY17" s="997">
        <f ca="1">AR17/reliefs!$E$7*AX17*-1</f>
        <v>0</v>
      </c>
      <c r="AZ17" s="1002">
        <f t="shared" ref="AZ17:AZ27" ca="1" si="85">$AY$28/$BG$28*H17*AX17</f>
        <v>0</v>
      </c>
      <c r="BA17" s="2370"/>
      <c r="BB17" s="997"/>
      <c r="BC17" s="997"/>
      <c r="BD17" s="997"/>
      <c r="BE17" s="997"/>
      <c r="BG17" s="997">
        <f t="shared" ref="BG17:BG27" ca="1" si="86">H17*AX17</f>
        <v>0</v>
      </c>
      <c r="BH17" s="997">
        <f t="shared" si="52"/>
        <v>15000</v>
      </c>
      <c r="BI17" s="1001">
        <f t="shared" si="52"/>
        <v>0</v>
      </c>
      <c r="BJ17" s="997">
        <f t="shared" si="52"/>
        <v>5000000</v>
      </c>
      <c r="BK17" s="997">
        <f t="shared" si="52"/>
        <v>0.499</v>
      </c>
      <c r="BL17" s="997" t="b">
        <f t="shared" si="36"/>
        <v>1</v>
      </c>
      <c r="BM17" s="997" t="b">
        <f t="shared" si="36"/>
        <v>0</v>
      </c>
      <c r="BN17" s="997">
        <f t="shared" si="36"/>
        <v>600</v>
      </c>
      <c r="BO17" s="997">
        <f t="shared" ca="1" si="61"/>
        <v>0</v>
      </c>
      <c r="BP17" s="997"/>
      <c r="BQ17" s="997"/>
      <c r="BR17" s="997">
        <f t="shared" ref="BR17:BR40" si="87">BN17+600</f>
        <v>1200</v>
      </c>
      <c r="BS17" s="997"/>
      <c r="BT17" s="997" t="b">
        <f t="shared" ref="BT17:BT27" ca="1" si="88">BO17&gt;BR17</f>
        <v>0</v>
      </c>
      <c r="BU17" s="997" t="b">
        <f>BU16</f>
        <v>1</v>
      </c>
      <c r="BV17" s="997" t="b">
        <f t="shared" ref="BV17:BV27" si="89">AW17</f>
        <v>0</v>
      </c>
      <c r="BW17" s="997" t="b">
        <f t="shared" ref="BW17:BW27" ca="1" si="90">AND(BW16=TRUE,BV17=TRUE)</f>
        <v>0</v>
      </c>
      <c r="BX17" s="997" t="b">
        <f t="shared" ref="BX17:BX41" ca="1" si="91">IF(CE17=TRUE,FALSE,BL17+BM17+BT17+BU17+BV17+BW17=6)</f>
        <v>0</v>
      </c>
      <c r="BY17" s="997">
        <f t="shared" ca="1" si="62"/>
        <v>1200</v>
      </c>
      <c r="BZ17" s="997">
        <f t="shared" si="63"/>
        <v>365</v>
      </c>
      <c r="CA17" s="997">
        <f t="shared" ref="CA17:CA27" si="92">H17</f>
        <v>0</v>
      </c>
      <c r="CB17" s="997">
        <f t="shared" ref="CB17:CB27" ca="1" si="93">BY17/BZ17*CA17*BX17</f>
        <v>0</v>
      </c>
      <c r="CC17" s="997">
        <f t="shared" ca="1" si="64"/>
        <v>0</v>
      </c>
      <c r="CD17" s="997">
        <f>CD16</f>
        <v>1200</v>
      </c>
      <c r="CE17" s="1002" t="b">
        <f t="shared" si="50"/>
        <v>0</v>
      </c>
      <c r="CH17" s="1036"/>
      <c r="CL17" s="1038">
        <f t="shared" si="51"/>
        <v>6</v>
      </c>
      <c r="CM17" s="1038" t="b">
        <f>nncalc2!$I$30</f>
        <v>0</v>
      </c>
      <c r="CN17" s="1038" t="b">
        <f>nccalc2!$I$30</f>
        <v>0</v>
      </c>
      <c r="CO17" s="1038" t="b">
        <f>bncalc2!$I$30</f>
        <v>0</v>
      </c>
      <c r="CP17" s="1038" t="b">
        <f>bccalc2!$I$30</f>
        <v>0</v>
      </c>
      <c r="CV17" s="1034"/>
      <c r="DB17" s="1001"/>
      <c r="DG17" s="1002"/>
    </row>
    <row r="18" spans="1:111" ht="15" thickBot="1" x14ac:dyDescent="0.4">
      <c r="A18" s="997">
        <f t="shared" si="65"/>
        <v>2</v>
      </c>
      <c r="B18" s="1003" t="str">
        <f>IF(input_engine_rx!$U$21&gt;A17,VLOOKUP(A18,input_engine_rx!$U$23:$Y$35,2,FALSE),"")</f>
        <v/>
      </c>
      <c r="C18" s="997" t="str">
        <f t="shared" si="66"/>
        <v/>
      </c>
      <c r="D18" s="1003">
        <f t="shared" si="67"/>
        <v>45747</v>
      </c>
      <c r="E18" s="1002" t="str">
        <f ca="1">IF(B18="",E17,VLOOKUP(B18,input_engine_rx!$B$23:$F$35,5,FALSE))</f>
        <v>nn</v>
      </c>
      <c r="F18" s="1003" t="str">
        <f t="shared" si="68"/>
        <v/>
      </c>
      <c r="G18" s="1003" t="str">
        <f t="shared" si="69"/>
        <v/>
      </c>
      <c r="H18" s="1002">
        <f t="shared" si="70"/>
        <v>0</v>
      </c>
      <c r="I18" s="997">
        <f t="shared" ca="1" si="53"/>
        <v>0</v>
      </c>
      <c r="J18" s="997">
        <f t="shared" ca="1" si="54"/>
        <v>0</v>
      </c>
      <c r="K18" s="997">
        <f t="shared" ca="1" si="55"/>
        <v>0</v>
      </c>
      <c r="L18" s="997" t="str">
        <f>IF(input_engine_rx!$U$21&gt;A17,VLOOKUP(A18,input_engine_rx!$U$23:$Y$36,3,FALSE),"")</f>
        <v/>
      </c>
      <c r="M18" s="1002" t="str">
        <f t="shared" ca="1" si="71"/>
        <v>up</v>
      </c>
      <c r="N18" s="1002" t="str">
        <f t="shared" ref="N18:N27" si="94">IF(B18="","",IF(M18="down",J18*L18/K18*H18,0))</f>
        <v/>
      </c>
      <c r="O18" s="1002" t="str">
        <f t="shared" si="56"/>
        <v/>
      </c>
      <c r="P18" s="1032">
        <f t="shared" si="72"/>
        <v>0.499</v>
      </c>
      <c r="Q18" s="997" t="str">
        <f t="shared" ca="1" si="73"/>
        <v/>
      </c>
      <c r="R18" s="997">
        <f t="shared" si="74"/>
        <v>0</v>
      </c>
      <c r="S18" s="1006">
        <f>IF(input_engine_rx!$U$21&gt;A17,VLOOKUP(A18,input_engine_rx!$U$23:$Y$35,4,FALSE),0)</f>
        <v>0</v>
      </c>
      <c r="T18" s="2442">
        <f t="shared" ca="1" si="75"/>
        <v>0</v>
      </c>
      <c r="U18" s="997" t="b">
        <f t="shared" si="76"/>
        <v>0</v>
      </c>
      <c r="V18" s="997" t="b">
        <f>advanced!$M$23="y"</f>
        <v>0</v>
      </c>
      <c r="W18" s="997">
        <f>data!$D$34</f>
        <v>15000</v>
      </c>
      <c r="X18" s="997" t="b">
        <f t="shared" si="24"/>
        <v>0</v>
      </c>
      <c r="Y18" s="997">
        <f t="shared" si="77"/>
        <v>0</v>
      </c>
      <c r="Z18" s="997">
        <f t="shared" si="57"/>
        <v>0</v>
      </c>
      <c r="AA18" s="1002">
        <f>data!$G$54</f>
        <v>75000</v>
      </c>
      <c r="AB18" s="1002">
        <f>data!$F$54</f>
        <v>0.02</v>
      </c>
      <c r="AC18" s="997">
        <f t="shared" si="78"/>
        <v>0</v>
      </c>
      <c r="AD18" s="997">
        <f>IF(B18="",0,(IF($AE$1=authorities!$I$1,0,IF(L18&gt;AE18,VLOOKUP($AD$1,authorities!A:H,C18+1,FALSE),0)))*L18/$CK$3*H18)</f>
        <v>0</v>
      </c>
      <c r="AE18" s="997">
        <f>IF($AE$1=authorities!$I$1,0,$AE$1)</f>
        <v>0</v>
      </c>
      <c r="AF18" s="1002">
        <f>IF(input_engine_rx!$U$21&gt;A17,VLOOKUP(A18,input_engine_rx!$U$23:$Y$35,5,FALSE),0)</f>
        <v>0</v>
      </c>
      <c r="AG18" s="1002">
        <f>data!$C$44</f>
        <v>2900</v>
      </c>
      <c r="AH18" s="1007">
        <f t="shared" si="58"/>
        <v>1</v>
      </c>
      <c r="AI18" s="997">
        <f t="shared" si="79"/>
        <v>0</v>
      </c>
      <c r="AJ18" s="997" t="b">
        <f t="shared" ca="1" si="80"/>
        <v>0</v>
      </c>
      <c r="AL18" s="997">
        <f t="shared" ca="1" si="81"/>
        <v>0</v>
      </c>
      <c r="AO18" s="1002">
        <f t="shared" si="29"/>
        <v>0</v>
      </c>
      <c r="AP18" s="1002">
        <f ca="1">SUM($AO$3:AO18)</f>
        <v>2</v>
      </c>
      <c r="AQ18" s="1002">
        <f t="shared" si="82"/>
        <v>365</v>
      </c>
      <c r="AR18" s="997">
        <f t="shared" ca="1" si="31"/>
        <v>0</v>
      </c>
      <c r="AT18" s="997">
        <f t="shared" ca="1" si="83"/>
        <v>0</v>
      </c>
      <c r="AU18" s="997" t="b">
        <f t="shared" ca="1" si="59"/>
        <v>1</v>
      </c>
      <c r="AV18" s="997" t="b">
        <f t="shared" si="9"/>
        <v>0</v>
      </c>
      <c r="AW18" s="997" t="b">
        <f t="shared" si="60"/>
        <v>0</v>
      </c>
      <c r="AX18" s="997">
        <f t="shared" ca="1" si="84"/>
        <v>0</v>
      </c>
      <c r="AY18" s="997">
        <f ca="1">AR18/reliefs!$E$7*AX18*-1</f>
        <v>0</v>
      </c>
      <c r="AZ18" s="1002">
        <f t="shared" ca="1" si="85"/>
        <v>0</v>
      </c>
      <c r="BA18" s="2370"/>
      <c r="BB18" s="997"/>
      <c r="BC18" s="997"/>
      <c r="BD18" s="997"/>
      <c r="BE18" s="997"/>
      <c r="BG18" s="997">
        <f t="shared" ca="1" si="86"/>
        <v>0</v>
      </c>
      <c r="BH18" s="997">
        <f t="shared" si="52"/>
        <v>15000</v>
      </c>
      <c r="BI18" s="1001">
        <f t="shared" si="52"/>
        <v>0</v>
      </c>
      <c r="BJ18" s="997">
        <f t="shared" si="52"/>
        <v>5000000</v>
      </c>
      <c r="BK18" s="997">
        <f t="shared" si="52"/>
        <v>0.499</v>
      </c>
      <c r="BL18" s="997" t="b">
        <f t="shared" si="36"/>
        <v>1</v>
      </c>
      <c r="BM18" s="997" t="b">
        <f t="shared" si="36"/>
        <v>0</v>
      </c>
      <c r="BN18" s="997">
        <f t="shared" si="36"/>
        <v>600</v>
      </c>
      <c r="BO18" s="997">
        <f t="shared" ca="1" si="61"/>
        <v>0</v>
      </c>
      <c r="BP18" s="997"/>
      <c r="BQ18" s="997"/>
      <c r="BR18" s="997">
        <f t="shared" si="87"/>
        <v>1200</v>
      </c>
      <c r="BS18" s="997"/>
      <c r="BT18" s="997" t="b">
        <f t="shared" ca="1" si="88"/>
        <v>0</v>
      </c>
      <c r="BU18" s="997" t="b">
        <f t="shared" ref="BU18:BU27" si="95">BU17</f>
        <v>1</v>
      </c>
      <c r="BV18" s="997" t="b">
        <f t="shared" si="89"/>
        <v>0</v>
      </c>
      <c r="BW18" s="997" t="b">
        <f t="shared" ca="1" si="90"/>
        <v>0</v>
      </c>
      <c r="BX18" s="997" t="b">
        <f t="shared" ca="1" si="91"/>
        <v>0</v>
      </c>
      <c r="BY18" s="997">
        <f t="shared" ca="1" si="62"/>
        <v>1200</v>
      </c>
      <c r="BZ18" s="997">
        <f t="shared" si="63"/>
        <v>365</v>
      </c>
      <c r="CA18" s="997">
        <f t="shared" si="92"/>
        <v>0</v>
      </c>
      <c r="CB18" s="997">
        <f t="shared" ca="1" si="93"/>
        <v>0</v>
      </c>
      <c r="CC18" s="997">
        <f t="shared" ca="1" si="64"/>
        <v>0</v>
      </c>
      <c r="CD18" s="997">
        <f t="shared" ref="CD18:CD27" si="96">CD17</f>
        <v>1200</v>
      </c>
      <c r="CE18" s="1002" t="b">
        <f t="shared" si="50"/>
        <v>0</v>
      </c>
      <c r="CH18" s="1039"/>
      <c r="CI18" s="1040"/>
      <c r="CJ18" s="1040"/>
      <c r="CK18" s="1040"/>
      <c r="CL18" s="1040"/>
      <c r="CM18" s="1040"/>
      <c r="CN18" s="1040"/>
      <c r="CO18" s="1040"/>
      <c r="CP18" s="1040"/>
      <c r="CQ18" s="1040"/>
      <c r="CR18" s="1040"/>
      <c r="CS18" s="1040"/>
      <c r="CT18" s="1040"/>
      <c r="CU18" s="1040"/>
      <c r="CV18" s="1041"/>
      <c r="DB18" s="1001"/>
      <c r="DG18" s="1002"/>
    </row>
    <row r="19" spans="1:111" x14ac:dyDescent="0.35">
      <c r="A19" s="997">
        <f t="shared" si="65"/>
        <v>3</v>
      </c>
      <c r="B19" s="1003" t="str">
        <f>IF(input_engine_rx!$U$21&gt;A18,VLOOKUP(A19,input_engine_rx!$U$23:$Y$35,2,FALSE),"")</f>
        <v/>
      </c>
      <c r="C19" s="997" t="str">
        <f t="shared" si="66"/>
        <v/>
      </c>
      <c r="D19" s="1003">
        <f t="shared" si="67"/>
        <v>45747</v>
      </c>
      <c r="E19" s="1002" t="str">
        <f ca="1">IF(B19="",E18,VLOOKUP(B19,input_engine_rx!$B$23:$F$35,5,FALSE))</f>
        <v>nn</v>
      </c>
      <c r="F19" s="1003" t="str">
        <f t="shared" si="68"/>
        <v/>
      </c>
      <c r="G19" s="1003" t="str">
        <f t="shared" si="69"/>
        <v/>
      </c>
      <c r="H19" s="1002">
        <f t="shared" si="70"/>
        <v>0</v>
      </c>
      <c r="I19" s="997">
        <f t="shared" ca="1" si="53"/>
        <v>0</v>
      </c>
      <c r="J19" s="997">
        <f t="shared" ca="1" si="54"/>
        <v>0</v>
      </c>
      <c r="K19" s="997">
        <f t="shared" ca="1" si="55"/>
        <v>0</v>
      </c>
      <c r="L19" s="997" t="str">
        <f>IF(input_engine_rx!$U$21&gt;A18,VLOOKUP(A19,input_engine_rx!$U$23:$Y$36,3,FALSE),"")</f>
        <v/>
      </c>
      <c r="M19" s="1002" t="str">
        <f t="shared" ca="1" si="71"/>
        <v>up</v>
      </c>
      <c r="N19" s="1002" t="str">
        <f t="shared" si="94"/>
        <v/>
      </c>
      <c r="O19" s="1002" t="str">
        <f t="shared" si="56"/>
        <v/>
      </c>
      <c r="P19" s="1032">
        <f t="shared" si="72"/>
        <v>0.499</v>
      </c>
      <c r="Q19" s="997" t="str">
        <f t="shared" ca="1" si="73"/>
        <v/>
      </c>
      <c r="R19" s="997">
        <f t="shared" si="74"/>
        <v>0</v>
      </c>
      <c r="S19" s="1006">
        <f>IF(input_engine_rx!$U$21&gt;A18,VLOOKUP(A19,input_engine_rx!$U$23:$Y$35,4,FALSE),0)</f>
        <v>0</v>
      </c>
      <c r="T19" s="2442">
        <f t="shared" ca="1" si="75"/>
        <v>0</v>
      </c>
      <c r="U19" s="997" t="b">
        <f t="shared" si="76"/>
        <v>0</v>
      </c>
      <c r="V19" s="997" t="b">
        <f>advanced!$M$23="y"</f>
        <v>0</v>
      </c>
      <c r="W19" s="997">
        <f>data!$D$34</f>
        <v>15000</v>
      </c>
      <c r="X19" s="997" t="b">
        <f t="shared" si="24"/>
        <v>0</v>
      </c>
      <c r="Y19" s="997">
        <f t="shared" si="77"/>
        <v>0</v>
      </c>
      <c r="Z19" s="997">
        <f t="shared" si="57"/>
        <v>0</v>
      </c>
      <c r="AA19" s="1002">
        <f>data!$G$54</f>
        <v>75000</v>
      </c>
      <c r="AB19" s="1002">
        <f>data!$F$54</f>
        <v>0.02</v>
      </c>
      <c r="AC19" s="997">
        <f t="shared" si="78"/>
        <v>0</v>
      </c>
      <c r="AD19" s="997">
        <f>IF(B19="",0,(IF($AE$1=authorities!$I$1,0,IF(L19&gt;AE19,VLOOKUP($AD$1,authorities!A:H,C19+1,FALSE),0)))*L19/$CK$3*H19)</f>
        <v>0</v>
      </c>
      <c r="AE19" s="997">
        <f>IF($AE$1=authorities!$I$1,0,$AE$1)</f>
        <v>0</v>
      </c>
      <c r="AF19" s="1002">
        <f>IF(input_engine_rx!$U$21&gt;A18,VLOOKUP(A19,input_engine_rx!$U$23:$Y$35,5,FALSE),0)</f>
        <v>0</v>
      </c>
      <c r="AG19" s="1002">
        <f>data!$C$44</f>
        <v>2900</v>
      </c>
      <c r="AH19" s="1007">
        <f t="shared" si="58"/>
        <v>1</v>
      </c>
      <c r="AI19" s="997">
        <f t="shared" si="79"/>
        <v>0</v>
      </c>
      <c r="AJ19" s="997" t="b">
        <f t="shared" ca="1" si="80"/>
        <v>0</v>
      </c>
      <c r="AL19" s="997">
        <f t="shared" ca="1" si="81"/>
        <v>0</v>
      </c>
      <c r="AO19" s="1002">
        <f t="shared" si="29"/>
        <v>0</v>
      </c>
      <c r="AP19" s="1002">
        <f ca="1">SUM($AO$3:AO19)</f>
        <v>2</v>
      </c>
      <c r="AQ19" s="1002">
        <f t="shared" si="82"/>
        <v>365</v>
      </c>
      <c r="AR19" s="997">
        <f t="shared" ca="1" si="31"/>
        <v>0</v>
      </c>
      <c r="AT19" s="997">
        <f t="shared" ca="1" si="83"/>
        <v>0</v>
      </c>
      <c r="AU19" s="997" t="b">
        <f t="shared" ca="1" si="59"/>
        <v>1</v>
      </c>
      <c r="AV19" s="997" t="b">
        <f t="shared" si="9"/>
        <v>0</v>
      </c>
      <c r="AW19" s="997" t="b">
        <f t="shared" si="60"/>
        <v>0</v>
      </c>
      <c r="AX19" s="997">
        <f t="shared" ca="1" si="84"/>
        <v>0</v>
      </c>
      <c r="AY19" s="997">
        <f ca="1">AR19/reliefs!$E$7*AX19*-1</f>
        <v>0</v>
      </c>
      <c r="AZ19" s="1002">
        <f t="shared" ca="1" si="85"/>
        <v>0</v>
      </c>
      <c r="BA19" s="2370"/>
      <c r="BB19" s="997"/>
      <c r="BC19" s="997"/>
      <c r="BD19" s="997"/>
      <c r="BE19" s="997"/>
      <c r="BG19" s="997">
        <f t="shared" ca="1" si="86"/>
        <v>0</v>
      </c>
      <c r="BH19" s="997">
        <f t="shared" si="52"/>
        <v>15000</v>
      </c>
      <c r="BI19" s="1001">
        <f t="shared" si="52"/>
        <v>0</v>
      </c>
      <c r="BJ19" s="997">
        <f t="shared" si="52"/>
        <v>5000000</v>
      </c>
      <c r="BK19" s="997">
        <f t="shared" si="52"/>
        <v>0.499</v>
      </c>
      <c r="BL19" s="997" t="b">
        <f t="shared" si="36"/>
        <v>1</v>
      </c>
      <c r="BM19" s="997" t="b">
        <f t="shared" si="36"/>
        <v>0</v>
      </c>
      <c r="BN19" s="997">
        <f t="shared" si="36"/>
        <v>600</v>
      </c>
      <c r="BO19" s="997">
        <f t="shared" ca="1" si="61"/>
        <v>0</v>
      </c>
      <c r="BP19" s="997"/>
      <c r="BQ19" s="997"/>
      <c r="BR19" s="997">
        <f t="shared" si="87"/>
        <v>1200</v>
      </c>
      <c r="BS19" s="997"/>
      <c r="BT19" s="997" t="b">
        <f t="shared" ca="1" si="88"/>
        <v>0</v>
      </c>
      <c r="BU19" s="997" t="b">
        <f t="shared" si="95"/>
        <v>1</v>
      </c>
      <c r="BV19" s="997" t="b">
        <f t="shared" si="89"/>
        <v>0</v>
      </c>
      <c r="BW19" s="997" t="b">
        <f t="shared" ca="1" si="90"/>
        <v>0</v>
      </c>
      <c r="BX19" s="997" t="b">
        <f t="shared" ca="1" si="91"/>
        <v>0</v>
      </c>
      <c r="BY19" s="997">
        <f t="shared" ca="1" si="62"/>
        <v>1200</v>
      </c>
      <c r="BZ19" s="997">
        <f t="shared" si="63"/>
        <v>365</v>
      </c>
      <c r="CA19" s="997">
        <f t="shared" si="92"/>
        <v>0</v>
      </c>
      <c r="CB19" s="997">
        <f t="shared" ca="1" si="93"/>
        <v>0</v>
      </c>
      <c r="CC19" s="997">
        <f t="shared" ca="1" si="64"/>
        <v>0</v>
      </c>
      <c r="CD19" s="997">
        <f t="shared" si="96"/>
        <v>1200</v>
      </c>
      <c r="CE19" s="1002" t="b">
        <f t="shared" si="50"/>
        <v>0</v>
      </c>
      <c r="DB19" s="1001"/>
      <c r="DG19" s="1002"/>
    </row>
    <row r="20" spans="1:111" customFormat="1" x14ac:dyDescent="0.35">
      <c r="A20" s="997">
        <f t="shared" si="65"/>
        <v>4</v>
      </c>
      <c r="B20" s="1003" t="str">
        <f>IF(input_engine_rx!$U$21&gt;A19,VLOOKUP(A20,input_engine_rx!$U$23:$Y$35,2,FALSE),"")</f>
        <v/>
      </c>
      <c r="C20" s="997" t="str">
        <f t="shared" si="66"/>
        <v/>
      </c>
      <c r="D20" s="1003">
        <f t="shared" si="67"/>
        <v>45747</v>
      </c>
      <c r="E20" s="1002" t="str">
        <f ca="1">IF(B20="",E19,VLOOKUP(B20,input_engine_rx!$B$23:$F$35,5,FALSE))</f>
        <v>nn</v>
      </c>
      <c r="F20" s="1003" t="str">
        <f t="shared" si="68"/>
        <v/>
      </c>
      <c r="G20" s="1003" t="str">
        <f t="shared" si="69"/>
        <v/>
      </c>
      <c r="H20" s="1002">
        <f t="shared" si="70"/>
        <v>0</v>
      </c>
      <c r="I20" s="997">
        <f t="shared" ca="1" si="53"/>
        <v>0</v>
      </c>
      <c r="J20" s="997">
        <f t="shared" ca="1" si="54"/>
        <v>0</v>
      </c>
      <c r="K20" s="997">
        <f t="shared" ca="1" si="55"/>
        <v>0</v>
      </c>
      <c r="L20" s="997" t="str">
        <f>IF(input_engine_rx!$U$21&gt;A19,VLOOKUP(A20,input_engine_rx!$U$23:$Y$36,3,FALSE),"")</f>
        <v/>
      </c>
      <c r="M20" s="1002" t="str">
        <f t="shared" ca="1" si="71"/>
        <v>up</v>
      </c>
      <c r="N20" s="1002" t="str">
        <f t="shared" si="94"/>
        <v/>
      </c>
      <c r="O20" s="1002" t="str">
        <f t="shared" si="56"/>
        <v/>
      </c>
      <c r="P20" s="1032">
        <f t="shared" si="72"/>
        <v>0.499</v>
      </c>
      <c r="Q20" s="997" t="str">
        <f t="shared" ca="1" si="73"/>
        <v/>
      </c>
      <c r="R20" s="997">
        <f t="shared" si="74"/>
        <v>0</v>
      </c>
      <c r="S20" s="1006">
        <f>IF(input_engine_rx!$U$21&gt;A19,VLOOKUP(A20,input_engine_rx!$U$23:$Y$35,4,FALSE),0)</f>
        <v>0</v>
      </c>
      <c r="T20" s="2442">
        <f t="shared" ca="1" si="75"/>
        <v>0</v>
      </c>
      <c r="U20" s="997" t="b">
        <f t="shared" si="76"/>
        <v>0</v>
      </c>
      <c r="V20" s="997" t="b">
        <f>advanced!$M$23="y"</f>
        <v>0</v>
      </c>
      <c r="W20" s="997">
        <f>data!$D$34</f>
        <v>15000</v>
      </c>
      <c r="X20" s="997" t="b">
        <f t="shared" si="24"/>
        <v>0</v>
      </c>
      <c r="Y20" s="997">
        <f t="shared" si="77"/>
        <v>0</v>
      </c>
      <c r="Z20" s="997">
        <f t="shared" si="57"/>
        <v>0</v>
      </c>
      <c r="AA20" s="1002">
        <f>data!$G$54</f>
        <v>75000</v>
      </c>
      <c r="AB20" s="1002">
        <f>data!$F$54</f>
        <v>0.02</v>
      </c>
      <c r="AC20" s="997">
        <f t="shared" si="78"/>
        <v>0</v>
      </c>
      <c r="AD20" s="997">
        <f>IF(B20="",0,(IF($AE$1=authorities!$I$1,0,IF(L20&gt;AE20,VLOOKUP($AD$1,authorities!A:H,C20+1,FALSE),0)))*L20/$CK$3*H20)</f>
        <v>0</v>
      </c>
      <c r="AE20" s="997">
        <f>IF($AE$1=authorities!$I$1,0,$AE$1)</f>
        <v>0</v>
      </c>
      <c r="AF20" s="1002">
        <f>IF(input_engine_rx!$U$21&gt;A19,VLOOKUP(A20,input_engine_rx!$U$23:$Y$35,5,FALSE),0)</f>
        <v>0</v>
      </c>
      <c r="AG20" s="1002">
        <f>data!$C$44</f>
        <v>2900</v>
      </c>
      <c r="AH20" s="1007">
        <f t="shared" si="58"/>
        <v>1</v>
      </c>
      <c r="AI20" s="997">
        <f t="shared" si="79"/>
        <v>0</v>
      </c>
      <c r="AJ20" s="997" t="b">
        <f t="shared" ca="1" si="80"/>
        <v>0</v>
      </c>
      <c r="AK20" s="997"/>
      <c r="AL20" s="997">
        <f t="shared" ca="1" si="81"/>
        <v>0</v>
      </c>
      <c r="AM20" s="997"/>
      <c r="AN20" s="997"/>
      <c r="AO20" s="1002">
        <f t="shared" si="29"/>
        <v>0</v>
      </c>
      <c r="AP20" s="1002">
        <f ca="1">SUM($AO$3:AO20)</f>
        <v>2</v>
      </c>
      <c r="AQ20" s="1002">
        <f t="shared" si="82"/>
        <v>365</v>
      </c>
      <c r="AR20" s="997">
        <f t="shared" ca="1" si="31"/>
        <v>0</v>
      </c>
      <c r="AS20" s="5"/>
      <c r="AT20" s="997">
        <f t="shared" ca="1" si="83"/>
        <v>0</v>
      </c>
      <c r="AU20" s="997" t="b">
        <f t="shared" ca="1" si="59"/>
        <v>1</v>
      </c>
      <c r="AV20" s="997" t="b">
        <f t="shared" si="9"/>
        <v>0</v>
      </c>
      <c r="AW20" s="997" t="b">
        <f t="shared" si="60"/>
        <v>0</v>
      </c>
      <c r="AX20" s="997">
        <f t="shared" ca="1" si="84"/>
        <v>0</v>
      </c>
      <c r="AY20" s="997">
        <f ca="1">AR20/reliefs!$E$7*AX20*-1</f>
        <v>0</v>
      </c>
      <c r="AZ20" s="1002">
        <f t="shared" ca="1" si="85"/>
        <v>0</v>
      </c>
      <c r="BA20" s="2370"/>
      <c r="BB20" s="997"/>
      <c r="BC20" s="997"/>
      <c r="BD20" s="997"/>
      <c r="BE20" s="997"/>
      <c r="BF20" s="1002"/>
      <c r="BG20" s="997">
        <f t="shared" ca="1" si="86"/>
        <v>0</v>
      </c>
      <c r="BH20" s="997">
        <f t="shared" si="52"/>
        <v>15000</v>
      </c>
      <c r="BI20" s="1001">
        <f t="shared" si="52"/>
        <v>0</v>
      </c>
      <c r="BJ20" s="997">
        <f t="shared" si="52"/>
        <v>5000000</v>
      </c>
      <c r="BK20" s="997">
        <f t="shared" si="52"/>
        <v>0.499</v>
      </c>
      <c r="BL20" s="997" t="b">
        <f t="shared" si="52"/>
        <v>1</v>
      </c>
      <c r="BM20" s="997" t="b">
        <f t="shared" si="52"/>
        <v>0</v>
      </c>
      <c r="BN20" s="997">
        <f t="shared" si="52"/>
        <v>600</v>
      </c>
      <c r="BO20" s="997">
        <f t="shared" ca="1" si="61"/>
        <v>0</v>
      </c>
      <c r="BP20" s="997"/>
      <c r="BQ20" s="997"/>
      <c r="BR20" s="997">
        <f t="shared" si="87"/>
        <v>1200</v>
      </c>
      <c r="BS20" s="997"/>
      <c r="BT20" s="997" t="b">
        <f t="shared" ca="1" si="88"/>
        <v>0</v>
      </c>
      <c r="BU20" s="997" t="b">
        <f t="shared" si="95"/>
        <v>1</v>
      </c>
      <c r="BV20" s="997" t="b">
        <f t="shared" si="89"/>
        <v>0</v>
      </c>
      <c r="BW20" s="997" t="b">
        <f t="shared" ca="1" si="90"/>
        <v>0</v>
      </c>
      <c r="BX20" s="997" t="b">
        <f t="shared" ca="1" si="91"/>
        <v>0</v>
      </c>
      <c r="BY20" s="997">
        <f t="shared" ca="1" si="62"/>
        <v>1200</v>
      </c>
      <c r="BZ20" s="997">
        <f t="shared" si="63"/>
        <v>365</v>
      </c>
      <c r="CA20" s="997">
        <f t="shared" si="92"/>
        <v>0</v>
      </c>
      <c r="CB20" s="997">
        <f t="shared" ca="1" si="93"/>
        <v>0</v>
      </c>
      <c r="CC20" s="997">
        <f t="shared" ca="1" si="64"/>
        <v>0</v>
      </c>
      <c r="CD20" s="997">
        <f t="shared" si="96"/>
        <v>1200</v>
      </c>
      <c r="CE20" s="1002" t="b">
        <f t="shared" si="50"/>
        <v>0</v>
      </c>
      <c r="CF20" s="5"/>
      <c r="CG20" s="5"/>
    </row>
    <row r="21" spans="1:111" customFormat="1" x14ac:dyDescent="0.35">
      <c r="A21" s="997">
        <f t="shared" si="65"/>
        <v>5</v>
      </c>
      <c r="B21" s="1003" t="str">
        <f>IF(input_engine_rx!$U$21&gt;A20,VLOOKUP(A21,input_engine_rx!$U$23:$Y$35,2,FALSE),"")</f>
        <v/>
      </c>
      <c r="C21" s="997" t="str">
        <f t="shared" si="66"/>
        <v/>
      </c>
      <c r="D21" s="1003">
        <f t="shared" si="67"/>
        <v>45747</v>
      </c>
      <c r="E21" s="1002" t="str">
        <f ca="1">IF(B21="",E20,VLOOKUP(B21,input_engine_rx!$B$23:$F$35,5,FALSE))</f>
        <v>nn</v>
      </c>
      <c r="F21" s="1003" t="str">
        <f t="shared" si="68"/>
        <v/>
      </c>
      <c r="G21" s="1003" t="str">
        <f t="shared" si="69"/>
        <v/>
      </c>
      <c r="H21" s="1002">
        <f t="shared" si="70"/>
        <v>0</v>
      </c>
      <c r="I21" s="997">
        <f t="shared" ca="1" si="53"/>
        <v>0</v>
      </c>
      <c r="J21" s="997">
        <f t="shared" ca="1" si="54"/>
        <v>0</v>
      </c>
      <c r="K21" s="997">
        <f t="shared" ca="1" si="55"/>
        <v>0</v>
      </c>
      <c r="L21" s="997" t="str">
        <f>IF(input_engine_rx!$U$21&gt;A20,VLOOKUP(A21,input_engine_rx!$U$23:$Y$36,3,FALSE),"")</f>
        <v/>
      </c>
      <c r="M21" s="1002" t="str">
        <f t="shared" ca="1" si="71"/>
        <v>up</v>
      </c>
      <c r="N21" s="1002" t="str">
        <f t="shared" si="94"/>
        <v/>
      </c>
      <c r="O21" s="1002" t="str">
        <f t="shared" si="56"/>
        <v/>
      </c>
      <c r="P21" s="1032">
        <f t="shared" si="72"/>
        <v>0.499</v>
      </c>
      <c r="Q21" s="997" t="str">
        <f t="shared" ca="1" si="73"/>
        <v/>
      </c>
      <c r="R21" s="997">
        <f t="shared" si="74"/>
        <v>0</v>
      </c>
      <c r="S21" s="1006">
        <f>IF(input_engine_rx!$U$21&gt;A20,VLOOKUP(A21,input_engine_rx!$U$23:$Y$35,4,FALSE),0)</f>
        <v>0</v>
      </c>
      <c r="T21" s="2442">
        <f t="shared" ca="1" si="75"/>
        <v>0</v>
      </c>
      <c r="U21" s="997" t="b">
        <f t="shared" si="76"/>
        <v>0</v>
      </c>
      <c r="V21" s="997" t="b">
        <f>advanced!$M$23="y"</f>
        <v>0</v>
      </c>
      <c r="W21" s="997">
        <f>data!$D$34</f>
        <v>15000</v>
      </c>
      <c r="X21" s="997" t="b">
        <f t="shared" si="24"/>
        <v>0</v>
      </c>
      <c r="Y21" s="997">
        <f t="shared" si="77"/>
        <v>0</v>
      </c>
      <c r="Z21" s="997">
        <f t="shared" si="57"/>
        <v>0</v>
      </c>
      <c r="AA21" s="1002">
        <f>data!$G$54</f>
        <v>75000</v>
      </c>
      <c r="AB21" s="1002">
        <f>data!$F$54</f>
        <v>0.02</v>
      </c>
      <c r="AC21" s="997">
        <f t="shared" si="78"/>
        <v>0</v>
      </c>
      <c r="AD21" s="997">
        <f>IF(B21="",0,(IF($AE$1=authorities!$I$1,0,IF(L21&gt;AE21,VLOOKUP($AD$1,authorities!A:H,C21+1,FALSE),0)))*L21/$CK$3*H21)</f>
        <v>0</v>
      </c>
      <c r="AE21" s="997">
        <f>IF($AE$1=authorities!$I$1,0,$AE$1)</f>
        <v>0</v>
      </c>
      <c r="AF21" s="1002">
        <f>IF(input_engine_rx!$U$21&gt;A20,VLOOKUP(A21,input_engine_rx!$U$23:$Y$35,5,FALSE),0)</f>
        <v>0</v>
      </c>
      <c r="AG21" s="1002">
        <f>data!$C$44</f>
        <v>2900</v>
      </c>
      <c r="AH21" s="1007">
        <f t="shared" si="58"/>
        <v>1</v>
      </c>
      <c r="AI21" s="997">
        <f t="shared" si="79"/>
        <v>0</v>
      </c>
      <c r="AJ21" s="997" t="b">
        <f t="shared" ca="1" si="80"/>
        <v>0</v>
      </c>
      <c r="AK21" s="997"/>
      <c r="AL21" s="997">
        <f t="shared" ca="1" si="81"/>
        <v>0</v>
      </c>
      <c r="AM21" s="997"/>
      <c r="AN21" s="997"/>
      <c r="AO21" s="1002">
        <f t="shared" si="29"/>
        <v>0</v>
      </c>
      <c r="AP21" s="1002">
        <f ca="1">SUM($AO$3:AO21)</f>
        <v>2</v>
      </c>
      <c r="AQ21" s="1002">
        <f t="shared" si="82"/>
        <v>365</v>
      </c>
      <c r="AR21" s="997">
        <f t="shared" ca="1" si="31"/>
        <v>0</v>
      </c>
      <c r="AS21" s="5"/>
      <c r="AT21" s="997">
        <f t="shared" ca="1" si="83"/>
        <v>0</v>
      </c>
      <c r="AU21" s="997" t="b">
        <f t="shared" ca="1" si="59"/>
        <v>1</v>
      </c>
      <c r="AV21" s="997" t="b">
        <f t="shared" si="9"/>
        <v>0</v>
      </c>
      <c r="AW21" s="997" t="b">
        <f t="shared" si="60"/>
        <v>0</v>
      </c>
      <c r="AX21" s="997">
        <f t="shared" ca="1" si="84"/>
        <v>0</v>
      </c>
      <c r="AY21" s="997">
        <f ca="1">AR21/reliefs!$E$7*AX21*-1</f>
        <v>0</v>
      </c>
      <c r="AZ21" s="1002">
        <f t="shared" ca="1" si="85"/>
        <v>0</v>
      </c>
      <c r="BA21" s="2370"/>
      <c r="BB21" s="997"/>
      <c r="BC21" s="997"/>
      <c r="BD21" s="997"/>
      <c r="BE21" s="997"/>
      <c r="BF21" s="1002"/>
      <c r="BG21" s="997">
        <f t="shared" ca="1" si="86"/>
        <v>0</v>
      </c>
      <c r="BH21" s="997">
        <f t="shared" si="52"/>
        <v>15000</v>
      </c>
      <c r="BI21" s="1001">
        <f t="shared" si="52"/>
        <v>0</v>
      </c>
      <c r="BJ21" s="997">
        <f t="shared" si="52"/>
        <v>5000000</v>
      </c>
      <c r="BK21" s="997">
        <f t="shared" si="52"/>
        <v>0.499</v>
      </c>
      <c r="BL21" s="997" t="b">
        <f t="shared" si="52"/>
        <v>1</v>
      </c>
      <c r="BM21" s="997" t="b">
        <f t="shared" si="52"/>
        <v>0</v>
      </c>
      <c r="BN21" s="997">
        <f t="shared" si="52"/>
        <v>600</v>
      </c>
      <c r="BO21" s="997">
        <f t="shared" ca="1" si="61"/>
        <v>0</v>
      </c>
      <c r="BP21" s="997"/>
      <c r="BQ21" s="997"/>
      <c r="BR21" s="997">
        <f t="shared" si="87"/>
        <v>1200</v>
      </c>
      <c r="BS21" s="997"/>
      <c r="BT21" s="997" t="b">
        <f t="shared" ca="1" si="88"/>
        <v>0</v>
      </c>
      <c r="BU21" s="997" t="b">
        <f t="shared" si="95"/>
        <v>1</v>
      </c>
      <c r="BV21" s="997" t="b">
        <f t="shared" si="89"/>
        <v>0</v>
      </c>
      <c r="BW21" s="997" t="b">
        <f t="shared" ca="1" si="90"/>
        <v>0</v>
      </c>
      <c r="BX21" s="997" t="b">
        <f t="shared" ca="1" si="91"/>
        <v>0</v>
      </c>
      <c r="BY21" s="997">
        <f t="shared" ca="1" si="62"/>
        <v>1200</v>
      </c>
      <c r="BZ21" s="997">
        <f t="shared" si="63"/>
        <v>365</v>
      </c>
      <c r="CA21" s="997">
        <f t="shared" si="92"/>
        <v>0</v>
      </c>
      <c r="CB21" s="997">
        <f t="shared" ca="1" si="93"/>
        <v>0</v>
      </c>
      <c r="CC21" s="997">
        <f t="shared" ca="1" si="64"/>
        <v>0</v>
      </c>
      <c r="CD21" s="997">
        <f t="shared" si="96"/>
        <v>1200</v>
      </c>
      <c r="CE21" s="1002" t="b">
        <f t="shared" si="50"/>
        <v>0</v>
      </c>
      <c r="CF21" s="5"/>
      <c r="CG21" s="5"/>
    </row>
    <row r="22" spans="1:111" customFormat="1" x14ac:dyDescent="0.35">
      <c r="A22" s="997">
        <f t="shared" si="65"/>
        <v>6</v>
      </c>
      <c r="B22" s="1003" t="str">
        <f>IF(input_engine_rx!$U$21&gt;A21,VLOOKUP(A22,input_engine_rx!$U$23:$Y$35,2,FALSE),"")</f>
        <v/>
      </c>
      <c r="C22" s="997" t="str">
        <f t="shared" si="66"/>
        <v/>
      </c>
      <c r="D22" s="1003">
        <f t="shared" si="67"/>
        <v>45747</v>
      </c>
      <c r="E22" s="1002" t="str">
        <f ca="1">IF(B22="",E21,VLOOKUP(B22,input_engine_rx!$B$23:$F$35,5,FALSE))</f>
        <v>nn</v>
      </c>
      <c r="F22" s="1003" t="str">
        <f t="shared" si="68"/>
        <v/>
      </c>
      <c r="G22" s="1003" t="str">
        <f t="shared" si="69"/>
        <v/>
      </c>
      <c r="H22" s="1002">
        <f t="shared" si="70"/>
        <v>0</v>
      </c>
      <c r="I22" s="997">
        <f t="shared" ca="1" si="53"/>
        <v>0</v>
      </c>
      <c r="J22" s="997">
        <f t="shared" ca="1" si="54"/>
        <v>0</v>
      </c>
      <c r="K22" s="997">
        <f t="shared" ca="1" si="55"/>
        <v>0</v>
      </c>
      <c r="L22" s="997" t="str">
        <f>IF(input_engine_rx!$U$21&gt;A21,VLOOKUP(A22,input_engine_rx!$U$23:$Y$36,3,FALSE),"")</f>
        <v/>
      </c>
      <c r="M22" s="1002" t="str">
        <f t="shared" ca="1" si="71"/>
        <v>up</v>
      </c>
      <c r="N22" s="1002" t="str">
        <f t="shared" si="94"/>
        <v/>
      </c>
      <c r="O22" s="1002" t="str">
        <f t="shared" si="56"/>
        <v/>
      </c>
      <c r="P22" s="1032">
        <f t="shared" si="72"/>
        <v>0.499</v>
      </c>
      <c r="Q22" s="997" t="str">
        <f t="shared" ca="1" si="73"/>
        <v/>
      </c>
      <c r="R22" s="997">
        <f t="shared" si="74"/>
        <v>0</v>
      </c>
      <c r="S22" s="1006">
        <f>IF(input_engine_rx!$U$21&gt;A21,VLOOKUP(A22,input_engine_rx!$U$23:$Y$35,4,FALSE),0)</f>
        <v>0</v>
      </c>
      <c r="T22" s="2442">
        <f t="shared" ca="1" si="75"/>
        <v>0</v>
      </c>
      <c r="U22" s="997" t="b">
        <f t="shared" si="76"/>
        <v>0</v>
      </c>
      <c r="V22" s="997" t="b">
        <f>advanced!$M$23="y"</f>
        <v>0</v>
      </c>
      <c r="W22" s="997">
        <f>data!$D$34</f>
        <v>15000</v>
      </c>
      <c r="X22" s="997" t="b">
        <f t="shared" si="24"/>
        <v>0</v>
      </c>
      <c r="Y22" s="997">
        <f t="shared" si="77"/>
        <v>0</v>
      </c>
      <c r="Z22" s="997">
        <f t="shared" si="57"/>
        <v>0</v>
      </c>
      <c r="AA22" s="1002">
        <f>data!$G$54</f>
        <v>75000</v>
      </c>
      <c r="AB22" s="1002">
        <f>data!$F$54</f>
        <v>0.02</v>
      </c>
      <c r="AC22" s="997">
        <f t="shared" si="78"/>
        <v>0</v>
      </c>
      <c r="AD22" s="997">
        <f>IF(B22="",0,(IF($AE$1=authorities!$I$1,0,IF(L22&gt;AE22,VLOOKUP($AD$1,authorities!A:H,C22+1,FALSE),0)))*L22/$CK$3*H22)</f>
        <v>0</v>
      </c>
      <c r="AE22" s="997">
        <f>IF($AE$1=authorities!$I$1,0,$AE$1)</f>
        <v>0</v>
      </c>
      <c r="AF22" s="1002">
        <f>IF(input_engine_rx!$U$21&gt;A21,VLOOKUP(A22,input_engine_rx!$U$23:$Y$35,5,FALSE),0)</f>
        <v>0</v>
      </c>
      <c r="AG22" s="1002">
        <f>data!$C$44</f>
        <v>2900</v>
      </c>
      <c r="AH22" s="1007">
        <f t="shared" si="58"/>
        <v>1</v>
      </c>
      <c r="AI22" s="997">
        <f t="shared" si="79"/>
        <v>0</v>
      </c>
      <c r="AJ22" s="997" t="b">
        <f t="shared" ca="1" si="80"/>
        <v>0</v>
      </c>
      <c r="AK22" s="997"/>
      <c r="AL22" s="997">
        <f t="shared" ca="1" si="81"/>
        <v>0</v>
      </c>
      <c r="AM22" s="997"/>
      <c r="AN22" s="997"/>
      <c r="AO22" s="1002">
        <f t="shared" si="29"/>
        <v>0</v>
      </c>
      <c r="AP22" s="1002">
        <f ca="1">SUM($AO$3:AO22)</f>
        <v>2</v>
      </c>
      <c r="AQ22" s="1002">
        <f t="shared" si="82"/>
        <v>365</v>
      </c>
      <c r="AR22" s="997">
        <f t="shared" ca="1" si="31"/>
        <v>0</v>
      </c>
      <c r="AS22" s="5"/>
      <c r="AT22" s="997">
        <f t="shared" ca="1" si="83"/>
        <v>0</v>
      </c>
      <c r="AU22" s="997" t="b">
        <f t="shared" ca="1" si="59"/>
        <v>1</v>
      </c>
      <c r="AV22" s="997" t="b">
        <f t="shared" si="9"/>
        <v>0</v>
      </c>
      <c r="AW22" s="997" t="b">
        <f t="shared" si="60"/>
        <v>0</v>
      </c>
      <c r="AX22" s="997">
        <f t="shared" ca="1" si="84"/>
        <v>0</v>
      </c>
      <c r="AY22" s="997">
        <f ca="1">AR22/reliefs!$E$7*AX22*-1</f>
        <v>0</v>
      </c>
      <c r="AZ22" s="1002">
        <f t="shared" ca="1" si="85"/>
        <v>0</v>
      </c>
      <c r="BA22" s="2370"/>
      <c r="BB22" s="997"/>
      <c r="BC22" s="997"/>
      <c r="BD22" s="997"/>
      <c r="BE22" s="997"/>
      <c r="BF22" s="1002"/>
      <c r="BG22" s="997">
        <f t="shared" ca="1" si="86"/>
        <v>0</v>
      </c>
      <c r="BH22" s="997">
        <f t="shared" si="52"/>
        <v>15000</v>
      </c>
      <c r="BI22" s="1001">
        <f t="shared" si="52"/>
        <v>0</v>
      </c>
      <c r="BJ22" s="997">
        <f t="shared" si="52"/>
        <v>5000000</v>
      </c>
      <c r="BK22" s="997">
        <f t="shared" si="52"/>
        <v>0.499</v>
      </c>
      <c r="BL22" s="997" t="b">
        <f t="shared" si="52"/>
        <v>1</v>
      </c>
      <c r="BM22" s="997" t="b">
        <f t="shared" si="52"/>
        <v>0</v>
      </c>
      <c r="BN22" s="997">
        <f t="shared" si="52"/>
        <v>600</v>
      </c>
      <c r="BO22" s="997">
        <f t="shared" ca="1" si="61"/>
        <v>0</v>
      </c>
      <c r="BP22" s="997"/>
      <c r="BQ22" s="997"/>
      <c r="BR22" s="997">
        <f t="shared" si="87"/>
        <v>1200</v>
      </c>
      <c r="BS22" s="997"/>
      <c r="BT22" s="997" t="b">
        <f t="shared" ca="1" si="88"/>
        <v>0</v>
      </c>
      <c r="BU22" s="997" t="b">
        <f t="shared" si="95"/>
        <v>1</v>
      </c>
      <c r="BV22" s="997" t="b">
        <f t="shared" si="89"/>
        <v>0</v>
      </c>
      <c r="BW22" s="997" t="b">
        <f t="shared" ca="1" si="90"/>
        <v>0</v>
      </c>
      <c r="BX22" s="997" t="b">
        <f t="shared" ca="1" si="91"/>
        <v>0</v>
      </c>
      <c r="BY22" s="997">
        <f t="shared" ca="1" si="62"/>
        <v>1200</v>
      </c>
      <c r="BZ22" s="997">
        <f t="shared" si="63"/>
        <v>365</v>
      </c>
      <c r="CA22" s="997">
        <f t="shared" si="92"/>
        <v>0</v>
      </c>
      <c r="CB22" s="997">
        <f t="shared" ca="1" si="93"/>
        <v>0</v>
      </c>
      <c r="CC22" s="997">
        <f t="shared" ca="1" si="64"/>
        <v>0</v>
      </c>
      <c r="CD22" s="997">
        <f t="shared" si="96"/>
        <v>1200</v>
      </c>
      <c r="CE22" s="1002" t="b">
        <f t="shared" si="50"/>
        <v>0</v>
      </c>
      <c r="CF22" s="5"/>
      <c r="CG22" s="5"/>
    </row>
    <row r="23" spans="1:111" customFormat="1" x14ac:dyDescent="0.35">
      <c r="A23" s="997">
        <f t="shared" si="65"/>
        <v>7</v>
      </c>
      <c r="B23" s="1003" t="str">
        <f>IF(input_engine_rx!$U$21&gt;A22,VLOOKUP(A23,input_engine_rx!$U$23:$Y$35,2,FALSE),"")</f>
        <v/>
      </c>
      <c r="C23" s="997" t="str">
        <f t="shared" si="66"/>
        <v/>
      </c>
      <c r="D23" s="1003">
        <f t="shared" si="67"/>
        <v>45747</v>
      </c>
      <c r="E23" s="1002" t="str">
        <f ca="1">IF(B23="",E22,VLOOKUP(B23,input_engine_rx!$B$23:$F$35,5,FALSE))</f>
        <v>nn</v>
      </c>
      <c r="F23" s="1003" t="str">
        <f t="shared" si="68"/>
        <v/>
      </c>
      <c r="G23" s="1003" t="str">
        <f t="shared" si="69"/>
        <v/>
      </c>
      <c r="H23" s="1002">
        <f t="shared" si="70"/>
        <v>0</v>
      </c>
      <c r="I23" s="997">
        <f t="shared" ca="1" si="53"/>
        <v>0</v>
      </c>
      <c r="J23" s="997">
        <f t="shared" ca="1" si="54"/>
        <v>0</v>
      </c>
      <c r="K23" s="997">
        <f t="shared" ca="1" si="55"/>
        <v>0</v>
      </c>
      <c r="L23" s="997" t="str">
        <f>IF(input_engine_rx!$U$21&gt;A22,VLOOKUP(A23,input_engine_rx!$U$23:$Y$36,3,FALSE),"")</f>
        <v/>
      </c>
      <c r="M23" s="1002" t="str">
        <f t="shared" ca="1" si="71"/>
        <v>up</v>
      </c>
      <c r="N23" s="1002" t="str">
        <f t="shared" si="94"/>
        <v/>
      </c>
      <c r="O23" s="1002" t="str">
        <f t="shared" si="56"/>
        <v/>
      </c>
      <c r="P23" s="1032">
        <f t="shared" si="72"/>
        <v>0.499</v>
      </c>
      <c r="Q23" s="997" t="str">
        <f t="shared" ca="1" si="73"/>
        <v/>
      </c>
      <c r="R23" s="997">
        <f t="shared" si="74"/>
        <v>0</v>
      </c>
      <c r="S23" s="1006">
        <f>IF(input_engine_rx!$U$21&gt;A22,VLOOKUP(A23,input_engine_rx!$U$23:$Y$35,4,FALSE),0)</f>
        <v>0</v>
      </c>
      <c r="T23" s="2442">
        <f t="shared" ca="1" si="75"/>
        <v>0</v>
      </c>
      <c r="U23" s="997" t="b">
        <f t="shared" si="76"/>
        <v>0</v>
      </c>
      <c r="V23" s="997" t="b">
        <f>advanced!$M$23="y"</f>
        <v>0</v>
      </c>
      <c r="W23" s="997">
        <f>data!$D$34</f>
        <v>15000</v>
      </c>
      <c r="X23" s="997" t="b">
        <f t="shared" si="24"/>
        <v>0</v>
      </c>
      <c r="Y23" s="997">
        <f t="shared" si="77"/>
        <v>0</v>
      </c>
      <c r="Z23" s="997">
        <f t="shared" si="57"/>
        <v>0</v>
      </c>
      <c r="AA23" s="1002">
        <f>data!$G$54</f>
        <v>75000</v>
      </c>
      <c r="AB23" s="1002">
        <f>data!$F$54</f>
        <v>0.02</v>
      </c>
      <c r="AC23" s="997">
        <f t="shared" si="78"/>
        <v>0</v>
      </c>
      <c r="AD23" s="997">
        <f>IF(B23="",0,(IF($AE$1=authorities!$I$1,0,IF(L23&gt;AE23,VLOOKUP($AD$1,authorities!A:H,C23+1,FALSE),0)))*L23/$CK$3*H23)</f>
        <v>0</v>
      </c>
      <c r="AE23" s="997">
        <f>IF($AE$1=authorities!$I$1,0,$AE$1)</f>
        <v>0</v>
      </c>
      <c r="AF23" s="1002">
        <f>IF(input_engine_rx!$U$21&gt;A22,VLOOKUP(A23,input_engine_rx!$U$23:$Y$35,5,FALSE),0)</f>
        <v>0</v>
      </c>
      <c r="AG23" s="1002">
        <f>data!$C$44</f>
        <v>2900</v>
      </c>
      <c r="AH23" s="1007">
        <f t="shared" si="58"/>
        <v>1</v>
      </c>
      <c r="AI23" s="997">
        <f t="shared" si="79"/>
        <v>0</v>
      </c>
      <c r="AJ23" s="997" t="b">
        <f t="shared" ca="1" si="80"/>
        <v>0</v>
      </c>
      <c r="AK23" s="997"/>
      <c r="AL23" s="997">
        <f t="shared" ca="1" si="81"/>
        <v>0</v>
      </c>
      <c r="AM23" s="997"/>
      <c r="AN23" s="997"/>
      <c r="AO23" s="1002">
        <f t="shared" si="29"/>
        <v>0</v>
      </c>
      <c r="AP23" s="1002">
        <f ca="1">SUM($AO$3:AO23)</f>
        <v>2</v>
      </c>
      <c r="AQ23" s="1002">
        <f t="shared" si="82"/>
        <v>365</v>
      </c>
      <c r="AR23" s="997">
        <f t="shared" ca="1" si="31"/>
        <v>0</v>
      </c>
      <c r="AS23" s="5"/>
      <c r="AT23" s="997">
        <f t="shared" ca="1" si="83"/>
        <v>0</v>
      </c>
      <c r="AU23" s="997" t="b">
        <f t="shared" ca="1" si="59"/>
        <v>1</v>
      </c>
      <c r="AV23" s="997" t="b">
        <f t="shared" si="9"/>
        <v>0</v>
      </c>
      <c r="AW23" s="997" t="b">
        <f t="shared" si="60"/>
        <v>0</v>
      </c>
      <c r="AX23" s="997">
        <f t="shared" ca="1" si="84"/>
        <v>0</v>
      </c>
      <c r="AY23" s="997">
        <f ca="1">AR23/reliefs!$E$7*AX23*-1</f>
        <v>0</v>
      </c>
      <c r="AZ23" s="1002">
        <f t="shared" ca="1" si="85"/>
        <v>0</v>
      </c>
      <c r="BA23" s="2370"/>
      <c r="BB23" s="997"/>
      <c r="BC23" s="997"/>
      <c r="BD23" s="997"/>
      <c r="BE23" s="997"/>
      <c r="BF23" s="1002"/>
      <c r="BG23" s="997">
        <f t="shared" ca="1" si="86"/>
        <v>0</v>
      </c>
      <c r="BH23" s="997">
        <f t="shared" si="52"/>
        <v>15000</v>
      </c>
      <c r="BI23" s="1001">
        <f t="shared" si="52"/>
        <v>0</v>
      </c>
      <c r="BJ23" s="997">
        <f t="shared" si="52"/>
        <v>5000000</v>
      </c>
      <c r="BK23" s="997">
        <f t="shared" si="52"/>
        <v>0.499</v>
      </c>
      <c r="BL23" s="997" t="b">
        <f t="shared" si="52"/>
        <v>1</v>
      </c>
      <c r="BM23" s="997" t="b">
        <f t="shared" si="52"/>
        <v>0</v>
      </c>
      <c r="BN23" s="997">
        <f t="shared" si="52"/>
        <v>600</v>
      </c>
      <c r="BO23" s="997">
        <f t="shared" ca="1" si="61"/>
        <v>0</v>
      </c>
      <c r="BP23" s="997"/>
      <c r="BQ23" s="997"/>
      <c r="BR23" s="997">
        <f t="shared" si="87"/>
        <v>1200</v>
      </c>
      <c r="BS23" s="997"/>
      <c r="BT23" s="997" t="b">
        <f t="shared" ca="1" si="88"/>
        <v>0</v>
      </c>
      <c r="BU23" s="997" t="b">
        <f t="shared" si="95"/>
        <v>1</v>
      </c>
      <c r="BV23" s="997" t="b">
        <f t="shared" si="89"/>
        <v>0</v>
      </c>
      <c r="BW23" s="997" t="b">
        <f t="shared" ca="1" si="90"/>
        <v>0</v>
      </c>
      <c r="BX23" s="997" t="b">
        <f t="shared" ca="1" si="91"/>
        <v>0</v>
      </c>
      <c r="BY23" s="997">
        <f t="shared" ca="1" si="62"/>
        <v>1200</v>
      </c>
      <c r="BZ23" s="997">
        <f t="shared" si="63"/>
        <v>365</v>
      </c>
      <c r="CA23" s="997">
        <f t="shared" si="92"/>
        <v>0</v>
      </c>
      <c r="CB23" s="997">
        <f t="shared" ca="1" si="93"/>
        <v>0</v>
      </c>
      <c r="CC23" s="997">
        <f t="shared" ca="1" si="64"/>
        <v>0</v>
      </c>
      <c r="CD23" s="997">
        <f t="shared" si="96"/>
        <v>1200</v>
      </c>
      <c r="CE23" s="1002" t="b">
        <f t="shared" si="50"/>
        <v>0</v>
      </c>
      <c r="CF23" s="5"/>
      <c r="CG23" s="5"/>
    </row>
    <row r="24" spans="1:111" customFormat="1" x14ac:dyDescent="0.35">
      <c r="A24" s="997">
        <f t="shared" si="65"/>
        <v>8</v>
      </c>
      <c r="B24" s="1003" t="str">
        <f>IF(input_engine_rx!$U$21&gt;A23,VLOOKUP(A24,input_engine_rx!$U$23:$Y$35,2,FALSE),"")</f>
        <v/>
      </c>
      <c r="C24" s="997" t="str">
        <f t="shared" si="66"/>
        <v/>
      </c>
      <c r="D24" s="1003">
        <f t="shared" si="67"/>
        <v>45747</v>
      </c>
      <c r="E24" s="1002" t="str">
        <f ca="1">IF(B24="",E23,VLOOKUP(B24,input_engine_rx!$B$23:$F$35,5,FALSE))</f>
        <v>nn</v>
      </c>
      <c r="F24" s="1003" t="str">
        <f t="shared" si="68"/>
        <v/>
      </c>
      <c r="G24" s="1003" t="str">
        <f t="shared" si="69"/>
        <v/>
      </c>
      <c r="H24" s="1002">
        <f t="shared" si="70"/>
        <v>0</v>
      </c>
      <c r="I24" s="997">
        <f t="shared" ca="1" si="53"/>
        <v>0</v>
      </c>
      <c r="J24" s="997">
        <f t="shared" ca="1" si="54"/>
        <v>0</v>
      </c>
      <c r="K24" s="997">
        <f t="shared" ca="1" si="55"/>
        <v>0</v>
      </c>
      <c r="L24" s="997" t="str">
        <f>IF(input_engine_rx!$U$21&gt;A23,VLOOKUP(A24,input_engine_rx!$U$23:$Y$36,3,FALSE),"")</f>
        <v/>
      </c>
      <c r="M24" s="1002" t="str">
        <f t="shared" ca="1" si="71"/>
        <v>up</v>
      </c>
      <c r="N24" s="1002" t="str">
        <f t="shared" si="94"/>
        <v/>
      </c>
      <c r="O24" s="1002" t="str">
        <f t="shared" si="56"/>
        <v/>
      </c>
      <c r="P24" s="1032">
        <f t="shared" si="72"/>
        <v>0.499</v>
      </c>
      <c r="Q24" s="997" t="str">
        <f t="shared" ca="1" si="73"/>
        <v/>
      </c>
      <c r="R24" s="997">
        <f t="shared" si="74"/>
        <v>0</v>
      </c>
      <c r="S24" s="1006">
        <f>IF(input_engine_rx!$U$21&gt;A23,VLOOKUP(A24,input_engine_rx!$U$23:$Y$35,4,FALSE),0)</f>
        <v>0</v>
      </c>
      <c r="T24" s="2442">
        <f t="shared" ca="1" si="75"/>
        <v>0</v>
      </c>
      <c r="U24" s="997" t="b">
        <f t="shared" si="76"/>
        <v>0</v>
      </c>
      <c r="V24" s="997" t="b">
        <f>advanced!$M$23="y"</f>
        <v>0</v>
      </c>
      <c r="W24" s="997">
        <f>data!$D$34</f>
        <v>15000</v>
      </c>
      <c r="X24" s="997" t="b">
        <f t="shared" si="24"/>
        <v>0</v>
      </c>
      <c r="Y24" s="997">
        <f t="shared" si="77"/>
        <v>0</v>
      </c>
      <c r="Z24" s="997">
        <f t="shared" si="57"/>
        <v>0</v>
      </c>
      <c r="AA24" s="1002">
        <f>data!$G$54</f>
        <v>75000</v>
      </c>
      <c r="AB24" s="1002">
        <f>data!$F$54</f>
        <v>0.02</v>
      </c>
      <c r="AC24" s="997">
        <f t="shared" si="78"/>
        <v>0</v>
      </c>
      <c r="AD24" s="997">
        <f>IF(B24="",0,(IF($AE$1=authorities!$I$1,0,IF(L24&gt;AE24,VLOOKUP($AD$1,authorities!A:H,C24+1,FALSE),0)))*L24/$CK$3*H24)</f>
        <v>0</v>
      </c>
      <c r="AE24" s="997">
        <f>IF($AE$1=authorities!$I$1,0,$AE$1)</f>
        <v>0</v>
      </c>
      <c r="AF24" s="1002">
        <f>IF(input_engine_rx!$U$21&gt;A23,VLOOKUP(A24,input_engine_rx!$U$23:$Y$35,5,FALSE),0)</f>
        <v>0</v>
      </c>
      <c r="AG24" s="1002">
        <f>data!$C$44</f>
        <v>2900</v>
      </c>
      <c r="AH24" s="1007">
        <f t="shared" si="58"/>
        <v>1</v>
      </c>
      <c r="AI24" s="997">
        <f t="shared" si="79"/>
        <v>0</v>
      </c>
      <c r="AJ24" s="997" t="b">
        <f t="shared" ca="1" si="80"/>
        <v>0</v>
      </c>
      <c r="AK24" s="997"/>
      <c r="AL24" s="997">
        <f t="shared" ca="1" si="81"/>
        <v>0</v>
      </c>
      <c r="AM24" s="997"/>
      <c r="AN24" s="997"/>
      <c r="AO24" s="1002">
        <f t="shared" si="29"/>
        <v>0</v>
      </c>
      <c r="AP24" s="1002">
        <f ca="1">SUM($AO$3:AO24)</f>
        <v>2</v>
      </c>
      <c r="AQ24" s="1002">
        <f t="shared" si="82"/>
        <v>365</v>
      </c>
      <c r="AR24" s="997">
        <f t="shared" ca="1" si="31"/>
        <v>0</v>
      </c>
      <c r="AS24" s="5"/>
      <c r="AT24" s="997">
        <f t="shared" ca="1" si="83"/>
        <v>0</v>
      </c>
      <c r="AU24" s="997" t="b">
        <f t="shared" ca="1" si="59"/>
        <v>1</v>
      </c>
      <c r="AV24" s="997" t="b">
        <f t="shared" si="9"/>
        <v>0</v>
      </c>
      <c r="AW24" s="997" t="b">
        <f t="shared" si="60"/>
        <v>0</v>
      </c>
      <c r="AX24" s="997">
        <f t="shared" ca="1" si="84"/>
        <v>0</v>
      </c>
      <c r="AY24" s="997">
        <f ca="1">AR24/reliefs!$E$7*AX24*-1</f>
        <v>0</v>
      </c>
      <c r="AZ24" s="1002">
        <f t="shared" ca="1" si="85"/>
        <v>0</v>
      </c>
      <c r="BA24" s="2370"/>
      <c r="BB24" s="997"/>
      <c r="BC24" s="997"/>
      <c r="BD24" s="997"/>
      <c r="BE24" s="997"/>
      <c r="BF24" s="1002"/>
      <c r="BG24" s="997">
        <f t="shared" ca="1" si="86"/>
        <v>0</v>
      </c>
      <c r="BH24" s="997">
        <f t="shared" si="52"/>
        <v>15000</v>
      </c>
      <c r="BI24" s="1001">
        <f t="shared" si="52"/>
        <v>0</v>
      </c>
      <c r="BJ24" s="997">
        <f t="shared" si="52"/>
        <v>5000000</v>
      </c>
      <c r="BK24" s="997">
        <f t="shared" si="52"/>
        <v>0.499</v>
      </c>
      <c r="BL24" s="997" t="b">
        <f t="shared" si="52"/>
        <v>1</v>
      </c>
      <c r="BM24" s="997" t="b">
        <f t="shared" si="52"/>
        <v>0</v>
      </c>
      <c r="BN24" s="997">
        <f t="shared" si="52"/>
        <v>600</v>
      </c>
      <c r="BO24" s="997">
        <f t="shared" ca="1" si="61"/>
        <v>0</v>
      </c>
      <c r="BP24" s="997"/>
      <c r="BQ24" s="997"/>
      <c r="BR24" s="997">
        <f t="shared" si="87"/>
        <v>1200</v>
      </c>
      <c r="BS24" s="997"/>
      <c r="BT24" s="997" t="b">
        <f t="shared" ca="1" si="88"/>
        <v>0</v>
      </c>
      <c r="BU24" s="997" t="b">
        <f t="shared" si="95"/>
        <v>1</v>
      </c>
      <c r="BV24" s="997" t="b">
        <f t="shared" si="89"/>
        <v>0</v>
      </c>
      <c r="BW24" s="997" t="b">
        <f t="shared" ca="1" si="90"/>
        <v>0</v>
      </c>
      <c r="BX24" s="997" t="b">
        <f t="shared" ca="1" si="91"/>
        <v>0</v>
      </c>
      <c r="BY24" s="997">
        <f t="shared" ca="1" si="62"/>
        <v>1200</v>
      </c>
      <c r="BZ24" s="997">
        <f t="shared" si="63"/>
        <v>365</v>
      </c>
      <c r="CA24" s="997">
        <f t="shared" si="92"/>
        <v>0</v>
      </c>
      <c r="CB24" s="997">
        <f t="shared" ca="1" si="93"/>
        <v>0</v>
      </c>
      <c r="CC24" s="997">
        <f t="shared" ca="1" si="64"/>
        <v>0</v>
      </c>
      <c r="CD24" s="997">
        <f t="shared" si="96"/>
        <v>1200</v>
      </c>
      <c r="CE24" s="1002" t="b">
        <f t="shared" si="50"/>
        <v>0</v>
      </c>
      <c r="CF24" s="5"/>
      <c r="CG24" s="5"/>
    </row>
    <row r="25" spans="1:111" customFormat="1" x14ac:dyDescent="0.35">
      <c r="A25" s="997">
        <f t="shared" si="65"/>
        <v>9</v>
      </c>
      <c r="B25" s="1003" t="str">
        <f>IF(input_engine_rx!$U$21&gt;A24,VLOOKUP(A25,input_engine_rx!$U$23:$Y$35,2,FALSE),"")</f>
        <v/>
      </c>
      <c r="C25" s="997" t="str">
        <f t="shared" si="66"/>
        <v/>
      </c>
      <c r="D25" s="1003">
        <f t="shared" si="67"/>
        <v>45747</v>
      </c>
      <c r="E25" s="1002" t="str">
        <f ca="1">IF(B25="",E24,VLOOKUP(B25,input_engine_rx!$B$23:$F$35,5,FALSE))</f>
        <v>nn</v>
      </c>
      <c r="F25" s="1003" t="str">
        <f t="shared" si="68"/>
        <v/>
      </c>
      <c r="G25" s="1003" t="str">
        <f t="shared" si="69"/>
        <v/>
      </c>
      <c r="H25" s="1002">
        <f t="shared" si="70"/>
        <v>0</v>
      </c>
      <c r="I25" s="997">
        <f t="shared" ca="1" si="53"/>
        <v>0</v>
      </c>
      <c r="J25" s="997">
        <f t="shared" ca="1" si="54"/>
        <v>0</v>
      </c>
      <c r="K25" s="997">
        <f t="shared" ca="1" si="55"/>
        <v>0</v>
      </c>
      <c r="L25" s="997" t="str">
        <f>IF(input_engine_rx!$U$21&gt;A24,VLOOKUP(A25,input_engine_rx!$U$23:$Y$36,3,FALSE),"")</f>
        <v/>
      </c>
      <c r="M25" s="1002" t="str">
        <f t="shared" ca="1" si="71"/>
        <v>up</v>
      </c>
      <c r="N25" s="1002" t="str">
        <f t="shared" si="94"/>
        <v/>
      </c>
      <c r="O25" s="1002" t="str">
        <f t="shared" si="56"/>
        <v/>
      </c>
      <c r="P25" s="1032">
        <f t="shared" si="72"/>
        <v>0.499</v>
      </c>
      <c r="Q25" s="997" t="str">
        <f t="shared" ca="1" si="73"/>
        <v/>
      </c>
      <c r="R25" s="997">
        <f t="shared" si="74"/>
        <v>0</v>
      </c>
      <c r="S25" s="1006">
        <f>IF(input_engine_rx!$U$21&gt;A24,VLOOKUP(A25,input_engine_rx!$U$23:$Y$35,4,FALSE),0)</f>
        <v>0</v>
      </c>
      <c r="T25" s="2442">
        <f t="shared" ca="1" si="75"/>
        <v>0</v>
      </c>
      <c r="U25" s="997" t="b">
        <f t="shared" si="76"/>
        <v>0</v>
      </c>
      <c r="V25" s="997" t="b">
        <f>advanced!$M$23="y"</f>
        <v>0</v>
      </c>
      <c r="W25" s="997">
        <f>data!$D$34</f>
        <v>15000</v>
      </c>
      <c r="X25" s="997" t="b">
        <f t="shared" si="24"/>
        <v>0</v>
      </c>
      <c r="Y25" s="997">
        <f t="shared" si="77"/>
        <v>0</v>
      </c>
      <c r="Z25" s="997">
        <f t="shared" si="57"/>
        <v>0</v>
      </c>
      <c r="AA25" s="1002">
        <f>data!$G$54</f>
        <v>75000</v>
      </c>
      <c r="AB25" s="1002">
        <f>data!$F$54</f>
        <v>0.02</v>
      </c>
      <c r="AC25" s="997">
        <f t="shared" si="78"/>
        <v>0</v>
      </c>
      <c r="AD25" s="997">
        <f>IF(B25="",0,(IF($AE$1=authorities!$I$1,0,IF(L25&gt;AE25,VLOOKUP($AD$1,authorities!A:H,C25+1,FALSE),0)))*L25/$CK$3*H25)</f>
        <v>0</v>
      </c>
      <c r="AE25" s="997">
        <f>IF($AE$1=authorities!$I$1,0,$AE$1)</f>
        <v>0</v>
      </c>
      <c r="AF25" s="1002">
        <f>IF(input_engine_rx!$U$21&gt;A24,VLOOKUP(A25,input_engine_rx!$U$23:$Y$35,5,FALSE),0)</f>
        <v>0</v>
      </c>
      <c r="AG25" s="1002">
        <f>data!$C$44</f>
        <v>2900</v>
      </c>
      <c r="AH25" s="1007">
        <f t="shared" si="58"/>
        <v>1</v>
      </c>
      <c r="AI25" s="997">
        <f t="shared" si="79"/>
        <v>0</v>
      </c>
      <c r="AJ25" s="997" t="b">
        <f t="shared" ca="1" si="80"/>
        <v>0</v>
      </c>
      <c r="AK25" s="997"/>
      <c r="AL25" s="997">
        <f t="shared" ca="1" si="81"/>
        <v>0</v>
      </c>
      <c r="AM25" s="997"/>
      <c r="AN25" s="997"/>
      <c r="AO25" s="1002">
        <f t="shared" si="29"/>
        <v>0</v>
      </c>
      <c r="AP25" s="1002">
        <f ca="1">SUM($AO$3:AO25)</f>
        <v>2</v>
      </c>
      <c r="AQ25" s="1002">
        <f t="shared" si="82"/>
        <v>365</v>
      </c>
      <c r="AR25" s="997">
        <f t="shared" ca="1" si="31"/>
        <v>0</v>
      </c>
      <c r="AS25" s="5"/>
      <c r="AT25" s="997">
        <f t="shared" ca="1" si="83"/>
        <v>0</v>
      </c>
      <c r="AU25" s="997" t="b">
        <f t="shared" ca="1" si="59"/>
        <v>1</v>
      </c>
      <c r="AV25" s="997" t="b">
        <f t="shared" si="9"/>
        <v>0</v>
      </c>
      <c r="AW25" s="997" t="b">
        <f t="shared" si="60"/>
        <v>0</v>
      </c>
      <c r="AX25" s="997">
        <f t="shared" ca="1" si="84"/>
        <v>0</v>
      </c>
      <c r="AY25" s="997">
        <f ca="1">AR25/reliefs!$E$7*AX25*-1</f>
        <v>0</v>
      </c>
      <c r="AZ25" s="1002">
        <f t="shared" ca="1" si="85"/>
        <v>0</v>
      </c>
      <c r="BA25" s="2370"/>
      <c r="BB25" s="997"/>
      <c r="BC25" s="997"/>
      <c r="BD25" s="997"/>
      <c r="BE25" s="997"/>
      <c r="BF25" s="1002"/>
      <c r="BG25" s="997">
        <f t="shared" ca="1" si="86"/>
        <v>0</v>
      </c>
      <c r="BH25" s="997">
        <f t="shared" si="52"/>
        <v>15000</v>
      </c>
      <c r="BI25" s="1001">
        <f t="shared" si="52"/>
        <v>0</v>
      </c>
      <c r="BJ25" s="997">
        <f t="shared" si="52"/>
        <v>5000000</v>
      </c>
      <c r="BK25" s="997">
        <f t="shared" si="52"/>
        <v>0.499</v>
      </c>
      <c r="BL25" s="997" t="b">
        <f t="shared" si="52"/>
        <v>1</v>
      </c>
      <c r="BM25" s="997" t="b">
        <f t="shared" si="52"/>
        <v>0</v>
      </c>
      <c r="BN25" s="997">
        <f t="shared" si="52"/>
        <v>600</v>
      </c>
      <c r="BO25" s="997">
        <f t="shared" ca="1" si="61"/>
        <v>0</v>
      </c>
      <c r="BP25" s="997"/>
      <c r="BQ25" s="997"/>
      <c r="BR25" s="997">
        <f t="shared" si="87"/>
        <v>1200</v>
      </c>
      <c r="BS25" s="997"/>
      <c r="BT25" s="997" t="b">
        <f t="shared" ca="1" si="88"/>
        <v>0</v>
      </c>
      <c r="BU25" s="997" t="b">
        <f t="shared" si="95"/>
        <v>1</v>
      </c>
      <c r="BV25" s="997" t="b">
        <f t="shared" si="89"/>
        <v>0</v>
      </c>
      <c r="BW25" s="997" t="b">
        <f t="shared" ca="1" si="90"/>
        <v>0</v>
      </c>
      <c r="BX25" s="997" t="b">
        <f t="shared" ca="1" si="91"/>
        <v>0</v>
      </c>
      <c r="BY25" s="997">
        <f t="shared" ca="1" si="62"/>
        <v>1200</v>
      </c>
      <c r="BZ25" s="997">
        <f t="shared" si="63"/>
        <v>365</v>
      </c>
      <c r="CA25" s="997">
        <f t="shared" si="92"/>
        <v>0</v>
      </c>
      <c r="CB25" s="997">
        <f t="shared" ca="1" si="93"/>
        <v>0</v>
      </c>
      <c r="CC25" s="997">
        <f t="shared" ca="1" si="64"/>
        <v>0</v>
      </c>
      <c r="CD25" s="997">
        <f t="shared" si="96"/>
        <v>1200</v>
      </c>
      <c r="CE25" s="1002" t="b">
        <f t="shared" si="50"/>
        <v>0</v>
      </c>
      <c r="CF25" s="5"/>
      <c r="CG25" s="5"/>
    </row>
    <row r="26" spans="1:111" customFormat="1" x14ac:dyDescent="0.35">
      <c r="A26" s="997">
        <f t="shared" si="65"/>
        <v>10</v>
      </c>
      <c r="B26" s="1003" t="str">
        <f>IF(input_engine_rx!$U$21&gt;A25,VLOOKUP(A26,input_engine_rx!$U$23:$Y$35,2,FALSE),"")</f>
        <v/>
      </c>
      <c r="C26" s="997" t="str">
        <f t="shared" si="66"/>
        <v/>
      </c>
      <c r="D26" s="1003">
        <f t="shared" si="67"/>
        <v>45747</v>
      </c>
      <c r="E26" s="1002" t="str">
        <f ca="1">IF(B26="",E25,VLOOKUP(B26,input_engine_rx!$B$23:$F$35,5,FALSE))</f>
        <v>nn</v>
      </c>
      <c r="F26" s="1003" t="str">
        <f t="shared" si="68"/>
        <v/>
      </c>
      <c r="G26" s="1003" t="str">
        <f t="shared" si="69"/>
        <v/>
      </c>
      <c r="H26" s="1002">
        <f t="shared" si="70"/>
        <v>0</v>
      </c>
      <c r="I26" s="997">
        <f t="shared" ca="1" si="53"/>
        <v>0</v>
      </c>
      <c r="J26" s="997">
        <f t="shared" ca="1" si="54"/>
        <v>0</v>
      </c>
      <c r="K26" s="997">
        <f t="shared" ca="1" si="55"/>
        <v>0</v>
      </c>
      <c r="L26" s="997" t="str">
        <f>IF(input_engine_rx!$U$21&gt;A25,VLOOKUP(A26,input_engine_rx!$U$23:$Y$36,3,FALSE),"")</f>
        <v/>
      </c>
      <c r="M26" s="1002" t="str">
        <f t="shared" ca="1" si="71"/>
        <v>up</v>
      </c>
      <c r="N26" s="1002" t="str">
        <f t="shared" si="94"/>
        <v/>
      </c>
      <c r="O26" s="1002" t="str">
        <f t="shared" si="56"/>
        <v/>
      </c>
      <c r="P26" s="1032">
        <f t="shared" si="72"/>
        <v>0.499</v>
      </c>
      <c r="Q26" s="997" t="str">
        <f t="shared" ca="1" si="73"/>
        <v/>
      </c>
      <c r="R26" s="997">
        <f t="shared" si="74"/>
        <v>0</v>
      </c>
      <c r="S26" s="1006">
        <f>IF(input_engine_rx!$U$21&gt;A25,VLOOKUP(A26,input_engine_rx!$U$23:$Y$35,4,FALSE),0)</f>
        <v>0</v>
      </c>
      <c r="T26" s="2442">
        <f t="shared" ca="1" si="75"/>
        <v>0</v>
      </c>
      <c r="U26" s="997" t="b">
        <f t="shared" si="76"/>
        <v>0</v>
      </c>
      <c r="V26" s="997" t="b">
        <f>advanced!$M$23="y"</f>
        <v>0</v>
      </c>
      <c r="W26" s="997">
        <f>data!$D$34</f>
        <v>15000</v>
      </c>
      <c r="X26" s="997" t="b">
        <f t="shared" si="24"/>
        <v>0</v>
      </c>
      <c r="Y26" s="997">
        <f t="shared" si="77"/>
        <v>0</v>
      </c>
      <c r="Z26" s="997">
        <f t="shared" si="57"/>
        <v>0</v>
      </c>
      <c r="AA26" s="1002">
        <f>data!$G$54</f>
        <v>75000</v>
      </c>
      <c r="AB26" s="1002">
        <f>data!$F$54</f>
        <v>0.02</v>
      </c>
      <c r="AC26" s="997">
        <f t="shared" si="78"/>
        <v>0</v>
      </c>
      <c r="AD26" s="997">
        <f>IF(B26="",0,(IF($AE$1=authorities!$I$1,0,IF(L26&gt;AE26,VLOOKUP($AD$1,authorities!A:H,C26+1,FALSE),0)))*L26/$CK$3*H26)</f>
        <v>0</v>
      </c>
      <c r="AE26" s="997">
        <f>IF($AE$1=authorities!$I$1,0,$AE$1)</f>
        <v>0</v>
      </c>
      <c r="AF26" s="1002">
        <f>IF(input_engine_rx!$U$21&gt;A25,VLOOKUP(A26,input_engine_rx!$U$23:$Y$35,5,FALSE),0)</f>
        <v>0</v>
      </c>
      <c r="AG26" s="1002">
        <f>data!$C$44</f>
        <v>2900</v>
      </c>
      <c r="AH26" s="1007">
        <f t="shared" si="58"/>
        <v>1</v>
      </c>
      <c r="AI26" s="997">
        <f t="shared" si="79"/>
        <v>0</v>
      </c>
      <c r="AJ26" s="997" t="b">
        <f t="shared" ca="1" si="80"/>
        <v>0</v>
      </c>
      <c r="AK26" s="997"/>
      <c r="AL26" s="997">
        <f t="shared" ca="1" si="81"/>
        <v>0</v>
      </c>
      <c r="AM26" s="997"/>
      <c r="AN26" s="997"/>
      <c r="AO26" s="1002">
        <f t="shared" si="29"/>
        <v>0</v>
      </c>
      <c r="AP26" s="1002">
        <f ca="1">SUM($AO$3:AO26)</f>
        <v>2</v>
      </c>
      <c r="AQ26" s="1002">
        <f t="shared" si="82"/>
        <v>365</v>
      </c>
      <c r="AR26" s="997">
        <f t="shared" ca="1" si="31"/>
        <v>0</v>
      </c>
      <c r="AS26" s="5"/>
      <c r="AT26" s="997">
        <f t="shared" ca="1" si="83"/>
        <v>0</v>
      </c>
      <c r="AU26" s="997" t="b">
        <f t="shared" ca="1" si="59"/>
        <v>1</v>
      </c>
      <c r="AV26" s="997" t="b">
        <f t="shared" si="9"/>
        <v>0</v>
      </c>
      <c r="AW26" s="997" t="b">
        <f t="shared" si="60"/>
        <v>0</v>
      </c>
      <c r="AX26" s="997">
        <f t="shared" ca="1" si="84"/>
        <v>0</v>
      </c>
      <c r="AY26" s="997">
        <f ca="1">AR26/reliefs!$E$7*AX26*-1</f>
        <v>0</v>
      </c>
      <c r="AZ26" s="1002">
        <f t="shared" ca="1" si="85"/>
        <v>0</v>
      </c>
      <c r="BA26" s="2370"/>
      <c r="BB26" s="997"/>
      <c r="BC26" s="997"/>
      <c r="BD26" s="997"/>
      <c r="BE26" s="997"/>
      <c r="BF26" s="1002"/>
      <c r="BG26" s="997">
        <f t="shared" ca="1" si="86"/>
        <v>0</v>
      </c>
      <c r="BH26" s="997">
        <f t="shared" si="52"/>
        <v>15000</v>
      </c>
      <c r="BI26" s="1001">
        <f t="shared" si="52"/>
        <v>0</v>
      </c>
      <c r="BJ26" s="997">
        <f t="shared" si="52"/>
        <v>5000000</v>
      </c>
      <c r="BK26" s="997">
        <f t="shared" si="52"/>
        <v>0.499</v>
      </c>
      <c r="BL26" s="997" t="b">
        <f t="shared" si="52"/>
        <v>1</v>
      </c>
      <c r="BM26" s="997" t="b">
        <f t="shared" si="52"/>
        <v>0</v>
      </c>
      <c r="BN26" s="997">
        <f t="shared" si="52"/>
        <v>600</v>
      </c>
      <c r="BO26" s="997">
        <f t="shared" ca="1" si="61"/>
        <v>0</v>
      </c>
      <c r="BP26" s="997"/>
      <c r="BQ26" s="997"/>
      <c r="BR26" s="997">
        <f t="shared" si="87"/>
        <v>1200</v>
      </c>
      <c r="BS26" s="997"/>
      <c r="BT26" s="997" t="b">
        <f t="shared" ca="1" si="88"/>
        <v>0</v>
      </c>
      <c r="BU26" s="997" t="b">
        <f t="shared" si="95"/>
        <v>1</v>
      </c>
      <c r="BV26" s="997" t="b">
        <f t="shared" si="89"/>
        <v>0</v>
      </c>
      <c r="BW26" s="997" t="b">
        <f t="shared" ca="1" si="90"/>
        <v>0</v>
      </c>
      <c r="BX26" s="997" t="b">
        <f t="shared" ca="1" si="91"/>
        <v>0</v>
      </c>
      <c r="BY26" s="997">
        <f t="shared" ca="1" si="62"/>
        <v>1200</v>
      </c>
      <c r="BZ26" s="997">
        <f t="shared" si="63"/>
        <v>365</v>
      </c>
      <c r="CA26" s="997">
        <f t="shared" si="92"/>
        <v>0</v>
      </c>
      <c r="CB26" s="997">
        <f t="shared" ca="1" si="93"/>
        <v>0</v>
      </c>
      <c r="CC26" s="997">
        <f t="shared" ca="1" si="64"/>
        <v>0</v>
      </c>
      <c r="CD26" s="997">
        <f t="shared" si="96"/>
        <v>1200</v>
      </c>
      <c r="CE26" s="1002" t="b">
        <f t="shared" si="50"/>
        <v>0</v>
      </c>
      <c r="CF26" s="5"/>
      <c r="CG26" s="5"/>
    </row>
    <row r="27" spans="1:111" customFormat="1" x14ac:dyDescent="0.35">
      <c r="A27" s="997">
        <f t="shared" si="65"/>
        <v>11</v>
      </c>
      <c r="B27" s="1003" t="str">
        <f>IF(input_engine_rx!$U$21&gt;A26,VLOOKUP(A27,input_engine_rx!$U$23:$Y$35,2,FALSE),"")</f>
        <v/>
      </c>
      <c r="C27" s="997" t="str">
        <f t="shared" si="66"/>
        <v/>
      </c>
      <c r="D27" s="1003">
        <f t="shared" si="67"/>
        <v>45747</v>
      </c>
      <c r="E27" s="1002" t="str">
        <f ca="1">IF(B27="",E26,VLOOKUP(B27,input_engine_rx!$B$23:$F$35,5,FALSE))</f>
        <v>nn</v>
      </c>
      <c r="F27" s="1003" t="str">
        <f t="shared" si="68"/>
        <v/>
      </c>
      <c r="G27" s="1003" t="str">
        <f>IF(B27="","",IF(#REF!=C27,#REF!-1,D27))</f>
        <v/>
      </c>
      <c r="H27" s="1002">
        <f t="shared" si="70"/>
        <v>0</v>
      </c>
      <c r="I27" s="997">
        <f t="shared" ca="1" si="53"/>
        <v>0</v>
      </c>
      <c r="J27" s="997">
        <f t="shared" ca="1" si="54"/>
        <v>0</v>
      </c>
      <c r="K27" s="997">
        <f t="shared" ca="1" si="55"/>
        <v>0</v>
      </c>
      <c r="L27" s="997" t="str">
        <f>IF(input_engine_rx!$U$21&gt;A26,VLOOKUP(A27,input_engine_rx!$U$23:$Y$36,3,FALSE),"")</f>
        <v/>
      </c>
      <c r="M27" s="1002" t="str">
        <f t="shared" ca="1" si="71"/>
        <v>up</v>
      </c>
      <c r="N27" s="1002" t="str">
        <f t="shared" si="94"/>
        <v/>
      </c>
      <c r="O27" s="1002" t="str">
        <f t="shared" si="56"/>
        <v/>
      </c>
      <c r="P27" s="1032">
        <f t="shared" si="72"/>
        <v>0.499</v>
      </c>
      <c r="Q27" s="997" t="str">
        <f t="shared" ca="1" si="73"/>
        <v/>
      </c>
      <c r="R27" s="997">
        <f t="shared" si="74"/>
        <v>0</v>
      </c>
      <c r="S27" s="1006">
        <f>IF(input_engine_rx!$U$21&gt;A26,VLOOKUP(A27,input_engine_rx!$U$23:$Y$35,4,FALSE),0)</f>
        <v>0</v>
      </c>
      <c r="T27" s="2442">
        <f t="shared" ca="1" si="75"/>
        <v>0</v>
      </c>
      <c r="U27" s="997" t="b">
        <f t="shared" si="76"/>
        <v>0</v>
      </c>
      <c r="V27" s="997" t="b">
        <f>advanced!$M$23="y"</f>
        <v>0</v>
      </c>
      <c r="W27" s="997">
        <f>data!$D$34</f>
        <v>15000</v>
      </c>
      <c r="X27" s="997" t="b">
        <f t="shared" si="24"/>
        <v>0</v>
      </c>
      <c r="Y27" s="997">
        <f t="shared" si="77"/>
        <v>0</v>
      </c>
      <c r="Z27" s="997">
        <f t="shared" si="57"/>
        <v>0</v>
      </c>
      <c r="AA27" s="1002">
        <f>data!$G$54</f>
        <v>75000</v>
      </c>
      <c r="AB27" s="1002">
        <f>data!$F$54</f>
        <v>0.02</v>
      </c>
      <c r="AC27" s="997">
        <f t="shared" si="78"/>
        <v>0</v>
      </c>
      <c r="AD27" s="997">
        <f>IF(B27="",0,(IF($AE$1=authorities!$I$1,0,IF(L27&gt;AE27,VLOOKUP($AD$1,authorities!A:H,C27+1,FALSE),0)))*L27/$CK$3*H27)</f>
        <v>0</v>
      </c>
      <c r="AE27" s="997">
        <f>IF($AE$1=authorities!$I$1,0,$AE$1)</f>
        <v>0</v>
      </c>
      <c r="AF27" s="1002">
        <f>IF(input_engine_rx!$U$21&gt;A26,VLOOKUP(A27,input_engine_rx!$U$23:$Y$35,5,FALSE),0)</f>
        <v>0</v>
      </c>
      <c r="AG27" s="1002">
        <f>data!$C$44</f>
        <v>2900</v>
      </c>
      <c r="AH27" s="1007">
        <f t="shared" si="58"/>
        <v>1</v>
      </c>
      <c r="AI27" s="997">
        <f t="shared" si="79"/>
        <v>0</v>
      </c>
      <c r="AJ27" s="997" t="b">
        <f t="shared" ca="1" si="80"/>
        <v>0</v>
      </c>
      <c r="AK27" s="997"/>
      <c r="AL27" s="997">
        <f t="shared" ca="1" si="81"/>
        <v>0</v>
      </c>
      <c r="AM27" s="997"/>
      <c r="AN27" s="997"/>
      <c r="AO27" s="1002">
        <f t="shared" si="29"/>
        <v>0</v>
      </c>
      <c r="AP27" s="1002">
        <f ca="1">SUM($AO$3:AO27)</f>
        <v>2</v>
      </c>
      <c r="AQ27" s="1002">
        <f t="shared" si="82"/>
        <v>365</v>
      </c>
      <c r="AR27" s="997">
        <f t="shared" ca="1" si="31"/>
        <v>0</v>
      </c>
      <c r="AS27" s="5"/>
      <c r="AT27" s="997">
        <f t="shared" ca="1" si="83"/>
        <v>0</v>
      </c>
      <c r="AU27" s="997" t="b">
        <f t="shared" ca="1" si="59"/>
        <v>1</v>
      </c>
      <c r="AV27" s="997" t="b">
        <f t="shared" si="9"/>
        <v>0</v>
      </c>
      <c r="AW27" s="997" t="b">
        <f t="shared" si="60"/>
        <v>0</v>
      </c>
      <c r="AX27" s="997">
        <f t="shared" ca="1" si="84"/>
        <v>0</v>
      </c>
      <c r="AY27" s="997">
        <f ca="1">AR27/reliefs!$E$7*AX27*-1</f>
        <v>0</v>
      </c>
      <c r="AZ27" s="1002">
        <f t="shared" ca="1" si="85"/>
        <v>0</v>
      </c>
      <c r="BA27" s="2372" t="s">
        <v>2905</v>
      </c>
      <c r="BB27" s="1000" t="s">
        <v>2903</v>
      </c>
      <c r="BC27" s="997"/>
      <c r="BD27" s="1000" t="s">
        <v>2904</v>
      </c>
      <c r="BE27" s="997"/>
      <c r="BF27" s="1002"/>
      <c r="BG27" s="997">
        <f t="shared" ca="1" si="86"/>
        <v>0</v>
      </c>
      <c r="BH27" s="997">
        <f t="shared" si="52"/>
        <v>15000</v>
      </c>
      <c r="BI27" s="1001">
        <f t="shared" si="52"/>
        <v>0</v>
      </c>
      <c r="BJ27" s="997">
        <f t="shared" si="52"/>
        <v>5000000</v>
      </c>
      <c r="BK27" s="997">
        <f t="shared" si="52"/>
        <v>0.499</v>
      </c>
      <c r="BL27" s="997" t="b">
        <f t="shared" si="52"/>
        <v>1</v>
      </c>
      <c r="BM27" s="997" t="b">
        <f t="shared" si="52"/>
        <v>0</v>
      </c>
      <c r="BN27" s="997">
        <f t="shared" si="52"/>
        <v>600</v>
      </c>
      <c r="BO27" s="997">
        <f t="shared" ca="1" si="61"/>
        <v>0</v>
      </c>
      <c r="BP27" s="997"/>
      <c r="BQ27" s="997"/>
      <c r="BR27" s="997">
        <f t="shared" si="87"/>
        <v>1200</v>
      </c>
      <c r="BS27" s="997"/>
      <c r="BT27" s="997" t="b">
        <f t="shared" ca="1" si="88"/>
        <v>0</v>
      </c>
      <c r="BU27" s="997" t="b">
        <f t="shared" si="95"/>
        <v>1</v>
      </c>
      <c r="BV27" s="997" t="b">
        <f t="shared" si="89"/>
        <v>0</v>
      </c>
      <c r="BW27" s="997" t="b">
        <f t="shared" ca="1" si="90"/>
        <v>0</v>
      </c>
      <c r="BX27" s="997" t="b">
        <f t="shared" ca="1" si="91"/>
        <v>0</v>
      </c>
      <c r="BY27" s="997">
        <f t="shared" ca="1" si="62"/>
        <v>1200</v>
      </c>
      <c r="BZ27" s="997">
        <f t="shared" si="63"/>
        <v>365</v>
      </c>
      <c r="CA27" s="997">
        <f t="shared" si="92"/>
        <v>0</v>
      </c>
      <c r="CB27" s="997">
        <f t="shared" ca="1" si="93"/>
        <v>0</v>
      </c>
      <c r="CC27" s="997">
        <f t="shared" ca="1" si="64"/>
        <v>0</v>
      </c>
      <c r="CD27" s="997">
        <f t="shared" si="96"/>
        <v>1200</v>
      </c>
      <c r="CE27" s="1002" t="b">
        <f t="shared" si="50"/>
        <v>0</v>
      </c>
      <c r="CF27" s="5"/>
      <c r="CG27" s="5"/>
    </row>
    <row r="28" spans="1:111" customFormat="1" x14ac:dyDescent="0.35">
      <c r="P28" s="1042"/>
      <c r="T28" s="2445">
        <f ca="1">ROUND(SUM(T16:T27),2)</f>
        <v>0</v>
      </c>
      <c r="U28" s="1008">
        <f ca="1">U16+U17+U18+U19+U20+U21+U22+U23+U24+U25+U26+U27</f>
        <v>0</v>
      </c>
      <c r="AI28" s="1009">
        <f ca="1">SUM(AI16:AI27)</f>
        <v>1</v>
      </c>
      <c r="AJ28" s="1002">
        <f ca="1">AJ27+AJ26+AJ25+AJ24+AJ23+AJ22+AJ21+AJ20+AJ19+AJ18+AJ17+AJ16</f>
        <v>0</v>
      </c>
      <c r="AK28" s="997" t="str">
        <f ca="1">IF(AJ28=12,"Phased",IF(AJ28=0,"True","***"))</f>
        <v>True</v>
      </c>
      <c r="AL28" s="1002">
        <f ca="1">SUM(AL16:AL27)</f>
        <v>0</v>
      </c>
      <c r="AM28" s="1010">
        <f ca="1">IF(AL28&lt;1,AL28,INT(AL28))</f>
        <v>0</v>
      </c>
      <c r="AN28" s="1010" t="str">
        <f ca="1">IF(AL28-AM28&lt;&gt;0,"N/J + T",IF(AND(0&lt;AL28,AL28&lt;1),"P + T",IF(AL28&gt;=1,"N/J","")))</f>
        <v/>
      </c>
      <c r="AO28" s="5"/>
      <c r="AP28" s="1002">
        <f ca="1">SUM($AO$3:AO28)</f>
        <v>2</v>
      </c>
      <c r="AQ28" s="5"/>
      <c r="AR28" s="997"/>
      <c r="AS28" s="5"/>
      <c r="AT28" s="5"/>
      <c r="AU28" s="5"/>
      <c r="AV28" s="5"/>
      <c r="AW28" s="5"/>
      <c r="AX28" s="5"/>
      <c r="AY28" s="2371">
        <f ca="1">IF(SUM(AY16:AY27)&lt;BA28,BA28,SUM(AY16:AY27))</f>
        <v>0</v>
      </c>
      <c r="AZ28" s="5"/>
      <c r="BA28" s="2371">
        <f ca="1">MIN(BB28,BD28)*-1</f>
        <v>-110000</v>
      </c>
      <c r="BB28" s="15">
        <f ca="1">BC28-BA15</f>
        <v>315000</v>
      </c>
      <c r="BC28" s="15">
        <f>reliefs!E16</f>
        <v>315000</v>
      </c>
      <c r="BD28" s="15">
        <f>reliefs!E15</f>
        <v>110000</v>
      </c>
      <c r="BE28" s="5"/>
      <c r="BF28" s="5"/>
      <c r="BG28" s="1002">
        <f ca="1">SUM(BG16:BG27)+0.0000001</f>
        <v>9.9999999999999995E-8</v>
      </c>
      <c r="BH28" s="997">
        <f t="shared" si="52"/>
        <v>15000</v>
      </c>
      <c r="BI28" s="1001">
        <f t="shared" si="52"/>
        <v>0</v>
      </c>
      <c r="BJ28" s="997">
        <f t="shared" si="52"/>
        <v>5000000</v>
      </c>
      <c r="BK28" s="997">
        <f t="shared" si="52"/>
        <v>0.499</v>
      </c>
      <c r="BL28" s="997" t="b">
        <f t="shared" si="52"/>
        <v>1</v>
      </c>
      <c r="BM28" s="997" t="b">
        <f t="shared" si="52"/>
        <v>0</v>
      </c>
      <c r="BN28" s="5"/>
      <c r="BO28" s="5"/>
      <c r="BP28" s="5"/>
      <c r="BQ28" s="5"/>
      <c r="BR28" s="997"/>
      <c r="BS28" s="5"/>
      <c r="BT28" s="997"/>
      <c r="BU28" s="997"/>
      <c r="BV28" s="997"/>
      <c r="BW28" s="997" t="b">
        <f ca="1">AND(BW27=TRUE,BV28=TRUE)</f>
        <v>0</v>
      </c>
      <c r="BX28" s="997" t="b">
        <f t="shared" ca="1" si="91"/>
        <v>0</v>
      </c>
      <c r="BY28" s="5"/>
      <c r="BZ28" s="5"/>
      <c r="CA28" s="5"/>
      <c r="CB28" s="5"/>
      <c r="CC28" s="5"/>
      <c r="CD28" s="5"/>
      <c r="CE28" s="1002" t="b">
        <f t="shared" si="50"/>
        <v>0</v>
      </c>
      <c r="CF28" s="5"/>
      <c r="CG28" s="5"/>
    </row>
    <row r="29" spans="1:111" customFormat="1" x14ac:dyDescent="0.35">
      <c r="A29" s="997">
        <v>0</v>
      </c>
      <c r="B29" s="1003">
        <f>CH4</f>
        <v>45748</v>
      </c>
      <c r="C29" s="997">
        <f>IF(OR(B29=0,B29=""),"",3)</f>
        <v>3</v>
      </c>
      <c r="D29" s="1003">
        <f>$CJ$4</f>
        <v>46112</v>
      </c>
      <c r="E29" s="1002" t="str">
        <f ca="1">IF(B29=B30,E30,OFFSET(E15,AI28,0))</f>
        <v>nn</v>
      </c>
      <c r="F29" s="1003">
        <f>B29</f>
        <v>45748</v>
      </c>
      <c r="G29" s="1003">
        <f>IF(B29="","",IF(C30=C29,F30-1,D29))</f>
        <v>46112</v>
      </c>
      <c r="H29" s="1002">
        <f>IF(B29&lt;&gt;"",G29-F29+1,0)</f>
        <v>365</v>
      </c>
      <c r="I29" s="997">
        <f t="shared" ref="I29:I40" ca="1" si="97">IF(AP29&gt;0,K29*P29,HLOOKUP(E29,$CM$1:$CP$9,1+$C$29,FALSE))</f>
        <v>0</v>
      </c>
      <c r="J29" s="997">
        <f t="shared" ref="J29:J40" ca="1" si="98">I29/$CK$4</f>
        <v>0</v>
      </c>
      <c r="K29" s="997">
        <f t="shared" ref="K29:K40" ca="1" si="99">HLOOKUP(E29,$CM$1:$CP$10,10,FALSE)</f>
        <v>0</v>
      </c>
      <c r="L29" s="997">
        <f ca="1">IF(B29=B30,L30,OFFSET(L15,AI28,0))</f>
        <v>0</v>
      </c>
      <c r="M29" s="1002" t="str">
        <f ca="1">IF(L29&lt;K29,"down","up")</f>
        <v>up</v>
      </c>
      <c r="N29" s="1002">
        <f ca="1">IF(OR(B29="",K29=0),0,IF(M29="down",J29*L29/K29*H29,0))</f>
        <v>0</v>
      </c>
      <c r="O29" s="1002">
        <f t="shared" ref="O29:O40" ca="1" si="100">IF(B29="","",IF(M29="up",((J29*H29)+((L29-K29)*P29/$CK$4*H29)),0))</f>
        <v>0</v>
      </c>
      <c r="P29" s="1032">
        <f>$CL$4</f>
        <v>0.499</v>
      </c>
      <c r="Q29" s="997">
        <f ca="1">IF(M29="down",N29,O29)</f>
        <v>0</v>
      </c>
      <c r="R29" s="997">
        <f ca="1">IF(B29="",0,IF(U29=TRUE,(Q29/AH29)+AC29+(AD29/AH29),(Q29)+Y29+Z29+AC29+AD29))</f>
        <v>0</v>
      </c>
      <c r="S29" s="1006">
        <f ca="1">IF(B29=B30,S30,OFFSET(S15,AI28,0))</f>
        <v>1</v>
      </c>
      <c r="T29" s="2442">
        <f ca="1">$CV$1*(IF(AND(AF29="y",L29&lt;AG29),0,R29*S29))+CB29+AZ29</f>
        <v>0</v>
      </c>
      <c r="U29" s="997" t="b">
        <f ca="1">AND(V29=TRUE,L29&lt;=W29,AF29="n",X29=FALSE)</f>
        <v>0</v>
      </c>
      <c r="V29" s="997" t="b">
        <f>advanced!$M$24="y"</f>
        <v>0</v>
      </c>
      <c r="W29" s="997">
        <f>data!$D$35</f>
        <v>15000</v>
      </c>
      <c r="X29" s="997" t="b">
        <f t="shared" si="24"/>
        <v>0</v>
      </c>
      <c r="Y29" s="997">
        <f ca="1">IF(B29="",0,IF(OR(L29&lt;$CV$4,U29=TRUE,BX29=TRUE),0,L29*$CS$4/$CK$4*H29))</f>
        <v>0</v>
      </c>
      <c r="Z29" s="997">
        <f t="shared" ref="Z29:Z40" ca="1" si="101">IF(B29="",0,IF(AND($Z$2=TRUE,L29&gt;AA29),L29*AB29*H29/AQ29,0))</f>
        <v>0</v>
      </c>
      <c r="AA29" s="1002">
        <f>data!$G$55</f>
        <v>75000</v>
      </c>
      <c r="AB29" s="1002">
        <f>data!$F$55</f>
        <v>0.02</v>
      </c>
      <c r="AC29" s="997">
        <f ca="1">IF(B29="",0,L29*($CQ$4-IF(L29&lt;$CV$4,CW$4,0))/$CK$4*H29)*$AC$2/IF(U29=TRUE,AH29,1)</f>
        <v>0</v>
      </c>
      <c r="AD29" s="997">
        <f ca="1">IF(B29="",0,(IF($AE$1=authorities!$I$1,0,IF(L29&gt;AE29,VLOOKUP($AD$1,authorities!A:H,C29+1,FALSE),0)))*L29/$CK$4*H29)</f>
        <v>0</v>
      </c>
      <c r="AE29" s="997">
        <f>IF($AE$1=authorities!$I$1,0,$AE$1)</f>
        <v>0</v>
      </c>
      <c r="AF29" s="1006" t="str">
        <f ca="1">IF(B29=B30,AF30,OFFSET(AF15,AI28,0))</f>
        <v>n</v>
      </c>
      <c r="AG29" s="1002">
        <f>data!$C$45</f>
        <v>2900</v>
      </c>
      <c r="AH29" s="1007">
        <f t="shared" ref="AH29:AH40" ca="1" si="102">IF(L29&lt;=$CT$4,5000000,IF(L29&gt;$CU$4,1,IF(MID((($CU$4-$CT$4)/(L29-$CT$4)),6,1)="5",ROUND((($CU$4-$CT$4)/(L29-$CT$4))-0.0001,3),ROUND(($CU$4-$CT$4)/(L29-$CT$4),3))))</f>
        <v>5000000</v>
      </c>
      <c r="AI29" s="997">
        <f ca="1">IF(L29&lt;&gt;"",1,0)</f>
        <v>1</v>
      </c>
      <c r="AJ29" s="997" t="b">
        <f ca="1">IF(AP29&gt;0,FALSE,HLOOKUP(E29,$CM$1:$CP$17,$AJ$1+3,FALSE))</f>
        <v>0</v>
      </c>
      <c r="AK29" s="997"/>
      <c r="AL29" s="997">
        <f ca="1">IF(OR(H29=0,F29="",K29=L29,AJ29=FALSE),0,IF(L29&lt;K29,1,0.01))</f>
        <v>0</v>
      </c>
      <c r="AM29" s="997"/>
      <c r="AN29" s="997"/>
      <c r="AO29" s="1002">
        <f t="shared" ref="AO29:AO40" ca="1" si="103">IF(L29=0,1,0)</f>
        <v>1</v>
      </c>
      <c r="AP29" s="1002">
        <f ca="1">SUM($AO$3:AO29)</f>
        <v>3</v>
      </c>
      <c r="AQ29" s="1002">
        <f>$CK$4</f>
        <v>365</v>
      </c>
      <c r="AR29" s="997">
        <f t="shared" ca="1" si="31"/>
        <v>0</v>
      </c>
      <c r="AS29" s="1002"/>
      <c r="AT29" s="997">
        <f ca="1">L29</f>
        <v>0</v>
      </c>
      <c r="AU29" s="997" t="b">
        <f t="shared" ref="AU29:AU40" ca="1" si="104">AT29&lt;$AU$1</f>
        <v>1</v>
      </c>
      <c r="AV29" s="997" t="b">
        <f t="shared" si="9"/>
        <v>0</v>
      </c>
      <c r="AW29" s="997" t="b">
        <f t="shared" ref="AW29:AW40" ca="1" si="105">AF29="n"</f>
        <v>1</v>
      </c>
      <c r="AX29" s="997">
        <f ca="1">AU29*AV29*AW29*IF(S29=0,0,1)</f>
        <v>0</v>
      </c>
      <c r="AY29" s="997">
        <f ca="1">AR29/reliefs!$F$7*AX29*-1</f>
        <v>0</v>
      </c>
      <c r="AZ29" s="1002">
        <f ca="1">$AY$41/$BG$41*H29*AX29</f>
        <v>0</v>
      </c>
      <c r="BA29" s="2370"/>
      <c r="BB29" s="997"/>
      <c r="BC29" s="997"/>
      <c r="BD29" s="997"/>
      <c r="BE29" s="997"/>
      <c r="BF29" s="1002"/>
      <c r="BG29" s="997">
        <f ca="1">H29*AX29</f>
        <v>0</v>
      </c>
      <c r="BH29" s="997">
        <f t="shared" si="52"/>
        <v>15000</v>
      </c>
      <c r="BI29" s="1001">
        <f t="shared" si="52"/>
        <v>0</v>
      </c>
      <c r="BJ29" s="997">
        <f t="shared" si="52"/>
        <v>5000000</v>
      </c>
      <c r="BK29" s="997">
        <f t="shared" si="52"/>
        <v>0.499</v>
      </c>
      <c r="BL29" s="997" t="b">
        <f t="shared" si="52"/>
        <v>1</v>
      </c>
      <c r="BM29" s="997" t="b">
        <f t="shared" si="52"/>
        <v>0</v>
      </c>
      <c r="BN29" s="997">
        <f>CD27</f>
        <v>1200</v>
      </c>
      <c r="BO29" s="997">
        <f t="shared" ref="BO29:BO40" ca="1" si="106">I29/IF(U29=TRUE,AH29,1)</f>
        <v>0</v>
      </c>
      <c r="BP29" s="997"/>
      <c r="BQ29" s="997"/>
      <c r="BR29" s="997">
        <f t="shared" si="87"/>
        <v>1800</v>
      </c>
      <c r="BS29" s="997"/>
      <c r="BT29" s="997" t="b">
        <f ca="1">BO29&gt;BR29</f>
        <v>0</v>
      </c>
      <c r="BU29" s="997" t="b">
        <f>BU27</f>
        <v>1</v>
      </c>
      <c r="BV29" s="997" t="b">
        <f ca="1">AW29</f>
        <v>1</v>
      </c>
      <c r="BW29" s="997" t="b">
        <f ca="1">BV29</f>
        <v>1</v>
      </c>
      <c r="BX29" s="997" t="b">
        <f t="shared" ca="1" si="91"/>
        <v>0</v>
      </c>
      <c r="BY29" s="997">
        <f t="shared" ref="BY29:BY40" ca="1" si="107">(BR29-BO29)</f>
        <v>1800</v>
      </c>
      <c r="BZ29" s="997">
        <f t="shared" ref="BZ29:BZ40" si="108">AQ29</f>
        <v>365</v>
      </c>
      <c r="CA29" s="997">
        <f>H29</f>
        <v>365</v>
      </c>
      <c r="CB29" s="997">
        <f ca="1">BY29/BZ29*CA29*BX29</f>
        <v>0</v>
      </c>
      <c r="CC29" s="997">
        <f t="shared" ref="CC29:CC40" ca="1" si="109">CB29</f>
        <v>0</v>
      </c>
      <c r="CD29" s="997"/>
      <c r="CE29" s="1002" t="b">
        <f t="shared" si="50"/>
        <v>0</v>
      </c>
      <c r="CF29" s="5"/>
      <c r="CG29" s="5"/>
    </row>
    <row r="30" spans="1:111" customFormat="1" x14ac:dyDescent="0.35">
      <c r="A30" s="997">
        <f t="shared" ref="A30:A40" si="110">A29+1</f>
        <v>1</v>
      </c>
      <c r="B30" s="1003" t="str">
        <f>IF(input_engine_rx!$Z$21&gt;A29,VLOOKUP(A30,input_engine_rx!$Z$23:$AD$35,2,FALSE),"")</f>
        <v/>
      </c>
      <c r="C30" s="997" t="str">
        <f t="shared" ref="C30:C40" si="111">IF(OR(B30=0,B30=""),"",3)</f>
        <v/>
      </c>
      <c r="D30" s="1003">
        <f t="shared" ref="D30:D40" si="112">$CJ$4</f>
        <v>46112</v>
      </c>
      <c r="E30" s="1002" t="str">
        <f ca="1">IF(B30="",E29,VLOOKUP(B30,input_engine_rx!$B$23:$F$35,5,FALSE))</f>
        <v>nn</v>
      </c>
      <c r="F30" s="1003" t="str">
        <f t="shared" ref="F30:F40" si="113">B30</f>
        <v/>
      </c>
      <c r="G30" s="1003" t="str">
        <f t="shared" ref="G30:G39" si="114">IF(B30="","",IF(C31=C30,F31-1,D30))</f>
        <v/>
      </c>
      <c r="H30" s="1002">
        <f t="shared" ref="H30:H40" si="115">IF(B30&lt;&gt;"",G30-F30+1,0)</f>
        <v>0</v>
      </c>
      <c r="I30" s="997">
        <f t="shared" ca="1" si="97"/>
        <v>0</v>
      </c>
      <c r="J30" s="997">
        <f t="shared" ca="1" si="98"/>
        <v>0</v>
      </c>
      <c r="K30" s="997">
        <f t="shared" ca="1" si="99"/>
        <v>0</v>
      </c>
      <c r="L30" s="997" t="str">
        <f>IF(input_engine_rx!$Z$21&gt;A29,VLOOKUP(A30,input_engine_rx!$Z$23:$AD$36,3,FALSE),"")</f>
        <v/>
      </c>
      <c r="M30" s="1002" t="str">
        <f t="shared" ref="M30:M40" ca="1" si="116">IF(L30&lt;K30,"down","up")</f>
        <v>up</v>
      </c>
      <c r="N30" s="1002" t="str">
        <f>IF(B30="","",IF(M30="down",J30*L30/K30*H30,0))</f>
        <v/>
      </c>
      <c r="O30" s="1002" t="str">
        <f t="shared" si="100"/>
        <v/>
      </c>
      <c r="P30" s="1032">
        <f t="shared" ref="P30:P40" si="117">$CL$4</f>
        <v>0.499</v>
      </c>
      <c r="Q30" s="997" t="str">
        <f t="shared" ref="Q30:Q40" ca="1" si="118">IF(M30="down",N30,O30)</f>
        <v/>
      </c>
      <c r="R30" s="997">
        <f t="shared" ref="R30:R40" si="119">IF(B30="",0,IF(U30=TRUE,(Q30/AH30)+AC30+(AD30/AH30),(Q30)+Y30+Z30+AC30+AD30))</f>
        <v>0</v>
      </c>
      <c r="S30" s="1006">
        <f>IF(input_engine_rx!$Z$21&gt;A29,VLOOKUP(A30,input_engine_rx!$Z$23:$AD$35,4,FALSE),0)</f>
        <v>0</v>
      </c>
      <c r="T30" s="2442">
        <f t="shared" ref="T30:T40" ca="1" si="120">$CV$1*(IF(AND(AF30="y",L30&lt;AG30),0,R30*S30))+CB30+AZ30</f>
        <v>0</v>
      </c>
      <c r="U30" s="997" t="b">
        <f t="shared" ref="U30:U40" si="121">AND(V30=TRUE,L30&lt;=W30,AF30="n",X30=FALSE)</f>
        <v>0</v>
      </c>
      <c r="V30" s="997" t="b">
        <f>advanced!$M$24="y"</f>
        <v>0</v>
      </c>
      <c r="W30" s="997">
        <f>data!$D$35</f>
        <v>15000</v>
      </c>
      <c r="X30" s="997" t="b">
        <f t="shared" si="24"/>
        <v>0</v>
      </c>
      <c r="Y30" s="997">
        <f t="shared" ref="Y30:Y40" si="122">IF(B30="",0,IF(OR(L30&lt;$CV$4,U30=TRUE,BX30=TRUE),0,L30*$CS$4/$CK$4*H30))</f>
        <v>0</v>
      </c>
      <c r="Z30" s="997">
        <f t="shared" si="101"/>
        <v>0</v>
      </c>
      <c r="AA30" s="1002">
        <f>data!$G$55</f>
        <v>75000</v>
      </c>
      <c r="AB30" s="1002">
        <f>data!$F$55</f>
        <v>0.02</v>
      </c>
      <c r="AC30" s="997">
        <f t="shared" ref="AC30:AC40" si="123">IF(B30="",0,L30*($CQ$4-IF(L30&lt;$CV$4,CW$4,0))/$CK$4*H30)*$AC$2/IF(U30=TRUE,AH30,1)</f>
        <v>0</v>
      </c>
      <c r="AD30" s="997">
        <f>IF(B30="",0,(IF($AE$1=authorities!$I$1,0,IF(L30&gt;AE30,VLOOKUP($AD$1,authorities!A:H,C30+1,FALSE),0)))*L30/$CK$4*H30)</f>
        <v>0</v>
      </c>
      <c r="AE30" s="997">
        <f>IF($AE$1=authorities!$I$1,0,$AE$1)</f>
        <v>0</v>
      </c>
      <c r="AF30" s="1002">
        <f>IF(input_engine_rx!$Z$21&gt;A29,VLOOKUP(A30,input_engine_rx!$Z$23:$AD$35,5,FALSE),0)</f>
        <v>0</v>
      </c>
      <c r="AG30" s="1002">
        <f>data!$C$45</f>
        <v>2900</v>
      </c>
      <c r="AH30" s="1007">
        <f t="shared" si="102"/>
        <v>1</v>
      </c>
      <c r="AI30" s="997">
        <f t="shared" ref="AI30:AI40" si="124">IF(L30&lt;&gt;"",1,0)</f>
        <v>0</v>
      </c>
      <c r="AJ30" s="997" t="b">
        <f t="shared" ref="AJ30:AJ40" ca="1" si="125">IF(AP30&gt;0,FALSE,HLOOKUP(E30,$CM$1:$CP$17,$AJ$1+3,FALSE))</f>
        <v>0</v>
      </c>
      <c r="AK30" s="997"/>
      <c r="AL30" s="997">
        <f t="shared" ref="AL30:AL40" ca="1" si="126">IF(OR(H30=0,F30="",K30=L30,AJ30=FALSE),0,IF(L30&lt;K30,1,0.01))</f>
        <v>0</v>
      </c>
      <c r="AM30" s="997"/>
      <c r="AN30" s="997"/>
      <c r="AO30" s="1002">
        <f t="shared" si="103"/>
        <v>0</v>
      </c>
      <c r="AP30" s="1002">
        <f ca="1">SUM($AO$3:AO30)</f>
        <v>3</v>
      </c>
      <c r="AQ30" s="1002">
        <f t="shared" ref="AQ30:AQ40" si="127">$CK$4</f>
        <v>365</v>
      </c>
      <c r="AR30" s="997">
        <f t="shared" ca="1" si="31"/>
        <v>0</v>
      </c>
      <c r="AS30" s="1002"/>
      <c r="AT30" s="997">
        <f t="shared" ref="AT30:AT40" ca="1" si="128">IF(L30="",AT29,L30)</f>
        <v>0</v>
      </c>
      <c r="AU30" s="997" t="b">
        <f t="shared" ca="1" si="104"/>
        <v>1</v>
      </c>
      <c r="AV30" s="997" t="b">
        <f t="shared" si="9"/>
        <v>0</v>
      </c>
      <c r="AW30" s="997" t="b">
        <f t="shared" si="105"/>
        <v>0</v>
      </c>
      <c r="AX30" s="997">
        <f t="shared" ref="AX30:AX40" ca="1" si="129">AU30*AV30*AW30*IF(S30=0,0,1)</f>
        <v>0</v>
      </c>
      <c r="AY30" s="997">
        <f ca="1">AR30/reliefs!$F$7*AX30*-1</f>
        <v>0</v>
      </c>
      <c r="AZ30" s="1002">
        <f t="shared" ref="AZ30:AZ40" ca="1" si="130">$AY$41/$BG$41*H30*AX30</f>
        <v>0</v>
      </c>
      <c r="BA30" s="2370"/>
      <c r="BB30" s="997"/>
      <c r="BC30" s="997"/>
      <c r="BD30" s="997"/>
      <c r="BE30" s="997"/>
      <c r="BF30" s="1002"/>
      <c r="BG30" s="997">
        <f t="shared" ref="BG30:BG40" ca="1" si="131">H30*AX30</f>
        <v>0</v>
      </c>
      <c r="BH30" s="997">
        <f t="shared" si="52"/>
        <v>15000</v>
      </c>
      <c r="BI30" s="1001">
        <f t="shared" si="52"/>
        <v>0</v>
      </c>
      <c r="BJ30" s="997">
        <f t="shared" si="52"/>
        <v>5000000</v>
      </c>
      <c r="BK30" s="997">
        <f t="shared" si="52"/>
        <v>0.499</v>
      </c>
      <c r="BL30" s="997" t="b">
        <f t="shared" si="52"/>
        <v>1</v>
      </c>
      <c r="BM30" s="997" t="b">
        <f t="shared" si="52"/>
        <v>0</v>
      </c>
      <c r="BN30" s="997">
        <f>BN29</f>
        <v>1200</v>
      </c>
      <c r="BO30" s="997">
        <f t="shared" ca="1" si="106"/>
        <v>0</v>
      </c>
      <c r="BP30" s="997"/>
      <c r="BQ30" s="997"/>
      <c r="BR30" s="997">
        <f t="shared" si="87"/>
        <v>1800</v>
      </c>
      <c r="BS30" s="997"/>
      <c r="BT30" s="997" t="b">
        <f t="shared" ref="BT30:BT40" ca="1" si="132">BO30&gt;BR30</f>
        <v>0</v>
      </c>
      <c r="BU30" s="997" t="b">
        <f>BU29</f>
        <v>1</v>
      </c>
      <c r="BV30" s="997" t="b">
        <f t="shared" ref="BV30:BV40" si="133">AW30</f>
        <v>0</v>
      </c>
      <c r="BW30" s="997" t="b">
        <f t="shared" ref="BW30:BW40" ca="1" si="134">AND(BW29=TRUE,BV30=TRUE)</f>
        <v>0</v>
      </c>
      <c r="BX30" s="997" t="b">
        <f t="shared" ca="1" si="91"/>
        <v>0</v>
      </c>
      <c r="BY30" s="997">
        <f t="shared" ca="1" si="107"/>
        <v>1800</v>
      </c>
      <c r="BZ30" s="997">
        <f t="shared" si="108"/>
        <v>365</v>
      </c>
      <c r="CA30" s="997">
        <f t="shared" ref="CA30:CA40" si="135">H30</f>
        <v>0</v>
      </c>
      <c r="CB30" s="997">
        <f t="shared" ref="CB30:CB40" ca="1" si="136">BY30/BZ30*CA30*BX30</f>
        <v>0</v>
      </c>
      <c r="CC30" s="997">
        <f t="shared" ca="1" si="109"/>
        <v>0</v>
      </c>
      <c r="CD30" s="997"/>
      <c r="CE30" s="1002" t="b">
        <f t="shared" si="50"/>
        <v>0</v>
      </c>
      <c r="CF30" s="5"/>
      <c r="CG30" s="5"/>
    </row>
    <row r="31" spans="1:111" customFormat="1" x14ac:dyDescent="0.35">
      <c r="A31" s="997">
        <f t="shared" si="110"/>
        <v>2</v>
      </c>
      <c r="B31" s="1003" t="str">
        <f>IF(input_engine_rx!$Z$21&gt;A30,VLOOKUP(A31,input_engine_rx!$Z$23:$AD$35,2,FALSE),"")</f>
        <v/>
      </c>
      <c r="C31" s="997" t="str">
        <f t="shared" si="111"/>
        <v/>
      </c>
      <c r="D31" s="1003">
        <f t="shared" si="112"/>
        <v>46112</v>
      </c>
      <c r="E31" s="1002" t="str">
        <f ca="1">IF(B31="",E30,VLOOKUP(B31,input_engine_rx!$B$23:$F$35,5,FALSE))</f>
        <v>nn</v>
      </c>
      <c r="F31" s="1003" t="str">
        <f t="shared" si="113"/>
        <v/>
      </c>
      <c r="G31" s="1003" t="str">
        <f t="shared" si="114"/>
        <v/>
      </c>
      <c r="H31" s="1002">
        <f t="shared" si="115"/>
        <v>0</v>
      </c>
      <c r="I31" s="997">
        <f t="shared" ca="1" si="97"/>
        <v>0</v>
      </c>
      <c r="J31" s="997">
        <f t="shared" ca="1" si="98"/>
        <v>0</v>
      </c>
      <c r="K31" s="997">
        <f t="shared" ca="1" si="99"/>
        <v>0</v>
      </c>
      <c r="L31" s="997" t="str">
        <f>IF(input_engine_rx!$Z$21&gt;A30,VLOOKUP(A31,input_engine_rx!$Z$23:$AD$36,3,FALSE),"")</f>
        <v/>
      </c>
      <c r="M31" s="1002" t="str">
        <f t="shared" ca="1" si="116"/>
        <v>up</v>
      </c>
      <c r="N31" s="1002" t="str">
        <f t="shared" ref="N31:N40" si="137">IF(B31="","",IF(M31="down",J31*L31/K31*H31,0))</f>
        <v/>
      </c>
      <c r="O31" s="1002" t="str">
        <f t="shared" si="100"/>
        <v/>
      </c>
      <c r="P31" s="1032">
        <f t="shared" si="117"/>
        <v>0.499</v>
      </c>
      <c r="Q31" s="997" t="str">
        <f t="shared" ca="1" si="118"/>
        <v/>
      </c>
      <c r="R31" s="997">
        <f t="shared" si="119"/>
        <v>0</v>
      </c>
      <c r="S31" s="1006">
        <f>IF(input_engine_rx!$Z$21&gt;A30,VLOOKUP(A31,input_engine_rx!$Z$23:$AD$35,4,FALSE),0)</f>
        <v>0</v>
      </c>
      <c r="T31" s="2442">
        <f t="shared" ca="1" si="120"/>
        <v>0</v>
      </c>
      <c r="U31" s="997" t="b">
        <f t="shared" si="121"/>
        <v>0</v>
      </c>
      <c r="V31" s="997" t="b">
        <f>advanced!$M$24="y"</f>
        <v>0</v>
      </c>
      <c r="W31" s="997">
        <f>data!$D$35</f>
        <v>15000</v>
      </c>
      <c r="X31" s="997" t="b">
        <f t="shared" si="24"/>
        <v>0</v>
      </c>
      <c r="Y31" s="997">
        <f t="shared" si="122"/>
        <v>0</v>
      </c>
      <c r="Z31" s="997">
        <f t="shared" si="101"/>
        <v>0</v>
      </c>
      <c r="AA31" s="1002">
        <f>data!$G$55</f>
        <v>75000</v>
      </c>
      <c r="AB31" s="1002">
        <f>data!$F$55</f>
        <v>0.02</v>
      </c>
      <c r="AC31" s="997">
        <f t="shared" si="123"/>
        <v>0</v>
      </c>
      <c r="AD31" s="997">
        <f>IF(B31="",0,(IF($AE$1=authorities!$I$1,0,IF(L31&gt;AE31,VLOOKUP($AD$1,authorities!A:H,C31+1,FALSE),0)))*L31/$CK$4*H31)</f>
        <v>0</v>
      </c>
      <c r="AE31" s="997">
        <f>IF($AE$1=authorities!$I$1,0,$AE$1)</f>
        <v>0</v>
      </c>
      <c r="AF31" s="1002">
        <f>IF(input_engine_rx!$Z$21&gt;A30,VLOOKUP(A31,input_engine_rx!$Z$23:$AD$35,5,FALSE),0)</f>
        <v>0</v>
      </c>
      <c r="AG31" s="1002">
        <f>data!$C$45</f>
        <v>2900</v>
      </c>
      <c r="AH31" s="1007">
        <f t="shared" si="102"/>
        <v>1</v>
      </c>
      <c r="AI31" s="997">
        <f t="shared" si="124"/>
        <v>0</v>
      </c>
      <c r="AJ31" s="997" t="b">
        <f t="shared" ca="1" si="125"/>
        <v>0</v>
      </c>
      <c r="AK31" s="997"/>
      <c r="AL31" s="997">
        <f t="shared" ca="1" si="126"/>
        <v>0</v>
      </c>
      <c r="AM31" s="997"/>
      <c r="AN31" s="997"/>
      <c r="AO31" s="1002">
        <f t="shared" si="103"/>
        <v>0</v>
      </c>
      <c r="AP31" s="1002">
        <f ca="1">SUM($AO$3:AO31)</f>
        <v>3</v>
      </c>
      <c r="AQ31" s="1002">
        <f t="shared" si="127"/>
        <v>365</v>
      </c>
      <c r="AR31" s="997">
        <f t="shared" ca="1" si="31"/>
        <v>0</v>
      </c>
      <c r="AS31" s="1002"/>
      <c r="AT31" s="997">
        <f t="shared" ca="1" si="128"/>
        <v>0</v>
      </c>
      <c r="AU31" s="997" t="b">
        <f t="shared" ca="1" si="104"/>
        <v>1</v>
      </c>
      <c r="AV31" s="997" t="b">
        <f t="shared" si="9"/>
        <v>0</v>
      </c>
      <c r="AW31" s="997" t="b">
        <f t="shared" si="105"/>
        <v>0</v>
      </c>
      <c r="AX31" s="997">
        <f t="shared" ca="1" si="129"/>
        <v>0</v>
      </c>
      <c r="AY31" s="997">
        <f ca="1">AR31/reliefs!$F$7*AX31*-1</f>
        <v>0</v>
      </c>
      <c r="AZ31" s="1002">
        <f t="shared" ca="1" si="130"/>
        <v>0</v>
      </c>
      <c r="BA31" s="2370"/>
      <c r="BB31" s="997"/>
      <c r="BC31" s="997"/>
      <c r="BD31" s="997"/>
      <c r="BE31" s="997"/>
      <c r="BF31" s="1002"/>
      <c r="BG31" s="997">
        <f t="shared" ca="1" si="131"/>
        <v>0</v>
      </c>
      <c r="BH31" s="997">
        <f t="shared" ref="BH31:BN40" si="138">BH30</f>
        <v>15000</v>
      </c>
      <c r="BI31" s="1001">
        <f t="shared" si="138"/>
        <v>0</v>
      </c>
      <c r="BJ31" s="997">
        <f t="shared" si="138"/>
        <v>5000000</v>
      </c>
      <c r="BK31" s="997">
        <f t="shared" si="138"/>
        <v>0.499</v>
      </c>
      <c r="BL31" s="997" t="b">
        <f t="shared" si="138"/>
        <v>1</v>
      </c>
      <c r="BM31" s="997" t="b">
        <f t="shared" si="138"/>
        <v>0</v>
      </c>
      <c r="BN31" s="997">
        <f>BN30</f>
        <v>1200</v>
      </c>
      <c r="BO31" s="997">
        <f t="shared" ca="1" si="106"/>
        <v>0</v>
      </c>
      <c r="BP31" s="997"/>
      <c r="BQ31" s="997"/>
      <c r="BR31" s="997">
        <f t="shared" si="87"/>
        <v>1800</v>
      </c>
      <c r="BS31" s="997"/>
      <c r="BT31" s="997" t="b">
        <f t="shared" ca="1" si="132"/>
        <v>0</v>
      </c>
      <c r="BU31" s="997" t="b">
        <f t="shared" ref="BU31:BU40" si="139">BU30</f>
        <v>1</v>
      </c>
      <c r="BV31" s="997" t="b">
        <f t="shared" si="133"/>
        <v>0</v>
      </c>
      <c r="BW31" s="997" t="b">
        <f t="shared" ca="1" si="134"/>
        <v>0</v>
      </c>
      <c r="BX31" s="997" t="b">
        <f t="shared" ca="1" si="91"/>
        <v>0</v>
      </c>
      <c r="BY31" s="997">
        <f t="shared" ca="1" si="107"/>
        <v>1800</v>
      </c>
      <c r="BZ31" s="997">
        <f t="shared" si="108"/>
        <v>365</v>
      </c>
      <c r="CA31" s="997">
        <f t="shared" si="135"/>
        <v>0</v>
      </c>
      <c r="CB31" s="997">
        <f t="shared" ca="1" si="136"/>
        <v>0</v>
      </c>
      <c r="CC31" s="997">
        <f t="shared" ca="1" si="109"/>
        <v>0</v>
      </c>
      <c r="CD31" s="997"/>
      <c r="CE31" s="1002" t="b">
        <f t="shared" si="50"/>
        <v>0</v>
      </c>
      <c r="CF31" s="5"/>
      <c r="CG31" s="5"/>
    </row>
    <row r="32" spans="1:111" customFormat="1" x14ac:dyDescent="0.35">
      <c r="A32" s="997">
        <f t="shared" si="110"/>
        <v>3</v>
      </c>
      <c r="B32" s="1003" t="str">
        <f>IF(input_engine_rx!$Z$21&gt;A31,VLOOKUP(A32,input_engine_rx!$Z$23:$AD$35,2,FALSE),"")</f>
        <v/>
      </c>
      <c r="C32" s="997" t="str">
        <f t="shared" si="111"/>
        <v/>
      </c>
      <c r="D32" s="1003">
        <f t="shared" si="112"/>
        <v>46112</v>
      </c>
      <c r="E32" s="1002" t="str">
        <f ca="1">IF(B32="",E31,VLOOKUP(B32,input_engine_rx!$B$23:$F$35,5,FALSE))</f>
        <v>nn</v>
      </c>
      <c r="F32" s="1003" t="str">
        <f t="shared" si="113"/>
        <v/>
      </c>
      <c r="G32" s="1003" t="str">
        <f t="shared" si="114"/>
        <v/>
      </c>
      <c r="H32" s="1002">
        <f t="shared" si="115"/>
        <v>0</v>
      </c>
      <c r="I32" s="997">
        <f t="shared" ca="1" si="97"/>
        <v>0</v>
      </c>
      <c r="J32" s="997">
        <f t="shared" ca="1" si="98"/>
        <v>0</v>
      </c>
      <c r="K32" s="997">
        <f t="shared" ca="1" si="99"/>
        <v>0</v>
      </c>
      <c r="L32" s="997" t="str">
        <f>IF(input_engine_rx!$Z$21&gt;A31,VLOOKUP(A32,input_engine_rx!$Z$23:$AD$36,3,FALSE),"")</f>
        <v/>
      </c>
      <c r="M32" s="1002" t="str">
        <f t="shared" ca="1" si="116"/>
        <v>up</v>
      </c>
      <c r="N32" s="1002" t="str">
        <f t="shared" si="137"/>
        <v/>
      </c>
      <c r="O32" s="1002" t="str">
        <f t="shared" si="100"/>
        <v/>
      </c>
      <c r="P32" s="1032">
        <f t="shared" si="117"/>
        <v>0.499</v>
      </c>
      <c r="Q32" s="997" t="str">
        <f t="shared" ca="1" si="118"/>
        <v/>
      </c>
      <c r="R32" s="997">
        <f t="shared" si="119"/>
        <v>0</v>
      </c>
      <c r="S32" s="1006">
        <f>IF(input_engine_rx!$Z$21&gt;A31,VLOOKUP(A32,input_engine_rx!$Z$23:$AD$35,4,FALSE),0)</f>
        <v>0</v>
      </c>
      <c r="T32" s="2442">
        <f t="shared" ca="1" si="120"/>
        <v>0</v>
      </c>
      <c r="U32" s="997" t="b">
        <f t="shared" si="121"/>
        <v>0</v>
      </c>
      <c r="V32" s="997" t="b">
        <f>advanced!$M$24="y"</f>
        <v>0</v>
      </c>
      <c r="W32" s="997">
        <f>data!$D$35</f>
        <v>15000</v>
      </c>
      <c r="X32" s="997" t="b">
        <f t="shared" si="24"/>
        <v>0</v>
      </c>
      <c r="Y32" s="997">
        <f t="shared" si="122"/>
        <v>0</v>
      </c>
      <c r="Z32" s="997">
        <f t="shared" si="101"/>
        <v>0</v>
      </c>
      <c r="AA32" s="1002">
        <f>data!$G$55</f>
        <v>75000</v>
      </c>
      <c r="AB32" s="1002">
        <f>data!$F$55</f>
        <v>0.02</v>
      </c>
      <c r="AC32" s="997">
        <f t="shared" si="123"/>
        <v>0</v>
      </c>
      <c r="AD32" s="997">
        <f>IF(B32="",0,(IF($AE$1=authorities!$I$1,0,IF(L32&gt;AE32,VLOOKUP($AD$1,authorities!A:H,C32+1,FALSE),0)))*L32/$CK$4*H32)</f>
        <v>0</v>
      </c>
      <c r="AE32" s="997">
        <f>IF($AE$1=authorities!$I$1,0,$AE$1)</f>
        <v>0</v>
      </c>
      <c r="AF32" s="1002">
        <f>IF(input_engine_rx!$Z$21&gt;A31,VLOOKUP(A32,input_engine_rx!$Z$23:$AD$35,5,FALSE),0)</f>
        <v>0</v>
      </c>
      <c r="AG32" s="1002">
        <f>data!$C$45</f>
        <v>2900</v>
      </c>
      <c r="AH32" s="1007">
        <f t="shared" si="102"/>
        <v>1</v>
      </c>
      <c r="AI32" s="997">
        <f t="shared" si="124"/>
        <v>0</v>
      </c>
      <c r="AJ32" s="997" t="b">
        <f t="shared" ca="1" si="125"/>
        <v>0</v>
      </c>
      <c r="AK32" s="997"/>
      <c r="AL32" s="997">
        <f t="shared" ca="1" si="126"/>
        <v>0</v>
      </c>
      <c r="AM32" s="997"/>
      <c r="AN32" s="997"/>
      <c r="AO32" s="1002">
        <f t="shared" si="103"/>
        <v>0</v>
      </c>
      <c r="AP32" s="1002">
        <f ca="1">SUM($AO$3:AO32)</f>
        <v>3</v>
      </c>
      <c r="AQ32" s="1002">
        <f t="shared" si="127"/>
        <v>365</v>
      </c>
      <c r="AR32" s="997">
        <f t="shared" ca="1" si="31"/>
        <v>0</v>
      </c>
      <c r="AS32" s="1002"/>
      <c r="AT32" s="997">
        <f t="shared" ca="1" si="128"/>
        <v>0</v>
      </c>
      <c r="AU32" s="997" t="b">
        <f t="shared" ca="1" si="104"/>
        <v>1</v>
      </c>
      <c r="AV32" s="997" t="b">
        <f t="shared" si="9"/>
        <v>0</v>
      </c>
      <c r="AW32" s="997" t="b">
        <f t="shared" si="105"/>
        <v>0</v>
      </c>
      <c r="AX32" s="997">
        <f t="shared" ca="1" si="129"/>
        <v>0</v>
      </c>
      <c r="AY32" s="997">
        <f ca="1">AR32/reliefs!$F$7*AX32*-1</f>
        <v>0</v>
      </c>
      <c r="AZ32" s="1002">
        <f t="shared" ca="1" si="130"/>
        <v>0</v>
      </c>
      <c r="BA32" s="2370"/>
      <c r="BB32" s="997"/>
      <c r="BC32" s="997"/>
      <c r="BD32" s="997"/>
      <c r="BE32" s="997"/>
      <c r="BF32" s="1002"/>
      <c r="BG32" s="997">
        <f t="shared" ca="1" si="131"/>
        <v>0</v>
      </c>
      <c r="BH32" s="997">
        <f t="shared" si="138"/>
        <v>15000</v>
      </c>
      <c r="BI32" s="1001">
        <f t="shared" si="138"/>
        <v>0</v>
      </c>
      <c r="BJ32" s="997">
        <f t="shared" si="138"/>
        <v>5000000</v>
      </c>
      <c r="BK32" s="997">
        <f t="shared" si="138"/>
        <v>0.499</v>
      </c>
      <c r="BL32" s="997" t="b">
        <f t="shared" si="138"/>
        <v>1</v>
      </c>
      <c r="BM32" s="997" t="b">
        <f t="shared" si="138"/>
        <v>0</v>
      </c>
      <c r="BN32" s="997">
        <f>BN31</f>
        <v>1200</v>
      </c>
      <c r="BO32" s="997">
        <f t="shared" ca="1" si="106"/>
        <v>0</v>
      </c>
      <c r="BP32" s="997"/>
      <c r="BQ32" s="997"/>
      <c r="BR32" s="997">
        <f t="shared" si="87"/>
        <v>1800</v>
      </c>
      <c r="BS32" s="997"/>
      <c r="BT32" s="997" t="b">
        <f t="shared" ca="1" si="132"/>
        <v>0</v>
      </c>
      <c r="BU32" s="997" t="b">
        <f t="shared" si="139"/>
        <v>1</v>
      </c>
      <c r="BV32" s="997" t="b">
        <f t="shared" si="133"/>
        <v>0</v>
      </c>
      <c r="BW32" s="997" t="b">
        <f t="shared" ca="1" si="134"/>
        <v>0</v>
      </c>
      <c r="BX32" s="997" t="b">
        <f t="shared" ca="1" si="91"/>
        <v>0</v>
      </c>
      <c r="BY32" s="997">
        <f t="shared" ca="1" si="107"/>
        <v>1800</v>
      </c>
      <c r="BZ32" s="997">
        <f t="shared" si="108"/>
        <v>365</v>
      </c>
      <c r="CA32" s="997">
        <f t="shared" si="135"/>
        <v>0</v>
      </c>
      <c r="CB32" s="997">
        <f t="shared" ca="1" si="136"/>
        <v>0</v>
      </c>
      <c r="CC32" s="997">
        <f t="shared" ca="1" si="109"/>
        <v>0</v>
      </c>
      <c r="CD32" s="997"/>
      <c r="CE32" s="1002" t="b">
        <f t="shared" si="50"/>
        <v>0</v>
      </c>
      <c r="CF32" s="5"/>
      <c r="CG32" s="5"/>
    </row>
    <row r="33" spans="1:85" customFormat="1" x14ac:dyDescent="0.35">
      <c r="A33" s="997">
        <f t="shared" si="110"/>
        <v>4</v>
      </c>
      <c r="B33" s="1003" t="str">
        <f>IF(input_engine_rx!$Z$21&gt;A32,VLOOKUP(A33,input_engine_rx!$Z$23:$AD$35,2,FALSE),"")</f>
        <v/>
      </c>
      <c r="C33" s="997" t="str">
        <f t="shared" si="111"/>
        <v/>
      </c>
      <c r="D33" s="1003">
        <f t="shared" si="112"/>
        <v>46112</v>
      </c>
      <c r="E33" s="1002" t="str">
        <f ca="1">IF(B33="",E32,VLOOKUP(B33,input_engine_rx!$B$23:$F$35,5,FALSE))</f>
        <v>nn</v>
      </c>
      <c r="F33" s="1003" t="str">
        <f t="shared" si="113"/>
        <v/>
      </c>
      <c r="G33" s="1003" t="str">
        <f t="shared" si="114"/>
        <v/>
      </c>
      <c r="H33" s="1002">
        <f t="shared" si="115"/>
        <v>0</v>
      </c>
      <c r="I33" s="997">
        <f t="shared" ca="1" si="97"/>
        <v>0</v>
      </c>
      <c r="J33" s="997">
        <f t="shared" ca="1" si="98"/>
        <v>0</v>
      </c>
      <c r="K33" s="997">
        <f t="shared" ca="1" si="99"/>
        <v>0</v>
      </c>
      <c r="L33" s="997" t="str">
        <f>IF(input_engine_rx!$Z$21&gt;A32,VLOOKUP(A33,input_engine_rx!$Z$23:$AD$36,3,FALSE),"")</f>
        <v/>
      </c>
      <c r="M33" s="1002" t="str">
        <f t="shared" ca="1" si="116"/>
        <v>up</v>
      </c>
      <c r="N33" s="1002" t="str">
        <f t="shared" si="137"/>
        <v/>
      </c>
      <c r="O33" s="1002" t="str">
        <f t="shared" si="100"/>
        <v/>
      </c>
      <c r="P33" s="1032">
        <f t="shared" si="117"/>
        <v>0.499</v>
      </c>
      <c r="Q33" s="997" t="str">
        <f t="shared" ca="1" si="118"/>
        <v/>
      </c>
      <c r="R33" s="997">
        <f t="shared" si="119"/>
        <v>0</v>
      </c>
      <c r="S33" s="1006">
        <f>IF(input_engine_rx!$Z$21&gt;A32,VLOOKUP(A33,input_engine_rx!$Z$23:$AD$35,4,FALSE),0)</f>
        <v>0</v>
      </c>
      <c r="T33" s="2442">
        <f t="shared" ca="1" si="120"/>
        <v>0</v>
      </c>
      <c r="U33" s="997" t="b">
        <f t="shared" si="121"/>
        <v>0</v>
      </c>
      <c r="V33" s="997" t="b">
        <f>advanced!$M$24="y"</f>
        <v>0</v>
      </c>
      <c r="W33" s="997">
        <f>data!$D$35</f>
        <v>15000</v>
      </c>
      <c r="X33" s="997" t="b">
        <f t="shared" si="24"/>
        <v>0</v>
      </c>
      <c r="Y33" s="997">
        <f t="shared" si="122"/>
        <v>0</v>
      </c>
      <c r="Z33" s="997">
        <f t="shared" si="101"/>
        <v>0</v>
      </c>
      <c r="AA33" s="1002">
        <f>data!$G$55</f>
        <v>75000</v>
      </c>
      <c r="AB33" s="1002">
        <f>data!$F$55</f>
        <v>0.02</v>
      </c>
      <c r="AC33" s="997">
        <f t="shared" si="123"/>
        <v>0</v>
      </c>
      <c r="AD33" s="997">
        <f>IF(B33="",0,(IF($AE$1=authorities!$I$1,0,IF(L33&gt;AE33,VLOOKUP($AD$1,authorities!A:H,C33+1,FALSE),0)))*L33/$CK$4*H33)</f>
        <v>0</v>
      </c>
      <c r="AE33" s="997">
        <f>IF($AE$1=authorities!$I$1,0,$AE$1)</f>
        <v>0</v>
      </c>
      <c r="AF33" s="1002">
        <f>IF(input_engine_rx!$Z$21&gt;A32,VLOOKUP(A33,input_engine_rx!$Z$23:$AD$35,5,FALSE),0)</f>
        <v>0</v>
      </c>
      <c r="AG33" s="1002">
        <f>data!$C$45</f>
        <v>2900</v>
      </c>
      <c r="AH33" s="1007">
        <f t="shared" si="102"/>
        <v>1</v>
      </c>
      <c r="AI33" s="997">
        <f t="shared" si="124"/>
        <v>0</v>
      </c>
      <c r="AJ33" s="997" t="b">
        <f t="shared" ca="1" si="125"/>
        <v>0</v>
      </c>
      <c r="AK33" s="997"/>
      <c r="AL33" s="997">
        <f t="shared" ca="1" si="126"/>
        <v>0</v>
      </c>
      <c r="AM33" s="997"/>
      <c r="AN33" s="997"/>
      <c r="AO33" s="1002">
        <f t="shared" si="103"/>
        <v>0</v>
      </c>
      <c r="AP33" s="1002">
        <f ca="1">SUM($AO$3:AO33)</f>
        <v>3</v>
      </c>
      <c r="AQ33" s="1002">
        <f t="shared" si="127"/>
        <v>365</v>
      </c>
      <c r="AR33" s="997">
        <f t="shared" ca="1" si="31"/>
        <v>0</v>
      </c>
      <c r="AS33" s="5"/>
      <c r="AT33" s="997">
        <f t="shared" ca="1" si="128"/>
        <v>0</v>
      </c>
      <c r="AU33" s="997" t="b">
        <f t="shared" ca="1" si="104"/>
        <v>1</v>
      </c>
      <c r="AV33" s="997" t="b">
        <f t="shared" si="9"/>
        <v>0</v>
      </c>
      <c r="AW33" s="997" t="b">
        <f t="shared" si="105"/>
        <v>0</v>
      </c>
      <c r="AX33" s="997">
        <f t="shared" ca="1" si="129"/>
        <v>0</v>
      </c>
      <c r="AY33" s="997">
        <f ca="1">AR33/reliefs!$F$7*AX33*-1</f>
        <v>0</v>
      </c>
      <c r="AZ33" s="1002">
        <f t="shared" ca="1" si="130"/>
        <v>0</v>
      </c>
      <c r="BA33" s="2370"/>
      <c r="BB33" s="997"/>
      <c r="BC33" s="997"/>
      <c r="BD33" s="997"/>
      <c r="BE33" s="997"/>
      <c r="BF33" s="1002"/>
      <c r="BG33" s="997">
        <f t="shared" ca="1" si="131"/>
        <v>0</v>
      </c>
      <c r="BH33" s="997">
        <f t="shared" si="138"/>
        <v>15000</v>
      </c>
      <c r="BI33" s="1001">
        <f t="shared" si="138"/>
        <v>0</v>
      </c>
      <c r="BJ33" s="997">
        <f t="shared" si="138"/>
        <v>5000000</v>
      </c>
      <c r="BK33" s="997">
        <f t="shared" si="138"/>
        <v>0.499</v>
      </c>
      <c r="BL33" s="997" t="b">
        <f t="shared" si="138"/>
        <v>1</v>
      </c>
      <c r="BM33" s="997" t="b">
        <f t="shared" si="138"/>
        <v>0</v>
      </c>
      <c r="BN33" s="997">
        <f>BN32</f>
        <v>1200</v>
      </c>
      <c r="BO33" s="997">
        <f t="shared" ca="1" si="106"/>
        <v>0</v>
      </c>
      <c r="BP33" s="997"/>
      <c r="BQ33" s="997"/>
      <c r="BR33" s="997">
        <f t="shared" si="87"/>
        <v>1800</v>
      </c>
      <c r="BS33" s="997"/>
      <c r="BT33" s="997" t="b">
        <f t="shared" ca="1" si="132"/>
        <v>0</v>
      </c>
      <c r="BU33" s="997" t="b">
        <f t="shared" si="139"/>
        <v>1</v>
      </c>
      <c r="BV33" s="997" t="b">
        <f t="shared" si="133"/>
        <v>0</v>
      </c>
      <c r="BW33" s="997" t="b">
        <f t="shared" ca="1" si="134"/>
        <v>0</v>
      </c>
      <c r="BX33" s="997" t="b">
        <f t="shared" ca="1" si="91"/>
        <v>0</v>
      </c>
      <c r="BY33" s="997">
        <f t="shared" ca="1" si="107"/>
        <v>1800</v>
      </c>
      <c r="BZ33" s="997">
        <f t="shared" si="108"/>
        <v>365</v>
      </c>
      <c r="CA33" s="997">
        <f t="shared" si="135"/>
        <v>0</v>
      </c>
      <c r="CB33" s="997">
        <f t="shared" ca="1" si="136"/>
        <v>0</v>
      </c>
      <c r="CC33" s="997">
        <f t="shared" ca="1" si="109"/>
        <v>0</v>
      </c>
      <c r="CD33" s="997"/>
      <c r="CE33" s="1002" t="b">
        <f t="shared" si="50"/>
        <v>0</v>
      </c>
      <c r="CF33" s="5"/>
      <c r="CG33" s="5"/>
    </row>
    <row r="34" spans="1:85" customFormat="1" x14ac:dyDescent="0.35">
      <c r="A34" s="997">
        <f t="shared" si="110"/>
        <v>5</v>
      </c>
      <c r="B34" s="1003" t="str">
        <f>IF(input_engine_rx!$Z$21&gt;A33,VLOOKUP(A34,input_engine_rx!$Z$23:$AD$35,2,FALSE),"")</f>
        <v/>
      </c>
      <c r="C34" s="997" t="str">
        <f t="shared" si="111"/>
        <v/>
      </c>
      <c r="D34" s="1003">
        <f t="shared" si="112"/>
        <v>46112</v>
      </c>
      <c r="E34" s="1002" t="str">
        <f ca="1">IF(B34="",E33,VLOOKUP(B34,input_engine_rx!$B$23:$F$35,5,FALSE))</f>
        <v>nn</v>
      </c>
      <c r="F34" s="1003" t="str">
        <f t="shared" si="113"/>
        <v/>
      </c>
      <c r="G34" s="1003" t="str">
        <f t="shared" si="114"/>
        <v/>
      </c>
      <c r="H34" s="1002">
        <f t="shared" si="115"/>
        <v>0</v>
      </c>
      <c r="I34" s="997">
        <f t="shared" ca="1" si="97"/>
        <v>0</v>
      </c>
      <c r="J34" s="997">
        <f t="shared" ca="1" si="98"/>
        <v>0</v>
      </c>
      <c r="K34" s="997">
        <f t="shared" ca="1" si="99"/>
        <v>0</v>
      </c>
      <c r="L34" s="997" t="str">
        <f>IF(input_engine_rx!$Z$21&gt;A33,VLOOKUP(A34,input_engine_rx!$Z$23:$AD$36,3,FALSE),"")</f>
        <v/>
      </c>
      <c r="M34" s="1002" t="str">
        <f t="shared" ca="1" si="116"/>
        <v>up</v>
      </c>
      <c r="N34" s="1002" t="str">
        <f t="shared" si="137"/>
        <v/>
      </c>
      <c r="O34" s="1002" t="str">
        <f t="shared" si="100"/>
        <v/>
      </c>
      <c r="P34" s="1032">
        <f t="shared" si="117"/>
        <v>0.499</v>
      </c>
      <c r="Q34" s="997" t="str">
        <f t="shared" ca="1" si="118"/>
        <v/>
      </c>
      <c r="R34" s="997">
        <f t="shared" si="119"/>
        <v>0</v>
      </c>
      <c r="S34" s="1006">
        <f>IF(input_engine_rx!$Z$21&gt;A33,VLOOKUP(A34,input_engine_rx!$Z$23:$AD$35,4,FALSE),0)</f>
        <v>0</v>
      </c>
      <c r="T34" s="2442">
        <f t="shared" ca="1" si="120"/>
        <v>0</v>
      </c>
      <c r="U34" s="997" t="b">
        <f t="shared" si="121"/>
        <v>0</v>
      </c>
      <c r="V34" s="997" t="b">
        <f>advanced!$M$24="y"</f>
        <v>0</v>
      </c>
      <c r="W34" s="997">
        <f>data!$D$35</f>
        <v>15000</v>
      </c>
      <c r="X34" s="997" t="b">
        <f t="shared" si="24"/>
        <v>0</v>
      </c>
      <c r="Y34" s="997">
        <f t="shared" si="122"/>
        <v>0</v>
      </c>
      <c r="Z34" s="997">
        <f t="shared" si="101"/>
        <v>0</v>
      </c>
      <c r="AA34" s="1002">
        <f>data!$G$55</f>
        <v>75000</v>
      </c>
      <c r="AB34" s="1002">
        <f>data!$F$55</f>
        <v>0.02</v>
      </c>
      <c r="AC34" s="997">
        <f t="shared" si="123"/>
        <v>0</v>
      </c>
      <c r="AD34" s="997">
        <f>IF(B34="",0,(IF($AE$1=authorities!$I$1,0,IF(L34&gt;AE34,VLOOKUP($AD$1,authorities!A:H,C34+1,FALSE),0)))*L34/$CK$4*H34)</f>
        <v>0</v>
      </c>
      <c r="AE34" s="997">
        <f>IF($AE$1=authorities!$I$1,0,$AE$1)</f>
        <v>0</v>
      </c>
      <c r="AF34" s="1002">
        <f>IF(input_engine_rx!$Z$21&gt;A33,VLOOKUP(A34,input_engine_rx!$Z$23:$AD$35,5,FALSE),0)</f>
        <v>0</v>
      </c>
      <c r="AG34" s="1002">
        <f>data!$C$45</f>
        <v>2900</v>
      </c>
      <c r="AH34" s="1007">
        <f t="shared" si="102"/>
        <v>1</v>
      </c>
      <c r="AI34" s="997">
        <f t="shared" si="124"/>
        <v>0</v>
      </c>
      <c r="AJ34" s="997" t="b">
        <f t="shared" ca="1" si="125"/>
        <v>0</v>
      </c>
      <c r="AK34" s="997"/>
      <c r="AL34" s="997">
        <f t="shared" ca="1" si="126"/>
        <v>0</v>
      </c>
      <c r="AM34" s="997"/>
      <c r="AN34" s="997"/>
      <c r="AO34" s="1002">
        <f t="shared" si="103"/>
        <v>0</v>
      </c>
      <c r="AP34" s="1002">
        <f ca="1">SUM($AO$3:AO34)</f>
        <v>3</v>
      </c>
      <c r="AQ34" s="1002">
        <f t="shared" si="127"/>
        <v>365</v>
      </c>
      <c r="AR34" s="997">
        <f t="shared" ca="1" si="31"/>
        <v>0</v>
      </c>
      <c r="AS34" s="5"/>
      <c r="AT34" s="997">
        <f t="shared" ca="1" si="128"/>
        <v>0</v>
      </c>
      <c r="AU34" s="997" t="b">
        <f t="shared" ca="1" si="104"/>
        <v>1</v>
      </c>
      <c r="AV34" s="997" t="b">
        <f t="shared" si="9"/>
        <v>0</v>
      </c>
      <c r="AW34" s="997" t="b">
        <f t="shared" si="105"/>
        <v>0</v>
      </c>
      <c r="AX34" s="997">
        <f t="shared" ca="1" si="129"/>
        <v>0</v>
      </c>
      <c r="AY34" s="997">
        <f ca="1">AR34/reliefs!$F$7*AX34*-1</f>
        <v>0</v>
      </c>
      <c r="AZ34" s="1002">
        <f t="shared" ca="1" si="130"/>
        <v>0</v>
      </c>
      <c r="BA34" s="2370"/>
      <c r="BB34" s="997"/>
      <c r="BC34" s="997"/>
      <c r="BD34" s="997"/>
      <c r="BE34" s="997"/>
      <c r="BF34" s="1002"/>
      <c r="BG34" s="997">
        <f t="shared" ca="1" si="131"/>
        <v>0</v>
      </c>
      <c r="BH34" s="997">
        <f t="shared" si="138"/>
        <v>15000</v>
      </c>
      <c r="BI34" s="1001">
        <f t="shared" si="138"/>
        <v>0</v>
      </c>
      <c r="BJ34" s="997">
        <f t="shared" si="138"/>
        <v>5000000</v>
      </c>
      <c r="BK34" s="997">
        <f t="shared" si="138"/>
        <v>0.499</v>
      </c>
      <c r="BL34" s="997" t="b">
        <f t="shared" si="138"/>
        <v>1</v>
      </c>
      <c r="BM34" s="997" t="b">
        <f t="shared" si="138"/>
        <v>0</v>
      </c>
      <c r="BN34" s="997">
        <f>BN33</f>
        <v>1200</v>
      </c>
      <c r="BO34" s="997">
        <f t="shared" ca="1" si="106"/>
        <v>0</v>
      </c>
      <c r="BP34" s="997"/>
      <c r="BQ34" s="997"/>
      <c r="BR34" s="997">
        <f t="shared" si="87"/>
        <v>1800</v>
      </c>
      <c r="BS34" s="997"/>
      <c r="BT34" s="997" t="b">
        <f t="shared" ca="1" si="132"/>
        <v>0</v>
      </c>
      <c r="BU34" s="997" t="b">
        <f t="shared" si="139"/>
        <v>1</v>
      </c>
      <c r="BV34" s="997" t="b">
        <f t="shared" si="133"/>
        <v>0</v>
      </c>
      <c r="BW34" s="997" t="b">
        <f t="shared" ca="1" si="134"/>
        <v>0</v>
      </c>
      <c r="BX34" s="997" t="b">
        <f t="shared" ca="1" si="91"/>
        <v>0</v>
      </c>
      <c r="BY34" s="997">
        <f t="shared" ca="1" si="107"/>
        <v>1800</v>
      </c>
      <c r="BZ34" s="997">
        <f t="shared" si="108"/>
        <v>365</v>
      </c>
      <c r="CA34" s="997">
        <f t="shared" si="135"/>
        <v>0</v>
      </c>
      <c r="CB34" s="997">
        <f t="shared" ca="1" si="136"/>
        <v>0</v>
      </c>
      <c r="CC34" s="997">
        <f t="shared" ca="1" si="109"/>
        <v>0</v>
      </c>
      <c r="CD34" s="997"/>
      <c r="CE34" s="1002" t="b">
        <f t="shared" si="50"/>
        <v>0</v>
      </c>
      <c r="CF34" s="5"/>
      <c r="CG34" s="5"/>
    </row>
    <row r="35" spans="1:85" customFormat="1" x14ac:dyDescent="0.35">
      <c r="A35" s="997">
        <f t="shared" si="110"/>
        <v>6</v>
      </c>
      <c r="B35" s="1003" t="str">
        <f>IF(input_engine_rx!$Z$21&gt;A34,VLOOKUP(A35,input_engine_rx!$Z$23:$AD$35,2,FALSE),"")</f>
        <v/>
      </c>
      <c r="C35" s="997" t="str">
        <f t="shared" si="111"/>
        <v/>
      </c>
      <c r="D35" s="1003">
        <f t="shared" si="112"/>
        <v>46112</v>
      </c>
      <c r="E35" s="1002" t="str">
        <f ca="1">IF(B35="",E34,VLOOKUP(B35,input_engine_rx!$B$23:$F$35,5,FALSE))</f>
        <v>nn</v>
      </c>
      <c r="F35" s="1003" t="str">
        <f t="shared" si="113"/>
        <v/>
      </c>
      <c r="G35" s="1003" t="str">
        <f t="shared" si="114"/>
        <v/>
      </c>
      <c r="H35" s="1002">
        <f t="shared" si="115"/>
        <v>0</v>
      </c>
      <c r="I35" s="997">
        <f t="shared" ca="1" si="97"/>
        <v>0</v>
      </c>
      <c r="J35" s="997">
        <f t="shared" ca="1" si="98"/>
        <v>0</v>
      </c>
      <c r="K35" s="997">
        <f t="shared" ca="1" si="99"/>
        <v>0</v>
      </c>
      <c r="L35" s="997" t="str">
        <f>IF(input_engine_rx!$Z$21&gt;A34,VLOOKUP(A35,input_engine_rx!$Z$23:$AD$36,3,FALSE),"")</f>
        <v/>
      </c>
      <c r="M35" s="1002" t="str">
        <f t="shared" ca="1" si="116"/>
        <v>up</v>
      </c>
      <c r="N35" s="1002" t="str">
        <f t="shared" si="137"/>
        <v/>
      </c>
      <c r="O35" s="1002" t="str">
        <f t="shared" si="100"/>
        <v/>
      </c>
      <c r="P35" s="1032">
        <f t="shared" si="117"/>
        <v>0.499</v>
      </c>
      <c r="Q35" s="997" t="str">
        <f t="shared" ca="1" si="118"/>
        <v/>
      </c>
      <c r="R35" s="997">
        <f t="shared" si="119"/>
        <v>0</v>
      </c>
      <c r="S35" s="1006">
        <f>IF(input_engine_rx!$Z$21&gt;A34,VLOOKUP(A35,input_engine_rx!$Z$23:$AD$35,4,FALSE),0)</f>
        <v>0</v>
      </c>
      <c r="T35" s="2442">
        <f t="shared" ca="1" si="120"/>
        <v>0</v>
      </c>
      <c r="U35" s="997" t="b">
        <f t="shared" si="121"/>
        <v>0</v>
      </c>
      <c r="V35" s="997" t="b">
        <f>advanced!$M$24="y"</f>
        <v>0</v>
      </c>
      <c r="W35" s="997">
        <f>data!$D$35</f>
        <v>15000</v>
      </c>
      <c r="X35" s="997" t="b">
        <f t="shared" si="24"/>
        <v>0</v>
      </c>
      <c r="Y35" s="997">
        <f t="shared" si="122"/>
        <v>0</v>
      </c>
      <c r="Z35" s="997">
        <f t="shared" si="101"/>
        <v>0</v>
      </c>
      <c r="AA35" s="1002">
        <f>data!$G$55</f>
        <v>75000</v>
      </c>
      <c r="AB35" s="1002">
        <f>data!$F$55</f>
        <v>0.02</v>
      </c>
      <c r="AC35" s="997">
        <f t="shared" si="123"/>
        <v>0</v>
      </c>
      <c r="AD35" s="997">
        <f>IF(B35="",0,(IF($AE$1=authorities!$I$1,0,IF(L35&gt;AE35,VLOOKUP($AD$1,authorities!A:H,C35+1,FALSE),0)))*L35/$CK$4*H35)</f>
        <v>0</v>
      </c>
      <c r="AE35" s="997">
        <f>IF($AE$1=authorities!$I$1,0,$AE$1)</f>
        <v>0</v>
      </c>
      <c r="AF35" s="1002">
        <f>IF(input_engine_rx!$Z$21&gt;A34,VLOOKUP(A35,input_engine_rx!$Z$23:$AD$35,5,FALSE),0)</f>
        <v>0</v>
      </c>
      <c r="AG35" s="1002">
        <f>data!$C$45</f>
        <v>2900</v>
      </c>
      <c r="AH35" s="1007">
        <f t="shared" si="102"/>
        <v>1</v>
      </c>
      <c r="AI35" s="997">
        <f t="shared" si="124"/>
        <v>0</v>
      </c>
      <c r="AJ35" s="997" t="b">
        <f t="shared" ca="1" si="125"/>
        <v>0</v>
      </c>
      <c r="AK35" s="997"/>
      <c r="AL35" s="997">
        <f t="shared" ca="1" si="126"/>
        <v>0</v>
      </c>
      <c r="AM35" s="997"/>
      <c r="AN35" s="997"/>
      <c r="AO35" s="1002">
        <f t="shared" si="103"/>
        <v>0</v>
      </c>
      <c r="AP35" s="1002">
        <f ca="1">SUM($AO$3:AO35)</f>
        <v>3</v>
      </c>
      <c r="AQ35" s="1002">
        <f t="shared" si="127"/>
        <v>365</v>
      </c>
      <c r="AR35" s="997">
        <f t="shared" ca="1" si="31"/>
        <v>0</v>
      </c>
      <c r="AS35" s="5"/>
      <c r="AT35" s="997">
        <f t="shared" ca="1" si="128"/>
        <v>0</v>
      </c>
      <c r="AU35" s="997" t="b">
        <f t="shared" ca="1" si="104"/>
        <v>1</v>
      </c>
      <c r="AV35" s="997" t="b">
        <f t="shared" si="9"/>
        <v>0</v>
      </c>
      <c r="AW35" s="997" t="b">
        <f t="shared" si="105"/>
        <v>0</v>
      </c>
      <c r="AX35" s="997">
        <f t="shared" ca="1" si="129"/>
        <v>0</v>
      </c>
      <c r="AY35" s="997">
        <f ca="1">AR35/reliefs!$F$7*AX35*-1</f>
        <v>0</v>
      </c>
      <c r="AZ35" s="1002">
        <f t="shared" ca="1" si="130"/>
        <v>0</v>
      </c>
      <c r="BA35" s="2370"/>
      <c r="BB35" s="997"/>
      <c r="BC35" s="997"/>
      <c r="BD35" s="997"/>
      <c r="BE35" s="997"/>
      <c r="BF35" s="1002"/>
      <c r="BG35" s="997">
        <f t="shared" ca="1" si="131"/>
        <v>0</v>
      </c>
      <c r="BH35" s="997">
        <f t="shared" si="138"/>
        <v>15000</v>
      </c>
      <c r="BI35" s="1001">
        <f t="shared" si="138"/>
        <v>0</v>
      </c>
      <c r="BJ35" s="997">
        <f t="shared" si="138"/>
        <v>5000000</v>
      </c>
      <c r="BK35" s="997">
        <f t="shared" si="138"/>
        <v>0.499</v>
      </c>
      <c r="BL35" s="997" t="b">
        <f t="shared" si="138"/>
        <v>1</v>
      </c>
      <c r="BM35" s="997" t="b">
        <f t="shared" si="138"/>
        <v>0</v>
      </c>
      <c r="BN35" s="997">
        <f t="shared" si="138"/>
        <v>1200</v>
      </c>
      <c r="BO35" s="997">
        <f t="shared" ca="1" si="106"/>
        <v>0</v>
      </c>
      <c r="BP35" s="997"/>
      <c r="BQ35" s="997"/>
      <c r="BR35" s="997">
        <f t="shared" si="87"/>
        <v>1800</v>
      </c>
      <c r="BS35" s="997"/>
      <c r="BT35" s="997" t="b">
        <f t="shared" ca="1" si="132"/>
        <v>0</v>
      </c>
      <c r="BU35" s="997" t="b">
        <f t="shared" si="139"/>
        <v>1</v>
      </c>
      <c r="BV35" s="997" t="b">
        <f t="shared" si="133"/>
        <v>0</v>
      </c>
      <c r="BW35" s="997" t="b">
        <f t="shared" ca="1" si="134"/>
        <v>0</v>
      </c>
      <c r="BX35" s="997" t="b">
        <f t="shared" ca="1" si="91"/>
        <v>0</v>
      </c>
      <c r="BY35" s="997">
        <f t="shared" ca="1" si="107"/>
        <v>1800</v>
      </c>
      <c r="BZ35" s="997">
        <f t="shared" si="108"/>
        <v>365</v>
      </c>
      <c r="CA35" s="997">
        <f t="shared" si="135"/>
        <v>0</v>
      </c>
      <c r="CB35" s="997">
        <f t="shared" ca="1" si="136"/>
        <v>0</v>
      </c>
      <c r="CC35" s="997">
        <f t="shared" ca="1" si="109"/>
        <v>0</v>
      </c>
      <c r="CD35" s="997"/>
      <c r="CE35" s="1002" t="b">
        <f t="shared" si="50"/>
        <v>0</v>
      </c>
      <c r="CF35" s="5"/>
      <c r="CG35" s="5"/>
    </row>
    <row r="36" spans="1:85" customFormat="1" x14ac:dyDescent="0.35">
      <c r="A36" s="997">
        <f t="shared" si="110"/>
        <v>7</v>
      </c>
      <c r="B36" s="1003" t="str">
        <f>IF(input_engine_rx!$Z$21&gt;A35,VLOOKUP(A36,input_engine_rx!$Z$23:$AD$35,2,FALSE),"")</f>
        <v/>
      </c>
      <c r="C36" s="997" t="str">
        <f t="shared" si="111"/>
        <v/>
      </c>
      <c r="D36" s="1003">
        <f t="shared" si="112"/>
        <v>46112</v>
      </c>
      <c r="E36" s="1002" t="str">
        <f ca="1">IF(B36="",E35,VLOOKUP(B36,input_engine_rx!$B$23:$F$35,5,FALSE))</f>
        <v>nn</v>
      </c>
      <c r="F36" s="1003" t="str">
        <f t="shared" si="113"/>
        <v/>
      </c>
      <c r="G36" s="1003" t="str">
        <f t="shared" si="114"/>
        <v/>
      </c>
      <c r="H36" s="1002">
        <f t="shared" si="115"/>
        <v>0</v>
      </c>
      <c r="I36" s="997">
        <f t="shared" ca="1" si="97"/>
        <v>0</v>
      </c>
      <c r="J36" s="997">
        <f t="shared" ca="1" si="98"/>
        <v>0</v>
      </c>
      <c r="K36" s="997">
        <f t="shared" ca="1" si="99"/>
        <v>0</v>
      </c>
      <c r="L36" s="997" t="str">
        <f>IF(input_engine_rx!$Z$21&gt;A35,VLOOKUP(A36,input_engine_rx!$Z$23:$AD$36,3,FALSE),"")</f>
        <v/>
      </c>
      <c r="M36" s="1002" t="str">
        <f t="shared" ca="1" si="116"/>
        <v>up</v>
      </c>
      <c r="N36" s="1002" t="str">
        <f t="shared" si="137"/>
        <v/>
      </c>
      <c r="O36" s="1002" t="str">
        <f t="shared" si="100"/>
        <v/>
      </c>
      <c r="P36" s="1032">
        <f t="shared" si="117"/>
        <v>0.499</v>
      </c>
      <c r="Q36" s="997" t="str">
        <f t="shared" ca="1" si="118"/>
        <v/>
      </c>
      <c r="R36" s="997">
        <f t="shared" si="119"/>
        <v>0</v>
      </c>
      <c r="S36" s="1006">
        <f>IF(input_engine_rx!$Z$21&gt;A35,VLOOKUP(A36,input_engine_rx!$Z$23:$AD$35,4,FALSE),0)</f>
        <v>0</v>
      </c>
      <c r="T36" s="2442">
        <f t="shared" ca="1" si="120"/>
        <v>0</v>
      </c>
      <c r="U36" s="997" t="b">
        <f t="shared" si="121"/>
        <v>0</v>
      </c>
      <c r="V36" s="997" t="b">
        <f>advanced!$M$24="y"</f>
        <v>0</v>
      </c>
      <c r="W36" s="997">
        <f>data!$D$35</f>
        <v>15000</v>
      </c>
      <c r="X36" s="997" t="b">
        <f t="shared" si="24"/>
        <v>0</v>
      </c>
      <c r="Y36" s="997">
        <f t="shared" si="122"/>
        <v>0</v>
      </c>
      <c r="Z36" s="997">
        <f t="shared" si="101"/>
        <v>0</v>
      </c>
      <c r="AA36" s="1002">
        <f>data!$G$55</f>
        <v>75000</v>
      </c>
      <c r="AB36" s="1002">
        <f>data!$F$55</f>
        <v>0.02</v>
      </c>
      <c r="AC36" s="997">
        <f t="shared" si="123"/>
        <v>0</v>
      </c>
      <c r="AD36" s="997">
        <f>IF(B36="",0,(IF($AE$1=authorities!$I$1,0,IF(L36&gt;AE36,VLOOKUP($AD$1,authorities!A:H,C36+1,FALSE),0)))*L36/$CK$4*H36)</f>
        <v>0</v>
      </c>
      <c r="AE36" s="997">
        <f>IF($AE$1=authorities!$I$1,0,$AE$1)</f>
        <v>0</v>
      </c>
      <c r="AF36" s="1002">
        <f>IF(input_engine_rx!$Z$21&gt;A35,VLOOKUP(A36,input_engine_rx!$Z$23:$AD$35,5,FALSE),0)</f>
        <v>0</v>
      </c>
      <c r="AG36" s="1002">
        <f>data!$C$45</f>
        <v>2900</v>
      </c>
      <c r="AH36" s="1007">
        <f t="shared" si="102"/>
        <v>1</v>
      </c>
      <c r="AI36" s="997">
        <f t="shared" si="124"/>
        <v>0</v>
      </c>
      <c r="AJ36" s="997" t="b">
        <f t="shared" ca="1" si="125"/>
        <v>0</v>
      </c>
      <c r="AK36" s="997"/>
      <c r="AL36" s="997">
        <f t="shared" ca="1" si="126"/>
        <v>0</v>
      </c>
      <c r="AM36" s="997"/>
      <c r="AN36" s="997"/>
      <c r="AO36" s="1002">
        <f t="shared" si="103"/>
        <v>0</v>
      </c>
      <c r="AP36" s="1002">
        <f ca="1">SUM($AO$3:AO36)</f>
        <v>3</v>
      </c>
      <c r="AQ36" s="1002">
        <f t="shared" si="127"/>
        <v>365</v>
      </c>
      <c r="AR36" s="997">
        <f t="shared" ca="1" si="31"/>
        <v>0</v>
      </c>
      <c r="AS36" s="5"/>
      <c r="AT36" s="997">
        <f t="shared" ca="1" si="128"/>
        <v>0</v>
      </c>
      <c r="AU36" s="997" t="b">
        <f t="shared" ca="1" si="104"/>
        <v>1</v>
      </c>
      <c r="AV36" s="997" t="b">
        <f t="shared" si="9"/>
        <v>0</v>
      </c>
      <c r="AW36" s="997" t="b">
        <f t="shared" si="105"/>
        <v>0</v>
      </c>
      <c r="AX36" s="997">
        <f t="shared" ca="1" si="129"/>
        <v>0</v>
      </c>
      <c r="AY36" s="997">
        <f ca="1">AR36/reliefs!$F$7*AX36*-1</f>
        <v>0</v>
      </c>
      <c r="AZ36" s="1002">
        <f t="shared" ca="1" si="130"/>
        <v>0</v>
      </c>
      <c r="BA36" s="2370"/>
      <c r="BB36" s="997"/>
      <c r="BC36" s="997"/>
      <c r="BD36" s="997"/>
      <c r="BE36" s="997"/>
      <c r="BF36" s="1002"/>
      <c r="BG36" s="997">
        <f t="shared" ca="1" si="131"/>
        <v>0</v>
      </c>
      <c r="BH36" s="997">
        <f t="shared" si="138"/>
        <v>15000</v>
      </c>
      <c r="BI36" s="1001">
        <f t="shared" si="138"/>
        <v>0</v>
      </c>
      <c r="BJ36" s="997">
        <f t="shared" si="138"/>
        <v>5000000</v>
      </c>
      <c r="BK36" s="997">
        <f t="shared" si="138"/>
        <v>0.499</v>
      </c>
      <c r="BL36" s="997" t="b">
        <f t="shared" si="138"/>
        <v>1</v>
      </c>
      <c r="BM36" s="997" t="b">
        <f t="shared" si="138"/>
        <v>0</v>
      </c>
      <c r="BN36" s="997">
        <f t="shared" si="138"/>
        <v>1200</v>
      </c>
      <c r="BO36" s="997">
        <f t="shared" ca="1" si="106"/>
        <v>0</v>
      </c>
      <c r="BP36" s="997"/>
      <c r="BQ36" s="997"/>
      <c r="BR36" s="997">
        <f t="shared" si="87"/>
        <v>1800</v>
      </c>
      <c r="BS36" s="997"/>
      <c r="BT36" s="997" t="b">
        <f t="shared" ca="1" si="132"/>
        <v>0</v>
      </c>
      <c r="BU36" s="997" t="b">
        <f t="shared" si="139"/>
        <v>1</v>
      </c>
      <c r="BV36" s="997" t="b">
        <f t="shared" si="133"/>
        <v>0</v>
      </c>
      <c r="BW36" s="997" t="b">
        <f t="shared" ca="1" si="134"/>
        <v>0</v>
      </c>
      <c r="BX36" s="997" t="b">
        <f t="shared" ca="1" si="91"/>
        <v>0</v>
      </c>
      <c r="BY36" s="997">
        <f t="shared" ca="1" si="107"/>
        <v>1800</v>
      </c>
      <c r="BZ36" s="997">
        <f t="shared" si="108"/>
        <v>365</v>
      </c>
      <c r="CA36" s="997">
        <f t="shared" si="135"/>
        <v>0</v>
      </c>
      <c r="CB36" s="997">
        <f t="shared" ca="1" si="136"/>
        <v>0</v>
      </c>
      <c r="CC36" s="997">
        <f t="shared" ca="1" si="109"/>
        <v>0</v>
      </c>
      <c r="CD36" s="997"/>
      <c r="CE36" s="1002" t="b">
        <f t="shared" si="50"/>
        <v>0</v>
      </c>
      <c r="CF36" s="5"/>
      <c r="CG36" s="5"/>
    </row>
    <row r="37" spans="1:85" customFormat="1" x14ac:dyDescent="0.35">
      <c r="A37" s="997">
        <f t="shared" si="110"/>
        <v>8</v>
      </c>
      <c r="B37" s="1003" t="str">
        <f>IF(input_engine_rx!$Z$21&gt;A36,VLOOKUP(A37,input_engine_rx!$Z$23:$AD$35,2,FALSE),"")</f>
        <v/>
      </c>
      <c r="C37" s="997" t="str">
        <f t="shared" si="111"/>
        <v/>
      </c>
      <c r="D37" s="1003">
        <f t="shared" si="112"/>
        <v>46112</v>
      </c>
      <c r="E37" s="1002" t="str">
        <f ca="1">IF(B37="",E36,VLOOKUP(B37,input_engine_rx!$B$23:$F$35,5,FALSE))</f>
        <v>nn</v>
      </c>
      <c r="F37" s="1003" t="str">
        <f t="shared" si="113"/>
        <v/>
      </c>
      <c r="G37" s="1003" t="str">
        <f t="shared" si="114"/>
        <v/>
      </c>
      <c r="H37" s="1002">
        <f t="shared" si="115"/>
        <v>0</v>
      </c>
      <c r="I37" s="997">
        <f t="shared" ca="1" si="97"/>
        <v>0</v>
      </c>
      <c r="J37" s="997">
        <f t="shared" ca="1" si="98"/>
        <v>0</v>
      </c>
      <c r="K37" s="997">
        <f t="shared" ca="1" si="99"/>
        <v>0</v>
      </c>
      <c r="L37" s="997" t="str">
        <f>IF(input_engine_rx!$Z$21&gt;A36,VLOOKUP(A37,input_engine_rx!$Z$23:$AD$36,3,FALSE),"")</f>
        <v/>
      </c>
      <c r="M37" s="1002" t="str">
        <f t="shared" ca="1" si="116"/>
        <v>up</v>
      </c>
      <c r="N37" s="1002" t="str">
        <f t="shared" si="137"/>
        <v/>
      </c>
      <c r="O37" s="1002" t="str">
        <f t="shared" si="100"/>
        <v/>
      </c>
      <c r="P37" s="1032">
        <f t="shared" si="117"/>
        <v>0.499</v>
      </c>
      <c r="Q37" s="997" t="str">
        <f t="shared" ca="1" si="118"/>
        <v/>
      </c>
      <c r="R37" s="997">
        <f t="shared" si="119"/>
        <v>0</v>
      </c>
      <c r="S37" s="1006">
        <f>IF(input_engine_rx!$Z$21&gt;A36,VLOOKUP(A37,input_engine_rx!$Z$23:$AD$35,4,FALSE),0)</f>
        <v>0</v>
      </c>
      <c r="T37" s="2442">
        <f t="shared" ca="1" si="120"/>
        <v>0</v>
      </c>
      <c r="U37" s="997" t="b">
        <f t="shared" si="121"/>
        <v>0</v>
      </c>
      <c r="V37" s="997" t="b">
        <f>advanced!$M$24="y"</f>
        <v>0</v>
      </c>
      <c r="W37" s="997">
        <f>data!$D$35</f>
        <v>15000</v>
      </c>
      <c r="X37" s="997" t="b">
        <f t="shared" si="24"/>
        <v>0</v>
      </c>
      <c r="Y37" s="997">
        <f t="shared" si="122"/>
        <v>0</v>
      </c>
      <c r="Z37" s="997">
        <f t="shared" si="101"/>
        <v>0</v>
      </c>
      <c r="AA37" s="1002">
        <f>data!$G$55</f>
        <v>75000</v>
      </c>
      <c r="AB37" s="1002">
        <f>data!$F$55</f>
        <v>0.02</v>
      </c>
      <c r="AC37" s="997">
        <f t="shared" si="123"/>
        <v>0</v>
      </c>
      <c r="AD37" s="997">
        <f>IF(B37="",0,(IF($AE$1=authorities!$I$1,0,IF(L37&gt;AE37,VLOOKUP($AD$1,authorities!A:H,C37+1,FALSE),0)))*L37/$CK$4*H37)</f>
        <v>0</v>
      </c>
      <c r="AE37" s="997">
        <f>IF($AE$1=authorities!$I$1,0,$AE$1)</f>
        <v>0</v>
      </c>
      <c r="AF37" s="1002">
        <f>IF(input_engine_rx!$Z$21&gt;A36,VLOOKUP(A37,input_engine_rx!$Z$23:$AD$35,5,FALSE),0)</f>
        <v>0</v>
      </c>
      <c r="AG37" s="1002">
        <f>data!$C$45</f>
        <v>2900</v>
      </c>
      <c r="AH37" s="1007">
        <f t="shared" si="102"/>
        <v>1</v>
      </c>
      <c r="AI37" s="997">
        <f t="shared" si="124"/>
        <v>0</v>
      </c>
      <c r="AJ37" s="997" t="b">
        <f t="shared" ca="1" si="125"/>
        <v>0</v>
      </c>
      <c r="AK37" s="997"/>
      <c r="AL37" s="997">
        <f t="shared" ca="1" si="126"/>
        <v>0</v>
      </c>
      <c r="AM37" s="997"/>
      <c r="AN37" s="997"/>
      <c r="AO37" s="1002">
        <f t="shared" si="103"/>
        <v>0</v>
      </c>
      <c r="AP37" s="1002">
        <f ca="1">SUM($AO$3:AO37)</f>
        <v>3</v>
      </c>
      <c r="AQ37" s="1002">
        <f t="shared" si="127"/>
        <v>365</v>
      </c>
      <c r="AR37" s="997">
        <f t="shared" ca="1" si="31"/>
        <v>0</v>
      </c>
      <c r="AS37" s="5"/>
      <c r="AT37" s="997">
        <f t="shared" ca="1" si="128"/>
        <v>0</v>
      </c>
      <c r="AU37" s="997" t="b">
        <f t="shared" ca="1" si="104"/>
        <v>1</v>
      </c>
      <c r="AV37" s="997" t="b">
        <f t="shared" si="9"/>
        <v>0</v>
      </c>
      <c r="AW37" s="997" t="b">
        <f t="shared" si="105"/>
        <v>0</v>
      </c>
      <c r="AX37" s="997">
        <f t="shared" ca="1" si="129"/>
        <v>0</v>
      </c>
      <c r="AY37" s="997">
        <f ca="1">AR37/reliefs!$F$7*AX37*-1</f>
        <v>0</v>
      </c>
      <c r="AZ37" s="1002">
        <f t="shared" ca="1" si="130"/>
        <v>0</v>
      </c>
      <c r="BA37" s="2370"/>
      <c r="BB37" s="997"/>
      <c r="BC37" s="997"/>
      <c r="BD37" s="997"/>
      <c r="BE37" s="997"/>
      <c r="BF37" s="1002"/>
      <c r="BG37" s="997">
        <f t="shared" ca="1" si="131"/>
        <v>0</v>
      </c>
      <c r="BH37" s="997">
        <f t="shared" si="138"/>
        <v>15000</v>
      </c>
      <c r="BI37" s="1001">
        <f t="shared" si="138"/>
        <v>0</v>
      </c>
      <c r="BJ37" s="997">
        <f t="shared" si="138"/>
        <v>5000000</v>
      </c>
      <c r="BK37" s="997">
        <f t="shared" si="138"/>
        <v>0.499</v>
      </c>
      <c r="BL37" s="997" t="b">
        <f t="shared" si="138"/>
        <v>1</v>
      </c>
      <c r="BM37" s="997" t="b">
        <f t="shared" si="138"/>
        <v>0</v>
      </c>
      <c r="BN37" s="997">
        <f t="shared" si="138"/>
        <v>1200</v>
      </c>
      <c r="BO37" s="997">
        <f t="shared" ca="1" si="106"/>
        <v>0</v>
      </c>
      <c r="BP37" s="997"/>
      <c r="BQ37" s="997"/>
      <c r="BR37" s="997">
        <f t="shared" si="87"/>
        <v>1800</v>
      </c>
      <c r="BS37" s="997"/>
      <c r="BT37" s="997" t="b">
        <f t="shared" ca="1" si="132"/>
        <v>0</v>
      </c>
      <c r="BU37" s="997" t="b">
        <f t="shared" si="139"/>
        <v>1</v>
      </c>
      <c r="BV37" s="997" t="b">
        <f t="shared" si="133"/>
        <v>0</v>
      </c>
      <c r="BW37" s="997" t="b">
        <f t="shared" ca="1" si="134"/>
        <v>0</v>
      </c>
      <c r="BX37" s="997" t="b">
        <f t="shared" ca="1" si="91"/>
        <v>0</v>
      </c>
      <c r="BY37" s="997">
        <f t="shared" ca="1" si="107"/>
        <v>1800</v>
      </c>
      <c r="BZ37" s="997">
        <f t="shared" si="108"/>
        <v>365</v>
      </c>
      <c r="CA37" s="997">
        <f t="shared" si="135"/>
        <v>0</v>
      </c>
      <c r="CB37" s="997">
        <f t="shared" ca="1" si="136"/>
        <v>0</v>
      </c>
      <c r="CC37" s="997">
        <f t="shared" ca="1" si="109"/>
        <v>0</v>
      </c>
      <c r="CD37" s="997"/>
      <c r="CE37" s="1002" t="b">
        <f t="shared" si="50"/>
        <v>0</v>
      </c>
      <c r="CF37" s="5"/>
      <c r="CG37" s="5"/>
    </row>
    <row r="38" spans="1:85" customFormat="1" x14ac:dyDescent="0.35">
      <c r="A38" s="997">
        <f t="shared" si="110"/>
        <v>9</v>
      </c>
      <c r="B38" s="1003" t="str">
        <f>IF(input_engine_rx!$Z$21&gt;A37,VLOOKUP(A38,input_engine_rx!$Z$23:$AD$35,2,FALSE),"")</f>
        <v/>
      </c>
      <c r="C38" s="997" t="str">
        <f t="shared" si="111"/>
        <v/>
      </c>
      <c r="D38" s="1003">
        <f t="shared" si="112"/>
        <v>46112</v>
      </c>
      <c r="E38" s="1002" t="str">
        <f ca="1">IF(B38="",E37,VLOOKUP(B38,input_engine_rx!$B$23:$F$35,5,FALSE))</f>
        <v>nn</v>
      </c>
      <c r="F38" s="1003" t="str">
        <f t="shared" si="113"/>
        <v/>
      </c>
      <c r="G38" s="1003" t="str">
        <f t="shared" si="114"/>
        <v/>
      </c>
      <c r="H38" s="1002">
        <f t="shared" si="115"/>
        <v>0</v>
      </c>
      <c r="I38" s="997">
        <f t="shared" ca="1" si="97"/>
        <v>0</v>
      </c>
      <c r="J38" s="997">
        <f t="shared" ca="1" si="98"/>
        <v>0</v>
      </c>
      <c r="K38" s="997">
        <f t="shared" ca="1" si="99"/>
        <v>0</v>
      </c>
      <c r="L38" s="997" t="str">
        <f>IF(input_engine_rx!$Z$21&gt;A37,VLOOKUP(A38,input_engine_rx!$Z$23:$AD$36,3,FALSE),"")</f>
        <v/>
      </c>
      <c r="M38" s="1002" t="str">
        <f t="shared" ca="1" si="116"/>
        <v>up</v>
      </c>
      <c r="N38" s="1002" t="str">
        <f t="shared" si="137"/>
        <v/>
      </c>
      <c r="O38" s="1002" t="str">
        <f t="shared" si="100"/>
        <v/>
      </c>
      <c r="P38" s="1032">
        <f t="shared" si="117"/>
        <v>0.499</v>
      </c>
      <c r="Q38" s="997" t="str">
        <f t="shared" ca="1" si="118"/>
        <v/>
      </c>
      <c r="R38" s="997">
        <f t="shared" si="119"/>
        <v>0</v>
      </c>
      <c r="S38" s="1006">
        <f>IF(input_engine_rx!$Z$21&gt;A37,VLOOKUP(A38,input_engine_rx!$Z$23:$AD$35,4,FALSE),0)</f>
        <v>0</v>
      </c>
      <c r="T38" s="2442">
        <f t="shared" ca="1" si="120"/>
        <v>0</v>
      </c>
      <c r="U38" s="997" t="b">
        <f t="shared" si="121"/>
        <v>0</v>
      </c>
      <c r="V38" s="997" t="b">
        <f>advanced!$M$24="y"</f>
        <v>0</v>
      </c>
      <c r="W38" s="997">
        <f>data!$D$35</f>
        <v>15000</v>
      </c>
      <c r="X38" s="997" t="b">
        <f t="shared" si="24"/>
        <v>0</v>
      </c>
      <c r="Y38" s="997">
        <f t="shared" si="122"/>
        <v>0</v>
      </c>
      <c r="Z38" s="997">
        <f t="shared" si="101"/>
        <v>0</v>
      </c>
      <c r="AA38" s="1002">
        <f>data!$G$55</f>
        <v>75000</v>
      </c>
      <c r="AB38" s="1002">
        <f>data!$F$55</f>
        <v>0.02</v>
      </c>
      <c r="AC38" s="997">
        <f t="shared" si="123"/>
        <v>0</v>
      </c>
      <c r="AD38" s="997">
        <f>IF(B38="",0,(IF($AE$1=authorities!$I$1,0,IF(L38&gt;AE38,VLOOKUP($AD$1,authorities!A:H,C38+1,FALSE),0)))*L38/$CK$4*H38)</f>
        <v>0</v>
      </c>
      <c r="AE38" s="997">
        <f>IF($AE$1=authorities!$I$1,0,$AE$1)</f>
        <v>0</v>
      </c>
      <c r="AF38" s="1002">
        <f>IF(input_engine_rx!$Z$21&gt;A37,VLOOKUP(A38,input_engine_rx!$Z$23:$AD$35,5,FALSE),0)</f>
        <v>0</v>
      </c>
      <c r="AG38" s="1002">
        <f>data!$C$45</f>
        <v>2900</v>
      </c>
      <c r="AH38" s="1007">
        <f t="shared" si="102"/>
        <v>1</v>
      </c>
      <c r="AI38" s="997">
        <f t="shared" si="124"/>
        <v>0</v>
      </c>
      <c r="AJ38" s="997" t="b">
        <f t="shared" ca="1" si="125"/>
        <v>0</v>
      </c>
      <c r="AK38" s="997"/>
      <c r="AL38" s="997">
        <f t="shared" ca="1" si="126"/>
        <v>0</v>
      </c>
      <c r="AM38" s="997"/>
      <c r="AN38" s="997"/>
      <c r="AO38" s="1002">
        <f t="shared" si="103"/>
        <v>0</v>
      </c>
      <c r="AP38" s="1002">
        <f ca="1">SUM($AO$3:AO38)</f>
        <v>3</v>
      </c>
      <c r="AQ38" s="1002">
        <f t="shared" si="127"/>
        <v>365</v>
      </c>
      <c r="AR38" s="997">
        <f t="shared" ca="1" si="31"/>
        <v>0</v>
      </c>
      <c r="AS38" s="5"/>
      <c r="AT38" s="997">
        <f t="shared" ca="1" si="128"/>
        <v>0</v>
      </c>
      <c r="AU38" s="997" t="b">
        <f t="shared" ca="1" si="104"/>
        <v>1</v>
      </c>
      <c r="AV38" s="997" t="b">
        <f t="shared" si="9"/>
        <v>0</v>
      </c>
      <c r="AW38" s="997" t="b">
        <f t="shared" si="105"/>
        <v>0</v>
      </c>
      <c r="AX38" s="997">
        <f t="shared" ca="1" si="129"/>
        <v>0</v>
      </c>
      <c r="AY38" s="997">
        <f ca="1">AR38/reliefs!$F$7*AX38*-1</f>
        <v>0</v>
      </c>
      <c r="AZ38" s="1002">
        <f t="shared" ca="1" si="130"/>
        <v>0</v>
      </c>
      <c r="BA38" s="2370"/>
      <c r="BB38" s="997"/>
      <c r="BC38" s="997"/>
      <c r="BD38" s="997"/>
      <c r="BE38" s="997"/>
      <c r="BF38" s="1002"/>
      <c r="BG38" s="997">
        <f t="shared" ca="1" si="131"/>
        <v>0</v>
      </c>
      <c r="BH38" s="997">
        <f t="shared" si="138"/>
        <v>15000</v>
      </c>
      <c r="BI38" s="1001">
        <f t="shared" si="138"/>
        <v>0</v>
      </c>
      <c r="BJ38" s="997">
        <f t="shared" si="138"/>
        <v>5000000</v>
      </c>
      <c r="BK38" s="997">
        <f t="shared" si="138"/>
        <v>0.499</v>
      </c>
      <c r="BL38" s="997" t="b">
        <f t="shared" si="138"/>
        <v>1</v>
      </c>
      <c r="BM38" s="997" t="b">
        <f t="shared" si="138"/>
        <v>0</v>
      </c>
      <c r="BN38" s="997">
        <f t="shared" si="138"/>
        <v>1200</v>
      </c>
      <c r="BO38" s="997">
        <f t="shared" ca="1" si="106"/>
        <v>0</v>
      </c>
      <c r="BP38" s="997"/>
      <c r="BQ38" s="997"/>
      <c r="BR38" s="997">
        <f t="shared" si="87"/>
        <v>1800</v>
      </c>
      <c r="BS38" s="997"/>
      <c r="BT38" s="997" t="b">
        <f t="shared" ca="1" si="132"/>
        <v>0</v>
      </c>
      <c r="BU38" s="997" t="b">
        <f t="shared" si="139"/>
        <v>1</v>
      </c>
      <c r="BV38" s="997" t="b">
        <f t="shared" si="133"/>
        <v>0</v>
      </c>
      <c r="BW38" s="997" t="b">
        <f t="shared" ca="1" si="134"/>
        <v>0</v>
      </c>
      <c r="BX38" s="997" t="b">
        <f t="shared" ca="1" si="91"/>
        <v>0</v>
      </c>
      <c r="BY38" s="997">
        <f t="shared" ca="1" si="107"/>
        <v>1800</v>
      </c>
      <c r="BZ38" s="997">
        <f t="shared" si="108"/>
        <v>365</v>
      </c>
      <c r="CA38" s="997">
        <f t="shared" si="135"/>
        <v>0</v>
      </c>
      <c r="CB38" s="997">
        <f t="shared" ca="1" si="136"/>
        <v>0</v>
      </c>
      <c r="CC38" s="997">
        <f t="shared" ca="1" si="109"/>
        <v>0</v>
      </c>
      <c r="CD38" s="997"/>
      <c r="CE38" s="1002" t="b">
        <f t="shared" si="50"/>
        <v>0</v>
      </c>
      <c r="CF38" s="5"/>
      <c r="CG38" s="5"/>
    </row>
    <row r="39" spans="1:85" customFormat="1" x14ac:dyDescent="0.35">
      <c r="A39" s="997">
        <f t="shared" si="110"/>
        <v>10</v>
      </c>
      <c r="B39" s="1003" t="str">
        <f>IF(input_engine_rx!$Z$21&gt;A38,VLOOKUP(A39,input_engine_rx!$Z$23:$AD$35,2,FALSE),"")</f>
        <v/>
      </c>
      <c r="C39" s="997" t="str">
        <f t="shared" si="111"/>
        <v/>
      </c>
      <c r="D39" s="1003">
        <f t="shared" si="112"/>
        <v>46112</v>
      </c>
      <c r="E39" s="1002" t="str">
        <f ca="1">IF(B39="",E38,VLOOKUP(B39,input_engine_rx!$B$23:$F$35,5,FALSE))</f>
        <v>nn</v>
      </c>
      <c r="F39" s="1003" t="str">
        <f t="shared" si="113"/>
        <v/>
      </c>
      <c r="G39" s="1003" t="str">
        <f t="shared" si="114"/>
        <v/>
      </c>
      <c r="H39" s="1002">
        <f t="shared" si="115"/>
        <v>0</v>
      </c>
      <c r="I39" s="997">
        <f t="shared" ca="1" si="97"/>
        <v>0</v>
      </c>
      <c r="J39" s="997">
        <f t="shared" ca="1" si="98"/>
        <v>0</v>
      </c>
      <c r="K39" s="997">
        <f t="shared" ca="1" si="99"/>
        <v>0</v>
      </c>
      <c r="L39" s="997" t="str">
        <f>IF(input_engine_rx!$Z$21&gt;A38,VLOOKUP(A39,input_engine_rx!$Z$23:$AD$36,3,FALSE),"")</f>
        <v/>
      </c>
      <c r="M39" s="1002" t="str">
        <f t="shared" ca="1" si="116"/>
        <v>up</v>
      </c>
      <c r="N39" s="1002" t="str">
        <f t="shared" si="137"/>
        <v/>
      </c>
      <c r="O39" s="1002" t="str">
        <f t="shared" si="100"/>
        <v/>
      </c>
      <c r="P39" s="1032">
        <f t="shared" si="117"/>
        <v>0.499</v>
      </c>
      <c r="Q39" s="997" t="str">
        <f t="shared" ca="1" si="118"/>
        <v/>
      </c>
      <c r="R39" s="997">
        <f t="shared" si="119"/>
        <v>0</v>
      </c>
      <c r="S39" s="1006">
        <f>IF(input_engine_rx!$Z$21&gt;A38,VLOOKUP(A39,input_engine_rx!$Z$23:$AD$35,4,FALSE),0)</f>
        <v>0</v>
      </c>
      <c r="T39" s="2442">
        <f t="shared" ca="1" si="120"/>
        <v>0</v>
      </c>
      <c r="U39" s="997" t="b">
        <f t="shared" si="121"/>
        <v>0</v>
      </c>
      <c r="V39" s="997" t="b">
        <f>advanced!$M$24="y"</f>
        <v>0</v>
      </c>
      <c r="W39" s="997">
        <f>data!$D$35</f>
        <v>15000</v>
      </c>
      <c r="X39" s="997" t="b">
        <f t="shared" si="24"/>
        <v>0</v>
      </c>
      <c r="Y39" s="997">
        <f t="shared" si="122"/>
        <v>0</v>
      </c>
      <c r="Z39" s="997">
        <f t="shared" si="101"/>
        <v>0</v>
      </c>
      <c r="AA39" s="1002">
        <f>data!$G$55</f>
        <v>75000</v>
      </c>
      <c r="AB39" s="1002">
        <f>data!$F$55</f>
        <v>0.02</v>
      </c>
      <c r="AC39" s="997">
        <f t="shared" si="123"/>
        <v>0</v>
      </c>
      <c r="AD39" s="997">
        <f>IF(B39="",0,(IF($AE$1=authorities!$I$1,0,IF(L39&gt;AE39,VLOOKUP($AD$1,authorities!A:H,C39+1,FALSE),0)))*L39/$CK$4*H39)</f>
        <v>0</v>
      </c>
      <c r="AE39" s="997">
        <f>IF($AE$1=authorities!$I$1,0,$AE$1)</f>
        <v>0</v>
      </c>
      <c r="AF39" s="1002">
        <f>IF(input_engine_rx!$Z$21&gt;A38,VLOOKUP(A39,input_engine_rx!$Z$23:$AD$35,5,FALSE),0)</f>
        <v>0</v>
      </c>
      <c r="AG39" s="1002">
        <f>data!$C$45</f>
        <v>2900</v>
      </c>
      <c r="AH39" s="1007">
        <f t="shared" si="102"/>
        <v>1</v>
      </c>
      <c r="AI39" s="997">
        <f t="shared" si="124"/>
        <v>0</v>
      </c>
      <c r="AJ39" s="997" t="b">
        <f t="shared" ca="1" si="125"/>
        <v>0</v>
      </c>
      <c r="AK39" s="997"/>
      <c r="AL39" s="997">
        <f t="shared" ca="1" si="126"/>
        <v>0</v>
      </c>
      <c r="AM39" s="997"/>
      <c r="AN39" s="997"/>
      <c r="AO39" s="1002">
        <f t="shared" si="103"/>
        <v>0</v>
      </c>
      <c r="AP39" s="1002">
        <f ca="1">SUM($AO$3:AO39)</f>
        <v>3</v>
      </c>
      <c r="AQ39" s="1002">
        <f t="shared" si="127"/>
        <v>365</v>
      </c>
      <c r="AR39" s="997">
        <f t="shared" ca="1" si="31"/>
        <v>0</v>
      </c>
      <c r="AS39" s="5"/>
      <c r="AT39" s="997">
        <f t="shared" ca="1" si="128"/>
        <v>0</v>
      </c>
      <c r="AU39" s="997" t="b">
        <f t="shared" ca="1" si="104"/>
        <v>1</v>
      </c>
      <c r="AV39" s="997" t="b">
        <f t="shared" si="9"/>
        <v>0</v>
      </c>
      <c r="AW39" s="997" t="b">
        <f t="shared" si="105"/>
        <v>0</v>
      </c>
      <c r="AX39" s="997">
        <f t="shared" ca="1" si="129"/>
        <v>0</v>
      </c>
      <c r="AY39" s="997">
        <f ca="1">AR39/reliefs!$F$7*AX39*-1</f>
        <v>0</v>
      </c>
      <c r="AZ39" s="1002">
        <f t="shared" ca="1" si="130"/>
        <v>0</v>
      </c>
      <c r="BA39" s="2370"/>
      <c r="BB39" s="997"/>
      <c r="BC39" s="997"/>
      <c r="BD39" s="997"/>
      <c r="BE39" s="997"/>
      <c r="BF39" s="1002"/>
      <c r="BG39" s="997">
        <f t="shared" ca="1" si="131"/>
        <v>0</v>
      </c>
      <c r="BH39" s="997">
        <f t="shared" si="138"/>
        <v>15000</v>
      </c>
      <c r="BI39" s="1001">
        <f t="shared" si="138"/>
        <v>0</v>
      </c>
      <c r="BJ39" s="997">
        <f t="shared" si="138"/>
        <v>5000000</v>
      </c>
      <c r="BK39" s="997">
        <f t="shared" si="138"/>
        <v>0.499</v>
      </c>
      <c r="BL39" s="997" t="b">
        <f t="shared" si="138"/>
        <v>1</v>
      </c>
      <c r="BM39" s="997" t="b">
        <f t="shared" si="138"/>
        <v>0</v>
      </c>
      <c r="BN39" s="997">
        <f t="shared" si="138"/>
        <v>1200</v>
      </c>
      <c r="BO39" s="997">
        <f t="shared" ca="1" si="106"/>
        <v>0</v>
      </c>
      <c r="BP39" s="997"/>
      <c r="BQ39" s="997"/>
      <c r="BR39" s="997">
        <f t="shared" si="87"/>
        <v>1800</v>
      </c>
      <c r="BS39" s="997"/>
      <c r="BT39" s="997" t="b">
        <f t="shared" ca="1" si="132"/>
        <v>0</v>
      </c>
      <c r="BU39" s="997" t="b">
        <f t="shared" si="139"/>
        <v>1</v>
      </c>
      <c r="BV39" s="997" t="b">
        <f t="shared" si="133"/>
        <v>0</v>
      </c>
      <c r="BW39" s="997" t="b">
        <f t="shared" ca="1" si="134"/>
        <v>0</v>
      </c>
      <c r="BX39" s="997" t="b">
        <f t="shared" ca="1" si="91"/>
        <v>0</v>
      </c>
      <c r="BY39" s="997">
        <f t="shared" ca="1" si="107"/>
        <v>1800</v>
      </c>
      <c r="BZ39" s="997">
        <f t="shared" si="108"/>
        <v>365</v>
      </c>
      <c r="CA39" s="997">
        <f t="shared" si="135"/>
        <v>0</v>
      </c>
      <c r="CB39" s="997">
        <f t="shared" ca="1" si="136"/>
        <v>0</v>
      </c>
      <c r="CC39" s="997">
        <f t="shared" ca="1" si="109"/>
        <v>0</v>
      </c>
      <c r="CD39" s="997"/>
      <c r="CE39" s="1002" t="b">
        <f t="shared" si="50"/>
        <v>0</v>
      </c>
      <c r="CF39" s="5"/>
      <c r="CG39" s="5"/>
    </row>
    <row r="40" spans="1:85" customFormat="1" x14ac:dyDescent="0.35">
      <c r="A40" s="997">
        <f t="shared" si="110"/>
        <v>11</v>
      </c>
      <c r="B40" s="1003" t="str">
        <f>IF(input_engine_rx!$Z$21&gt;A39,VLOOKUP(A40,input_engine_rx!$Z$23:$AD$35,2,FALSE),"")</f>
        <v/>
      </c>
      <c r="C40" s="997" t="str">
        <f t="shared" si="111"/>
        <v/>
      </c>
      <c r="D40" s="1003">
        <f t="shared" si="112"/>
        <v>46112</v>
      </c>
      <c r="E40" s="1002" t="str">
        <f ca="1">IF(B40="",E39,VLOOKUP(B40,input_engine_rx!$B$23:$F$35,5,FALSE))</f>
        <v>nn</v>
      </c>
      <c r="F40" s="1003" t="str">
        <f t="shared" si="113"/>
        <v/>
      </c>
      <c r="G40" s="1003" t="str">
        <f>IF(B40="","",IF(#REF!=C40,#REF!-1,D40))</f>
        <v/>
      </c>
      <c r="H40" s="1002">
        <f t="shared" si="115"/>
        <v>0</v>
      </c>
      <c r="I40" s="997">
        <f t="shared" ca="1" si="97"/>
        <v>0</v>
      </c>
      <c r="J40" s="997">
        <f t="shared" ca="1" si="98"/>
        <v>0</v>
      </c>
      <c r="K40" s="997">
        <f t="shared" ca="1" si="99"/>
        <v>0</v>
      </c>
      <c r="L40" s="997" t="str">
        <f>IF(input_engine_rx!$Z$21&gt;A39,VLOOKUP(A40,input_engine_rx!$Z$23:$AD$36,3,FALSE),"")</f>
        <v/>
      </c>
      <c r="M40" s="1002" t="str">
        <f t="shared" ca="1" si="116"/>
        <v>up</v>
      </c>
      <c r="N40" s="1002" t="str">
        <f t="shared" si="137"/>
        <v/>
      </c>
      <c r="O40" s="1002" t="str">
        <f t="shared" si="100"/>
        <v/>
      </c>
      <c r="P40" s="1032">
        <f t="shared" si="117"/>
        <v>0.499</v>
      </c>
      <c r="Q40" s="997" t="str">
        <f t="shared" ca="1" si="118"/>
        <v/>
      </c>
      <c r="R40" s="997">
        <f t="shared" si="119"/>
        <v>0</v>
      </c>
      <c r="S40" s="1006">
        <f>IF(input_engine_rx!$Z$21&gt;A39,VLOOKUP(A40,input_engine_rx!$Z$23:$AD$35,4,FALSE),0)</f>
        <v>0</v>
      </c>
      <c r="T40" s="2442">
        <f t="shared" ca="1" si="120"/>
        <v>0</v>
      </c>
      <c r="U40" s="997" t="b">
        <f t="shared" si="121"/>
        <v>0</v>
      </c>
      <c r="V40" s="997" t="b">
        <f>advanced!$M$24="y"</f>
        <v>0</v>
      </c>
      <c r="W40" s="997">
        <f>data!$D$35</f>
        <v>15000</v>
      </c>
      <c r="X40" s="997" t="b">
        <f t="shared" si="24"/>
        <v>0</v>
      </c>
      <c r="Y40" s="997">
        <f t="shared" si="122"/>
        <v>0</v>
      </c>
      <c r="Z40" s="997">
        <f t="shared" si="101"/>
        <v>0</v>
      </c>
      <c r="AA40" s="1002">
        <f>data!$G$55</f>
        <v>75000</v>
      </c>
      <c r="AB40" s="1002">
        <f>data!$F$55</f>
        <v>0.02</v>
      </c>
      <c r="AC40" s="997">
        <f t="shared" si="123"/>
        <v>0</v>
      </c>
      <c r="AD40" s="997">
        <f>IF(B40="",0,(IF($AE$1=authorities!$I$1,0,IF(L40&gt;AE40,VLOOKUP($AD$1,authorities!A:H,C40+1,FALSE),0)))*L40/$CK$4*H40)</f>
        <v>0</v>
      </c>
      <c r="AE40" s="997">
        <f>IF($AE$1=authorities!$I$1,0,$AE$1)</f>
        <v>0</v>
      </c>
      <c r="AF40" s="1002">
        <f>IF(input_engine_rx!$Z$21&gt;A39,VLOOKUP(A40,input_engine_rx!$Z$23:$AD$35,5,FALSE),0)</f>
        <v>0</v>
      </c>
      <c r="AG40" s="1002">
        <f>data!$C$45</f>
        <v>2900</v>
      </c>
      <c r="AH40" s="1007">
        <f t="shared" si="102"/>
        <v>1</v>
      </c>
      <c r="AI40" s="997">
        <f t="shared" si="124"/>
        <v>0</v>
      </c>
      <c r="AJ40" s="997" t="b">
        <f t="shared" ca="1" si="125"/>
        <v>0</v>
      </c>
      <c r="AK40" s="997"/>
      <c r="AL40" s="997">
        <f t="shared" ca="1" si="126"/>
        <v>0</v>
      </c>
      <c r="AM40" s="997"/>
      <c r="AN40" s="997"/>
      <c r="AO40" s="1002">
        <f t="shared" si="103"/>
        <v>0</v>
      </c>
      <c r="AP40" s="1002">
        <f ca="1">SUM($AO$3:AO40)</f>
        <v>3</v>
      </c>
      <c r="AQ40" s="1002">
        <f t="shared" si="127"/>
        <v>365</v>
      </c>
      <c r="AR40" s="997">
        <f t="shared" ca="1" si="31"/>
        <v>0</v>
      </c>
      <c r="AS40" s="5"/>
      <c r="AT40" s="997">
        <f t="shared" ca="1" si="128"/>
        <v>0</v>
      </c>
      <c r="AU40" s="997" t="b">
        <f t="shared" ca="1" si="104"/>
        <v>1</v>
      </c>
      <c r="AV40" s="997" t="b">
        <f t="shared" si="9"/>
        <v>0</v>
      </c>
      <c r="AW40" s="997" t="b">
        <f t="shared" si="105"/>
        <v>0</v>
      </c>
      <c r="AX40" s="997">
        <f t="shared" ca="1" si="129"/>
        <v>0</v>
      </c>
      <c r="AY40" s="997">
        <f ca="1">AR40/reliefs!$F$7*AX40*-1</f>
        <v>0</v>
      </c>
      <c r="AZ40" s="1002">
        <f t="shared" ca="1" si="130"/>
        <v>0</v>
      </c>
      <c r="BA40" s="2372" t="s">
        <v>2905</v>
      </c>
      <c r="BB40" s="1000" t="s">
        <v>2903</v>
      </c>
      <c r="BC40" s="997"/>
      <c r="BD40" s="1000" t="s">
        <v>2904</v>
      </c>
      <c r="BE40" s="997"/>
      <c r="BF40" s="1002"/>
      <c r="BG40" s="997">
        <f t="shared" ca="1" si="131"/>
        <v>0</v>
      </c>
      <c r="BH40" s="997">
        <f t="shared" si="138"/>
        <v>15000</v>
      </c>
      <c r="BI40" s="1001">
        <f t="shared" si="138"/>
        <v>0</v>
      </c>
      <c r="BJ40" s="997">
        <f t="shared" si="138"/>
        <v>5000000</v>
      </c>
      <c r="BK40" s="997">
        <f t="shared" si="138"/>
        <v>0.499</v>
      </c>
      <c r="BL40" s="997" t="b">
        <f t="shared" si="138"/>
        <v>1</v>
      </c>
      <c r="BM40" s="997" t="b">
        <f t="shared" si="138"/>
        <v>0</v>
      </c>
      <c r="BN40" s="997">
        <f t="shared" si="138"/>
        <v>1200</v>
      </c>
      <c r="BO40" s="997">
        <f t="shared" ca="1" si="106"/>
        <v>0</v>
      </c>
      <c r="BP40" s="997"/>
      <c r="BQ40" s="997"/>
      <c r="BR40" s="997">
        <f t="shared" si="87"/>
        <v>1800</v>
      </c>
      <c r="BS40" s="997"/>
      <c r="BT40" s="997" t="b">
        <f t="shared" ca="1" si="132"/>
        <v>0</v>
      </c>
      <c r="BU40" s="997" t="b">
        <f t="shared" si="139"/>
        <v>1</v>
      </c>
      <c r="BV40" s="997" t="b">
        <f t="shared" si="133"/>
        <v>0</v>
      </c>
      <c r="BW40" s="997" t="b">
        <f t="shared" ca="1" si="134"/>
        <v>0</v>
      </c>
      <c r="BX40" s="997" t="b">
        <f t="shared" ca="1" si="91"/>
        <v>0</v>
      </c>
      <c r="BY40" s="997">
        <f t="shared" ca="1" si="107"/>
        <v>1800</v>
      </c>
      <c r="BZ40" s="997">
        <f t="shared" si="108"/>
        <v>365</v>
      </c>
      <c r="CA40" s="997">
        <f t="shared" si="135"/>
        <v>0</v>
      </c>
      <c r="CB40" s="997">
        <f t="shared" ca="1" si="136"/>
        <v>0</v>
      </c>
      <c r="CC40" s="997">
        <f t="shared" ca="1" si="109"/>
        <v>0</v>
      </c>
      <c r="CD40" s="997"/>
      <c r="CE40" s="1002" t="b">
        <f t="shared" si="50"/>
        <v>0</v>
      </c>
      <c r="CF40" s="5"/>
      <c r="CG40" s="5"/>
    </row>
    <row r="41" spans="1:85" customFormat="1" x14ac:dyDescent="0.35">
      <c r="P41" s="1042"/>
      <c r="T41" s="2445">
        <f ca="1">ROUND(SUM(T29:T40),2)</f>
        <v>0</v>
      </c>
      <c r="U41" s="1008">
        <f ca="1">U29+U30+U31+U32+U33+U34+U35+U36+U37+U38+U39+U40</f>
        <v>0</v>
      </c>
      <c r="AI41" s="1009">
        <f ca="1">SUM(AI29:AI40)</f>
        <v>1</v>
      </c>
      <c r="AJ41" s="1002">
        <f ca="1">AJ40+AJ39+AJ38+AJ37+AJ36+AJ35+AJ34+AJ33+AJ32+AJ31+AJ30+AJ29</f>
        <v>0</v>
      </c>
      <c r="AK41" s="997" t="str">
        <f ca="1">IF(AJ41=12,"Phased",IF(AJ41=0,"True","***"))</f>
        <v>True</v>
      </c>
      <c r="AL41" s="1002">
        <f ca="1">SUM(AL29:AL40)</f>
        <v>0</v>
      </c>
      <c r="AM41" s="1010">
        <f ca="1">IF(AL41&lt;1,AL41,INT(AL41))</f>
        <v>0</v>
      </c>
      <c r="AN41" s="1010" t="str">
        <f ca="1">IF(AL41-AM41&lt;&gt;0,"N/J + T",IF(AND(0&lt;AL41,AL41&lt;1),"P + T",IF(AL41&gt;=1,"N/J","")))</f>
        <v/>
      </c>
      <c r="AO41" s="5"/>
      <c r="AP41" s="1002">
        <f ca="1">SUM($AO$3:AO41)</f>
        <v>3</v>
      </c>
      <c r="AQ41" s="5"/>
      <c r="AR41" s="5"/>
      <c r="AS41" s="5"/>
      <c r="AT41" s="5"/>
      <c r="AU41" s="5"/>
      <c r="AV41" s="5"/>
      <c r="AW41" s="5"/>
      <c r="AX41" s="5"/>
      <c r="AY41" s="2371">
        <f ca="1">IF(SUM(AY29:AY40)&lt;BA41,BA41,SUM(AY29:AY40))</f>
        <v>0</v>
      </c>
      <c r="AZ41" s="5"/>
      <c r="BA41" s="2371">
        <f ca="1">MIN(BB41,BD41)*-1</f>
        <v>-110000</v>
      </c>
      <c r="BB41" s="15">
        <f ca="1">BC41-(AY28*-1)-(AY15*-1)</f>
        <v>315000</v>
      </c>
      <c r="BC41" s="15">
        <f>reliefs!F16</f>
        <v>315000</v>
      </c>
      <c r="BD41" s="15">
        <f>reliefs!F15</f>
        <v>110000</v>
      </c>
      <c r="BE41" s="5"/>
      <c r="BF41" s="5"/>
      <c r="BG41" s="1002">
        <f ca="1">SUM(BG29:BG40)+0.0000001</f>
        <v>9.9999999999999995E-8</v>
      </c>
      <c r="BH41" s="997"/>
      <c r="BI41" s="1001"/>
      <c r="BJ41" s="5"/>
      <c r="BK41" s="5"/>
      <c r="BL41" s="5"/>
      <c r="BM41" s="5"/>
      <c r="BN41" s="5"/>
      <c r="BO41" s="5"/>
      <c r="BP41" s="5"/>
      <c r="BQ41" s="5"/>
      <c r="BR41" s="997"/>
      <c r="BS41" s="5"/>
      <c r="BT41" s="997"/>
      <c r="BU41" s="997"/>
      <c r="BV41" s="997"/>
      <c r="BW41" s="997" t="b">
        <f ca="1">AND(BW40=TRUE,BV41=TRUE)</f>
        <v>0</v>
      </c>
      <c r="BX41" s="997" t="b">
        <f t="shared" ca="1" si="91"/>
        <v>0</v>
      </c>
      <c r="BY41" s="5"/>
      <c r="BZ41" s="5"/>
      <c r="CA41" s="5"/>
      <c r="CB41" s="5"/>
      <c r="CC41" s="5"/>
      <c r="CD41" s="5"/>
      <c r="CE41" s="1002" t="b">
        <f t="shared" si="50"/>
        <v>0</v>
      </c>
      <c r="CF41" s="5"/>
      <c r="CG41" s="5"/>
    </row>
    <row r="42" spans="1:85" s="2396" customFormat="1" x14ac:dyDescent="0.35">
      <c r="A42" s="2388">
        <v>0</v>
      </c>
      <c r="B42" s="2389">
        <f>CH5</f>
        <v>46113</v>
      </c>
      <c r="C42" s="2388">
        <f>IF(OR(B42=0,B42=""),"",4)</f>
        <v>4</v>
      </c>
      <c r="D42" s="2389">
        <f>$CJ$5</f>
        <v>46477</v>
      </c>
      <c r="E42" s="2390" t="str">
        <f ca="1">IF(B42=B43,E43,OFFSET(E28,AI41,0))</f>
        <v>nn</v>
      </c>
      <c r="F42" s="2389">
        <f>B42</f>
        <v>46113</v>
      </c>
      <c r="G42" s="2389">
        <f>IF(B42="","",IF(C43=C42,F43-1,D42))</f>
        <v>46112</v>
      </c>
      <c r="H42" s="2390">
        <f>IF(B42&lt;&gt;"",G42-F42+1,0)</f>
        <v>0</v>
      </c>
      <c r="I42" s="2388">
        <f t="shared" ref="I42:I53" ca="1" si="140">IF(AP42&gt;0,K42*P42,HLOOKUP(E42,$CM$1:$CP$9,1+$C$42,FALSE))</f>
        <v>0</v>
      </c>
      <c r="J42" s="2388">
        <f t="shared" ref="J42:J53" ca="1" si="141">I42/$CK$5</f>
        <v>0</v>
      </c>
      <c r="K42" s="2388">
        <f t="shared" ref="K42:K53" ca="1" si="142">HLOOKUP(E42,$CM$1:$CP$10,10,FALSE)</f>
        <v>0</v>
      </c>
      <c r="L42" s="2388" t="str">
        <f ca="1">IF(B42=B43,L43,OFFSET(L28,AI41,0))</f>
        <v/>
      </c>
      <c r="M42" s="2390" t="str">
        <f ca="1">IF(L42&lt;K42,"down","up")</f>
        <v>up</v>
      </c>
      <c r="N42" s="2390">
        <f ca="1">IF(OR(B42="",K42=0),0,IF(M42="down",J42*L42/K42*H42,0))</f>
        <v>0</v>
      </c>
      <c r="O42" s="2390" t="e">
        <f t="shared" ref="O42:O53" ca="1" si="143">IF(B42="","",IF(M42="up",((J42*H42)+((L42-K42)*P42/$CK$5*H42)),0))</f>
        <v>#VALUE!</v>
      </c>
      <c r="P42" s="2391">
        <f>$CL$5</f>
        <v>0.51900000000000002</v>
      </c>
      <c r="Q42" s="2388" t="e">
        <f ca="1">IF(M42="down",N42,O42)</f>
        <v>#VALUE!</v>
      </c>
      <c r="R42" s="2388" t="e">
        <f ca="1">IF(B42="",0,IF(U42=TRUE,(Q42/AH42)+AC42+(AD42/AH42),(Q42)+Y42+Z42+AC42+AD42))</f>
        <v>#VALUE!</v>
      </c>
      <c r="S42" s="2392">
        <f ca="1">IF(B42=B43,S43,OFFSET(S28,AI41,0))</f>
        <v>1</v>
      </c>
      <c r="T42" s="2442" t="e">
        <f t="shared" ref="T42:T53" ca="1" si="144">$CV$1*IF(AND(AF42="y",L42&lt;AG42),0,R42*S42)+AY42+CD42</f>
        <v>#VALUE!</v>
      </c>
      <c r="U42" s="2388" t="b">
        <f ca="1">AND(V42=TRUE,L42&lt;=W42,AF42="n",X42=FALSE)</f>
        <v>0</v>
      </c>
      <c r="V42" s="2388" t="b">
        <f>advanced!$M$25="y"</f>
        <v>0</v>
      </c>
      <c r="W42" s="2388">
        <f>data!$D$36</f>
        <v>15000</v>
      </c>
      <c r="X42" s="2388" t="b">
        <f t="shared" si="24"/>
        <v>0</v>
      </c>
      <c r="Y42" s="2388" t="e">
        <f ca="1">IF(B42="",0,IF(OR(L42&lt;$CV$5,U42=TRUE),0,L42*$CS$5/$CK$5*H42))</f>
        <v>#VALUE!</v>
      </c>
      <c r="Z42" s="2388">
        <f t="shared" ref="Z42:Z53" ca="1" si="145">IF(B42="",0,IF(AND($Z$2=TRUE,L42&gt;AA42),L42*AB42*H42/AQ42,0))</f>
        <v>0</v>
      </c>
      <c r="AA42" s="2390">
        <f>data!$G$56</f>
        <v>75000</v>
      </c>
      <c r="AB42" s="2390">
        <f>data!$F$56</f>
        <v>0.02</v>
      </c>
      <c r="AC42" s="2388" t="e">
        <f ca="1">IF(B42="",0,L42*($CQ$5-IF(L42&lt;$CV$5,CW$5,0))/$CK$5*H42)*$AC$2/IF(U42=TRUE,AH42,1)</f>
        <v>#VALUE!</v>
      </c>
      <c r="AD42" s="2388" t="e">
        <f ca="1">IF(B42="",0,(IF($AE$1=authorities!$I$1,0,IF(L42&gt;AE42,VLOOKUP($AD$1,authorities!A:H,C42+1,FALSE),0)))*L42/$CK$5*H42)</f>
        <v>#VALUE!</v>
      </c>
      <c r="AE42" s="2388">
        <f>IF($AE$1=authorities!$I$1,0,$AE$1)</f>
        <v>0</v>
      </c>
      <c r="AF42" s="2392" t="str">
        <f ca="1">IF(B42=B43,AF43,OFFSET(AF28,AI41,0))</f>
        <v>n</v>
      </c>
      <c r="AG42" s="2390">
        <f>data!$C$46</f>
        <v>2900</v>
      </c>
      <c r="AH42" s="2393">
        <f ca="1">IF(L42&lt;=$CT$5,5000000,IF(L42&gt;$CU$5,1,IF(MID((($CU$5-$CT$5)/(L42-$CT$5)),6,1)="5",ROUND((($CU$5-$CT$5)/(L42-$CT$5))-0.0001,3),ROUND(($CU$5-$CT$5)/(L42-$CT$5),3))))</f>
        <v>1</v>
      </c>
      <c r="AI42" s="2388">
        <f ca="1">IF(L42&lt;&gt;"",1,0)</f>
        <v>0</v>
      </c>
      <c r="AJ42" s="2388" t="b">
        <f ca="1">IF(AP42&gt;0,FALSE,HLOOKUP(E42,$CM$1:$CP$17,$AJ$1+4,FALSE))</f>
        <v>0</v>
      </c>
      <c r="AK42" s="2388"/>
      <c r="AL42" s="2388">
        <f ca="1">IF(OR(H42=0,F42="",K42=L42,AJ42=FALSE),0,IF(L42&lt;K42,1,0.01))</f>
        <v>0</v>
      </c>
      <c r="AM42" s="2388"/>
      <c r="AN42" s="2388"/>
      <c r="AO42" s="2390">
        <f t="shared" ref="AO42:AO53" ca="1" si="146">IF(L42=0,1,0)</f>
        <v>0</v>
      </c>
      <c r="AP42" s="2390">
        <f ca="1">SUM($AO$3:AO42)</f>
        <v>3</v>
      </c>
      <c r="AQ42" s="2390">
        <f t="shared" ref="AQ42:AQ53" si="147">$CK$5</f>
        <v>365</v>
      </c>
      <c r="AR42" s="2388" t="e">
        <f t="shared" ref="AR42:AR53" ca="1" si="148">$CV$1*IF(AND(AF42="y",L42&lt;AG42),0,R42*S42)</f>
        <v>#VALUE!</v>
      </c>
      <c r="AS42" s="2390"/>
      <c r="AT42" s="2388" t="str">
        <f ca="1">L42</f>
        <v/>
      </c>
      <c r="AU42" s="2388" t="b">
        <f t="shared" ref="AU42:AU53" ca="1" si="149">AT42&lt;$AU$1</f>
        <v>0</v>
      </c>
      <c r="AV42" s="2388" t="b">
        <f t="shared" si="9"/>
        <v>0</v>
      </c>
      <c r="AW42" s="2388" t="b">
        <f t="shared" ref="AW42:AW53" ca="1" si="150">AF42="n"</f>
        <v>1</v>
      </c>
      <c r="AX42" s="2388">
        <f ca="1">AU42*AV42*AW42*IF(S42=0,0,1)</f>
        <v>0</v>
      </c>
      <c r="AY42" s="2388" t="e">
        <f ca="1">AR42/reliefs!$G$7*AX42*-1</f>
        <v>#VALUE!</v>
      </c>
      <c r="AZ42" s="2390"/>
      <c r="BA42" s="2397"/>
      <c r="BB42" s="2388"/>
      <c r="BC42" s="2388"/>
      <c r="BD42" s="2388"/>
      <c r="BE42" s="2388"/>
      <c r="BF42" s="2390"/>
      <c r="BG42" s="2388"/>
      <c r="BH42" s="2388"/>
      <c r="BI42" s="2388"/>
      <c r="BJ42" s="2388"/>
      <c r="BK42" s="2388"/>
      <c r="BL42" s="2388"/>
      <c r="BM42" s="2388"/>
      <c r="BN42" s="2388"/>
      <c r="BO42" s="2388"/>
      <c r="BP42" s="2388"/>
      <c r="BQ42" s="2388"/>
      <c r="BR42" s="2388"/>
      <c r="BS42" s="2388"/>
      <c r="BT42" s="2388"/>
      <c r="BU42" s="2388"/>
      <c r="BV42" s="2388"/>
      <c r="BW42" s="2388"/>
      <c r="BX42" s="2388"/>
      <c r="BY42" s="2388"/>
      <c r="BZ42" s="2388"/>
      <c r="CA42" s="2388"/>
      <c r="CB42" s="2388"/>
      <c r="CC42" s="2388"/>
      <c r="CD42" s="2388"/>
      <c r="CE42" s="2395"/>
      <c r="CF42" s="2395"/>
      <c r="CG42" s="2395"/>
    </row>
    <row r="43" spans="1:85" s="2396" customFormat="1" x14ac:dyDescent="0.35">
      <c r="A43" s="2388">
        <f t="shared" ref="A43:A53" si="151">A42+1</f>
        <v>1</v>
      </c>
      <c r="B43" s="2389">
        <f>IF(input_engine_rx!$AE$21&gt;A42,VLOOKUP(A43,input_engine_rx!$AE$23:$AI$35,2,FALSE),"")</f>
        <v>46113</v>
      </c>
      <c r="C43" s="2388">
        <f t="shared" ref="C43:C53" si="152">IF(OR(B43=0,B43=""),"",4)</f>
        <v>4</v>
      </c>
      <c r="D43" s="2389">
        <f t="shared" ref="D43:D53" si="153">$CJ$5</f>
        <v>46477</v>
      </c>
      <c r="E43" s="2390" t="str">
        <f>IF(B43="",E42,VLOOKUP(B43,input_engine_rx!$B$23:$F$35,5,FALSE))</f>
        <v>nn</v>
      </c>
      <c r="F43" s="2389">
        <f t="shared" ref="F43:F53" si="154">B43</f>
        <v>46113</v>
      </c>
      <c r="G43" s="2389">
        <f t="shared" ref="G43:G52" si="155">IF(B43="","",IF(C44=C43,F44-1,D43))</f>
        <v>46112</v>
      </c>
      <c r="H43" s="2390">
        <f t="shared" ref="H43:H53" si="156">IF(B43&lt;&gt;"",G43-F43+1,0)</f>
        <v>0</v>
      </c>
      <c r="I43" s="2388">
        <f t="shared" ca="1" si="140"/>
        <v>0</v>
      </c>
      <c r="J43" s="2388">
        <f t="shared" ca="1" si="141"/>
        <v>0</v>
      </c>
      <c r="K43" s="2388">
        <f t="shared" si="142"/>
        <v>0</v>
      </c>
      <c r="L43" s="2388" t="str">
        <f>IF(input_engine_rx!$AE$21&gt;A42,VLOOKUP(A43,input_engine_rx!$AE$23:$AI$36,3,FALSE),"")</f>
        <v/>
      </c>
      <c r="M43" s="2390" t="str">
        <f t="shared" ref="M43:M53" si="157">IF(L43&lt;K43,"down","up")</f>
        <v>up</v>
      </c>
      <c r="N43" s="2390">
        <f>IF(B43="","",IF(M43="down",J43*L43/K43*H43,0))</f>
        <v>0</v>
      </c>
      <c r="O43" s="2390" t="e">
        <f t="shared" ca="1" si="143"/>
        <v>#VALUE!</v>
      </c>
      <c r="P43" s="2391">
        <f t="shared" ref="P43:P53" si="158">$CL$5</f>
        <v>0.51900000000000002</v>
      </c>
      <c r="Q43" s="2388" t="e">
        <f t="shared" ref="Q43:Q53" ca="1" si="159">IF(M43="down",N43,O43)</f>
        <v>#VALUE!</v>
      </c>
      <c r="R43" s="2388" t="e">
        <f t="shared" ref="R43:R53" ca="1" si="160">IF(B43="",0,IF(U43=TRUE,(Q43/AH43)+AC43+(AD43/AH43),(Q43)+Y43+Z43+AC43+AD43))</f>
        <v>#VALUE!</v>
      </c>
      <c r="S43" s="2392">
        <f>IF(input_engine_rx!$AE$21&gt;A42,VLOOKUP(A43,input_engine_rx!$AE$23:$AI$35,4,FALSE),0)</f>
        <v>1</v>
      </c>
      <c r="T43" s="2442" t="e">
        <f t="shared" ca="1" si="144"/>
        <v>#VALUE!</v>
      </c>
      <c r="U43" s="2388" t="b">
        <f t="shared" ref="U43:U53" si="161">AND(V43=TRUE,L43&lt;=W43,AF43="n",X43=FALSE)</f>
        <v>0</v>
      </c>
      <c r="V43" s="2388" t="b">
        <f>advanced!$M$25="y"</f>
        <v>0</v>
      </c>
      <c r="W43" s="2388">
        <f>data!$D$36</f>
        <v>15000</v>
      </c>
      <c r="X43" s="2388" t="b">
        <f t="shared" si="24"/>
        <v>0</v>
      </c>
      <c r="Y43" s="2388" t="e">
        <f t="shared" ref="Y43:Y53" si="162">IF(B43="",0,IF(OR(L43&lt;$CV$5,U43=TRUE),0,L43*$CS$5/$CK$5*H43))</f>
        <v>#VALUE!</v>
      </c>
      <c r="Z43" s="2388">
        <f t="shared" si="145"/>
        <v>0</v>
      </c>
      <c r="AA43" s="2390">
        <f>data!$G$56</f>
        <v>75000</v>
      </c>
      <c r="AB43" s="2390">
        <f>data!$F$56</f>
        <v>0.02</v>
      </c>
      <c r="AC43" s="2388" t="e">
        <f t="shared" ref="AC43:AC53" si="163">IF(B43="",0,L43*($CQ$5-IF(L43&lt;$CV$5,CW$5,0))/$CK$5*H43)*$AC$2/IF(U43=TRUE,AH43,1)</f>
        <v>#VALUE!</v>
      </c>
      <c r="AD43" s="2388" t="e">
        <f>IF(B43="",0,(IF($AE$1=authorities!$I$1,0,IF(L43&gt;AE43,VLOOKUP($AD$1,authorities!A:H,C43+1,FALSE),0)))*L43/$CK$5*H43)</f>
        <v>#VALUE!</v>
      </c>
      <c r="AE43" s="2388">
        <f>IF($AE$1=authorities!$I$1,0,$AE$1)</f>
        <v>0</v>
      </c>
      <c r="AF43" s="2390" t="str">
        <f>IF(input_engine_rx!$AE$21&gt;A42,VLOOKUP(A43,input_engine_rx!$AE$23:$AI$35,5,FALSE),0)</f>
        <v>n</v>
      </c>
      <c r="AG43" s="2390">
        <f>data!$C$46</f>
        <v>2900</v>
      </c>
      <c r="AH43" s="2393">
        <f t="shared" ref="AH43:AH53" si="164">IF(L43&lt;=$CT$5,5000000,IF(L43&gt;$CU$5,1,IF(MID((($CU$5-$CT$5)/(L43-$CT$5)),6,1)="5",ROUND((($CU$5-$CT$5)/(L43-$CT$5))-0.0001,3),ROUND(($CU$5-$CT$5)/(L43-$CT$5),3))))</f>
        <v>1</v>
      </c>
      <c r="AI43" s="2388">
        <f t="shared" ref="AI43:AI53" si="165">IF(L43&lt;&gt;"",1,0)</f>
        <v>0</v>
      </c>
      <c r="AJ43" s="2388" t="b">
        <f t="shared" ref="AJ43:AJ53" ca="1" si="166">IF(AP43&gt;0,FALSE,HLOOKUP(E43,$CM$1:$CP$17,$AJ$1+4,FALSE))</f>
        <v>0</v>
      </c>
      <c r="AK43" s="2388"/>
      <c r="AL43" s="2388">
        <f t="shared" ref="AL43:AL53" ca="1" si="167">IF(OR(H43=0,F43="",K43=L43,AJ43=FALSE),0,IF(L43&lt;K43,1,0.01))</f>
        <v>0</v>
      </c>
      <c r="AM43" s="2388"/>
      <c r="AN43" s="2388"/>
      <c r="AO43" s="2390">
        <f t="shared" si="146"/>
        <v>0</v>
      </c>
      <c r="AP43" s="2390">
        <f ca="1">SUM($AO$3:AO43)</f>
        <v>3</v>
      </c>
      <c r="AQ43" s="2390">
        <f t="shared" si="147"/>
        <v>365</v>
      </c>
      <c r="AR43" s="2388" t="e">
        <f t="shared" ca="1" si="148"/>
        <v>#VALUE!</v>
      </c>
      <c r="AS43" s="2390"/>
      <c r="AT43" s="2388" t="str">
        <f t="shared" ref="AT43:AT53" ca="1" si="168">IF(L43="",AT42,L43)</f>
        <v/>
      </c>
      <c r="AU43" s="2388" t="b">
        <f t="shared" ca="1" si="149"/>
        <v>0</v>
      </c>
      <c r="AV43" s="2388" t="b">
        <f t="shared" si="9"/>
        <v>0</v>
      </c>
      <c r="AW43" s="2388" t="b">
        <f t="shared" si="150"/>
        <v>1</v>
      </c>
      <c r="AX43" s="2388">
        <f t="shared" ref="AX43:AX53" ca="1" si="169">0*AU43*AV43*AW43*IF(S43=0,0,1)</f>
        <v>0</v>
      </c>
      <c r="AY43" s="2388" t="e">
        <f ca="1">AR43/reliefs!$G$7*AX43*-1</f>
        <v>#VALUE!</v>
      </c>
      <c r="AZ43" s="2390"/>
      <c r="BA43" s="2397"/>
      <c r="BB43" s="2388"/>
      <c r="BC43" s="2388"/>
      <c r="BD43" s="2388"/>
      <c r="BE43" s="2388"/>
      <c r="BF43" s="2390"/>
      <c r="BG43" s="2388"/>
      <c r="BH43" s="2388"/>
      <c r="BI43" s="2388"/>
      <c r="BJ43" s="2388"/>
      <c r="BK43" s="2388"/>
      <c r="BL43" s="2388"/>
      <c r="BM43" s="2388"/>
      <c r="BN43" s="2388"/>
      <c r="BO43" s="2388"/>
      <c r="BP43" s="2388"/>
      <c r="BQ43" s="2388"/>
      <c r="BR43" s="2388"/>
      <c r="BS43" s="2388"/>
      <c r="BT43" s="2388"/>
      <c r="BU43" s="2388"/>
      <c r="BV43" s="2388"/>
      <c r="BW43" s="2388"/>
      <c r="BX43" s="2388"/>
      <c r="BY43" s="2388"/>
      <c r="BZ43" s="2388"/>
      <c r="CA43" s="2388"/>
      <c r="CB43" s="2388"/>
      <c r="CC43" s="2388"/>
      <c r="CD43" s="2388"/>
      <c r="CE43" s="2395"/>
      <c r="CF43" s="2395"/>
      <c r="CG43" s="2395"/>
    </row>
    <row r="44" spans="1:85" s="2396" customFormat="1" x14ac:dyDescent="0.35">
      <c r="A44" s="2388">
        <f t="shared" si="151"/>
        <v>2</v>
      </c>
      <c r="B44" s="2389">
        <f>IF(input_engine_rx!$AE$21&gt;A43,VLOOKUP(A44,input_engine_rx!$AE$23:$AI$35,2,FALSE),"")</f>
        <v>46113</v>
      </c>
      <c r="C44" s="2388">
        <f t="shared" si="152"/>
        <v>4</v>
      </c>
      <c r="D44" s="2389">
        <f t="shared" si="153"/>
        <v>46477</v>
      </c>
      <c r="E44" s="2390" t="str">
        <f>IF(B44="",E43,VLOOKUP(B44,input_engine_rx!$B$23:$F$35,5,FALSE))</f>
        <v>nn</v>
      </c>
      <c r="F44" s="2389">
        <f t="shared" si="154"/>
        <v>46113</v>
      </c>
      <c r="G44" s="2389">
        <f t="shared" si="155"/>
        <v>46112</v>
      </c>
      <c r="H44" s="2390">
        <f t="shared" si="156"/>
        <v>0</v>
      </c>
      <c r="I44" s="2388">
        <f t="shared" ca="1" si="140"/>
        <v>0</v>
      </c>
      <c r="J44" s="2388">
        <f t="shared" ca="1" si="141"/>
        <v>0</v>
      </c>
      <c r="K44" s="2388">
        <f t="shared" si="142"/>
        <v>0</v>
      </c>
      <c r="L44" s="2388" t="str">
        <f>IF(input_engine_rx!$AE$21&gt;A43,VLOOKUP(A44,input_engine_rx!$AE$23:$AI$36,3,FALSE),"")</f>
        <v/>
      </c>
      <c r="M44" s="2390" t="str">
        <f t="shared" si="157"/>
        <v>up</v>
      </c>
      <c r="N44" s="2390">
        <f t="shared" ref="N44:N53" si="170">IF(B44="","",IF(M44="down",J44*L44/K44*H44,0))</f>
        <v>0</v>
      </c>
      <c r="O44" s="2390" t="e">
        <f t="shared" ca="1" si="143"/>
        <v>#VALUE!</v>
      </c>
      <c r="P44" s="2391">
        <f t="shared" si="158"/>
        <v>0.51900000000000002</v>
      </c>
      <c r="Q44" s="2388" t="e">
        <f t="shared" ca="1" si="159"/>
        <v>#VALUE!</v>
      </c>
      <c r="R44" s="2388" t="e">
        <f t="shared" ca="1" si="160"/>
        <v>#VALUE!</v>
      </c>
      <c r="S44" s="2392">
        <f>IF(input_engine_rx!$AE$21&gt;A43,VLOOKUP(A44,input_engine_rx!$AE$23:$AI$35,4,FALSE),0)</f>
        <v>1</v>
      </c>
      <c r="T44" s="2442" t="e">
        <f t="shared" ca="1" si="144"/>
        <v>#VALUE!</v>
      </c>
      <c r="U44" s="2388" t="b">
        <f t="shared" si="161"/>
        <v>0</v>
      </c>
      <c r="V44" s="2388" t="b">
        <f>advanced!$M$25="y"</f>
        <v>0</v>
      </c>
      <c r="W44" s="2388">
        <f>data!$D$36</f>
        <v>15000</v>
      </c>
      <c r="X44" s="2388" t="b">
        <f t="shared" si="24"/>
        <v>0</v>
      </c>
      <c r="Y44" s="2388" t="e">
        <f t="shared" si="162"/>
        <v>#VALUE!</v>
      </c>
      <c r="Z44" s="2388">
        <f t="shared" si="145"/>
        <v>0</v>
      </c>
      <c r="AA44" s="2390">
        <f>data!$G$56</f>
        <v>75000</v>
      </c>
      <c r="AB44" s="2390">
        <f>data!$F$56</f>
        <v>0.02</v>
      </c>
      <c r="AC44" s="2388" t="e">
        <f t="shared" si="163"/>
        <v>#VALUE!</v>
      </c>
      <c r="AD44" s="2388" t="e">
        <f>IF(B44="",0,(IF($AE$1=authorities!$I$1,0,IF(L44&gt;AE44,VLOOKUP($AD$1,authorities!A:H,C44+1,FALSE),0)))*L44/$CK$5*H44)</f>
        <v>#VALUE!</v>
      </c>
      <c r="AE44" s="2388">
        <f>IF($AE$1=authorities!$I$1,0,$AE$1)</f>
        <v>0</v>
      </c>
      <c r="AF44" s="2390" t="str">
        <f>IF(input_engine_rx!$AE$21&gt;A43,VLOOKUP(A44,input_engine_rx!$AE$23:$AI$35,5,FALSE),0)</f>
        <v>n</v>
      </c>
      <c r="AG44" s="2390">
        <f>data!$C$46</f>
        <v>2900</v>
      </c>
      <c r="AH44" s="2393">
        <f t="shared" si="164"/>
        <v>1</v>
      </c>
      <c r="AI44" s="2388">
        <f t="shared" si="165"/>
        <v>0</v>
      </c>
      <c r="AJ44" s="2388" t="b">
        <f t="shared" ca="1" si="166"/>
        <v>0</v>
      </c>
      <c r="AK44" s="2388"/>
      <c r="AL44" s="2388">
        <f t="shared" ca="1" si="167"/>
        <v>0</v>
      </c>
      <c r="AM44" s="2388"/>
      <c r="AN44" s="2388"/>
      <c r="AO44" s="2390">
        <f t="shared" si="146"/>
        <v>0</v>
      </c>
      <c r="AP44" s="2390">
        <f ca="1">SUM($AO$3:AO44)</f>
        <v>3</v>
      </c>
      <c r="AQ44" s="2390">
        <f t="shared" si="147"/>
        <v>365</v>
      </c>
      <c r="AR44" s="2388" t="e">
        <f t="shared" ca="1" si="148"/>
        <v>#VALUE!</v>
      </c>
      <c r="AS44" s="2390"/>
      <c r="AT44" s="2388" t="str">
        <f t="shared" ca="1" si="168"/>
        <v/>
      </c>
      <c r="AU44" s="2388" t="b">
        <f t="shared" ca="1" si="149"/>
        <v>0</v>
      </c>
      <c r="AV44" s="2388" t="b">
        <f t="shared" si="9"/>
        <v>0</v>
      </c>
      <c r="AW44" s="2388" t="b">
        <f t="shared" si="150"/>
        <v>1</v>
      </c>
      <c r="AX44" s="2388">
        <f t="shared" ca="1" si="169"/>
        <v>0</v>
      </c>
      <c r="AY44" s="2388" t="e">
        <f ca="1">AR44/reliefs!$G$7*AX44*-1</f>
        <v>#VALUE!</v>
      </c>
      <c r="AZ44" s="2390"/>
      <c r="BA44" s="2397"/>
      <c r="BB44" s="2388"/>
      <c r="BC44" s="2388"/>
      <c r="BD44" s="2388"/>
      <c r="BE44" s="2388"/>
      <c r="BF44" s="2390"/>
      <c r="BG44" s="2388"/>
      <c r="BH44" s="2388"/>
      <c r="BI44" s="2388"/>
      <c r="BJ44" s="2388"/>
      <c r="BK44" s="2388"/>
      <c r="BL44" s="2388"/>
      <c r="BM44" s="2388"/>
      <c r="BN44" s="2388"/>
      <c r="BO44" s="2388"/>
      <c r="BP44" s="2388"/>
      <c r="BQ44" s="2388"/>
      <c r="BR44" s="2388"/>
      <c r="BS44" s="2388"/>
      <c r="BT44" s="2388"/>
      <c r="BU44" s="2388"/>
      <c r="BV44" s="2388"/>
      <c r="BW44" s="2388"/>
      <c r="BX44" s="2388"/>
      <c r="BY44" s="2388"/>
      <c r="BZ44" s="2388"/>
      <c r="CA44" s="2388"/>
      <c r="CB44" s="2388"/>
      <c r="CC44" s="2388"/>
      <c r="CD44" s="2388"/>
      <c r="CE44" s="2395"/>
      <c r="CF44" s="2395"/>
      <c r="CG44" s="2395"/>
    </row>
    <row r="45" spans="1:85" s="2396" customFormat="1" x14ac:dyDescent="0.35">
      <c r="A45" s="2388">
        <f t="shared" si="151"/>
        <v>3</v>
      </c>
      <c r="B45" s="2389">
        <f>IF(input_engine_rx!$AE$21&gt;A44,VLOOKUP(A45,input_engine_rx!$AE$23:$AI$35,2,FALSE),"")</f>
        <v>46113</v>
      </c>
      <c r="C45" s="2388">
        <f t="shared" si="152"/>
        <v>4</v>
      </c>
      <c r="D45" s="2389">
        <f t="shared" si="153"/>
        <v>46477</v>
      </c>
      <c r="E45" s="2390" t="str">
        <f>IF(B45="",E44,VLOOKUP(B45,input_engine_rx!$B$23:$F$35,5,FALSE))</f>
        <v>nn</v>
      </c>
      <c r="F45" s="2389">
        <f t="shared" si="154"/>
        <v>46113</v>
      </c>
      <c r="G45" s="2389">
        <f t="shared" si="155"/>
        <v>46112</v>
      </c>
      <c r="H45" s="2390">
        <f t="shared" si="156"/>
        <v>0</v>
      </c>
      <c r="I45" s="2388">
        <f t="shared" ca="1" si="140"/>
        <v>0</v>
      </c>
      <c r="J45" s="2388">
        <f t="shared" ca="1" si="141"/>
        <v>0</v>
      </c>
      <c r="K45" s="2388">
        <f t="shared" si="142"/>
        <v>0</v>
      </c>
      <c r="L45" s="2388" t="str">
        <f>IF(input_engine_rx!$AE$21&gt;A44,VLOOKUP(A45,input_engine_rx!$AE$23:$AI$36,3,FALSE),"")</f>
        <v/>
      </c>
      <c r="M45" s="2390" t="str">
        <f t="shared" si="157"/>
        <v>up</v>
      </c>
      <c r="N45" s="2390">
        <f t="shared" si="170"/>
        <v>0</v>
      </c>
      <c r="O45" s="2390" t="e">
        <f t="shared" ca="1" si="143"/>
        <v>#VALUE!</v>
      </c>
      <c r="P45" s="2391">
        <f t="shared" si="158"/>
        <v>0.51900000000000002</v>
      </c>
      <c r="Q45" s="2388" t="e">
        <f t="shared" ca="1" si="159"/>
        <v>#VALUE!</v>
      </c>
      <c r="R45" s="2388" t="e">
        <f t="shared" ca="1" si="160"/>
        <v>#VALUE!</v>
      </c>
      <c r="S45" s="2392">
        <f>IF(input_engine_rx!$AE$21&gt;A44,VLOOKUP(A45,input_engine_rx!$AE$23:$AI$35,4,FALSE),0)</f>
        <v>1</v>
      </c>
      <c r="T45" s="2442" t="e">
        <f t="shared" ca="1" si="144"/>
        <v>#VALUE!</v>
      </c>
      <c r="U45" s="2388" t="b">
        <f t="shared" si="161"/>
        <v>0</v>
      </c>
      <c r="V45" s="2388" t="b">
        <f>advanced!$M$25="y"</f>
        <v>0</v>
      </c>
      <c r="W45" s="2388">
        <f>data!$D$36</f>
        <v>15000</v>
      </c>
      <c r="X45" s="2388" t="b">
        <f t="shared" si="24"/>
        <v>0</v>
      </c>
      <c r="Y45" s="2388" t="e">
        <f t="shared" si="162"/>
        <v>#VALUE!</v>
      </c>
      <c r="Z45" s="2388">
        <f t="shared" si="145"/>
        <v>0</v>
      </c>
      <c r="AA45" s="2390">
        <f>data!$G$56</f>
        <v>75000</v>
      </c>
      <c r="AB45" s="2390">
        <f>data!$F$56</f>
        <v>0.02</v>
      </c>
      <c r="AC45" s="2388" t="e">
        <f t="shared" si="163"/>
        <v>#VALUE!</v>
      </c>
      <c r="AD45" s="2388" t="e">
        <f>IF(B45="",0,(IF($AE$1=authorities!$I$1,0,IF(L45&gt;AE45,VLOOKUP($AD$1,authorities!A:H,C45+1,FALSE),0)))*L45/$CK$5*H45)</f>
        <v>#VALUE!</v>
      </c>
      <c r="AE45" s="2388">
        <f>IF($AE$1=authorities!$I$1,0,$AE$1)</f>
        <v>0</v>
      </c>
      <c r="AF45" s="2390" t="str">
        <f>IF(input_engine_rx!$AE$21&gt;A44,VLOOKUP(A45,input_engine_rx!$AE$23:$AI$35,5,FALSE),0)</f>
        <v>n</v>
      </c>
      <c r="AG45" s="2390">
        <f>data!$C$46</f>
        <v>2900</v>
      </c>
      <c r="AH45" s="2393">
        <f t="shared" si="164"/>
        <v>1</v>
      </c>
      <c r="AI45" s="2388">
        <f t="shared" si="165"/>
        <v>0</v>
      </c>
      <c r="AJ45" s="2388" t="b">
        <f t="shared" ca="1" si="166"/>
        <v>0</v>
      </c>
      <c r="AK45" s="2388"/>
      <c r="AL45" s="2388">
        <f t="shared" ca="1" si="167"/>
        <v>0</v>
      </c>
      <c r="AM45" s="2388"/>
      <c r="AN45" s="2388"/>
      <c r="AO45" s="2390">
        <f t="shared" si="146"/>
        <v>0</v>
      </c>
      <c r="AP45" s="2390">
        <f ca="1">SUM($AO$3:AO45)</f>
        <v>3</v>
      </c>
      <c r="AQ45" s="2390">
        <f t="shared" si="147"/>
        <v>365</v>
      </c>
      <c r="AR45" s="2388" t="e">
        <f t="shared" ca="1" si="148"/>
        <v>#VALUE!</v>
      </c>
      <c r="AS45" s="2390"/>
      <c r="AT45" s="2388" t="str">
        <f t="shared" ca="1" si="168"/>
        <v/>
      </c>
      <c r="AU45" s="2388" t="b">
        <f t="shared" ca="1" si="149"/>
        <v>0</v>
      </c>
      <c r="AV45" s="2388" t="b">
        <f t="shared" si="9"/>
        <v>0</v>
      </c>
      <c r="AW45" s="2388" t="b">
        <f t="shared" si="150"/>
        <v>1</v>
      </c>
      <c r="AX45" s="2388">
        <f t="shared" ca="1" si="169"/>
        <v>0</v>
      </c>
      <c r="AY45" s="2388" t="e">
        <f ca="1">AR45/reliefs!$G$7*AX45*-1</f>
        <v>#VALUE!</v>
      </c>
      <c r="AZ45" s="2390"/>
      <c r="BA45" s="2397"/>
      <c r="BB45" s="2388"/>
      <c r="BC45" s="2388"/>
      <c r="BD45" s="2388"/>
      <c r="BE45" s="2388"/>
      <c r="BF45" s="2390"/>
      <c r="BG45" s="2388"/>
      <c r="BH45" s="2388"/>
      <c r="BI45" s="2388"/>
      <c r="BJ45" s="2388"/>
      <c r="BK45" s="2388"/>
      <c r="BL45" s="2388"/>
      <c r="BM45" s="2388"/>
      <c r="BN45" s="2388"/>
      <c r="BO45" s="2388"/>
      <c r="BP45" s="2388"/>
      <c r="BQ45" s="2388"/>
      <c r="BR45" s="2388"/>
      <c r="BS45" s="2388"/>
      <c r="BT45" s="2388"/>
      <c r="BU45" s="2388"/>
      <c r="BV45" s="2388"/>
      <c r="BW45" s="2388"/>
      <c r="BX45" s="2388"/>
      <c r="BY45" s="2388"/>
      <c r="BZ45" s="2388"/>
      <c r="CA45" s="2388"/>
      <c r="CB45" s="2388"/>
      <c r="CC45" s="2388"/>
      <c r="CD45" s="2388"/>
      <c r="CE45" s="2395"/>
      <c r="CF45" s="2395"/>
      <c r="CG45" s="2395"/>
    </row>
    <row r="46" spans="1:85" s="2396" customFormat="1" x14ac:dyDescent="0.35">
      <c r="A46" s="2388">
        <f t="shared" si="151"/>
        <v>4</v>
      </c>
      <c r="B46" s="2389">
        <f>IF(input_engine_rx!$AE$21&gt;A45,VLOOKUP(A46,input_engine_rx!$AE$23:$AI$35,2,FALSE),"")</f>
        <v>46113</v>
      </c>
      <c r="C46" s="2388">
        <f t="shared" si="152"/>
        <v>4</v>
      </c>
      <c r="D46" s="2389">
        <f t="shared" si="153"/>
        <v>46477</v>
      </c>
      <c r="E46" s="2390" t="str">
        <f>IF(B46="",E45,VLOOKUP(B46,input_engine_rx!$B$23:$F$35,5,FALSE))</f>
        <v>nn</v>
      </c>
      <c r="F46" s="2389">
        <f t="shared" si="154"/>
        <v>46113</v>
      </c>
      <c r="G46" s="2389">
        <f t="shared" si="155"/>
        <v>46112</v>
      </c>
      <c r="H46" s="2390">
        <f t="shared" si="156"/>
        <v>0</v>
      </c>
      <c r="I46" s="2388">
        <f t="shared" ca="1" si="140"/>
        <v>0</v>
      </c>
      <c r="J46" s="2388">
        <f t="shared" ca="1" si="141"/>
        <v>0</v>
      </c>
      <c r="K46" s="2388">
        <f t="shared" si="142"/>
        <v>0</v>
      </c>
      <c r="L46" s="2388" t="str">
        <f>IF(input_engine_rx!$AE$21&gt;A45,VLOOKUP(A46,input_engine_rx!$AE$23:$AI$36,3,FALSE),"")</f>
        <v/>
      </c>
      <c r="M46" s="2390" t="str">
        <f t="shared" si="157"/>
        <v>up</v>
      </c>
      <c r="N46" s="2390">
        <f t="shared" si="170"/>
        <v>0</v>
      </c>
      <c r="O46" s="2390" t="e">
        <f t="shared" ca="1" si="143"/>
        <v>#VALUE!</v>
      </c>
      <c r="P46" s="2391">
        <f t="shared" si="158"/>
        <v>0.51900000000000002</v>
      </c>
      <c r="Q46" s="2388" t="e">
        <f t="shared" ca="1" si="159"/>
        <v>#VALUE!</v>
      </c>
      <c r="R46" s="2388" t="e">
        <f t="shared" ca="1" si="160"/>
        <v>#VALUE!</v>
      </c>
      <c r="S46" s="2392">
        <f>IF(input_engine_rx!$AE$21&gt;A45,VLOOKUP(A46,input_engine_rx!$AE$23:$AI$35,4,FALSE),0)</f>
        <v>1</v>
      </c>
      <c r="T46" s="2442" t="e">
        <f t="shared" ca="1" si="144"/>
        <v>#VALUE!</v>
      </c>
      <c r="U46" s="2388" t="b">
        <f t="shared" si="161"/>
        <v>0</v>
      </c>
      <c r="V46" s="2388" t="b">
        <f>advanced!$M$25="y"</f>
        <v>0</v>
      </c>
      <c r="W46" s="2388">
        <f>data!$D$36</f>
        <v>15000</v>
      </c>
      <c r="X46" s="2388" t="b">
        <f t="shared" si="24"/>
        <v>0</v>
      </c>
      <c r="Y46" s="2388" t="e">
        <f t="shared" si="162"/>
        <v>#VALUE!</v>
      </c>
      <c r="Z46" s="2388">
        <f t="shared" si="145"/>
        <v>0</v>
      </c>
      <c r="AA46" s="2390">
        <f>data!$G$56</f>
        <v>75000</v>
      </c>
      <c r="AB46" s="2390">
        <f>data!$F$56</f>
        <v>0.02</v>
      </c>
      <c r="AC46" s="2388" t="e">
        <f t="shared" si="163"/>
        <v>#VALUE!</v>
      </c>
      <c r="AD46" s="2388" t="e">
        <f>IF(B46="",0,(IF($AE$1=authorities!$I$1,0,IF(L46&gt;AE46,VLOOKUP($AD$1,authorities!A:H,C46+1,FALSE),0)))*L46/$CK$5*H46)</f>
        <v>#VALUE!</v>
      </c>
      <c r="AE46" s="2388">
        <f>IF($AE$1=authorities!$I$1,0,$AE$1)</f>
        <v>0</v>
      </c>
      <c r="AF46" s="2390" t="str">
        <f>IF(input_engine_rx!$AE$21&gt;A45,VLOOKUP(A46,input_engine_rx!$AE$23:$AI$35,5,FALSE),0)</f>
        <v>n</v>
      </c>
      <c r="AG46" s="2390">
        <f>data!$C$46</f>
        <v>2900</v>
      </c>
      <c r="AH46" s="2393">
        <f t="shared" si="164"/>
        <v>1</v>
      </c>
      <c r="AI46" s="2388">
        <f t="shared" si="165"/>
        <v>0</v>
      </c>
      <c r="AJ46" s="2388" t="b">
        <f t="shared" ca="1" si="166"/>
        <v>0</v>
      </c>
      <c r="AK46" s="2388"/>
      <c r="AL46" s="2388">
        <f t="shared" ca="1" si="167"/>
        <v>0</v>
      </c>
      <c r="AM46" s="2388"/>
      <c r="AN46" s="2388"/>
      <c r="AO46" s="2390">
        <f t="shared" si="146"/>
        <v>0</v>
      </c>
      <c r="AP46" s="2390">
        <f ca="1">SUM($AO$3:AO46)</f>
        <v>3</v>
      </c>
      <c r="AQ46" s="2390">
        <f t="shared" si="147"/>
        <v>365</v>
      </c>
      <c r="AR46" s="2388" t="e">
        <f t="shared" ca="1" si="148"/>
        <v>#VALUE!</v>
      </c>
      <c r="AS46" s="2395"/>
      <c r="AT46" s="2388" t="str">
        <f t="shared" ca="1" si="168"/>
        <v/>
      </c>
      <c r="AU46" s="2388" t="b">
        <f t="shared" ca="1" si="149"/>
        <v>0</v>
      </c>
      <c r="AV46" s="2388" t="b">
        <f t="shared" si="9"/>
        <v>0</v>
      </c>
      <c r="AW46" s="2388" t="b">
        <f t="shared" si="150"/>
        <v>1</v>
      </c>
      <c r="AX46" s="2388">
        <f t="shared" ca="1" si="169"/>
        <v>0</v>
      </c>
      <c r="AY46" s="2388" t="e">
        <f ca="1">AR46/reliefs!$G$7*AX46*-1</f>
        <v>#VALUE!</v>
      </c>
      <c r="AZ46" s="2395"/>
      <c r="BA46" s="2397"/>
      <c r="BB46" s="2388"/>
      <c r="BC46" s="2388"/>
      <c r="BD46" s="2388"/>
      <c r="BE46" s="2388"/>
      <c r="BF46" s="2390"/>
      <c r="BG46" s="2388"/>
      <c r="BH46" s="2388"/>
      <c r="BI46" s="2388"/>
      <c r="BJ46" s="2388"/>
      <c r="BK46" s="2388"/>
      <c r="BL46" s="2388"/>
      <c r="BM46" s="2388"/>
      <c r="BN46" s="2388"/>
      <c r="BO46" s="2388"/>
      <c r="BP46" s="2388"/>
      <c r="BQ46" s="2388"/>
      <c r="BR46" s="2388"/>
      <c r="BS46" s="2388"/>
      <c r="BT46" s="2388"/>
      <c r="BU46" s="2388"/>
      <c r="BV46" s="2388"/>
      <c r="BW46" s="2388"/>
      <c r="BX46" s="2388"/>
      <c r="BY46" s="2388"/>
      <c r="BZ46" s="2388"/>
      <c r="CA46" s="2388"/>
      <c r="CB46" s="2388"/>
      <c r="CC46" s="2388"/>
      <c r="CD46" s="2388"/>
      <c r="CE46" s="2395"/>
      <c r="CF46" s="2395"/>
      <c r="CG46" s="2395"/>
    </row>
    <row r="47" spans="1:85" s="2396" customFormat="1" x14ac:dyDescent="0.35">
      <c r="A47" s="2388">
        <f t="shared" si="151"/>
        <v>5</v>
      </c>
      <c r="B47" s="2389">
        <f>IF(input_engine_rx!$AE$21&gt;A46,VLOOKUP(A47,input_engine_rx!$AE$23:$AI$35,2,FALSE),"")</f>
        <v>46113</v>
      </c>
      <c r="C47" s="2388">
        <f t="shared" si="152"/>
        <v>4</v>
      </c>
      <c r="D47" s="2389">
        <f t="shared" si="153"/>
        <v>46477</v>
      </c>
      <c r="E47" s="2390" t="str">
        <f>IF(B47="",E46,VLOOKUP(B47,input_engine_rx!$B$23:$F$35,5,FALSE))</f>
        <v>nn</v>
      </c>
      <c r="F47" s="2389">
        <f t="shared" si="154"/>
        <v>46113</v>
      </c>
      <c r="G47" s="2389">
        <f t="shared" si="155"/>
        <v>46112</v>
      </c>
      <c r="H47" s="2390">
        <f t="shared" si="156"/>
        <v>0</v>
      </c>
      <c r="I47" s="2388">
        <f t="shared" ca="1" si="140"/>
        <v>0</v>
      </c>
      <c r="J47" s="2388">
        <f t="shared" ca="1" si="141"/>
        <v>0</v>
      </c>
      <c r="K47" s="2388">
        <f t="shared" si="142"/>
        <v>0</v>
      </c>
      <c r="L47" s="2388" t="str">
        <f>IF(input_engine_rx!$AE$21&gt;A46,VLOOKUP(A47,input_engine_rx!$AE$23:$AI$36,3,FALSE),"")</f>
        <v/>
      </c>
      <c r="M47" s="2390" t="str">
        <f t="shared" si="157"/>
        <v>up</v>
      </c>
      <c r="N47" s="2390">
        <f t="shared" si="170"/>
        <v>0</v>
      </c>
      <c r="O47" s="2390" t="e">
        <f t="shared" ca="1" si="143"/>
        <v>#VALUE!</v>
      </c>
      <c r="P47" s="2391">
        <f t="shared" si="158"/>
        <v>0.51900000000000002</v>
      </c>
      <c r="Q47" s="2388" t="e">
        <f t="shared" ca="1" si="159"/>
        <v>#VALUE!</v>
      </c>
      <c r="R47" s="2388" t="e">
        <f t="shared" ca="1" si="160"/>
        <v>#VALUE!</v>
      </c>
      <c r="S47" s="2392">
        <f>IF(input_engine_rx!$AE$21&gt;A46,VLOOKUP(A47,input_engine_rx!$AE$23:$AI$35,4,FALSE),0)</f>
        <v>1</v>
      </c>
      <c r="T47" s="2442" t="e">
        <f t="shared" ca="1" si="144"/>
        <v>#VALUE!</v>
      </c>
      <c r="U47" s="2388" t="b">
        <f t="shared" si="161"/>
        <v>0</v>
      </c>
      <c r="V47" s="2388" t="b">
        <f>advanced!$M$25="y"</f>
        <v>0</v>
      </c>
      <c r="W47" s="2388">
        <f>data!$D$36</f>
        <v>15000</v>
      </c>
      <c r="X47" s="2388" t="b">
        <f t="shared" si="24"/>
        <v>0</v>
      </c>
      <c r="Y47" s="2388" t="e">
        <f t="shared" si="162"/>
        <v>#VALUE!</v>
      </c>
      <c r="Z47" s="2388">
        <f t="shared" si="145"/>
        <v>0</v>
      </c>
      <c r="AA47" s="2390">
        <f>data!$G$56</f>
        <v>75000</v>
      </c>
      <c r="AB47" s="2390">
        <f>data!$F$56</f>
        <v>0.02</v>
      </c>
      <c r="AC47" s="2388" t="e">
        <f t="shared" si="163"/>
        <v>#VALUE!</v>
      </c>
      <c r="AD47" s="2388" t="e">
        <f>IF(B47="",0,(IF($AE$1=authorities!$I$1,0,IF(L47&gt;AE47,VLOOKUP($AD$1,authorities!A:H,C47+1,FALSE),0)))*L47/$CK$5*H47)</f>
        <v>#VALUE!</v>
      </c>
      <c r="AE47" s="2388">
        <f>IF($AE$1=authorities!$I$1,0,$AE$1)</f>
        <v>0</v>
      </c>
      <c r="AF47" s="2390" t="str">
        <f>IF(input_engine_rx!$AE$21&gt;A46,VLOOKUP(A47,input_engine_rx!$AE$23:$AI$35,5,FALSE),0)</f>
        <v>n</v>
      </c>
      <c r="AG47" s="2390">
        <f>data!$C$46</f>
        <v>2900</v>
      </c>
      <c r="AH47" s="2393">
        <f t="shared" si="164"/>
        <v>1</v>
      </c>
      <c r="AI47" s="2388">
        <f t="shared" si="165"/>
        <v>0</v>
      </c>
      <c r="AJ47" s="2388" t="b">
        <f t="shared" ca="1" si="166"/>
        <v>0</v>
      </c>
      <c r="AK47" s="2388"/>
      <c r="AL47" s="2388">
        <f t="shared" ca="1" si="167"/>
        <v>0</v>
      </c>
      <c r="AM47" s="2388"/>
      <c r="AN47" s="2388"/>
      <c r="AO47" s="2390">
        <f t="shared" si="146"/>
        <v>0</v>
      </c>
      <c r="AP47" s="2390">
        <f ca="1">SUM($AO$3:AO47)</f>
        <v>3</v>
      </c>
      <c r="AQ47" s="2390">
        <f t="shared" si="147"/>
        <v>365</v>
      </c>
      <c r="AR47" s="2388" t="e">
        <f t="shared" ca="1" si="148"/>
        <v>#VALUE!</v>
      </c>
      <c r="AS47" s="2395"/>
      <c r="AT47" s="2388" t="str">
        <f t="shared" ca="1" si="168"/>
        <v/>
      </c>
      <c r="AU47" s="2388" t="b">
        <f t="shared" ca="1" si="149"/>
        <v>0</v>
      </c>
      <c r="AV47" s="2388" t="b">
        <f t="shared" si="9"/>
        <v>0</v>
      </c>
      <c r="AW47" s="2388" t="b">
        <f t="shared" si="150"/>
        <v>1</v>
      </c>
      <c r="AX47" s="2388">
        <f t="shared" ca="1" si="169"/>
        <v>0</v>
      </c>
      <c r="AY47" s="2388" t="e">
        <f ca="1">AR47/reliefs!$G$7*AX47*-1</f>
        <v>#VALUE!</v>
      </c>
      <c r="AZ47" s="2395"/>
      <c r="BA47" s="2397"/>
      <c r="BB47" s="2388"/>
      <c r="BC47" s="2388"/>
      <c r="BD47" s="2388"/>
      <c r="BE47" s="2388"/>
      <c r="BF47" s="2390"/>
      <c r="BG47" s="2388"/>
      <c r="BH47" s="2388"/>
      <c r="BI47" s="2388"/>
      <c r="BJ47" s="2388"/>
      <c r="BK47" s="2388"/>
      <c r="BL47" s="2388"/>
      <c r="BM47" s="2388"/>
      <c r="BN47" s="2388"/>
      <c r="BO47" s="2388"/>
      <c r="BP47" s="2388"/>
      <c r="BQ47" s="2388"/>
      <c r="BR47" s="2388"/>
      <c r="BS47" s="2388"/>
      <c r="BT47" s="2388"/>
      <c r="BU47" s="2388"/>
      <c r="BV47" s="2388"/>
      <c r="BW47" s="2388"/>
      <c r="BX47" s="2388"/>
      <c r="BY47" s="2388"/>
      <c r="BZ47" s="2388"/>
      <c r="CA47" s="2388"/>
      <c r="CB47" s="2388"/>
      <c r="CC47" s="2388"/>
      <c r="CD47" s="2388"/>
      <c r="CE47" s="2395"/>
      <c r="CF47" s="2395"/>
      <c r="CG47" s="2395"/>
    </row>
    <row r="48" spans="1:85" s="2396" customFormat="1" x14ac:dyDescent="0.35">
      <c r="A48" s="2388">
        <f t="shared" si="151"/>
        <v>6</v>
      </c>
      <c r="B48" s="2389">
        <f>IF(input_engine_rx!$AE$21&gt;A47,VLOOKUP(A48,input_engine_rx!$AE$23:$AI$35,2,FALSE),"")</f>
        <v>46113</v>
      </c>
      <c r="C48" s="2388">
        <f t="shared" si="152"/>
        <v>4</v>
      </c>
      <c r="D48" s="2389">
        <f t="shared" si="153"/>
        <v>46477</v>
      </c>
      <c r="E48" s="2390" t="str">
        <f>IF(B48="",E47,VLOOKUP(B48,input_engine_rx!$B$23:$F$35,5,FALSE))</f>
        <v>nn</v>
      </c>
      <c r="F48" s="2389">
        <f t="shared" si="154"/>
        <v>46113</v>
      </c>
      <c r="G48" s="2389">
        <f t="shared" si="155"/>
        <v>46112</v>
      </c>
      <c r="H48" s="2390">
        <f t="shared" si="156"/>
        <v>0</v>
      </c>
      <c r="I48" s="2388">
        <f t="shared" ca="1" si="140"/>
        <v>0</v>
      </c>
      <c r="J48" s="2388">
        <f t="shared" ca="1" si="141"/>
        <v>0</v>
      </c>
      <c r="K48" s="2388">
        <f t="shared" si="142"/>
        <v>0</v>
      </c>
      <c r="L48" s="2388" t="str">
        <f>IF(input_engine_rx!$AE$21&gt;A47,VLOOKUP(A48,input_engine_rx!$AE$23:$AI$36,3,FALSE),"")</f>
        <v/>
      </c>
      <c r="M48" s="2390" t="str">
        <f t="shared" si="157"/>
        <v>up</v>
      </c>
      <c r="N48" s="2390">
        <f t="shared" si="170"/>
        <v>0</v>
      </c>
      <c r="O48" s="2390" t="e">
        <f t="shared" ca="1" si="143"/>
        <v>#VALUE!</v>
      </c>
      <c r="P48" s="2391">
        <f t="shared" si="158"/>
        <v>0.51900000000000002</v>
      </c>
      <c r="Q48" s="2388" t="e">
        <f t="shared" ca="1" si="159"/>
        <v>#VALUE!</v>
      </c>
      <c r="R48" s="2388" t="e">
        <f t="shared" ca="1" si="160"/>
        <v>#VALUE!</v>
      </c>
      <c r="S48" s="2392">
        <f>IF(input_engine_rx!$AE$21&gt;A47,VLOOKUP(A48,input_engine_rx!$AE$23:$AI$35,4,FALSE),0)</f>
        <v>1</v>
      </c>
      <c r="T48" s="2442" t="e">
        <f t="shared" ca="1" si="144"/>
        <v>#VALUE!</v>
      </c>
      <c r="U48" s="2388" t="b">
        <f t="shared" si="161"/>
        <v>0</v>
      </c>
      <c r="V48" s="2388" t="b">
        <f>advanced!$M$25="y"</f>
        <v>0</v>
      </c>
      <c r="W48" s="2388">
        <f>data!$D$36</f>
        <v>15000</v>
      </c>
      <c r="X48" s="2388" t="b">
        <f t="shared" si="24"/>
        <v>0</v>
      </c>
      <c r="Y48" s="2388" t="e">
        <f t="shared" si="162"/>
        <v>#VALUE!</v>
      </c>
      <c r="Z48" s="2388">
        <f t="shared" si="145"/>
        <v>0</v>
      </c>
      <c r="AA48" s="2390">
        <f>data!$G$56</f>
        <v>75000</v>
      </c>
      <c r="AB48" s="2390">
        <f>data!$F$56</f>
        <v>0.02</v>
      </c>
      <c r="AC48" s="2388" t="e">
        <f t="shared" si="163"/>
        <v>#VALUE!</v>
      </c>
      <c r="AD48" s="2388" t="e">
        <f>IF(B48="",0,(IF($AE$1=authorities!$I$1,0,IF(L48&gt;AE48,VLOOKUP($AD$1,authorities!A:H,C48+1,FALSE),0)))*L48/$CK$5*H48)</f>
        <v>#VALUE!</v>
      </c>
      <c r="AE48" s="2388">
        <f>IF($AE$1=authorities!$I$1,0,$AE$1)</f>
        <v>0</v>
      </c>
      <c r="AF48" s="2390" t="str">
        <f>IF(input_engine_rx!$AE$21&gt;A47,VLOOKUP(A48,input_engine_rx!$AE$23:$AI$35,5,FALSE),0)</f>
        <v>n</v>
      </c>
      <c r="AG48" s="2390">
        <f>data!$C$46</f>
        <v>2900</v>
      </c>
      <c r="AH48" s="2393">
        <f t="shared" si="164"/>
        <v>1</v>
      </c>
      <c r="AI48" s="2388">
        <f t="shared" si="165"/>
        <v>0</v>
      </c>
      <c r="AJ48" s="2388" t="b">
        <f t="shared" ca="1" si="166"/>
        <v>0</v>
      </c>
      <c r="AK48" s="2388"/>
      <c r="AL48" s="2388">
        <f t="shared" ca="1" si="167"/>
        <v>0</v>
      </c>
      <c r="AM48" s="2388"/>
      <c r="AN48" s="2388"/>
      <c r="AO48" s="2390">
        <f t="shared" si="146"/>
        <v>0</v>
      </c>
      <c r="AP48" s="2390">
        <f ca="1">SUM($AO$3:AO48)</f>
        <v>3</v>
      </c>
      <c r="AQ48" s="2390">
        <f t="shared" si="147"/>
        <v>365</v>
      </c>
      <c r="AR48" s="2388" t="e">
        <f t="shared" ca="1" si="148"/>
        <v>#VALUE!</v>
      </c>
      <c r="AS48" s="2395"/>
      <c r="AT48" s="2388" t="str">
        <f t="shared" ca="1" si="168"/>
        <v/>
      </c>
      <c r="AU48" s="2388" t="b">
        <f t="shared" ca="1" si="149"/>
        <v>0</v>
      </c>
      <c r="AV48" s="2388" t="b">
        <f t="shared" si="9"/>
        <v>0</v>
      </c>
      <c r="AW48" s="2388" t="b">
        <f t="shared" si="150"/>
        <v>1</v>
      </c>
      <c r="AX48" s="2388">
        <f t="shared" ca="1" si="169"/>
        <v>0</v>
      </c>
      <c r="AY48" s="2388" t="e">
        <f ca="1">AR48/reliefs!$G$7*AX48*-1</f>
        <v>#VALUE!</v>
      </c>
      <c r="AZ48" s="2395"/>
      <c r="BA48" s="2397"/>
      <c r="BB48" s="2388"/>
      <c r="BC48" s="2388"/>
      <c r="BD48" s="2388"/>
      <c r="BE48" s="2388"/>
      <c r="BF48" s="2390"/>
      <c r="BG48" s="2388"/>
      <c r="BH48" s="2388"/>
      <c r="BI48" s="2388"/>
      <c r="BJ48" s="2388"/>
      <c r="BK48" s="2388"/>
      <c r="BL48" s="2388"/>
      <c r="BM48" s="2388"/>
      <c r="BN48" s="2388"/>
      <c r="BO48" s="2388"/>
      <c r="BP48" s="2388"/>
      <c r="BQ48" s="2388"/>
      <c r="BR48" s="2388"/>
      <c r="BS48" s="2388"/>
      <c r="BT48" s="2388"/>
      <c r="BU48" s="2388"/>
      <c r="BV48" s="2388"/>
      <c r="BW48" s="2388"/>
      <c r="BX48" s="2388"/>
      <c r="BY48" s="2388"/>
      <c r="BZ48" s="2388"/>
      <c r="CA48" s="2388"/>
      <c r="CB48" s="2388"/>
      <c r="CC48" s="2388"/>
      <c r="CD48" s="2388"/>
      <c r="CE48" s="2395"/>
      <c r="CF48" s="2395"/>
      <c r="CG48" s="2395"/>
    </row>
    <row r="49" spans="1:85" s="2396" customFormat="1" x14ac:dyDescent="0.35">
      <c r="A49" s="2388">
        <f t="shared" si="151"/>
        <v>7</v>
      </c>
      <c r="B49" s="2389">
        <f>IF(input_engine_rx!$AE$21&gt;A48,VLOOKUP(A49,input_engine_rx!$AE$23:$AI$35,2,FALSE),"")</f>
        <v>46113</v>
      </c>
      <c r="C49" s="2388">
        <f t="shared" si="152"/>
        <v>4</v>
      </c>
      <c r="D49" s="2389">
        <f t="shared" si="153"/>
        <v>46477</v>
      </c>
      <c r="E49" s="2390" t="str">
        <f>IF(B49="",E48,VLOOKUP(B49,input_engine_rx!$B$23:$F$35,5,FALSE))</f>
        <v>nn</v>
      </c>
      <c r="F49" s="2389">
        <f t="shared" si="154"/>
        <v>46113</v>
      </c>
      <c r="G49" s="2389">
        <f t="shared" si="155"/>
        <v>46112</v>
      </c>
      <c r="H49" s="2390">
        <f t="shared" si="156"/>
        <v>0</v>
      </c>
      <c r="I49" s="2388">
        <f t="shared" ca="1" si="140"/>
        <v>0</v>
      </c>
      <c r="J49" s="2388">
        <f t="shared" ca="1" si="141"/>
        <v>0</v>
      </c>
      <c r="K49" s="2388">
        <f t="shared" si="142"/>
        <v>0</v>
      </c>
      <c r="L49" s="2388" t="str">
        <f>IF(input_engine_rx!$AE$21&gt;A48,VLOOKUP(A49,input_engine_rx!$AE$23:$AI$36,3,FALSE),"")</f>
        <v/>
      </c>
      <c r="M49" s="2390" t="str">
        <f t="shared" si="157"/>
        <v>up</v>
      </c>
      <c r="N49" s="2390">
        <f t="shared" si="170"/>
        <v>0</v>
      </c>
      <c r="O49" s="2390" t="e">
        <f t="shared" ca="1" si="143"/>
        <v>#VALUE!</v>
      </c>
      <c r="P49" s="2391">
        <f t="shared" si="158"/>
        <v>0.51900000000000002</v>
      </c>
      <c r="Q49" s="2388" t="e">
        <f t="shared" ca="1" si="159"/>
        <v>#VALUE!</v>
      </c>
      <c r="R49" s="2388" t="e">
        <f t="shared" ca="1" si="160"/>
        <v>#VALUE!</v>
      </c>
      <c r="S49" s="2392">
        <f>IF(input_engine_rx!$AE$21&gt;A48,VLOOKUP(A49,input_engine_rx!$AE$23:$AI$35,4,FALSE),0)</f>
        <v>1</v>
      </c>
      <c r="T49" s="2442" t="e">
        <f t="shared" ca="1" si="144"/>
        <v>#VALUE!</v>
      </c>
      <c r="U49" s="2388" t="b">
        <f t="shared" si="161"/>
        <v>0</v>
      </c>
      <c r="V49" s="2388" t="b">
        <f>advanced!$M$25="y"</f>
        <v>0</v>
      </c>
      <c r="W49" s="2388">
        <f>data!$D$36</f>
        <v>15000</v>
      </c>
      <c r="X49" s="2388" t="b">
        <f t="shared" si="24"/>
        <v>0</v>
      </c>
      <c r="Y49" s="2388" t="e">
        <f t="shared" si="162"/>
        <v>#VALUE!</v>
      </c>
      <c r="Z49" s="2388">
        <f t="shared" si="145"/>
        <v>0</v>
      </c>
      <c r="AA49" s="2390">
        <f>data!$G$56</f>
        <v>75000</v>
      </c>
      <c r="AB49" s="2390">
        <f>data!$F$56</f>
        <v>0.02</v>
      </c>
      <c r="AC49" s="2388" t="e">
        <f t="shared" si="163"/>
        <v>#VALUE!</v>
      </c>
      <c r="AD49" s="2388" t="e">
        <f>IF(B49="",0,(IF($AE$1=authorities!$I$1,0,IF(L49&gt;AE49,VLOOKUP($AD$1,authorities!A:H,C49+1,FALSE),0)))*L49/$CK$5*H49)</f>
        <v>#VALUE!</v>
      </c>
      <c r="AE49" s="2388">
        <f>IF($AE$1=authorities!$I$1,0,$AE$1)</f>
        <v>0</v>
      </c>
      <c r="AF49" s="2390" t="str">
        <f>IF(input_engine_rx!$AE$21&gt;A48,VLOOKUP(A49,input_engine_rx!$AE$23:$AI$35,5,FALSE),0)</f>
        <v>n</v>
      </c>
      <c r="AG49" s="2390">
        <f>data!$C$46</f>
        <v>2900</v>
      </c>
      <c r="AH49" s="2393">
        <f t="shared" si="164"/>
        <v>1</v>
      </c>
      <c r="AI49" s="2388">
        <f t="shared" si="165"/>
        <v>0</v>
      </c>
      <c r="AJ49" s="2388" t="b">
        <f t="shared" ca="1" si="166"/>
        <v>0</v>
      </c>
      <c r="AK49" s="2388"/>
      <c r="AL49" s="2388">
        <f t="shared" ca="1" si="167"/>
        <v>0</v>
      </c>
      <c r="AM49" s="2388"/>
      <c r="AN49" s="2388"/>
      <c r="AO49" s="2390">
        <f t="shared" si="146"/>
        <v>0</v>
      </c>
      <c r="AP49" s="2390">
        <f ca="1">SUM($AO$3:AO49)</f>
        <v>3</v>
      </c>
      <c r="AQ49" s="2390">
        <f t="shared" si="147"/>
        <v>365</v>
      </c>
      <c r="AR49" s="2388" t="e">
        <f t="shared" ca="1" si="148"/>
        <v>#VALUE!</v>
      </c>
      <c r="AS49" s="2395"/>
      <c r="AT49" s="2388" t="str">
        <f t="shared" ca="1" si="168"/>
        <v/>
      </c>
      <c r="AU49" s="2388" t="b">
        <f t="shared" ca="1" si="149"/>
        <v>0</v>
      </c>
      <c r="AV49" s="2388" t="b">
        <f t="shared" si="9"/>
        <v>0</v>
      </c>
      <c r="AW49" s="2388" t="b">
        <f t="shared" si="150"/>
        <v>1</v>
      </c>
      <c r="AX49" s="2388">
        <f t="shared" ca="1" si="169"/>
        <v>0</v>
      </c>
      <c r="AY49" s="2388" t="e">
        <f ca="1">AR49/reliefs!$G$7*AX49*-1</f>
        <v>#VALUE!</v>
      </c>
      <c r="AZ49" s="2395"/>
      <c r="BA49" s="2397"/>
      <c r="BB49" s="2388"/>
      <c r="BC49" s="2388"/>
      <c r="BD49" s="2388"/>
      <c r="BE49" s="2388"/>
      <c r="BF49" s="2390"/>
      <c r="BG49" s="2388"/>
      <c r="BH49" s="2388"/>
      <c r="BI49" s="2388"/>
      <c r="BJ49" s="2388"/>
      <c r="BK49" s="2388"/>
      <c r="BL49" s="2388"/>
      <c r="BM49" s="2388"/>
      <c r="BN49" s="2388"/>
      <c r="BO49" s="2388"/>
      <c r="BP49" s="2388"/>
      <c r="BQ49" s="2388"/>
      <c r="BR49" s="2388"/>
      <c r="BS49" s="2388"/>
      <c r="BT49" s="2388"/>
      <c r="BU49" s="2388"/>
      <c r="BV49" s="2388"/>
      <c r="BW49" s="2388"/>
      <c r="BX49" s="2388"/>
      <c r="BY49" s="2388"/>
      <c r="BZ49" s="2388"/>
      <c r="CA49" s="2388"/>
      <c r="CB49" s="2388"/>
      <c r="CC49" s="2388"/>
      <c r="CD49" s="2388"/>
      <c r="CE49" s="2395"/>
      <c r="CF49" s="2395"/>
      <c r="CG49" s="2395"/>
    </row>
    <row r="50" spans="1:85" s="2396" customFormat="1" x14ac:dyDescent="0.35">
      <c r="A50" s="2388">
        <f t="shared" si="151"/>
        <v>8</v>
      </c>
      <c r="B50" s="2389">
        <f>IF(input_engine_rx!$AE$21&gt;A49,VLOOKUP(A50,input_engine_rx!$AE$23:$AI$35,2,FALSE),"")</f>
        <v>46113</v>
      </c>
      <c r="C50" s="2388">
        <f t="shared" si="152"/>
        <v>4</v>
      </c>
      <c r="D50" s="2389">
        <f t="shared" si="153"/>
        <v>46477</v>
      </c>
      <c r="E50" s="2390" t="str">
        <f>IF(B50="",E49,VLOOKUP(B50,input_engine_rx!$B$23:$F$35,5,FALSE))</f>
        <v>nn</v>
      </c>
      <c r="F50" s="2389">
        <f t="shared" si="154"/>
        <v>46113</v>
      </c>
      <c r="G50" s="2389">
        <f t="shared" si="155"/>
        <v>46112</v>
      </c>
      <c r="H50" s="2390">
        <f t="shared" si="156"/>
        <v>0</v>
      </c>
      <c r="I50" s="2388">
        <f t="shared" ca="1" si="140"/>
        <v>0</v>
      </c>
      <c r="J50" s="2388">
        <f t="shared" ca="1" si="141"/>
        <v>0</v>
      </c>
      <c r="K50" s="2388">
        <f t="shared" si="142"/>
        <v>0</v>
      </c>
      <c r="L50" s="2388" t="str">
        <f>IF(input_engine_rx!$AE$21&gt;A49,VLOOKUP(A50,input_engine_rx!$AE$23:$AI$36,3,FALSE),"")</f>
        <v/>
      </c>
      <c r="M50" s="2390" t="str">
        <f t="shared" si="157"/>
        <v>up</v>
      </c>
      <c r="N50" s="2390">
        <f t="shared" si="170"/>
        <v>0</v>
      </c>
      <c r="O50" s="2390" t="e">
        <f t="shared" ca="1" si="143"/>
        <v>#VALUE!</v>
      </c>
      <c r="P50" s="2391">
        <f t="shared" si="158"/>
        <v>0.51900000000000002</v>
      </c>
      <c r="Q50" s="2388" t="e">
        <f t="shared" ca="1" si="159"/>
        <v>#VALUE!</v>
      </c>
      <c r="R50" s="2388" t="e">
        <f t="shared" ca="1" si="160"/>
        <v>#VALUE!</v>
      </c>
      <c r="S50" s="2392">
        <f>IF(input_engine_rx!$AE$21&gt;A49,VLOOKUP(A50,input_engine_rx!$AE$23:$AI$35,4,FALSE),0)</f>
        <v>1</v>
      </c>
      <c r="T50" s="2442" t="e">
        <f t="shared" ca="1" si="144"/>
        <v>#VALUE!</v>
      </c>
      <c r="U50" s="2388" t="b">
        <f t="shared" si="161"/>
        <v>0</v>
      </c>
      <c r="V50" s="2388" t="b">
        <f>advanced!$M$25="y"</f>
        <v>0</v>
      </c>
      <c r="W50" s="2388">
        <f>data!$D$36</f>
        <v>15000</v>
      </c>
      <c r="X50" s="2388" t="b">
        <f t="shared" si="24"/>
        <v>0</v>
      </c>
      <c r="Y50" s="2388" t="e">
        <f t="shared" si="162"/>
        <v>#VALUE!</v>
      </c>
      <c r="Z50" s="2388">
        <f t="shared" si="145"/>
        <v>0</v>
      </c>
      <c r="AA50" s="2390">
        <f>data!$G$56</f>
        <v>75000</v>
      </c>
      <c r="AB50" s="2390">
        <f>data!$F$56</f>
        <v>0.02</v>
      </c>
      <c r="AC50" s="2388" t="e">
        <f t="shared" si="163"/>
        <v>#VALUE!</v>
      </c>
      <c r="AD50" s="2388" t="e">
        <f>IF(B50="",0,(IF($AE$1=authorities!$I$1,0,IF(L50&gt;AE50,VLOOKUP($AD$1,authorities!A:H,C50+1,FALSE),0)))*L50/$CK$5*H50)</f>
        <v>#VALUE!</v>
      </c>
      <c r="AE50" s="2388">
        <f>IF($AE$1=authorities!$I$1,0,$AE$1)</f>
        <v>0</v>
      </c>
      <c r="AF50" s="2390" t="str">
        <f>IF(input_engine_rx!$AE$21&gt;A49,VLOOKUP(A50,input_engine_rx!$AE$23:$AI$35,5,FALSE),0)</f>
        <v>n</v>
      </c>
      <c r="AG50" s="2390">
        <f>data!$C$46</f>
        <v>2900</v>
      </c>
      <c r="AH50" s="2393">
        <f t="shared" si="164"/>
        <v>1</v>
      </c>
      <c r="AI50" s="2388">
        <f t="shared" si="165"/>
        <v>0</v>
      </c>
      <c r="AJ50" s="2388" t="b">
        <f t="shared" ca="1" si="166"/>
        <v>0</v>
      </c>
      <c r="AK50" s="2388"/>
      <c r="AL50" s="2388">
        <f t="shared" ca="1" si="167"/>
        <v>0</v>
      </c>
      <c r="AM50" s="2388"/>
      <c r="AN50" s="2388"/>
      <c r="AO50" s="2390">
        <f t="shared" si="146"/>
        <v>0</v>
      </c>
      <c r="AP50" s="2390">
        <f ca="1">SUM($AO$3:AO50)</f>
        <v>3</v>
      </c>
      <c r="AQ50" s="2390">
        <f t="shared" si="147"/>
        <v>365</v>
      </c>
      <c r="AR50" s="2388" t="e">
        <f t="shared" ca="1" si="148"/>
        <v>#VALUE!</v>
      </c>
      <c r="AS50" s="2395"/>
      <c r="AT50" s="2388" t="str">
        <f t="shared" ca="1" si="168"/>
        <v/>
      </c>
      <c r="AU50" s="2388" t="b">
        <f t="shared" ca="1" si="149"/>
        <v>0</v>
      </c>
      <c r="AV50" s="2388" t="b">
        <f t="shared" si="9"/>
        <v>0</v>
      </c>
      <c r="AW50" s="2388" t="b">
        <f t="shared" si="150"/>
        <v>1</v>
      </c>
      <c r="AX50" s="2388">
        <f t="shared" ca="1" si="169"/>
        <v>0</v>
      </c>
      <c r="AY50" s="2388" t="e">
        <f ca="1">AR50/reliefs!$G$7*AX50*-1</f>
        <v>#VALUE!</v>
      </c>
      <c r="AZ50" s="2395"/>
      <c r="BA50" s="2397"/>
      <c r="BB50" s="2388"/>
      <c r="BC50" s="2388"/>
      <c r="BD50" s="2388"/>
      <c r="BE50" s="2388"/>
      <c r="BF50" s="2390"/>
      <c r="BG50" s="2388"/>
      <c r="BH50" s="2388"/>
      <c r="BI50" s="2388"/>
      <c r="BJ50" s="2388"/>
      <c r="BK50" s="2388"/>
      <c r="BL50" s="2388"/>
      <c r="BM50" s="2388"/>
      <c r="BN50" s="2388"/>
      <c r="BO50" s="2388"/>
      <c r="BP50" s="2388"/>
      <c r="BQ50" s="2388"/>
      <c r="BR50" s="2388"/>
      <c r="BS50" s="2388"/>
      <c r="BT50" s="2388"/>
      <c r="BU50" s="2388"/>
      <c r="BV50" s="2388"/>
      <c r="BW50" s="2388"/>
      <c r="BX50" s="2388"/>
      <c r="BY50" s="2388"/>
      <c r="BZ50" s="2388"/>
      <c r="CA50" s="2388"/>
      <c r="CB50" s="2388"/>
      <c r="CC50" s="2388"/>
      <c r="CD50" s="2388"/>
      <c r="CE50" s="2395"/>
      <c r="CF50" s="2395"/>
      <c r="CG50" s="2395"/>
    </row>
    <row r="51" spans="1:85" s="2396" customFormat="1" x14ac:dyDescent="0.35">
      <c r="A51" s="2388">
        <f t="shared" si="151"/>
        <v>9</v>
      </c>
      <c r="B51" s="2389">
        <f>IF(input_engine_rx!$AE$21&gt;A50,VLOOKUP(A51,input_engine_rx!$AE$23:$AI$35,2,FALSE),"")</f>
        <v>46113</v>
      </c>
      <c r="C51" s="2388">
        <f t="shared" si="152"/>
        <v>4</v>
      </c>
      <c r="D51" s="2389">
        <f t="shared" si="153"/>
        <v>46477</v>
      </c>
      <c r="E51" s="2390" t="str">
        <f>IF(B51="",E50,VLOOKUP(B51,input_engine_rx!$B$23:$F$35,5,FALSE))</f>
        <v>nn</v>
      </c>
      <c r="F51" s="2389">
        <f t="shared" si="154"/>
        <v>46113</v>
      </c>
      <c r="G51" s="2389">
        <f t="shared" si="155"/>
        <v>46112</v>
      </c>
      <c r="H51" s="2390">
        <f t="shared" si="156"/>
        <v>0</v>
      </c>
      <c r="I51" s="2388">
        <f t="shared" ca="1" si="140"/>
        <v>0</v>
      </c>
      <c r="J51" s="2388">
        <f t="shared" ca="1" si="141"/>
        <v>0</v>
      </c>
      <c r="K51" s="2388">
        <f t="shared" si="142"/>
        <v>0</v>
      </c>
      <c r="L51" s="2388" t="str">
        <f>IF(input_engine_rx!$AE$21&gt;A50,VLOOKUP(A51,input_engine_rx!$AE$23:$AI$36,3,FALSE),"")</f>
        <v/>
      </c>
      <c r="M51" s="2390" t="str">
        <f t="shared" si="157"/>
        <v>up</v>
      </c>
      <c r="N51" s="2390">
        <f t="shared" si="170"/>
        <v>0</v>
      </c>
      <c r="O51" s="2390" t="e">
        <f t="shared" ca="1" si="143"/>
        <v>#VALUE!</v>
      </c>
      <c r="P51" s="2391">
        <f t="shared" si="158"/>
        <v>0.51900000000000002</v>
      </c>
      <c r="Q51" s="2388" t="e">
        <f t="shared" ca="1" si="159"/>
        <v>#VALUE!</v>
      </c>
      <c r="R51" s="2388" t="e">
        <f t="shared" ca="1" si="160"/>
        <v>#VALUE!</v>
      </c>
      <c r="S51" s="2392">
        <f>IF(input_engine_rx!$AE$21&gt;A50,VLOOKUP(A51,input_engine_rx!$AE$23:$AI$35,4,FALSE),0)</f>
        <v>1</v>
      </c>
      <c r="T51" s="2442" t="e">
        <f t="shared" ca="1" si="144"/>
        <v>#VALUE!</v>
      </c>
      <c r="U51" s="2388" t="b">
        <f t="shared" si="161"/>
        <v>0</v>
      </c>
      <c r="V51" s="2388" t="b">
        <f>advanced!$M$25="y"</f>
        <v>0</v>
      </c>
      <c r="W51" s="2388">
        <f>data!$D$36</f>
        <v>15000</v>
      </c>
      <c r="X51" s="2388" t="b">
        <f t="shared" si="24"/>
        <v>0</v>
      </c>
      <c r="Y51" s="2388" t="e">
        <f t="shared" si="162"/>
        <v>#VALUE!</v>
      </c>
      <c r="Z51" s="2388">
        <f t="shared" si="145"/>
        <v>0</v>
      </c>
      <c r="AA51" s="2390">
        <f>data!$G$56</f>
        <v>75000</v>
      </c>
      <c r="AB51" s="2390">
        <f>data!$F$56</f>
        <v>0.02</v>
      </c>
      <c r="AC51" s="2388" t="e">
        <f t="shared" si="163"/>
        <v>#VALUE!</v>
      </c>
      <c r="AD51" s="2388" t="e">
        <f>IF(B51="",0,(IF($AE$1=authorities!$I$1,0,IF(L51&gt;AE51,VLOOKUP($AD$1,authorities!A:H,C51+1,FALSE),0)))*L51/$CK$5*H51)</f>
        <v>#VALUE!</v>
      </c>
      <c r="AE51" s="2388">
        <f>IF($AE$1=authorities!$I$1,0,$AE$1)</f>
        <v>0</v>
      </c>
      <c r="AF51" s="2390" t="str">
        <f>IF(input_engine_rx!$AE$21&gt;A50,VLOOKUP(A51,input_engine_rx!$AE$23:$AI$35,5,FALSE),0)</f>
        <v>n</v>
      </c>
      <c r="AG51" s="2390">
        <f>data!$C$46</f>
        <v>2900</v>
      </c>
      <c r="AH51" s="2393">
        <f t="shared" si="164"/>
        <v>1</v>
      </c>
      <c r="AI51" s="2388">
        <f t="shared" si="165"/>
        <v>0</v>
      </c>
      <c r="AJ51" s="2388" t="b">
        <f t="shared" ca="1" si="166"/>
        <v>0</v>
      </c>
      <c r="AK51" s="2388"/>
      <c r="AL51" s="2388">
        <f t="shared" ca="1" si="167"/>
        <v>0</v>
      </c>
      <c r="AM51" s="2388"/>
      <c r="AN51" s="2388"/>
      <c r="AO51" s="2390">
        <f t="shared" si="146"/>
        <v>0</v>
      </c>
      <c r="AP51" s="2390">
        <f ca="1">SUM($AO$3:AO51)</f>
        <v>3</v>
      </c>
      <c r="AQ51" s="2390">
        <f t="shared" si="147"/>
        <v>365</v>
      </c>
      <c r="AR51" s="2388" t="e">
        <f t="shared" ca="1" si="148"/>
        <v>#VALUE!</v>
      </c>
      <c r="AS51" s="2395"/>
      <c r="AT51" s="2388" t="str">
        <f t="shared" ca="1" si="168"/>
        <v/>
      </c>
      <c r="AU51" s="2388" t="b">
        <f t="shared" ca="1" si="149"/>
        <v>0</v>
      </c>
      <c r="AV51" s="2388" t="b">
        <f t="shared" si="9"/>
        <v>0</v>
      </c>
      <c r="AW51" s="2388" t="b">
        <f t="shared" si="150"/>
        <v>1</v>
      </c>
      <c r="AX51" s="2388">
        <f t="shared" ca="1" si="169"/>
        <v>0</v>
      </c>
      <c r="AY51" s="2388" t="e">
        <f ca="1">AR51/reliefs!$G$7*AX51*-1</f>
        <v>#VALUE!</v>
      </c>
      <c r="AZ51" s="2395"/>
      <c r="BA51" s="2397"/>
      <c r="BB51" s="2388"/>
      <c r="BC51" s="2388"/>
      <c r="BD51" s="2388"/>
      <c r="BE51" s="2388"/>
      <c r="BF51" s="2390"/>
      <c r="BG51" s="2388"/>
      <c r="BH51" s="2388"/>
      <c r="BI51" s="2388"/>
      <c r="BJ51" s="2388"/>
      <c r="BK51" s="2388"/>
      <c r="BL51" s="2388"/>
      <c r="BM51" s="2388"/>
      <c r="BN51" s="2388"/>
      <c r="BO51" s="2388"/>
      <c r="BP51" s="2388"/>
      <c r="BQ51" s="2388"/>
      <c r="BR51" s="2388"/>
      <c r="BS51" s="2388"/>
      <c r="BT51" s="2388"/>
      <c r="BU51" s="2388"/>
      <c r="BV51" s="2388"/>
      <c r="BW51" s="2388"/>
      <c r="BX51" s="2388"/>
      <c r="BY51" s="2388"/>
      <c r="BZ51" s="2388"/>
      <c r="CA51" s="2388"/>
      <c r="CB51" s="2388"/>
      <c r="CC51" s="2388"/>
      <c r="CD51" s="2388"/>
      <c r="CE51" s="2395"/>
      <c r="CF51" s="2395"/>
      <c r="CG51" s="2395"/>
    </row>
    <row r="52" spans="1:85" s="2396" customFormat="1" x14ac:dyDescent="0.35">
      <c r="A52" s="2388">
        <f t="shared" si="151"/>
        <v>10</v>
      </c>
      <c r="B52" s="2389">
        <f>IF(input_engine_rx!$AE$21&gt;A51,VLOOKUP(A52,input_engine_rx!$AE$23:$AI$35,2,FALSE),"")</f>
        <v>46113</v>
      </c>
      <c r="C52" s="2388">
        <f t="shared" si="152"/>
        <v>4</v>
      </c>
      <c r="D52" s="2389">
        <f t="shared" si="153"/>
        <v>46477</v>
      </c>
      <c r="E52" s="2390" t="str">
        <f>IF(B52="",E51,VLOOKUP(B52,input_engine_rx!$B$23:$F$35,5,FALSE))</f>
        <v>nn</v>
      </c>
      <c r="F52" s="2389">
        <f t="shared" si="154"/>
        <v>46113</v>
      </c>
      <c r="G52" s="2389">
        <f t="shared" si="155"/>
        <v>46112</v>
      </c>
      <c r="H52" s="2390">
        <f t="shared" si="156"/>
        <v>0</v>
      </c>
      <c r="I52" s="2388">
        <f t="shared" ca="1" si="140"/>
        <v>0</v>
      </c>
      <c r="J52" s="2388">
        <f t="shared" ca="1" si="141"/>
        <v>0</v>
      </c>
      <c r="K52" s="2388">
        <f t="shared" si="142"/>
        <v>0</v>
      </c>
      <c r="L52" s="2388" t="str">
        <f>IF(input_engine_rx!$AE$21&gt;A51,VLOOKUP(A52,input_engine_rx!$AE$23:$AI$36,3,FALSE),"")</f>
        <v/>
      </c>
      <c r="M52" s="2390" t="str">
        <f t="shared" si="157"/>
        <v>up</v>
      </c>
      <c r="N52" s="2390">
        <f t="shared" si="170"/>
        <v>0</v>
      </c>
      <c r="O52" s="2390" t="e">
        <f t="shared" ca="1" si="143"/>
        <v>#VALUE!</v>
      </c>
      <c r="P52" s="2391">
        <f t="shared" si="158"/>
        <v>0.51900000000000002</v>
      </c>
      <c r="Q52" s="2388" t="e">
        <f t="shared" ca="1" si="159"/>
        <v>#VALUE!</v>
      </c>
      <c r="R52" s="2388" t="e">
        <f t="shared" ca="1" si="160"/>
        <v>#VALUE!</v>
      </c>
      <c r="S52" s="2392">
        <f>IF(input_engine_rx!$AE$21&gt;A51,VLOOKUP(A52,input_engine_rx!$AE$23:$AI$35,4,FALSE),0)</f>
        <v>1</v>
      </c>
      <c r="T52" s="2442" t="e">
        <f t="shared" ca="1" si="144"/>
        <v>#VALUE!</v>
      </c>
      <c r="U52" s="2388" t="b">
        <f t="shared" si="161"/>
        <v>0</v>
      </c>
      <c r="V52" s="2388" t="b">
        <f>advanced!$M$25="y"</f>
        <v>0</v>
      </c>
      <c r="W52" s="2388">
        <f>data!$D$36</f>
        <v>15000</v>
      </c>
      <c r="X52" s="2388" t="b">
        <f t="shared" si="24"/>
        <v>0</v>
      </c>
      <c r="Y52" s="2388" t="e">
        <f t="shared" si="162"/>
        <v>#VALUE!</v>
      </c>
      <c r="Z52" s="2388">
        <f t="shared" si="145"/>
        <v>0</v>
      </c>
      <c r="AA52" s="2390">
        <f>data!$G$56</f>
        <v>75000</v>
      </c>
      <c r="AB52" s="2390">
        <f>data!$F$56</f>
        <v>0.02</v>
      </c>
      <c r="AC52" s="2388" t="e">
        <f t="shared" si="163"/>
        <v>#VALUE!</v>
      </c>
      <c r="AD52" s="2388" t="e">
        <f>IF(B52="",0,(IF($AE$1=authorities!$I$1,0,IF(L52&gt;AE52,VLOOKUP($AD$1,authorities!A:H,C52+1,FALSE),0)))*L52/$CK$5*H52)</f>
        <v>#VALUE!</v>
      </c>
      <c r="AE52" s="2388">
        <f>IF($AE$1=authorities!$I$1,0,$AE$1)</f>
        <v>0</v>
      </c>
      <c r="AF52" s="2390" t="str">
        <f>IF(input_engine_rx!$AE$21&gt;A51,VLOOKUP(A52,input_engine_rx!$AE$23:$AI$35,5,FALSE),0)</f>
        <v>n</v>
      </c>
      <c r="AG52" s="2390">
        <f>data!$C$46</f>
        <v>2900</v>
      </c>
      <c r="AH52" s="2393">
        <f t="shared" si="164"/>
        <v>1</v>
      </c>
      <c r="AI52" s="2388">
        <f t="shared" si="165"/>
        <v>0</v>
      </c>
      <c r="AJ52" s="2388" t="b">
        <f t="shared" ca="1" si="166"/>
        <v>0</v>
      </c>
      <c r="AK52" s="2388"/>
      <c r="AL52" s="2388">
        <f t="shared" ca="1" si="167"/>
        <v>0</v>
      </c>
      <c r="AM52" s="2388"/>
      <c r="AN52" s="2388"/>
      <c r="AO52" s="2390">
        <f t="shared" si="146"/>
        <v>0</v>
      </c>
      <c r="AP52" s="2390">
        <f ca="1">SUM($AO$3:AO52)</f>
        <v>3</v>
      </c>
      <c r="AQ52" s="2390">
        <f t="shared" si="147"/>
        <v>365</v>
      </c>
      <c r="AR52" s="2388" t="e">
        <f t="shared" ca="1" si="148"/>
        <v>#VALUE!</v>
      </c>
      <c r="AS52" s="2395"/>
      <c r="AT52" s="2388" t="str">
        <f t="shared" ca="1" si="168"/>
        <v/>
      </c>
      <c r="AU52" s="2388" t="b">
        <f t="shared" ca="1" si="149"/>
        <v>0</v>
      </c>
      <c r="AV52" s="2388" t="b">
        <f t="shared" si="9"/>
        <v>0</v>
      </c>
      <c r="AW52" s="2388" t="b">
        <f t="shared" si="150"/>
        <v>1</v>
      </c>
      <c r="AX52" s="2388">
        <f t="shared" ca="1" si="169"/>
        <v>0</v>
      </c>
      <c r="AY52" s="2388" t="e">
        <f ca="1">AR52/reliefs!$G$7*AX52*-1</f>
        <v>#VALUE!</v>
      </c>
      <c r="AZ52" s="2395"/>
      <c r="BA52" s="2397"/>
      <c r="BB52" s="2388"/>
      <c r="BC52" s="2388"/>
      <c r="BD52" s="2388"/>
      <c r="BE52" s="2388"/>
      <c r="BF52" s="2390"/>
      <c r="BG52" s="2388"/>
      <c r="BH52" s="2388"/>
      <c r="BI52" s="2388"/>
      <c r="BJ52" s="2388"/>
      <c r="BK52" s="2388"/>
      <c r="BL52" s="2388"/>
      <c r="BM52" s="2388"/>
      <c r="BN52" s="2388"/>
      <c r="BO52" s="2388"/>
      <c r="BP52" s="2388"/>
      <c r="BQ52" s="2388"/>
      <c r="BR52" s="2388"/>
      <c r="BS52" s="2388"/>
      <c r="BT52" s="2388"/>
      <c r="BU52" s="2388"/>
      <c r="BV52" s="2388"/>
      <c r="BW52" s="2388"/>
      <c r="BX52" s="2388"/>
      <c r="BY52" s="2388"/>
      <c r="BZ52" s="2388"/>
      <c r="CA52" s="2388"/>
      <c r="CB52" s="2388"/>
      <c r="CC52" s="2388"/>
      <c r="CD52" s="2388"/>
      <c r="CE52" s="2395"/>
      <c r="CF52" s="2395"/>
      <c r="CG52" s="2395"/>
    </row>
    <row r="53" spans="1:85" s="2396" customFormat="1" x14ac:dyDescent="0.35">
      <c r="A53" s="2388">
        <f t="shared" si="151"/>
        <v>11</v>
      </c>
      <c r="B53" s="2389">
        <f>IF(input_engine_rx!$AE$21&gt;A52,VLOOKUP(A53,input_engine_rx!$AE$23:$AI$35,2,FALSE),"")</f>
        <v>46113</v>
      </c>
      <c r="C53" s="2388">
        <f t="shared" si="152"/>
        <v>4</v>
      </c>
      <c r="D53" s="2389">
        <f t="shared" si="153"/>
        <v>46477</v>
      </c>
      <c r="E53" s="2390" t="str">
        <f>IF(B53="",E52,VLOOKUP(B53,input_engine_rx!$B$23:$F$35,5,FALSE))</f>
        <v>nn</v>
      </c>
      <c r="F53" s="2389">
        <f t="shared" si="154"/>
        <v>46113</v>
      </c>
      <c r="G53" s="2389" t="e">
        <f>IF(B53="","",IF(#REF!=C53,#REF!-1,D53))</f>
        <v>#REF!</v>
      </c>
      <c r="H53" s="2390" t="e">
        <f t="shared" si="156"/>
        <v>#REF!</v>
      </c>
      <c r="I53" s="2388">
        <f t="shared" ca="1" si="140"/>
        <v>0</v>
      </c>
      <c r="J53" s="2388">
        <f t="shared" ca="1" si="141"/>
        <v>0</v>
      </c>
      <c r="K53" s="2388">
        <f t="shared" si="142"/>
        <v>0</v>
      </c>
      <c r="L53" s="2388" t="str">
        <f>IF(input_engine_rx!$AE$21&gt;A52,VLOOKUP(A53,input_engine_rx!$AE$23:$AI$36,3,FALSE),"")</f>
        <v/>
      </c>
      <c r="M53" s="2390" t="str">
        <f t="shared" si="157"/>
        <v>up</v>
      </c>
      <c r="N53" s="2390">
        <f t="shared" si="170"/>
        <v>0</v>
      </c>
      <c r="O53" s="2390" t="e">
        <f t="shared" ca="1" si="143"/>
        <v>#REF!</v>
      </c>
      <c r="P53" s="2391">
        <f t="shared" si="158"/>
        <v>0.51900000000000002</v>
      </c>
      <c r="Q53" s="2388" t="e">
        <f t="shared" ca="1" si="159"/>
        <v>#REF!</v>
      </c>
      <c r="R53" s="2388" t="e">
        <f t="shared" ca="1" si="160"/>
        <v>#REF!</v>
      </c>
      <c r="S53" s="2392">
        <f>IF(input_engine_rx!$AE$21&gt;A52,VLOOKUP(A53,input_engine_rx!$AE$23:$AI$35,4,FALSE),0)</f>
        <v>1</v>
      </c>
      <c r="T53" s="2442" t="e">
        <f t="shared" ca="1" si="144"/>
        <v>#REF!</v>
      </c>
      <c r="U53" s="2388" t="b">
        <f t="shared" si="161"/>
        <v>0</v>
      </c>
      <c r="V53" s="2388" t="b">
        <f>advanced!$M$25="y"</f>
        <v>0</v>
      </c>
      <c r="W53" s="2388">
        <f>data!$D$36</f>
        <v>15000</v>
      </c>
      <c r="X53" s="2388" t="b">
        <f t="shared" si="24"/>
        <v>0</v>
      </c>
      <c r="Y53" s="2388" t="e">
        <f t="shared" si="162"/>
        <v>#VALUE!</v>
      </c>
      <c r="Z53" s="2388">
        <f t="shared" si="145"/>
        <v>0</v>
      </c>
      <c r="AA53" s="2390">
        <f>data!$G$56</f>
        <v>75000</v>
      </c>
      <c r="AB53" s="2390">
        <f>data!$F$56</f>
        <v>0.02</v>
      </c>
      <c r="AC53" s="2388" t="e">
        <f t="shared" si="163"/>
        <v>#VALUE!</v>
      </c>
      <c r="AD53" s="2388" t="e">
        <f>IF(B53="",0,(IF($AE$1=authorities!$I$1,0,IF(L53&gt;AE53,VLOOKUP($AD$1,authorities!A:H,C53+1,FALSE),0)))*L53/$CK$5*H53)</f>
        <v>#VALUE!</v>
      </c>
      <c r="AE53" s="2388">
        <f>IF($AE$1=authorities!$I$1,0,$AE$1)</f>
        <v>0</v>
      </c>
      <c r="AF53" s="2390" t="str">
        <f>IF(input_engine_rx!$AE$21&gt;A52,VLOOKUP(A53,input_engine_rx!$AE$23:$AI$35,5,FALSE),0)</f>
        <v>n</v>
      </c>
      <c r="AG53" s="2390">
        <f>data!$C$46</f>
        <v>2900</v>
      </c>
      <c r="AH53" s="2393">
        <f t="shared" si="164"/>
        <v>1</v>
      </c>
      <c r="AI53" s="2388">
        <f t="shared" si="165"/>
        <v>0</v>
      </c>
      <c r="AJ53" s="2388" t="b">
        <f t="shared" ca="1" si="166"/>
        <v>0</v>
      </c>
      <c r="AK53" s="2388"/>
      <c r="AL53" s="2388" t="e">
        <f t="shared" ca="1" si="167"/>
        <v>#REF!</v>
      </c>
      <c r="AM53" s="2388"/>
      <c r="AN53" s="2388"/>
      <c r="AO53" s="2390">
        <f t="shared" si="146"/>
        <v>0</v>
      </c>
      <c r="AP53" s="2390">
        <f ca="1">SUM($AO$3:AO53)</f>
        <v>3</v>
      </c>
      <c r="AQ53" s="2390">
        <f t="shared" si="147"/>
        <v>365</v>
      </c>
      <c r="AR53" s="2388" t="e">
        <f t="shared" ca="1" si="148"/>
        <v>#REF!</v>
      </c>
      <c r="AS53" s="2395"/>
      <c r="AT53" s="2388" t="str">
        <f t="shared" ca="1" si="168"/>
        <v/>
      </c>
      <c r="AU53" s="2388" t="b">
        <f t="shared" ca="1" si="149"/>
        <v>0</v>
      </c>
      <c r="AV53" s="2388" t="b">
        <f t="shared" si="9"/>
        <v>0</v>
      </c>
      <c r="AW53" s="2388" t="b">
        <f t="shared" si="150"/>
        <v>1</v>
      </c>
      <c r="AX53" s="2388">
        <f t="shared" ca="1" si="169"/>
        <v>0</v>
      </c>
      <c r="AY53" s="2388" t="e">
        <f ca="1">AR53/reliefs!$G$7*AX53*-1</f>
        <v>#REF!</v>
      </c>
      <c r="AZ53" s="2395"/>
      <c r="BA53" s="2397"/>
      <c r="BB53" s="2388"/>
      <c r="BC53" s="2388"/>
      <c r="BD53" s="2388"/>
      <c r="BE53" s="2388"/>
      <c r="BF53" s="2390"/>
      <c r="BG53" s="2388"/>
      <c r="BH53" s="2388"/>
      <c r="BI53" s="2388"/>
      <c r="BJ53" s="2388"/>
      <c r="BK53" s="2388"/>
      <c r="BL53" s="2388"/>
      <c r="BM53" s="2388"/>
      <c r="BN53" s="2388"/>
      <c r="BO53" s="2388"/>
      <c r="BP53" s="2388"/>
      <c r="BQ53" s="2388"/>
      <c r="BR53" s="2388"/>
      <c r="BS53" s="2388"/>
      <c r="BT53" s="2388"/>
      <c r="BU53" s="2388"/>
      <c r="BV53" s="2388"/>
      <c r="BW53" s="2388"/>
      <c r="BX53" s="2388"/>
      <c r="BY53" s="2388"/>
      <c r="BZ53" s="2388"/>
      <c r="CA53" s="2388"/>
      <c r="CB53" s="2388"/>
      <c r="CC53" s="2388"/>
      <c r="CD53" s="2388"/>
      <c r="CE53" s="2395"/>
      <c r="CF53" s="2395"/>
      <c r="CG53" s="2395"/>
    </row>
    <row r="54" spans="1:85" customFormat="1" x14ac:dyDescent="0.35">
      <c r="P54" s="1042"/>
      <c r="T54" s="2445" t="e">
        <f ca="1">ROUND(SUM(T42:T53),2)</f>
        <v>#VALUE!</v>
      </c>
      <c r="U54" s="1008">
        <f ca="1">U42+U43+U44+U45+U46+U47+U48+U49+U50+U51+U52+U53</f>
        <v>0</v>
      </c>
      <c r="AI54" s="1009">
        <f ca="1">SUM(AI42:AI53)</f>
        <v>0</v>
      </c>
      <c r="AJ54" s="1002">
        <f ca="1">AJ53+AJ52+AJ51+AJ50+AJ49+AJ48+AJ47+AJ46+AJ45+AJ44+AJ43+AJ42</f>
        <v>0</v>
      </c>
      <c r="AK54" s="997" t="str">
        <f ca="1">IF(AJ54=12,"Phased",IF(AJ54=0,"True","***"))</f>
        <v>True</v>
      </c>
      <c r="AL54" s="1002" t="e">
        <f ca="1">SUM(AL42:AL53)</f>
        <v>#REF!</v>
      </c>
      <c r="AM54" s="1010" t="e">
        <f ca="1">IF(AL54&lt;1,AL54,INT(AL54))</f>
        <v>#REF!</v>
      </c>
      <c r="AN54" s="1010" t="e">
        <f ca="1">IF(AL54-AM54&lt;&gt;0,"N/J + T",IF(AND(0&lt;AL54,AL54&lt;1),"P + T",IF(AL54&gt;=1,"N/J","")))</f>
        <v>#REF!</v>
      </c>
      <c r="AO54" s="5"/>
      <c r="AP54" s="1002">
        <f ca="1">SUM($AO$3:AO54)</f>
        <v>3</v>
      </c>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row>
    <row r="55" spans="1:85" customFormat="1" x14ac:dyDescent="0.35">
      <c r="P55" s="1042"/>
      <c r="AO55" s="5"/>
      <c r="AP55" s="1002"/>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row>
    <row r="56" spans="1:85" customFormat="1" x14ac:dyDescent="0.35">
      <c r="P56" s="1042"/>
      <c r="AO56" s="5"/>
      <c r="AP56" s="1002"/>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row>
    <row r="57" spans="1:85" customFormat="1" x14ac:dyDescent="0.35">
      <c r="P57" s="1042"/>
      <c r="AO57" s="5"/>
      <c r="AP57" s="1002"/>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row>
    <row r="58" spans="1:85" customFormat="1" x14ac:dyDescent="0.35">
      <c r="P58" s="1042"/>
      <c r="AO58" s="5"/>
      <c r="AP58" s="1002"/>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row>
    <row r="59" spans="1:85" customFormat="1" x14ac:dyDescent="0.35">
      <c r="P59" s="1042"/>
      <c r="AO59" s="5"/>
      <c r="AP59" s="1002"/>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row>
    <row r="60" spans="1:85" customFormat="1" x14ac:dyDescent="0.35">
      <c r="P60" s="1042"/>
      <c r="AO60" s="5"/>
      <c r="AP60" s="1002"/>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row>
    <row r="61" spans="1:85" customFormat="1" x14ac:dyDescent="0.35">
      <c r="P61" s="1042"/>
      <c r="AO61" s="5"/>
      <c r="AP61" s="1002"/>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row>
    <row r="62" spans="1:85" customFormat="1" x14ac:dyDescent="0.35">
      <c r="P62" s="1042"/>
      <c r="AO62" s="5"/>
      <c r="AP62" s="1002"/>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row>
    <row r="63" spans="1:85" customFormat="1" x14ac:dyDescent="0.35">
      <c r="P63" s="1042"/>
      <c r="AO63" s="5"/>
      <c r="AP63" s="1002"/>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row>
    <row r="64" spans="1:85" customFormat="1" x14ac:dyDescent="0.35">
      <c r="P64" s="1042"/>
      <c r="AO64" s="5"/>
      <c r="AP64" s="1002"/>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row>
    <row r="65" spans="16:85" customFormat="1" x14ac:dyDescent="0.35">
      <c r="P65" s="1042"/>
      <c r="AO65" s="5"/>
      <c r="AP65" s="1002"/>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row>
    <row r="66" spans="16:85" customFormat="1" x14ac:dyDescent="0.35">
      <c r="P66" s="1042"/>
      <c r="AO66" s="5"/>
      <c r="AP66" s="1002"/>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row>
    <row r="67" spans="16:85" customFormat="1" x14ac:dyDescent="0.35">
      <c r="P67" s="1042"/>
      <c r="AO67" s="5"/>
      <c r="AP67" s="1002"/>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row>
    <row r="68" spans="16:85" customFormat="1" x14ac:dyDescent="0.35">
      <c r="P68" s="1042"/>
      <c r="AO68" s="5"/>
      <c r="AP68" s="1002"/>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row>
    <row r="69" spans="16:85" customFormat="1" x14ac:dyDescent="0.35">
      <c r="P69" s="1042"/>
      <c r="AO69" s="5"/>
      <c r="AP69" s="1002"/>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row>
    <row r="70" spans="16:85" customFormat="1" x14ac:dyDescent="0.35">
      <c r="P70" s="1042"/>
      <c r="AO70" s="5"/>
      <c r="AP70" s="1002"/>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row>
    <row r="71" spans="16:85" customFormat="1" x14ac:dyDescent="0.35">
      <c r="P71" s="1042"/>
      <c r="AO71" s="5"/>
      <c r="AP71" s="1002"/>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row>
    <row r="72" spans="16:85" customFormat="1" x14ac:dyDescent="0.35">
      <c r="P72" s="1042"/>
      <c r="AO72" s="5"/>
      <c r="AP72" s="1002"/>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row>
    <row r="73" spans="16:85" customFormat="1" x14ac:dyDescent="0.35">
      <c r="P73" s="1042"/>
      <c r="AO73" s="5"/>
      <c r="AP73" s="1002"/>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row>
    <row r="74" spans="16:85" customFormat="1" x14ac:dyDescent="0.35">
      <c r="P74" s="1042"/>
      <c r="AO74" s="5"/>
      <c r="AP74" s="1002"/>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row>
    <row r="75" spans="16:85" customFormat="1" x14ac:dyDescent="0.35">
      <c r="P75" s="1042"/>
      <c r="AO75" s="5"/>
      <c r="AP75" s="1002"/>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row>
    <row r="76" spans="16:85" customFormat="1" x14ac:dyDescent="0.35">
      <c r="P76" s="1042"/>
      <c r="AO76" s="5"/>
      <c r="AP76" s="1002"/>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row>
    <row r="77" spans="16:85" customFormat="1" x14ac:dyDescent="0.35">
      <c r="P77" s="1042"/>
      <c r="AO77" s="5"/>
      <c r="AP77" s="1002"/>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row>
    <row r="78" spans="16:85" customFormat="1" x14ac:dyDescent="0.35">
      <c r="P78" s="1042"/>
      <c r="AO78" s="5"/>
      <c r="AP78" s="1002"/>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row>
    <row r="79" spans="16:85" customFormat="1" x14ac:dyDescent="0.35">
      <c r="P79" s="1042"/>
      <c r="AO79" s="5"/>
      <c r="AP79" s="1002"/>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row>
    <row r="80" spans="16:85" customFormat="1" x14ac:dyDescent="0.35">
      <c r="P80" s="1042"/>
      <c r="AO80" s="5"/>
      <c r="AP80" s="1002"/>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row>
    <row r="81" spans="16:85" customFormat="1" x14ac:dyDescent="0.35">
      <c r="P81" s="1042"/>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row>
    <row r="82" spans="16:85" customFormat="1" x14ac:dyDescent="0.35">
      <c r="P82" s="1042"/>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row>
    <row r="83" spans="16:85" customFormat="1" x14ac:dyDescent="0.35">
      <c r="P83" s="1042"/>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row>
    <row r="84" spans="16:85" customFormat="1" x14ac:dyDescent="0.35">
      <c r="P84" s="1042"/>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row>
    <row r="85" spans="16:85" customFormat="1" x14ac:dyDescent="0.35">
      <c r="P85" s="1042"/>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row>
    <row r="86" spans="16:85" customFormat="1" x14ac:dyDescent="0.35">
      <c r="P86" s="1042"/>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row>
    <row r="87" spans="16:85" customFormat="1" x14ac:dyDescent="0.35">
      <c r="P87" s="1042"/>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row>
    <row r="88" spans="16:85" customFormat="1" x14ac:dyDescent="0.35">
      <c r="P88" s="1042"/>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row>
    <row r="89" spans="16:85" customFormat="1" x14ac:dyDescent="0.35">
      <c r="P89" s="1042"/>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row>
    <row r="90" spans="16:85" customFormat="1" x14ac:dyDescent="0.35">
      <c r="P90" s="1042"/>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row>
    <row r="91" spans="16:85" customFormat="1" x14ac:dyDescent="0.35">
      <c r="P91" s="1042"/>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row>
    <row r="92" spans="16:85" customFormat="1" x14ac:dyDescent="0.35">
      <c r="P92" s="1042"/>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row>
    <row r="93" spans="16:85" customFormat="1" x14ac:dyDescent="0.35">
      <c r="P93" s="1042"/>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row>
    <row r="94" spans="16:85" customFormat="1" x14ac:dyDescent="0.35">
      <c r="P94" s="1042"/>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row>
    <row r="95" spans="16:85" customFormat="1" x14ac:dyDescent="0.35">
      <c r="P95" s="1042"/>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row>
    <row r="96" spans="16:85" customFormat="1" x14ac:dyDescent="0.35">
      <c r="P96" s="1042"/>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row>
    <row r="97" spans="16:85" customFormat="1" x14ac:dyDescent="0.35">
      <c r="P97" s="1042"/>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row>
    <row r="98" spans="16:85" customFormat="1" x14ac:dyDescent="0.35">
      <c r="P98" s="1042"/>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row>
    <row r="99" spans="16:85" customFormat="1" x14ac:dyDescent="0.35">
      <c r="P99" s="1042"/>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row>
    <row r="100" spans="16:85" customFormat="1" x14ac:dyDescent="0.35">
      <c r="P100" s="1042"/>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row>
    <row r="101" spans="16:85" customFormat="1" x14ac:dyDescent="0.35">
      <c r="P101" s="1042"/>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row>
    <row r="102" spans="16:85" customFormat="1" x14ac:dyDescent="0.35">
      <c r="P102" s="1042"/>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row>
    <row r="103" spans="16:85" customFormat="1" x14ac:dyDescent="0.35">
      <c r="P103" s="1042"/>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row>
    <row r="104" spans="16:85" customFormat="1" x14ac:dyDescent="0.35">
      <c r="P104" s="1042"/>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row>
    <row r="105" spans="16:85" customFormat="1" x14ac:dyDescent="0.35">
      <c r="P105" s="1042"/>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row>
    <row r="106" spans="16:85" customFormat="1" x14ac:dyDescent="0.35">
      <c r="P106" s="1042"/>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row>
    <row r="107" spans="16:85" customFormat="1" x14ac:dyDescent="0.35">
      <c r="P107" s="1042"/>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row>
    <row r="108" spans="16:85" customFormat="1" x14ac:dyDescent="0.35">
      <c r="P108" s="1042"/>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row>
    <row r="109" spans="16:85" customFormat="1" x14ac:dyDescent="0.35">
      <c r="P109" s="1042"/>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row>
    <row r="110" spans="16:85" customFormat="1" x14ac:dyDescent="0.35">
      <c r="P110" s="1042"/>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row>
    <row r="111" spans="16:85" customFormat="1" x14ac:dyDescent="0.35">
      <c r="P111" s="1042"/>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row>
    <row r="112" spans="16:85" customFormat="1" x14ac:dyDescent="0.35">
      <c r="P112" s="1042"/>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row>
    <row r="113" spans="16:85" customFormat="1" x14ac:dyDescent="0.35">
      <c r="P113" s="1042"/>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row>
    <row r="114" spans="16:85" customFormat="1" x14ac:dyDescent="0.35">
      <c r="P114" s="1042"/>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row>
    <row r="115" spans="16:85" customFormat="1" x14ac:dyDescent="0.35">
      <c r="P115" s="1042"/>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row>
    <row r="116" spans="16:85" customFormat="1" x14ac:dyDescent="0.35">
      <c r="P116" s="1042"/>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row>
    <row r="117" spans="16:85" customFormat="1" x14ac:dyDescent="0.35">
      <c r="P117" s="1042"/>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row>
    <row r="118" spans="16:85" customFormat="1" x14ac:dyDescent="0.35">
      <c r="P118" s="1042"/>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row>
    <row r="119" spans="16:85" customFormat="1" x14ac:dyDescent="0.35">
      <c r="P119" s="1042"/>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row>
    <row r="120" spans="16:85" customFormat="1" x14ac:dyDescent="0.35">
      <c r="P120" s="1042"/>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row>
    <row r="121" spans="16:85" customFormat="1" x14ac:dyDescent="0.35">
      <c r="P121" s="1042"/>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row>
    <row r="122" spans="16:85" customFormat="1" x14ac:dyDescent="0.35">
      <c r="P122" s="1042"/>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row>
    <row r="123" spans="16:85" customFormat="1" x14ac:dyDescent="0.35">
      <c r="P123" s="1042"/>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row>
    <row r="124" spans="16:85" customFormat="1" x14ac:dyDescent="0.35">
      <c r="P124" s="1042"/>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row>
    <row r="125" spans="16:85" customFormat="1" x14ac:dyDescent="0.35">
      <c r="P125" s="1042"/>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row>
    <row r="126" spans="16:85" customFormat="1" x14ac:dyDescent="0.35">
      <c r="P126" s="1042"/>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row>
    <row r="127" spans="16:85" customFormat="1" x14ac:dyDescent="0.35">
      <c r="P127" s="1042"/>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row>
    <row r="128" spans="16:85" customFormat="1" x14ac:dyDescent="0.35">
      <c r="P128" s="1042"/>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row>
    <row r="129" spans="16:85" customFormat="1" x14ac:dyDescent="0.35">
      <c r="P129" s="1042"/>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row>
    <row r="130" spans="16:85" customFormat="1" x14ac:dyDescent="0.35">
      <c r="P130" s="1042"/>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row>
    <row r="131" spans="16:85" customFormat="1" x14ac:dyDescent="0.35">
      <c r="P131" s="1042"/>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row>
    <row r="132" spans="16:85" customFormat="1" x14ac:dyDescent="0.35">
      <c r="P132" s="1042"/>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row>
    <row r="133" spans="16:85" customFormat="1" x14ac:dyDescent="0.35">
      <c r="P133" s="1042"/>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row>
    <row r="134" spans="16:85" customFormat="1" x14ac:dyDescent="0.35">
      <c r="P134" s="1042"/>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row>
    <row r="135" spans="16:85" customFormat="1" x14ac:dyDescent="0.35">
      <c r="P135" s="1042"/>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row>
    <row r="136" spans="16:85" customFormat="1" x14ac:dyDescent="0.35">
      <c r="P136" s="1042"/>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row>
    <row r="137" spans="16:85" customFormat="1" x14ac:dyDescent="0.35">
      <c r="P137" s="1042"/>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row>
    <row r="138" spans="16:85" customFormat="1" x14ac:dyDescent="0.35">
      <c r="P138" s="1042"/>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row>
    <row r="139" spans="16:85" customFormat="1" x14ac:dyDescent="0.35">
      <c r="P139" s="1042"/>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row>
    <row r="140" spans="16:85" customFormat="1" x14ac:dyDescent="0.35">
      <c r="P140" s="1042"/>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row>
    <row r="141" spans="16:85" customFormat="1" x14ac:dyDescent="0.35">
      <c r="P141" s="1042"/>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row>
    <row r="142" spans="16:85" customFormat="1" x14ac:dyDescent="0.35">
      <c r="P142" s="1042"/>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row>
    <row r="143" spans="16:85" customFormat="1" x14ac:dyDescent="0.35">
      <c r="P143" s="1042"/>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row>
    <row r="144" spans="16:85" customFormat="1" x14ac:dyDescent="0.35">
      <c r="P144" s="1042"/>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row>
    <row r="145" spans="16:85" customFormat="1" x14ac:dyDescent="0.35">
      <c r="P145" s="1042"/>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row>
    <row r="146" spans="16:85" customFormat="1" x14ac:dyDescent="0.35">
      <c r="P146" s="1042"/>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row>
    <row r="147" spans="16:85" customFormat="1" x14ac:dyDescent="0.35">
      <c r="P147" s="1042"/>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row>
    <row r="148" spans="16:85" customFormat="1" x14ac:dyDescent="0.35">
      <c r="P148" s="1042"/>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row>
    <row r="149" spans="16:85" customFormat="1" x14ac:dyDescent="0.35">
      <c r="P149" s="1042"/>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row>
    <row r="150" spans="16:85" customFormat="1" x14ac:dyDescent="0.35">
      <c r="P150" s="1042"/>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row>
    <row r="151" spans="16:85" customFormat="1" x14ac:dyDescent="0.35">
      <c r="P151" s="1042"/>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row>
    <row r="152" spans="16:85" customFormat="1" x14ac:dyDescent="0.35">
      <c r="P152" s="1042"/>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row>
    <row r="153" spans="16:85" customFormat="1" x14ac:dyDescent="0.35">
      <c r="P153" s="1042"/>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row>
    <row r="154" spans="16:85" customFormat="1" x14ac:dyDescent="0.35">
      <c r="P154" s="1042"/>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row>
    <row r="155" spans="16:85" customFormat="1" x14ac:dyDescent="0.35">
      <c r="P155" s="1042"/>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row>
    <row r="156" spans="16:85" customFormat="1" x14ac:dyDescent="0.35">
      <c r="P156" s="1042"/>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row>
    <row r="157" spans="16:85" customFormat="1" x14ac:dyDescent="0.35">
      <c r="P157" s="1042"/>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row>
    <row r="158" spans="16:85" customFormat="1" x14ac:dyDescent="0.35">
      <c r="P158" s="1042"/>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row>
    <row r="159" spans="16:85" customFormat="1" x14ac:dyDescent="0.35">
      <c r="P159" s="1042"/>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row>
    <row r="160" spans="16:85" customFormat="1" x14ac:dyDescent="0.35">
      <c r="P160" s="1042"/>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row>
    <row r="161" spans="16:85" customFormat="1" x14ac:dyDescent="0.35">
      <c r="P161" s="1042"/>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row>
    <row r="162" spans="16:85" customFormat="1" x14ac:dyDescent="0.35">
      <c r="P162" s="1042"/>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row>
    <row r="163" spans="16:85" customFormat="1" x14ac:dyDescent="0.35">
      <c r="P163" s="1042"/>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row>
    <row r="164" spans="16:85" customFormat="1" x14ac:dyDescent="0.35">
      <c r="P164" s="1042"/>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row>
    <row r="165" spans="16:85" customFormat="1" x14ac:dyDescent="0.35">
      <c r="P165" s="1042"/>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row>
    <row r="166" spans="16:85" customFormat="1" x14ac:dyDescent="0.35">
      <c r="P166" s="1042"/>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row>
    <row r="167" spans="16:85" customFormat="1" x14ac:dyDescent="0.35">
      <c r="P167" s="1042"/>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row>
    <row r="168" spans="16:85" customFormat="1" x14ac:dyDescent="0.35">
      <c r="P168" s="1042"/>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row>
    <row r="169" spans="16:85" customFormat="1" x14ac:dyDescent="0.35">
      <c r="P169" s="1042"/>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row>
    <row r="170" spans="16:85" customFormat="1" x14ac:dyDescent="0.35">
      <c r="P170" s="1042"/>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row>
    <row r="171" spans="16:85" customFormat="1" x14ac:dyDescent="0.35">
      <c r="P171" s="1042"/>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row>
    <row r="172" spans="16:85" customFormat="1" x14ac:dyDescent="0.35">
      <c r="P172" s="1042"/>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row>
    <row r="173" spans="16:85" customFormat="1" x14ac:dyDescent="0.35">
      <c r="P173" s="1042"/>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row>
    <row r="174" spans="16:85" customFormat="1" x14ac:dyDescent="0.35">
      <c r="P174" s="1042"/>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row>
    <row r="175" spans="16:85" customFormat="1" x14ac:dyDescent="0.35">
      <c r="P175" s="1042"/>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row>
    <row r="176" spans="16:85" customFormat="1" x14ac:dyDescent="0.35">
      <c r="P176" s="1042"/>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row>
    <row r="177" spans="16:85" customFormat="1" x14ac:dyDescent="0.35">
      <c r="P177" s="1042"/>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row>
    <row r="178" spans="16:85" customFormat="1" x14ac:dyDescent="0.35">
      <c r="P178" s="1042"/>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row>
    <row r="179" spans="16:85" customFormat="1" x14ac:dyDescent="0.35">
      <c r="P179" s="1042"/>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row>
    <row r="180" spans="16:85" customFormat="1" x14ac:dyDescent="0.35">
      <c r="P180" s="1042"/>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row>
    <row r="181" spans="16:85" customFormat="1" x14ac:dyDescent="0.35">
      <c r="P181" s="1042"/>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row>
    <row r="182" spans="16:85" customFormat="1" x14ac:dyDescent="0.35">
      <c r="P182" s="1042"/>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row>
    <row r="183" spans="16:85" customFormat="1" x14ac:dyDescent="0.35">
      <c r="P183" s="1042"/>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row>
    <row r="184" spans="16:85" customFormat="1" x14ac:dyDescent="0.35">
      <c r="P184" s="1042"/>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row>
    <row r="185" spans="16:85" customFormat="1" x14ac:dyDescent="0.35">
      <c r="P185" s="1042"/>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row>
    <row r="186" spans="16:85" customFormat="1" x14ac:dyDescent="0.35">
      <c r="P186" s="1042"/>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row>
    <row r="187" spans="16:85" customFormat="1" x14ac:dyDescent="0.35">
      <c r="P187" s="1042"/>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row>
    <row r="188" spans="16:85" customFormat="1" x14ac:dyDescent="0.35">
      <c r="P188" s="1042"/>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row>
    <row r="189" spans="16:85" customFormat="1" x14ac:dyDescent="0.35">
      <c r="P189" s="1042"/>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row>
    <row r="190" spans="16:85" customFormat="1" x14ac:dyDescent="0.35">
      <c r="P190" s="1042"/>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row>
    <row r="191" spans="16:85" customFormat="1" x14ac:dyDescent="0.35">
      <c r="P191" s="1042"/>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row>
    <row r="192" spans="16:85" customFormat="1" x14ac:dyDescent="0.35">
      <c r="P192" s="1042"/>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row>
    <row r="193" spans="16:85" customFormat="1" x14ac:dyDescent="0.35">
      <c r="P193" s="1042"/>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row>
    <row r="194" spans="16:85" customFormat="1" x14ac:dyDescent="0.35">
      <c r="P194" s="1042"/>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row>
    <row r="195" spans="16:85" customFormat="1" x14ac:dyDescent="0.35">
      <c r="P195" s="1042"/>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row>
    <row r="196" spans="16:85" customFormat="1" x14ac:dyDescent="0.35">
      <c r="P196" s="1042"/>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row>
    <row r="197" spans="16:85" customFormat="1" x14ac:dyDescent="0.35">
      <c r="P197" s="1042"/>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row>
    <row r="198" spans="16:85" customFormat="1" x14ac:dyDescent="0.35">
      <c r="P198" s="1042"/>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row>
    <row r="199" spans="16:85" customFormat="1" x14ac:dyDescent="0.35">
      <c r="P199" s="1042"/>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row>
    <row r="200" spans="16:85" customFormat="1" x14ac:dyDescent="0.35">
      <c r="P200" s="1042"/>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row>
    <row r="201" spans="16:85" customFormat="1" x14ac:dyDescent="0.35">
      <c r="P201" s="1042"/>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row>
    <row r="202" spans="16:85" customFormat="1" x14ac:dyDescent="0.35">
      <c r="P202" s="1042"/>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row>
    <row r="203" spans="16:85" customFormat="1" x14ac:dyDescent="0.35">
      <c r="P203" s="1042"/>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row>
    <row r="204" spans="16:85" customFormat="1" x14ac:dyDescent="0.35">
      <c r="P204" s="1042"/>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row>
    <row r="205" spans="16:85" customFormat="1" x14ac:dyDescent="0.35">
      <c r="P205" s="1042"/>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row>
    <row r="206" spans="16:85" customFormat="1" x14ac:dyDescent="0.35">
      <c r="P206" s="1042"/>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row>
    <row r="207" spans="16:85" customFormat="1" x14ac:dyDescent="0.35">
      <c r="P207" s="1042"/>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row>
    <row r="208" spans="16:85" customFormat="1" x14ac:dyDescent="0.35">
      <c r="P208" s="1042"/>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row>
    <row r="209" spans="16:85" customFormat="1" x14ac:dyDescent="0.35">
      <c r="P209" s="1042"/>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row>
    <row r="210" spans="16:85" customFormat="1" x14ac:dyDescent="0.35">
      <c r="P210" s="1042"/>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row>
    <row r="211" spans="16:85" customFormat="1" x14ac:dyDescent="0.35">
      <c r="P211" s="1042"/>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row>
    <row r="212" spans="16:85" customFormat="1" x14ac:dyDescent="0.35">
      <c r="P212" s="1042"/>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row>
    <row r="213" spans="16:85" customFormat="1" x14ac:dyDescent="0.35">
      <c r="P213" s="1042"/>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row>
    <row r="214" spans="16:85" customFormat="1" x14ac:dyDescent="0.35">
      <c r="P214" s="1042"/>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row>
    <row r="215" spans="16:85" customFormat="1" x14ac:dyDescent="0.35">
      <c r="P215" s="1042"/>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row>
    <row r="216" spans="16:85" customFormat="1" x14ac:dyDescent="0.35">
      <c r="P216" s="1042"/>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row>
    <row r="217" spans="16:85" customFormat="1" x14ac:dyDescent="0.35">
      <c r="P217" s="1042"/>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row>
    <row r="218" spans="16:85" customFormat="1" x14ac:dyDescent="0.35">
      <c r="P218" s="1042"/>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row>
    <row r="219" spans="16:85" customFormat="1" x14ac:dyDescent="0.35">
      <c r="P219" s="1042"/>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row>
    <row r="220" spans="16:85" customFormat="1" x14ac:dyDescent="0.35">
      <c r="P220" s="1042"/>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row>
    <row r="221" spans="16:85" customFormat="1" x14ac:dyDescent="0.35">
      <c r="P221" s="1042"/>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row>
    <row r="222" spans="16:85" customFormat="1" x14ac:dyDescent="0.35">
      <c r="P222" s="1042"/>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row>
    <row r="223" spans="16:85" customFormat="1" x14ac:dyDescent="0.35">
      <c r="P223" s="1042"/>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row>
    <row r="224" spans="16:85" customFormat="1" x14ac:dyDescent="0.35">
      <c r="P224" s="1042"/>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row>
    <row r="225" spans="16:85" customFormat="1" x14ac:dyDescent="0.35">
      <c r="P225" s="1042"/>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row>
    <row r="226" spans="16:85" customFormat="1" x14ac:dyDescent="0.35">
      <c r="P226" s="1042"/>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row>
    <row r="227" spans="16:85" customFormat="1" x14ac:dyDescent="0.35">
      <c r="P227" s="1042"/>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row>
    <row r="228" spans="16:85" customFormat="1" x14ac:dyDescent="0.35">
      <c r="P228" s="1042"/>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row>
    <row r="229" spans="16:85" customFormat="1" x14ac:dyDescent="0.35">
      <c r="P229" s="1042"/>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row>
    <row r="230" spans="16:85" customFormat="1" x14ac:dyDescent="0.35">
      <c r="P230" s="1042"/>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row>
    <row r="231" spans="16:85" customFormat="1" x14ac:dyDescent="0.35">
      <c r="P231" s="1042"/>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row>
    <row r="232" spans="16:85" customFormat="1" x14ac:dyDescent="0.35">
      <c r="P232" s="1042"/>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row>
    <row r="233" spans="16:85" customFormat="1" x14ac:dyDescent="0.35">
      <c r="P233" s="1042"/>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row>
    <row r="234" spans="16:85" customFormat="1" x14ac:dyDescent="0.35">
      <c r="P234" s="1042"/>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row>
    <row r="235" spans="16:85" customFormat="1" x14ac:dyDescent="0.35">
      <c r="P235" s="1042"/>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row>
    <row r="236" spans="16:85" customFormat="1" x14ac:dyDescent="0.35">
      <c r="P236" s="1042"/>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row>
    <row r="237" spans="16:85" customFormat="1" x14ac:dyDescent="0.35">
      <c r="P237" s="1042"/>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row>
    <row r="238" spans="16:85" customFormat="1" x14ac:dyDescent="0.35">
      <c r="P238" s="1042"/>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row>
    <row r="239" spans="16:85" customFormat="1" x14ac:dyDescent="0.35">
      <c r="P239" s="1042"/>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row>
    <row r="240" spans="16:85" customFormat="1" x14ac:dyDescent="0.35">
      <c r="P240" s="1042"/>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row>
    <row r="241" spans="16:85" customFormat="1" x14ac:dyDescent="0.35">
      <c r="P241" s="1042"/>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row>
    <row r="242" spans="16:85" customFormat="1" x14ac:dyDescent="0.35">
      <c r="P242" s="1042"/>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row>
    <row r="243" spans="16:85" customFormat="1" x14ac:dyDescent="0.35">
      <c r="P243" s="1042"/>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row>
    <row r="244" spans="16:85" customFormat="1" x14ac:dyDescent="0.35">
      <c r="P244" s="1042"/>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row>
    <row r="245" spans="16:85" customFormat="1" x14ac:dyDescent="0.35">
      <c r="P245" s="1042"/>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row>
    <row r="246" spans="16:85" customFormat="1" x14ac:dyDescent="0.35">
      <c r="P246" s="1042"/>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row>
    <row r="247" spans="16:85" customFormat="1" x14ac:dyDescent="0.35">
      <c r="P247" s="1042"/>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row>
    <row r="248" spans="16:85" customFormat="1" x14ac:dyDescent="0.35">
      <c r="P248" s="1042"/>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row>
    <row r="249" spans="16:85" customFormat="1" x14ac:dyDescent="0.35">
      <c r="P249" s="1042"/>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row>
    <row r="250" spans="16:85" customFormat="1" x14ac:dyDescent="0.35">
      <c r="P250" s="1042"/>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row>
    <row r="251" spans="16:85" customFormat="1" x14ac:dyDescent="0.35">
      <c r="P251" s="1042"/>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row>
    <row r="252" spans="16:85" customFormat="1" x14ac:dyDescent="0.35">
      <c r="P252" s="1042"/>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row>
    <row r="253" spans="16:85" customFormat="1" x14ac:dyDescent="0.35">
      <c r="P253" s="1042"/>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row>
    <row r="254" spans="16:85" customFormat="1" x14ac:dyDescent="0.35">
      <c r="P254" s="1042"/>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row>
    <row r="255" spans="16:85" customFormat="1" x14ac:dyDescent="0.35">
      <c r="P255" s="1042"/>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row>
    <row r="256" spans="16:85" customFormat="1" x14ac:dyDescent="0.35">
      <c r="P256" s="1042"/>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row>
    <row r="257" spans="16:85" customFormat="1" x14ac:dyDescent="0.35">
      <c r="P257" s="1042"/>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row>
    <row r="258" spans="16:85" customFormat="1" x14ac:dyDescent="0.35">
      <c r="P258" s="1042"/>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row>
    <row r="259" spans="16:85" customFormat="1" x14ac:dyDescent="0.35">
      <c r="P259" s="1042"/>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row>
    <row r="260" spans="16:85" customFormat="1" x14ac:dyDescent="0.35">
      <c r="P260" s="1042"/>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row>
    <row r="261" spans="16:85" customFormat="1" x14ac:dyDescent="0.35">
      <c r="P261" s="1042"/>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row>
    <row r="262" spans="16:85" customFormat="1" x14ac:dyDescent="0.35">
      <c r="P262" s="1042"/>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row>
    <row r="263" spans="16:85" customFormat="1" x14ac:dyDescent="0.35">
      <c r="P263" s="1042"/>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row>
    <row r="264" spans="16:85" customFormat="1" x14ac:dyDescent="0.35">
      <c r="P264" s="1042"/>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row>
    <row r="265" spans="16:85" customFormat="1" x14ac:dyDescent="0.35">
      <c r="P265" s="1042"/>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row>
    <row r="266" spans="16:85" customFormat="1" x14ac:dyDescent="0.35">
      <c r="P266" s="1042"/>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row>
    <row r="267" spans="16:85" customFormat="1" x14ac:dyDescent="0.35">
      <c r="P267" s="1042"/>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row>
    <row r="268" spans="16:85" customFormat="1" x14ac:dyDescent="0.35">
      <c r="P268" s="1042"/>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row>
    <row r="269" spans="16:85" customFormat="1" x14ac:dyDescent="0.35">
      <c r="P269" s="1042"/>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row>
    <row r="270" spans="16:85" customFormat="1" x14ac:dyDescent="0.35">
      <c r="P270" s="1042"/>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row>
    <row r="271" spans="16:85" customFormat="1" x14ac:dyDescent="0.35">
      <c r="P271" s="1042"/>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row>
    <row r="272" spans="16:85" customFormat="1" x14ac:dyDescent="0.35">
      <c r="P272" s="1042"/>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row>
    <row r="273" spans="16:85" customFormat="1" x14ac:dyDescent="0.35">
      <c r="P273" s="1042"/>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row>
    <row r="274" spans="16:85" customFormat="1" x14ac:dyDescent="0.35">
      <c r="P274" s="1042"/>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row>
    <row r="275" spans="16:85" customFormat="1" x14ac:dyDescent="0.35">
      <c r="P275" s="1042"/>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row>
    <row r="276" spans="16:85" customFormat="1" x14ac:dyDescent="0.35">
      <c r="P276" s="1042"/>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row>
    <row r="277" spans="16:85" customFormat="1" x14ac:dyDescent="0.35">
      <c r="P277" s="1042"/>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row>
    <row r="278" spans="16:85" customFormat="1" x14ac:dyDescent="0.35">
      <c r="P278" s="1042"/>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row>
    <row r="279" spans="16:85" customFormat="1" x14ac:dyDescent="0.35">
      <c r="P279" s="1042"/>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row>
    <row r="280" spans="16:85" customFormat="1" x14ac:dyDescent="0.35">
      <c r="P280" s="1042"/>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row>
    <row r="281" spans="16:85" customFormat="1" x14ac:dyDescent="0.35">
      <c r="P281" s="1042"/>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row>
    <row r="282" spans="16:85" customFormat="1" x14ac:dyDescent="0.35">
      <c r="P282" s="1042"/>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row>
    <row r="283" spans="16:85" customFormat="1" x14ac:dyDescent="0.35">
      <c r="P283" s="1042"/>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row>
    <row r="284" spans="16:85" customFormat="1" x14ac:dyDescent="0.35">
      <c r="P284" s="1042"/>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row>
    <row r="285" spans="16:85" customFormat="1" x14ac:dyDescent="0.35">
      <c r="P285" s="1042"/>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row>
    <row r="286" spans="16:85" customFormat="1" x14ac:dyDescent="0.35">
      <c r="P286" s="1042"/>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row>
    <row r="287" spans="16:85" customFormat="1" x14ac:dyDescent="0.35">
      <c r="P287" s="1042"/>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row>
    <row r="288" spans="16:85" customFormat="1" x14ac:dyDescent="0.35">
      <c r="P288" s="1042"/>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row>
    <row r="289" spans="16:85" customFormat="1" x14ac:dyDescent="0.35">
      <c r="P289" s="1042"/>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row>
    <row r="290" spans="16:85" customFormat="1" x14ac:dyDescent="0.35">
      <c r="P290" s="1042"/>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row>
    <row r="291" spans="16:85" customFormat="1" x14ac:dyDescent="0.35">
      <c r="P291" s="1042"/>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row>
    <row r="292" spans="16:85" customFormat="1" x14ac:dyDescent="0.35">
      <c r="P292" s="1042"/>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row>
    <row r="293" spans="16:85" customFormat="1" x14ac:dyDescent="0.35">
      <c r="P293" s="1042"/>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row>
    <row r="294" spans="16:85" customFormat="1" x14ac:dyDescent="0.35">
      <c r="P294" s="1042"/>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row>
    <row r="295" spans="16:85" customFormat="1" x14ac:dyDescent="0.35">
      <c r="P295" s="1042"/>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row>
    <row r="296" spans="16:85" customFormat="1" x14ac:dyDescent="0.35">
      <c r="P296" s="1042"/>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row>
    <row r="297" spans="16:85" customFormat="1" x14ac:dyDescent="0.35">
      <c r="P297" s="1042"/>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row>
    <row r="298" spans="16:85" customFormat="1" x14ac:dyDescent="0.35">
      <c r="P298" s="1042"/>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row>
    <row r="299" spans="16:85" customFormat="1" x14ac:dyDescent="0.35">
      <c r="P299" s="1042"/>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row>
    <row r="300" spans="16:85" customFormat="1" x14ac:dyDescent="0.35">
      <c r="P300" s="1042"/>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row>
    <row r="301" spans="16:85" customFormat="1" x14ac:dyDescent="0.35">
      <c r="P301" s="1042"/>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row>
    <row r="302" spans="16:85" customFormat="1" x14ac:dyDescent="0.35">
      <c r="P302" s="1042"/>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row>
    <row r="303" spans="16:85" customFormat="1" x14ac:dyDescent="0.35">
      <c r="P303" s="1042"/>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row>
    <row r="304" spans="16:85" customFormat="1" x14ac:dyDescent="0.35">
      <c r="P304" s="1042"/>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row>
    <row r="305" spans="16:85" customFormat="1" x14ac:dyDescent="0.35">
      <c r="P305" s="1042"/>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row>
    <row r="306" spans="16:85" customFormat="1" x14ac:dyDescent="0.35">
      <c r="P306" s="1042"/>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row>
    <row r="307" spans="16:85" customFormat="1" x14ac:dyDescent="0.35">
      <c r="P307" s="1042"/>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row>
    <row r="308" spans="16:85" customFormat="1" x14ac:dyDescent="0.35">
      <c r="P308" s="1042"/>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row>
    <row r="309" spans="16:85" customFormat="1" x14ac:dyDescent="0.35">
      <c r="P309" s="1042"/>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row>
    <row r="310" spans="16:85" customFormat="1" x14ac:dyDescent="0.35">
      <c r="P310" s="1042"/>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row>
    <row r="311" spans="16:85" customFormat="1" x14ac:dyDescent="0.35">
      <c r="P311" s="1042"/>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row>
    <row r="312" spans="16:85" customFormat="1" x14ac:dyDescent="0.35">
      <c r="P312" s="1042"/>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row>
    <row r="313" spans="16:85" customFormat="1" x14ac:dyDescent="0.35">
      <c r="P313" s="1042"/>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row>
    <row r="314" spans="16:85" customFormat="1" x14ac:dyDescent="0.35">
      <c r="P314" s="1042"/>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row>
    <row r="315" spans="16:85" customFormat="1" x14ac:dyDescent="0.35">
      <c r="P315" s="1042"/>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row>
    <row r="316" spans="16:85" customFormat="1" x14ac:dyDescent="0.35">
      <c r="P316" s="1042"/>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row>
    <row r="317" spans="16:85" customFormat="1" x14ac:dyDescent="0.35">
      <c r="P317" s="1042"/>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row>
    <row r="318" spans="16:85" customFormat="1" x14ac:dyDescent="0.35">
      <c r="P318" s="1042"/>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row>
    <row r="319" spans="16:85" customFormat="1" x14ac:dyDescent="0.35">
      <c r="P319" s="1042"/>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row>
    <row r="320" spans="16:85" customFormat="1" x14ac:dyDescent="0.35">
      <c r="P320" s="1042"/>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row>
    <row r="321" spans="16:85" customFormat="1" x14ac:dyDescent="0.35">
      <c r="P321" s="1042"/>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row>
    <row r="322" spans="16:85" customFormat="1" x14ac:dyDescent="0.35">
      <c r="P322" s="1042"/>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row>
    <row r="323" spans="16:85" customFormat="1" x14ac:dyDescent="0.35">
      <c r="P323" s="1042"/>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row>
    <row r="324" spans="16:85" customFormat="1" x14ac:dyDescent="0.35">
      <c r="P324" s="1042"/>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row>
    <row r="325" spans="16:85" customFormat="1" x14ac:dyDescent="0.35">
      <c r="P325" s="1042"/>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row>
    <row r="326" spans="16:85" customFormat="1" x14ac:dyDescent="0.35">
      <c r="P326" s="1042"/>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row>
    <row r="327" spans="16:85" customFormat="1" x14ac:dyDescent="0.35">
      <c r="P327" s="1042"/>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row>
    <row r="328" spans="16:85" customFormat="1" x14ac:dyDescent="0.35">
      <c r="P328" s="1042"/>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row>
    <row r="329" spans="16:85" customFormat="1" x14ac:dyDescent="0.35">
      <c r="P329" s="1042"/>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row>
    <row r="330" spans="16:85" customFormat="1" x14ac:dyDescent="0.35">
      <c r="P330" s="1042"/>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row>
    <row r="331" spans="16:85" customFormat="1" x14ac:dyDescent="0.35">
      <c r="P331" s="1042"/>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row>
    <row r="332" spans="16:85" customFormat="1" x14ac:dyDescent="0.35">
      <c r="P332" s="1042"/>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row>
    <row r="333" spans="16:85" customFormat="1" x14ac:dyDescent="0.35">
      <c r="P333" s="1042"/>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row>
    <row r="334" spans="16:85" customFormat="1" x14ac:dyDescent="0.35">
      <c r="P334" s="1042"/>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row>
    <row r="335" spans="16:85" customFormat="1" x14ac:dyDescent="0.35">
      <c r="P335" s="1042"/>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row>
    <row r="336" spans="16:85" customFormat="1" x14ac:dyDescent="0.35">
      <c r="P336" s="1042"/>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row>
    <row r="337" spans="16:85" customFormat="1" x14ac:dyDescent="0.35">
      <c r="P337" s="1042"/>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row>
    <row r="338" spans="16:85" customFormat="1" x14ac:dyDescent="0.35">
      <c r="P338" s="1042"/>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row>
    <row r="339" spans="16:85" customFormat="1" x14ac:dyDescent="0.35">
      <c r="P339" s="1042"/>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row>
    <row r="340" spans="16:85" customFormat="1" x14ac:dyDescent="0.35">
      <c r="P340" s="1042"/>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row>
    <row r="341" spans="16:85" customFormat="1" x14ac:dyDescent="0.35">
      <c r="P341" s="1042"/>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row>
    <row r="342" spans="16:85" customFormat="1" x14ac:dyDescent="0.35">
      <c r="P342" s="1042"/>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row>
    <row r="343" spans="16:85" customFormat="1" x14ac:dyDescent="0.35">
      <c r="P343" s="1042"/>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row>
    <row r="344" spans="16:85" customFormat="1" x14ac:dyDescent="0.35">
      <c r="P344" s="1042"/>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row>
    <row r="345" spans="16:85" customFormat="1" x14ac:dyDescent="0.35">
      <c r="P345" s="1042"/>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row>
    <row r="346" spans="16:85" customFormat="1" x14ac:dyDescent="0.35">
      <c r="P346" s="1042"/>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row>
    <row r="347" spans="16:85" customFormat="1" x14ac:dyDescent="0.35">
      <c r="P347" s="1042"/>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row>
    <row r="348" spans="16:85" customFormat="1" x14ac:dyDescent="0.35">
      <c r="P348" s="1042"/>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row>
    <row r="349" spans="16:85" customFormat="1" x14ac:dyDescent="0.35">
      <c r="P349" s="1042"/>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row>
    <row r="350" spans="16:85" customFormat="1" x14ac:dyDescent="0.35">
      <c r="P350" s="1042"/>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row>
    <row r="351" spans="16:85" customFormat="1" x14ac:dyDescent="0.35">
      <c r="P351" s="1042"/>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row>
    <row r="352" spans="16:85" customFormat="1" x14ac:dyDescent="0.35">
      <c r="P352" s="1042"/>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row>
    <row r="353" spans="16:85" customFormat="1" x14ac:dyDescent="0.35">
      <c r="P353" s="1042"/>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row>
    <row r="354" spans="16:85" customFormat="1" x14ac:dyDescent="0.35">
      <c r="P354" s="1042"/>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row>
    <row r="355" spans="16:85" customFormat="1" x14ac:dyDescent="0.35">
      <c r="P355" s="1042"/>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row>
    <row r="356" spans="16:85" customFormat="1" x14ac:dyDescent="0.35">
      <c r="P356" s="1042"/>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row>
    <row r="357" spans="16:85" customFormat="1" x14ac:dyDescent="0.35">
      <c r="P357" s="1042"/>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row>
    <row r="358" spans="16:85" customFormat="1" x14ac:dyDescent="0.35">
      <c r="P358" s="1042"/>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row>
    <row r="359" spans="16:85" customFormat="1" x14ac:dyDescent="0.35">
      <c r="P359" s="1042"/>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row>
    <row r="360" spans="16:85" customFormat="1" x14ac:dyDescent="0.35">
      <c r="P360" s="1042"/>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row>
    <row r="361" spans="16:85" customFormat="1" x14ac:dyDescent="0.35">
      <c r="P361" s="1042"/>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row>
    <row r="362" spans="16:85" customFormat="1" x14ac:dyDescent="0.35">
      <c r="P362" s="1042"/>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row>
    <row r="363" spans="16:85" customFormat="1" x14ac:dyDescent="0.35">
      <c r="P363" s="1042"/>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row>
    <row r="364" spans="16:85" customFormat="1" x14ac:dyDescent="0.35">
      <c r="P364" s="1042"/>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row>
    <row r="365" spans="16:85" customFormat="1" x14ac:dyDescent="0.35">
      <c r="P365" s="1042"/>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row>
    <row r="366" spans="16:85" customFormat="1" x14ac:dyDescent="0.35">
      <c r="P366" s="1042"/>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row>
    <row r="367" spans="16:85" customFormat="1" x14ac:dyDescent="0.35">
      <c r="P367" s="1042"/>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row>
    <row r="368" spans="16:85" customFormat="1" x14ac:dyDescent="0.35">
      <c r="P368" s="1042"/>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row>
    <row r="369" spans="16:85" customFormat="1" x14ac:dyDescent="0.35">
      <c r="P369" s="1042"/>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row>
    <row r="370" spans="16:85" customFormat="1" x14ac:dyDescent="0.35">
      <c r="P370" s="1042"/>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row>
    <row r="371" spans="16:85" customFormat="1" x14ac:dyDescent="0.35">
      <c r="P371" s="1042"/>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row>
    <row r="372" spans="16:85" customFormat="1" x14ac:dyDescent="0.35">
      <c r="P372" s="1042"/>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row>
    <row r="373" spans="16:85" customFormat="1" x14ac:dyDescent="0.35">
      <c r="P373" s="1042"/>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row>
    <row r="374" spans="16:85" customFormat="1" x14ac:dyDescent="0.35">
      <c r="P374" s="1042"/>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row>
    <row r="375" spans="16:85" customFormat="1" x14ac:dyDescent="0.35">
      <c r="P375" s="1042"/>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row>
    <row r="376" spans="16:85" customFormat="1" x14ac:dyDescent="0.35">
      <c r="P376" s="1042"/>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row>
    <row r="377" spans="16:85" customFormat="1" x14ac:dyDescent="0.35">
      <c r="P377" s="1042"/>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row>
    <row r="378" spans="16:85" customFormat="1" x14ac:dyDescent="0.35">
      <c r="P378" s="1042"/>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row>
    <row r="379" spans="16:85" customFormat="1" x14ac:dyDescent="0.35">
      <c r="P379" s="1042"/>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row>
    <row r="380" spans="16:85" customFormat="1" x14ac:dyDescent="0.35">
      <c r="P380" s="1042"/>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row>
    <row r="381" spans="16:85" customFormat="1" x14ac:dyDescent="0.35">
      <c r="P381" s="1042"/>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row>
    <row r="382" spans="16:85" customFormat="1" x14ac:dyDescent="0.35">
      <c r="P382" s="1042"/>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row>
    <row r="383" spans="16:85" customFormat="1" x14ac:dyDescent="0.35">
      <c r="P383" s="1042"/>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row>
    <row r="384" spans="16:85" customFormat="1" x14ac:dyDescent="0.35">
      <c r="P384" s="1042"/>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row>
    <row r="385" spans="16:85" customFormat="1" x14ac:dyDescent="0.35">
      <c r="P385" s="1042"/>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row>
    <row r="386" spans="16:85" customFormat="1" x14ac:dyDescent="0.35">
      <c r="P386" s="1042"/>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row>
    <row r="387" spans="16:85" customFormat="1" x14ac:dyDescent="0.35">
      <c r="P387" s="1042"/>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row>
    <row r="388" spans="16:85" customFormat="1" x14ac:dyDescent="0.35">
      <c r="P388" s="1042"/>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row>
  </sheetData>
  <sheetProtection algorithmName="SHA-512" hashValue="ugpdrwg8s0UdzR5LlefiVJ67AqlEoojwStE93PEaCNbD/YRsyNsnUp5obLyMfBhCq2pm2jMTaN+RJiq7vjNFow==" saltValue="BK5jdA9Q6zkUdghySIiI+w==" spinCount="100000" sheet="1" objects="1" scenarios="1"/>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066F1-D31B-4C25-BBE3-46D2A9AA5F63}">
  <sheetPr codeName="Sheet81"/>
  <dimension ref="A3:AS80"/>
  <sheetViews>
    <sheetView workbookViewId="0"/>
  </sheetViews>
  <sheetFormatPr defaultRowHeight="14.5" x14ac:dyDescent="0.35"/>
  <cols>
    <col min="1" max="1" width="25.36328125" customWidth="1"/>
    <col min="2" max="2" width="12.08984375" hidden="1" customWidth="1"/>
    <col min="3" max="3" width="8.90625" hidden="1" customWidth="1"/>
    <col min="4" max="4" width="15.90625" hidden="1" customWidth="1"/>
    <col min="5" max="5" width="15.36328125" hidden="1" customWidth="1"/>
    <col min="6" max="6" width="16.453125" hidden="1" customWidth="1"/>
    <col min="7" max="7" width="14.54296875" hidden="1" customWidth="1"/>
    <col min="8" max="8" width="8.90625" hidden="1" customWidth="1"/>
    <col min="9" max="9" width="13.36328125" hidden="1" customWidth="1"/>
    <col min="10" max="10" width="14.90625" hidden="1" customWidth="1"/>
    <col min="11" max="11" width="11.08984375" hidden="1" customWidth="1"/>
    <col min="12" max="12" width="16.08984375" hidden="1" customWidth="1"/>
    <col min="13" max="13" width="17.54296875" hidden="1" customWidth="1"/>
    <col min="14" max="14" width="14.54296875" hidden="1" customWidth="1"/>
    <col min="15" max="15" width="11.453125" hidden="1" customWidth="1"/>
    <col min="16" max="16" width="16.90625" hidden="1" customWidth="1"/>
    <col min="17" max="17" width="13.08984375" hidden="1" customWidth="1"/>
    <col min="18" max="18" width="13.36328125" hidden="1" customWidth="1"/>
    <col min="19" max="19" width="13.54296875" hidden="1" customWidth="1"/>
    <col min="20" max="21" width="8.90625" hidden="1" customWidth="1"/>
    <col min="22" max="22" width="14.08984375" hidden="1" customWidth="1"/>
    <col min="23" max="23" width="12.90625" hidden="1" customWidth="1"/>
    <col min="24" max="24" width="8.90625" hidden="1" customWidth="1"/>
    <col min="25" max="25" width="11.90625" hidden="1" customWidth="1"/>
    <col min="26" max="26" width="8.90625" hidden="1" customWidth="1"/>
    <col min="27" max="27" width="12.08984375" hidden="1" customWidth="1"/>
    <col min="28" max="30" width="8.90625" hidden="1" customWidth="1"/>
    <col min="31" max="31" width="11" hidden="1" customWidth="1"/>
    <col min="32" max="32" width="14" hidden="1" customWidth="1"/>
    <col min="33" max="36" width="8.90625" hidden="1" customWidth="1"/>
    <col min="37" max="37" width="15" hidden="1" customWidth="1"/>
    <col min="38" max="41" width="8.90625" hidden="1" customWidth="1"/>
    <col min="42" max="42" width="13.54296875" hidden="1" customWidth="1"/>
    <col min="43" max="45" width="8.90625" hidden="1" customWidth="1"/>
  </cols>
  <sheetData>
    <row r="3" spans="1:21" ht="15.5" x14ac:dyDescent="0.35">
      <c r="B3" s="172"/>
      <c r="C3" s="1011" t="s">
        <v>658</v>
      </c>
      <c r="D3" s="984"/>
      <c r="E3" s="984"/>
      <c r="F3" s="984"/>
      <c r="G3" s="984"/>
      <c r="I3" s="984"/>
      <c r="J3" s="984"/>
      <c r="K3" s="984"/>
      <c r="M3" s="984"/>
      <c r="N3" s="984"/>
      <c r="O3" s="984"/>
      <c r="P3" s="984"/>
      <c r="R3" s="984" t="s">
        <v>866</v>
      </c>
      <c r="S3" s="984"/>
      <c r="T3" s="984"/>
      <c r="U3" s="984"/>
    </row>
    <row r="4" spans="1:21" x14ac:dyDescent="0.35">
      <c r="C4" t="s">
        <v>270</v>
      </c>
      <c r="D4" s="5" t="s">
        <v>656</v>
      </c>
      <c r="E4" s="5" t="s">
        <v>308</v>
      </c>
      <c r="F4" s="5" t="s">
        <v>657</v>
      </c>
      <c r="G4" s="5" t="s">
        <v>317</v>
      </c>
      <c r="I4" s="995" t="s">
        <v>523</v>
      </c>
      <c r="M4" s="991" t="s">
        <v>509</v>
      </c>
      <c r="N4" s="29" t="s">
        <v>510</v>
      </c>
      <c r="O4" s="29" t="s">
        <v>537</v>
      </c>
      <c r="P4" s="29" t="s">
        <v>538</v>
      </c>
      <c r="Q4" s="5"/>
      <c r="R4" s="7"/>
      <c r="S4" s="7" t="str">
        <f>E4</f>
        <v>rv</v>
      </c>
      <c r="T4" s="7" t="str">
        <f>F4</f>
        <v>perc</v>
      </c>
      <c r="U4" s="7" t="str">
        <f>G4</f>
        <v>empty</v>
      </c>
    </row>
    <row r="5" spans="1:21" x14ac:dyDescent="0.35">
      <c r="A5" s="503" t="s">
        <v>511</v>
      </c>
      <c r="B5" s="6">
        <f>input_engine_o!B5</f>
        <v>46113</v>
      </c>
      <c r="C5">
        <v>0</v>
      </c>
      <c r="D5" s="13">
        <f>IF(OR(advanced!M69=0,advanced!M69=""),$B$5,advanced!M69)</f>
        <v>45017</v>
      </c>
      <c r="E5" s="27">
        <f>advanced!N69</f>
        <v>0</v>
      </c>
      <c r="F5" s="989">
        <f>advanced!O69</f>
        <v>1</v>
      </c>
      <c r="G5" s="5" t="str">
        <f>advanced!P69</f>
        <v>n</v>
      </c>
      <c r="I5" t="s">
        <v>516</v>
      </c>
      <c r="J5" t="s">
        <v>520</v>
      </c>
      <c r="L5">
        <f t="shared" ref="L5:L17" si="0">C6</f>
        <v>1</v>
      </c>
      <c r="M5" s="13">
        <f>SMALL(($D$6:$D$18),L5)</f>
        <v>46113</v>
      </c>
      <c r="N5" s="992">
        <f>IF(M5=0,$B$5,M5)</f>
        <v>46113</v>
      </c>
      <c r="O5" s="992">
        <f t="shared" ref="O5:O17" si="1">SMALL($N$5:$N$17,L5)</f>
        <v>46113</v>
      </c>
      <c r="P5" s="992">
        <f>O5</f>
        <v>46113</v>
      </c>
      <c r="Q5" s="5"/>
      <c r="R5" s="1024">
        <f>D18</f>
        <v>46114</v>
      </c>
      <c r="S5" s="7" t="str">
        <f>VLOOKUP(R5,D5:G16,2,TRUE)</f>
        <v/>
      </c>
      <c r="T5" s="7">
        <f>VLOOKUP(R5,D5:G16,3,TRUE)</f>
        <v>1</v>
      </c>
      <c r="U5" s="7" t="str">
        <f>VLOOKUP(R5,D5:G16,4,TRUE)</f>
        <v>n</v>
      </c>
    </row>
    <row r="6" spans="1:21" x14ac:dyDescent="0.35">
      <c r="B6" s="28" t="s">
        <v>515</v>
      </c>
      <c r="C6">
        <v>1</v>
      </c>
      <c r="D6" s="13">
        <f>IF(OR(advanced!M70=0,advanced!M70=""),$B$5,advanced!M70)</f>
        <v>46113</v>
      </c>
      <c r="E6" s="27" t="str">
        <f>advanced!N70</f>
        <v/>
      </c>
      <c r="F6" s="989">
        <f>advanced!O70</f>
        <v>1</v>
      </c>
      <c r="G6" s="5" t="str">
        <f>advanced!P70</f>
        <v>n</v>
      </c>
      <c r="I6" t="s">
        <v>517</v>
      </c>
      <c r="J6" t="s">
        <v>524</v>
      </c>
      <c r="L6">
        <f t="shared" si="0"/>
        <v>2</v>
      </c>
      <c r="M6" s="13">
        <f t="shared" ref="M6:M17" si="2">SMALL(($D$6:$D$18),L6)</f>
        <v>46113</v>
      </c>
      <c r="N6" s="992">
        <f t="shared" ref="N6:N17" si="3">IF(M6=0,$B$5,M6)</f>
        <v>46113</v>
      </c>
      <c r="O6" s="992">
        <f t="shared" si="1"/>
        <v>46113</v>
      </c>
      <c r="P6" s="992">
        <f>IF(OR(O6=P5,O6=P4,O6=G20),$B$5,O6)</f>
        <v>46113</v>
      </c>
      <c r="Q6" s="5"/>
    </row>
    <row r="7" spans="1:21" x14ac:dyDescent="0.35">
      <c r="B7" s="28" t="s">
        <v>515</v>
      </c>
      <c r="C7">
        <v>2</v>
      </c>
      <c r="D7" s="13">
        <f>IF(OR(advanced!M71=0,advanced!M71=""),$B$5,advanced!M71)</f>
        <v>46113</v>
      </c>
      <c r="E7" s="27" t="str">
        <f>advanced!N71</f>
        <v/>
      </c>
      <c r="F7" s="989">
        <f>advanced!O71</f>
        <v>1</v>
      </c>
      <c r="G7" s="5" t="str">
        <f>advanced!P71</f>
        <v>n</v>
      </c>
      <c r="I7" t="s">
        <v>518</v>
      </c>
      <c r="J7" t="s">
        <v>525</v>
      </c>
      <c r="L7">
        <f t="shared" si="0"/>
        <v>3</v>
      </c>
      <c r="M7" s="13">
        <f t="shared" si="2"/>
        <v>46113</v>
      </c>
      <c r="N7" s="992">
        <f t="shared" si="3"/>
        <v>46113</v>
      </c>
      <c r="O7" s="992">
        <f t="shared" si="1"/>
        <v>46113</v>
      </c>
      <c r="P7" s="992">
        <f t="shared" ref="P7:P17" si="4">IF(OR(O7=P6,O7=P5,O7=P4),$B$5,O7)</f>
        <v>46113</v>
      </c>
      <c r="Q7" s="5"/>
      <c r="R7" s="984" t="s">
        <v>867</v>
      </c>
      <c r="S7" s="984"/>
      <c r="T7" s="984"/>
      <c r="U7" s="984"/>
    </row>
    <row r="8" spans="1:21" x14ac:dyDescent="0.35">
      <c r="B8" s="28" t="s">
        <v>515</v>
      </c>
      <c r="C8">
        <v>3</v>
      </c>
      <c r="D8" s="13">
        <f>IF(OR(advanced!M72=0,advanced!M72=""),$B$5,advanced!M72)</f>
        <v>46113</v>
      </c>
      <c r="E8" s="27" t="str">
        <f>advanced!N72</f>
        <v/>
      </c>
      <c r="F8" s="989">
        <f>advanced!O72</f>
        <v>1</v>
      </c>
      <c r="G8" s="5" t="str">
        <f>advanced!P72</f>
        <v>n</v>
      </c>
      <c r="I8" t="s">
        <v>519</v>
      </c>
      <c r="J8" t="s">
        <v>526</v>
      </c>
      <c r="L8">
        <f t="shared" si="0"/>
        <v>4</v>
      </c>
      <c r="M8" s="13">
        <f t="shared" si="2"/>
        <v>46113</v>
      </c>
      <c r="N8" s="992">
        <f t="shared" si="3"/>
        <v>46113</v>
      </c>
      <c r="O8" s="992">
        <f t="shared" si="1"/>
        <v>46113</v>
      </c>
      <c r="P8" s="992">
        <f t="shared" si="4"/>
        <v>46113</v>
      </c>
      <c r="Q8" s="5"/>
      <c r="R8" s="7"/>
      <c r="S8" s="7" t="str">
        <f>S4</f>
        <v>rv</v>
      </c>
      <c r="T8" s="7" t="str">
        <f>T4</f>
        <v>perc</v>
      </c>
      <c r="U8" s="7" t="str">
        <f>U4</f>
        <v>empty</v>
      </c>
    </row>
    <row r="9" spans="1:21" x14ac:dyDescent="0.35">
      <c r="B9" s="28" t="s">
        <v>515</v>
      </c>
      <c r="C9">
        <v>4</v>
      </c>
      <c r="D9" s="13">
        <f>IF(OR(advanced!M73=0,advanced!M73=""),$B$5,advanced!M73)</f>
        <v>46113</v>
      </c>
      <c r="E9" s="27" t="str">
        <f>advanced!N73</f>
        <v/>
      </c>
      <c r="F9" s="989">
        <f>advanced!O73</f>
        <v>1</v>
      </c>
      <c r="G9" s="5" t="str">
        <f>advanced!P73</f>
        <v>n</v>
      </c>
      <c r="L9">
        <f t="shared" si="0"/>
        <v>5</v>
      </c>
      <c r="M9" s="13">
        <f t="shared" si="2"/>
        <v>46113</v>
      </c>
      <c r="N9" s="992">
        <f t="shared" si="3"/>
        <v>46113</v>
      </c>
      <c r="O9" s="992">
        <f t="shared" si="1"/>
        <v>46113</v>
      </c>
      <c r="P9" s="992">
        <f t="shared" si="4"/>
        <v>46113</v>
      </c>
      <c r="Q9" s="5"/>
      <c r="R9" s="1024">
        <f>D17</f>
        <v>46114</v>
      </c>
      <c r="S9" s="7" t="str">
        <f>VLOOKUP(R5,D5:G16,2,TRUE)</f>
        <v/>
      </c>
      <c r="T9" s="7">
        <f>VLOOKUP(R5,D5:G16,3,TRUE)</f>
        <v>1</v>
      </c>
      <c r="U9" s="7" t="str">
        <f>VLOOKUP(R5,D5:G16,4,TRUE)</f>
        <v>n</v>
      </c>
    </row>
    <row r="10" spans="1:21" x14ac:dyDescent="0.35">
      <c r="B10" s="28" t="s">
        <v>515</v>
      </c>
      <c r="C10">
        <v>5</v>
      </c>
      <c r="D10" s="13">
        <f>IF(OR(advanced!M74=0,advanced!M74=""),$B$5,advanced!M74)</f>
        <v>46113</v>
      </c>
      <c r="E10" s="27" t="str">
        <f>advanced!N74</f>
        <v/>
      </c>
      <c r="F10" s="989">
        <f>advanced!O74</f>
        <v>1</v>
      </c>
      <c r="G10" s="5" t="str">
        <f>advanced!P74</f>
        <v>n</v>
      </c>
      <c r="I10" s="995" t="s">
        <v>536</v>
      </c>
      <c r="L10">
        <f t="shared" si="0"/>
        <v>6</v>
      </c>
      <c r="M10" s="13">
        <f t="shared" si="2"/>
        <v>46113</v>
      </c>
      <c r="N10" s="992">
        <f t="shared" si="3"/>
        <v>46113</v>
      </c>
      <c r="O10" s="992">
        <f t="shared" si="1"/>
        <v>46113</v>
      </c>
      <c r="P10" s="992">
        <f t="shared" si="4"/>
        <v>46113</v>
      </c>
      <c r="Q10" s="5"/>
    </row>
    <row r="11" spans="1:21" x14ac:dyDescent="0.35">
      <c r="B11" s="28" t="s">
        <v>515</v>
      </c>
      <c r="C11">
        <v>6</v>
      </c>
      <c r="D11" s="13">
        <f>IF(OR(advanced!M75=0,advanced!M75=""),$B$5,advanced!M75)</f>
        <v>46113</v>
      </c>
      <c r="E11" s="27" t="str">
        <f>advanced!N75</f>
        <v/>
      </c>
      <c r="F11" s="989">
        <f>advanced!O75</f>
        <v>1</v>
      </c>
      <c r="G11" s="5" t="str">
        <f>advanced!P75</f>
        <v>n</v>
      </c>
      <c r="I11" t="s">
        <v>849</v>
      </c>
      <c r="J11" t="s">
        <v>1218</v>
      </c>
      <c r="L11">
        <f t="shared" si="0"/>
        <v>7</v>
      </c>
      <c r="M11" s="13">
        <f t="shared" si="2"/>
        <v>46113</v>
      </c>
      <c r="N11" s="992">
        <f t="shared" si="3"/>
        <v>46113</v>
      </c>
      <c r="O11" s="992">
        <f t="shared" si="1"/>
        <v>46113</v>
      </c>
      <c r="P11" s="992">
        <f t="shared" si="4"/>
        <v>46113</v>
      </c>
      <c r="Q11" s="5"/>
    </row>
    <row r="12" spans="1:21" x14ac:dyDescent="0.35">
      <c r="B12" s="28" t="s">
        <v>515</v>
      </c>
      <c r="C12">
        <v>7</v>
      </c>
      <c r="D12" s="13">
        <f>IF(OR(advanced!M76=0,advanced!M76=""),$B$5,advanced!M76)</f>
        <v>46113</v>
      </c>
      <c r="E12" s="27" t="str">
        <f>advanced!N76</f>
        <v/>
      </c>
      <c r="F12" s="989">
        <f>advanced!O76</f>
        <v>1</v>
      </c>
      <c r="G12" s="5" t="str">
        <f>advanced!P76</f>
        <v>n</v>
      </c>
      <c r="I12" t="s">
        <v>850</v>
      </c>
      <c r="J12" t="s">
        <v>1219</v>
      </c>
      <c r="L12">
        <f t="shared" si="0"/>
        <v>8</v>
      </c>
      <c r="M12" s="13">
        <f t="shared" si="2"/>
        <v>46113</v>
      </c>
      <c r="N12" s="992">
        <f t="shared" si="3"/>
        <v>46113</v>
      </c>
      <c r="O12" s="992">
        <f t="shared" si="1"/>
        <v>46113</v>
      </c>
      <c r="P12" s="992">
        <f t="shared" si="4"/>
        <v>46113</v>
      </c>
      <c r="Q12" s="5"/>
    </row>
    <row r="13" spans="1:21" x14ac:dyDescent="0.35">
      <c r="B13" s="28" t="s">
        <v>515</v>
      </c>
      <c r="C13">
        <v>8</v>
      </c>
      <c r="D13" s="13">
        <f>IF(OR(advanced!M77=0,advanced!M77=""),$B$5,advanced!M77)</f>
        <v>46113</v>
      </c>
      <c r="E13" s="27" t="str">
        <f>advanced!N77</f>
        <v/>
      </c>
      <c r="F13" s="989">
        <f>advanced!O77</f>
        <v>1</v>
      </c>
      <c r="G13" s="5" t="str">
        <f>advanced!P77</f>
        <v>n</v>
      </c>
      <c r="I13" t="s">
        <v>251</v>
      </c>
      <c r="J13" t="s">
        <v>528</v>
      </c>
      <c r="L13">
        <f t="shared" si="0"/>
        <v>9</v>
      </c>
      <c r="M13" s="13">
        <f t="shared" si="2"/>
        <v>46113</v>
      </c>
      <c r="N13" s="992">
        <f t="shared" si="3"/>
        <v>46113</v>
      </c>
      <c r="O13" s="992">
        <f t="shared" si="1"/>
        <v>46113</v>
      </c>
      <c r="P13" s="992">
        <f t="shared" si="4"/>
        <v>46113</v>
      </c>
      <c r="Q13" s="5"/>
    </row>
    <row r="14" spans="1:21" x14ac:dyDescent="0.35">
      <c r="B14" s="28" t="s">
        <v>515</v>
      </c>
      <c r="C14">
        <v>9</v>
      </c>
      <c r="D14" s="13">
        <f>IF(OR(advanced!M78=0,advanced!M78=""),$B$5,advanced!M78)</f>
        <v>46113</v>
      </c>
      <c r="E14" s="27" t="str">
        <f>advanced!N78</f>
        <v/>
      </c>
      <c r="F14" s="989">
        <f>advanced!O78</f>
        <v>1</v>
      </c>
      <c r="G14" s="5" t="str">
        <f>advanced!P78</f>
        <v>n</v>
      </c>
      <c r="I14" t="s">
        <v>267</v>
      </c>
      <c r="J14" t="s">
        <v>529</v>
      </c>
      <c r="L14">
        <f t="shared" si="0"/>
        <v>10</v>
      </c>
      <c r="M14" s="13">
        <f t="shared" si="2"/>
        <v>46113</v>
      </c>
      <c r="N14" s="992">
        <f t="shared" si="3"/>
        <v>46113</v>
      </c>
      <c r="O14" s="992">
        <f t="shared" si="1"/>
        <v>46113</v>
      </c>
      <c r="P14" s="992">
        <f t="shared" si="4"/>
        <v>46113</v>
      </c>
      <c r="Q14" s="5"/>
    </row>
    <row r="15" spans="1:21" x14ac:dyDescent="0.35">
      <c r="B15" s="28" t="s">
        <v>515</v>
      </c>
      <c r="C15">
        <v>10</v>
      </c>
      <c r="D15" s="13">
        <f>IF(OR(advanced!M79=0,advanced!M79=""),$B$5,advanced!M79)</f>
        <v>46113</v>
      </c>
      <c r="E15" s="27" t="str">
        <f>advanced!N79</f>
        <v/>
      </c>
      <c r="F15" s="989">
        <f>advanced!O79</f>
        <v>1</v>
      </c>
      <c r="G15" s="5" t="str">
        <f>advanced!P79</f>
        <v>n</v>
      </c>
      <c r="I15" t="s">
        <v>527</v>
      </c>
      <c r="J15" t="s">
        <v>530</v>
      </c>
      <c r="L15">
        <f t="shared" si="0"/>
        <v>11</v>
      </c>
      <c r="M15" s="13">
        <f t="shared" si="2"/>
        <v>46113</v>
      </c>
      <c r="N15" s="992">
        <f t="shared" si="3"/>
        <v>46113</v>
      </c>
      <c r="O15" s="992">
        <f t="shared" si="1"/>
        <v>46113</v>
      </c>
      <c r="P15" s="992">
        <f t="shared" si="4"/>
        <v>46113</v>
      </c>
      <c r="Q15" s="5"/>
    </row>
    <row r="16" spans="1:21" x14ac:dyDescent="0.35">
      <c r="B16" s="28" t="s">
        <v>515</v>
      </c>
      <c r="C16">
        <v>11</v>
      </c>
      <c r="D16" s="13">
        <f>IF(OR(advanced!M80=0,advanced!M80=""),$B$5,advanced!M80)</f>
        <v>46113</v>
      </c>
      <c r="E16" s="27" t="str">
        <f>advanced!N80</f>
        <v/>
      </c>
      <c r="F16" s="989">
        <f>advanced!O80</f>
        <v>1</v>
      </c>
      <c r="G16" s="5" t="str">
        <f>advanced!P80</f>
        <v>n</v>
      </c>
      <c r="L16">
        <f t="shared" si="0"/>
        <v>12</v>
      </c>
      <c r="M16" s="13">
        <f t="shared" si="2"/>
        <v>46114</v>
      </c>
      <c r="N16" s="992">
        <f t="shared" si="3"/>
        <v>46114</v>
      </c>
      <c r="O16" s="992">
        <f t="shared" si="1"/>
        <v>46114</v>
      </c>
      <c r="P16" s="992">
        <f t="shared" si="4"/>
        <v>46114</v>
      </c>
      <c r="Q16" s="5"/>
    </row>
    <row r="17" spans="1:45" x14ac:dyDescent="0.35">
      <c r="B17" s="28" t="s">
        <v>513</v>
      </c>
      <c r="C17">
        <v>12</v>
      </c>
      <c r="D17" s="13">
        <f>IF(OR(advanced!M37="",advanced!M37=0),B5+1,advanced!M37)</f>
        <v>46114</v>
      </c>
      <c r="E17" s="27" t="str">
        <f>S9</f>
        <v/>
      </c>
      <c r="F17" s="5">
        <f>T9</f>
        <v>1</v>
      </c>
      <c r="G17" s="5" t="str">
        <f>U9</f>
        <v>n</v>
      </c>
      <c r="L17">
        <f t="shared" si="0"/>
        <v>13</v>
      </c>
      <c r="M17" s="13">
        <f t="shared" si="2"/>
        <v>46114</v>
      </c>
      <c r="N17" s="992">
        <f t="shared" si="3"/>
        <v>46114</v>
      </c>
      <c r="O17" s="992">
        <f t="shared" si="1"/>
        <v>46114</v>
      </c>
      <c r="P17" s="992">
        <f t="shared" si="4"/>
        <v>46113</v>
      </c>
      <c r="Q17" s="5"/>
    </row>
    <row r="18" spans="1:45" x14ac:dyDescent="0.35">
      <c r="B18" s="28" t="s">
        <v>512</v>
      </c>
      <c r="C18">
        <v>13</v>
      </c>
      <c r="D18" s="13">
        <f>IF(OR(advanced!M45="",advanced!M45=0),B5+1,advanced!M45)</f>
        <v>46114</v>
      </c>
      <c r="E18" s="27" t="str">
        <f>S5</f>
        <v/>
      </c>
      <c r="F18" s="989">
        <f>T5</f>
        <v>1</v>
      </c>
      <c r="G18" s="5" t="str">
        <f>U5</f>
        <v>n</v>
      </c>
    </row>
    <row r="19" spans="1:45" x14ac:dyDescent="0.35">
      <c r="B19" s="28" t="s">
        <v>514</v>
      </c>
      <c r="C19" s="28" t="s">
        <v>2396</v>
      </c>
      <c r="D19" s="13">
        <f>B5</f>
        <v>46113</v>
      </c>
      <c r="E19" s="27"/>
      <c r="F19" s="5"/>
      <c r="G19" s="5"/>
    </row>
    <row r="20" spans="1:45" x14ac:dyDescent="0.35">
      <c r="C20" s="28"/>
      <c r="D20" s="13"/>
      <c r="E20" s="5"/>
      <c r="F20" s="27"/>
      <c r="G20" s="5"/>
      <c r="H20" s="5"/>
      <c r="P20" s="982" t="s">
        <v>606</v>
      </c>
      <c r="Q20" s="5"/>
      <c r="R20" s="5"/>
      <c r="S20" s="5"/>
      <c r="U20" s="1012" t="s">
        <v>606</v>
      </c>
      <c r="V20" s="5"/>
      <c r="Z20" s="1013" t="s">
        <v>606</v>
      </c>
      <c r="AE20" s="1014" t="s">
        <v>606</v>
      </c>
      <c r="AJ20" s="1015" t="s">
        <v>606</v>
      </c>
      <c r="AO20" s="1012" t="s">
        <v>606</v>
      </c>
      <c r="AP20" s="13"/>
    </row>
    <row r="21" spans="1:45" x14ac:dyDescent="0.35">
      <c r="B21" s="7" t="s">
        <v>533</v>
      </c>
      <c r="C21" s="993">
        <f>advanced!M41</f>
        <v>0</v>
      </c>
      <c r="D21" s="993">
        <f>advanced!M36</f>
        <v>0</v>
      </c>
      <c r="E21" s="5"/>
      <c r="F21" s="5"/>
      <c r="G21" s="5"/>
      <c r="H21" s="5"/>
      <c r="J21" s="5">
        <v>1</v>
      </c>
      <c r="K21" s="5">
        <v>2</v>
      </c>
      <c r="L21" s="5">
        <v>3</v>
      </c>
      <c r="M21" s="5">
        <v>4</v>
      </c>
      <c r="N21" s="5">
        <v>5</v>
      </c>
      <c r="O21" s="5">
        <v>6</v>
      </c>
      <c r="P21" s="1016">
        <f>MAX(P23:P36)</f>
        <v>1</v>
      </c>
      <c r="Q21" s="1016"/>
      <c r="R21" s="1016"/>
      <c r="S21" s="1016"/>
      <c r="T21" s="984"/>
      <c r="U21" s="1017">
        <f>MAX(U23:U36)</f>
        <v>0</v>
      </c>
      <c r="V21" s="1017"/>
      <c r="W21" s="1017"/>
      <c r="X21" s="1017"/>
      <c r="Y21" s="1018"/>
      <c r="Z21" s="1019">
        <f>MAX(Z23:Z36)</f>
        <v>0</v>
      </c>
      <c r="AA21" s="1019"/>
      <c r="AB21" s="1019"/>
      <c r="AC21" s="1019"/>
      <c r="AD21" s="996"/>
      <c r="AE21" s="1020">
        <f>MAX(AE23:AE36)</f>
        <v>12</v>
      </c>
      <c r="AF21" s="1020"/>
      <c r="AG21" s="1020"/>
      <c r="AH21" s="1020"/>
      <c r="AI21" s="1021"/>
      <c r="AJ21" s="1022">
        <f>MAX(AJ23:AJ36)</f>
        <v>0</v>
      </c>
      <c r="AK21" s="1022"/>
      <c r="AL21" s="1022"/>
      <c r="AM21" s="1022"/>
      <c r="AN21" s="580"/>
      <c r="AO21" s="1017">
        <f>MAX(AO23:AO36)</f>
        <v>0</v>
      </c>
      <c r="AP21" s="13"/>
    </row>
    <row r="22" spans="1:45" x14ac:dyDescent="0.35">
      <c r="B22" t="s">
        <v>659</v>
      </c>
      <c r="C22" s="7" t="s">
        <v>531</v>
      </c>
      <c r="D22" s="7" t="s">
        <v>532</v>
      </c>
      <c r="E22" s="5" t="s">
        <v>272</v>
      </c>
      <c r="F22" s="5" t="s">
        <v>534</v>
      </c>
      <c r="G22" s="5" t="str">
        <f>F4</f>
        <v>perc</v>
      </c>
      <c r="H22" s="5" t="str">
        <f>G4</f>
        <v>empty</v>
      </c>
      <c r="I22" s="5" t="s">
        <v>660</v>
      </c>
      <c r="J22" s="5" t="s">
        <v>597</v>
      </c>
      <c r="K22" s="5" t="s">
        <v>598</v>
      </c>
      <c r="L22" s="5" t="s">
        <v>599</v>
      </c>
      <c r="M22" s="5" t="s">
        <v>603</v>
      </c>
      <c r="N22" s="5" t="s">
        <v>604</v>
      </c>
      <c r="O22" s="5" t="s">
        <v>605</v>
      </c>
      <c r="P22" s="1016" t="s">
        <v>607</v>
      </c>
      <c r="Q22" s="1016" t="s">
        <v>608</v>
      </c>
      <c r="R22" s="1016" t="s">
        <v>609</v>
      </c>
      <c r="S22" s="1016" t="s">
        <v>610</v>
      </c>
      <c r="T22" s="1016" t="s">
        <v>611</v>
      </c>
      <c r="U22" s="1017" t="s">
        <v>612</v>
      </c>
      <c r="V22" s="1017" t="s">
        <v>613</v>
      </c>
      <c r="W22" s="1017" t="s">
        <v>614</v>
      </c>
      <c r="X22" s="1017" t="s">
        <v>615</v>
      </c>
      <c r="Y22" s="1017" t="s">
        <v>616</v>
      </c>
      <c r="Z22" s="1019" t="s">
        <v>617</v>
      </c>
      <c r="AA22" s="1019" t="s">
        <v>618</v>
      </c>
      <c r="AB22" s="1019" t="s">
        <v>619</v>
      </c>
      <c r="AC22" s="1019" t="s">
        <v>620</v>
      </c>
      <c r="AD22" s="1019" t="s">
        <v>621</v>
      </c>
      <c r="AE22" s="1020" t="s">
        <v>622</v>
      </c>
      <c r="AF22" s="1020" t="s">
        <v>623</v>
      </c>
      <c r="AG22" s="1020" t="s">
        <v>624</v>
      </c>
      <c r="AH22" s="1020" t="s">
        <v>625</v>
      </c>
      <c r="AI22" s="1020" t="s">
        <v>626</v>
      </c>
      <c r="AJ22" s="1022" t="s">
        <v>627</v>
      </c>
      <c r="AK22" s="1022" t="s">
        <v>628</v>
      </c>
      <c r="AL22" s="1022" t="s">
        <v>629</v>
      </c>
      <c r="AM22" s="1022" t="s">
        <v>630</v>
      </c>
      <c r="AN22" s="1022" t="s">
        <v>631</v>
      </c>
      <c r="AO22" s="1017" t="s">
        <v>632</v>
      </c>
      <c r="AP22" s="1017" t="s">
        <v>633</v>
      </c>
      <c r="AQ22" s="1017" t="s">
        <v>634</v>
      </c>
      <c r="AR22" s="1017" t="s">
        <v>635</v>
      </c>
      <c r="AS22" s="1017" t="s">
        <v>636</v>
      </c>
    </row>
    <row r="23" spans="1:45" x14ac:dyDescent="0.35">
      <c r="A23" t="s">
        <v>535</v>
      </c>
      <c r="B23" s="1">
        <f>D5</f>
        <v>45017</v>
      </c>
      <c r="C23" s="992" t="str">
        <f>IF(OR($C$21="",$C$21=0,$D$18=0),"n",IF(LOOKUP(advanced!$M$45,$B$23:$B$36)=B23,"b","n"))</f>
        <v>n</v>
      </c>
      <c r="D23" s="992" t="str">
        <f>IF(OR($D$21="",$D$21=0,D17=0),"n",IF(LOOKUP(advanced!M37,$B$23:$B$36)=B23,"c","n"))</f>
        <v>n</v>
      </c>
      <c r="E23" s="27">
        <f t="array" ref="E23">IF(VLOOKUP(B23,$D$5:$G$18,2,FALSE)="","",VLOOKUP(B23,$D$5:$G$18,2,FALSE)-IF(OR($B$39:$B$48=B23)=TRUE,VLOOKUP(B23,$B$39:$E$48,4,FALSE),0))</f>
        <v>0</v>
      </c>
      <c r="F23" s="992" t="str">
        <f>C23&amp;D23</f>
        <v>nn</v>
      </c>
      <c r="G23" s="5">
        <f>VLOOKUP(B23,$D$5:$G$18,3,FALSE)</f>
        <v>1</v>
      </c>
      <c r="H23" s="5" t="str">
        <f>VLOOKUP(B23,$D$5:$G$18,4,FALSE)</f>
        <v>n</v>
      </c>
      <c r="I23" s="5">
        <f>VLOOKUP(B23,data!$B$13:$D$20,3,TRUE)</f>
        <v>1</v>
      </c>
      <c r="J23" s="5">
        <f t="shared" ref="J23:O35" si="5">IF($I23=J$21,1,0)</f>
        <v>1</v>
      </c>
      <c r="K23" s="5">
        <f t="shared" si="5"/>
        <v>0</v>
      </c>
      <c r="L23" s="5">
        <f t="shared" si="5"/>
        <v>0</v>
      </c>
      <c r="M23" s="5">
        <f t="shared" si="5"/>
        <v>0</v>
      </c>
      <c r="N23" s="5">
        <f t="shared" si="5"/>
        <v>0</v>
      </c>
      <c r="O23" s="5">
        <f t="shared" si="5"/>
        <v>0</v>
      </c>
      <c r="P23" s="5">
        <f>J23</f>
        <v>1</v>
      </c>
      <c r="Q23" s="13">
        <f t="shared" ref="Q23:Q35" si="6">IF(J23=1,B23,"")</f>
        <v>45017</v>
      </c>
      <c r="R23" s="5">
        <f>IF(R39&lt;0,0,R39)</f>
        <v>0</v>
      </c>
      <c r="S23" s="989">
        <f>G23</f>
        <v>1</v>
      </c>
      <c r="T23" s="989" t="str">
        <f>H23</f>
        <v>n</v>
      </c>
      <c r="U23" s="5">
        <f>K23</f>
        <v>0</v>
      </c>
      <c r="V23" s="13" t="str">
        <f>IF(K23=1,B23,"")</f>
        <v/>
      </c>
      <c r="W23" s="5" t="str">
        <f>IF(W39&lt;0,0,W39)</f>
        <v/>
      </c>
      <c r="X23" s="989" t="str">
        <f>IF(K23=1,VLOOKUP($B23,$D$5:$G$18,3,FALSE),"")</f>
        <v/>
      </c>
      <c r="Y23" s="989" t="str">
        <f>IF(K23=1,VLOOKUP($B23,$D$5:$G$18,4,FALSE),"")</f>
        <v/>
      </c>
      <c r="Z23" s="5">
        <f>L23</f>
        <v>0</v>
      </c>
      <c r="AA23" s="13" t="str">
        <f>IF(L23=1,$B23,"")</f>
        <v/>
      </c>
      <c r="AB23" s="5" t="str">
        <f>IF(AB39&lt;0,0,AB39)</f>
        <v/>
      </c>
      <c r="AC23" s="989" t="str">
        <f>IF(L23=1,VLOOKUP($B23,$D$5:$G$18,3,FALSE),"")</f>
        <v/>
      </c>
      <c r="AD23" s="989" t="str">
        <f>IF(L23=1,VLOOKUP($B23,$D$5:$G$18,4,FALSE),"")</f>
        <v/>
      </c>
      <c r="AE23" s="5">
        <f>M23</f>
        <v>0</v>
      </c>
      <c r="AF23" s="13" t="str">
        <f>IF(M23=1,$B23,"")</f>
        <v/>
      </c>
      <c r="AG23" s="5" t="str">
        <f>IF(AG39&lt;0,0,AG39)</f>
        <v/>
      </c>
      <c r="AH23" s="989" t="str">
        <f>IF(M23=1,VLOOKUP($B23,$D$5:$G$18,3,FALSE),"")</f>
        <v/>
      </c>
      <c r="AI23" s="989" t="str">
        <f>IF(M23=1,VLOOKUP($B23,$D$5:$G$18,4,FALSE),"")</f>
        <v/>
      </c>
      <c r="AJ23" s="5">
        <f>N23</f>
        <v>0</v>
      </c>
      <c r="AK23" s="13" t="str">
        <f>IF(N23=1,$B23,"")</f>
        <v/>
      </c>
      <c r="AL23" s="5" t="str">
        <f>IF(AL39&lt;0,0,AL39)</f>
        <v/>
      </c>
      <c r="AM23" s="989" t="str">
        <f>IF(N23=1,VLOOKUP($B23,$D$5:$G$18,3,FALSE),"")</f>
        <v/>
      </c>
      <c r="AN23" s="989" t="str">
        <f>IF(N23=1,VLOOKUP($B23,$D$5:$G$18,4,FALSE),"")</f>
        <v/>
      </c>
      <c r="AO23" s="5">
        <f>O23</f>
        <v>0</v>
      </c>
      <c r="AP23" s="13" t="str">
        <f>IF(O23=1,$B23,"")</f>
        <v/>
      </c>
      <c r="AQ23" s="5" t="str">
        <f>IF(AQ39&lt;0,0,AQ39)</f>
        <v/>
      </c>
      <c r="AR23" s="989" t="str">
        <f>IF(O23=1,VLOOKUP($B23,$D$5:$G$18,3,FALSE),"")</f>
        <v/>
      </c>
      <c r="AS23" s="989" t="str">
        <f>IF(O23=1,VLOOKUP($B23,$D$5:$G$18,4,FALSE),"")</f>
        <v/>
      </c>
    </row>
    <row r="24" spans="1:45" x14ac:dyDescent="0.35">
      <c r="A24">
        <v>1</v>
      </c>
      <c r="B24" s="1">
        <f t="shared" ref="B24:B36" si="7">SMALL($P$5:$P$17,A24)</f>
        <v>46113</v>
      </c>
      <c r="C24" s="992" t="str">
        <f>IF(OR($C$21="",$C$21=0,$D$18=0),"n",IF(C23="b","b",IF(LOOKUP(advanced!$M$45,$B$23:$B$36)=B24,"b","n")))</f>
        <v>n</v>
      </c>
      <c r="D24" s="992" t="str">
        <f>IF(OR($D$21="",$D$21=0,$D$17=0),"n",IF(D23="c","c",IF(LOOKUP(advanced!$M$37,$B$23:$B$36)=B24,"c","n")))</f>
        <v>n</v>
      </c>
      <c r="E24" s="27" t="str">
        <f t="array" ref="E24">IF(VLOOKUP(B24,$D$5:$G$18,2,FALSE)="","",VLOOKUP(B24,$D$5:$G$18,2,FALSE)-IF(OR($B$39:$B$48=B24)=TRUE,VLOOKUP(B24,$B$39:$E$48,4,FALSE),0))</f>
        <v/>
      </c>
      <c r="F24" s="992" t="str">
        <f t="shared" ref="F24:F35" si="8">C24&amp;D24</f>
        <v>nn</v>
      </c>
      <c r="G24" s="5">
        <f t="shared" ref="G24:G35" si="9">VLOOKUP(B24,$D$5:$G$18,3,FALSE)</f>
        <v>1</v>
      </c>
      <c r="H24" s="5" t="str">
        <f t="shared" ref="H24:H35" si="10">VLOOKUP(B24,$D$5:$G$18,4,FALSE)</f>
        <v>n</v>
      </c>
      <c r="I24" s="5">
        <f>VLOOKUP(B24,data!$B$13:$D$20,3,TRUE)</f>
        <v>4</v>
      </c>
      <c r="J24" s="5">
        <f t="shared" si="5"/>
        <v>0</v>
      </c>
      <c r="K24" s="5">
        <f t="shared" si="5"/>
        <v>0</v>
      </c>
      <c r="L24" s="5">
        <f t="shared" si="5"/>
        <v>0</v>
      </c>
      <c r="M24" s="5">
        <f t="shared" si="5"/>
        <v>1</v>
      </c>
      <c r="N24" s="5">
        <f t="shared" si="5"/>
        <v>0</v>
      </c>
      <c r="O24" s="5">
        <f t="shared" si="5"/>
        <v>0</v>
      </c>
      <c r="P24" s="1023" t="str">
        <f>IF(J24=1,SUM(J$23:J24),"")</f>
        <v/>
      </c>
      <c r="Q24" s="13" t="str">
        <f t="shared" si="6"/>
        <v/>
      </c>
      <c r="R24" s="5" t="str">
        <f t="shared" ref="R24:R35" si="11">IF(R40&lt;0,0,R40)</f>
        <v/>
      </c>
      <c r="S24" s="989" t="str">
        <f>IF(J24=1,VLOOKUP($B24,$D$5:$G$18,3,FALSE),"")</f>
        <v/>
      </c>
      <c r="T24" s="989" t="str">
        <f>IF(J24=1,VLOOKUP($B24,$D$5:$G$18,4,FALSE),"")</f>
        <v/>
      </c>
      <c r="U24" s="1023" t="str">
        <f>IF(K24=1,SUM(K$23:K24),"")</f>
        <v/>
      </c>
      <c r="V24" s="13" t="str">
        <f t="shared" ref="V24:V35" si="12">IF(K24=1,B24,"")</f>
        <v/>
      </c>
      <c r="W24" s="5" t="str">
        <f t="shared" ref="W24:W35" si="13">IF(W40&lt;0,0,W40)</f>
        <v/>
      </c>
      <c r="X24" s="989" t="str">
        <f t="shared" ref="X24:X35" si="14">IF(K24=1,VLOOKUP($B24,$D$5:$G$18,3,FALSE),"")</f>
        <v/>
      </c>
      <c r="Y24" s="989" t="str">
        <f t="shared" ref="Y24:Y35" si="15">IF(K24=1,VLOOKUP($B24,$D$5:$G$18,4,FALSE),"")</f>
        <v/>
      </c>
      <c r="Z24" s="1023" t="str">
        <f>IF(L24=1,SUM(L$23:L24),"")</f>
        <v/>
      </c>
      <c r="AA24" s="13" t="str">
        <f>IF(L24=1,$B24,"")</f>
        <v/>
      </c>
      <c r="AB24" s="5" t="str">
        <f t="shared" ref="AB24:AB35" si="16">IF(AB40&lt;0,0,AB40)</f>
        <v/>
      </c>
      <c r="AC24" s="989" t="str">
        <f t="shared" ref="AC24:AC35" si="17">IF(L24=1,VLOOKUP($B24,$D$5:$G$18,3,FALSE),"")</f>
        <v/>
      </c>
      <c r="AD24" s="989" t="str">
        <f t="shared" ref="AD24:AD35" si="18">IF(L24=1,VLOOKUP($B24,$D$5:$G$18,4,FALSE),"")</f>
        <v/>
      </c>
      <c r="AE24" s="1023">
        <f>IF(M24=1,SUM(M$23:M24),"")</f>
        <v>1</v>
      </c>
      <c r="AF24" s="13">
        <f t="shared" ref="AF24:AF35" si="19">IF(M24=1,$B24,"")</f>
        <v>46113</v>
      </c>
      <c r="AG24" s="5" t="str">
        <f t="shared" ref="AG24:AG35" si="20">IF(AG40&lt;0,0,AG40)</f>
        <v/>
      </c>
      <c r="AH24" s="989">
        <f t="shared" ref="AH24:AH35" si="21">IF(M24=1,VLOOKUP($B24,$D$5:$G$18,3,FALSE),"")</f>
        <v>1</v>
      </c>
      <c r="AI24" s="989" t="str">
        <f t="shared" ref="AI24:AI35" si="22">IF(M24=1,VLOOKUP($B24,$D$5:$G$18,4,FALSE),"")</f>
        <v>n</v>
      </c>
      <c r="AJ24" s="1023" t="str">
        <f>IF(N24=1,SUM(N$23:N24),"")</f>
        <v/>
      </c>
      <c r="AK24" s="13" t="str">
        <f t="shared" ref="AK24:AK35" si="23">IF(N24=1,$B24,"")</f>
        <v/>
      </c>
      <c r="AL24" s="5" t="str">
        <f t="shared" ref="AL24:AL35" si="24">IF(AL40&lt;0,0,AL40)</f>
        <v/>
      </c>
      <c r="AM24" s="989" t="str">
        <f t="shared" ref="AM24:AM35" si="25">IF(N24=1,VLOOKUP($B24,$D$5:$G$18,3,FALSE),"")</f>
        <v/>
      </c>
      <c r="AN24" s="989" t="str">
        <f t="shared" ref="AN24:AN35" si="26">IF(N24=1,VLOOKUP($B24,$D$5:$G$18,4,FALSE),"")</f>
        <v/>
      </c>
      <c r="AO24" s="1023" t="str">
        <f>IF(O24=1,SUM(O$23:O24),"")</f>
        <v/>
      </c>
      <c r="AP24" s="13" t="str">
        <f t="shared" ref="AP24:AP35" si="27">IF(O24=1,$B24,"")</f>
        <v/>
      </c>
      <c r="AQ24" s="5" t="str">
        <f t="shared" ref="AQ24:AQ35" si="28">IF(AQ40&lt;0,0,AQ40)</f>
        <v/>
      </c>
      <c r="AR24" s="989" t="str">
        <f t="shared" ref="AR24:AR35" si="29">IF(O24=1,VLOOKUP($B24,$D$5:$G$18,3,FALSE),"")</f>
        <v/>
      </c>
      <c r="AS24" s="989" t="str">
        <f t="shared" ref="AS24:AS35" si="30">IF(O24=1,VLOOKUP($B24,$D$5:$G$18,4,FALSE),"")</f>
        <v/>
      </c>
    </row>
    <row r="25" spans="1:45" x14ac:dyDescent="0.35">
      <c r="A25">
        <v>2</v>
      </c>
      <c r="B25" s="1">
        <f t="shared" si="7"/>
        <v>46113</v>
      </c>
      <c r="C25" s="992" t="str">
        <f>IF(OR($C$21="",$C$21=0,$D$18=0),"n",IF(C24="b","b",IF(LOOKUP(advanced!$M$45,$B$23:$B$36)=B25,"b","n")))</f>
        <v>n</v>
      </c>
      <c r="D25" s="992" t="str">
        <f>IF(OR($D$21="",$D$21=0,$D$17=0),"n",IF(D24="c","c",IF(LOOKUP(advanced!$M$37,$B$23:$B$36)=B25,"c","n")))</f>
        <v>n</v>
      </c>
      <c r="E25" s="27" t="str">
        <f t="array" ref="E25">IF(VLOOKUP(B25,$D$5:$G$18,2,FALSE)="","",VLOOKUP(B25,$D$5:$G$18,2,FALSE)-IF(OR($B$39:$B$48=B25)=TRUE,VLOOKUP(B25,$B$39:$E$48,4,FALSE),0))</f>
        <v/>
      </c>
      <c r="F25" s="992" t="str">
        <f t="shared" si="8"/>
        <v>nn</v>
      </c>
      <c r="G25" s="5">
        <f t="shared" si="9"/>
        <v>1</v>
      </c>
      <c r="H25" s="5" t="str">
        <f t="shared" si="10"/>
        <v>n</v>
      </c>
      <c r="I25" s="5">
        <f>VLOOKUP(B25,data!$B$13:$D$20,3,TRUE)</f>
        <v>4</v>
      </c>
      <c r="J25" s="5">
        <f t="shared" si="5"/>
        <v>0</v>
      </c>
      <c r="K25" s="5">
        <f t="shared" si="5"/>
        <v>0</v>
      </c>
      <c r="L25" s="5">
        <f t="shared" si="5"/>
        <v>0</v>
      </c>
      <c r="M25" s="5">
        <f t="shared" si="5"/>
        <v>1</v>
      </c>
      <c r="N25" s="5">
        <f t="shared" si="5"/>
        <v>0</v>
      </c>
      <c r="O25" s="5">
        <f t="shared" si="5"/>
        <v>0</v>
      </c>
      <c r="P25" s="1023" t="str">
        <f>IF(J25=1,SUM(J$23:J25),"")</f>
        <v/>
      </c>
      <c r="Q25" s="13" t="str">
        <f t="shared" si="6"/>
        <v/>
      </c>
      <c r="R25" s="5" t="str">
        <f t="shared" si="11"/>
        <v/>
      </c>
      <c r="S25" s="989" t="str">
        <f t="shared" ref="S25:S35" si="31">IF(J25=1,VLOOKUP($B25,$D$5:$G$18,3,FALSE),"")</f>
        <v/>
      </c>
      <c r="T25" s="989" t="str">
        <f t="shared" ref="T25:T35" si="32">IF(J25=1,VLOOKUP($B25,$D$5:$G$18,4,FALSE),"")</f>
        <v/>
      </c>
      <c r="U25" s="1023" t="str">
        <f>IF(K25=1,SUM(K$23:K25),"")</f>
        <v/>
      </c>
      <c r="V25" s="13" t="str">
        <f t="shared" si="12"/>
        <v/>
      </c>
      <c r="W25" s="5" t="str">
        <f t="shared" si="13"/>
        <v/>
      </c>
      <c r="X25" s="989" t="str">
        <f t="shared" si="14"/>
        <v/>
      </c>
      <c r="Y25" s="989" t="str">
        <f t="shared" si="15"/>
        <v/>
      </c>
      <c r="Z25" s="1023" t="str">
        <f>IF(L25=1,SUM(L$23:L25),"")</f>
        <v/>
      </c>
      <c r="AA25" s="13" t="str">
        <f t="shared" ref="AA25:AA35" si="33">IF(L25=1,$B25,"")</f>
        <v/>
      </c>
      <c r="AB25" s="5" t="str">
        <f t="shared" si="16"/>
        <v/>
      </c>
      <c r="AC25" s="989" t="str">
        <f t="shared" si="17"/>
        <v/>
      </c>
      <c r="AD25" s="989" t="str">
        <f t="shared" si="18"/>
        <v/>
      </c>
      <c r="AE25" s="1023">
        <f>IF(M25=1,SUM(M$23:M25),"")</f>
        <v>2</v>
      </c>
      <c r="AF25" s="13">
        <f t="shared" si="19"/>
        <v>46113</v>
      </c>
      <c r="AG25" s="5" t="str">
        <f t="shared" si="20"/>
        <v/>
      </c>
      <c r="AH25" s="989">
        <f t="shared" si="21"/>
        <v>1</v>
      </c>
      <c r="AI25" s="989" t="str">
        <f t="shared" si="22"/>
        <v>n</v>
      </c>
      <c r="AJ25" s="1023" t="str">
        <f>IF(N25=1,SUM(N$23:N25),"")</f>
        <v/>
      </c>
      <c r="AK25" s="13" t="str">
        <f t="shared" si="23"/>
        <v/>
      </c>
      <c r="AL25" s="5" t="str">
        <f t="shared" si="24"/>
        <v/>
      </c>
      <c r="AM25" s="989" t="str">
        <f t="shared" si="25"/>
        <v/>
      </c>
      <c r="AN25" s="989" t="str">
        <f t="shared" si="26"/>
        <v/>
      </c>
      <c r="AO25" s="1023" t="str">
        <f>IF(O25=1,SUM(O$23:O25),"")</f>
        <v/>
      </c>
      <c r="AP25" s="13" t="str">
        <f t="shared" si="27"/>
        <v/>
      </c>
      <c r="AQ25" s="5" t="str">
        <f t="shared" si="28"/>
        <v/>
      </c>
      <c r="AR25" s="989" t="str">
        <f t="shared" si="29"/>
        <v/>
      </c>
      <c r="AS25" s="989" t="str">
        <f t="shared" si="30"/>
        <v/>
      </c>
    </row>
    <row r="26" spans="1:45" x14ac:dyDescent="0.35">
      <c r="A26">
        <v>3</v>
      </c>
      <c r="B26" s="1">
        <f t="shared" si="7"/>
        <v>46113</v>
      </c>
      <c r="C26" s="992" t="str">
        <f>IF(OR($C$21="",$C$21=0,$D$18=0),"n",IF(C25="b","b",IF(LOOKUP(advanced!$M$45,$B$23:$B$36)=B26,"b","n")))</f>
        <v>n</v>
      </c>
      <c r="D26" s="992" t="str">
        <f>IF(OR($D$21="",$D$21=0,$D$17=0),"n",IF(D25="c","c",IF(LOOKUP(advanced!$M$37,$B$23:$B$36)=B26,"c","n")))</f>
        <v>n</v>
      </c>
      <c r="E26" s="27" t="str">
        <f t="array" ref="E26">IF(VLOOKUP(B26,$D$5:$G$18,2,FALSE)="","",VLOOKUP(B26,$D$5:$G$18,2,FALSE)-IF(OR($B$39:$B$48=B26)=TRUE,VLOOKUP(B26,$B$39:$E$48,4,FALSE),0))</f>
        <v/>
      </c>
      <c r="F26" s="992" t="str">
        <f t="shared" si="8"/>
        <v>nn</v>
      </c>
      <c r="G26" s="5">
        <f t="shared" si="9"/>
        <v>1</v>
      </c>
      <c r="H26" s="5" t="str">
        <f t="shared" si="10"/>
        <v>n</v>
      </c>
      <c r="I26" s="5">
        <f>VLOOKUP(B26,data!$B$13:$D$20,3,TRUE)</f>
        <v>4</v>
      </c>
      <c r="J26" s="5">
        <f t="shared" si="5"/>
        <v>0</v>
      </c>
      <c r="K26" s="5">
        <f t="shared" si="5"/>
        <v>0</v>
      </c>
      <c r="L26" s="5">
        <f t="shared" si="5"/>
        <v>0</v>
      </c>
      <c r="M26" s="5">
        <f t="shared" si="5"/>
        <v>1</v>
      </c>
      <c r="N26" s="5">
        <f t="shared" si="5"/>
        <v>0</v>
      </c>
      <c r="O26" s="5">
        <f t="shared" si="5"/>
        <v>0</v>
      </c>
      <c r="P26" s="1023" t="str">
        <f>IF(J26=1,SUM(J$23:J26),"")</f>
        <v/>
      </c>
      <c r="Q26" s="13" t="str">
        <f t="shared" si="6"/>
        <v/>
      </c>
      <c r="R26" s="5" t="str">
        <f t="shared" si="11"/>
        <v/>
      </c>
      <c r="S26" s="989" t="str">
        <f t="shared" si="31"/>
        <v/>
      </c>
      <c r="T26" s="989" t="str">
        <f t="shared" si="32"/>
        <v/>
      </c>
      <c r="U26" s="1023" t="str">
        <f>IF(K26=1,SUM(K$23:K26),"")</f>
        <v/>
      </c>
      <c r="V26" s="13" t="str">
        <f t="shared" si="12"/>
        <v/>
      </c>
      <c r="W26" s="5" t="str">
        <f t="shared" si="13"/>
        <v/>
      </c>
      <c r="X26" s="989" t="str">
        <f t="shared" si="14"/>
        <v/>
      </c>
      <c r="Y26" s="989" t="str">
        <f t="shared" si="15"/>
        <v/>
      </c>
      <c r="Z26" s="1023" t="str">
        <f>IF(L26=1,SUM(L$23:L26),"")</f>
        <v/>
      </c>
      <c r="AA26" s="13" t="str">
        <f t="shared" si="33"/>
        <v/>
      </c>
      <c r="AB26" s="5" t="str">
        <f t="shared" si="16"/>
        <v/>
      </c>
      <c r="AC26" s="989" t="str">
        <f t="shared" si="17"/>
        <v/>
      </c>
      <c r="AD26" s="989" t="str">
        <f t="shared" si="18"/>
        <v/>
      </c>
      <c r="AE26" s="1023">
        <f>IF(M26=1,SUM(M$23:M26),"")</f>
        <v>3</v>
      </c>
      <c r="AF26" s="13">
        <f t="shared" si="19"/>
        <v>46113</v>
      </c>
      <c r="AG26" s="5" t="str">
        <f t="shared" si="20"/>
        <v/>
      </c>
      <c r="AH26" s="989">
        <f t="shared" si="21"/>
        <v>1</v>
      </c>
      <c r="AI26" s="989" t="str">
        <f t="shared" si="22"/>
        <v>n</v>
      </c>
      <c r="AJ26" s="1023" t="str">
        <f>IF(N26=1,SUM(N$23:N26),"")</f>
        <v/>
      </c>
      <c r="AK26" s="13" t="str">
        <f t="shared" si="23"/>
        <v/>
      </c>
      <c r="AL26" s="5" t="str">
        <f t="shared" si="24"/>
        <v/>
      </c>
      <c r="AM26" s="989" t="str">
        <f t="shared" si="25"/>
        <v/>
      </c>
      <c r="AN26" s="989" t="str">
        <f t="shared" si="26"/>
        <v/>
      </c>
      <c r="AO26" s="1023" t="str">
        <f>IF(O26=1,SUM(O$23:O26),"")</f>
        <v/>
      </c>
      <c r="AP26" s="13" t="str">
        <f t="shared" si="27"/>
        <v/>
      </c>
      <c r="AQ26" s="5" t="str">
        <f t="shared" si="28"/>
        <v/>
      </c>
      <c r="AR26" s="989" t="str">
        <f t="shared" si="29"/>
        <v/>
      </c>
      <c r="AS26" s="989" t="str">
        <f t="shared" si="30"/>
        <v/>
      </c>
    </row>
    <row r="27" spans="1:45" x14ac:dyDescent="0.35">
      <c r="A27">
        <v>4</v>
      </c>
      <c r="B27" s="1">
        <f t="shared" si="7"/>
        <v>46113</v>
      </c>
      <c r="C27" s="992" t="str">
        <f>IF(OR($C$21="",$C$21=0,$D$18=0),"n",IF(C26="b","b",IF(LOOKUP(advanced!$M$45,$B$23:$B$36)=B27,"b","n")))</f>
        <v>n</v>
      </c>
      <c r="D27" s="992" t="str">
        <f>IF(OR($D$21="",$D$21=0,$D$17=0),"n",IF(D26="c","c",IF(LOOKUP(advanced!$M$37,$B$23:$B$36)=B27,"c","n")))</f>
        <v>n</v>
      </c>
      <c r="E27" s="27" t="str">
        <f t="array" ref="E27">IF(VLOOKUP(B27,$D$5:$G$18,2,FALSE)="","",VLOOKUP(B27,$D$5:$G$18,2,FALSE)-IF(OR($B$39:$B$48=B27)=TRUE,VLOOKUP(B27,$B$39:$E$48,4,FALSE),0))</f>
        <v/>
      </c>
      <c r="F27" s="992" t="str">
        <f t="shared" si="8"/>
        <v>nn</v>
      </c>
      <c r="G27" s="5">
        <f t="shared" si="9"/>
        <v>1</v>
      </c>
      <c r="H27" s="5" t="str">
        <f t="shared" si="10"/>
        <v>n</v>
      </c>
      <c r="I27" s="5">
        <f>VLOOKUP(B27,data!$B$13:$D$20,3,TRUE)</f>
        <v>4</v>
      </c>
      <c r="J27" s="5">
        <f t="shared" si="5"/>
        <v>0</v>
      </c>
      <c r="K27" s="5">
        <f t="shared" si="5"/>
        <v>0</v>
      </c>
      <c r="L27" s="5">
        <f t="shared" si="5"/>
        <v>0</v>
      </c>
      <c r="M27" s="5">
        <f t="shared" si="5"/>
        <v>1</v>
      </c>
      <c r="N27" s="5">
        <f t="shared" si="5"/>
        <v>0</v>
      </c>
      <c r="O27" s="5">
        <f t="shared" si="5"/>
        <v>0</v>
      </c>
      <c r="P27" s="1023" t="str">
        <f>IF(J27=1,SUM(J$23:J27),"")</f>
        <v/>
      </c>
      <c r="Q27" s="13" t="str">
        <f t="shared" si="6"/>
        <v/>
      </c>
      <c r="R27" s="5" t="str">
        <f t="shared" si="11"/>
        <v/>
      </c>
      <c r="S27" s="989" t="str">
        <f t="shared" si="31"/>
        <v/>
      </c>
      <c r="T27" s="989" t="str">
        <f t="shared" si="32"/>
        <v/>
      </c>
      <c r="U27" s="1023" t="str">
        <f>IF(K27=1,SUM(K$23:K27),"")</f>
        <v/>
      </c>
      <c r="V27" s="13" t="str">
        <f t="shared" si="12"/>
        <v/>
      </c>
      <c r="W27" s="5" t="str">
        <f t="shared" si="13"/>
        <v/>
      </c>
      <c r="X27" s="989" t="str">
        <f t="shared" si="14"/>
        <v/>
      </c>
      <c r="Y27" s="989" t="str">
        <f t="shared" si="15"/>
        <v/>
      </c>
      <c r="Z27" s="1023" t="str">
        <f>IF(L27=1,SUM(L$23:L27),"")</f>
        <v/>
      </c>
      <c r="AA27" s="13" t="str">
        <f t="shared" si="33"/>
        <v/>
      </c>
      <c r="AB27" s="5" t="str">
        <f t="shared" si="16"/>
        <v/>
      </c>
      <c r="AC27" s="989" t="str">
        <f t="shared" si="17"/>
        <v/>
      </c>
      <c r="AD27" s="989" t="str">
        <f t="shared" si="18"/>
        <v/>
      </c>
      <c r="AE27" s="1023">
        <f>IF(M27=1,SUM(M$23:M27),"")</f>
        <v>4</v>
      </c>
      <c r="AF27" s="13">
        <f t="shared" si="19"/>
        <v>46113</v>
      </c>
      <c r="AG27" s="5" t="str">
        <f t="shared" si="20"/>
        <v/>
      </c>
      <c r="AH27" s="989">
        <f t="shared" si="21"/>
        <v>1</v>
      </c>
      <c r="AI27" s="989" t="str">
        <f t="shared" si="22"/>
        <v>n</v>
      </c>
      <c r="AJ27" s="1023" t="str">
        <f>IF(N27=1,SUM(N$23:N27),"")</f>
        <v/>
      </c>
      <c r="AK27" s="13" t="str">
        <f t="shared" si="23"/>
        <v/>
      </c>
      <c r="AL27" s="5" t="str">
        <f t="shared" si="24"/>
        <v/>
      </c>
      <c r="AM27" s="989" t="str">
        <f t="shared" si="25"/>
        <v/>
      </c>
      <c r="AN27" s="989" t="str">
        <f t="shared" si="26"/>
        <v/>
      </c>
      <c r="AO27" s="1023" t="str">
        <f>IF(O27=1,SUM(O$23:O27),"")</f>
        <v/>
      </c>
      <c r="AP27" s="13" t="str">
        <f t="shared" si="27"/>
        <v/>
      </c>
      <c r="AQ27" s="5" t="str">
        <f t="shared" si="28"/>
        <v/>
      </c>
      <c r="AR27" s="989" t="str">
        <f t="shared" si="29"/>
        <v/>
      </c>
      <c r="AS27" s="989" t="str">
        <f t="shared" si="30"/>
        <v/>
      </c>
    </row>
    <row r="28" spans="1:45" x14ac:dyDescent="0.35">
      <c r="A28">
        <v>5</v>
      </c>
      <c r="B28" s="1">
        <f t="shared" si="7"/>
        <v>46113</v>
      </c>
      <c r="C28" s="992" t="str">
        <f>IF(OR($C$21="",$C$21=0,$D$18=0),"n",IF(C27="b","b",IF(LOOKUP(advanced!$M$45,$B$23:$B$36)=B28,"b","n")))</f>
        <v>n</v>
      </c>
      <c r="D28" s="992" t="str">
        <f>IF(OR($D$21="",$D$21=0,$D$17=0),"n",IF(D27="c","c",IF(LOOKUP(advanced!$M$37,$B$23:$B$36)=B28,"c","n")))</f>
        <v>n</v>
      </c>
      <c r="E28" s="27" t="str">
        <f t="array" ref="E28">IF(VLOOKUP(B28,$D$5:$G$18,2,FALSE)="","",VLOOKUP(B28,$D$5:$G$18,2,FALSE)-IF(OR($B$39:$B$48=B28)=TRUE,VLOOKUP(B28,$B$39:$E$48,4,FALSE),0))</f>
        <v/>
      </c>
      <c r="F28" s="992" t="str">
        <f t="shared" si="8"/>
        <v>nn</v>
      </c>
      <c r="G28" s="5">
        <f t="shared" si="9"/>
        <v>1</v>
      </c>
      <c r="H28" s="5" t="str">
        <f t="shared" si="10"/>
        <v>n</v>
      </c>
      <c r="I28" s="5">
        <f>VLOOKUP(B28,data!$B$13:$D$20,3,TRUE)</f>
        <v>4</v>
      </c>
      <c r="J28" s="5">
        <f t="shared" si="5"/>
        <v>0</v>
      </c>
      <c r="K28" s="5">
        <f t="shared" si="5"/>
        <v>0</v>
      </c>
      <c r="L28" s="5">
        <f t="shared" si="5"/>
        <v>0</v>
      </c>
      <c r="M28" s="5">
        <f t="shared" si="5"/>
        <v>1</v>
      </c>
      <c r="N28" s="5">
        <f t="shared" si="5"/>
        <v>0</v>
      </c>
      <c r="O28" s="5">
        <f t="shared" si="5"/>
        <v>0</v>
      </c>
      <c r="P28" s="1023" t="str">
        <f>IF(J28=1,SUM(J$23:J28),"")</f>
        <v/>
      </c>
      <c r="Q28" s="13" t="str">
        <f t="shared" si="6"/>
        <v/>
      </c>
      <c r="R28" s="5" t="str">
        <f t="shared" si="11"/>
        <v/>
      </c>
      <c r="S28" s="989" t="str">
        <f t="shared" si="31"/>
        <v/>
      </c>
      <c r="T28" s="989" t="str">
        <f t="shared" si="32"/>
        <v/>
      </c>
      <c r="U28" s="1023" t="str">
        <f>IF(K28=1,SUM(K$23:K28),"")</f>
        <v/>
      </c>
      <c r="V28" s="13" t="str">
        <f t="shared" si="12"/>
        <v/>
      </c>
      <c r="W28" s="5" t="str">
        <f t="shared" si="13"/>
        <v/>
      </c>
      <c r="X28" s="989" t="str">
        <f t="shared" si="14"/>
        <v/>
      </c>
      <c r="Y28" s="989" t="str">
        <f t="shared" si="15"/>
        <v/>
      </c>
      <c r="Z28" s="1023" t="str">
        <f>IF(L28=1,SUM(L$23:L28),"")</f>
        <v/>
      </c>
      <c r="AA28" s="13" t="str">
        <f t="shared" si="33"/>
        <v/>
      </c>
      <c r="AB28" s="5" t="str">
        <f t="shared" si="16"/>
        <v/>
      </c>
      <c r="AC28" s="989" t="str">
        <f t="shared" si="17"/>
        <v/>
      </c>
      <c r="AD28" s="989" t="str">
        <f t="shared" si="18"/>
        <v/>
      </c>
      <c r="AE28" s="1023">
        <f>IF(M28=1,SUM(M$23:M28),"")</f>
        <v>5</v>
      </c>
      <c r="AF28" s="13">
        <f t="shared" si="19"/>
        <v>46113</v>
      </c>
      <c r="AG28" s="5" t="str">
        <f t="shared" si="20"/>
        <v/>
      </c>
      <c r="AH28" s="989">
        <f t="shared" si="21"/>
        <v>1</v>
      </c>
      <c r="AI28" s="989" t="str">
        <f t="shared" si="22"/>
        <v>n</v>
      </c>
      <c r="AJ28" s="1023" t="str">
        <f>IF(N28=1,SUM(N$23:N28),"")</f>
        <v/>
      </c>
      <c r="AK28" s="13" t="str">
        <f t="shared" si="23"/>
        <v/>
      </c>
      <c r="AL28" s="5" t="str">
        <f t="shared" si="24"/>
        <v/>
      </c>
      <c r="AM28" s="989" t="str">
        <f t="shared" si="25"/>
        <v/>
      </c>
      <c r="AN28" s="989" t="str">
        <f t="shared" si="26"/>
        <v/>
      </c>
      <c r="AO28" s="1023" t="str">
        <f>IF(O28=1,SUM(O$23:O28),"")</f>
        <v/>
      </c>
      <c r="AP28" s="13" t="str">
        <f t="shared" si="27"/>
        <v/>
      </c>
      <c r="AQ28" s="5" t="str">
        <f t="shared" si="28"/>
        <v/>
      </c>
      <c r="AR28" s="989" t="str">
        <f t="shared" si="29"/>
        <v/>
      </c>
      <c r="AS28" s="989" t="str">
        <f t="shared" si="30"/>
        <v/>
      </c>
    </row>
    <row r="29" spans="1:45" x14ac:dyDescent="0.35">
      <c r="A29">
        <v>6</v>
      </c>
      <c r="B29" s="1">
        <f t="shared" si="7"/>
        <v>46113</v>
      </c>
      <c r="C29" s="992" t="str">
        <f>IF(OR($C$21="",$C$21=0,$D$18=0),"n",IF(C28="b","b",IF(LOOKUP(advanced!$M$45,$B$23:$B$36)=B29,"b","n")))</f>
        <v>n</v>
      </c>
      <c r="D29" s="992" t="str">
        <f>IF(OR($D$21="",$D$21=0,$D$17=0),"n",IF(D28="c","c",IF(LOOKUP(advanced!$M$37,$B$23:$B$36)=B29,"c","n")))</f>
        <v>n</v>
      </c>
      <c r="E29" s="27" t="str">
        <f t="array" ref="E29">IF(VLOOKUP(B29,$D$5:$G$18,2,FALSE)="","",VLOOKUP(B29,$D$5:$G$18,2,FALSE)-IF(OR($B$39:$B$48=B29)=TRUE,VLOOKUP(B29,$B$39:$E$48,4,FALSE),0))</f>
        <v/>
      </c>
      <c r="F29" s="992" t="str">
        <f t="shared" si="8"/>
        <v>nn</v>
      </c>
      <c r="G29" s="5">
        <f t="shared" si="9"/>
        <v>1</v>
      </c>
      <c r="H29" s="5" t="str">
        <f t="shared" si="10"/>
        <v>n</v>
      </c>
      <c r="I29" s="5">
        <f>VLOOKUP(B29,data!$B$13:$D$20,3,TRUE)</f>
        <v>4</v>
      </c>
      <c r="J29" s="5">
        <f t="shared" si="5"/>
        <v>0</v>
      </c>
      <c r="K29" s="5">
        <f t="shared" si="5"/>
        <v>0</v>
      </c>
      <c r="L29" s="5">
        <f t="shared" si="5"/>
        <v>0</v>
      </c>
      <c r="M29" s="5">
        <f t="shared" si="5"/>
        <v>1</v>
      </c>
      <c r="N29" s="5">
        <f t="shared" si="5"/>
        <v>0</v>
      </c>
      <c r="O29" s="5">
        <f t="shared" si="5"/>
        <v>0</v>
      </c>
      <c r="P29" s="1023" t="str">
        <f>IF(J29=1,SUM(J$23:J29),"")</f>
        <v/>
      </c>
      <c r="Q29" s="13" t="str">
        <f t="shared" si="6"/>
        <v/>
      </c>
      <c r="R29" s="5" t="str">
        <f t="shared" si="11"/>
        <v/>
      </c>
      <c r="S29" s="989" t="str">
        <f t="shared" si="31"/>
        <v/>
      </c>
      <c r="T29" s="989" t="str">
        <f t="shared" si="32"/>
        <v/>
      </c>
      <c r="U29" s="1023" t="str">
        <f>IF(K29=1,SUM(K$23:K29),"")</f>
        <v/>
      </c>
      <c r="V29" s="13" t="str">
        <f t="shared" si="12"/>
        <v/>
      </c>
      <c r="W29" s="5" t="str">
        <f t="shared" si="13"/>
        <v/>
      </c>
      <c r="X29" s="989" t="str">
        <f t="shared" si="14"/>
        <v/>
      </c>
      <c r="Y29" s="989" t="str">
        <f t="shared" si="15"/>
        <v/>
      </c>
      <c r="Z29" s="1023" t="str">
        <f>IF(L29=1,SUM(L$23:L29),"")</f>
        <v/>
      </c>
      <c r="AA29" s="13" t="str">
        <f t="shared" si="33"/>
        <v/>
      </c>
      <c r="AB29" s="5" t="str">
        <f t="shared" si="16"/>
        <v/>
      </c>
      <c r="AC29" s="989" t="str">
        <f t="shared" si="17"/>
        <v/>
      </c>
      <c r="AD29" s="989" t="str">
        <f t="shared" si="18"/>
        <v/>
      </c>
      <c r="AE29" s="1023">
        <f>IF(M29=1,SUM(M$23:M29),"")</f>
        <v>6</v>
      </c>
      <c r="AF29" s="13">
        <f t="shared" si="19"/>
        <v>46113</v>
      </c>
      <c r="AG29" s="5" t="str">
        <f t="shared" si="20"/>
        <v/>
      </c>
      <c r="AH29" s="989">
        <f t="shared" si="21"/>
        <v>1</v>
      </c>
      <c r="AI29" s="989" t="str">
        <f t="shared" si="22"/>
        <v>n</v>
      </c>
      <c r="AJ29" s="1023" t="str">
        <f>IF(N29=1,SUM(N$23:N29),"")</f>
        <v/>
      </c>
      <c r="AK29" s="13" t="str">
        <f t="shared" si="23"/>
        <v/>
      </c>
      <c r="AL29" s="5" t="str">
        <f t="shared" si="24"/>
        <v/>
      </c>
      <c r="AM29" s="989" t="str">
        <f t="shared" si="25"/>
        <v/>
      </c>
      <c r="AN29" s="989" t="str">
        <f t="shared" si="26"/>
        <v/>
      </c>
      <c r="AO29" s="1023" t="str">
        <f>IF(O29=1,SUM(O$23:O29),"")</f>
        <v/>
      </c>
      <c r="AP29" s="13" t="str">
        <f t="shared" si="27"/>
        <v/>
      </c>
      <c r="AQ29" s="5" t="str">
        <f t="shared" si="28"/>
        <v/>
      </c>
      <c r="AR29" s="989" t="str">
        <f t="shared" si="29"/>
        <v/>
      </c>
      <c r="AS29" s="989" t="str">
        <f t="shared" si="30"/>
        <v/>
      </c>
    </row>
    <row r="30" spans="1:45" x14ac:dyDescent="0.35">
      <c r="A30">
        <v>7</v>
      </c>
      <c r="B30" s="1">
        <f t="shared" si="7"/>
        <v>46113</v>
      </c>
      <c r="C30" s="992" t="str">
        <f>IF(OR($C$21="",$C$21=0,$D$18=0),"n",IF(C29="b","b",IF(LOOKUP(advanced!$M$45,$B$23:$B$36)=B30,"b","n")))</f>
        <v>n</v>
      </c>
      <c r="D30" s="992" t="str">
        <f>IF(OR($D$21="",$D$21=0,$D$17=0),"n",IF(D29="c","c",IF(LOOKUP(advanced!$M$37,$B$23:$B$36)=B30,"c","n")))</f>
        <v>n</v>
      </c>
      <c r="E30" s="27" t="str">
        <f t="array" ref="E30">IF(VLOOKUP(B30,$D$5:$G$18,2,FALSE)="","",VLOOKUP(B30,$D$5:$G$18,2,FALSE)-IF(OR($B$39:$B$48=B30)=TRUE,VLOOKUP(B30,$B$39:$E$48,4,FALSE),0))</f>
        <v/>
      </c>
      <c r="F30" s="992" t="str">
        <f t="shared" si="8"/>
        <v>nn</v>
      </c>
      <c r="G30" s="5">
        <f t="shared" si="9"/>
        <v>1</v>
      </c>
      <c r="H30" s="5" t="str">
        <f t="shared" si="10"/>
        <v>n</v>
      </c>
      <c r="I30" s="5">
        <f>VLOOKUP(B30,data!$B$13:$D$20,3,TRUE)</f>
        <v>4</v>
      </c>
      <c r="J30" s="5">
        <f t="shared" si="5"/>
        <v>0</v>
      </c>
      <c r="K30" s="5">
        <f t="shared" si="5"/>
        <v>0</v>
      </c>
      <c r="L30" s="5">
        <f t="shared" si="5"/>
        <v>0</v>
      </c>
      <c r="M30" s="5">
        <f t="shared" si="5"/>
        <v>1</v>
      </c>
      <c r="N30" s="5">
        <f t="shared" si="5"/>
        <v>0</v>
      </c>
      <c r="O30" s="5">
        <f t="shared" si="5"/>
        <v>0</v>
      </c>
      <c r="P30" s="1023" t="str">
        <f>IF(J30=1,SUM(J$23:J30),"")</f>
        <v/>
      </c>
      <c r="Q30" s="13" t="str">
        <f t="shared" si="6"/>
        <v/>
      </c>
      <c r="R30" s="5" t="str">
        <f t="shared" si="11"/>
        <v/>
      </c>
      <c r="S30" s="989" t="str">
        <f t="shared" si="31"/>
        <v/>
      </c>
      <c r="T30" s="989" t="str">
        <f t="shared" si="32"/>
        <v/>
      </c>
      <c r="U30" s="1023" t="str">
        <f>IF(K30=1,SUM(K$23:K30),"")</f>
        <v/>
      </c>
      <c r="V30" s="13" t="str">
        <f t="shared" si="12"/>
        <v/>
      </c>
      <c r="W30" s="5" t="str">
        <f t="shared" si="13"/>
        <v/>
      </c>
      <c r="X30" s="989" t="str">
        <f t="shared" si="14"/>
        <v/>
      </c>
      <c r="Y30" s="989" t="str">
        <f t="shared" si="15"/>
        <v/>
      </c>
      <c r="Z30" s="1023" t="str">
        <f>IF(L30=1,SUM(L$23:L30),"")</f>
        <v/>
      </c>
      <c r="AA30" s="13" t="str">
        <f t="shared" si="33"/>
        <v/>
      </c>
      <c r="AB30" s="5" t="str">
        <f t="shared" si="16"/>
        <v/>
      </c>
      <c r="AC30" s="989" t="str">
        <f t="shared" si="17"/>
        <v/>
      </c>
      <c r="AD30" s="989" t="str">
        <f t="shared" si="18"/>
        <v/>
      </c>
      <c r="AE30" s="1023">
        <f>IF(M30=1,SUM(M$23:M30),"")</f>
        <v>7</v>
      </c>
      <c r="AF30" s="13">
        <f t="shared" si="19"/>
        <v>46113</v>
      </c>
      <c r="AG30" s="5" t="str">
        <f t="shared" si="20"/>
        <v/>
      </c>
      <c r="AH30" s="989">
        <f t="shared" si="21"/>
        <v>1</v>
      </c>
      <c r="AI30" s="989" t="str">
        <f t="shared" si="22"/>
        <v>n</v>
      </c>
      <c r="AJ30" s="1023" t="str">
        <f>IF(N30=1,SUM(N$23:N30),"")</f>
        <v/>
      </c>
      <c r="AK30" s="13" t="str">
        <f t="shared" si="23"/>
        <v/>
      </c>
      <c r="AL30" s="5" t="str">
        <f t="shared" si="24"/>
        <v/>
      </c>
      <c r="AM30" s="989" t="str">
        <f t="shared" si="25"/>
        <v/>
      </c>
      <c r="AN30" s="989" t="str">
        <f t="shared" si="26"/>
        <v/>
      </c>
      <c r="AO30" s="1023" t="str">
        <f>IF(O30=1,SUM(O$23:O30),"")</f>
        <v/>
      </c>
      <c r="AP30" s="13" t="str">
        <f t="shared" si="27"/>
        <v/>
      </c>
      <c r="AQ30" s="5" t="str">
        <f t="shared" si="28"/>
        <v/>
      </c>
      <c r="AR30" s="989" t="str">
        <f t="shared" si="29"/>
        <v/>
      </c>
      <c r="AS30" s="989" t="str">
        <f t="shared" si="30"/>
        <v/>
      </c>
    </row>
    <row r="31" spans="1:45" x14ac:dyDescent="0.35">
      <c r="A31">
        <v>8</v>
      </c>
      <c r="B31" s="1">
        <f t="shared" si="7"/>
        <v>46113</v>
      </c>
      <c r="C31" s="992" t="str">
        <f>IF(OR($C$21="",$C$21=0,$D$18=0),"n",IF(C30="b","b",IF(LOOKUP(advanced!$M$45,$B$23:$B$36)=B31,"b","n")))</f>
        <v>n</v>
      </c>
      <c r="D31" s="992" t="str">
        <f>IF(OR($D$21="",$D$21=0,$D$17=0),"n",IF(D30="c","c",IF(LOOKUP(advanced!$M$37,$B$23:$B$36)=B31,"c","n")))</f>
        <v>n</v>
      </c>
      <c r="E31" s="27" t="str">
        <f t="array" ref="E31">IF(VLOOKUP(B31,$D$5:$G$18,2,FALSE)="","",VLOOKUP(B31,$D$5:$G$18,2,FALSE)-IF(OR($B$39:$B$48=B31)=TRUE,VLOOKUP(B31,$B$39:$E$48,4,FALSE),0))</f>
        <v/>
      </c>
      <c r="F31" s="992" t="str">
        <f t="shared" si="8"/>
        <v>nn</v>
      </c>
      <c r="G31" s="5">
        <f t="shared" si="9"/>
        <v>1</v>
      </c>
      <c r="H31" s="5" t="str">
        <f t="shared" si="10"/>
        <v>n</v>
      </c>
      <c r="I31" s="5">
        <f>VLOOKUP(B31,data!$B$13:$D$20,3,TRUE)</f>
        <v>4</v>
      </c>
      <c r="J31" s="5">
        <f t="shared" si="5"/>
        <v>0</v>
      </c>
      <c r="K31" s="5">
        <f t="shared" si="5"/>
        <v>0</v>
      </c>
      <c r="L31" s="5">
        <f t="shared" si="5"/>
        <v>0</v>
      </c>
      <c r="M31" s="5">
        <f t="shared" si="5"/>
        <v>1</v>
      </c>
      <c r="N31" s="5">
        <f t="shared" si="5"/>
        <v>0</v>
      </c>
      <c r="O31" s="5">
        <f t="shared" si="5"/>
        <v>0</v>
      </c>
      <c r="P31" s="1023" t="str">
        <f>IF(J31=1,SUM(J$23:J31),"")</f>
        <v/>
      </c>
      <c r="Q31" s="13" t="str">
        <f t="shared" si="6"/>
        <v/>
      </c>
      <c r="R31" s="5" t="str">
        <f t="shared" si="11"/>
        <v/>
      </c>
      <c r="S31" s="989" t="str">
        <f t="shared" si="31"/>
        <v/>
      </c>
      <c r="T31" s="989" t="str">
        <f t="shared" si="32"/>
        <v/>
      </c>
      <c r="U31" s="1023" t="str">
        <f>IF(K31=1,SUM(K$23:K31),"")</f>
        <v/>
      </c>
      <c r="V31" s="13" t="str">
        <f t="shared" si="12"/>
        <v/>
      </c>
      <c r="W31" s="5" t="str">
        <f t="shared" si="13"/>
        <v/>
      </c>
      <c r="X31" s="989" t="str">
        <f t="shared" si="14"/>
        <v/>
      </c>
      <c r="Y31" s="989" t="str">
        <f t="shared" si="15"/>
        <v/>
      </c>
      <c r="Z31" s="1023" t="str">
        <f>IF(L31=1,SUM(L$23:L31),"")</f>
        <v/>
      </c>
      <c r="AA31" s="13" t="str">
        <f t="shared" si="33"/>
        <v/>
      </c>
      <c r="AB31" s="5" t="str">
        <f t="shared" si="16"/>
        <v/>
      </c>
      <c r="AC31" s="989" t="str">
        <f t="shared" si="17"/>
        <v/>
      </c>
      <c r="AD31" s="989" t="str">
        <f t="shared" si="18"/>
        <v/>
      </c>
      <c r="AE31" s="1023">
        <f>IF(M31=1,SUM(M$23:M31),"")</f>
        <v>8</v>
      </c>
      <c r="AF31" s="13">
        <f t="shared" si="19"/>
        <v>46113</v>
      </c>
      <c r="AG31" s="5" t="str">
        <f t="shared" si="20"/>
        <v/>
      </c>
      <c r="AH31" s="989">
        <f t="shared" si="21"/>
        <v>1</v>
      </c>
      <c r="AI31" s="989" t="str">
        <f t="shared" si="22"/>
        <v>n</v>
      </c>
      <c r="AJ31" s="1023" t="str">
        <f>IF(N31=1,SUM(N$23:N31),"")</f>
        <v/>
      </c>
      <c r="AK31" s="13" t="str">
        <f t="shared" si="23"/>
        <v/>
      </c>
      <c r="AL31" s="5" t="str">
        <f t="shared" si="24"/>
        <v/>
      </c>
      <c r="AM31" s="989" t="str">
        <f t="shared" si="25"/>
        <v/>
      </c>
      <c r="AN31" s="989" t="str">
        <f t="shared" si="26"/>
        <v/>
      </c>
      <c r="AO31" s="1023" t="str">
        <f>IF(O31=1,SUM(O$23:O31),"")</f>
        <v/>
      </c>
      <c r="AP31" s="13" t="str">
        <f t="shared" si="27"/>
        <v/>
      </c>
      <c r="AQ31" s="5" t="str">
        <f t="shared" si="28"/>
        <v/>
      </c>
      <c r="AR31" s="989" t="str">
        <f t="shared" si="29"/>
        <v/>
      </c>
      <c r="AS31" s="989" t="str">
        <f t="shared" si="30"/>
        <v/>
      </c>
    </row>
    <row r="32" spans="1:45" x14ac:dyDescent="0.35">
      <c r="A32">
        <v>9</v>
      </c>
      <c r="B32" s="1">
        <f t="shared" si="7"/>
        <v>46113</v>
      </c>
      <c r="C32" s="992" t="str">
        <f>IF(OR($C$21="",$C$21=0,$D$18=0),"n",IF(C31="b","b",IF(LOOKUP(advanced!$M$45,$B$23:$B$36)=B32,"b","n")))</f>
        <v>n</v>
      </c>
      <c r="D32" s="992" t="str">
        <f>IF(OR($D$21="",$D$21=0,$D$17=0),"n",IF(D31="c","c",IF(LOOKUP(advanced!$M$37,$B$23:$B$36)=B32,"c","n")))</f>
        <v>n</v>
      </c>
      <c r="E32" s="27" t="str">
        <f t="array" ref="E32">IF(VLOOKUP(B32,$D$5:$G$18,2,FALSE)="","",VLOOKUP(B32,$D$5:$G$18,2,FALSE)-IF(OR($B$39:$B$48=B32)=TRUE,VLOOKUP(B32,$B$39:$E$48,4,FALSE),0))</f>
        <v/>
      </c>
      <c r="F32" s="992" t="str">
        <f t="shared" si="8"/>
        <v>nn</v>
      </c>
      <c r="G32" s="5">
        <f t="shared" si="9"/>
        <v>1</v>
      </c>
      <c r="H32" s="5" t="str">
        <f t="shared" si="10"/>
        <v>n</v>
      </c>
      <c r="I32" s="5">
        <f>VLOOKUP(B32,data!$B$13:$D$20,3,TRUE)</f>
        <v>4</v>
      </c>
      <c r="J32" s="5">
        <f t="shared" si="5"/>
        <v>0</v>
      </c>
      <c r="K32" s="5">
        <f t="shared" si="5"/>
        <v>0</v>
      </c>
      <c r="L32" s="5">
        <f t="shared" si="5"/>
        <v>0</v>
      </c>
      <c r="M32" s="5">
        <f t="shared" si="5"/>
        <v>1</v>
      </c>
      <c r="N32" s="5">
        <f t="shared" si="5"/>
        <v>0</v>
      </c>
      <c r="O32" s="5">
        <f t="shared" si="5"/>
        <v>0</v>
      </c>
      <c r="P32" s="1023" t="str">
        <f>IF(J32=1,SUM(J$23:J32),"")</f>
        <v/>
      </c>
      <c r="Q32" s="13" t="str">
        <f t="shared" si="6"/>
        <v/>
      </c>
      <c r="R32" s="5" t="str">
        <f t="shared" si="11"/>
        <v/>
      </c>
      <c r="S32" s="989" t="str">
        <f t="shared" si="31"/>
        <v/>
      </c>
      <c r="T32" s="989" t="str">
        <f t="shared" si="32"/>
        <v/>
      </c>
      <c r="U32" s="1023" t="str">
        <f>IF(K32=1,SUM(K$23:K32),"")</f>
        <v/>
      </c>
      <c r="V32" s="13" t="str">
        <f t="shared" si="12"/>
        <v/>
      </c>
      <c r="W32" s="5" t="str">
        <f t="shared" si="13"/>
        <v/>
      </c>
      <c r="X32" s="989" t="str">
        <f t="shared" si="14"/>
        <v/>
      </c>
      <c r="Y32" s="989" t="str">
        <f t="shared" si="15"/>
        <v/>
      </c>
      <c r="Z32" s="1023" t="str">
        <f>IF(L32=1,SUM(L$23:L32),"")</f>
        <v/>
      </c>
      <c r="AA32" s="13" t="str">
        <f t="shared" si="33"/>
        <v/>
      </c>
      <c r="AB32" s="5" t="str">
        <f t="shared" si="16"/>
        <v/>
      </c>
      <c r="AC32" s="989" t="str">
        <f t="shared" si="17"/>
        <v/>
      </c>
      <c r="AD32" s="989" t="str">
        <f t="shared" si="18"/>
        <v/>
      </c>
      <c r="AE32" s="1023">
        <f>IF(M32=1,SUM(M$23:M32),"")</f>
        <v>9</v>
      </c>
      <c r="AF32" s="13">
        <f t="shared" si="19"/>
        <v>46113</v>
      </c>
      <c r="AG32" s="5" t="str">
        <f t="shared" si="20"/>
        <v/>
      </c>
      <c r="AH32" s="989">
        <f t="shared" si="21"/>
        <v>1</v>
      </c>
      <c r="AI32" s="989" t="str">
        <f t="shared" si="22"/>
        <v>n</v>
      </c>
      <c r="AJ32" s="1023" t="str">
        <f>IF(N32=1,SUM(N$23:N32),"")</f>
        <v/>
      </c>
      <c r="AK32" s="13" t="str">
        <f t="shared" si="23"/>
        <v/>
      </c>
      <c r="AL32" s="5" t="str">
        <f t="shared" si="24"/>
        <v/>
      </c>
      <c r="AM32" s="989" t="str">
        <f t="shared" si="25"/>
        <v/>
      </c>
      <c r="AN32" s="989" t="str">
        <f t="shared" si="26"/>
        <v/>
      </c>
      <c r="AO32" s="1023" t="str">
        <f>IF(O32=1,SUM(O$23:O32),"")</f>
        <v/>
      </c>
      <c r="AP32" s="13" t="str">
        <f t="shared" si="27"/>
        <v/>
      </c>
      <c r="AQ32" s="5" t="str">
        <f t="shared" si="28"/>
        <v/>
      </c>
      <c r="AR32" s="989" t="str">
        <f t="shared" si="29"/>
        <v/>
      </c>
      <c r="AS32" s="989" t="str">
        <f t="shared" si="30"/>
        <v/>
      </c>
    </row>
    <row r="33" spans="1:45" x14ac:dyDescent="0.35">
      <c r="A33">
        <v>10</v>
      </c>
      <c r="B33" s="1">
        <f t="shared" si="7"/>
        <v>46113</v>
      </c>
      <c r="C33" s="992" t="str">
        <f>IF(OR($C$21="",$C$21=0,$D$18=0),"n",IF(C32="b","b",IF(LOOKUP(advanced!$M$45,$B$23:$B$36)=B33,"b","n")))</f>
        <v>n</v>
      </c>
      <c r="D33" s="992" t="str">
        <f>IF(OR($D$21="",$D$21=0,$D$17=0),"n",IF(D32="c","c",IF(LOOKUP(advanced!$M$37,$B$23:$B$36)=B33,"c","n")))</f>
        <v>n</v>
      </c>
      <c r="E33" s="27" t="str">
        <f t="array" ref="E33">IF(VLOOKUP(B33,$D$5:$G$18,2,FALSE)="","",VLOOKUP(B33,$D$5:$G$18,2,FALSE)-IF(OR($B$39:$B$48=B33)=TRUE,VLOOKUP(B33,$B$39:$E$48,4,FALSE),0))</f>
        <v/>
      </c>
      <c r="F33" s="992" t="str">
        <f t="shared" si="8"/>
        <v>nn</v>
      </c>
      <c r="G33" s="5">
        <f t="shared" si="9"/>
        <v>1</v>
      </c>
      <c r="H33" s="5" t="str">
        <f t="shared" si="10"/>
        <v>n</v>
      </c>
      <c r="I33" s="5">
        <f>VLOOKUP(B33,data!$B$13:$D$20,3,TRUE)</f>
        <v>4</v>
      </c>
      <c r="J33" s="5">
        <f t="shared" si="5"/>
        <v>0</v>
      </c>
      <c r="K33" s="5">
        <f t="shared" si="5"/>
        <v>0</v>
      </c>
      <c r="L33" s="5">
        <f t="shared" si="5"/>
        <v>0</v>
      </c>
      <c r="M33" s="5">
        <f t="shared" si="5"/>
        <v>1</v>
      </c>
      <c r="N33" s="5">
        <f t="shared" si="5"/>
        <v>0</v>
      </c>
      <c r="O33" s="5">
        <f t="shared" si="5"/>
        <v>0</v>
      </c>
      <c r="P33" s="1023" t="str">
        <f>IF(J33=1,SUM(J$23:J33),"")</f>
        <v/>
      </c>
      <c r="Q33" s="13" t="str">
        <f t="shared" si="6"/>
        <v/>
      </c>
      <c r="R33" s="5" t="str">
        <f t="shared" si="11"/>
        <v/>
      </c>
      <c r="S33" s="989" t="str">
        <f t="shared" si="31"/>
        <v/>
      </c>
      <c r="T33" s="989" t="str">
        <f t="shared" si="32"/>
        <v/>
      </c>
      <c r="U33" s="1023" t="str">
        <f>IF(K33=1,SUM(K$23:K33),"")</f>
        <v/>
      </c>
      <c r="V33" s="13" t="str">
        <f t="shared" si="12"/>
        <v/>
      </c>
      <c r="W33" s="5" t="str">
        <f t="shared" si="13"/>
        <v/>
      </c>
      <c r="X33" s="989" t="str">
        <f t="shared" si="14"/>
        <v/>
      </c>
      <c r="Y33" s="989" t="str">
        <f t="shared" si="15"/>
        <v/>
      </c>
      <c r="Z33" s="1023" t="str">
        <f>IF(L33=1,SUM(L$23:L33),"")</f>
        <v/>
      </c>
      <c r="AA33" s="13" t="str">
        <f t="shared" si="33"/>
        <v/>
      </c>
      <c r="AB33" s="5" t="str">
        <f t="shared" si="16"/>
        <v/>
      </c>
      <c r="AC33" s="989" t="str">
        <f t="shared" si="17"/>
        <v/>
      </c>
      <c r="AD33" s="989" t="str">
        <f t="shared" si="18"/>
        <v/>
      </c>
      <c r="AE33" s="1023">
        <f>IF(M33=1,SUM(M$23:M33),"")</f>
        <v>10</v>
      </c>
      <c r="AF33" s="13">
        <f t="shared" si="19"/>
        <v>46113</v>
      </c>
      <c r="AG33" s="5" t="str">
        <f t="shared" si="20"/>
        <v/>
      </c>
      <c r="AH33" s="989">
        <f t="shared" si="21"/>
        <v>1</v>
      </c>
      <c r="AI33" s="989" t="str">
        <f t="shared" si="22"/>
        <v>n</v>
      </c>
      <c r="AJ33" s="1023" t="str">
        <f>IF(N33=1,SUM(N$23:N33),"")</f>
        <v/>
      </c>
      <c r="AK33" s="13" t="str">
        <f t="shared" si="23"/>
        <v/>
      </c>
      <c r="AL33" s="5" t="str">
        <f t="shared" si="24"/>
        <v/>
      </c>
      <c r="AM33" s="989" t="str">
        <f t="shared" si="25"/>
        <v/>
      </c>
      <c r="AN33" s="989" t="str">
        <f t="shared" si="26"/>
        <v/>
      </c>
      <c r="AO33" s="1023" t="str">
        <f>IF(O33=1,SUM(O$23:O33),"")</f>
        <v/>
      </c>
      <c r="AP33" s="13" t="str">
        <f t="shared" si="27"/>
        <v/>
      </c>
      <c r="AQ33" s="5" t="str">
        <f t="shared" si="28"/>
        <v/>
      </c>
      <c r="AR33" s="989" t="str">
        <f t="shared" si="29"/>
        <v/>
      </c>
      <c r="AS33" s="989" t="str">
        <f t="shared" si="30"/>
        <v/>
      </c>
    </row>
    <row r="34" spans="1:45" x14ac:dyDescent="0.35">
      <c r="A34">
        <v>11</v>
      </c>
      <c r="B34" s="1">
        <f t="shared" si="7"/>
        <v>46113</v>
      </c>
      <c r="C34" s="992" t="str">
        <f>IF(OR($C$21="",$C$21=0,$D$18=0),"n",IF(C33="b","b",IF(LOOKUP(advanced!$M$45,$B$23:$B$36)=B34,"b","n")))</f>
        <v>n</v>
      </c>
      <c r="D34" s="992" t="str">
        <f>IF(OR($D$21="",$D$21=0,$D$17=0),"n",IF(D33="c","c",IF(LOOKUP(advanced!$M$37,$B$23:$B$36)=B34,"c","n")))</f>
        <v>n</v>
      </c>
      <c r="E34" s="27" t="str">
        <f t="array" ref="E34">IF(VLOOKUP(B34,$D$5:$G$18,2,FALSE)="","",VLOOKUP(B34,$D$5:$G$18,2,FALSE)-IF(OR($B$39:$B$48=B34)=TRUE,VLOOKUP(B34,$B$39:$E$48,4,FALSE),0))</f>
        <v/>
      </c>
      <c r="F34" s="992" t="str">
        <f t="shared" si="8"/>
        <v>nn</v>
      </c>
      <c r="G34" s="5">
        <f t="shared" si="9"/>
        <v>1</v>
      </c>
      <c r="H34" s="5" t="str">
        <f t="shared" si="10"/>
        <v>n</v>
      </c>
      <c r="I34" s="5">
        <f>VLOOKUP(B34,data!$B$13:$D$20,3,TRUE)</f>
        <v>4</v>
      </c>
      <c r="J34" s="5">
        <f t="shared" si="5"/>
        <v>0</v>
      </c>
      <c r="K34" s="5">
        <f t="shared" si="5"/>
        <v>0</v>
      </c>
      <c r="L34" s="5">
        <f t="shared" si="5"/>
        <v>0</v>
      </c>
      <c r="M34" s="5">
        <f t="shared" si="5"/>
        <v>1</v>
      </c>
      <c r="N34" s="5">
        <f t="shared" si="5"/>
        <v>0</v>
      </c>
      <c r="O34" s="5">
        <f t="shared" si="5"/>
        <v>0</v>
      </c>
      <c r="P34" s="1023" t="str">
        <f>IF(J34=1,SUM(J$23:J34),"")</f>
        <v/>
      </c>
      <c r="Q34" s="13" t="str">
        <f t="shared" si="6"/>
        <v/>
      </c>
      <c r="R34" s="5" t="str">
        <f t="shared" si="11"/>
        <v/>
      </c>
      <c r="S34" s="989" t="str">
        <f t="shared" si="31"/>
        <v/>
      </c>
      <c r="T34" s="989" t="str">
        <f t="shared" si="32"/>
        <v/>
      </c>
      <c r="U34" s="1023" t="str">
        <f>IF(K34=1,SUM(K$23:K34),"")</f>
        <v/>
      </c>
      <c r="V34" s="13" t="str">
        <f t="shared" si="12"/>
        <v/>
      </c>
      <c r="W34" s="5" t="str">
        <f t="shared" si="13"/>
        <v/>
      </c>
      <c r="X34" s="989" t="str">
        <f t="shared" si="14"/>
        <v/>
      </c>
      <c r="Y34" s="989" t="str">
        <f t="shared" si="15"/>
        <v/>
      </c>
      <c r="Z34" s="1023" t="str">
        <f>IF(L34=1,SUM(L$23:L34),"")</f>
        <v/>
      </c>
      <c r="AA34" s="13" t="str">
        <f t="shared" si="33"/>
        <v/>
      </c>
      <c r="AB34" s="5" t="str">
        <f t="shared" si="16"/>
        <v/>
      </c>
      <c r="AC34" s="989" t="str">
        <f t="shared" si="17"/>
        <v/>
      </c>
      <c r="AD34" s="989" t="str">
        <f t="shared" si="18"/>
        <v/>
      </c>
      <c r="AE34" s="1023">
        <f>IF(M34=1,SUM(M$23:M34),"")</f>
        <v>11</v>
      </c>
      <c r="AF34" s="13">
        <f t="shared" si="19"/>
        <v>46113</v>
      </c>
      <c r="AG34" s="5" t="str">
        <f t="shared" si="20"/>
        <v/>
      </c>
      <c r="AH34" s="989">
        <f t="shared" si="21"/>
        <v>1</v>
      </c>
      <c r="AI34" s="989" t="str">
        <f t="shared" si="22"/>
        <v>n</v>
      </c>
      <c r="AJ34" s="1023" t="str">
        <f>IF(N34=1,SUM(N$23:N34),"")</f>
        <v/>
      </c>
      <c r="AK34" s="13" t="str">
        <f t="shared" si="23"/>
        <v/>
      </c>
      <c r="AL34" s="5" t="str">
        <f t="shared" si="24"/>
        <v/>
      </c>
      <c r="AM34" s="989" t="str">
        <f t="shared" si="25"/>
        <v/>
      </c>
      <c r="AN34" s="989" t="str">
        <f t="shared" si="26"/>
        <v/>
      </c>
      <c r="AO34" s="1023" t="str">
        <f>IF(O34=1,SUM(O$23:O34),"")</f>
        <v/>
      </c>
      <c r="AP34" s="13" t="str">
        <f t="shared" si="27"/>
        <v/>
      </c>
      <c r="AQ34" s="5" t="str">
        <f t="shared" si="28"/>
        <v/>
      </c>
      <c r="AR34" s="989" t="str">
        <f t="shared" si="29"/>
        <v/>
      </c>
      <c r="AS34" s="989" t="str">
        <f t="shared" si="30"/>
        <v/>
      </c>
    </row>
    <row r="35" spans="1:45" x14ac:dyDescent="0.35">
      <c r="A35">
        <v>12</v>
      </c>
      <c r="B35" s="1">
        <f t="shared" si="7"/>
        <v>46113</v>
      </c>
      <c r="C35" s="992" t="str">
        <f>IF(OR($C$21="",$C$21=0,$D$18=0),"n",IF(C34="b","b",IF(LOOKUP(advanced!$M$45,$B$23:$B$36)=B35,"b","n")))</f>
        <v>n</v>
      </c>
      <c r="D35" s="992" t="str">
        <f>IF(OR($D$21="",$D$21=0,$D$17=0),"n",IF(D34="c","c",IF(LOOKUP(advanced!$M$37,$B$23:$B$36)=B35,"c","n")))</f>
        <v>n</v>
      </c>
      <c r="E35" s="27" t="str">
        <f t="array" ref="E35">IF(VLOOKUP(B35,$D$5:$G$18,2,FALSE)="","",VLOOKUP(B35,$D$5:$G$18,2,FALSE)-IF(OR($B$39:$B$48=B35)=TRUE,VLOOKUP(B35,$B$39:$E$48,4,FALSE),0))</f>
        <v/>
      </c>
      <c r="F35" s="992" t="str">
        <f t="shared" si="8"/>
        <v>nn</v>
      </c>
      <c r="G35" s="5">
        <f t="shared" si="9"/>
        <v>1</v>
      </c>
      <c r="H35" s="5" t="str">
        <f t="shared" si="10"/>
        <v>n</v>
      </c>
      <c r="I35" s="5">
        <f>VLOOKUP(B35,data!$B$13:$D$20,3,TRUE)</f>
        <v>4</v>
      </c>
      <c r="J35" s="5">
        <f t="shared" si="5"/>
        <v>0</v>
      </c>
      <c r="K35" s="5">
        <f t="shared" si="5"/>
        <v>0</v>
      </c>
      <c r="L35" s="5">
        <f t="shared" si="5"/>
        <v>0</v>
      </c>
      <c r="M35" s="5">
        <f t="shared" si="5"/>
        <v>1</v>
      </c>
      <c r="N35" s="5">
        <f t="shared" si="5"/>
        <v>0</v>
      </c>
      <c r="O35" s="5">
        <f t="shared" si="5"/>
        <v>0</v>
      </c>
      <c r="P35" s="1023" t="str">
        <f>IF(J35=1,SUM(J$23:J35),"")</f>
        <v/>
      </c>
      <c r="Q35" s="13" t="str">
        <f t="shared" si="6"/>
        <v/>
      </c>
      <c r="R35" s="5" t="str">
        <f t="shared" si="11"/>
        <v/>
      </c>
      <c r="S35" s="989" t="str">
        <f t="shared" si="31"/>
        <v/>
      </c>
      <c r="T35" s="989" t="str">
        <f t="shared" si="32"/>
        <v/>
      </c>
      <c r="U35" s="1023" t="str">
        <f>IF(K35=1,SUM(K$23:K35),"")</f>
        <v/>
      </c>
      <c r="V35" s="13" t="str">
        <f t="shared" si="12"/>
        <v/>
      </c>
      <c r="W35" s="5" t="str">
        <f t="shared" si="13"/>
        <v/>
      </c>
      <c r="X35" s="989" t="str">
        <f t="shared" si="14"/>
        <v/>
      </c>
      <c r="Y35" s="989" t="str">
        <f t="shared" si="15"/>
        <v/>
      </c>
      <c r="Z35" s="1023" t="str">
        <f>IF(L35=1,SUM(L$23:L35),"")</f>
        <v/>
      </c>
      <c r="AA35" s="13" t="str">
        <f t="shared" si="33"/>
        <v/>
      </c>
      <c r="AB35" s="5" t="str">
        <f t="shared" si="16"/>
        <v/>
      </c>
      <c r="AC35" s="989" t="str">
        <f t="shared" si="17"/>
        <v/>
      </c>
      <c r="AD35" s="989" t="str">
        <f t="shared" si="18"/>
        <v/>
      </c>
      <c r="AE35" s="1023">
        <f>IF(M35=1,SUM(M$23:M35),"")</f>
        <v>12</v>
      </c>
      <c r="AF35" s="13">
        <f t="shared" si="19"/>
        <v>46113</v>
      </c>
      <c r="AG35" s="5" t="str">
        <f t="shared" si="20"/>
        <v/>
      </c>
      <c r="AH35" s="989">
        <f t="shared" si="21"/>
        <v>1</v>
      </c>
      <c r="AI35" s="989" t="str">
        <f t="shared" si="22"/>
        <v>n</v>
      </c>
      <c r="AJ35" s="1023" t="str">
        <f>IF(N35=1,SUM(N$23:N35),"")</f>
        <v/>
      </c>
      <c r="AK35" s="13" t="str">
        <f t="shared" si="23"/>
        <v/>
      </c>
      <c r="AL35" s="5" t="str">
        <f t="shared" si="24"/>
        <v/>
      </c>
      <c r="AM35" s="989" t="str">
        <f t="shared" si="25"/>
        <v/>
      </c>
      <c r="AN35" s="989" t="str">
        <f t="shared" si="26"/>
        <v/>
      </c>
      <c r="AO35" s="1023" t="str">
        <f>IF(O35=1,SUM(O$23:O35),"")</f>
        <v/>
      </c>
      <c r="AP35" s="13" t="str">
        <f t="shared" si="27"/>
        <v/>
      </c>
      <c r="AQ35" s="5" t="str">
        <f t="shared" si="28"/>
        <v/>
      </c>
      <c r="AR35" s="989" t="str">
        <f t="shared" si="29"/>
        <v/>
      </c>
      <c r="AS35" s="989" t="str">
        <f t="shared" si="30"/>
        <v/>
      </c>
    </row>
    <row r="36" spans="1:45" x14ac:dyDescent="0.35">
      <c r="A36" s="1200">
        <v>13</v>
      </c>
      <c r="B36" s="2245">
        <f t="shared" si="7"/>
        <v>46114</v>
      </c>
      <c r="C36" s="2246"/>
      <c r="D36" s="2246"/>
      <c r="E36" s="1200"/>
      <c r="F36" s="2246"/>
      <c r="G36" s="1200"/>
      <c r="H36" s="1200"/>
      <c r="I36" s="1200"/>
      <c r="J36" s="1200"/>
      <c r="K36" s="1200"/>
      <c r="L36" s="1200"/>
      <c r="M36" s="1200"/>
      <c r="N36" s="1200"/>
      <c r="O36" s="1200"/>
      <c r="P36" s="2247" t="str">
        <f>IF(J36=1,SUM(J$23:J36),"")</f>
        <v/>
      </c>
      <c r="Q36" s="2248" t="str">
        <f>IF(J36=1,B36,"")</f>
        <v/>
      </c>
      <c r="R36" s="1218" t="str">
        <f>IF(J36=1,VLOOKUP(B36,$B$3:$C$16,2,FALSE),"")</f>
        <v/>
      </c>
      <c r="S36" s="2249" t="str">
        <f>IF(J36=1,VLOOKUP(B36,$B$3:$D$16,3,FALSE),"")</f>
        <v/>
      </c>
      <c r="T36" s="2249" t="str">
        <f>IF(J36=1,VLOOKUP(B36,$B$3:$E$16,4,FALSE),"")</f>
        <v/>
      </c>
      <c r="U36" s="2247" t="str">
        <f>IF(K36=1,SUM(K$23:K36),"")</f>
        <v/>
      </c>
      <c r="V36" s="2245"/>
      <c r="W36" s="1218" t="str">
        <f>IF(K36=1,VLOOKUP(B36,$B$3:$C$16,2,FALSE),"")</f>
        <v/>
      </c>
      <c r="X36" s="2249" t="str">
        <f>IF(K36=1,VLOOKUP(B36,$B$3:$D$16,3,FALSE),"")</f>
        <v/>
      </c>
      <c r="Y36" s="2249" t="str">
        <f>IF(K36=1,VLOOKUP(B36,$B$3:$E$16,4,FALSE),"")</f>
        <v/>
      </c>
      <c r="Z36" s="2247" t="str">
        <f>IF(L36=1,SUM(L$23:L36),"")</f>
        <v/>
      </c>
      <c r="AA36" s="2245" t="str">
        <f>IF(L36=1,B36,"")</f>
        <v/>
      </c>
      <c r="AB36" s="1218" t="str">
        <f>IF(L36=1,VLOOKUP(B36,$B$3:$C$16,2,FALSE),"")</f>
        <v/>
      </c>
      <c r="AC36" s="2249" t="str">
        <f>IF(L36=1,VLOOKUP(B36,$B$3:$D$16,3,FALSE),"")</f>
        <v/>
      </c>
      <c r="AD36" s="2249" t="str">
        <f>IF(L36=1,VLOOKUP(B36,$B$3:$E$16,4,FALSE),"")</f>
        <v/>
      </c>
      <c r="AE36" s="2247" t="str">
        <f>IF(M36=1,SUM(M$23:M36),"")</f>
        <v/>
      </c>
      <c r="AF36" s="2245" t="str">
        <f>IF(M36=1,B36,"")</f>
        <v/>
      </c>
      <c r="AG36" s="1218" t="str">
        <f>IF(M36=1,VLOOKUP(B36,$B$3:$C$16,2,FALSE),"")</f>
        <v/>
      </c>
      <c r="AH36" s="2249" t="str">
        <f>IF(M36=1,VLOOKUP(B36,$B$3:$D$16,3,FALSE),"")</f>
        <v/>
      </c>
      <c r="AI36" s="2249" t="str">
        <f>IF(M36=1,VLOOKUP(B36,$B$3:$E$16,4,FALSE),"")</f>
        <v/>
      </c>
      <c r="AJ36" s="2247" t="str">
        <f>IF(N36=1,SUM(N$23:N36),"")</f>
        <v/>
      </c>
      <c r="AK36" s="2245" t="str">
        <f>IF(N36=1,B36,"")</f>
        <v/>
      </c>
      <c r="AL36" s="1218" t="str">
        <f>IF(N36=1,VLOOKUP(B36,$B$3:$C$16,2,FALSE),"")</f>
        <v/>
      </c>
      <c r="AM36" s="2249" t="str">
        <f>IF(N36=1,VLOOKUP(B36,$B$3:$D$16,3,FALSE),"")</f>
        <v/>
      </c>
      <c r="AN36" s="2249" t="str">
        <f>IF(N36=1,VLOOKUP(B36,$B$3:$E$16,4,FALSE),"")</f>
        <v/>
      </c>
      <c r="AO36" s="2247" t="str">
        <f>IF(O36=1,SUM(O$23:O36),"")</f>
        <v/>
      </c>
      <c r="AP36" s="2245" t="str">
        <f>IF(O36=1,B36,"")</f>
        <v/>
      </c>
      <c r="AQ36" s="1218" t="str">
        <f>IF(O36=1,VLOOKUP(B36,$B$3:$C$16,2,FALSE),"")</f>
        <v/>
      </c>
      <c r="AR36" s="2249" t="str">
        <f>IF(O36=1,VLOOKUP(B36,$B$3:$D$16,3,FALSE),"")</f>
        <v/>
      </c>
      <c r="AS36" s="2249" t="str">
        <f>IF(O36=1,VLOOKUP(B36,$B$3:$E$16,4,FALSE),"")</f>
        <v/>
      </c>
    </row>
    <row r="39" spans="1:45" x14ac:dyDescent="0.35">
      <c r="A39" s="28" t="s">
        <v>550</v>
      </c>
      <c r="B39" s="1024">
        <f>IF(advanced!M54&lt;&gt;"",advanced!M54,$D$19)</f>
        <v>46113</v>
      </c>
      <c r="C39" s="7"/>
      <c r="D39" s="7"/>
      <c r="E39" s="993">
        <v>0</v>
      </c>
      <c r="F39" s="27"/>
      <c r="G39" s="5"/>
      <c r="H39" s="5"/>
      <c r="R39" s="2335">
        <f>E23</f>
        <v>0</v>
      </c>
      <c r="W39" s="2334" t="str">
        <f>IF(K23=1,VLOOKUP($B23,$B$24:$E$35,4,FALSE),"")</f>
        <v/>
      </c>
      <c r="AB39" s="2333" t="str">
        <f>IF(L23=1,VLOOKUP($B23,$B$24:$E$35,4,FALSE),"")</f>
        <v/>
      </c>
      <c r="AG39" s="2334" t="str">
        <f>IF(M23=1,VLOOKUP($B23,$B$24:$E$35,4,FALSE),"")</f>
        <v/>
      </c>
      <c r="AL39" s="2334" t="str">
        <f>IF(N23=1,VLOOKUP($B23,$B$24:$E$35,4,FALSE),"")</f>
        <v/>
      </c>
      <c r="AQ39" s="2334" t="str">
        <f>IF(O3=1,VLOOKUP($B23,$B$24:$E$35,4,FALSE),"")</f>
        <v/>
      </c>
    </row>
    <row r="40" spans="1:45" x14ac:dyDescent="0.35">
      <c r="A40" s="28" t="s">
        <v>1291</v>
      </c>
      <c r="B40" s="1024">
        <f>IF(advanced!N54="",$D$19,IF(advanced!N54+1=B41,advanced!N54,advanced!N54+1))</f>
        <v>46113</v>
      </c>
      <c r="C40" s="7"/>
      <c r="D40" s="7"/>
      <c r="E40" s="993">
        <v>0</v>
      </c>
      <c r="F40" s="27"/>
      <c r="R40" s="2334" t="str">
        <f>IF(J24=1,VLOOKUP($B24,$D$5:$G$18,2,FALSE),"")</f>
        <v/>
      </c>
      <c r="W40" s="2334" t="str">
        <f t="shared" ref="W40:W51" si="34">IF(K24=1,VLOOKUP($B24,$B$24:$E$35,4,FALSE),"")</f>
        <v/>
      </c>
      <c r="AB40" s="2333" t="str">
        <f t="shared" ref="AB40:AB51" si="35">IF(L24=1,VLOOKUP($B24,$B$24:$E$35,4,FALSE),"")</f>
        <v/>
      </c>
      <c r="AG40" s="2334" t="str">
        <f t="shared" ref="AG40:AG51" si="36">IF(M24=1,VLOOKUP($B24,$B$24:$E$35,4,FALSE),"")</f>
        <v/>
      </c>
      <c r="AL40" s="2334" t="str">
        <f t="shared" ref="AL40:AL51" si="37">IF(N24=1,VLOOKUP($B24,$B$24:$E$35,4,FALSE),"")</f>
        <v/>
      </c>
      <c r="AQ40" s="2334" t="str">
        <f t="shared" ref="AQ40:AQ51" si="38">IF(O4=1,VLOOKUP($B24,$B$24:$E$35,4,FALSE),"")</f>
        <v/>
      </c>
    </row>
    <row r="41" spans="1:45" x14ac:dyDescent="0.35">
      <c r="A41" s="28" t="s">
        <v>550</v>
      </c>
      <c r="B41" s="1024">
        <f>IF(advanced!M55&lt;&gt;"",advanced!M55,$D$19)</f>
        <v>46113</v>
      </c>
      <c r="C41" s="7"/>
      <c r="D41" s="7"/>
      <c r="E41" s="993">
        <v>0</v>
      </c>
      <c r="F41" s="27"/>
      <c r="R41" s="2334" t="str">
        <f t="shared" ref="R41:R51" si="39">IF(J25=1,VLOOKUP($B25,$D$5:$G$18,2,FALSE),"")</f>
        <v/>
      </c>
      <c r="W41" s="2334" t="str">
        <f t="shared" si="34"/>
        <v/>
      </c>
      <c r="AB41" s="2333" t="str">
        <f t="shared" si="35"/>
        <v/>
      </c>
      <c r="AG41" s="2334" t="str">
        <f t="shared" si="36"/>
        <v/>
      </c>
      <c r="AL41" s="2334" t="str">
        <f t="shared" si="37"/>
        <v/>
      </c>
      <c r="AQ41" s="2334" t="str">
        <f t="shared" si="38"/>
        <v/>
      </c>
    </row>
    <row r="42" spans="1:45" x14ac:dyDescent="0.35">
      <c r="A42" s="28" t="s">
        <v>1291</v>
      </c>
      <c r="B42" s="1024">
        <f>IF(advanced!N55="",$D$19,IF(advanced!N55+1=B43,advanced!N55,advanced!N55+1))</f>
        <v>46113</v>
      </c>
      <c r="C42" s="7"/>
      <c r="D42" s="7"/>
      <c r="E42" s="993">
        <v>0</v>
      </c>
      <c r="F42" s="27"/>
      <c r="R42" s="2334" t="str">
        <f t="shared" si="39"/>
        <v/>
      </c>
      <c r="W42" s="2334" t="str">
        <f t="shared" si="34"/>
        <v/>
      </c>
      <c r="AB42" s="2333" t="str">
        <f t="shared" si="35"/>
        <v/>
      </c>
      <c r="AG42" s="2334" t="str">
        <f t="shared" si="36"/>
        <v/>
      </c>
      <c r="AL42" s="2334" t="str">
        <f t="shared" si="37"/>
        <v/>
      </c>
      <c r="AQ42" s="2334" t="str">
        <f t="shared" si="38"/>
        <v/>
      </c>
    </row>
    <row r="43" spans="1:45" x14ac:dyDescent="0.35">
      <c r="A43" s="28" t="s">
        <v>550</v>
      </c>
      <c r="B43" s="1024">
        <f>IF(advanced!M56&lt;&gt;"",advanced!M56,$D$19)</f>
        <v>46113</v>
      </c>
      <c r="C43" s="7"/>
      <c r="D43" s="7"/>
      <c r="E43" s="993">
        <v>0</v>
      </c>
      <c r="F43" s="27"/>
      <c r="R43" s="2334" t="str">
        <f t="shared" si="39"/>
        <v/>
      </c>
      <c r="W43" s="2334" t="str">
        <f t="shared" si="34"/>
        <v/>
      </c>
      <c r="AB43" s="2333" t="str">
        <f t="shared" si="35"/>
        <v/>
      </c>
      <c r="AG43" s="2334" t="str">
        <f t="shared" si="36"/>
        <v/>
      </c>
      <c r="AL43" s="2334" t="str">
        <f t="shared" si="37"/>
        <v/>
      </c>
      <c r="AQ43" s="2334" t="str">
        <f t="shared" si="38"/>
        <v/>
      </c>
    </row>
    <row r="44" spans="1:45" x14ac:dyDescent="0.35">
      <c r="A44" s="28" t="s">
        <v>1291</v>
      </c>
      <c r="B44" s="1024">
        <f>IF(advanced!N56="",$D$19,IF(advanced!N56+1=B45,advanced!N56,advanced!N56+1))</f>
        <v>46113</v>
      </c>
      <c r="C44" s="7"/>
      <c r="D44" s="7"/>
      <c r="E44" s="993">
        <v>0</v>
      </c>
      <c r="F44" s="27"/>
      <c r="R44" s="2334" t="str">
        <f t="shared" si="39"/>
        <v/>
      </c>
      <c r="W44" s="2334" t="str">
        <f t="shared" si="34"/>
        <v/>
      </c>
      <c r="AB44" s="2333" t="str">
        <f t="shared" si="35"/>
        <v/>
      </c>
      <c r="AG44" s="2334" t="str">
        <f t="shared" si="36"/>
        <v/>
      </c>
      <c r="AL44" s="2334" t="str">
        <f t="shared" si="37"/>
        <v/>
      </c>
      <c r="AQ44" s="2334" t="str">
        <f t="shared" si="38"/>
        <v/>
      </c>
    </row>
    <row r="45" spans="1:45" x14ac:dyDescent="0.35">
      <c r="A45" s="28" t="s">
        <v>550</v>
      </c>
      <c r="B45" s="1024">
        <f>IF(advanced!M57&lt;&gt;"",advanced!M57,$D$19)</f>
        <v>46113</v>
      </c>
      <c r="C45" s="7"/>
      <c r="D45" s="7"/>
      <c r="E45" s="993">
        <v>0</v>
      </c>
      <c r="F45" s="27"/>
      <c r="R45" s="2334" t="str">
        <f t="shared" si="39"/>
        <v/>
      </c>
      <c r="W45" s="2334" t="str">
        <f t="shared" si="34"/>
        <v/>
      </c>
      <c r="AB45" s="2333" t="str">
        <f t="shared" si="35"/>
        <v/>
      </c>
      <c r="AG45" s="2334" t="str">
        <f t="shared" si="36"/>
        <v/>
      </c>
      <c r="AL45" s="2334" t="str">
        <f t="shared" si="37"/>
        <v/>
      </c>
      <c r="AQ45" s="2334" t="str">
        <f t="shared" si="38"/>
        <v/>
      </c>
    </row>
    <row r="46" spans="1:45" x14ac:dyDescent="0.35">
      <c r="A46" s="28" t="s">
        <v>1291</v>
      </c>
      <c r="B46" s="1024">
        <f>IF(advanced!N57="",$D$19,IF(advanced!N57+1=B47,advanced!N57,advanced!N57+1))</f>
        <v>46113</v>
      </c>
      <c r="C46" s="7"/>
      <c r="D46" s="7"/>
      <c r="E46" s="993">
        <v>0</v>
      </c>
      <c r="F46" s="27"/>
      <c r="R46" s="2334" t="str">
        <f t="shared" si="39"/>
        <v/>
      </c>
      <c r="W46" s="2334" t="str">
        <f t="shared" si="34"/>
        <v/>
      </c>
      <c r="AB46" s="2333" t="str">
        <f t="shared" si="35"/>
        <v/>
      </c>
      <c r="AG46" s="2334" t="str">
        <f t="shared" si="36"/>
        <v/>
      </c>
      <c r="AL46" s="2334" t="str">
        <f t="shared" si="37"/>
        <v/>
      </c>
      <c r="AQ46" s="2334" t="str">
        <f t="shared" si="38"/>
        <v/>
      </c>
    </row>
    <row r="47" spans="1:45" x14ac:dyDescent="0.35">
      <c r="A47" s="28" t="s">
        <v>550</v>
      </c>
      <c r="B47" s="1024">
        <f>IF(advanced!M58&lt;&gt;"",advanced!M58,$D$19)</f>
        <v>46113</v>
      </c>
      <c r="C47" s="7"/>
      <c r="D47" s="7"/>
      <c r="E47" s="993">
        <v>0</v>
      </c>
      <c r="F47" s="27"/>
      <c r="R47" s="2334" t="str">
        <f t="shared" si="39"/>
        <v/>
      </c>
      <c r="W47" s="2334" t="str">
        <f t="shared" si="34"/>
        <v/>
      </c>
      <c r="AB47" s="2333" t="str">
        <f t="shared" si="35"/>
        <v/>
      </c>
      <c r="AG47" s="2334" t="str">
        <f t="shared" si="36"/>
        <v/>
      </c>
      <c r="AL47" s="2334" t="str">
        <f t="shared" si="37"/>
        <v/>
      </c>
      <c r="AQ47" s="2334" t="str">
        <f t="shared" si="38"/>
        <v/>
      </c>
    </row>
    <row r="48" spans="1:45" x14ac:dyDescent="0.35">
      <c r="A48" s="28" t="s">
        <v>1291</v>
      </c>
      <c r="B48" s="1024">
        <f>IF(advanced!N58="",$D$19,IF(advanced!N58+1=B49,advanced!N58,advanced!N58+1))</f>
        <v>46113</v>
      </c>
      <c r="C48" s="7"/>
      <c r="D48" s="7"/>
      <c r="E48" s="993">
        <v>0</v>
      </c>
      <c r="F48" s="27"/>
      <c r="R48" s="2334" t="str">
        <f t="shared" si="39"/>
        <v/>
      </c>
      <c r="W48" s="2334" t="str">
        <f t="shared" si="34"/>
        <v/>
      </c>
      <c r="AB48" s="2333" t="str">
        <f t="shared" si="35"/>
        <v/>
      </c>
      <c r="AG48" s="2334" t="str">
        <f t="shared" si="36"/>
        <v/>
      </c>
      <c r="AL48" s="2334" t="str">
        <f t="shared" si="37"/>
        <v/>
      </c>
      <c r="AQ48" s="2334" t="str">
        <f t="shared" si="38"/>
        <v/>
      </c>
    </row>
    <row r="49" spans="6:43" x14ac:dyDescent="0.35">
      <c r="F49" s="27"/>
      <c r="R49" s="2334" t="str">
        <f t="shared" si="39"/>
        <v/>
      </c>
      <c r="W49" s="2334" t="str">
        <f t="shared" si="34"/>
        <v/>
      </c>
      <c r="AB49" s="2333" t="str">
        <f t="shared" si="35"/>
        <v/>
      </c>
      <c r="AG49" s="2334" t="str">
        <f t="shared" si="36"/>
        <v/>
      </c>
      <c r="AL49" s="2334" t="str">
        <f t="shared" si="37"/>
        <v/>
      </c>
      <c r="AQ49" s="2334" t="str">
        <f t="shared" si="38"/>
        <v/>
      </c>
    </row>
    <row r="50" spans="6:43" x14ac:dyDescent="0.35">
      <c r="F50" s="27"/>
      <c r="R50" s="2334" t="str">
        <f t="shared" si="39"/>
        <v/>
      </c>
      <c r="W50" s="2334" t="str">
        <f t="shared" si="34"/>
        <v/>
      </c>
      <c r="AB50" s="2333" t="str">
        <f t="shared" si="35"/>
        <v/>
      </c>
      <c r="AG50" s="2334" t="str">
        <f t="shared" si="36"/>
        <v/>
      </c>
      <c r="AL50" s="2334" t="str">
        <f t="shared" si="37"/>
        <v/>
      </c>
      <c r="AQ50" s="2334" t="str">
        <f t="shared" si="38"/>
        <v/>
      </c>
    </row>
    <row r="51" spans="6:43" x14ac:dyDescent="0.35">
      <c r="F51" s="27"/>
      <c r="R51" s="2334" t="str">
        <f t="shared" si="39"/>
        <v/>
      </c>
      <c r="W51" s="2334" t="str">
        <f t="shared" si="34"/>
        <v/>
      </c>
      <c r="AB51" s="2333" t="str">
        <f t="shared" si="35"/>
        <v/>
      </c>
      <c r="AG51" s="2334" t="str">
        <f t="shared" si="36"/>
        <v/>
      </c>
      <c r="AL51" s="2334" t="str">
        <f t="shared" si="37"/>
        <v/>
      </c>
      <c r="AQ51" s="2334" t="str">
        <f t="shared" si="38"/>
        <v/>
      </c>
    </row>
    <row r="54" spans="6:43" x14ac:dyDescent="0.35">
      <c r="L54" s="5"/>
    </row>
    <row r="55" spans="6:43" x14ac:dyDescent="0.35">
      <c r="L55" s="5"/>
    </row>
    <row r="56" spans="6:43" x14ac:dyDescent="0.35">
      <c r="L56" s="5"/>
    </row>
    <row r="57" spans="6:43" x14ac:dyDescent="0.35">
      <c r="L57" s="5"/>
    </row>
    <row r="58" spans="6:43" x14ac:dyDescent="0.35">
      <c r="L58" s="5"/>
    </row>
    <row r="59" spans="6:43" x14ac:dyDescent="0.35">
      <c r="L59" s="5"/>
    </row>
    <row r="60" spans="6:43" x14ac:dyDescent="0.35">
      <c r="L60" s="5"/>
    </row>
    <row r="61" spans="6:43" x14ac:dyDescent="0.35">
      <c r="L61" s="5"/>
    </row>
    <row r="62" spans="6:43" x14ac:dyDescent="0.35">
      <c r="L62" s="5"/>
    </row>
    <row r="63" spans="6:43" x14ac:dyDescent="0.35">
      <c r="L63" s="5"/>
    </row>
    <row r="64" spans="6:43" x14ac:dyDescent="0.35">
      <c r="L64" s="5"/>
    </row>
    <row r="65" spans="12:12" x14ac:dyDescent="0.35">
      <c r="L65" s="5"/>
    </row>
    <row r="66" spans="12:12" x14ac:dyDescent="0.35">
      <c r="L66" s="5"/>
    </row>
    <row r="67" spans="12:12" x14ac:dyDescent="0.35">
      <c r="L67" s="5"/>
    </row>
    <row r="68" spans="12:12" x14ac:dyDescent="0.35">
      <c r="L68" s="5"/>
    </row>
    <row r="69" spans="12:12" x14ac:dyDescent="0.35">
      <c r="L69" s="5"/>
    </row>
    <row r="70" spans="12:12" x14ac:dyDescent="0.35">
      <c r="L70" s="5"/>
    </row>
    <row r="71" spans="12:12" x14ac:dyDescent="0.35">
      <c r="L71" s="5"/>
    </row>
    <row r="72" spans="12:12" x14ac:dyDescent="0.35">
      <c r="L72" s="5"/>
    </row>
    <row r="73" spans="12:12" x14ac:dyDescent="0.35">
      <c r="L73" s="5"/>
    </row>
    <row r="74" spans="12:12" x14ac:dyDescent="0.35">
      <c r="L74" s="5"/>
    </row>
    <row r="75" spans="12:12" x14ac:dyDescent="0.35">
      <c r="L75" s="5"/>
    </row>
    <row r="76" spans="12:12" x14ac:dyDescent="0.35">
      <c r="L76" s="5"/>
    </row>
    <row r="77" spans="12:12" x14ac:dyDescent="0.35">
      <c r="L77" s="5"/>
    </row>
    <row r="78" spans="12:12" x14ac:dyDescent="0.35">
      <c r="L78" s="5"/>
    </row>
    <row r="79" spans="12:12" x14ac:dyDescent="0.35">
      <c r="L79" s="5"/>
    </row>
    <row r="80" spans="12:12" x14ac:dyDescent="0.35">
      <c r="L80" s="5"/>
    </row>
  </sheetData>
  <sheetProtection password="BCD8" sheet="1" objects="1" scenarios="1"/>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80EE4-D0B7-44D9-9956-EEC66101A87B}">
  <sheetPr codeName="Sheet118">
    <pageSetUpPr fitToPage="1"/>
  </sheetPr>
  <dimension ref="A1:AM63"/>
  <sheetViews>
    <sheetView showGridLines="0" zoomScaleNormal="100" workbookViewId="0">
      <selection activeCell="A3" sqref="A3"/>
    </sheetView>
  </sheetViews>
  <sheetFormatPr defaultColWidth="9.08984375" defaultRowHeight="12.5" x14ac:dyDescent="0.25"/>
  <cols>
    <col min="1" max="1" width="10.08984375" style="1493" customWidth="1"/>
    <col min="2" max="2" width="1.90625" style="1493" customWidth="1"/>
    <col min="3" max="3" width="11.54296875" style="1493" customWidth="1"/>
    <col min="4" max="4" width="11.6328125" style="1493" customWidth="1"/>
    <col min="5" max="5" width="13.08984375" style="1493" customWidth="1"/>
    <col min="6" max="6" width="13" style="1493" customWidth="1"/>
    <col min="7" max="7" width="12.08984375" style="1493" customWidth="1"/>
    <col min="8" max="8" width="8.08984375" style="1493" customWidth="1"/>
    <col min="9" max="9" width="11.90625" style="1493" customWidth="1"/>
    <col min="10" max="10" width="13.36328125" style="1493" customWidth="1"/>
    <col min="11" max="11" width="11.90625" style="1493" customWidth="1"/>
    <col min="12" max="13" width="12.54296875" style="1493" customWidth="1"/>
    <col min="14" max="14" width="13.36328125" style="1493" customWidth="1"/>
    <col min="15" max="15" width="1.6328125" style="1493" customWidth="1"/>
    <col min="16" max="16" width="1.90625" style="1493" customWidth="1"/>
    <col min="17" max="17" width="17" style="1493" customWidth="1"/>
    <col min="18" max="18" width="12.90625" style="1493" customWidth="1"/>
    <col min="19" max="19" width="9.08984375" style="1493"/>
    <col min="20" max="31" width="9.08984375" style="1493" hidden="1" customWidth="1"/>
    <col min="32" max="16384" width="9.08984375" style="1493"/>
  </cols>
  <sheetData>
    <row r="1" spans="1:39" ht="21" customHeight="1" x14ac:dyDescent="0.25">
      <c r="A1" s="1491"/>
      <c r="B1" s="1491"/>
      <c r="C1" s="1491"/>
      <c r="D1" s="1491"/>
      <c r="E1" s="1491"/>
      <c r="F1" s="1491"/>
      <c r="G1" s="1491"/>
      <c r="H1" s="1491"/>
      <c r="I1" s="1491"/>
      <c r="J1" s="1491"/>
      <c r="K1" s="1491"/>
      <c r="L1" s="1491"/>
      <c r="M1" s="1491"/>
      <c r="N1" s="1491"/>
      <c r="O1" s="1491"/>
      <c r="P1" s="1491"/>
      <c r="Q1" s="1491"/>
      <c r="R1" s="1491"/>
      <c r="S1" s="1491"/>
      <c r="AF1" s="1491"/>
      <c r="AG1" s="1491"/>
      <c r="AH1" s="1491"/>
      <c r="AI1" s="1491"/>
      <c r="AJ1" s="1491"/>
      <c r="AK1" s="1491"/>
      <c r="AL1" s="1491"/>
      <c r="AM1" s="1491"/>
    </row>
    <row r="2" spans="1:39" ht="8.25" customHeight="1" x14ac:dyDescent="0.25">
      <c r="A2" s="1491"/>
      <c r="Q2" s="1491"/>
      <c r="R2" s="1491"/>
      <c r="S2" s="1491"/>
      <c r="AF2" s="1491"/>
      <c r="AG2" s="1491"/>
      <c r="AH2" s="1491"/>
      <c r="AI2" s="1491"/>
      <c r="AJ2" s="1491"/>
      <c r="AK2" s="1491"/>
      <c r="AL2" s="1491"/>
      <c r="AM2" s="1491"/>
    </row>
    <row r="3" spans="1:39" ht="15.5" x14ac:dyDescent="0.35">
      <c r="A3" s="1491"/>
      <c r="C3" s="2216" t="str">
        <f ca="1">"Detailed Liability Report (Advanced Original) for the year "&amp;OFFSET(advanced!G87,U3,0)</f>
        <v xml:space="preserve">Detailed Liability Report (Advanced Original) for the year 2023/24 </v>
      </c>
      <c r="D3" s="1966"/>
      <c r="E3" s="1966"/>
      <c r="F3" s="1966"/>
      <c r="G3" s="1966"/>
      <c r="H3" s="1966"/>
      <c r="I3" s="1966"/>
      <c r="J3" s="1966"/>
      <c r="K3" s="1966"/>
      <c r="L3" s="1966"/>
      <c r="M3" s="1966"/>
      <c r="N3" s="2216" t="str">
        <f>"Year "&amp;U3</f>
        <v>Year 1</v>
      </c>
      <c r="Q3" s="1491"/>
      <c r="R3" s="1491"/>
      <c r="S3" s="1491"/>
      <c r="T3" s="2158" t="s">
        <v>573</v>
      </c>
      <c r="U3" s="1961">
        <v>1</v>
      </c>
      <c r="V3" s="1945">
        <f>U3</f>
        <v>1</v>
      </c>
      <c r="W3" s="1945">
        <f>V3</f>
        <v>1</v>
      </c>
      <c r="X3" s="2236" t="s">
        <v>574</v>
      </c>
      <c r="Y3" s="2236"/>
      <c r="AF3" s="1491"/>
      <c r="AG3" s="1491"/>
      <c r="AH3" s="1491"/>
      <c r="AI3" s="1491"/>
      <c r="AJ3" s="1491"/>
      <c r="AK3" s="1491"/>
      <c r="AL3" s="1491"/>
      <c r="AM3" s="1491"/>
    </row>
    <row r="4" spans="1:39" ht="6.75" customHeight="1" x14ac:dyDescent="0.3">
      <c r="A4" s="1491"/>
      <c r="C4" s="1501"/>
      <c r="D4" s="1966"/>
      <c r="E4" s="1966"/>
      <c r="F4" s="1966"/>
      <c r="G4" s="1966"/>
      <c r="H4" s="1966"/>
      <c r="I4" s="1966"/>
      <c r="J4" s="1966"/>
      <c r="K4" s="1966"/>
      <c r="L4" s="1966"/>
      <c r="M4" s="1966"/>
      <c r="N4" s="1966"/>
      <c r="Q4" s="1491"/>
      <c r="R4" s="1491"/>
      <c r="S4" s="1491"/>
      <c r="T4" s="1564"/>
      <c r="U4" s="1564"/>
      <c r="V4" s="1564"/>
      <c r="W4" s="1564"/>
      <c r="AF4" s="1491"/>
      <c r="AG4" s="1491"/>
      <c r="AH4" s="1491"/>
      <c r="AI4" s="1491"/>
      <c r="AJ4" s="1491"/>
      <c r="AK4" s="1491"/>
      <c r="AL4" s="1491"/>
      <c r="AM4" s="1491"/>
    </row>
    <row r="5" spans="1:39" ht="13" x14ac:dyDescent="0.3">
      <c r="A5" s="1491"/>
      <c r="C5" s="1501" t="str">
        <f>advanced!F5</f>
        <v>Click Button Below to Enter Address</v>
      </c>
      <c r="D5" s="1966"/>
      <c r="E5" s="1966"/>
      <c r="F5" s="1966"/>
      <c r="G5" s="1966"/>
      <c r="H5" s="1966"/>
      <c r="I5" s="1966"/>
      <c r="J5" s="1966"/>
      <c r="K5" s="1966"/>
      <c r="L5" s="1966"/>
      <c r="M5" s="1966"/>
      <c r="N5" s="1966"/>
      <c r="Q5" s="1491"/>
      <c r="R5" s="1491"/>
      <c r="S5" s="1491"/>
      <c r="T5" s="1564"/>
      <c r="U5" s="1564"/>
      <c r="V5" s="1564"/>
      <c r="W5" s="1564"/>
      <c r="AF5" s="1491"/>
      <c r="AG5" s="1491"/>
      <c r="AH5" s="1491"/>
      <c r="AI5" s="1491"/>
      <c r="AJ5" s="1491"/>
      <c r="AK5" s="1491"/>
      <c r="AL5" s="1491"/>
      <c r="AM5" s="1491"/>
    </row>
    <row r="6" spans="1:39" ht="7.5" customHeight="1" x14ac:dyDescent="0.25">
      <c r="A6" s="1491"/>
      <c r="C6" s="1966"/>
      <c r="D6" s="1966"/>
      <c r="E6" s="1966"/>
      <c r="F6" s="1966"/>
      <c r="G6" s="1966"/>
      <c r="H6" s="1966"/>
      <c r="I6" s="1966"/>
      <c r="J6" s="1966"/>
      <c r="K6" s="1966"/>
      <c r="L6" s="1966"/>
      <c r="M6" s="1966"/>
      <c r="N6" s="1966"/>
      <c r="Q6" s="1491"/>
      <c r="R6" s="1491"/>
      <c r="S6" s="1491"/>
      <c r="T6" s="1564"/>
      <c r="U6" s="1564"/>
      <c r="V6" s="1564"/>
      <c r="W6" s="1564"/>
      <c r="AF6" s="1491"/>
      <c r="AG6" s="1491"/>
      <c r="AH6" s="1491"/>
      <c r="AI6" s="1491"/>
      <c r="AJ6" s="1491"/>
      <c r="AK6" s="1491"/>
      <c r="AL6" s="1491"/>
      <c r="AM6" s="1491"/>
    </row>
    <row r="7" spans="1:39" ht="13" x14ac:dyDescent="0.3">
      <c r="A7" s="1491"/>
      <c r="C7" s="1501"/>
      <c r="D7" s="1966" t="s">
        <v>1843</v>
      </c>
      <c r="E7" s="2011">
        <f ca="1">OFFSET(data!C12,U3,0)</f>
        <v>366</v>
      </c>
      <c r="F7" s="1966"/>
      <c r="G7" s="1966"/>
      <c r="H7" s="1966"/>
      <c r="I7" s="1966"/>
      <c r="J7" s="1966"/>
      <c r="K7" s="1966"/>
      <c r="L7" s="1966"/>
      <c r="M7" s="1966"/>
      <c r="N7" s="1966"/>
      <c r="Q7" s="1491"/>
      <c r="R7" s="1491"/>
      <c r="S7" s="1491"/>
      <c r="T7" s="1564"/>
      <c r="U7" s="1564"/>
      <c r="V7" s="1564"/>
      <c r="W7" s="1564"/>
      <c r="AF7" s="1491"/>
      <c r="AG7" s="1491"/>
      <c r="AH7" s="1491"/>
      <c r="AI7" s="1491"/>
      <c r="AJ7" s="1491"/>
      <c r="AK7" s="1491"/>
      <c r="AL7" s="1491"/>
      <c r="AM7" s="1491"/>
    </row>
    <row r="8" spans="1:39" s="2106" customFormat="1" ht="55.5" customHeight="1" x14ac:dyDescent="0.3">
      <c r="A8" s="2217"/>
      <c r="C8" s="2218" t="s">
        <v>1844</v>
      </c>
      <c r="D8" s="2218" t="s">
        <v>1845</v>
      </c>
      <c r="E8" s="2218" t="s">
        <v>324</v>
      </c>
      <c r="F8" s="2218" t="s">
        <v>272</v>
      </c>
      <c r="G8" s="2218" t="s">
        <v>915</v>
      </c>
      <c r="H8" s="2218" t="s">
        <v>112</v>
      </c>
      <c r="I8" s="2219" t="s">
        <v>1846</v>
      </c>
      <c r="J8" s="2218" t="str">
        <f ca="1">"RV x SBNDRM / "&amp;E7&amp;" x days"</f>
        <v>RV x SBNDRM / 366 x days</v>
      </c>
      <c r="K8" s="2218" t="str">
        <f>"SB Supplement is RV x "&amp;'info sheet'!E10</f>
        <v>SB Supplement is RV x 0.013</v>
      </c>
      <c r="L8" s="2218" t="str">
        <f>"City of London Supplement"</f>
        <v>City of London Supplement</v>
      </c>
      <c r="M8" s="2218" t="s">
        <v>1847</v>
      </c>
      <c r="N8" s="2218" t="s">
        <v>1848</v>
      </c>
      <c r="P8" s="1493"/>
      <c r="Q8" s="1491"/>
      <c r="R8" s="1491"/>
      <c r="S8" s="1491"/>
      <c r="T8" s="1564"/>
      <c r="U8" s="1571" t="s">
        <v>581</v>
      </c>
      <c r="V8" s="1571" t="s">
        <v>321</v>
      </c>
      <c r="W8" s="1571" t="s">
        <v>572</v>
      </c>
      <c r="X8" s="1591" t="s">
        <v>2812</v>
      </c>
      <c r="Y8" s="1591" t="s">
        <v>2813</v>
      </c>
      <c r="Z8" s="1597" t="s">
        <v>575</v>
      </c>
      <c r="AA8" s="1597" t="s">
        <v>576</v>
      </c>
      <c r="AB8" s="1597" t="s">
        <v>577</v>
      </c>
      <c r="AC8" s="1591" t="s">
        <v>596</v>
      </c>
      <c r="AD8" s="1493"/>
      <c r="AE8" s="1493"/>
      <c r="AF8" s="1491"/>
      <c r="AG8" s="1491"/>
      <c r="AH8" s="1491"/>
      <c r="AI8" s="1491"/>
      <c r="AJ8" s="1491"/>
      <c r="AK8" s="1491"/>
      <c r="AL8" s="1491"/>
      <c r="AM8" s="1491"/>
    </row>
    <row r="9" spans="1:39" ht="17.25" customHeight="1" x14ac:dyDescent="0.3">
      <c r="A9" s="1491"/>
      <c r="C9" s="2192">
        <f>IF(workings1!G3&lt;workings1!F3,"",workings1!F3)</f>
        <v>45017</v>
      </c>
      <c r="D9" s="2192">
        <f>IF(workings1!G3&lt;workings1!F3,"",workings1!G3)</f>
        <v>45382</v>
      </c>
      <c r="E9" s="2200">
        <f>IF(D9&lt;&gt;"",workings1!H3,"")</f>
        <v>366</v>
      </c>
      <c r="F9" s="1649">
        <f>IF(D9&lt;&gt;"",workings1!L3,"")</f>
        <v>0</v>
      </c>
      <c r="G9" s="2220">
        <f>IF(D9="","",workings1!S3)</f>
        <v>1</v>
      </c>
      <c r="H9" s="1649" t="str">
        <f>IF(D9="","",workings1!AF3)</f>
        <v>n</v>
      </c>
      <c r="I9" s="2200">
        <f>IF(D9="","",workings1!P3)</f>
        <v>0.499</v>
      </c>
      <c r="J9" s="1648">
        <f t="shared" ref="J9:J20" ca="1" si="0">IF(F9="","", IF(E9=0,0,F9*I9/$E$7*E9))</f>
        <v>0</v>
      </c>
      <c r="K9" s="1648">
        <f>IF(D9="","",workings1!Y3)</f>
        <v>0</v>
      </c>
      <c r="L9" s="1648">
        <f ca="1">IF(D9="","",F9*U9/$E$7*E9*workings1!$AC$2)</f>
        <v>0</v>
      </c>
      <c r="M9" s="1648">
        <f>IF(D9="","",workings1!Z3)</f>
        <v>0</v>
      </c>
      <c r="N9" s="2221">
        <f t="shared" ref="N9:N20" ca="1" si="1">IF(D9="","",SUM(J9:M9))</f>
        <v>0</v>
      </c>
      <c r="P9" s="2222"/>
      <c r="Q9" s="1491"/>
      <c r="R9" s="1491"/>
      <c r="S9" s="1491"/>
      <c r="T9" s="1564"/>
      <c r="U9" s="1945">
        <f ca="1">OFFSET('info sheet'!$G$9,$U$3,0)-X9</f>
        <v>1.4E-2</v>
      </c>
      <c r="V9" s="1945">
        <f ca="1">OFFSET('info sheet'!H9,V3,0)</f>
        <v>0.02</v>
      </c>
      <c r="W9" s="1945">
        <f ca="1">OFFSET('info sheet'!E9,W3,0)</f>
        <v>1.2999999999999999E-2</v>
      </c>
      <c r="X9" s="1564">
        <f>workings1!$CW$2*Y9</f>
        <v>0</v>
      </c>
      <c r="Y9" s="1564" t="b">
        <f>F9&lt;AC9</f>
        <v>1</v>
      </c>
      <c r="Z9" s="2237" t="str">
        <f>VLOOKUP(U3,text!A8:E16,5,FALSE)</f>
        <v>2023</v>
      </c>
      <c r="AA9" s="2237" t="str">
        <f>VLOOKUP(U3+1,text!A8:E16,5,FALSE)</f>
        <v>2024</v>
      </c>
      <c r="AB9" s="2237" t="str">
        <f>VLOOKUP(U3-1,text!A8:E16,5,FALSE)</f>
        <v>2022</v>
      </c>
      <c r="AC9" s="1564">
        <f>workings1!CV2</f>
        <v>51000</v>
      </c>
      <c r="AF9" s="1491"/>
      <c r="AG9" s="1491"/>
      <c r="AH9" s="1491"/>
      <c r="AI9" s="1491"/>
      <c r="AJ9" s="1491"/>
      <c r="AK9" s="1491"/>
      <c r="AL9" s="1491"/>
      <c r="AM9" s="1491"/>
    </row>
    <row r="10" spans="1:39" ht="13" x14ac:dyDescent="0.3">
      <c r="A10" s="1491"/>
      <c r="C10" s="2192" t="str">
        <f>workings1!F4</f>
        <v/>
      </c>
      <c r="D10" s="2192" t="str">
        <f>workings1!G4</f>
        <v/>
      </c>
      <c r="E10" s="2200" t="str">
        <f>IF(D10&lt;&gt;"",workings1!H4,"")</f>
        <v/>
      </c>
      <c r="F10" s="1649" t="str">
        <f>IF(D10&lt;&gt;"",workings1!L4,"")</f>
        <v/>
      </c>
      <c r="G10" s="2220" t="str">
        <f>IF(D10="","",workings1!S4)</f>
        <v/>
      </c>
      <c r="H10" s="1649" t="str">
        <f>IF(D10="","",workings1!AF4)</f>
        <v/>
      </c>
      <c r="I10" s="2200" t="str">
        <f>IF(D10="","",workings1!P4)</f>
        <v/>
      </c>
      <c r="J10" s="1648" t="str">
        <f t="shared" si="0"/>
        <v/>
      </c>
      <c r="K10" s="1648" t="str">
        <f>IF(D10="","",workings1!Y4)</f>
        <v/>
      </c>
      <c r="L10" s="1648" t="str">
        <f>IF(D10="","",F10*U10/$E$7*E10*workings1!$AC$2)</f>
        <v/>
      </c>
      <c r="M10" s="1648" t="str">
        <f>IF(D10="","",workings1!Z4)</f>
        <v/>
      </c>
      <c r="N10" s="2221" t="str">
        <f t="shared" si="1"/>
        <v/>
      </c>
      <c r="P10" s="2222"/>
      <c r="Q10" s="1491"/>
      <c r="R10" s="1491"/>
      <c r="S10" s="1491"/>
      <c r="T10" s="1564"/>
      <c r="U10" s="1571">
        <f ca="1">OFFSET('info sheet'!$G$9,$U$3,0)-X10</f>
        <v>1.4E-2</v>
      </c>
      <c r="V10" s="1571">
        <f ca="1">V9</f>
        <v>0.02</v>
      </c>
      <c r="W10" s="1571">
        <f ca="1">W9</f>
        <v>1.2999999999999999E-2</v>
      </c>
      <c r="X10" s="1564">
        <f>workings1!$CW$2*Y10</f>
        <v>0</v>
      </c>
      <c r="Y10" s="1564" t="b">
        <f t="shared" ref="Y10:Y20" si="2">F10&lt;AC10</f>
        <v>0</v>
      </c>
      <c r="AC10" s="1564">
        <f>AC9</f>
        <v>51000</v>
      </c>
      <c r="AF10" s="1491"/>
      <c r="AG10" s="1491"/>
      <c r="AH10" s="1491"/>
      <c r="AI10" s="1491"/>
      <c r="AJ10" s="1491"/>
      <c r="AK10" s="1491"/>
      <c r="AL10" s="1491"/>
      <c r="AM10" s="1491"/>
    </row>
    <row r="11" spans="1:39" ht="13" x14ac:dyDescent="0.3">
      <c r="A11" s="1491"/>
      <c r="C11" s="2192" t="str">
        <f>workings1!F5</f>
        <v/>
      </c>
      <c r="D11" s="2192" t="str">
        <f>workings1!G5</f>
        <v/>
      </c>
      <c r="E11" s="2200" t="str">
        <f>IF(D11&lt;&gt;"",workings1!H5,"")</f>
        <v/>
      </c>
      <c r="F11" s="1649" t="str">
        <f>IF(D11&lt;&gt;"",workings1!L5,"")</f>
        <v/>
      </c>
      <c r="G11" s="2220" t="str">
        <f>IF(D11="","",workings1!S5)</f>
        <v/>
      </c>
      <c r="H11" s="1649" t="str">
        <f>IF(D11="","",workings1!AF5)</f>
        <v/>
      </c>
      <c r="I11" s="2200" t="str">
        <f>IF(D11="","",workings1!P5)</f>
        <v/>
      </c>
      <c r="J11" s="1648" t="str">
        <f t="shared" si="0"/>
        <v/>
      </c>
      <c r="K11" s="1648" t="str">
        <f>IF(D11="","",workings1!Y5)</f>
        <v/>
      </c>
      <c r="L11" s="1648" t="str">
        <f>IF(D11="","",F11*U11/$E$7*E11*workings1!$AC$2)</f>
        <v/>
      </c>
      <c r="M11" s="1648" t="str">
        <f>IF(D11="","",workings1!Z5)</f>
        <v/>
      </c>
      <c r="N11" s="2221" t="str">
        <f t="shared" si="1"/>
        <v/>
      </c>
      <c r="P11" s="2222"/>
      <c r="Q11" s="1491"/>
      <c r="R11" s="1491"/>
      <c r="S11" s="1491"/>
      <c r="T11" s="1564"/>
      <c r="U11" s="1571">
        <f ca="1">OFFSET('info sheet'!$G$9,$U$3,0)-X11</f>
        <v>1.4E-2</v>
      </c>
      <c r="V11" s="1571">
        <f t="shared" ref="V11:V20" ca="1" si="3">V10</f>
        <v>0.02</v>
      </c>
      <c r="W11" s="1571">
        <f t="shared" ref="W11:W20" ca="1" si="4">W10</f>
        <v>1.2999999999999999E-2</v>
      </c>
      <c r="X11" s="1564">
        <f>workings1!$CW$2*Y11</f>
        <v>0</v>
      </c>
      <c r="Y11" s="1564" t="b">
        <f t="shared" si="2"/>
        <v>0</v>
      </c>
      <c r="AC11" s="1564">
        <f t="shared" ref="AC11:AC20" si="5">AC10</f>
        <v>51000</v>
      </c>
      <c r="AF11" s="1491"/>
      <c r="AG11" s="1491"/>
      <c r="AH11" s="1491"/>
      <c r="AI11" s="1491"/>
      <c r="AJ11" s="1491"/>
      <c r="AK11" s="1491"/>
      <c r="AL11" s="1491"/>
      <c r="AM11" s="1491"/>
    </row>
    <row r="12" spans="1:39" ht="13" x14ac:dyDescent="0.3">
      <c r="A12" s="1491"/>
      <c r="C12" s="2192" t="str">
        <f>workings1!F6</f>
        <v/>
      </c>
      <c r="D12" s="2192" t="str">
        <f>workings1!G6</f>
        <v/>
      </c>
      <c r="E12" s="2200" t="str">
        <f>IF(D12&lt;&gt;"",workings1!H6,"")</f>
        <v/>
      </c>
      <c r="F12" s="1649" t="str">
        <f>IF(D12&lt;&gt;"",workings1!L6,"")</f>
        <v/>
      </c>
      <c r="G12" s="2220" t="str">
        <f>IF(D12="","",workings1!S6)</f>
        <v/>
      </c>
      <c r="H12" s="1649" t="str">
        <f>IF(D12="","",workings1!AF6)</f>
        <v/>
      </c>
      <c r="I12" s="2200" t="str">
        <f>IF(D12="","",workings1!P6)</f>
        <v/>
      </c>
      <c r="J12" s="1648" t="str">
        <f t="shared" si="0"/>
        <v/>
      </c>
      <c r="K12" s="1648" t="str">
        <f>IF(D12="","",workings1!Y6)</f>
        <v/>
      </c>
      <c r="L12" s="1648" t="str">
        <f>IF(D12="","",F12*U12/$E$7*E12*workings1!$AC$2)</f>
        <v/>
      </c>
      <c r="M12" s="1648" t="str">
        <f>IF(D12="","",workings1!Z6)</f>
        <v/>
      </c>
      <c r="N12" s="2221" t="str">
        <f t="shared" si="1"/>
        <v/>
      </c>
      <c r="P12" s="2222"/>
      <c r="Q12" s="1491"/>
      <c r="R12" s="1491"/>
      <c r="S12" s="1491"/>
      <c r="T12" s="1564"/>
      <c r="U12" s="1571">
        <f ca="1">OFFSET('info sheet'!$G$9,$U$3,0)-X12</f>
        <v>1.4E-2</v>
      </c>
      <c r="V12" s="1571">
        <f t="shared" ca="1" si="3"/>
        <v>0.02</v>
      </c>
      <c r="W12" s="1571">
        <f t="shared" ca="1" si="4"/>
        <v>1.2999999999999999E-2</v>
      </c>
      <c r="X12" s="1564">
        <f>workings1!$CW$2*Y12</f>
        <v>0</v>
      </c>
      <c r="Y12" s="1564" t="b">
        <f t="shared" si="2"/>
        <v>0</v>
      </c>
      <c r="AC12" s="1564">
        <f t="shared" si="5"/>
        <v>51000</v>
      </c>
      <c r="AF12" s="1491"/>
      <c r="AG12" s="1491"/>
      <c r="AH12" s="1491"/>
      <c r="AI12" s="1491"/>
      <c r="AJ12" s="1491"/>
      <c r="AK12" s="1491"/>
      <c r="AL12" s="1491"/>
      <c r="AM12" s="1491"/>
    </row>
    <row r="13" spans="1:39" ht="13" x14ac:dyDescent="0.3">
      <c r="A13" s="1491"/>
      <c r="C13" s="2192" t="str">
        <f>workings1!F7</f>
        <v/>
      </c>
      <c r="D13" s="2192" t="str">
        <f>workings1!G7</f>
        <v/>
      </c>
      <c r="E13" s="2200" t="str">
        <f>IF(D13&lt;&gt;"",workings1!H7,"")</f>
        <v/>
      </c>
      <c r="F13" s="1649" t="str">
        <f>IF(D13&lt;&gt;"",workings1!L7,"")</f>
        <v/>
      </c>
      <c r="G13" s="2220" t="str">
        <f>IF(D13="","",workings1!S7)</f>
        <v/>
      </c>
      <c r="H13" s="1649" t="str">
        <f>IF(D13="","",workings1!AF7)</f>
        <v/>
      </c>
      <c r="I13" s="2200" t="str">
        <f>IF(D13="","",workings1!P7)</f>
        <v/>
      </c>
      <c r="J13" s="1648" t="str">
        <f t="shared" si="0"/>
        <v/>
      </c>
      <c r="K13" s="1648" t="str">
        <f>IF(D13="","",workings1!Y7)</f>
        <v/>
      </c>
      <c r="L13" s="1648" t="str">
        <f>IF(D13="","",F13*U13/$E$7*E13*workings1!$AC$2)</f>
        <v/>
      </c>
      <c r="M13" s="1648" t="str">
        <f>IF(D13="","",workings1!Z7)</f>
        <v/>
      </c>
      <c r="N13" s="2221" t="str">
        <f t="shared" si="1"/>
        <v/>
      </c>
      <c r="P13" s="2222"/>
      <c r="Q13" s="1491"/>
      <c r="R13" s="1491"/>
      <c r="S13" s="1491"/>
      <c r="T13" s="1564"/>
      <c r="U13" s="1571">
        <f ca="1">OFFSET('info sheet'!$G$9,$U$3,0)-X13</f>
        <v>1.4E-2</v>
      </c>
      <c r="V13" s="1571">
        <f t="shared" ca="1" si="3"/>
        <v>0.02</v>
      </c>
      <c r="W13" s="1571">
        <f t="shared" ca="1" si="4"/>
        <v>1.2999999999999999E-2</v>
      </c>
      <c r="X13" s="1564">
        <f>workings1!$CW$2*Y13</f>
        <v>0</v>
      </c>
      <c r="Y13" s="1564" t="b">
        <f t="shared" si="2"/>
        <v>0</v>
      </c>
      <c r="AC13" s="1564">
        <f t="shared" si="5"/>
        <v>51000</v>
      </c>
      <c r="AF13" s="1491"/>
      <c r="AG13" s="1491"/>
      <c r="AH13" s="1491"/>
      <c r="AI13" s="1491"/>
      <c r="AJ13" s="1491"/>
      <c r="AK13" s="1491"/>
      <c r="AL13" s="1491"/>
      <c r="AM13" s="1491"/>
    </row>
    <row r="14" spans="1:39" ht="13" x14ac:dyDescent="0.3">
      <c r="A14" s="1491"/>
      <c r="C14" s="2192" t="str">
        <f>workings1!F8</f>
        <v/>
      </c>
      <c r="D14" s="2192" t="str">
        <f>workings1!G8</f>
        <v/>
      </c>
      <c r="E14" s="2200" t="str">
        <f>IF(D14&lt;&gt;"",workings1!H8,"")</f>
        <v/>
      </c>
      <c r="F14" s="1649" t="str">
        <f>IF(D14&lt;&gt;"",workings1!L8,"")</f>
        <v/>
      </c>
      <c r="G14" s="2220" t="str">
        <f>IF(D14="","",workings1!S8)</f>
        <v/>
      </c>
      <c r="H14" s="1649" t="str">
        <f>IF(D14="","",workings1!AF8)</f>
        <v/>
      </c>
      <c r="I14" s="2200" t="str">
        <f>IF(D14="","",workings1!P8)</f>
        <v/>
      </c>
      <c r="J14" s="1648" t="str">
        <f t="shared" si="0"/>
        <v/>
      </c>
      <c r="K14" s="1648" t="str">
        <f>IF(D14="","",workings1!Y8)</f>
        <v/>
      </c>
      <c r="L14" s="1648" t="str">
        <f>IF(D14="","",F14*U14/$E$7*E14*workings1!$AC$2)</f>
        <v/>
      </c>
      <c r="M14" s="1648" t="str">
        <f>IF(D14="","",workings1!Z8)</f>
        <v/>
      </c>
      <c r="N14" s="2221" t="str">
        <f t="shared" si="1"/>
        <v/>
      </c>
      <c r="P14" s="2222"/>
      <c r="Q14" s="1491"/>
      <c r="R14" s="1491"/>
      <c r="S14" s="1491"/>
      <c r="T14" s="1564"/>
      <c r="U14" s="1571">
        <f ca="1">OFFSET('info sheet'!$G$9,$U$3,0)-X14</f>
        <v>1.4E-2</v>
      </c>
      <c r="V14" s="1571">
        <f t="shared" ca="1" si="3"/>
        <v>0.02</v>
      </c>
      <c r="W14" s="1571">
        <f t="shared" ca="1" si="4"/>
        <v>1.2999999999999999E-2</v>
      </c>
      <c r="X14" s="1564">
        <f>workings1!$CW$2*Y14</f>
        <v>0</v>
      </c>
      <c r="Y14" s="1564" t="b">
        <f t="shared" si="2"/>
        <v>0</v>
      </c>
      <c r="AC14" s="1564">
        <f t="shared" si="5"/>
        <v>51000</v>
      </c>
      <c r="AF14" s="1491"/>
      <c r="AG14" s="1491"/>
      <c r="AH14" s="1491"/>
      <c r="AI14" s="1491"/>
      <c r="AJ14" s="1491"/>
      <c r="AK14" s="1491"/>
      <c r="AL14" s="1491"/>
      <c r="AM14" s="1491"/>
    </row>
    <row r="15" spans="1:39" ht="13" x14ac:dyDescent="0.3">
      <c r="A15" s="1491"/>
      <c r="C15" s="2192" t="str">
        <f>workings1!F9</f>
        <v/>
      </c>
      <c r="D15" s="2192" t="str">
        <f>workings1!G9</f>
        <v/>
      </c>
      <c r="E15" s="2200" t="str">
        <f>IF(D15&lt;&gt;"",workings1!H9,"")</f>
        <v/>
      </c>
      <c r="F15" s="1649" t="str">
        <f>IF(D15&lt;&gt;"",workings1!L9,"")</f>
        <v/>
      </c>
      <c r="G15" s="2220" t="str">
        <f>IF(D15="","",workings1!S9)</f>
        <v/>
      </c>
      <c r="H15" s="1649" t="str">
        <f>IF(D15="","",workings1!AF9)</f>
        <v/>
      </c>
      <c r="I15" s="2200" t="str">
        <f>IF(D15="","",workings1!P9)</f>
        <v/>
      </c>
      <c r="J15" s="1648" t="str">
        <f t="shared" si="0"/>
        <v/>
      </c>
      <c r="K15" s="1648" t="str">
        <f>IF(D15="","",workings1!Y9)</f>
        <v/>
      </c>
      <c r="L15" s="1648" t="str">
        <f>IF(D15="","",F15*U15/$E$7*E15*workings1!$AC$2)</f>
        <v/>
      </c>
      <c r="M15" s="1648" t="str">
        <f>IF(D15="","",workings1!Z9)</f>
        <v/>
      </c>
      <c r="N15" s="2221" t="str">
        <f t="shared" si="1"/>
        <v/>
      </c>
      <c r="P15" s="2222"/>
      <c r="Q15" s="1491"/>
      <c r="R15" s="1491"/>
      <c r="S15" s="1491"/>
      <c r="T15" s="1564"/>
      <c r="U15" s="1571">
        <f ca="1">OFFSET('info sheet'!$G$9,$U$3,0)-X15</f>
        <v>1.4E-2</v>
      </c>
      <c r="V15" s="1571">
        <f t="shared" ca="1" si="3"/>
        <v>0.02</v>
      </c>
      <c r="W15" s="1571">
        <f t="shared" ca="1" si="4"/>
        <v>1.2999999999999999E-2</v>
      </c>
      <c r="X15" s="1564">
        <f>workings1!$CW$2*Y15</f>
        <v>0</v>
      </c>
      <c r="Y15" s="1564" t="b">
        <f t="shared" si="2"/>
        <v>0</v>
      </c>
      <c r="AC15" s="1564">
        <f t="shared" si="5"/>
        <v>51000</v>
      </c>
      <c r="AF15" s="1491"/>
      <c r="AG15" s="1491"/>
      <c r="AH15" s="1491"/>
      <c r="AI15" s="1491"/>
      <c r="AJ15" s="1491"/>
      <c r="AK15" s="1491"/>
      <c r="AL15" s="1491"/>
      <c r="AM15" s="1491"/>
    </row>
    <row r="16" spans="1:39" ht="13" x14ac:dyDescent="0.3">
      <c r="A16" s="1491"/>
      <c r="C16" s="2192" t="str">
        <f>workings1!F10</f>
        <v/>
      </c>
      <c r="D16" s="2192" t="str">
        <f>workings1!G10</f>
        <v/>
      </c>
      <c r="E16" s="2200" t="str">
        <f>IF(D16&lt;&gt;"",workings1!H10,"")</f>
        <v/>
      </c>
      <c r="F16" s="1649" t="str">
        <f>IF(D16&lt;&gt;"",workings1!L10,"")</f>
        <v/>
      </c>
      <c r="G16" s="2220" t="str">
        <f>IF(D16="","",workings1!S10)</f>
        <v/>
      </c>
      <c r="H16" s="1649" t="str">
        <f>IF(D16="","",workings1!AF10)</f>
        <v/>
      </c>
      <c r="I16" s="2200" t="str">
        <f>IF(D16="","",workings1!P10)</f>
        <v/>
      </c>
      <c r="J16" s="1648" t="str">
        <f t="shared" si="0"/>
        <v/>
      </c>
      <c r="K16" s="1648" t="str">
        <f>IF(D16="","",workings1!Y10)</f>
        <v/>
      </c>
      <c r="L16" s="1648" t="str">
        <f>IF(D16="","",F16*U16/$E$7*E16*workings1!$AC$2)</f>
        <v/>
      </c>
      <c r="M16" s="1648" t="str">
        <f>IF(D16="","",workings1!Z10)</f>
        <v/>
      </c>
      <c r="N16" s="2221" t="str">
        <f t="shared" si="1"/>
        <v/>
      </c>
      <c r="P16" s="2222"/>
      <c r="Q16" s="1491"/>
      <c r="R16" s="1491"/>
      <c r="S16" s="1491"/>
      <c r="T16" s="1564"/>
      <c r="U16" s="1571">
        <f ca="1">OFFSET('info sheet'!$G$9,$U$3,0)-X16</f>
        <v>1.4E-2</v>
      </c>
      <c r="V16" s="1571">
        <f t="shared" ca="1" si="3"/>
        <v>0.02</v>
      </c>
      <c r="W16" s="1571">
        <f t="shared" ca="1" si="4"/>
        <v>1.2999999999999999E-2</v>
      </c>
      <c r="X16" s="1564">
        <f>workings1!$CW$2*Y16</f>
        <v>0</v>
      </c>
      <c r="Y16" s="1564" t="b">
        <f t="shared" si="2"/>
        <v>0</v>
      </c>
      <c r="AC16" s="1564">
        <f t="shared" si="5"/>
        <v>51000</v>
      </c>
      <c r="AF16" s="1491"/>
      <c r="AG16" s="1491"/>
      <c r="AH16" s="1491"/>
      <c r="AI16" s="1491"/>
      <c r="AJ16" s="1491"/>
      <c r="AK16" s="1491"/>
      <c r="AL16" s="1491"/>
      <c r="AM16" s="1491"/>
    </row>
    <row r="17" spans="1:39" ht="13" x14ac:dyDescent="0.3">
      <c r="A17" s="1491"/>
      <c r="C17" s="2192" t="str">
        <f>workings1!F11</f>
        <v/>
      </c>
      <c r="D17" s="2192" t="str">
        <f>workings1!G11</f>
        <v/>
      </c>
      <c r="E17" s="2200" t="str">
        <f>IF(D17&lt;&gt;"",workings1!H11,"")</f>
        <v/>
      </c>
      <c r="F17" s="1649" t="str">
        <f>IF(D17&lt;&gt;"",workings1!L11,"")</f>
        <v/>
      </c>
      <c r="G17" s="2220" t="str">
        <f>IF(D17="","",workings1!S11)</f>
        <v/>
      </c>
      <c r="H17" s="1649" t="str">
        <f>IF(D17="","",workings1!AF11)</f>
        <v/>
      </c>
      <c r="I17" s="2200" t="str">
        <f>IF(D17="","",workings1!P11)</f>
        <v/>
      </c>
      <c r="J17" s="1648" t="str">
        <f t="shared" si="0"/>
        <v/>
      </c>
      <c r="K17" s="1648" t="str">
        <f>IF(D17="","",workings1!Y11)</f>
        <v/>
      </c>
      <c r="L17" s="1648" t="str">
        <f>IF(D17="","",F17*U17/$E$7*E17*workings1!$AC$2)</f>
        <v/>
      </c>
      <c r="M17" s="1648" t="str">
        <f>IF(D17="","",workings1!Z11)</f>
        <v/>
      </c>
      <c r="N17" s="2221" t="str">
        <f t="shared" si="1"/>
        <v/>
      </c>
      <c r="P17" s="2222"/>
      <c r="Q17" s="1491"/>
      <c r="R17" s="1491"/>
      <c r="S17" s="1491"/>
      <c r="T17" s="1564"/>
      <c r="U17" s="1571">
        <f ca="1">OFFSET('info sheet'!$G$9,$U$3,0)-X17</f>
        <v>1.4E-2</v>
      </c>
      <c r="V17" s="1571">
        <f t="shared" ca="1" si="3"/>
        <v>0.02</v>
      </c>
      <c r="W17" s="1571">
        <f t="shared" ca="1" si="4"/>
        <v>1.2999999999999999E-2</v>
      </c>
      <c r="X17" s="1564">
        <f>workings1!$CW$2*Y17</f>
        <v>0</v>
      </c>
      <c r="Y17" s="1564" t="b">
        <f t="shared" si="2"/>
        <v>0</v>
      </c>
      <c r="AC17" s="1564">
        <f t="shared" si="5"/>
        <v>51000</v>
      </c>
      <c r="AF17" s="1491"/>
      <c r="AG17" s="1491"/>
      <c r="AH17" s="1491"/>
      <c r="AI17" s="1491"/>
      <c r="AJ17" s="1491"/>
      <c r="AK17" s="1491"/>
      <c r="AL17" s="1491"/>
      <c r="AM17" s="1491"/>
    </row>
    <row r="18" spans="1:39" ht="13" x14ac:dyDescent="0.3">
      <c r="A18" s="1491"/>
      <c r="C18" s="2192" t="str">
        <f>workings1!F12</f>
        <v/>
      </c>
      <c r="D18" s="2192" t="str">
        <f>workings1!G12</f>
        <v/>
      </c>
      <c r="E18" s="2200" t="str">
        <f>IF(D18&lt;&gt;"",workings1!H12,"")</f>
        <v/>
      </c>
      <c r="F18" s="1649" t="str">
        <f>IF(D18&lt;&gt;"",workings1!L12,"")</f>
        <v/>
      </c>
      <c r="G18" s="2220" t="str">
        <f>IF(D18="","",workings1!S12)</f>
        <v/>
      </c>
      <c r="H18" s="1649" t="str">
        <f>IF(D18="","",workings1!AF12)</f>
        <v/>
      </c>
      <c r="I18" s="2200" t="str">
        <f>IF(D18="","",workings1!P12)</f>
        <v/>
      </c>
      <c r="J18" s="1648" t="str">
        <f t="shared" si="0"/>
        <v/>
      </c>
      <c r="K18" s="1648" t="str">
        <f>IF(D18="","",workings1!Y12)</f>
        <v/>
      </c>
      <c r="L18" s="1648" t="str">
        <f>IF(D18="","",F18*U18/$E$7*E18*workings1!$AC$2)</f>
        <v/>
      </c>
      <c r="M18" s="1648" t="str">
        <f>IF(D18="","",workings1!Z12)</f>
        <v/>
      </c>
      <c r="N18" s="2221" t="str">
        <f t="shared" si="1"/>
        <v/>
      </c>
      <c r="P18" s="2222"/>
      <c r="Q18" s="1491"/>
      <c r="R18" s="1491"/>
      <c r="S18" s="1491"/>
      <c r="T18" s="1564"/>
      <c r="U18" s="1571">
        <f ca="1">OFFSET('info sheet'!$G$9,$U$3,0)-X18</f>
        <v>1.4E-2</v>
      </c>
      <c r="V18" s="1571">
        <f t="shared" ca="1" si="3"/>
        <v>0.02</v>
      </c>
      <c r="W18" s="1571">
        <f t="shared" ca="1" si="4"/>
        <v>1.2999999999999999E-2</v>
      </c>
      <c r="X18" s="1564">
        <f>workings1!$CW$2*Y18</f>
        <v>0</v>
      </c>
      <c r="Y18" s="1564" t="b">
        <f t="shared" si="2"/>
        <v>0</v>
      </c>
      <c r="AC18" s="1564">
        <f t="shared" si="5"/>
        <v>51000</v>
      </c>
      <c r="AF18" s="1491"/>
      <c r="AG18" s="1491"/>
      <c r="AH18" s="1491"/>
      <c r="AI18" s="1491"/>
      <c r="AJ18" s="1491"/>
      <c r="AK18" s="1491"/>
      <c r="AL18" s="1491"/>
      <c r="AM18" s="1491"/>
    </row>
    <row r="19" spans="1:39" ht="13" x14ac:dyDescent="0.3">
      <c r="A19" s="1491"/>
      <c r="C19" s="2192" t="str">
        <f>workings1!F13</f>
        <v/>
      </c>
      <c r="D19" s="2192" t="str">
        <f>workings1!G13</f>
        <v/>
      </c>
      <c r="E19" s="2200" t="str">
        <f>IF(D19&lt;&gt;"",workings1!H13,"")</f>
        <v/>
      </c>
      <c r="F19" s="1649" t="str">
        <f>IF(D19&lt;&gt;"",workings1!L13,"")</f>
        <v/>
      </c>
      <c r="G19" s="2220" t="str">
        <f>IF(D19="","",workings1!S13)</f>
        <v/>
      </c>
      <c r="H19" s="1649" t="str">
        <f>IF(D19="","",workings1!AF13)</f>
        <v/>
      </c>
      <c r="I19" s="2200" t="str">
        <f>IF(D19="","",workings1!P13)</f>
        <v/>
      </c>
      <c r="J19" s="1648" t="str">
        <f t="shared" si="0"/>
        <v/>
      </c>
      <c r="K19" s="1648" t="str">
        <f>IF(D19="","",workings1!Y13)</f>
        <v/>
      </c>
      <c r="L19" s="1648" t="str">
        <f>IF(D19="","",F19*U19/$E$7*E19*workings1!$AC$2)</f>
        <v/>
      </c>
      <c r="M19" s="1648" t="str">
        <f>IF(D19="","",workings1!Z13)</f>
        <v/>
      </c>
      <c r="N19" s="2221" t="str">
        <f t="shared" si="1"/>
        <v/>
      </c>
      <c r="P19" s="2222"/>
      <c r="Q19" s="1491"/>
      <c r="R19" s="1491"/>
      <c r="S19" s="1491"/>
      <c r="T19" s="1564"/>
      <c r="U19" s="1571">
        <f ca="1">OFFSET('info sheet'!$G$9,$U$3,0)-X19</f>
        <v>1.4E-2</v>
      </c>
      <c r="V19" s="1571">
        <f t="shared" ca="1" si="3"/>
        <v>0.02</v>
      </c>
      <c r="W19" s="1571">
        <f t="shared" ca="1" si="4"/>
        <v>1.2999999999999999E-2</v>
      </c>
      <c r="X19" s="1564">
        <f>workings1!$CW$2*Y19</f>
        <v>0</v>
      </c>
      <c r="Y19" s="1564" t="b">
        <f t="shared" si="2"/>
        <v>0</v>
      </c>
      <c r="AC19" s="1564">
        <f t="shared" si="5"/>
        <v>51000</v>
      </c>
      <c r="AF19" s="1491"/>
      <c r="AG19" s="1491"/>
      <c r="AH19" s="1491"/>
      <c r="AI19" s="1491"/>
      <c r="AJ19" s="1491"/>
      <c r="AK19" s="1491"/>
      <c r="AL19" s="1491"/>
      <c r="AM19" s="1491"/>
    </row>
    <row r="20" spans="1:39" ht="13" x14ac:dyDescent="0.3">
      <c r="A20" s="1491"/>
      <c r="C20" s="2192" t="str">
        <f>workings1!F14</f>
        <v/>
      </c>
      <c r="D20" s="2192" t="str">
        <f>workings1!G14</f>
        <v/>
      </c>
      <c r="E20" s="2200" t="str">
        <f>IF(D20&lt;&gt;"",workings1!H14,"")</f>
        <v/>
      </c>
      <c r="F20" s="1649" t="str">
        <f>IF(D20&lt;&gt;"",workings1!L14,"")</f>
        <v/>
      </c>
      <c r="G20" s="2220" t="str">
        <f>IF(D20="","",workings1!S14)</f>
        <v/>
      </c>
      <c r="H20" s="1649" t="str">
        <f>IF(D20="","",workings1!AF14)</f>
        <v/>
      </c>
      <c r="I20" s="2200" t="str">
        <f>IF(D20="","",workings1!P14)</f>
        <v/>
      </c>
      <c r="J20" s="1648" t="str">
        <f t="shared" si="0"/>
        <v/>
      </c>
      <c r="K20" s="1648" t="str">
        <f>IF(D20="","",workings1!Y14)</f>
        <v/>
      </c>
      <c r="L20" s="1648" t="str">
        <f>IF(D20="","",F20*U20/$E$7*E20*workings1!$AC$2)</f>
        <v/>
      </c>
      <c r="M20" s="1648" t="str">
        <f>IF(D20="","",workings1!Z14)</f>
        <v/>
      </c>
      <c r="N20" s="2221" t="str">
        <f t="shared" si="1"/>
        <v/>
      </c>
      <c r="P20" s="2222"/>
      <c r="Q20" s="1491"/>
      <c r="R20" s="1491"/>
      <c r="S20" s="1491"/>
      <c r="T20" s="1564"/>
      <c r="U20" s="1571">
        <f ca="1">OFFSET('info sheet'!$G$9,$U$3,0)-X20</f>
        <v>1.4E-2</v>
      </c>
      <c r="V20" s="1571">
        <f t="shared" ca="1" si="3"/>
        <v>0.02</v>
      </c>
      <c r="W20" s="1571">
        <f t="shared" ca="1" si="4"/>
        <v>1.2999999999999999E-2</v>
      </c>
      <c r="X20" s="1564">
        <f>workings1!$CW$2*Y20</f>
        <v>0</v>
      </c>
      <c r="Y20" s="1564" t="b">
        <f t="shared" si="2"/>
        <v>0</v>
      </c>
      <c r="AC20" s="1564">
        <f t="shared" si="5"/>
        <v>51000</v>
      </c>
      <c r="AF20" s="1491"/>
      <c r="AG20" s="1491"/>
      <c r="AH20" s="1491"/>
      <c r="AI20" s="1491"/>
      <c r="AJ20" s="1491"/>
      <c r="AK20" s="1491"/>
      <c r="AL20" s="1491"/>
      <c r="AM20" s="1491"/>
    </row>
    <row r="21" spans="1:39" ht="13.5" thickBot="1" x14ac:dyDescent="0.35">
      <c r="A21" s="1491"/>
      <c r="C21" s="1966"/>
      <c r="D21" s="1966"/>
      <c r="E21" s="1966"/>
      <c r="F21" s="1966"/>
      <c r="G21" s="1966"/>
      <c r="H21" s="1966"/>
      <c r="I21" s="1966"/>
      <c r="J21" s="2223">
        <f ca="1">SUM(J9:J20)</f>
        <v>0</v>
      </c>
      <c r="K21" s="2223">
        <f>SUM(K9:K20)</f>
        <v>0</v>
      </c>
      <c r="L21" s="2223">
        <f ca="1">SUM(L9:L20)</f>
        <v>0</v>
      </c>
      <c r="M21" s="2223">
        <f>SUM(M9:M20)</f>
        <v>0</v>
      </c>
      <c r="N21" s="2223">
        <f ca="1">SUM(N9:N20)</f>
        <v>0</v>
      </c>
      <c r="Q21" s="1491"/>
      <c r="R21" s="1491"/>
      <c r="S21" s="1491"/>
      <c r="AF21" s="1491"/>
      <c r="AG21" s="1491"/>
      <c r="AH21" s="1491"/>
      <c r="AI21" s="1491"/>
      <c r="AJ21" s="1491"/>
      <c r="AK21" s="1491"/>
      <c r="AL21" s="1491"/>
      <c r="AM21" s="1491"/>
    </row>
    <row r="22" spans="1:39" ht="13.5" thickTop="1" x14ac:dyDescent="0.3">
      <c r="A22" s="1491"/>
      <c r="C22" s="1501" t="s">
        <v>1849</v>
      </c>
      <c r="D22" s="1966"/>
      <c r="E22" s="1966"/>
      <c r="F22" s="1966"/>
      <c r="G22" s="1966"/>
      <c r="H22" s="1966"/>
      <c r="I22" s="1966"/>
      <c r="J22" s="2224"/>
      <c r="K22" s="1966"/>
      <c r="L22" s="2224"/>
      <c r="M22" s="2224"/>
      <c r="N22" s="1966"/>
      <c r="Q22" s="1491"/>
      <c r="R22" s="1491"/>
      <c r="S22" s="1491"/>
      <c r="AF22" s="1491"/>
      <c r="AG22" s="1491"/>
      <c r="AH22" s="1491"/>
      <c r="AI22" s="1491"/>
      <c r="AJ22" s="1491"/>
      <c r="AK22" s="1491"/>
      <c r="AL22" s="1491"/>
      <c r="AM22" s="1491"/>
    </row>
    <row r="23" spans="1:39" ht="26" x14ac:dyDescent="0.3">
      <c r="A23" s="1491"/>
      <c r="C23" s="2225" t="s">
        <v>1844</v>
      </c>
      <c r="D23" s="2225" t="s">
        <v>1845</v>
      </c>
      <c r="E23" s="2226" t="s">
        <v>2399</v>
      </c>
      <c r="F23" s="2226" t="s">
        <v>1850</v>
      </c>
      <c r="G23" s="2226" t="s">
        <v>1851</v>
      </c>
      <c r="H23" s="2227" t="s">
        <v>274</v>
      </c>
      <c r="I23" s="2226" t="s">
        <v>115</v>
      </c>
      <c r="J23" s="2228" t="s">
        <v>2864</v>
      </c>
      <c r="K23" s="2228" t="s">
        <v>1703</v>
      </c>
      <c r="L23" s="2228"/>
      <c r="M23" s="2228" t="s">
        <v>3029</v>
      </c>
      <c r="N23" s="2225" t="s">
        <v>1852</v>
      </c>
      <c r="Q23" s="1491"/>
      <c r="R23" s="1491"/>
      <c r="S23" s="1491"/>
      <c r="U23" s="1594" t="s">
        <v>2326</v>
      </c>
      <c r="AF23" s="1491"/>
      <c r="AG23" s="1491"/>
      <c r="AH23" s="1491"/>
      <c r="AI23" s="1491"/>
      <c r="AJ23" s="1491"/>
      <c r="AK23" s="1491"/>
      <c r="AL23" s="1491"/>
      <c r="AM23" s="1491"/>
    </row>
    <row r="24" spans="1:39" ht="15.75" customHeight="1" x14ac:dyDescent="0.25">
      <c r="A24" s="1491"/>
      <c r="C24" s="2192">
        <f t="shared" ref="C24:D35" si="6">C9</f>
        <v>45017</v>
      </c>
      <c r="D24" s="2192">
        <f t="shared" si="6"/>
        <v>45382</v>
      </c>
      <c r="E24" s="2229">
        <f ca="1">IF(J9="","",(workings1x!Q3-J9))</f>
        <v>0</v>
      </c>
      <c r="F24" s="2229">
        <f ca="1">IF(J9="","",workings1!T3-(N9+E24+G24+I24+J24+K24+L24+M24))</f>
        <v>0</v>
      </c>
      <c r="G24" s="2229">
        <f>IF(D9="","",IF(OR(workings1!$X$2=FALSE,H9="y"),0,workings1!R3*-0.8))</f>
        <v>0</v>
      </c>
      <c r="H24" s="2230" t="str">
        <f>IF(D9="","",IF(workings1!AH3=5000000,"5 Million",workings1!AH3))</f>
        <v>5 Million</v>
      </c>
      <c r="I24" s="2229">
        <f ca="1">IF(J9="","",(((workings1!Q3+L9)/workings1!AH3)-(workings1!Q3+L9))*workings1!U3)</f>
        <v>0</v>
      </c>
      <c r="J24" s="2229">
        <f ca="1">IF(J9="","",workings1!AR3-workings1x!AR3)</f>
        <v>0</v>
      </c>
      <c r="K24" s="2229">
        <f>IF(D9="","",workings1!CC3)</f>
        <v>0</v>
      </c>
      <c r="L24" s="2229"/>
      <c r="M24" s="2229">
        <f ca="1">IF(J9="","",workings1!AZ3)</f>
        <v>0</v>
      </c>
      <c r="N24" s="1648">
        <f ca="1">IF(D9="","",U24)</f>
        <v>0</v>
      </c>
      <c r="Q24" s="1491"/>
      <c r="R24" s="1491"/>
      <c r="S24" s="1491"/>
      <c r="U24" s="2231">
        <f t="shared" ref="U24:U35" ca="1" si="7">SUM(V24:AD24)</f>
        <v>0</v>
      </c>
      <c r="V24" s="2232">
        <f t="shared" ref="V24:V35" ca="1" si="8">IF(N9="",0,N9)</f>
        <v>0</v>
      </c>
      <c r="W24" s="2231">
        <f t="shared" ref="W24:W35" ca="1" si="9">IF(E24="",0,E24)</f>
        <v>0</v>
      </c>
      <c r="X24" s="2231">
        <f t="shared" ref="X24:X35" ca="1" si="10">IF(F24="",0,F24)</f>
        <v>0</v>
      </c>
      <c r="Y24" s="2231">
        <f t="shared" ref="Y24:Y35" si="11">IF(G24="",0,G24)</f>
        <v>0</v>
      </c>
      <c r="Z24" s="2231">
        <f t="shared" ref="Z24:Z35" ca="1" si="12">IF(I24="",0,I24)</f>
        <v>0</v>
      </c>
      <c r="AA24" s="2231">
        <f t="shared" ref="AA24:AA35" ca="1" si="13">IF(J24="",0,J24)</f>
        <v>0</v>
      </c>
      <c r="AB24" s="2231">
        <f t="shared" ref="AB24:AB35" si="14">IF(K24="",0,K24)</f>
        <v>0</v>
      </c>
      <c r="AC24" s="2231">
        <f t="shared" ref="AC24:AC35" si="15">IF(L24="",0,L24)</f>
        <v>0</v>
      </c>
      <c r="AD24" s="2231">
        <f t="shared" ref="AD24:AD35" ca="1" si="16">IF(M24="",0,M24)</f>
        <v>0</v>
      </c>
      <c r="AF24" s="1491"/>
      <c r="AG24" s="1491"/>
      <c r="AH24" s="1491"/>
      <c r="AI24" s="1491"/>
      <c r="AJ24" s="1491"/>
      <c r="AK24" s="1491"/>
      <c r="AL24" s="1491"/>
      <c r="AM24" s="1491"/>
    </row>
    <row r="25" spans="1:39" x14ac:dyDescent="0.25">
      <c r="A25" s="1491"/>
      <c r="C25" s="2192" t="str">
        <f t="shared" si="6"/>
        <v/>
      </c>
      <c r="D25" s="2192" t="str">
        <f t="shared" si="6"/>
        <v/>
      </c>
      <c r="E25" s="2229" t="str">
        <f>IF(J10="","",(workings1x!Q4-J10))</f>
        <v/>
      </c>
      <c r="F25" s="2229" t="str">
        <f>IF(J10="","",workings1!T4-(N10+E25+G25+I25+J25+K25+L25+M25))</f>
        <v/>
      </c>
      <c r="G25" s="2229" t="str">
        <f>IF(D10="","",IF(OR(workings1!$X$2=FALSE,H10="y"),0,workings1!R4*-0.8))</f>
        <v/>
      </c>
      <c r="H25" s="2230" t="str">
        <f>IF(D10="","",IF(workings1!AH4=5000000,"5 Million",workings1!AH4))</f>
        <v/>
      </c>
      <c r="I25" s="2229" t="str">
        <f>IF(J10="","",(((workings1!Q4+L10)/workings1!AH4)-(workings1!Q4+L10))*workings1!U4)</f>
        <v/>
      </c>
      <c r="J25" s="2229" t="str">
        <f>IF(J10="","",workings1!AR4-workings1x!AR4)</f>
        <v/>
      </c>
      <c r="K25" s="2229" t="str">
        <f>IF(D10="","",workings1!CC4)</f>
        <v/>
      </c>
      <c r="L25" s="2229"/>
      <c r="M25" s="2229" t="str">
        <f>IF(J10="","",workings1!AZ4)</f>
        <v/>
      </c>
      <c r="N25" s="1648" t="str">
        <f t="shared" ref="N25:N35" si="17">IF(D10="","",U25)</f>
        <v/>
      </c>
      <c r="Q25" s="1491"/>
      <c r="R25" s="1491"/>
      <c r="S25" s="1491"/>
      <c r="U25" s="2231">
        <f t="shared" si="7"/>
        <v>0</v>
      </c>
      <c r="V25" s="2232">
        <f t="shared" si="8"/>
        <v>0</v>
      </c>
      <c r="W25" s="2231">
        <f t="shared" si="9"/>
        <v>0</v>
      </c>
      <c r="X25" s="2231">
        <f t="shared" si="10"/>
        <v>0</v>
      </c>
      <c r="Y25" s="2231">
        <f t="shared" si="11"/>
        <v>0</v>
      </c>
      <c r="Z25" s="2231">
        <f t="shared" si="12"/>
        <v>0</v>
      </c>
      <c r="AA25" s="2231">
        <f t="shared" si="13"/>
        <v>0</v>
      </c>
      <c r="AB25" s="2231">
        <f t="shared" si="14"/>
        <v>0</v>
      </c>
      <c r="AC25" s="2231">
        <f t="shared" si="15"/>
        <v>0</v>
      </c>
      <c r="AD25" s="2231">
        <f t="shared" si="16"/>
        <v>0</v>
      </c>
      <c r="AF25" s="1491"/>
      <c r="AG25" s="1491"/>
      <c r="AH25" s="1491"/>
      <c r="AI25" s="1491"/>
      <c r="AJ25" s="1491"/>
      <c r="AK25" s="1491"/>
      <c r="AL25" s="1491"/>
      <c r="AM25" s="1491"/>
    </row>
    <row r="26" spans="1:39" x14ac:dyDescent="0.25">
      <c r="A26" s="1491"/>
      <c r="C26" s="2192" t="str">
        <f t="shared" si="6"/>
        <v/>
      </c>
      <c r="D26" s="2192" t="str">
        <f t="shared" si="6"/>
        <v/>
      </c>
      <c r="E26" s="2229" t="str">
        <f>IF(J11="","",(workings1x!Q5-J11))</f>
        <v/>
      </c>
      <c r="F26" s="2229" t="str">
        <f>IF(J11="","",workings1!T5-(N11+E26+G26+I26+J26+K26+L26+M26))</f>
        <v/>
      </c>
      <c r="G26" s="2229" t="str">
        <f>IF(D11="","",IF(OR(workings1!$X$2=FALSE,H11="y"),0,workings1!R5*-0.8))</f>
        <v/>
      </c>
      <c r="H26" s="2230" t="str">
        <f>IF(D11="","",IF(workings1!AH5=5000000,"5 Million",workings1!AH5))</f>
        <v/>
      </c>
      <c r="I26" s="2229" t="str">
        <f>IF(J11="","",(((workings1!Q5+L11)/workings1!AH5)-(workings1!Q5+L11))*workings1!U5)</f>
        <v/>
      </c>
      <c r="J26" s="2229" t="str">
        <f>IF(J11="","",workings1!AR5-workings1x!AR5)</f>
        <v/>
      </c>
      <c r="K26" s="2229" t="str">
        <f>IF(D11="","",workings1!CC5)</f>
        <v/>
      </c>
      <c r="L26" s="2229"/>
      <c r="M26" s="2229" t="str">
        <f>IF(J11="","",workings1!AZ5)</f>
        <v/>
      </c>
      <c r="N26" s="1648" t="str">
        <f t="shared" si="17"/>
        <v/>
      </c>
      <c r="Q26" s="1491"/>
      <c r="R26" s="1491"/>
      <c r="S26" s="1491"/>
      <c r="U26" s="2231">
        <f t="shared" si="7"/>
        <v>0</v>
      </c>
      <c r="V26" s="2232">
        <f t="shared" si="8"/>
        <v>0</v>
      </c>
      <c r="W26" s="2231">
        <f t="shared" si="9"/>
        <v>0</v>
      </c>
      <c r="X26" s="2231">
        <f t="shared" si="10"/>
        <v>0</v>
      </c>
      <c r="Y26" s="2231">
        <f t="shared" si="11"/>
        <v>0</v>
      </c>
      <c r="Z26" s="2231">
        <f t="shared" si="12"/>
        <v>0</v>
      </c>
      <c r="AA26" s="2231">
        <f t="shared" si="13"/>
        <v>0</v>
      </c>
      <c r="AB26" s="2231">
        <f t="shared" si="14"/>
        <v>0</v>
      </c>
      <c r="AC26" s="2231">
        <f t="shared" si="15"/>
        <v>0</v>
      </c>
      <c r="AD26" s="2231">
        <f t="shared" si="16"/>
        <v>0</v>
      </c>
      <c r="AF26" s="1491"/>
      <c r="AG26" s="1491"/>
      <c r="AH26" s="1491"/>
      <c r="AI26" s="1491"/>
      <c r="AJ26" s="1491"/>
      <c r="AK26" s="1491"/>
      <c r="AL26" s="1491"/>
      <c r="AM26" s="1491"/>
    </row>
    <row r="27" spans="1:39" x14ac:dyDescent="0.25">
      <c r="A27" s="1491"/>
      <c r="C27" s="2192" t="str">
        <f t="shared" si="6"/>
        <v/>
      </c>
      <c r="D27" s="2192" t="str">
        <f t="shared" si="6"/>
        <v/>
      </c>
      <c r="E27" s="2229" t="str">
        <f>IF(J12="","",(workings1x!Q6-J12))</f>
        <v/>
      </c>
      <c r="F27" s="2229" t="str">
        <f>IF(J12="","",workings1!T6-(N12+E27+G27+I27+J27+K27+L27+M27))</f>
        <v/>
      </c>
      <c r="G27" s="2229" t="str">
        <f>IF(D12="","",IF(OR(workings1!$X$2=FALSE,H12="y"),0,workings1!R6*-0.8))</f>
        <v/>
      </c>
      <c r="H27" s="2230" t="str">
        <f>IF(D12="","",IF(workings1!AH6=5000000,"5 Million",workings1!AH6))</f>
        <v/>
      </c>
      <c r="I27" s="2229" t="str">
        <f>IF(J12="","",(((workings1!Q6+L12)/workings1!AH6)-(workings1!Q6+L12))*workings1!U6)</f>
        <v/>
      </c>
      <c r="J27" s="2229" t="str">
        <f>IF(J12="","",workings1!AR6-workings1x!AR6)</f>
        <v/>
      </c>
      <c r="K27" s="2229" t="str">
        <f>IF(D12="","",workings1!CC6)</f>
        <v/>
      </c>
      <c r="L27" s="2229"/>
      <c r="M27" s="2229" t="str">
        <f>IF(J12="","",workings1!AZ6)</f>
        <v/>
      </c>
      <c r="N27" s="1648" t="str">
        <f t="shared" si="17"/>
        <v/>
      </c>
      <c r="Q27" s="1491"/>
      <c r="R27" s="1491"/>
      <c r="S27" s="1491"/>
      <c r="U27" s="2231">
        <f t="shared" si="7"/>
        <v>0</v>
      </c>
      <c r="V27" s="2232">
        <f t="shared" si="8"/>
        <v>0</v>
      </c>
      <c r="W27" s="2231">
        <f t="shared" si="9"/>
        <v>0</v>
      </c>
      <c r="X27" s="2231">
        <f t="shared" si="10"/>
        <v>0</v>
      </c>
      <c r="Y27" s="2231">
        <f t="shared" si="11"/>
        <v>0</v>
      </c>
      <c r="Z27" s="2231">
        <f t="shared" si="12"/>
        <v>0</v>
      </c>
      <c r="AA27" s="2231">
        <f t="shared" si="13"/>
        <v>0</v>
      </c>
      <c r="AB27" s="2231">
        <f t="shared" si="14"/>
        <v>0</v>
      </c>
      <c r="AC27" s="2231">
        <f t="shared" si="15"/>
        <v>0</v>
      </c>
      <c r="AD27" s="2231">
        <f t="shared" si="16"/>
        <v>0</v>
      </c>
      <c r="AF27" s="1491"/>
      <c r="AG27" s="1491"/>
      <c r="AH27" s="1491"/>
      <c r="AI27" s="1491"/>
      <c r="AJ27" s="1491"/>
      <c r="AK27" s="1491"/>
      <c r="AL27" s="1491"/>
      <c r="AM27" s="1491"/>
    </row>
    <row r="28" spans="1:39" x14ac:dyDescent="0.25">
      <c r="A28" s="1491"/>
      <c r="C28" s="2192" t="str">
        <f t="shared" si="6"/>
        <v/>
      </c>
      <c r="D28" s="2192" t="str">
        <f t="shared" si="6"/>
        <v/>
      </c>
      <c r="E28" s="2229" t="str">
        <f>IF(J13="","",(workings1x!Q7-J13))</f>
        <v/>
      </c>
      <c r="F28" s="2229" t="str">
        <f>IF(J13="","",workings1!T7-(N13+E28+G28+I28+J28+K28+L28+M28))</f>
        <v/>
      </c>
      <c r="G28" s="2229" t="str">
        <f>IF(D13="","",IF(OR(workings1!$X$2=FALSE,H13="y"),0,workings1!R7*-0.8))</f>
        <v/>
      </c>
      <c r="H28" s="2230" t="str">
        <f>IF(D13="","",IF(workings1!AH7=5000000,"5 Million",workings1!AH7))</f>
        <v/>
      </c>
      <c r="I28" s="2229" t="str">
        <f>IF(J13="","",(((workings1!Q7+L13)/workings1!AH7)-(workings1!Q7+L13))*workings1!U7)</f>
        <v/>
      </c>
      <c r="J28" s="2229" t="str">
        <f>IF(J13="","",workings1!AR7-workings1x!AR7)</f>
        <v/>
      </c>
      <c r="K28" s="2229" t="str">
        <f>IF(D13="","",workings1!CC7)</f>
        <v/>
      </c>
      <c r="L28" s="2229"/>
      <c r="M28" s="2229" t="str">
        <f>IF(J13="","",workings1!AZ7)</f>
        <v/>
      </c>
      <c r="N28" s="1648" t="str">
        <f t="shared" si="17"/>
        <v/>
      </c>
      <c r="Q28" s="1491"/>
      <c r="R28" s="1491"/>
      <c r="S28" s="1491"/>
      <c r="U28" s="2231">
        <f t="shared" si="7"/>
        <v>0</v>
      </c>
      <c r="V28" s="2232">
        <f t="shared" si="8"/>
        <v>0</v>
      </c>
      <c r="W28" s="2231">
        <f t="shared" si="9"/>
        <v>0</v>
      </c>
      <c r="X28" s="2231">
        <f t="shared" si="10"/>
        <v>0</v>
      </c>
      <c r="Y28" s="2231">
        <f t="shared" si="11"/>
        <v>0</v>
      </c>
      <c r="Z28" s="2231">
        <f t="shared" si="12"/>
        <v>0</v>
      </c>
      <c r="AA28" s="2231">
        <f t="shared" si="13"/>
        <v>0</v>
      </c>
      <c r="AB28" s="2231">
        <f t="shared" si="14"/>
        <v>0</v>
      </c>
      <c r="AC28" s="2231">
        <f t="shared" si="15"/>
        <v>0</v>
      </c>
      <c r="AD28" s="2231">
        <f t="shared" si="16"/>
        <v>0</v>
      </c>
      <c r="AF28" s="1491"/>
      <c r="AG28" s="1491"/>
      <c r="AH28" s="1491"/>
      <c r="AI28" s="1491"/>
      <c r="AJ28" s="1491"/>
      <c r="AK28" s="1491"/>
      <c r="AL28" s="1491"/>
      <c r="AM28" s="1491"/>
    </row>
    <row r="29" spans="1:39" x14ac:dyDescent="0.25">
      <c r="A29" s="1491"/>
      <c r="C29" s="2192" t="str">
        <f t="shared" si="6"/>
        <v/>
      </c>
      <c r="D29" s="2192" t="str">
        <f t="shared" si="6"/>
        <v/>
      </c>
      <c r="E29" s="2229" t="str">
        <f>IF(J14="","",(workings1x!Q8-J14))</f>
        <v/>
      </c>
      <c r="F29" s="2229" t="str">
        <f>IF(J14="","",workings1!T8-(N14+E29+G29+I29+J29+K29+L29+M29))</f>
        <v/>
      </c>
      <c r="G29" s="2229" t="str">
        <f>IF(D14="","",IF(OR(workings1!$X$2=FALSE,H14="y"),0,workings1!R8*-0.8))</f>
        <v/>
      </c>
      <c r="H29" s="2230" t="str">
        <f>IF(D14="","",IF(workings1!AH8=5000000,"5 Million",workings1!AH8))</f>
        <v/>
      </c>
      <c r="I29" s="2229" t="str">
        <f>IF(J14="","",(((workings1!Q8+L14)/workings1!AH8)-(workings1!Q8+L14))*workings1!U8)</f>
        <v/>
      </c>
      <c r="J29" s="2229" t="str">
        <f>IF(J14="","",workings1!AR8-workings1x!AR8)</f>
        <v/>
      </c>
      <c r="K29" s="2229" t="str">
        <f>IF(D14="","",workings1!CC8)</f>
        <v/>
      </c>
      <c r="L29" s="2229"/>
      <c r="M29" s="2229" t="str">
        <f>IF(J14="","",workings1!AZ8)</f>
        <v/>
      </c>
      <c r="N29" s="1648" t="str">
        <f t="shared" si="17"/>
        <v/>
      </c>
      <c r="Q29" s="1491"/>
      <c r="R29" s="1491"/>
      <c r="S29" s="1491"/>
      <c r="U29" s="2231">
        <f t="shared" si="7"/>
        <v>0</v>
      </c>
      <c r="V29" s="2232">
        <f t="shared" si="8"/>
        <v>0</v>
      </c>
      <c r="W29" s="2231">
        <f t="shared" si="9"/>
        <v>0</v>
      </c>
      <c r="X29" s="2231">
        <f t="shared" si="10"/>
        <v>0</v>
      </c>
      <c r="Y29" s="2231">
        <f t="shared" si="11"/>
        <v>0</v>
      </c>
      <c r="Z29" s="2231">
        <f t="shared" si="12"/>
        <v>0</v>
      </c>
      <c r="AA29" s="2231">
        <f t="shared" si="13"/>
        <v>0</v>
      </c>
      <c r="AB29" s="2231">
        <f t="shared" si="14"/>
        <v>0</v>
      </c>
      <c r="AC29" s="2231">
        <f t="shared" si="15"/>
        <v>0</v>
      </c>
      <c r="AD29" s="2231">
        <f t="shared" si="16"/>
        <v>0</v>
      </c>
      <c r="AF29" s="1491"/>
      <c r="AG29" s="1491"/>
      <c r="AH29" s="1491"/>
      <c r="AI29" s="1491"/>
      <c r="AJ29" s="1491"/>
      <c r="AK29" s="1491"/>
      <c r="AL29" s="1491"/>
      <c r="AM29" s="1491"/>
    </row>
    <row r="30" spans="1:39" x14ac:dyDescent="0.25">
      <c r="A30" s="1491"/>
      <c r="C30" s="2192" t="str">
        <f t="shared" si="6"/>
        <v/>
      </c>
      <c r="D30" s="2192" t="str">
        <f t="shared" si="6"/>
        <v/>
      </c>
      <c r="E30" s="2229" t="str">
        <f>IF(J15="","",(workings1x!Q9-J15))</f>
        <v/>
      </c>
      <c r="F30" s="2229" t="str">
        <f>IF(J15="","",workings1!T9-(N15+E30+G30+I30+J30+K30+L30+M30))</f>
        <v/>
      </c>
      <c r="G30" s="2229" t="str">
        <f>IF(D15="","",IF(OR(workings1!$X$2=FALSE,H15="y"),0,workings1!R9*-0.8))</f>
        <v/>
      </c>
      <c r="H30" s="2230" t="str">
        <f>IF(D15="","",IF(workings1!AH9=5000000,"5 Million",workings1!AH9))</f>
        <v/>
      </c>
      <c r="I30" s="2229" t="str">
        <f>IF(J15="","",(((workings1!Q9+L15)/workings1!AH9)-(workings1!Q9+L15))*workings1!U9)</f>
        <v/>
      </c>
      <c r="J30" s="2229" t="str">
        <f>IF(J15="","",workings1!AR9-workings1x!AR9)</f>
        <v/>
      </c>
      <c r="K30" s="2229" t="str">
        <f>IF(D15="","",workings1!CC9)</f>
        <v/>
      </c>
      <c r="L30" s="2229"/>
      <c r="M30" s="2229" t="str">
        <f>IF(J15="","",workings1!AZ9)</f>
        <v/>
      </c>
      <c r="N30" s="1648" t="str">
        <f t="shared" si="17"/>
        <v/>
      </c>
      <c r="Q30" s="1491"/>
      <c r="R30" s="1491"/>
      <c r="S30" s="1491"/>
      <c r="U30" s="2231">
        <f t="shared" si="7"/>
        <v>0</v>
      </c>
      <c r="V30" s="2232">
        <f t="shared" si="8"/>
        <v>0</v>
      </c>
      <c r="W30" s="2231">
        <f t="shared" si="9"/>
        <v>0</v>
      </c>
      <c r="X30" s="2231">
        <f t="shared" si="10"/>
        <v>0</v>
      </c>
      <c r="Y30" s="2231">
        <f t="shared" si="11"/>
        <v>0</v>
      </c>
      <c r="Z30" s="2231">
        <f t="shared" si="12"/>
        <v>0</v>
      </c>
      <c r="AA30" s="2231">
        <f t="shared" si="13"/>
        <v>0</v>
      </c>
      <c r="AB30" s="2231">
        <f t="shared" si="14"/>
        <v>0</v>
      </c>
      <c r="AC30" s="2231">
        <f t="shared" si="15"/>
        <v>0</v>
      </c>
      <c r="AD30" s="2231">
        <f t="shared" si="16"/>
        <v>0</v>
      </c>
      <c r="AF30" s="1491"/>
      <c r="AG30" s="1491"/>
      <c r="AH30" s="1491"/>
      <c r="AI30" s="1491"/>
      <c r="AJ30" s="1491"/>
      <c r="AK30" s="1491"/>
      <c r="AL30" s="1491"/>
      <c r="AM30" s="1491"/>
    </row>
    <row r="31" spans="1:39" x14ac:dyDescent="0.25">
      <c r="A31" s="1491"/>
      <c r="C31" s="2192" t="str">
        <f t="shared" si="6"/>
        <v/>
      </c>
      <c r="D31" s="2192" t="str">
        <f t="shared" si="6"/>
        <v/>
      </c>
      <c r="E31" s="2229" t="str">
        <f>IF(J16="","",(workings1x!Q10-J16))</f>
        <v/>
      </c>
      <c r="F31" s="2229" t="str">
        <f>IF(J16="","",workings1!T10-(N16+E31+G31+I31+J31+K31+L31+M31))</f>
        <v/>
      </c>
      <c r="G31" s="2229" t="str">
        <f>IF(D16="","",IF(OR(workings1!$X$2=FALSE,H16="y"),0,workings1!R10*-0.8))</f>
        <v/>
      </c>
      <c r="H31" s="2230" t="str">
        <f>IF(D16="","",IF(workings1!AH10=5000000,"5 Million",workings1!AH10))</f>
        <v/>
      </c>
      <c r="I31" s="2229" t="str">
        <f>IF(J16="","",(((workings1!Q10+L16)/workings1!AH10)-(workings1!Q10+L16))*workings1!U10)</f>
        <v/>
      </c>
      <c r="J31" s="2229" t="str">
        <f>IF(J16="","",workings1!AR10-workings1x!AR10)</f>
        <v/>
      </c>
      <c r="K31" s="2229" t="str">
        <f>IF(D16="","",workings1!CC10)</f>
        <v/>
      </c>
      <c r="L31" s="2229"/>
      <c r="M31" s="2229" t="str">
        <f>IF(J16="","",workings1!AZ10)</f>
        <v/>
      </c>
      <c r="N31" s="1648" t="str">
        <f t="shared" si="17"/>
        <v/>
      </c>
      <c r="Q31" s="1491"/>
      <c r="R31" s="1491"/>
      <c r="S31" s="1491"/>
      <c r="U31" s="2231">
        <f t="shared" si="7"/>
        <v>0</v>
      </c>
      <c r="V31" s="2232">
        <f t="shared" si="8"/>
        <v>0</v>
      </c>
      <c r="W31" s="2231">
        <f t="shared" si="9"/>
        <v>0</v>
      </c>
      <c r="X31" s="2231">
        <f t="shared" si="10"/>
        <v>0</v>
      </c>
      <c r="Y31" s="2231">
        <f t="shared" si="11"/>
        <v>0</v>
      </c>
      <c r="Z31" s="2231">
        <f t="shared" si="12"/>
        <v>0</v>
      </c>
      <c r="AA31" s="2231">
        <f t="shared" si="13"/>
        <v>0</v>
      </c>
      <c r="AB31" s="2231">
        <f t="shared" si="14"/>
        <v>0</v>
      </c>
      <c r="AC31" s="2231">
        <f t="shared" si="15"/>
        <v>0</v>
      </c>
      <c r="AD31" s="2231">
        <f t="shared" si="16"/>
        <v>0</v>
      </c>
      <c r="AF31" s="1491"/>
      <c r="AG31" s="1491"/>
      <c r="AH31" s="1491"/>
      <c r="AI31" s="1491"/>
      <c r="AJ31" s="1491"/>
      <c r="AK31" s="1491"/>
      <c r="AL31" s="1491"/>
      <c r="AM31" s="1491"/>
    </row>
    <row r="32" spans="1:39" x14ac:dyDescent="0.25">
      <c r="A32" s="1491"/>
      <c r="C32" s="2192" t="str">
        <f t="shared" si="6"/>
        <v/>
      </c>
      <c r="D32" s="2192" t="str">
        <f t="shared" si="6"/>
        <v/>
      </c>
      <c r="E32" s="2229" t="str">
        <f>IF(J17="","",(workings1x!Q11-J17))</f>
        <v/>
      </c>
      <c r="F32" s="2229" t="str">
        <f>IF(J17="","",workings1!T11-(N17+E32+G32+I32+J32+K32+L32+M32))</f>
        <v/>
      </c>
      <c r="G32" s="2229" t="str">
        <f>IF(D17="","",IF(OR(workings1!$X$2=FALSE,H17="y"),0,workings1!R11*-0.8))</f>
        <v/>
      </c>
      <c r="H32" s="2230" t="str">
        <f>IF(D17="","",IF(workings1!AH11=5000000,"5 Million",workings1!AH11))</f>
        <v/>
      </c>
      <c r="I32" s="2229" t="str">
        <f>IF(J17="","",(((workings1!Q11+L17)/workings1!AH11)-(workings1!Q11+L17))*workings1!U11)</f>
        <v/>
      </c>
      <c r="J32" s="2229" t="str">
        <f>IF(J17="","",workings1!AR11-workings1x!AR11)</f>
        <v/>
      </c>
      <c r="K32" s="2229" t="str">
        <f>IF(D17="","",workings1!CC11)</f>
        <v/>
      </c>
      <c r="L32" s="2229"/>
      <c r="M32" s="2229" t="str">
        <f>IF(J17="","",workings1!AZ11)</f>
        <v/>
      </c>
      <c r="N32" s="1648" t="str">
        <f t="shared" si="17"/>
        <v/>
      </c>
      <c r="Q32" s="1491"/>
      <c r="R32" s="1491"/>
      <c r="S32" s="1491"/>
      <c r="U32" s="2231">
        <f t="shared" si="7"/>
        <v>0</v>
      </c>
      <c r="V32" s="2232">
        <f t="shared" si="8"/>
        <v>0</v>
      </c>
      <c r="W32" s="2231">
        <f t="shared" si="9"/>
        <v>0</v>
      </c>
      <c r="X32" s="2231">
        <f t="shared" si="10"/>
        <v>0</v>
      </c>
      <c r="Y32" s="2231">
        <f t="shared" si="11"/>
        <v>0</v>
      </c>
      <c r="Z32" s="2231">
        <f t="shared" si="12"/>
        <v>0</v>
      </c>
      <c r="AA32" s="2231">
        <f t="shared" si="13"/>
        <v>0</v>
      </c>
      <c r="AB32" s="2231">
        <f t="shared" si="14"/>
        <v>0</v>
      </c>
      <c r="AC32" s="2231">
        <f t="shared" si="15"/>
        <v>0</v>
      </c>
      <c r="AD32" s="2231">
        <f t="shared" si="16"/>
        <v>0</v>
      </c>
      <c r="AF32" s="1491"/>
      <c r="AG32" s="1491"/>
      <c r="AH32" s="1491"/>
      <c r="AI32" s="1491"/>
      <c r="AJ32" s="1491"/>
      <c r="AK32" s="1491"/>
      <c r="AL32" s="1491"/>
      <c r="AM32" s="1491"/>
    </row>
    <row r="33" spans="1:39" x14ac:dyDescent="0.25">
      <c r="A33" s="1491"/>
      <c r="C33" s="2192" t="str">
        <f t="shared" si="6"/>
        <v/>
      </c>
      <c r="D33" s="2192" t="str">
        <f t="shared" si="6"/>
        <v/>
      </c>
      <c r="E33" s="2229" t="str">
        <f>IF(J18="","",(workings1x!Q12-J18))</f>
        <v/>
      </c>
      <c r="F33" s="2229" t="str">
        <f>IF(J18="","",workings1!T12-(N18+E33+G33+I33+J33+K33+L33+M33))</f>
        <v/>
      </c>
      <c r="G33" s="2229" t="str">
        <f>IF(D18="","",IF(OR(workings1!$X$2=FALSE,H18="y"),0,workings1!R12*-0.8))</f>
        <v/>
      </c>
      <c r="H33" s="2230" t="str">
        <f>IF(D18="","",IF(workings1!AH12=5000000,"5 Million",workings1!AH12))</f>
        <v/>
      </c>
      <c r="I33" s="2229" t="str">
        <f>IF(J18="","",(((workings1!Q12+L18)/workings1!AH12)-(workings1!Q12+L18))*workings1!U12)</f>
        <v/>
      </c>
      <c r="J33" s="2229" t="str">
        <f>IF(J18="","",workings1!AR12-workings1x!AR12)</f>
        <v/>
      </c>
      <c r="K33" s="2229" t="str">
        <f>IF(D18="","",workings1!CC12)</f>
        <v/>
      </c>
      <c r="L33" s="2229"/>
      <c r="M33" s="2229" t="str">
        <f>IF(J18="","",workings1!AZ12)</f>
        <v/>
      </c>
      <c r="N33" s="1648" t="str">
        <f t="shared" si="17"/>
        <v/>
      </c>
      <c r="Q33" s="1491"/>
      <c r="R33" s="1491"/>
      <c r="S33" s="1491"/>
      <c r="U33" s="2231">
        <f t="shared" si="7"/>
        <v>0</v>
      </c>
      <c r="V33" s="2232">
        <f t="shared" si="8"/>
        <v>0</v>
      </c>
      <c r="W33" s="2231">
        <f t="shared" si="9"/>
        <v>0</v>
      </c>
      <c r="X33" s="2231">
        <f t="shared" si="10"/>
        <v>0</v>
      </c>
      <c r="Y33" s="2231">
        <f t="shared" si="11"/>
        <v>0</v>
      </c>
      <c r="Z33" s="2231">
        <f t="shared" si="12"/>
        <v>0</v>
      </c>
      <c r="AA33" s="2231">
        <f t="shared" si="13"/>
        <v>0</v>
      </c>
      <c r="AB33" s="2231">
        <f t="shared" si="14"/>
        <v>0</v>
      </c>
      <c r="AC33" s="2231">
        <f t="shared" si="15"/>
        <v>0</v>
      </c>
      <c r="AD33" s="2231">
        <f t="shared" si="16"/>
        <v>0</v>
      </c>
      <c r="AF33" s="1491"/>
      <c r="AG33" s="1491"/>
      <c r="AH33" s="1491"/>
      <c r="AI33" s="1491"/>
      <c r="AJ33" s="1491"/>
      <c r="AK33" s="1491"/>
      <c r="AL33" s="1491"/>
      <c r="AM33" s="1491"/>
    </row>
    <row r="34" spans="1:39" x14ac:dyDescent="0.25">
      <c r="A34" s="1491"/>
      <c r="C34" s="2192" t="str">
        <f t="shared" si="6"/>
        <v/>
      </c>
      <c r="D34" s="2192" t="str">
        <f t="shared" si="6"/>
        <v/>
      </c>
      <c r="E34" s="2229" t="str">
        <f>IF(J19="","",(workings1x!Q13-J19))</f>
        <v/>
      </c>
      <c r="F34" s="2229" t="str">
        <f>IF(J19="","",workings1!T13-(N19+E34+G34+I34+J34+K34+L34+M34))</f>
        <v/>
      </c>
      <c r="G34" s="2229" t="str">
        <f>IF(D19="","",IF(OR(workings1!$X$2=FALSE,H19="y"),0,workings1!R13*-0.8))</f>
        <v/>
      </c>
      <c r="H34" s="2230" t="str">
        <f>IF(D19="","",IF(workings1!AH13=5000000,"5 Million",workings1!AH13))</f>
        <v/>
      </c>
      <c r="I34" s="2229" t="str">
        <f>IF(J19="","",(((workings1!Q13+L19)/workings1!AH13)-(workings1!Q13+L19))*workings1!U13)</f>
        <v/>
      </c>
      <c r="J34" s="2229" t="str">
        <f>IF(J19="","",workings1!AR13-workings1x!AR13)</f>
        <v/>
      </c>
      <c r="K34" s="2229" t="str">
        <f>IF(D19="","",workings1!CC13)</f>
        <v/>
      </c>
      <c r="L34" s="2229"/>
      <c r="M34" s="2229" t="str">
        <f>IF(J19="","",workings1!AZ13)</f>
        <v/>
      </c>
      <c r="N34" s="1648" t="str">
        <f t="shared" si="17"/>
        <v/>
      </c>
      <c r="Q34" s="1491"/>
      <c r="R34" s="1491"/>
      <c r="S34" s="1491"/>
      <c r="U34" s="2231">
        <f t="shared" si="7"/>
        <v>0</v>
      </c>
      <c r="V34" s="2232">
        <f t="shared" si="8"/>
        <v>0</v>
      </c>
      <c r="W34" s="2231">
        <f t="shared" si="9"/>
        <v>0</v>
      </c>
      <c r="X34" s="2231">
        <f t="shared" si="10"/>
        <v>0</v>
      </c>
      <c r="Y34" s="2231">
        <f t="shared" si="11"/>
        <v>0</v>
      </c>
      <c r="Z34" s="2231">
        <f t="shared" si="12"/>
        <v>0</v>
      </c>
      <c r="AA34" s="2231">
        <f t="shared" si="13"/>
        <v>0</v>
      </c>
      <c r="AB34" s="2231">
        <f t="shared" si="14"/>
        <v>0</v>
      </c>
      <c r="AC34" s="2231">
        <f t="shared" si="15"/>
        <v>0</v>
      </c>
      <c r="AD34" s="2231">
        <f t="shared" si="16"/>
        <v>0</v>
      </c>
      <c r="AF34" s="1491"/>
      <c r="AG34" s="1491"/>
      <c r="AH34" s="1491"/>
      <c r="AI34" s="1491"/>
      <c r="AJ34" s="1491"/>
      <c r="AK34" s="1491"/>
      <c r="AL34" s="1491"/>
      <c r="AM34" s="1491"/>
    </row>
    <row r="35" spans="1:39" x14ac:dyDescent="0.25">
      <c r="A35" s="1491"/>
      <c r="C35" s="2192" t="str">
        <f t="shared" si="6"/>
        <v/>
      </c>
      <c r="D35" s="2192" t="str">
        <f t="shared" si="6"/>
        <v/>
      </c>
      <c r="E35" s="2229" t="str">
        <f>IF(J20="","",(workings1x!Q14-J20))</f>
        <v/>
      </c>
      <c r="F35" s="2229" t="str">
        <f>IF(J20="","",workings1!T14-(N20+E35+G35+I35+J35+K35+L35+M35))</f>
        <v/>
      </c>
      <c r="G35" s="2229" t="str">
        <f>IF(D20="","",IF(OR(workings1!$X$2=FALSE,H20="y"),0,workings1!R14*-0.8))</f>
        <v/>
      </c>
      <c r="H35" s="2230" t="str">
        <f>IF(D20="","",IF(workings1!AH14=5000000,"5 Million",workings1!AH14))</f>
        <v/>
      </c>
      <c r="I35" s="2229" t="str">
        <f>IF(J20="","",(((workings1!Q14+L20)/workings1!AH14)-(workings1!Q14+L20))*workings1!U14)</f>
        <v/>
      </c>
      <c r="J35" s="2229" t="str">
        <f>IF(J20="","",workings1!AR14-workings1x!AR14)</f>
        <v/>
      </c>
      <c r="K35" s="2229" t="str">
        <f>IF(D20="","",workings1!CC14)</f>
        <v/>
      </c>
      <c r="L35" s="2229"/>
      <c r="M35" s="2229" t="str">
        <f>IF(J20="","",workings1!AZ14)</f>
        <v/>
      </c>
      <c r="N35" s="1648" t="str">
        <f t="shared" si="17"/>
        <v/>
      </c>
      <c r="Q35" s="1491"/>
      <c r="R35" s="1491"/>
      <c r="S35" s="1491"/>
      <c r="U35" s="2231">
        <f t="shared" si="7"/>
        <v>0</v>
      </c>
      <c r="V35" s="2232">
        <f t="shared" si="8"/>
        <v>0</v>
      </c>
      <c r="W35" s="2231">
        <f t="shared" si="9"/>
        <v>0</v>
      </c>
      <c r="X35" s="2231">
        <f t="shared" si="10"/>
        <v>0</v>
      </c>
      <c r="Y35" s="2231">
        <f t="shared" si="11"/>
        <v>0</v>
      </c>
      <c r="Z35" s="2231">
        <f t="shared" si="12"/>
        <v>0</v>
      </c>
      <c r="AA35" s="2231">
        <f t="shared" si="13"/>
        <v>0</v>
      </c>
      <c r="AB35" s="2231">
        <f t="shared" si="14"/>
        <v>0</v>
      </c>
      <c r="AC35" s="2231">
        <f t="shared" si="15"/>
        <v>0</v>
      </c>
      <c r="AD35" s="2231">
        <f t="shared" si="16"/>
        <v>0</v>
      </c>
      <c r="AF35" s="1491"/>
      <c r="AG35" s="1491"/>
      <c r="AH35" s="1491"/>
      <c r="AI35" s="1491"/>
      <c r="AJ35" s="1491"/>
      <c r="AK35" s="1491"/>
      <c r="AL35" s="1491"/>
      <c r="AM35" s="1491"/>
    </row>
    <row r="36" spans="1:39" ht="13" x14ac:dyDescent="0.3">
      <c r="A36" s="1491"/>
      <c r="C36" s="1501"/>
      <c r="D36" s="1501"/>
      <c r="E36" s="2233">
        <f ca="1">SUM(E24:E35)</f>
        <v>0</v>
      </c>
      <c r="F36" s="2233">
        <f ca="1">SUM(F24:F35)</f>
        <v>0</v>
      </c>
      <c r="G36" s="2233">
        <f>SUM(G24:G35)</f>
        <v>0</v>
      </c>
      <c r="H36" s="2233"/>
      <c r="I36" s="2233">
        <f t="shared" ref="I36:N36" ca="1" si="18">SUM(I24:I35)</f>
        <v>0</v>
      </c>
      <c r="J36" s="2233">
        <f t="shared" ca="1" si="18"/>
        <v>0</v>
      </c>
      <c r="K36" s="2233">
        <f t="shared" si="18"/>
        <v>0</v>
      </c>
      <c r="L36" s="2233">
        <f t="shared" si="18"/>
        <v>0</v>
      </c>
      <c r="M36" s="2233">
        <f t="shared" ca="1" si="18"/>
        <v>0</v>
      </c>
      <c r="N36" s="2221">
        <f t="shared" ca="1" si="18"/>
        <v>0</v>
      </c>
      <c r="Q36" s="1491"/>
      <c r="R36" s="1491"/>
      <c r="S36" s="1491"/>
      <c r="AF36" s="1491"/>
      <c r="AG36" s="1491"/>
      <c r="AH36" s="1491"/>
      <c r="AI36" s="1491"/>
      <c r="AJ36" s="1491"/>
      <c r="AK36" s="1491"/>
      <c r="AL36" s="1491"/>
      <c r="AM36" s="1491"/>
    </row>
    <row r="37" spans="1:39" ht="13" x14ac:dyDescent="0.3">
      <c r="A37" s="1491"/>
      <c r="M37" s="2234" t="str">
        <f ca="1">IF(M36=workings1!AY1,"capped at","")</f>
        <v/>
      </c>
      <c r="Q37" s="1491"/>
      <c r="R37" s="1491"/>
      <c r="S37" s="1491"/>
      <c r="AF37" s="1491"/>
      <c r="AG37" s="1491"/>
      <c r="AH37" s="1491"/>
      <c r="AI37" s="1491"/>
      <c r="AJ37" s="1491"/>
      <c r="AK37" s="1491"/>
      <c r="AL37" s="1491"/>
      <c r="AM37" s="1491"/>
    </row>
    <row r="38" spans="1:39" ht="13" x14ac:dyDescent="0.3">
      <c r="A38" s="1491"/>
      <c r="M38" s="2235" t="str">
        <f ca="1">IF(M36=workings1!AY1,workings1!AY1*-1,"")</f>
        <v/>
      </c>
      <c r="N38" s="2232"/>
      <c r="Q38" s="1491"/>
      <c r="R38" s="1491"/>
      <c r="S38" s="1491"/>
      <c r="AF38" s="1491"/>
      <c r="AG38" s="1491"/>
      <c r="AH38" s="1491"/>
      <c r="AI38" s="1491"/>
      <c r="AJ38" s="1491"/>
      <c r="AK38" s="1491"/>
      <c r="AL38" s="1491"/>
      <c r="AM38" s="1491"/>
    </row>
    <row r="39" spans="1:39" x14ac:dyDescent="0.25">
      <c r="A39" s="1491"/>
      <c r="B39" s="1491"/>
      <c r="C39" s="1491"/>
      <c r="D39" s="1491"/>
      <c r="E39" s="1491"/>
      <c r="F39" s="1491"/>
      <c r="G39" s="1491"/>
      <c r="H39" s="1491"/>
      <c r="I39" s="1491"/>
      <c r="J39" s="1491"/>
      <c r="K39" s="1491"/>
      <c r="L39" s="1491"/>
      <c r="M39" s="1491"/>
      <c r="N39" s="1491"/>
      <c r="O39" s="1491"/>
      <c r="P39" s="1491"/>
      <c r="Q39" s="1491"/>
      <c r="R39" s="1491"/>
      <c r="S39" s="1491"/>
      <c r="AF39" s="1491"/>
      <c r="AG39" s="1491"/>
      <c r="AH39" s="1491"/>
      <c r="AI39" s="1491"/>
      <c r="AJ39" s="1491"/>
      <c r="AK39" s="1491"/>
      <c r="AL39" s="1491"/>
      <c r="AM39" s="1491"/>
    </row>
    <row r="40" spans="1:39" x14ac:dyDescent="0.25">
      <c r="A40" s="1491"/>
      <c r="B40" s="1491"/>
      <c r="C40" s="1491"/>
      <c r="D40" s="1491"/>
      <c r="E40" s="1491"/>
      <c r="F40" s="1491"/>
      <c r="G40" s="1491"/>
      <c r="H40" s="1491"/>
      <c r="I40" s="1491"/>
      <c r="J40" s="1491"/>
      <c r="K40" s="1491"/>
      <c r="L40" s="1491"/>
      <c r="M40" s="1491"/>
      <c r="N40" s="1491"/>
      <c r="O40" s="1491"/>
      <c r="P40" s="1491"/>
      <c r="Q40" s="1491"/>
      <c r="R40" s="1491"/>
      <c r="S40" s="1491"/>
      <c r="AF40" s="1491"/>
      <c r="AG40" s="1491"/>
      <c r="AH40" s="1491"/>
      <c r="AI40" s="1491"/>
      <c r="AJ40" s="1491"/>
      <c r="AK40" s="1491"/>
      <c r="AL40" s="1491"/>
      <c r="AM40" s="1491"/>
    </row>
    <row r="41" spans="1:39" x14ac:dyDescent="0.25">
      <c r="A41" s="1491"/>
      <c r="B41" s="1491"/>
      <c r="C41" s="1491"/>
      <c r="D41" s="1491"/>
      <c r="E41" s="1491"/>
      <c r="F41" s="1491"/>
      <c r="G41" s="1491"/>
      <c r="H41" s="1491"/>
      <c r="I41" s="1491"/>
      <c r="J41" s="1491"/>
      <c r="K41" s="1491"/>
      <c r="L41" s="1491"/>
      <c r="M41" s="1491"/>
      <c r="N41" s="1491"/>
      <c r="O41" s="1491"/>
      <c r="P41" s="1491"/>
      <c r="Q41" s="1491"/>
      <c r="R41" s="1491"/>
      <c r="S41" s="1491"/>
      <c r="AF41" s="1491"/>
      <c r="AG41" s="1491"/>
      <c r="AH41" s="1491"/>
      <c r="AI41" s="1491"/>
      <c r="AJ41" s="1491"/>
      <c r="AK41" s="1491"/>
      <c r="AL41" s="1491"/>
      <c r="AM41" s="1491"/>
    </row>
    <row r="42" spans="1:39" x14ac:dyDescent="0.25">
      <c r="A42" s="1491"/>
      <c r="B42" s="1491"/>
      <c r="C42" s="1491"/>
      <c r="D42" s="1491"/>
      <c r="E42" s="1491"/>
      <c r="F42" s="1491"/>
      <c r="G42" s="1491"/>
      <c r="H42" s="1491"/>
      <c r="I42" s="1491"/>
      <c r="J42" s="1491"/>
      <c r="K42" s="1491"/>
      <c r="L42" s="1491"/>
      <c r="M42" s="1491"/>
      <c r="N42" s="1491"/>
      <c r="O42" s="1491"/>
      <c r="P42" s="1491"/>
      <c r="Q42" s="1491"/>
      <c r="R42" s="1491"/>
      <c r="S42" s="1491"/>
      <c r="AF42" s="1491"/>
      <c r="AG42" s="1491"/>
      <c r="AH42" s="1491"/>
      <c r="AI42" s="1491"/>
      <c r="AJ42" s="1491"/>
      <c r="AK42" s="1491"/>
      <c r="AL42" s="1491"/>
      <c r="AM42" s="1491"/>
    </row>
    <row r="43" spans="1:39" x14ac:dyDescent="0.25">
      <c r="A43" s="1491"/>
      <c r="B43" s="1491"/>
      <c r="C43" s="1491"/>
      <c r="D43" s="1491"/>
      <c r="E43" s="1491"/>
      <c r="F43" s="1491"/>
      <c r="G43" s="1491"/>
      <c r="H43" s="1491"/>
      <c r="I43" s="1491"/>
      <c r="J43" s="1491"/>
      <c r="K43" s="1491"/>
      <c r="L43" s="1491"/>
      <c r="M43" s="1491"/>
      <c r="N43" s="1491"/>
      <c r="O43" s="1491"/>
      <c r="P43" s="1491"/>
      <c r="Q43" s="1491"/>
      <c r="R43" s="1491"/>
      <c r="S43" s="1491"/>
      <c r="AF43" s="1491"/>
      <c r="AG43" s="1491"/>
      <c r="AH43" s="1491"/>
      <c r="AI43" s="1491"/>
      <c r="AJ43" s="1491"/>
      <c r="AK43" s="1491"/>
      <c r="AL43" s="1491"/>
      <c r="AM43" s="1491"/>
    </row>
    <row r="44" spans="1:39" x14ac:dyDescent="0.25">
      <c r="A44" s="1491"/>
      <c r="B44" s="1491"/>
      <c r="C44" s="1491"/>
      <c r="D44" s="1491"/>
      <c r="E44" s="1491"/>
      <c r="F44" s="1491"/>
      <c r="G44" s="1491"/>
      <c r="H44" s="1491"/>
      <c r="I44" s="1491"/>
      <c r="J44" s="1491"/>
      <c r="K44" s="1491"/>
      <c r="L44" s="1491"/>
      <c r="M44" s="1491"/>
      <c r="N44" s="1491"/>
      <c r="O44" s="1491"/>
      <c r="P44" s="1491"/>
      <c r="Q44" s="1491"/>
      <c r="R44" s="1491"/>
      <c r="S44" s="1491"/>
      <c r="AF44" s="1491"/>
      <c r="AG44" s="1491"/>
      <c r="AH44" s="1491"/>
      <c r="AI44" s="1491"/>
      <c r="AJ44" s="1491"/>
      <c r="AK44" s="1491"/>
      <c r="AL44" s="1491"/>
      <c r="AM44" s="1491"/>
    </row>
    <row r="45" spans="1:39" x14ac:dyDescent="0.25">
      <c r="A45" s="1491"/>
      <c r="B45" s="1491"/>
      <c r="C45" s="1491"/>
      <c r="D45" s="1491"/>
      <c r="E45" s="1491"/>
      <c r="F45" s="1491"/>
      <c r="G45" s="1491"/>
      <c r="H45" s="1491"/>
      <c r="I45" s="1491"/>
      <c r="J45" s="1491"/>
      <c r="K45" s="1491"/>
      <c r="L45" s="1491"/>
      <c r="M45" s="1491"/>
      <c r="N45" s="1491"/>
      <c r="O45" s="1491"/>
      <c r="P45" s="1491"/>
      <c r="Q45" s="1491"/>
      <c r="R45" s="1491"/>
      <c r="S45" s="1491"/>
      <c r="AF45" s="1491"/>
      <c r="AG45" s="1491"/>
      <c r="AH45" s="1491"/>
      <c r="AI45" s="1491"/>
      <c r="AJ45" s="1491"/>
      <c r="AK45" s="1491"/>
      <c r="AL45" s="1491"/>
      <c r="AM45" s="1491"/>
    </row>
    <row r="46" spans="1:39" x14ac:dyDescent="0.25">
      <c r="A46" s="1491"/>
      <c r="B46" s="1491"/>
      <c r="C46" s="1491"/>
      <c r="D46" s="1491"/>
      <c r="E46" s="1491"/>
      <c r="F46" s="1491"/>
      <c r="G46" s="1491"/>
      <c r="H46" s="1491"/>
      <c r="I46" s="1491"/>
      <c r="J46" s="1491"/>
      <c r="K46" s="1491"/>
      <c r="L46" s="1491"/>
      <c r="M46" s="1491"/>
      <c r="N46" s="1491"/>
      <c r="O46" s="1491"/>
      <c r="P46" s="1491"/>
      <c r="Q46" s="1491"/>
      <c r="R46" s="1491"/>
      <c r="S46" s="1491"/>
      <c r="AF46" s="1491"/>
      <c r="AG46" s="1491"/>
      <c r="AH46" s="1491"/>
      <c r="AI46" s="1491"/>
      <c r="AJ46" s="1491"/>
      <c r="AK46" s="1491"/>
      <c r="AL46" s="1491"/>
      <c r="AM46" s="1491"/>
    </row>
    <row r="47" spans="1:39" x14ac:dyDescent="0.25">
      <c r="A47" s="1491"/>
      <c r="B47" s="1491"/>
      <c r="C47" s="1491"/>
      <c r="D47" s="1491"/>
      <c r="E47" s="1491"/>
      <c r="F47" s="1491"/>
      <c r="G47" s="1491"/>
      <c r="H47" s="1491"/>
      <c r="I47" s="1491"/>
      <c r="J47" s="1491"/>
      <c r="K47" s="1491"/>
      <c r="L47" s="1491"/>
      <c r="M47" s="1491"/>
      <c r="N47" s="1491"/>
      <c r="O47" s="1491"/>
      <c r="P47" s="1491"/>
      <c r="Q47" s="1491"/>
      <c r="R47" s="1491"/>
      <c r="S47" s="1491"/>
      <c r="AF47" s="1491"/>
      <c r="AG47" s="1491"/>
      <c r="AH47" s="1491"/>
      <c r="AI47" s="1491"/>
      <c r="AJ47" s="1491"/>
      <c r="AK47" s="1491"/>
      <c r="AL47" s="1491"/>
      <c r="AM47" s="1491"/>
    </row>
    <row r="48" spans="1:39" x14ac:dyDescent="0.25">
      <c r="A48" s="1491"/>
      <c r="B48" s="1491"/>
      <c r="C48" s="1491"/>
      <c r="D48" s="1491"/>
      <c r="E48" s="1491"/>
      <c r="F48" s="1491"/>
      <c r="G48" s="1491"/>
      <c r="H48" s="1491"/>
      <c r="I48" s="1491"/>
      <c r="J48" s="1491"/>
      <c r="K48" s="1491"/>
      <c r="L48" s="1491"/>
      <c r="M48" s="1491"/>
      <c r="N48" s="1491"/>
      <c r="O48" s="1491"/>
      <c r="P48" s="1491"/>
      <c r="Q48" s="1491"/>
      <c r="R48" s="1491"/>
      <c r="S48" s="1491"/>
      <c r="AF48" s="1491"/>
      <c r="AG48" s="1491"/>
      <c r="AH48" s="1491"/>
      <c r="AI48" s="1491"/>
      <c r="AJ48" s="1491"/>
      <c r="AK48" s="1491"/>
      <c r="AL48" s="1491"/>
      <c r="AM48" s="1491"/>
    </row>
    <row r="49" spans="1:39" x14ac:dyDescent="0.25">
      <c r="A49" s="1491"/>
      <c r="B49" s="1491"/>
      <c r="C49" s="1491"/>
      <c r="D49" s="1491"/>
      <c r="E49" s="1491"/>
      <c r="F49" s="1491"/>
      <c r="G49" s="1491"/>
      <c r="H49" s="1491"/>
      <c r="I49" s="1491"/>
      <c r="J49" s="1491"/>
      <c r="K49" s="1491"/>
      <c r="L49" s="1491"/>
      <c r="M49" s="1491"/>
      <c r="N49" s="1491"/>
      <c r="O49" s="1491"/>
      <c r="P49" s="1491"/>
      <c r="Q49" s="1491"/>
      <c r="R49" s="1491"/>
      <c r="S49" s="1491"/>
      <c r="AF49" s="1491"/>
      <c r="AG49" s="1491"/>
      <c r="AH49" s="1491"/>
      <c r="AI49" s="1491"/>
      <c r="AJ49" s="1491"/>
      <c r="AK49" s="1491"/>
      <c r="AL49" s="1491"/>
      <c r="AM49" s="1491"/>
    </row>
    <row r="50" spans="1:39" x14ac:dyDescent="0.25">
      <c r="A50" s="1491"/>
      <c r="B50" s="1491"/>
      <c r="C50" s="1491"/>
      <c r="D50" s="1491"/>
      <c r="E50" s="1491"/>
      <c r="F50" s="1491"/>
      <c r="G50" s="1491"/>
      <c r="H50" s="1491"/>
      <c r="I50" s="1491"/>
      <c r="J50" s="1491"/>
      <c r="K50" s="1491"/>
      <c r="L50" s="1491"/>
      <c r="M50" s="1491"/>
      <c r="N50" s="1491"/>
      <c r="O50" s="1491"/>
      <c r="P50" s="1491"/>
      <c r="Q50" s="1491"/>
      <c r="R50" s="1491"/>
      <c r="S50" s="1491"/>
      <c r="AF50" s="1491"/>
      <c r="AG50" s="1491"/>
      <c r="AH50" s="1491"/>
      <c r="AI50" s="1491"/>
      <c r="AJ50" s="1491"/>
      <c r="AK50" s="1491"/>
      <c r="AL50" s="1491"/>
      <c r="AM50" s="1491"/>
    </row>
    <row r="51" spans="1:39" x14ac:dyDescent="0.25">
      <c r="A51" s="1491"/>
      <c r="B51" s="1491"/>
      <c r="C51" s="1491"/>
      <c r="D51" s="1491"/>
      <c r="E51" s="1491"/>
      <c r="F51" s="1491"/>
      <c r="G51" s="1491"/>
      <c r="H51" s="1491"/>
      <c r="I51" s="1491"/>
      <c r="J51" s="1491"/>
      <c r="K51" s="1491"/>
      <c r="L51" s="1491"/>
      <c r="M51" s="1491"/>
      <c r="N51" s="1491"/>
      <c r="O51" s="1491"/>
      <c r="P51" s="1491"/>
      <c r="Q51" s="1491"/>
      <c r="R51" s="1491"/>
      <c r="S51" s="1491"/>
      <c r="AF51" s="1491"/>
      <c r="AG51" s="1491"/>
      <c r="AH51" s="1491"/>
      <c r="AI51" s="1491"/>
      <c r="AJ51" s="1491"/>
      <c r="AK51" s="1491"/>
      <c r="AL51" s="1491"/>
      <c r="AM51" s="1491"/>
    </row>
    <row r="52" spans="1:39" x14ac:dyDescent="0.25">
      <c r="A52" s="1491"/>
      <c r="B52" s="1491"/>
      <c r="C52" s="1491"/>
      <c r="D52" s="1491"/>
      <c r="E52" s="1491"/>
      <c r="F52" s="1491"/>
      <c r="G52" s="1491"/>
      <c r="H52" s="1491"/>
      <c r="I52" s="1491"/>
      <c r="J52" s="1491"/>
      <c r="K52" s="1491"/>
      <c r="L52" s="1491"/>
      <c r="M52" s="1491"/>
      <c r="N52" s="1491"/>
      <c r="O52" s="1491"/>
      <c r="P52" s="1491"/>
      <c r="Q52" s="1491"/>
      <c r="R52" s="1491"/>
      <c r="S52" s="1491"/>
      <c r="AF52" s="1491"/>
      <c r="AG52" s="1491"/>
      <c r="AH52" s="1491"/>
      <c r="AI52" s="1491"/>
      <c r="AJ52" s="1491"/>
      <c r="AK52" s="1491"/>
      <c r="AL52" s="1491"/>
      <c r="AM52" s="1491"/>
    </row>
    <row r="53" spans="1:39" x14ac:dyDescent="0.25">
      <c r="A53" s="1491"/>
      <c r="B53" s="1491"/>
      <c r="C53" s="1491"/>
      <c r="D53" s="1491"/>
      <c r="E53" s="1491"/>
      <c r="F53" s="1491"/>
      <c r="G53" s="1491"/>
      <c r="H53" s="1491"/>
      <c r="I53" s="1491"/>
      <c r="J53" s="1491"/>
      <c r="K53" s="1491"/>
      <c r="L53" s="1491"/>
      <c r="M53" s="1491"/>
      <c r="N53" s="1491"/>
      <c r="O53" s="1491"/>
      <c r="P53" s="1491"/>
      <c r="Q53" s="1491"/>
      <c r="R53" s="1491"/>
      <c r="S53" s="1491"/>
      <c r="AF53" s="1491"/>
      <c r="AG53" s="1491"/>
      <c r="AH53" s="1491"/>
      <c r="AI53" s="1491"/>
      <c r="AJ53" s="1491"/>
      <c r="AK53" s="1491"/>
      <c r="AL53" s="1491"/>
      <c r="AM53" s="1491"/>
    </row>
    <row r="54" spans="1:39" x14ac:dyDescent="0.25">
      <c r="A54" s="1491"/>
      <c r="B54" s="1491"/>
      <c r="C54" s="1491"/>
      <c r="D54" s="1491"/>
      <c r="E54" s="1491"/>
      <c r="F54" s="1491"/>
      <c r="G54" s="1491"/>
      <c r="H54" s="1491"/>
      <c r="I54" s="1491"/>
      <c r="J54" s="1491"/>
      <c r="K54" s="1491"/>
      <c r="L54" s="1491"/>
      <c r="M54" s="1491"/>
      <c r="N54" s="1491"/>
      <c r="O54" s="1491"/>
      <c r="P54" s="1491"/>
      <c r="Q54" s="1491"/>
      <c r="R54" s="1491"/>
      <c r="S54" s="1491"/>
      <c r="AF54" s="1491"/>
      <c r="AG54" s="1491"/>
      <c r="AH54" s="1491"/>
      <c r="AI54" s="1491"/>
      <c r="AJ54" s="1491"/>
      <c r="AK54" s="1491"/>
      <c r="AL54" s="1491"/>
      <c r="AM54" s="1491"/>
    </row>
    <row r="55" spans="1:39" x14ac:dyDescent="0.25">
      <c r="A55" s="1491"/>
      <c r="B55" s="1491"/>
      <c r="C55" s="1491"/>
      <c r="D55" s="1491"/>
      <c r="E55" s="1491"/>
      <c r="F55" s="1491"/>
      <c r="G55" s="1491"/>
      <c r="H55" s="1491"/>
      <c r="I55" s="1491"/>
      <c r="J55" s="1491"/>
      <c r="K55" s="1491"/>
      <c r="L55" s="1491"/>
      <c r="M55" s="1491"/>
      <c r="N55" s="1491"/>
      <c r="O55" s="1491"/>
      <c r="P55" s="1491"/>
      <c r="Q55" s="1491"/>
      <c r="R55" s="1491"/>
      <c r="S55" s="1491"/>
      <c r="AF55" s="1491"/>
      <c r="AG55" s="1491"/>
      <c r="AH55" s="1491"/>
      <c r="AI55" s="1491"/>
      <c r="AJ55" s="1491"/>
      <c r="AK55" s="1491"/>
      <c r="AL55" s="1491"/>
      <c r="AM55" s="1491"/>
    </row>
    <row r="56" spans="1:39" x14ac:dyDescent="0.25">
      <c r="A56" s="1491"/>
      <c r="B56" s="1491"/>
      <c r="C56" s="1491"/>
      <c r="D56" s="1491"/>
      <c r="E56" s="1491"/>
      <c r="F56" s="1491"/>
      <c r="G56" s="1491"/>
      <c r="H56" s="1491"/>
      <c r="I56" s="1491"/>
      <c r="J56" s="1491"/>
      <c r="K56" s="1491"/>
      <c r="L56" s="1491"/>
      <c r="M56" s="1491"/>
      <c r="N56" s="1491"/>
      <c r="O56" s="1491"/>
      <c r="P56" s="1491"/>
      <c r="Q56" s="1491"/>
      <c r="R56" s="1491"/>
      <c r="S56" s="1491"/>
      <c r="AF56" s="1491"/>
      <c r="AG56" s="1491"/>
      <c r="AH56" s="1491"/>
      <c r="AI56" s="1491"/>
      <c r="AJ56" s="1491"/>
      <c r="AK56" s="1491"/>
      <c r="AL56" s="1491"/>
      <c r="AM56" s="1491"/>
    </row>
    <row r="57" spans="1:39" x14ac:dyDescent="0.25">
      <c r="A57" s="1491"/>
      <c r="B57" s="1491"/>
      <c r="C57" s="1491"/>
      <c r="D57" s="1491"/>
      <c r="E57" s="1491"/>
      <c r="F57" s="1491"/>
      <c r="G57" s="1491"/>
      <c r="H57" s="1491"/>
      <c r="I57" s="1491"/>
      <c r="J57" s="1491"/>
      <c r="K57" s="1491"/>
      <c r="L57" s="1491"/>
      <c r="M57" s="1491"/>
      <c r="N57" s="1491"/>
      <c r="O57" s="1491"/>
      <c r="P57" s="1491"/>
      <c r="Q57" s="1491"/>
      <c r="R57" s="1491"/>
      <c r="S57" s="1491"/>
      <c r="AF57" s="1491"/>
      <c r="AG57" s="1491"/>
      <c r="AH57" s="1491"/>
      <c r="AI57" s="1491"/>
      <c r="AJ57" s="1491"/>
      <c r="AK57" s="1491"/>
      <c r="AL57" s="1491"/>
      <c r="AM57" s="1491"/>
    </row>
    <row r="58" spans="1:39" x14ac:dyDescent="0.25">
      <c r="A58" s="1491"/>
      <c r="B58" s="1491"/>
      <c r="C58" s="1491"/>
      <c r="D58" s="1491"/>
      <c r="E58" s="1491"/>
      <c r="F58" s="1491"/>
      <c r="G58" s="1491"/>
      <c r="H58" s="1491"/>
      <c r="I58" s="1491"/>
      <c r="J58" s="1491"/>
      <c r="K58" s="1491"/>
      <c r="L58" s="1491"/>
      <c r="M58" s="1491"/>
      <c r="N58" s="1491"/>
      <c r="O58" s="1491"/>
      <c r="P58" s="1491"/>
      <c r="Q58" s="1491"/>
      <c r="R58" s="1491"/>
      <c r="S58" s="1491"/>
      <c r="AF58" s="1491"/>
      <c r="AG58" s="1491"/>
      <c r="AH58" s="1491"/>
      <c r="AI58" s="1491"/>
      <c r="AJ58" s="1491"/>
      <c r="AK58" s="1491"/>
      <c r="AL58" s="1491"/>
      <c r="AM58" s="1491"/>
    </row>
    <row r="59" spans="1:39" x14ac:dyDescent="0.25">
      <c r="A59" s="1491"/>
      <c r="B59" s="1491"/>
      <c r="C59" s="1491"/>
      <c r="D59" s="1491"/>
      <c r="E59" s="1491"/>
      <c r="F59" s="1491"/>
      <c r="G59" s="1491"/>
      <c r="H59" s="1491"/>
      <c r="I59" s="1491"/>
      <c r="J59" s="1491"/>
      <c r="K59" s="1491"/>
      <c r="L59" s="1491"/>
      <c r="M59" s="1491"/>
      <c r="N59" s="1491"/>
      <c r="O59" s="1491"/>
      <c r="P59" s="1491"/>
      <c r="Q59" s="1491"/>
      <c r="R59" s="1491"/>
      <c r="S59" s="1491"/>
      <c r="AF59" s="1491"/>
      <c r="AG59" s="1491"/>
      <c r="AH59" s="1491"/>
      <c r="AI59" s="1491"/>
      <c r="AJ59" s="1491"/>
      <c r="AK59" s="1491"/>
      <c r="AL59" s="1491"/>
      <c r="AM59" s="1491"/>
    </row>
    <row r="60" spans="1:39" x14ac:dyDescent="0.25">
      <c r="A60" s="1491"/>
      <c r="B60" s="1491"/>
      <c r="C60" s="1491"/>
      <c r="D60" s="1491"/>
      <c r="E60" s="1491"/>
      <c r="F60" s="1491"/>
      <c r="G60" s="1491"/>
      <c r="H60" s="1491"/>
      <c r="I60" s="1491"/>
      <c r="J60" s="1491"/>
      <c r="K60" s="1491"/>
      <c r="L60" s="1491"/>
      <c r="M60" s="1491"/>
      <c r="N60" s="1491"/>
      <c r="O60" s="1491"/>
      <c r="P60" s="1491"/>
      <c r="Q60" s="1491"/>
      <c r="R60" s="1491"/>
      <c r="S60" s="1491"/>
      <c r="AF60" s="1491"/>
      <c r="AG60" s="1491"/>
      <c r="AH60" s="1491"/>
      <c r="AI60" s="1491"/>
      <c r="AJ60" s="1491"/>
      <c r="AK60" s="1491"/>
      <c r="AL60" s="1491"/>
      <c r="AM60" s="1491"/>
    </row>
    <row r="61" spans="1:39" x14ac:dyDescent="0.25">
      <c r="A61" s="1491"/>
      <c r="B61" s="1491"/>
      <c r="C61" s="1491"/>
      <c r="D61" s="1491"/>
      <c r="E61" s="1491"/>
      <c r="F61" s="1491"/>
      <c r="G61" s="1491"/>
      <c r="H61" s="1491"/>
      <c r="I61" s="1491"/>
      <c r="J61" s="1491"/>
      <c r="K61" s="1491"/>
      <c r="L61" s="1491"/>
      <c r="M61" s="1491"/>
      <c r="N61" s="1491"/>
      <c r="O61" s="1491"/>
      <c r="P61" s="1491"/>
      <c r="Q61" s="1491"/>
      <c r="R61" s="1491"/>
      <c r="S61" s="1491"/>
      <c r="AF61" s="1491"/>
      <c r="AG61" s="1491"/>
      <c r="AH61" s="1491"/>
      <c r="AI61" s="1491"/>
      <c r="AJ61" s="1491"/>
      <c r="AK61" s="1491"/>
      <c r="AL61" s="1491"/>
      <c r="AM61" s="1491"/>
    </row>
    <row r="62" spans="1:39" x14ac:dyDescent="0.25">
      <c r="A62" s="1491"/>
      <c r="B62" s="1491"/>
      <c r="C62" s="1491"/>
      <c r="D62" s="1491"/>
      <c r="E62" s="1491"/>
      <c r="F62" s="1491"/>
      <c r="G62" s="1491"/>
      <c r="H62" s="1491"/>
      <c r="I62" s="1491"/>
      <c r="J62" s="1491"/>
      <c r="K62" s="1491"/>
      <c r="L62" s="1491"/>
      <c r="M62" s="1491"/>
      <c r="N62" s="1491"/>
      <c r="O62" s="1491"/>
      <c r="P62" s="1491"/>
      <c r="Q62" s="1491"/>
      <c r="R62" s="1491"/>
      <c r="S62" s="1491"/>
      <c r="AF62" s="1491"/>
      <c r="AG62" s="1491"/>
      <c r="AH62" s="1491"/>
      <c r="AI62" s="1491"/>
      <c r="AJ62" s="1491"/>
      <c r="AK62" s="1491"/>
      <c r="AL62" s="1491"/>
      <c r="AM62" s="1491"/>
    </row>
    <row r="63" spans="1:39" x14ac:dyDescent="0.25">
      <c r="A63" s="1491"/>
      <c r="B63" s="1491"/>
      <c r="C63" s="1491"/>
      <c r="D63" s="1491"/>
      <c r="E63" s="1491"/>
      <c r="F63" s="1491"/>
      <c r="G63" s="1491"/>
      <c r="H63" s="1491"/>
      <c r="I63" s="1491"/>
      <c r="J63" s="1491"/>
      <c r="K63" s="1491"/>
      <c r="L63" s="1491"/>
      <c r="M63" s="1491"/>
      <c r="N63" s="1491"/>
      <c r="O63" s="1491"/>
      <c r="P63" s="1491"/>
      <c r="Q63" s="1491"/>
      <c r="R63" s="1491"/>
      <c r="S63" s="1491"/>
      <c r="AF63" s="1491"/>
      <c r="AG63" s="1491"/>
      <c r="AH63" s="1491"/>
      <c r="AI63" s="1491"/>
      <c r="AJ63" s="1491"/>
      <c r="AK63" s="1491"/>
      <c r="AL63" s="1491"/>
      <c r="AM63" s="1491"/>
    </row>
  </sheetData>
  <sheetProtection algorithmName="SHA-512" hashValue="/CdOGh1eUox/hqijV4X8W3HP2MhtXarcsTSAamKJLdPzseb6e+iqy9fxOfooOQMaoP4JOJ03OVzNNhfIoODkPA==" saltValue="l3epa2teg2rjSdeT3gjeiQ=="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goto_details">
                <anchor moveWithCells="1" sizeWithCells="1">
                  <from>
                    <xdr:col>2</xdr:col>
                    <xdr:colOff>25400</xdr:colOff>
                    <xdr:row>5</xdr:row>
                    <xdr:rowOff>6350</xdr:rowOff>
                  </from>
                  <to>
                    <xdr:col>2</xdr:col>
                    <xdr:colOff>749300</xdr:colOff>
                    <xdr:row>6</xdr:row>
                    <xdr:rowOff>146050</xdr:rowOff>
                  </to>
                </anchor>
              </controlPr>
            </control>
          </mc:Choice>
        </mc:AlternateContent>
        <mc:AlternateContent xmlns:mc="http://schemas.openxmlformats.org/markup-compatibility/2006">
          <mc:Choice Requires="x14">
            <control shapeId="93186" r:id="rId5" name="Button 2">
              <controlPr defaultSize="0" print="0" autoFill="0" autoPict="0" macro="[0]!backto">
                <anchor moveWithCells="1" sizeWithCells="1">
                  <from>
                    <xdr:col>16</xdr:col>
                    <xdr:colOff>44450</xdr:colOff>
                    <xdr:row>1</xdr:row>
                    <xdr:rowOff>6350</xdr:rowOff>
                  </from>
                  <to>
                    <xdr:col>16</xdr:col>
                    <xdr:colOff>1130300</xdr:colOff>
                    <xdr:row>4</xdr:row>
                    <xdr:rowOff>127000</xdr:rowOff>
                  </to>
                </anchor>
              </controlPr>
            </control>
          </mc:Choice>
        </mc:AlternateContent>
        <mc:AlternateContent xmlns:mc="http://schemas.openxmlformats.org/markup-compatibility/2006">
          <mc:Choice Requires="x14">
            <control shapeId="93187" r:id="rId6" name="Button 3">
              <controlPr defaultSize="0" print="0" autoFill="0" autoPict="0" macro="[0]!goto_revised_advdetail_from_original">
                <anchor moveWithCells="1" sizeWithCells="1">
                  <from>
                    <xdr:col>16</xdr:col>
                    <xdr:colOff>63500</xdr:colOff>
                    <xdr:row>7</xdr:row>
                    <xdr:rowOff>679450</xdr:rowOff>
                  </from>
                  <to>
                    <xdr:col>17</xdr:col>
                    <xdr:colOff>577850</xdr:colOff>
                    <xdr:row>10</xdr:row>
                    <xdr:rowOff>139700</xdr:rowOff>
                  </to>
                </anchor>
              </controlPr>
            </control>
          </mc:Choice>
        </mc:AlternateContent>
        <mc:AlternateContent xmlns:mc="http://schemas.openxmlformats.org/markup-compatibility/2006">
          <mc:Choice Requires="x14">
            <control shapeId="93195" r:id="rId7" name="Button 11">
              <controlPr defaultSize="0" print="0" autoFill="0" autoPict="0" macro="[0]!goto_home">
                <anchor moveWithCells="1" sizeWithCells="1">
                  <from>
                    <xdr:col>0</xdr:col>
                    <xdr:colOff>38100</xdr:colOff>
                    <xdr:row>1</xdr:row>
                    <xdr:rowOff>0</xdr:rowOff>
                  </from>
                  <to>
                    <xdr:col>0</xdr:col>
                    <xdr:colOff>622300</xdr:colOff>
                    <xdr:row>4</xdr:row>
                    <xdr:rowOff>25400</xdr:rowOff>
                  </to>
                </anchor>
              </controlPr>
            </control>
          </mc:Choice>
        </mc:AlternateContent>
        <mc:AlternateContent xmlns:mc="http://schemas.openxmlformats.org/markup-compatibility/2006">
          <mc:Choice Requires="x14">
            <control shapeId="93196" r:id="rId8" name="Button 12">
              <controlPr defaultSize="0" print="0" autoFill="0" autoPict="0" macro="[0]!goto_next_year_any_sheet">
                <anchor moveWithCells="1" sizeWithCells="1">
                  <from>
                    <xdr:col>16</xdr:col>
                    <xdr:colOff>990600</xdr:colOff>
                    <xdr:row>11</xdr:row>
                    <xdr:rowOff>0</xdr:rowOff>
                  </from>
                  <to>
                    <xdr:col>17</xdr:col>
                    <xdr:colOff>577850</xdr:colOff>
                    <xdr:row>14</xdr:row>
                    <xdr:rowOff>63500</xdr:rowOff>
                  </to>
                </anchor>
              </controlPr>
            </control>
          </mc:Choice>
        </mc:AlternateContent>
        <mc:AlternateContent xmlns:mc="http://schemas.openxmlformats.org/markup-compatibility/2006">
          <mc:Choice Requires="x14">
            <control shapeId="93197" r:id="rId9" name="Button 13">
              <controlPr defaultSize="0" print="0" autoFill="0" autoPict="0" macro="[0]!goto_previous_year_any_sheet">
                <anchor moveWithCells="1" sizeWithCells="1">
                  <from>
                    <xdr:col>16</xdr:col>
                    <xdr:colOff>69850</xdr:colOff>
                    <xdr:row>11</xdr:row>
                    <xdr:rowOff>0</xdr:rowOff>
                  </from>
                  <to>
                    <xdr:col>16</xdr:col>
                    <xdr:colOff>965200</xdr:colOff>
                    <xdr:row>14</xdr:row>
                    <xdr:rowOff>63500</xdr:rowOff>
                  </to>
                </anchor>
              </controlPr>
            </control>
          </mc:Choice>
        </mc:AlternateContent>
        <mc:AlternateContent xmlns:mc="http://schemas.openxmlformats.org/markup-compatibility/2006">
          <mc:Choice Requires="x14">
            <control shapeId="93198" r:id="rId10" name="Button 14">
              <controlPr defaultSize="0" print="0" autoFill="0" autoPict="0" macro="[0]!copy_as_excel">
                <anchor moveWithCells="1" sizeWithCells="1">
                  <from>
                    <xdr:col>16</xdr:col>
                    <xdr:colOff>69850</xdr:colOff>
                    <xdr:row>7</xdr:row>
                    <xdr:rowOff>146050</xdr:rowOff>
                  </from>
                  <to>
                    <xdr:col>16</xdr:col>
                    <xdr:colOff>755650</xdr:colOff>
                    <xdr:row>7</xdr:row>
                    <xdr:rowOff>533400</xdr:rowOff>
                  </to>
                </anchor>
              </controlPr>
            </control>
          </mc:Choice>
        </mc:AlternateContent>
        <mc:AlternateContent xmlns:mc="http://schemas.openxmlformats.org/markup-compatibility/2006">
          <mc:Choice Requires="x14">
            <control shapeId="93199" r:id="rId11" name="Button 15">
              <controlPr defaultSize="0" print="0" autoFill="0" autoPict="0" macro="[0]!pdflauncher">
                <anchor moveWithCells="1" sizeWithCells="1">
                  <from>
                    <xdr:col>16</xdr:col>
                    <xdr:colOff>762000</xdr:colOff>
                    <xdr:row>7</xdr:row>
                    <xdr:rowOff>146050</xdr:rowOff>
                  </from>
                  <to>
                    <xdr:col>17</xdr:col>
                    <xdr:colOff>279400</xdr:colOff>
                    <xdr:row>7</xdr:row>
                    <xdr:rowOff>533400</xdr:rowOff>
                  </to>
                </anchor>
              </controlPr>
            </control>
          </mc:Choice>
        </mc:AlternateContent>
        <mc:AlternateContent xmlns:mc="http://schemas.openxmlformats.org/markup-compatibility/2006">
          <mc:Choice Requires="x14">
            <control shapeId="93200" r:id="rId12" name="Button 16">
              <controlPr defaultSize="0" print="0" autoFill="0" autoPict="0" macro="[0]!openfolder">
                <anchor moveWithCells="1" sizeWithCells="1">
                  <from>
                    <xdr:col>17</xdr:col>
                    <xdr:colOff>298450</xdr:colOff>
                    <xdr:row>7</xdr:row>
                    <xdr:rowOff>146050</xdr:rowOff>
                  </from>
                  <to>
                    <xdr:col>17</xdr:col>
                    <xdr:colOff>831850</xdr:colOff>
                    <xdr:row>7</xdr:row>
                    <xdr:rowOff>533400</xdr:rowOff>
                  </to>
                </anchor>
              </controlPr>
            </control>
          </mc:Choice>
        </mc:AlternateContent>
        <mc:AlternateContent xmlns:mc="http://schemas.openxmlformats.org/markup-compatibility/2006">
          <mc:Choice Requires="x14">
            <control shapeId="93201" r:id="rId13" name="Button 17">
              <controlPr defaultSize="0" print="0" autoFill="0" autoPict="0" macro="[0]!goto_folder_settings">
                <anchor moveWithCells="1" sizeWithCells="1">
                  <from>
                    <xdr:col>17</xdr:col>
                    <xdr:colOff>838200</xdr:colOff>
                    <xdr:row>7</xdr:row>
                    <xdr:rowOff>146050</xdr:rowOff>
                  </from>
                  <to>
                    <xdr:col>18</xdr:col>
                    <xdr:colOff>482600</xdr:colOff>
                    <xdr:row>7</xdr:row>
                    <xdr:rowOff>533400</xdr:rowOff>
                  </to>
                </anchor>
              </controlPr>
            </control>
          </mc:Choice>
        </mc:AlternateContent>
        <mc:AlternateContent xmlns:mc="http://schemas.openxmlformats.org/markup-compatibility/2006">
          <mc:Choice Requires="x14">
            <control shapeId="93202" r:id="rId14" name="Button 18">
              <controlPr defaultSize="0" print="0" autoFill="0" autoPict="0" macro="[0]!email_pdf_launch">
                <anchor moveWithCells="1" sizeWithCells="1">
                  <from>
                    <xdr:col>16</xdr:col>
                    <xdr:colOff>914400</xdr:colOff>
                    <xdr:row>6</xdr:row>
                    <xdr:rowOff>0</xdr:rowOff>
                  </from>
                  <to>
                    <xdr:col>17</xdr:col>
                    <xdr:colOff>431800</xdr:colOff>
                    <xdr:row>7</xdr:row>
                    <xdr:rowOff>127000</xdr:rowOff>
                  </to>
                </anchor>
              </controlPr>
            </control>
          </mc:Choice>
        </mc:AlternateContent>
        <mc:AlternateContent xmlns:mc="http://schemas.openxmlformats.org/markup-compatibility/2006">
          <mc:Choice Requires="x14">
            <control shapeId="93203" r:id="rId15" name="Button 19">
              <controlPr defaultSize="0" print="0" autoFill="0" autoPict="0" macro="[0]!email_copy_as_excel">
                <anchor moveWithCells="1" sizeWithCells="1">
                  <from>
                    <xdr:col>16</xdr:col>
                    <xdr:colOff>69850</xdr:colOff>
                    <xdr:row>6</xdr:row>
                    <xdr:rowOff>0</xdr:rowOff>
                  </from>
                  <to>
                    <xdr:col>16</xdr:col>
                    <xdr:colOff>901700</xdr:colOff>
                    <xdr:row>7</xdr:row>
                    <xdr:rowOff>127000</xdr:rowOff>
                  </to>
                </anchor>
              </controlPr>
            </control>
          </mc:Choice>
        </mc:AlternateContent>
        <mc:AlternateContent xmlns:mc="http://schemas.openxmlformats.org/markup-compatibility/2006">
          <mc:Choice Requires="x14">
            <control shapeId="93204" r:id="rId16" name="Button 20">
              <controlPr defaultSize="0" print="0" autoFill="0" autoPict="0" macro="[0]!emailsettings">
                <anchor moveWithCells="1" sizeWithCells="1">
                  <from>
                    <xdr:col>17</xdr:col>
                    <xdr:colOff>444500</xdr:colOff>
                    <xdr:row>6</xdr:row>
                    <xdr:rowOff>0</xdr:rowOff>
                  </from>
                  <to>
                    <xdr:col>18</xdr:col>
                    <xdr:colOff>482600</xdr:colOff>
                    <xdr:row>7</xdr:row>
                    <xdr:rowOff>127000</xdr:rowOff>
                  </to>
                </anchor>
              </controlPr>
            </control>
          </mc:Choice>
        </mc:AlternateContent>
        <mc:AlternateContent xmlns:mc="http://schemas.openxmlformats.org/markup-compatibility/2006">
          <mc:Choice Requires="x14">
            <control shapeId="93205" r:id="rId17" name="Button 21">
              <controlPr defaultSize="0" print="0" autoFill="0" autoPict="0" macro="[0]!goto_advanced">
                <anchor moveWithCells="1" sizeWithCells="1">
                  <from>
                    <xdr:col>16</xdr:col>
                    <xdr:colOff>69850</xdr:colOff>
                    <xdr:row>15</xdr:row>
                    <xdr:rowOff>63500</xdr:rowOff>
                  </from>
                  <to>
                    <xdr:col>17</xdr:col>
                    <xdr:colOff>584200</xdr:colOff>
                    <xdr:row>18</xdr:row>
                    <xdr:rowOff>120650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FDCA-52BB-4E46-80D1-0415651FA68C}">
  <sheetPr codeName="Sheet121">
    <pageSetUpPr fitToPage="1"/>
  </sheetPr>
  <dimension ref="A1:AM63"/>
  <sheetViews>
    <sheetView showGridLines="0" zoomScaleNormal="100" workbookViewId="0">
      <selection activeCell="A3" sqref="A3"/>
    </sheetView>
  </sheetViews>
  <sheetFormatPr defaultColWidth="9.08984375" defaultRowHeight="12.5" x14ac:dyDescent="0.25"/>
  <cols>
    <col min="1" max="1" width="10.08984375" style="1493" customWidth="1"/>
    <col min="2" max="2" width="1.90625" style="1493" customWidth="1"/>
    <col min="3" max="3" width="11.54296875" style="1493" customWidth="1"/>
    <col min="4" max="4" width="11.6328125" style="1493" customWidth="1"/>
    <col min="5" max="5" width="13.08984375" style="1493" customWidth="1"/>
    <col min="6" max="6" width="13" style="1493" customWidth="1"/>
    <col min="7" max="7" width="12.08984375" style="1493" customWidth="1"/>
    <col min="8" max="8" width="8.08984375" style="1493" customWidth="1"/>
    <col min="9" max="9" width="11.90625" style="1493" customWidth="1"/>
    <col min="10" max="10" width="13.36328125" style="1493" customWidth="1"/>
    <col min="11" max="11" width="11.90625" style="1493" customWidth="1"/>
    <col min="12" max="13" width="12.54296875" style="1493" customWidth="1"/>
    <col min="14" max="14" width="13.36328125" style="1493" customWidth="1"/>
    <col min="15" max="15" width="1.6328125" style="1493" customWidth="1"/>
    <col min="16" max="16" width="1.90625" style="1493" customWidth="1"/>
    <col min="17" max="17" width="17" style="1493" customWidth="1"/>
    <col min="18" max="18" width="12.90625" style="1493" customWidth="1"/>
    <col min="19" max="19" width="9.08984375" style="1493"/>
    <col min="20" max="31" width="9.08984375" style="1493" hidden="1" customWidth="1"/>
    <col min="32" max="16384" width="9.08984375" style="1493"/>
  </cols>
  <sheetData>
    <row r="1" spans="1:39" ht="21" customHeight="1" x14ac:dyDescent="0.25">
      <c r="A1" s="2238"/>
      <c r="B1" s="2238"/>
      <c r="C1" s="2238"/>
      <c r="D1" s="2238"/>
      <c r="E1" s="2238"/>
      <c r="F1" s="2238"/>
      <c r="G1" s="2238"/>
      <c r="H1" s="2238"/>
      <c r="I1" s="2238"/>
      <c r="J1" s="2238"/>
      <c r="K1" s="2238"/>
      <c r="L1" s="2238"/>
      <c r="M1" s="2238"/>
      <c r="N1" s="2238"/>
      <c r="O1" s="2238"/>
      <c r="P1" s="2238"/>
      <c r="Q1" s="2238"/>
      <c r="R1" s="2238"/>
      <c r="S1" s="2238"/>
      <c r="T1" s="2238"/>
      <c r="U1" s="2238"/>
      <c r="V1" s="2238"/>
      <c r="W1" s="2238"/>
      <c r="X1" s="2238"/>
      <c r="Y1" s="2238"/>
      <c r="Z1" s="2238"/>
      <c r="AA1" s="2238"/>
      <c r="AB1" s="2238"/>
      <c r="AC1" s="2238"/>
      <c r="AD1" s="2238"/>
      <c r="AE1" s="2238"/>
      <c r="AF1" s="2238"/>
      <c r="AG1" s="2238"/>
      <c r="AH1" s="2238"/>
      <c r="AI1" s="2238"/>
      <c r="AJ1" s="2238"/>
      <c r="AK1" s="2238"/>
      <c r="AL1" s="2238"/>
      <c r="AM1" s="2238"/>
    </row>
    <row r="2" spans="1:39" ht="8.25" customHeight="1" x14ac:dyDescent="0.25">
      <c r="A2" s="2238"/>
      <c r="Q2" s="2238"/>
      <c r="R2" s="2238"/>
      <c r="S2" s="2238"/>
      <c r="AF2" s="2238"/>
      <c r="AG2" s="2238"/>
      <c r="AH2" s="2238"/>
      <c r="AI2" s="2238"/>
      <c r="AJ2" s="2238"/>
      <c r="AK2" s="2238"/>
      <c r="AL2" s="2238"/>
      <c r="AM2" s="2238"/>
    </row>
    <row r="3" spans="1:39" ht="15.5" x14ac:dyDescent="0.35">
      <c r="A3" s="2238"/>
      <c r="C3" s="2216" t="str">
        <f ca="1">"Detailed Liability Report (Advanced Revised) for the year "&amp;OFFSET(advanced!G87,U3,0)</f>
        <v xml:space="preserve">Detailed Liability Report (Advanced Revised) for the year 2023/24 </v>
      </c>
      <c r="D3" s="1966"/>
      <c r="E3" s="1966"/>
      <c r="F3" s="1966"/>
      <c r="G3" s="1966"/>
      <c r="H3" s="1966"/>
      <c r="I3" s="1966"/>
      <c r="J3" s="1966"/>
      <c r="K3" s="1966"/>
      <c r="L3" s="1966"/>
      <c r="M3" s="1966"/>
      <c r="N3" s="2216" t="str">
        <f>"Year "&amp;U3</f>
        <v>Year 1</v>
      </c>
      <c r="Q3" s="2238"/>
      <c r="R3" s="2238"/>
      <c r="S3" s="2238"/>
      <c r="T3" s="2158" t="s">
        <v>573</v>
      </c>
      <c r="U3" s="1961">
        <v>1</v>
      </c>
      <c r="V3" s="1945">
        <f>U3</f>
        <v>1</v>
      </c>
      <c r="W3" s="1945">
        <f>V3</f>
        <v>1</v>
      </c>
      <c r="X3" s="2236" t="s">
        <v>574</v>
      </c>
      <c r="Y3" s="2236"/>
      <c r="AF3" s="2238"/>
      <c r="AG3" s="2238"/>
      <c r="AH3" s="2238"/>
      <c r="AI3" s="2238"/>
      <c r="AJ3" s="2238"/>
      <c r="AK3" s="2238"/>
      <c r="AL3" s="2238"/>
      <c r="AM3" s="2238"/>
    </row>
    <row r="4" spans="1:39" ht="6.75" customHeight="1" x14ac:dyDescent="0.3">
      <c r="A4" s="2238"/>
      <c r="C4" s="1501"/>
      <c r="D4" s="1966"/>
      <c r="E4" s="1966"/>
      <c r="F4" s="1966"/>
      <c r="G4" s="1966"/>
      <c r="H4" s="1966"/>
      <c r="I4" s="1966"/>
      <c r="J4" s="1966"/>
      <c r="K4" s="1966"/>
      <c r="L4" s="1966"/>
      <c r="M4" s="1966"/>
      <c r="N4" s="1966"/>
      <c r="Q4" s="2238"/>
      <c r="R4" s="2238"/>
      <c r="S4" s="2238"/>
      <c r="T4" s="1564"/>
      <c r="U4" s="1564"/>
      <c r="V4" s="1564"/>
      <c r="W4" s="1564"/>
      <c r="AF4" s="2238"/>
      <c r="AG4" s="2238"/>
      <c r="AH4" s="2238"/>
      <c r="AI4" s="2238"/>
      <c r="AJ4" s="2238"/>
      <c r="AK4" s="2238"/>
      <c r="AL4" s="2238"/>
      <c r="AM4" s="2238"/>
    </row>
    <row r="5" spans="1:39" ht="13" x14ac:dyDescent="0.3">
      <c r="A5" s="2238"/>
      <c r="C5" s="1501" t="str">
        <f>advanced!F5</f>
        <v>Click Button Below to Enter Address</v>
      </c>
      <c r="D5" s="1966"/>
      <c r="E5" s="1966"/>
      <c r="F5" s="1966"/>
      <c r="G5" s="1966"/>
      <c r="H5" s="1966"/>
      <c r="I5" s="1966"/>
      <c r="J5" s="1966"/>
      <c r="K5" s="1966"/>
      <c r="L5" s="1966"/>
      <c r="M5" s="1966"/>
      <c r="N5" s="1966"/>
      <c r="Q5" s="2238"/>
      <c r="R5" s="2238"/>
      <c r="S5" s="2238"/>
      <c r="T5" s="1564"/>
      <c r="U5" s="1564"/>
      <c r="V5" s="1564"/>
      <c r="W5" s="1564"/>
      <c r="AF5" s="2238"/>
      <c r="AG5" s="2238"/>
      <c r="AH5" s="2238"/>
      <c r="AI5" s="2238"/>
      <c r="AJ5" s="2238"/>
      <c r="AK5" s="2238"/>
      <c r="AL5" s="2238"/>
      <c r="AM5" s="2238"/>
    </row>
    <row r="6" spans="1:39" ht="7.5" customHeight="1" x14ac:dyDescent="0.25">
      <c r="A6" s="2238"/>
      <c r="C6" s="1966"/>
      <c r="D6" s="1966"/>
      <c r="E6" s="1966"/>
      <c r="F6" s="1966"/>
      <c r="G6" s="1966"/>
      <c r="H6" s="1966"/>
      <c r="I6" s="1966"/>
      <c r="J6" s="1966"/>
      <c r="K6" s="1966"/>
      <c r="L6" s="1966"/>
      <c r="M6" s="1966"/>
      <c r="N6" s="1966"/>
      <c r="Q6" s="2238"/>
      <c r="R6" s="2238"/>
      <c r="S6" s="2238"/>
      <c r="T6" s="1564"/>
      <c r="U6" s="1564"/>
      <c r="V6" s="1564"/>
      <c r="W6" s="1564"/>
      <c r="AF6" s="2238"/>
      <c r="AG6" s="2238"/>
      <c r="AH6" s="2238"/>
      <c r="AI6" s="2238"/>
      <c r="AJ6" s="2238"/>
      <c r="AK6" s="2238"/>
      <c r="AL6" s="2238"/>
      <c r="AM6" s="2238"/>
    </row>
    <row r="7" spans="1:39" ht="13" x14ac:dyDescent="0.3">
      <c r="A7" s="2238"/>
      <c r="C7" s="1501"/>
      <c r="D7" s="1966" t="s">
        <v>1843</v>
      </c>
      <c r="E7" s="2011">
        <f ca="1">OFFSET(data!C12,U3,0)</f>
        <v>366</v>
      </c>
      <c r="F7" s="1966"/>
      <c r="G7" s="1966"/>
      <c r="H7" s="1966"/>
      <c r="I7" s="1966"/>
      <c r="J7" s="1966"/>
      <c r="K7" s="1966"/>
      <c r="L7" s="1966"/>
      <c r="M7" s="1966"/>
      <c r="N7" s="1966"/>
      <c r="Q7" s="2238"/>
      <c r="R7" s="2238"/>
      <c r="S7" s="2238"/>
      <c r="T7" s="1564"/>
      <c r="U7" s="1564"/>
      <c r="V7" s="1564"/>
      <c r="W7" s="1564"/>
      <c r="AF7" s="2238"/>
      <c r="AG7" s="2238"/>
      <c r="AH7" s="2238"/>
      <c r="AI7" s="2238"/>
      <c r="AJ7" s="2238"/>
      <c r="AK7" s="2238"/>
      <c r="AL7" s="2238"/>
      <c r="AM7" s="2238"/>
    </row>
    <row r="8" spans="1:39" s="2106" customFormat="1" ht="55.5" customHeight="1" x14ac:dyDescent="0.3">
      <c r="A8" s="2239"/>
      <c r="C8" s="2218" t="s">
        <v>1844</v>
      </c>
      <c r="D8" s="2218" t="s">
        <v>1845</v>
      </c>
      <c r="E8" s="2218" t="s">
        <v>324</v>
      </c>
      <c r="F8" s="2218" t="s">
        <v>272</v>
      </c>
      <c r="G8" s="2218" t="s">
        <v>915</v>
      </c>
      <c r="H8" s="2218" t="s">
        <v>112</v>
      </c>
      <c r="I8" s="2219" t="s">
        <v>1846</v>
      </c>
      <c r="J8" s="2218" t="str">
        <f ca="1">"RV x SBNDRM / "&amp;E7&amp;" x days"</f>
        <v>RV x SBNDRM / 366 x days</v>
      </c>
      <c r="K8" s="2218" t="str">
        <f>"SB Supplement is RV x "&amp;'info sheet'!E10</f>
        <v>SB Supplement is RV x 0.013</v>
      </c>
      <c r="L8" s="2218" t="str">
        <f>"City of London Supplement"</f>
        <v>City of London Supplement</v>
      </c>
      <c r="M8" s="2218" t="s">
        <v>1847</v>
      </c>
      <c r="N8" s="2218" t="s">
        <v>1848</v>
      </c>
      <c r="P8" s="1493"/>
      <c r="Q8" s="2238"/>
      <c r="R8" s="2238"/>
      <c r="S8" s="2238"/>
      <c r="T8" s="1564"/>
      <c r="U8" s="1571" t="s">
        <v>581</v>
      </c>
      <c r="V8" s="1571" t="s">
        <v>321</v>
      </c>
      <c r="W8" s="1571" t="s">
        <v>572</v>
      </c>
      <c r="X8" s="1564" t="s">
        <v>2812</v>
      </c>
      <c r="Y8" s="1564" t="s">
        <v>2813</v>
      </c>
      <c r="Z8" s="1597" t="s">
        <v>575</v>
      </c>
      <c r="AA8" s="1597" t="s">
        <v>576</v>
      </c>
      <c r="AB8" s="1597" t="s">
        <v>577</v>
      </c>
      <c r="AC8" s="1564" t="s">
        <v>596</v>
      </c>
      <c r="AD8" s="1493"/>
      <c r="AE8" s="1493"/>
      <c r="AF8" s="2238"/>
      <c r="AG8" s="2238"/>
      <c r="AH8" s="2238"/>
      <c r="AI8" s="2238"/>
      <c r="AJ8" s="2238"/>
      <c r="AK8" s="2238"/>
      <c r="AL8" s="2238"/>
      <c r="AM8" s="2238"/>
    </row>
    <row r="9" spans="1:39" ht="17.25" customHeight="1" x14ac:dyDescent="0.3">
      <c r="A9" s="2238"/>
      <c r="C9" s="2192">
        <f>IF(workings2!G3&lt;workings2!F3,"",workings2!F3)</f>
        <v>45017</v>
      </c>
      <c r="D9" s="2192">
        <f>IF(workings2!G3&lt;workings2!F3,"",workings2!G3)</f>
        <v>45382</v>
      </c>
      <c r="E9" s="2200">
        <f>IF(D9&lt;&gt;"",workings2!H3,"")</f>
        <v>366</v>
      </c>
      <c r="F9" s="1649">
        <f>IF(D9&lt;&gt;"",workings2!L3,"")</f>
        <v>0</v>
      </c>
      <c r="G9" s="2220">
        <f>IF(D9="","",workings2!S3)</f>
        <v>1</v>
      </c>
      <c r="H9" s="1649" t="str">
        <f>IF(D9="","",workings2!AF3)</f>
        <v>n</v>
      </c>
      <c r="I9" s="2200">
        <f>IF(D9="","",workings2!P3)</f>
        <v>0.499</v>
      </c>
      <c r="J9" s="1648">
        <f t="shared" ref="J9:J20" ca="1" si="0">IF(F9="","", IF(E9=0,0,F9*I9/$E$7*E9))</f>
        <v>0</v>
      </c>
      <c r="K9" s="1648">
        <f>IF(D9="","",workings2!Y3)</f>
        <v>0</v>
      </c>
      <c r="L9" s="1648">
        <f ca="1">IF(D9="","",F9*U9/$E$7*E9*workings2!$AC$2)</f>
        <v>0</v>
      </c>
      <c r="M9" s="1648">
        <f>IF(D9="","",workings2!Z3)</f>
        <v>0</v>
      </c>
      <c r="N9" s="2221">
        <f t="shared" ref="N9:N20" ca="1" si="1">IF(D9="","",SUM(J9:M9))</f>
        <v>0</v>
      </c>
      <c r="P9" s="2222"/>
      <c r="Q9" s="2238"/>
      <c r="R9" s="2238"/>
      <c r="S9" s="2238"/>
      <c r="T9" s="1564"/>
      <c r="U9" s="1945">
        <f ca="1">OFFSET('info sheet'!$G$9,$U$3,0)-X9</f>
        <v>1.4E-2</v>
      </c>
      <c r="V9" s="1945">
        <f ca="1">OFFSET('info sheet'!H9,V3,0)</f>
        <v>0.02</v>
      </c>
      <c r="W9" s="1945">
        <f ca="1">OFFSET('info sheet'!E9,W3,0)</f>
        <v>1.2999999999999999E-2</v>
      </c>
      <c r="X9" s="1564">
        <f>workings1!$CW$2*Y9</f>
        <v>0</v>
      </c>
      <c r="Y9" s="1564" t="b">
        <f>F9&lt;AC9</f>
        <v>1</v>
      </c>
      <c r="Z9" s="2237" t="str">
        <f>VLOOKUP(U3,text!A8:E16,5,FALSE)</f>
        <v>2023</v>
      </c>
      <c r="AA9" s="2237" t="str">
        <f>VLOOKUP(U3+1,text!A8:E16,5,FALSE)</f>
        <v>2024</v>
      </c>
      <c r="AB9" s="2237" t="str">
        <f>VLOOKUP(U3-1,text!A8:E16,5,FALSE)</f>
        <v>2022</v>
      </c>
      <c r="AC9" s="1564">
        <f>workings1!CV2</f>
        <v>51000</v>
      </c>
      <c r="AF9" s="2238"/>
      <c r="AG9" s="2238"/>
      <c r="AH9" s="2238"/>
      <c r="AI9" s="2238"/>
      <c r="AJ9" s="2238"/>
      <c r="AK9" s="2238"/>
      <c r="AL9" s="2238"/>
      <c r="AM9" s="2238"/>
    </row>
    <row r="10" spans="1:39" ht="13" x14ac:dyDescent="0.3">
      <c r="A10" s="2238"/>
      <c r="C10" s="2192" t="str">
        <f>workings2!F4</f>
        <v/>
      </c>
      <c r="D10" s="2192" t="str">
        <f>workings2!G4</f>
        <v/>
      </c>
      <c r="E10" s="2200" t="str">
        <f>IF(D10&lt;&gt;"",workings2!H4,"")</f>
        <v/>
      </c>
      <c r="F10" s="1649" t="str">
        <f>IF(D10&lt;&gt;"",workings2!L4,"")</f>
        <v/>
      </c>
      <c r="G10" s="2220" t="str">
        <f>IF(D10="","",workings2!S4)</f>
        <v/>
      </c>
      <c r="H10" s="1649" t="str">
        <f>IF(D10="","",workings2!AF4)</f>
        <v/>
      </c>
      <c r="I10" s="2200" t="str">
        <f>IF(D10="","",workings2!P4)</f>
        <v/>
      </c>
      <c r="J10" s="1648" t="str">
        <f t="shared" si="0"/>
        <v/>
      </c>
      <c r="K10" s="1648" t="str">
        <f>IF(D10="","",workings2!Y4)</f>
        <v/>
      </c>
      <c r="L10" s="1648" t="str">
        <f>IF(D10="","",F10*U10/$E$7*E10*workings2!$AC$2)</f>
        <v/>
      </c>
      <c r="M10" s="1648" t="str">
        <f>IF(D10="","",workings2!Z4)</f>
        <v/>
      </c>
      <c r="N10" s="2221" t="str">
        <f t="shared" si="1"/>
        <v/>
      </c>
      <c r="P10" s="2222"/>
      <c r="Q10" s="2238"/>
      <c r="R10" s="2238"/>
      <c r="S10" s="2238"/>
      <c r="T10" s="1564"/>
      <c r="U10" s="1571">
        <f ca="1">OFFSET('info sheet'!$G$9,$U$3,0)-X10</f>
        <v>1.4E-2</v>
      </c>
      <c r="V10" s="1571">
        <f t="shared" ref="V10:V20" ca="1" si="2">V9</f>
        <v>0.02</v>
      </c>
      <c r="W10" s="1571">
        <f t="shared" ref="W10:W20" ca="1" si="3">W9</f>
        <v>1.2999999999999999E-2</v>
      </c>
      <c r="X10" s="1564">
        <f>workings1!$CW$2*Y10</f>
        <v>0</v>
      </c>
      <c r="Y10" s="1564" t="b">
        <f t="shared" ref="Y10:Y20" si="4">F10&lt;AC10</f>
        <v>0</v>
      </c>
      <c r="AC10" s="1564">
        <f>AC9</f>
        <v>51000</v>
      </c>
      <c r="AF10" s="2238"/>
      <c r="AG10" s="2238"/>
      <c r="AH10" s="2238"/>
      <c r="AI10" s="2238"/>
      <c r="AJ10" s="2238"/>
      <c r="AK10" s="2238"/>
      <c r="AL10" s="2238"/>
      <c r="AM10" s="2238"/>
    </row>
    <row r="11" spans="1:39" ht="13" x14ac:dyDescent="0.3">
      <c r="A11" s="2238"/>
      <c r="C11" s="2192" t="str">
        <f>workings2!F5</f>
        <v/>
      </c>
      <c r="D11" s="2192" t="str">
        <f>workings2!G5</f>
        <v/>
      </c>
      <c r="E11" s="2200" t="str">
        <f>IF(D11&lt;&gt;"",workings2!H5,"")</f>
        <v/>
      </c>
      <c r="F11" s="1649" t="str">
        <f>IF(D11&lt;&gt;"",workings2!L5,"")</f>
        <v/>
      </c>
      <c r="G11" s="2220" t="str">
        <f>IF(D11="","",workings2!S5)</f>
        <v/>
      </c>
      <c r="H11" s="1649" t="str">
        <f>IF(D11="","",workings2!AF5)</f>
        <v/>
      </c>
      <c r="I11" s="2200" t="str">
        <f>IF(D11="","",workings2!P5)</f>
        <v/>
      </c>
      <c r="J11" s="1648" t="str">
        <f t="shared" si="0"/>
        <v/>
      </c>
      <c r="K11" s="1648" t="str">
        <f>IF(D11="","",workings2!Y5)</f>
        <v/>
      </c>
      <c r="L11" s="1648" t="str">
        <f>IF(D11="","",F11*U11/$E$7*E11*workings2!$AC$2)</f>
        <v/>
      </c>
      <c r="M11" s="1648" t="str">
        <f>IF(D11="","",workings2!Z5)</f>
        <v/>
      </c>
      <c r="N11" s="2221" t="str">
        <f t="shared" si="1"/>
        <v/>
      </c>
      <c r="P11" s="2222"/>
      <c r="Q11" s="2238"/>
      <c r="R11" s="2238"/>
      <c r="S11" s="2238"/>
      <c r="T11" s="1564"/>
      <c r="U11" s="1571">
        <f ca="1">OFFSET('info sheet'!$G$9,$U$3,0)-X11</f>
        <v>1.4E-2</v>
      </c>
      <c r="V11" s="1571">
        <f t="shared" ca="1" si="2"/>
        <v>0.02</v>
      </c>
      <c r="W11" s="1571">
        <f t="shared" ca="1" si="3"/>
        <v>1.2999999999999999E-2</v>
      </c>
      <c r="X11" s="1564">
        <f>workings1!$CW$2*Y11</f>
        <v>0</v>
      </c>
      <c r="Y11" s="1564" t="b">
        <f t="shared" si="4"/>
        <v>0</v>
      </c>
      <c r="AC11" s="1564">
        <f t="shared" ref="AC11:AC20" si="5">AC10</f>
        <v>51000</v>
      </c>
      <c r="AF11" s="2238"/>
      <c r="AG11" s="2238"/>
      <c r="AH11" s="2238"/>
      <c r="AI11" s="2238"/>
      <c r="AJ11" s="2238"/>
      <c r="AK11" s="2238"/>
      <c r="AL11" s="2238"/>
      <c r="AM11" s="2238"/>
    </row>
    <row r="12" spans="1:39" ht="13" x14ac:dyDescent="0.3">
      <c r="A12" s="2238"/>
      <c r="C12" s="2192" t="str">
        <f>workings2!F6</f>
        <v/>
      </c>
      <c r="D12" s="2192" t="str">
        <f>workings2!G6</f>
        <v/>
      </c>
      <c r="E12" s="2200" t="str">
        <f>IF(D12&lt;&gt;"",workings2!H6,"")</f>
        <v/>
      </c>
      <c r="F12" s="1649" t="str">
        <f>IF(D12&lt;&gt;"",workings2!L6,"")</f>
        <v/>
      </c>
      <c r="G12" s="2220" t="str">
        <f>IF(D12="","",workings2!S6)</f>
        <v/>
      </c>
      <c r="H12" s="1649" t="str">
        <f>IF(D12="","",workings2!AF6)</f>
        <v/>
      </c>
      <c r="I12" s="2200" t="str">
        <f>IF(D12="","",workings2!P6)</f>
        <v/>
      </c>
      <c r="J12" s="1648" t="str">
        <f t="shared" si="0"/>
        <v/>
      </c>
      <c r="K12" s="1648" t="str">
        <f>IF(D12="","",workings2!Y6)</f>
        <v/>
      </c>
      <c r="L12" s="1648" t="str">
        <f>IF(D12="","",F12*U12/$E$7*E12*workings2!$AC$2)</f>
        <v/>
      </c>
      <c r="M12" s="1648" t="str">
        <f>IF(D12="","",workings2!Z6)</f>
        <v/>
      </c>
      <c r="N12" s="2221" t="str">
        <f t="shared" si="1"/>
        <v/>
      </c>
      <c r="P12" s="2222"/>
      <c r="Q12" s="2238"/>
      <c r="R12" s="2238"/>
      <c r="S12" s="2238"/>
      <c r="T12" s="1564"/>
      <c r="U12" s="1571">
        <f ca="1">OFFSET('info sheet'!$G$9,$U$3,0)-X12</f>
        <v>1.4E-2</v>
      </c>
      <c r="V12" s="1571">
        <f t="shared" ca="1" si="2"/>
        <v>0.02</v>
      </c>
      <c r="W12" s="1571">
        <f t="shared" ca="1" si="3"/>
        <v>1.2999999999999999E-2</v>
      </c>
      <c r="X12" s="1564">
        <f>workings1!$CW$2*Y12</f>
        <v>0</v>
      </c>
      <c r="Y12" s="1564" t="b">
        <f t="shared" si="4"/>
        <v>0</v>
      </c>
      <c r="AC12" s="1564">
        <f t="shared" si="5"/>
        <v>51000</v>
      </c>
      <c r="AF12" s="2238"/>
      <c r="AG12" s="2238"/>
      <c r="AH12" s="2238"/>
      <c r="AI12" s="2238"/>
      <c r="AJ12" s="2238"/>
      <c r="AK12" s="2238"/>
      <c r="AL12" s="2238"/>
      <c r="AM12" s="2238"/>
    </row>
    <row r="13" spans="1:39" ht="13" x14ac:dyDescent="0.3">
      <c r="A13" s="2238"/>
      <c r="C13" s="2192" t="str">
        <f>workings2!F7</f>
        <v/>
      </c>
      <c r="D13" s="2192" t="str">
        <f>workings2!G7</f>
        <v/>
      </c>
      <c r="E13" s="2200" t="str">
        <f>IF(D13&lt;&gt;"",workings2!H7,"")</f>
        <v/>
      </c>
      <c r="F13" s="1649" t="str">
        <f>IF(D13&lt;&gt;"",workings2!L7,"")</f>
        <v/>
      </c>
      <c r="G13" s="2220" t="str">
        <f>IF(D13="","",workings2!S7)</f>
        <v/>
      </c>
      <c r="H13" s="1649" t="str">
        <f>IF(D13="","",workings2!AF7)</f>
        <v/>
      </c>
      <c r="I13" s="2200" t="str">
        <f>IF(D13="","",workings2!P7)</f>
        <v/>
      </c>
      <c r="J13" s="1648" t="str">
        <f t="shared" si="0"/>
        <v/>
      </c>
      <c r="K13" s="1648" t="str">
        <f>IF(D13="","",workings2!Y7)</f>
        <v/>
      </c>
      <c r="L13" s="1648" t="str">
        <f>IF(D13="","",F13*U13/$E$7*E13*workings2!$AC$2)</f>
        <v/>
      </c>
      <c r="M13" s="1648" t="str">
        <f>IF(D13="","",workings2!Z7)</f>
        <v/>
      </c>
      <c r="N13" s="2221" t="str">
        <f t="shared" si="1"/>
        <v/>
      </c>
      <c r="P13" s="2222"/>
      <c r="Q13" s="2238"/>
      <c r="R13" s="2238"/>
      <c r="S13" s="2238"/>
      <c r="T13" s="1564"/>
      <c r="U13" s="1571">
        <f ca="1">OFFSET('info sheet'!$G$9,$U$3,0)-X13</f>
        <v>1.4E-2</v>
      </c>
      <c r="V13" s="1571">
        <f t="shared" ca="1" si="2"/>
        <v>0.02</v>
      </c>
      <c r="W13" s="1571">
        <f t="shared" ca="1" si="3"/>
        <v>1.2999999999999999E-2</v>
      </c>
      <c r="X13" s="1564">
        <f>workings1!$CW$2*Y13</f>
        <v>0</v>
      </c>
      <c r="Y13" s="1564" t="b">
        <f t="shared" si="4"/>
        <v>0</v>
      </c>
      <c r="AC13" s="1564">
        <f t="shared" si="5"/>
        <v>51000</v>
      </c>
      <c r="AF13" s="2238"/>
      <c r="AG13" s="2238"/>
      <c r="AH13" s="2238"/>
      <c r="AI13" s="2238"/>
      <c r="AJ13" s="2238"/>
      <c r="AK13" s="2238"/>
      <c r="AL13" s="2238"/>
      <c r="AM13" s="2238"/>
    </row>
    <row r="14" spans="1:39" ht="13" x14ac:dyDescent="0.3">
      <c r="A14" s="2238"/>
      <c r="C14" s="2192" t="str">
        <f>workings2!F8</f>
        <v/>
      </c>
      <c r="D14" s="2192" t="str">
        <f>workings2!G8</f>
        <v/>
      </c>
      <c r="E14" s="2200" t="str">
        <f>IF(D14&lt;&gt;"",workings2!H8,"")</f>
        <v/>
      </c>
      <c r="F14" s="1649" t="str">
        <f>IF(D14&lt;&gt;"",workings2!L8,"")</f>
        <v/>
      </c>
      <c r="G14" s="2220" t="str">
        <f>IF(D14="","",workings2!S8)</f>
        <v/>
      </c>
      <c r="H14" s="1649" t="str">
        <f>IF(D14="","",workings2!AF8)</f>
        <v/>
      </c>
      <c r="I14" s="2200" t="str">
        <f>IF(D14="","",workings2!P8)</f>
        <v/>
      </c>
      <c r="J14" s="1648" t="str">
        <f t="shared" si="0"/>
        <v/>
      </c>
      <c r="K14" s="1648" t="str">
        <f>IF(D14="","",workings2!Y8)</f>
        <v/>
      </c>
      <c r="L14" s="1648" t="str">
        <f>IF(D14="","",F14*U14/$E$7*E14*workings2!$AC$2)</f>
        <v/>
      </c>
      <c r="M14" s="1648" t="str">
        <f>IF(D14="","",workings2!Z8)</f>
        <v/>
      </c>
      <c r="N14" s="2221" t="str">
        <f t="shared" si="1"/>
        <v/>
      </c>
      <c r="P14" s="2222"/>
      <c r="Q14" s="2238"/>
      <c r="R14" s="2238"/>
      <c r="S14" s="2238"/>
      <c r="T14" s="1564"/>
      <c r="U14" s="1571">
        <f ca="1">OFFSET('info sheet'!$G$9,$U$3,0)-X14</f>
        <v>1.4E-2</v>
      </c>
      <c r="V14" s="1571">
        <f t="shared" ca="1" si="2"/>
        <v>0.02</v>
      </c>
      <c r="W14" s="1571">
        <f t="shared" ca="1" si="3"/>
        <v>1.2999999999999999E-2</v>
      </c>
      <c r="X14" s="1564">
        <f>workings1!$CW$2*Y14</f>
        <v>0</v>
      </c>
      <c r="Y14" s="1564" t="b">
        <f t="shared" si="4"/>
        <v>0</v>
      </c>
      <c r="AC14" s="1564">
        <f t="shared" si="5"/>
        <v>51000</v>
      </c>
      <c r="AF14" s="2238"/>
      <c r="AG14" s="2238"/>
      <c r="AH14" s="2238"/>
      <c r="AI14" s="2238"/>
      <c r="AJ14" s="2238"/>
      <c r="AK14" s="2238"/>
      <c r="AL14" s="2238"/>
      <c r="AM14" s="2238"/>
    </row>
    <row r="15" spans="1:39" ht="13" x14ac:dyDescent="0.3">
      <c r="A15" s="2238"/>
      <c r="C15" s="2192" t="str">
        <f>workings2!F9</f>
        <v/>
      </c>
      <c r="D15" s="2192" t="str">
        <f>workings2!G9</f>
        <v/>
      </c>
      <c r="E15" s="2200" t="str">
        <f>IF(D15&lt;&gt;"",workings2!H9,"")</f>
        <v/>
      </c>
      <c r="F15" s="1649" t="str">
        <f>IF(D15&lt;&gt;"",workings2!L9,"")</f>
        <v/>
      </c>
      <c r="G15" s="2220" t="str">
        <f>IF(D15="","",workings2!S9)</f>
        <v/>
      </c>
      <c r="H15" s="1649" t="str">
        <f>IF(D15="","",workings2!AF9)</f>
        <v/>
      </c>
      <c r="I15" s="2200" t="str">
        <f>IF(D15="","",workings2!P9)</f>
        <v/>
      </c>
      <c r="J15" s="1648" t="str">
        <f t="shared" si="0"/>
        <v/>
      </c>
      <c r="K15" s="1648" t="str">
        <f>IF(D15="","",workings2!Y9)</f>
        <v/>
      </c>
      <c r="L15" s="1648" t="str">
        <f>IF(D15="","",F15*U15/$E$7*E15*workings2!$AC$2)</f>
        <v/>
      </c>
      <c r="M15" s="1648" t="str">
        <f>IF(D15="","",workings2!Z9)</f>
        <v/>
      </c>
      <c r="N15" s="2221" t="str">
        <f t="shared" si="1"/>
        <v/>
      </c>
      <c r="P15" s="2222"/>
      <c r="Q15" s="2238"/>
      <c r="R15" s="2238"/>
      <c r="S15" s="2238"/>
      <c r="T15" s="1564"/>
      <c r="U15" s="1571">
        <f ca="1">OFFSET('info sheet'!$G$9,$U$3,0)-X15</f>
        <v>1.4E-2</v>
      </c>
      <c r="V15" s="1571">
        <f t="shared" ca="1" si="2"/>
        <v>0.02</v>
      </c>
      <c r="W15" s="1571">
        <f t="shared" ca="1" si="3"/>
        <v>1.2999999999999999E-2</v>
      </c>
      <c r="X15" s="1564">
        <f>workings1!$CW$2*Y15</f>
        <v>0</v>
      </c>
      <c r="Y15" s="1564" t="b">
        <f t="shared" si="4"/>
        <v>0</v>
      </c>
      <c r="AC15" s="1564">
        <f t="shared" si="5"/>
        <v>51000</v>
      </c>
      <c r="AF15" s="2238"/>
      <c r="AG15" s="2238"/>
      <c r="AH15" s="2238"/>
      <c r="AI15" s="2238"/>
      <c r="AJ15" s="2238"/>
      <c r="AK15" s="2238"/>
      <c r="AL15" s="2238"/>
      <c r="AM15" s="2238"/>
    </row>
    <row r="16" spans="1:39" ht="13" x14ac:dyDescent="0.3">
      <c r="A16" s="2238"/>
      <c r="C16" s="2192" t="str">
        <f>workings2!F10</f>
        <v/>
      </c>
      <c r="D16" s="2192" t="str">
        <f>workings2!G10</f>
        <v/>
      </c>
      <c r="E16" s="2200" t="str">
        <f>IF(D16&lt;&gt;"",workings2!H10,"")</f>
        <v/>
      </c>
      <c r="F16" s="1649" t="str">
        <f>IF(D16&lt;&gt;"",workings2!L10,"")</f>
        <v/>
      </c>
      <c r="G16" s="2220" t="str">
        <f>IF(D16="","",workings2!S10)</f>
        <v/>
      </c>
      <c r="H16" s="1649" t="str">
        <f>IF(D16="","",workings2!AF10)</f>
        <v/>
      </c>
      <c r="I16" s="2200" t="str">
        <f>IF(D16="","",workings2!P10)</f>
        <v/>
      </c>
      <c r="J16" s="1648" t="str">
        <f t="shared" si="0"/>
        <v/>
      </c>
      <c r="K16" s="1648" t="str">
        <f>IF(D16="","",workings2!Y10)</f>
        <v/>
      </c>
      <c r="L16" s="1648" t="str">
        <f>IF(D16="","",F16*U16/$E$7*E16*workings2!$AC$2)</f>
        <v/>
      </c>
      <c r="M16" s="1648" t="str">
        <f>IF(D16="","",workings2!Z10)</f>
        <v/>
      </c>
      <c r="N16" s="2221" t="str">
        <f t="shared" si="1"/>
        <v/>
      </c>
      <c r="P16" s="2222"/>
      <c r="Q16" s="2238"/>
      <c r="R16" s="2238"/>
      <c r="S16" s="2238"/>
      <c r="T16" s="1564"/>
      <c r="U16" s="1571">
        <f ca="1">OFFSET('info sheet'!$G$9,$U$3,0)-X16</f>
        <v>1.4E-2</v>
      </c>
      <c r="V16" s="1571">
        <f t="shared" ca="1" si="2"/>
        <v>0.02</v>
      </c>
      <c r="W16" s="1571">
        <f t="shared" ca="1" si="3"/>
        <v>1.2999999999999999E-2</v>
      </c>
      <c r="X16" s="1564">
        <f>workings1!$CW$2*Y16</f>
        <v>0</v>
      </c>
      <c r="Y16" s="1564" t="b">
        <f t="shared" si="4"/>
        <v>0</v>
      </c>
      <c r="AC16" s="1564">
        <f t="shared" si="5"/>
        <v>51000</v>
      </c>
      <c r="AF16" s="2238"/>
      <c r="AG16" s="2238"/>
      <c r="AH16" s="2238"/>
      <c r="AI16" s="2238"/>
      <c r="AJ16" s="2238"/>
      <c r="AK16" s="2238"/>
      <c r="AL16" s="2238"/>
      <c r="AM16" s="2238"/>
    </row>
    <row r="17" spans="1:39" ht="13" x14ac:dyDescent="0.3">
      <c r="A17" s="2238"/>
      <c r="C17" s="2192" t="str">
        <f>workings2!F11</f>
        <v/>
      </c>
      <c r="D17" s="2192" t="str">
        <f>workings2!G11</f>
        <v/>
      </c>
      <c r="E17" s="2200" t="str">
        <f>IF(D17&lt;&gt;"",workings2!H11,"")</f>
        <v/>
      </c>
      <c r="F17" s="1649" t="str">
        <f>IF(D17&lt;&gt;"",workings2!L11,"")</f>
        <v/>
      </c>
      <c r="G17" s="2220" t="str">
        <f>IF(D17="","",workings2!S11)</f>
        <v/>
      </c>
      <c r="H17" s="1649" t="str">
        <f>IF(D17="","",workings2!AF11)</f>
        <v/>
      </c>
      <c r="I17" s="2200" t="str">
        <f>IF(D17="","",workings2!P11)</f>
        <v/>
      </c>
      <c r="J17" s="1648" t="str">
        <f t="shared" si="0"/>
        <v/>
      </c>
      <c r="K17" s="1648" t="str">
        <f>IF(D17="","",workings2!Y11)</f>
        <v/>
      </c>
      <c r="L17" s="1648" t="str">
        <f>IF(D17="","",F17*U17/$E$7*E17*workings2!$AC$2)</f>
        <v/>
      </c>
      <c r="M17" s="1648" t="str">
        <f>IF(D17="","",workings2!Z11)</f>
        <v/>
      </c>
      <c r="N17" s="2221" t="str">
        <f t="shared" si="1"/>
        <v/>
      </c>
      <c r="P17" s="2222"/>
      <c r="Q17" s="2238"/>
      <c r="R17" s="2238"/>
      <c r="S17" s="2238"/>
      <c r="T17" s="1564"/>
      <c r="U17" s="1571">
        <f ca="1">OFFSET('info sheet'!$G$9,$U$3,0)-X17</f>
        <v>1.4E-2</v>
      </c>
      <c r="V17" s="1571">
        <f t="shared" ca="1" si="2"/>
        <v>0.02</v>
      </c>
      <c r="W17" s="1571">
        <f t="shared" ca="1" si="3"/>
        <v>1.2999999999999999E-2</v>
      </c>
      <c r="X17" s="1564">
        <f>workings1!$CW$2*Y17</f>
        <v>0</v>
      </c>
      <c r="Y17" s="1564" t="b">
        <f t="shared" si="4"/>
        <v>0</v>
      </c>
      <c r="AC17" s="1564">
        <f t="shared" si="5"/>
        <v>51000</v>
      </c>
      <c r="AF17" s="2238"/>
      <c r="AG17" s="2238"/>
      <c r="AH17" s="2238"/>
      <c r="AI17" s="2238"/>
      <c r="AJ17" s="2238"/>
      <c r="AK17" s="2238"/>
      <c r="AL17" s="2238"/>
      <c r="AM17" s="2238"/>
    </row>
    <row r="18" spans="1:39" ht="13" x14ac:dyDescent="0.3">
      <c r="A18" s="2238"/>
      <c r="C18" s="2192" t="str">
        <f>workings2!F12</f>
        <v/>
      </c>
      <c r="D18" s="2192" t="str">
        <f>workings2!G12</f>
        <v/>
      </c>
      <c r="E18" s="2200" t="str">
        <f>IF(D18&lt;&gt;"",workings2!H12,"")</f>
        <v/>
      </c>
      <c r="F18" s="1649" t="str">
        <f>IF(D18&lt;&gt;"",workings2!L12,"")</f>
        <v/>
      </c>
      <c r="G18" s="2220" t="str">
        <f>IF(D18="","",workings2!S12)</f>
        <v/>
      </c>
      <c r="H18" s="1649" t="str">
        <f>IF(D18="","",workings2!AF12)</f>
        <v/>
      </c>
      <c r="I18" s="2200" t="str">
        <f>IF(D18="","",workings2!P12)</f>
        <v/>
      </c>
      <c r="J18" s="1648" t="str">
        <f t="shared" si="0"/>
        <v/>
      </c>
      <c r="K18" s="1648" t="str">
        <f>IF(D18="","",workings2!Y12)</f>
        <v/>
      </c>
      <c r="L18" s="1648" t="str">
        <f>IF(D18="","",F18*U18/$E$7*E18*workings2!$AC$2)</f>
        <v/>
      </c>
      <c r="M18" s="1648" t="str">
        <f>IF(D18="","",workings2!Z12)</f>
        <v/>
      </c>
      <c r="N18" s="2221" t="str">
        <f t="shared" si="1"/>
        <v/>
      </c>
      <c r="P18" s="2222"/>
      <c r="Q18" s="2238"/>
      <c r="R18" s="2238"/>
      <c r="S18" s="2238"/>
      <c r="T18" s="1564"/>
      <c r="U18" s="1571">
        <f ca="1">OFFSET('info sheet'!$G$9,$U$3,0)-X18</f>
        <v>1.4E-2</v>
      </c>
      <c r="V18" s="1571">
        <f t="shared" ca="1" si="2"/>
        <v>0.02</v>
      </c>
      <c r="W18" s="1571">
        <f t="shared" ca="1" si="3"/>
        <v>1.2999999999999999E-2</v>
      </c>
      <c r="X18" s="1564">
        <f>workings1!$CW$2*Y18</f>
        <v>0</v>
      </c>
      <c r="Y18" s="1564" t="b">
        <f t="shared" si="4"/>
        <v>0</v>
      </c>
      <c r="AC18" s="1564">
        <f t="shared" si="5"/>
        <v>51000</v>
      </c>
      <c r="AF18" s="2238"/>
      <c r="AG18" s="2238"/>
      <c r="AH18" s="2238"/>
      <c r="AI18" s="2238"/>
      <c r="AJ18" s="2238"/>
      <c r="AK18" s="2238"/>
      <c r="AL18" s="2238"/>
      <c r="AM18" s="2238"/>
    </row>
    <row r="19" spans="1:39" ht="13" x14ac:dyDescent="0.3">
      <c r="A19" s="2238"/>
      <c r="C19" s="2192" t="str">
        <f>workings2!F13</f>
        <v/>
      </c>
      <c r="D19" s="2192" t="str">
        <f>workings2!G13</f>
        <v/>
      </c>
      <c r="E19" s="2200" t="str">
        <f>IF(D19&lt;&gt;"",workings2!H13,"")</f>
        <v/>
      </c>
      <c r="F19" s="1649" t="str">
        <f>IF(D19&lt;&gt;"",workings2!L13,"")</f>
        <v/>
      </c>
      <c r="G19" s="2220" t="str">
        <f>IF(D19="","",workings2!S13)</f>
        <v/>
      </c>
      <c r="H19" s="1649" t="str">
        <f>IF(D19="","",workings2!AF13)</f>
        <v/>
      </c>
      <c r="I19" s="2200" t="str">
        <f>IF(D19="","",workings2!P13)</f>
        <v/>
      </c>
      <c r="J19" s="1648" t="str">
        <f t="shared" si="0"/>
        <v/>
      </c>
      <c r="K19" s="1648" t="str">
        <f>IF(D19="","",workings2!Y13)</f>
        <v/>
      </c>
      <c r="L19" s="1648" t="str">
        <f>IF(D19="","",F19*U19/$E$7*E19*workings2!$AC$2)</f>
        <v/>
      </c>
      <c r="M19" s="1648" t="str">
        <f>IF(D19="","",workings2!Z13)</f>
        <v/>
      </c>
      <c r="N19" s="2221" t="str">
        <f t="shared" si="1"/>
        <v/>
      </c>
      <c r="P19" s="2222"/>
      <c r="Q19" s="2238"/>
      <c r="R19" s="2238"/>
      <c r="S19" s="2238"/>
      <c r="T19" s="1564"/>
      <c r="U19" s="1571">
        <f ca="1">OFFSET('info sheet'!$G$9,$U$3,0)-X19</f>
        <v>1.4E-2</v>
      </c>
      <c r="V19" s="1571">
        <f t="shared" ca="1" si="2"/>
        <v>0.02</v>
      </c>
      <c r="W19" s="1571">
        <f t="shared" ca="1" si="3"/>
        <v>1.2999999999999999E-2</v>
      </c>
      <c r="X19" s="1564">
        <f>workings1!$CW$2*Y19</f>
        <v>0</v>
      </c>
      <c r="Y19" s="1564" t="b">
        <f t="shared" si="4"/>
        <v>0</v>
      </c>
      <c r="AC19" s="1564">
        <f t="shared" si="5"/>
        <v>51000</v>
      </c>
      <c r="AF19" s="2238"/>
      <c r="AG19" s="2238"/>
      <c r="AH19" s="2238"/>
      <c r="AI19" s="2238"/>
      <c r="AJ19" s="2238"/>
      <c r="AK19" s="2238"/>
      <c r="AL19" s="2238"/>
      <c r="AM19" s="2238"/>
    </row>
    <row r="20" spans="1:39" ht="13" x14ac:dyDescent="0.3">
      <c r="A20" s="2238"/>
      <c r="C20" s="2192" t="str">
        <f>workings2!F14</f>
        <v/>
      </c>
      <c r="D20" s="2192" t="str">
        <f>workings2!G14</f>
        <v/>
      </c>
      <c r="E20" s="2200" t="str">
        <f>IF(D20&lt;&gt;"",workings2!H14,"")</f>
        <v/>
      </c>
      <c r="F20" s="1649" t="str">
        <f>IF(D20&lt;&gt;"",workings2!L14,"")</f>
        <v/>
      </c>
      <c r="G20" s="2220" t="str">
        <f>IF(D20="","",workings2!S14)</f>
        <v/>
      </c>
      <c r="H20" s="1649" t="str">
        <f>IF(D20="","",workings2!AF14)</f>
        <v/>
      </c>
      <c r="I20" s="2200" t="str">
        <f>IF(D20="","",workings2!P14)</f>
        <v/>
      </c>
      <c r="J20" s="1648" t="str">
        <f t="shared" si="0"/>
        <v/>
      </c>
      <c r="K20" s="1648" t="str">
        <f>IF(D20="","",workings2!Y14)</f>
        <v/>
      </c>
      <c r="L20" s="1648" t="str">
        <f>IF(D20="","",F20*U20/$E$7*E20*workings2!$AC$2)</f>
        <v/>
      </c>
      <c r="M20" s="1648" t="str">
        <f>IF(D20="","",workings2!Z14)</f>
        <v/>
      </c>
      <c r="N20" s="2221" t="str">
        <f t="shared" si="1"/>
        <v/>
      </c>
      <c r="P20" s="2222"/>
      <c r="Q20" s="2238"/>
      <c r="R20" s="2238"/>
      <c r="S20" s="2238"/>
      <c r="T20" s="1564"/>
      <c r="U20" s="1571">
        <f ca="1">OFFSET('info sheet'!$G$9,$U$3,0)-X20</f>
        <v>1.4E-2</v>
      </c>
      <c r="V20" s="1571">
        <f t="shared" ca="1" si="2"/>
        <v>0.02</v>
      </c>
      <c r="W20" s="1571">
        <f t="shared" ca="1" si="3"/>
        <v>1.2999999999999999E-2</v>
      </c>
      <c r="X20" s="1564">
        <f>workings1!$CW$2*Y20</f>
        <v>0</v>
      </c>
      <c r="Y20" s="1564" t="b">
        <f t="shared" si="4"/>
        <v>0</v>
      </c>
      <c r="AC20" s="1564">
        <f t="shared" si="5"/>
        <v>51000</v>
      </c>
      <c r="AF20" s="2238"/>
      <c r="AG20" s="2238"/>
      <c r="AH20" s="2238"/>
      <c r="AI20" s="2238"/>
      <c r="AJ20" s="2238"/>
      <c r="AK20" s="2238"/>
      <c r="AL20" s="2238"/>
      <c r="AM20" s="2238"/>
    </row>
    <row r="21" spans="1:39" ht="13.5" thickBot="1" x14ac:dyDescent="0.35">
      <c r="A21" s="2238"/>
      <c r="C21" s="1966"/>
      <c r="D21" s="1966"/>
      <c r="E21" s="1966"/>
      <c r="F21" s="1966"/>
      <c r="G21" s="1966"/>
      <c r="H21" s="1966"/>
      <c r="I21" s="1966"/>
      <c r="J21" s="2223">
        <f ca="1">SUM(J9:J20)</f>
        <v>0</v>
      </c>
      <c r="K21" s="2223">
        <f>SUM(K9:K20)</f>
        <v>0</v>
      </c>
      <c r="L21" s="2223">
        <f ca="1">SUM(L9:L20)</f>
        <v>0</v>
      </c>
      <c r="M21" s="2223">
        <f>SUM(M9:M20)</f>
        <v>0</v>
      </c>
      <c r="N21" s="2223">
        <f ca="1">SUM(N9:N20)</f>
        <v>0</v>
      </c>
      <c r="Q21" s="2238"/>
      <c r="R21" s="2238"/>
      <c r="S21" s="2238"/>
      <c r="AF21" s="2238"/>
      <c r="AG21" s="2238"/>
      <c r="AH21" s="2238"/>
      <c r="AI21" s="2238"/>
      <c r="AJ21" s="2238"/>
      <c r="AK21" s="2238"/>
      <c r="AL21" s="2238"/>
      <c r="AM21" s="2238"/>
    </row>
    <row r="22" spans="1:39" ht="13.5" thickTop="1" x14ac:dyDescent="0.3">
      <c r="A22" s="2238"/>
      <c r="C22" s="1501" t="s">
        <v>1849</v>
      </c>
      <c r="D22" s="1966"/>
      <c r="E22" s="1966"/>
      <c r="F22" s="1966"/>
      <c r="G22" s="1966"/>
      <c r="H22" s="1966"/>
      <c r="I22" s="1966"/>
      <c r="J22" s="2224"/>
      <c r="K22" s="1966"/>
      <c r="L22" s="2224"/>
      <c r="M22" s="2224"/>
      <c r="N22" s="1966"/>
      <c r="Q22" s="2238"/>
      <c r="R22" s="2238"/>
      <c r="S22" s="2238"/>
      <c r="AF22" s="2238"/>
      <c r="AG22" s="2238"/>
      <c r="AH22" s="2238"/>
      <c r="AI22" s="2238"/>
      <c r="AJ22" s="2238"/>
      <c r="AK22" s="2238"/>
      <c r="AL22" s="2238"/>
      <c r="AM22" s="2238"/>
    </row>
    <row r="23" spans="1:39" ht="26" x14ac:dyDescent="0.3">
      <c r="A23" s="2238"/>
      <c r="C23" s="2225" t="s">
        <v>1844</v>
      </c>
      <c r="D23" s="2225" t="s">
        <v>1845</v>
      </c>
      <c r="E23" s="2226" t="s">
        <v>2399</v>
      </c>
      <c r="F23" s="2226" t="s">
        <v>1850</v>
      </c>
      <c r="G23" s="2226" t="s">
        <v>1851</v>
      </c>
      <c r="H23" s="2227" t="s">
        <v>274</v>
      </c>
      <c r="I23" s="2226" t="s">
        <v>115</v>
      </c>
      <c r="J23" s="2228" t="s">
        <v>2864</v>
      </c>
      <c r="K23" s="2228" t="s">
        <v>1703</v>
      </c>
      <c r="L23" s="2228"/>
      <c r="M23" s="2228" t="str">
        <f>'original detail 1'!$M$23</f>
        <v>RHL</v>
      </c>
      <c r="N23" s="2225" t="s">
        <v>1852</v>
      </c>
      <c r="Q23" s="2238"/>
      <c r="R23" s="2238"/>
      <c r="S23" s="2238"/>
      <c r="U23" s="1594" t="s">
        <v>2326</v>
      </c>
      <c r="AF23" s="2238"/>
      <c r="AG23" s="2238"/>
      <c r="AH23" s="2238"/>
      <c r="AI23" s="2238"/>
      <c r="AJ23" s="2238"/>
      <c r="AK23" s="2238"/>
      <c r="AL23" s="2238"/>
      <c r="AM23" s="2238"/>
    </row>
    <row r="24" spans="1:39" ht="15.75" customHeight="1" x14ac:dyDescent="0.25">
      <c r="A24" s="2238"/>
      <c r="C24" s="2192">
        <f t="shared" ref="C24:D35" si="6">C9</f>
        <v>45017</v>
      </c>
      <c r="D24" s="2192">
        <f t="shared" si="6"/>
        <v>45382</v>
      </c>
      <c r="E24" s="2229">
        <f ca="1">IF(J9="","",(workings2x!Q3-J9))</f>
        <v>0</v>
      </c>
      <c r="F24" s="2229">
        <f ca="1">IF(J9="","",workings2!T3-(N9+E24+G24+I24+J24+K24+L24+M24))</f>
        <v>0</v>
      </c>
      <c r="G24" s="2229">
        <f>IF(D9="","",IF(OR(workings2!$X$2=FALSE,H9="y"),0,workings2!R3*-0.8))</f>
        <v>0</v>
      </c>
      <c r="H24" s="2230" t="str">
        <f>IF(D9="","",IF(workings2!AH3=5000000,"5 Million",workings2!AH3))</f>
        <v>5 Million</v>
      </c>
      <c r="I24" s="2229">
        <f ca="1">IF(J9="","",(((workings2!Q3+L9)/workings2!AH3)-(workings2!Q3+L9))*workings2!U3)</f>
        <v>0</v>
      </c>
      <c r="J24" s="2229">
        <f ca="1">IF(J9="","",workings2!AR3-workings2x!AR3)</f>
        <v>0</v>
      </c>
      <c r="K24" s="2229">
        <f>IF(D9="","",workings2!CC3)</f>
        <v>0</v>
      </c>
      <c r="L24" s="2229"/>
      <c r="M24" s="2229">
        <f ca="1">IF(J9="","",workings2!AZ3)</f>
        <v>0</v>
      </c>
      <c r="N24" s="1648">
        <f t="shared" ref="N24:N35" ca="1" si="7">IF(D9="","",U24)</f>
        <v>0</v>
      </c>
      <c r="Q24" s="2238"/>
      <c r="R24" s="2238"/>
      <c r="S24" s="2238"/>
      <c r="U24" s="2231">
        <f t="shared" ref="U24:U35" ca="1" si="8">SUM(V24:AD24)</f>
        <v>0</v>
      </c>
      <c r="V24" s="2232">
        <f t="shared" ref="V24:V35" ca="1" si="9">IF(N9="",0,N9)</f>
        <v>0</v>
      </c>
      <c r="W24" s="2231">
        <f t="shared" ref="W24:W35" ca="1" si="10">IF(E24="",0,E24)</f>
        <v>0</v>
      </c>
      <c r="X24" s="2231">
        <f t="shared" ref="X24:X35" ca="1" si="11">IF(F24="",0,F24)</f>
        <v>0</v>
      </c>
      <c r="Y24" s="2231">
        <f t="shared" ref="Y24:Y35" si="12">IF(G24="",0,G24)</f>
        <v>0</v>
      </c>
      <c r="Z24" s="2231">
        <f t="shared" ref="Z24:Z35" ca="1" si="13">IF(I24="",0,I24)</f>
        <v>0</v>
      </c>
      <c r="AA24" s="2231">
        <f t="shared" ref="AA24:AA35" ca="1" si="14">IF(J24="",0,J24)</f>
        <v>0</v>
      </c>
      <c r="AB24" s="2231">
        <f t="shared" ref="AB24:AB35" si="15">IF(K24="",0,K24)</f>
        <v>0</v>
      </c>
      <c r="AC24" s="2231">
        <f t="shared" ref="AC24:AC35" si="16">IF(L24="",0,L24)</f>
        <v>0</v>
      </c>
      <c r="AD24" s="2231">
        <f t="shared" ref="AD24:AD35" ca="1" si="17">IF(M24="",0,M24)</f>
        <v>0</v>
      </c>
      <c r="AF24" s="2238"/>
      <c r="AG24" s="2238"/>
      <c r="AH24" s="2238"/>
      <c r="AI24" s="2238"/>
      <c r="AJ24" s="2238"/>
      <c r="AK24" s="2238"/>
      <c r="AL24" s="2238"/>
      <c r="AM24" s="2238"/>
    </row>
    <row r="25" spans="1:39" x14ac:dyDescent="0.25">
      <c r="A25" s="2238"/>
      <c r="C25" s="2192" t="str">
        <f t="shared" si="6"/>
        <v/>
      </c>
      <c r="D25" s="2192" t="str">
        <f t="shared" si="6"/>
        <v/>
      </c>
      <c r="E25" s="2229" t="str">
        <f>IF(J10="","",(workings2x!Q4-J10))</f>
        <v/>
      </c>
      <c r="F25" s="2229" t="str">
        <f>IF(J10="","",workings2!T4-(N10+E25+G25+I25+J25+K25+L25+M25))</f>
        <v/>
      </c>
      <c r="G25" s="2229" t="str">
        <f>IF(D10="","",IF(OR(workings2!$X$2=FALSE,H10="y"),0,workings2!R4*-0.8))</f>
        <v/>
      </c>
      <c r="H25" s="2230" t="str">
        <f>IF(D10="","",IF(workings2!AH4=5000000,"5 Million",workings2!AH4))</f>
        <v/>
      </c>
      <c r="I25" s="2229" t="str">
        <f>IF(J10="","",(((workings2!Q4+L10)/workings2!AH4)-(workings2!Q4+L10))*workings2!U4)</f>
        <v/>
      </c>
      <c r="J25" s="2229" t="str">
        <f>IF(J10="","",workings2!AR4-workings2x!AR4)</f>
        <v/>
      </c>
      <c r="K25" s="2229" t="str">
        <f>IF(D10="","",workings2!CC4)</f>
        <v/>
      </c>
      <c r="L25" s="2229"/>
      <c r="M25" s="2229" t="str">
        <f>IF(J10="","",workings2!AZ4)</f>
        <v/>
      </c>
      <c r="N25" s="1648" t="str">
        <f t="shared" si="7"/>
        <v/>
      </c>
      <c r="Q25" s="2238"/>
      <c r="R25" s="2238"/>
      <c r="S25" s="2238"/>
      <c r="U25" s="2231">
        <f t="shared" si="8"/>
        <v>0</v>
      </c>
      <c r="V25" s="2232">
        <f t="shared" si="9"/>
        <v>0</v>
      </c>
      <c r="W25" s="2231">
        <f t="shared" si="10"/>
        <v>0</v>
      </c>
      <c r="X25" s="2231">
        <f t="shared" si="11"/>
        <v>0</v>
      </c>
      <c r="Y25" s="2231">
        <f t="shared" si="12"/>
        <v>0</v>
      </c>
      <c r="Z25" s="2231">
        <f t="shared" si="13"/>
        <v>0</v>
      </c>
      <c r="AA25" s="2231">
        <f t="shared" si="14"/>
        <v>0</v>
      </c>
      <c r="AB25" s="2231">
        <f t="shared" si="15"/>
        <v>0</v>
      </c>
      <c r="AC25" s="2231">
        <f t="shared" si="16"/>
        <v>0</v>
      </c>
      <c r="AD25" s="2231">
        <f t="shared" si="17"/>
        <v>0</v>
      </c>
      <c r="AF25" s="2238"/>
      <c r="AG25" s="2238"/>
      <c r="AH25" s="2238"/>
      <c r="AI25" s="2238"/>
      <c r="AJ25" s="2238"/>
      <c r="AK25" s="2238"/>
      <c r="AL25" s="2238"/>
      <c r="AM25" s="2238"/>
    </row>
    <row r="26" spans="1:39" x14ac:dyDescent="0.25">
      <c r="A26" s="2238"/>
      <c r="C26" s="2192" t="str">
        <f t="shared" si="6"/>
        <v/>
      </c>
      <c r="D26" s="2192" t="str">
        <f t="shared" si="6"/>
        <v/>
      </c>
      <c r="E26" s="2229" t="str">
        <f>IF(J11="","",(workings2x!Q5-J11))</f>
        <v/>
      </c>
      <c r="F26" s="2229" t="str">
        <f>IF(J11="","",workings2!T5-(N11+E26+G26+I26+J26+K26+L26+M26))</f>
        <v/>
      </c>
      <c r="G26" s="2229" t="str">
        <f>IF(D11="","",IF(OR(workings2!$X$2=FALSE,H11="y"),0,workings2!R5*-0.8))</f>
        <v/>
      </c>
      <c r="H26" s="2230" t="str">
        <f>IF(D11="","",IF(workings2!AH5=5000000,"5 Million",workings2!AH5))</f>
        <v/>
      </c>
      <c r="I26" s="2229" t="str">
        <f>IF(J11="","",(((workings2!Q5+L11)/workings2!AH5)-(workings2!Q5+L11))*workings2!U5)</f>
        <v/>
      </c>
      <c r="J26" s="2229" t="str">
        <f>IF(J11="","",workings2!AR5-workings2x!AR5)</f>
        <v/>
      </c>
      <c r="K26" s="2229" t="str">
        <f>IF(D11="","",workings2!CC5)</f>
        <v/>
      </c>
      <c r="L26" s="2229"/>
      <c r="M26" s="2229" t="str">
        <f>IF(J11="","",workings2!AZ5)</f>
        <v/>
      </c>
      <c r="N26" s="1648" t="str">
        <f t="shared" si="7"/>
        <v/>
      </c>
      <c r="Q26" s="2238"/>
      <c r="R26" s="2238"/>
      <c r="S26" s="2238"/>
      <c r="U26" s="2231">
        <f t="shared" si="8"/>
        <v>0</v>
      </c>
      <c r="V26" s="2232">
        <f t="shared" si="9"/>
        <v>0</v>
      </c>
      <c r="W26" s="2231">
        <f t="shared" si="10"/>
        <v>0</v>
      </c>
      <c r="X26" s="2231">
        <f t="shared" si="11"/>
        <v>0</v>
      </c>
      <c r="Y26" s="2231">
        <f t="shared" si="12"/>
        <v>0</v>
      </c>
      <c r="Z26" s="2231">
        <f t="shared" si="13"/>
        <v>0</v>
      </c>
      <c r="AA26" s="2231">
        <f t="shared" si="14"/>
        <v>0</v>
      </c>
      <c r="AB26" s="2231">
        <f t="shared" si="15"/>
        <v>0</v>
      </c>
      <c r="AC26" s="2231">
        <f t="shared" si="16"/>
        <v>0</v>
      </c>
      <c r="AD26" s="2231">
        <f t="shared" si="17"/>
        <v>0</v>
      </c>
      <c r="AF26" s="2238"/>
      <c r="AG26" s="2238"/>
      <c r="AH26" s="2238"/>
      <c r="AI26" s="2238"/>
      <c r="AJ26" s="2238"/>
      <c r="AK26" s="2238"/>
      <c r="AL26" s="2238"/>
      <c r="AM26" s="2238"/>
    </row>
    <row r="27" spans="1:39" x14ac:dyDescent="0.25">
      <c r="A27" s="2238"/>
      <c r="C27" s="2192" t="str">
        <f t="shared" si="6"/>
        <v/>
      </c>
      <c r="D27" s="2192" t="str">
        <f t="shared" si="6"/>
        <v/>
      </c>
      <c r="E27" s="2229" t="str">
        <f>IF(J12="","",(workings2x!Q6-J12))</f>
        <v/>
      </c>
      <c r="F27" s="2229" t="str">
        <f>IF(J12="","",workings2!T6-(N12+E27+G27+I27+J27+K27+L27+M27))</f>
        <v/>
      </c>
      <c r="G27" s="2229" t="str">
        <f>IF(D12="","",IF(OR(workings2!$X$2=FALSE,H12="y"),0,workings2!R6*-0.8))</f>
        <v/>
      </c>
      <c r="H27" s="2230" t="str">
        <f>IF(D12="","",IF(workings2!AH6=5000000,"5 Million",workings2!AH6))</f>
        <v/>
      </c>
      <c r="I27" s="2229" t="str">
        <f>IF(J12="","",(((workings2!Q6+L12)/workings2!AH6)-(workings2!Q6+L12))*workings2!U6)</f>
        <v/>
      </c>
      <c r="J27" s="2229" t="str">
        <f>IF(J12="","",workings2!AR6-workings2x!AR6)</f>
        <v/>
      </c>
      <c r="K27" s="2229" t="str">
        <f>IF(D12="","",workings2!CC6)</f>
        <v/>
      </c>
      <c r="L27" s="2229"/>
      <c r="M27" s="2229" t="str">
        <f>IF(J12="","",workings2!AZ6)</f>
        <v/>
      </c>
      <c r="N27" s="1648" t="str">
        <f t="shared" si="7"/>
        <v/>
      </c>
      <c r="Q27" s="2238"/>
      <c r="R27" s="2238"/>
      <c r="S27" s="2238"/>
      <c r="U27" s="2231">
        <f t="shared" si="8"/>
        <v>0</v>
      </c>
      <c r="V27" s="2232">
        <f t="shared" si="9"/>
        <v>0</v>
      </c>
      <c r="W27" s="2231">
        <f t="shared" si="10"/>
        <v>0</v>
      </c>
      <c r="X27" s="2231">
        <f t="shared" si="11"/>
        <v>0</v>
      </c>
      <c r="Y27" s="2231">
        <f t="shared" si="12"/>
        <v>0</v>
      </c>
      <c r="Z27" s="2231">
        <f t="shared" si="13"/>
        <v>0</v>
      </c>
      <c r="AA27" s="2231">
        <f t="shared" si="14"/>
        <v>0</v>
      </c>
      <c r="AB27" s="2231">
        <f t="shared" si="15"/>
        <v>0</v>
      </c>
      <c r="AC27" s="2231">
        <f t="shared" si="16"/>
        <v>0</v>
      </c>
      <c r="AD27" s="2231">
        <f t="shared" si="17"/>
        <v>0</v>
      </c>
      <c r="AF27" s="2238"/>
      <c r="AG27" s="2238"/>
      <c r="AH27" s="2238"/>
      <c r="AI27" s="2238"/>
      <c r="AJ27" s="2238"/>
      <c r="AK27" s="2238"/>
      <c r="AL27" s="2238"/>
      <c r="AM27" s="2238"/>
    </row>
    <row r="28" spans="1:39" x14ac:dyDescent="0.25">
      <c r="A28" s="2238"/>
      <c r="C28" s="2192" t="str">
        <f t="shared" si="6"/>
        <v/>
      </c>
      <c r="D28" s="2192" t="str">
        <f t="shared" si="6"/>
        <v/>
      </c>
      <c r="E28" s="2229" t="str">
        <f>IF(J13="","",(workings2x!Q7-J13))</f>
        <v/>
      </c>
      <c r="F28" s="2229" t="str">
        <f>IF(J13="","",workings2!T7-(N13+E28+G28+I28+J28+K28+L28+M28))</f>
        <v/>
      </c>
      <c r="G28" s="2229" t="str">
        <f>IF(D13="","",IF(OR(workings2!$X$2=FALSE,H13="y"),0,workings2!R7*-0.8))</f>
        <v/>
      </c>
      <c r="H28" s="2230" t="str">
        <f>IF(D13="","",IF(workings2!AH7=5000000,"5 Million",workings2!AH7))</f>
        <v/>
      </c>
      <c r="I28" s="2229" t="str">
        <f>IF(J13="","",(((workings2!Q7+L13)/workings2!AH7)-(workings2!Q7+L13))*workings2!U7)</f>
        <v/>
      </c>
      <c r="J28" s="2229" t="str">
        <f>IF(J13="","",workings2!AR7-workings2x!AR7)</f>
        <v/>
      </c>
      <c r="K28" s="2229" t="str">
        <f>IF(D13="","",workings2!CC7)</f>
        <v/>
      </c>
      <c r="L28" s="2229"/>
      <c r="M28" s="2229" t="str">
        <f>IF(J13="","",workings2!AZ7)</f>
        <v/>
      </c>
      <c r="N28" s="1648" t="str">
        <f t="shared" si="7"/>
        <v/>
      </c>
      <c r="Q28" s="2238"/>
      <c r="R28" s="2238"/>
      <c r="S28" s="2238"/>
      <c r="U28" s="2231">
        <f t="shared" si="8"/>
        <v>0</v>
      </c>
      <c r="V28" s="2232">
        <f t="shared" si="9"/>
        <v>0</v>
      </c>
      <c r="W28" s="2231">
        <f t="shared" si="10"/>
        <v>0</v>
      </c>
      <c r="X28" s="2231">
        <f t="shared" si="11"/>
        <v>0</v>
      </c>
      <c r="Y28" s="2231">
        <f t="shared" si="12"/>
        <v>0</v>
      </c>
      <c r="Z28" s="2231">
        <f t="shared" si="13"/>
        <v>0</v>
      </c>
      <c r="AA28" s="2231">
        <f t="shared" si="14"/>
        <v>0</v>
      </c>
      <c r="AB28" s="2231">
        <f t="shared" si="15"/>
        <v>0</v>
      </c>
      <c r="AC28" s="2231">
        <f t="shared" si="16"/>
        <v>0</v>
      </c>
      <c r="AD28" s="2231">
        <f t="shared" si="17"/>
        <v>0</v>
      </c>
      <c r="AF28" s="2238"/>
      <c r="AG28" s="2238"/>
      <c r="AH28" s="2238"/>
      <c r="AI28" s="2238"/>
      <c r="AJ28" s="2238"/>
      <c r="AK28" s="2238"/>
      <c r="AL28" s="2238"/>
      <c r="AM28" s="2238"/>
    </row>
    <row r="29" spans="1:39" x14ac:dyDescent="0.25">
      <c r="A29" s="2238"/>
      <c r="C29" s="2192" t="str">
        <f t="shared" si="6"/>
        <v/>
      </c>
      <c r="D29" s="2192" t="str">
        <f t="shared" si="6"/>
        <v/>
      </c>
      <c r="E29" s="2229" t="str">
        <f>IF(J14="","",(workings2x!Q8-J14))</f>
        <v/>
      </c>
      <c r="F29" s="2229" t="str">
        <f>IF(J14="","",workings2!T8-(N14+E29+G29+I29+J29+K29+L29+M29))</f>
        <v/>
      </c>
      <c r="G29" s="2229" t="str">
        <f>IF(D14="","",IF(OR(workings2!$X$2=FALSE,H14="y"),0,workings2!R8*-0.8))</f>
        <v/>
      </c>
      <c r="H29" s="2230" t="str">
        <f>IF(D14="","",IF(workings2!AH8=5000000,"5 Million",workings2!AH8))</f>
        <v/>
      </c>
      <c r="I29" s="2229" t="str">
        <f>IF(J14="","",(((workings2!Q8+L14)/workings2!AH8)-(workings2!Q8+L14))*workings2!U8)</f>
        <v/>
      </c>
      <c r="J29" s="2229" t="str">
        <f>IF(J14="","",workings2!AR8-workings2x!AR8)</f>
        <v/>
      </c>
      <c r="K29" s="2229" t="str">
        <f>IF(D14="","",workings2!CC8)</f>
        <v/>
      </c>
      <c r="L29" s="2229"/>
      <c r="M29" s="2229" t="str">
        <f>IF(J14="","",workings2!AZ8)</f>
        <v/>
      </c>
      <c r="N29" s="1648" t="str">
        <f t="shared" si="7"/>
        <v/>
      </c>
      <c r="Q29" s="2238"/>
      <c r="R29" s="2238"/>
      <c r="S29" s="2238"/>
      <c r="U29" s="2231">
        <f t="shared" si="8"/>
        <v>0</v>
      </c>
      <c r="V29" s="2232">
        <f t="shared" si="9"/>
        <v>0</v>
      </c>
      <c r="W29" s="2231">
        <f t="shared" si="10"/>
        <v>0</v>
      </c>
      <c r="X29" s="2231">
        <f t="shared" si="11"/>
        <v>0</v>
      </c>
      <c r="Y29" s="2231">
        <f t="shared" si="12"/>
        <v>0</v>
      </c>
      <c r="Z29" s="2231">
        <f t="shared" si="13"/>
        <v>0</v>
      </c>
      <c r="AA29" s="2231">
        <f t="shared" si="14"/>
        <v>0</v>
      </c>
      <c r="AB29" s="2231">
        <f t="shared" si="15"/>
        <v>0</v>
      </c>
      <c r="AC29" s="2231">
        <f t="shared" si="16"/>
        <v>0</v>
      </c>
      <c r="AD29" s="2231">
        <f t="shared" si="17"/>
        <v>0</v>
      </c>
      <c r="AF29" s="2238"/>
      <c r="AG29" s="2238"/>
      <c r="AH29" s="2238"/>
      <c r="AI29" s="2238"/>
      <c r="AJ29" s="2238"/>
      <c r="AK29" s="2238"/>
      <c r="AL29" s="2238"/>
      <c r="AM29" s="2238"/>
    </row>
    <row r="30" spans="1:39" x14ac:dyDescent="0.25">
      <c r="A30" s="2238"/>
      <c r="C30" s="2192" t="str">
        <f t="shared" si="6"/>
        <v/>
      </c>
      <c r="D30" s="2192" t="str">
        <f t="shared" si="6"/>
        <v/>
      </c>
      <c r="E30" s="2229" t="str">
        <f>IF(J15="","",(workings2x!Q9-J15))</f>
        <v/>
      </c>
      <c r="F30" s="2229" t="str">
        <f>IF(J15="","",workings2!T9-(N15+E30+G30+I30+J30+K30+L30+M30))</f>
        <v/>
      </c>
      <c r="G30" s="2229" t="str">
        <f>IF(D15="","",IF(OR(workings2!$X$2=FALSE,H15="y"),0,workings2!R9*-0.8))</f>
        <v/>
      </c>
      <c r="H30" s="2230" t="str">
        <f>IF(D15="","",IF(workings2!AH9=5000000,"5 Million",workings2!AH9))</f>
        <v/>
      </c>
      <c r="I30" s="2229" t="str">
        <f>IF(J15="","",(((workings2!Q9+L15)/workings2!AH9)-(workings2!Q9+L15))*workings2!U9)</f>
        <v/>
      </c>
      <c r="J30" s="2229" t="str">
        <f>IF(J15="","",workings2!AR9-workings2x!AR9)</f>
        <v/>
      </c>
      <c r="K30" s="2229" t="str">
        <f>IF(D15="","",workings2!CC9)</f>
        <v/>
      </c>
      <c r="L30" s="2229"/>
      <c r="M30" s="2229" t="str">
        <f>IF(J15="","",workings2!AZ9)</f>
        <v/>
      </c>
      <c r="N30" s="1648" t="str">
        <f t="shared" si="7"/>
        <v/>
      </c>
      <c r="Q30" s="2238"/>
      <c r="R30" s="2238"/>
      <c r="S30" s="2238"/>
      <c r="U30" s="2231">
        <f t="shared" si="8"/>
        <v>0</v>
      </c>
      <c r="V30" s="2232">
        <f t="shared" si="9"/>
        <v>0</v>
      </c>
      <c r="W30" s="2231">
        <f t="shared" si="10"/>
        <v>0</v>
      </c>
      <c r="X30" s="2231">
        <f t="shared" si="11"/>
        <v>0</v>
      </c>
      <c r="Y30" s="2231">
        <f t="shared" si="12"/>
        <v>0</v>
      </c>
      <c r="Z30" s="2231">
        <f t="shared" si="13"/>
        <v>0</v>
      </c>
      <c r="AA30" s="2231">
        <f t="shared" si="14"/>
        <v>0</v>
      </c>
      <c r="AB30" s="2231">
        <f t="shared" si="15"/>
        <v>0</v>
      </c>
      <c r="AC30" s="2231">
        <f t="shared" si="16"/>
        <v>0</v>
      </c>
      <c r="AD30" s="2231">
        <f t="shared" si="17"/>
        <v>0</v>
      </c>
      <c r="AF30" s="2238"/>
      <c r="AG30" s="2238"/>
      <c r="AH30" s="2238"/>
      <c r="AI30" s="2238"/>
      <c r="AJ30" s="2238"/>
      <c r="AK30" s="2238"/>
      <c r="AL30" s="2238"/>
      <c r="AM30" s="2238"/>
    </row>
    <row r="31" spans="1:39" x14ac:dyDescent="0.25">
      <c r="A31" s="2238"/>
      <c r="C31" s="2192" t="str">
        <f t="shared" si="6"/>
        <v/>
      </c>
      <c r="D31" s="2192" t="str">
        <f t="shared" si="6"/>
        <v/>
      </c>
      <c r="E31" s="2229" t="str">
        <f>IF(J16="","",(workings2x!Q10-J16))</f>
        <v/>
      </c>
      <c r="F31" s="2229" t="str">
        <f>IF(J16="","",workings2!T10-(N16+E31+G31+I31+J31+K31+L31+M31))</f>
        <v/>
      </c>
      <c r="G31" s="2229" t="str">
        <f>IF(D16="","",IF(OR(workings2!$X$2=FALSE,H16="y"),0,workings2!R10*-0.8))</f>
        <v/>
      </c>
      <c r="H31" s="2230" t="str">
        <f>IF(D16="","",IF(workings2!AH10=5000000,"5 Million",workings2!AH10))</f>
        <v/>
      </c>
      <c r="I31" s="2229" t="str">
        <f>IF(J16="","",(((workings2!Q10+L16)/workings2!AH10)-(workings2!Q10+L16))*workings2!U10)</f>
        <v/>
      </c>
      <c r="J31" s="2229" t="str">
        <f>IF(J16="","",workings2!AR10-workings2x!AR10)</f>
        <v/>
      </c>
      <c r="K31" s="2229" t="str">
        <f>IF(D16="","",workings2!CC10)</f>
        <v/>
      </c>
      <c r="L31" s="2229"/>
      <c r="M31" s="2229" t="str">
        <f>IF(J16="","",workings2!AZ10)</f>
        <v/>
      </c>
      <c r="N31" s="1648" t="str">
        <f t="shared" si="7"/>
        <v/>
      </c>
      <c r="Q31" s="2238"/>
      <c r="R31" s="2238"/>
      <c r="S31" s="2238"/>
      <c r="U31" s="2231">
        <f t="shared" si="8"/>
        <v>0</v>
      </c>
      <c r="V31" s="2232">
        <f t="shared" si="9"/>
        <v>0</v>
      </c>
      <c r="W31" s="2231">
        <f t="shared" si="10"/>
        <v>0</v>
      </c>
      <c r="X31" s="2231">
        <f t="shared" si="11"/>
        <v>0</v>
      </c>
      <c r="Y31" s="2231">
        <f t="shared" si="12"/>
        <v>0</v>
      </c>
      <c r="Z31" s="2231">
        <f t="shared" si="13"/>
        <v>0</v>
      </c>
      <c r="AA31" s="2231">
        <f t="shared" si="14"/>
        <v>0</v>
      </c>
      <c r="AB31" s="2231">
        <f t="shared" si="15"/>
        <v>0</v>
      </c>
      <c r="AC31" s="2231">
        <f t="shared" si="16"/>
        <v>0</v>
      </c>
      <c r="AD31" s="2231">
        <f t="shared" si="17"/>
        <v>0</v>
      </c>
      <c r="AF31" s="2238"/>
      <c r="AG31" s="2238"/>
      <c r="AH31" s="2238"/>
      <c r="AI31" s="2238"/>
      <c r="AJ31" s="2238"/>
      <c r="AK31" s="2238"/>
      <c r="AL31" s="2238"/>
      <c r="AM31" s="2238"/>
    </row>
    <row r="32" spans="1:39" x14ac:dyDescent="0.25">
      <c r="A32" s="2238"/>
      <c r="C32" s="2192" t="str">
        <f t="shared" si="6"/>
        <v/>
      </c>
      <c r="D32" s="2192" t="str">
        <f t="shared" si="6"/>
        <v/>
      </c>
      <c r="E32" s="2229" t="str">
        <f>IF(J17="","",(workings2x!Q11-J17))</f>
        <v/>
      </c>
      <c r="F32" s="2229" t="str">
        <f>IF(J17="","",workings2!T11-(N17+E32+G32+I32+J32+K32+L32+M32))</f>
        <v/>
      </c>
      <c r="G32" s="2229" t="str">
        <f>IF(D17="","",IF(OR(workings2!$X$2=FALSE,H17="y"),0,workings2!R11*-0.8))</f>
        <v/>
      </c>
      <c r="H32" s="2230" t="str">
        <f>IF(D17="","",IF(workings2!AH11=5000000,"5 Million",workings2!AH11))</f>
        <v/>
      </c>
      <c r="I32" s="2229" t="str">
        <f>IF(J17="","",(((workings2!Q11+L17)/workings2!AH11)-(workings2!Q11+L17))*workings2!U11)</f>
        <v/>
      </c>
      <c r="J32" s="2229" t="str">
        <f>IF(J17="","",workings2!AR11-workings2x!AR11)</f>
        <v/>
      </c>
      <c r="K32" s="2229" t="str">
        <f>IF(D17="","",workings2!CC11)</f>
        <v/>
      </c>
      <c r="L32" s="2229"/>
      <c r="M32" s="2229" t="str">
        <f>IF(J17="","",workings2!AZ11)</f>
        <v/>
      </c>
      <c r="N32" s="1648" t="str">
        <f t="shared" si="7"/>
        <v/>
      </c>
      <c r="Q32" s="2238"/>
      <c r="R32" s="2238"/>
      <c r="S32" s="2238"/>
      <c r="U32" s="2231">
        <f t="shared" si="8"/>
        <v>0</v>
      </c>
      <c r="V32" s="2232">
        <f t="shared" si="9"/>
        <v>0</v>
      </c>
      <c r="W32" s="2231">
        <f t="shared" si="10"/>
        <v>0</v>
      </c>
      <c r="X32" s="2231">
        <f t="shared" si="11"/>
        <v>0</v>
      </c>
      <c r="Y32" s="2231">
        <f t="shared" si="12"/>
        <v>0</v>
      </c>
      <c r="Z32" s="2231">
        <f t="shared" si="13"/>
        <v>0</v>
      </c>
      <c r="AA32" s="2231">
        <f t="shared" si="14"/>
        <v>0</v>
      </c>
      <c r="AB32" s="2231">
        <f t="shared" si="15"/>
        <v>0</v>
      </c>
      <c r="AC32" s="2231">
        <f t="shared" si="16"/>
        <v>0</v>
      </c>
      <c r="AD32" s="2231">
        <f t="shared" si="17"/>
        <v>0</v>
      </c>
      <c r="AF32" s="2238"/>
      <c r="AG32" s="2238"/>
      <c r="AH32" s="2238"/>
      <c r="AI32" s="2238"/>
      <c r="AJ32" s="2238"/>
      <c r="AK32" s="2238"/>
      <c r="AL32" s="2238"/>
      <c r="AM32" s="2238"/>
    </row>
    <row r="33" spans="1:39" x14ac:dyDescent="0.25">
      <c r="A33" s="2238"/>
      <c r="C33" s="2192" t="str">
        <f t="shared" si="6"/>
        <v/>
      </c>
      <c r="D33" s="2192" t="str">
        <f t="shared" si="6"/>
        <v/>
      </c>
      <c r="E33" s="2229" t="str">
        <f>IF(J18="","",(workings2x!Q12-J18))</f>
        <v/>
      </c>
      <c r="F33" s="2229" t="str">
        <f>IF(J18="","",workings2!T12-(N18+E33+G33+I33+J33+K33+L33+M33))</f>
        <v/>
      </c>
      <c r="G33" s="2229" t="str">
        <f>IF(D18="","",IF(OR(workings2!$X$2=FALSE,H18="y"),0,workings2!R12*-0.8))</f>
        <v/>
      </c>
      <c r="H33" s="2230" t="str">
        <f>IF(D18="","",IF(workings2!AH12=5000000,"5 Million",workings2!AH12))</f>
        <v/>
      </c>
      <c r="I33" s="2229" t="str">
        <f>IF(J18="","",(((workings2!Q12+L18)/workings2!AH12)-(workings2!Q12+L18))*workings2!U12)</f>
        <v/>
      </c>
      <c r="J33" s="2229" t="str">
        <f>IF(J18="","",workings2!AR12-workings2x!AR12)</f>
        <v/>
      </c>
      <c r="K33" s="2229" t="str">
        <f>IF(D18="","",workings2!CC12)</f>
        <v/>
      </c>
      <c r="L33" s="2229"/>
      <c r="M33" s="2229" t="str">
        <f>IF(J18="","",workings2!AZ12)</f>
        <v/>
      </c>
      <c r="N33" s="1648" t="str">
        <f t="shared" si="7"/>
        <v/>
      </c>
      <c r="Q33" s="2238"/>
      <c r="R33" s="2238"/>
      <c r="S33" s="2238"/>
      <c r="U33" s="2231">
        <f t="shared" si="8"/>
        <v>0</v>
      </c>
      <c r="V33" s="2232">
        <f t="shared" si="9"/>
        <v>0</v>
      </c>
      <c r="W33" s="2231">
        <f t="shared" si="10"/>
        <v>0</v>
      </c>
      <c r="X33" s="2231">
        <f t="shared" si="11"/>
        <v>0</v>
      </c>
      <c r="Y33" s="2231">
        <f t="shared" si="12"/>
        <v>0</v>
      </c>
      <c r="Z33" s="2231">
        <f t="shared" si="13"/>
        <v>0</v>
      </c>
      <c r="AA33" s="2231">
        <f t="shared" si="14"/>
        <v>0</v>
      </c>
      <c r="AB33" s="2231">
        <f t="shared" si="15"/>
        <v>0</v>
      </c>
      <c r="AC33" s="2231">
        <f t="shared" si="16"/>
        <v>0</v>
      </c>
      <c r="AD33" s="2231">
        <f t="shared" si="17"/>
        <v>0</v>
      </c>
      <c r="AF33" s="2238"/>
      <c r="AG33" s="2238"/>
      <c r="AH33" s="2238"/>
      <c r="AI33" s="2238"/>
      <c r="AJ33" s="2238"/>
      <c r="AK33" s="2238"/>
      <c r="AL33" s="2238"/>
      <c r="AM33" s="2238"/>
    </row>
    <row r="34" spans="1:39" x14ac:dyDescent="0.25">
      <c r="A34" s="2238"/>
      <c r="C34" s="2192" t="str">
        <f t="shared" si="6"/>
        <v/>
      </c>
      <c r="D34" s="2192" t="str">
        <f t="shared" si="6"/>
        <v/>
      </c>
      <c r="E34" s="2229" t="str">
        <f>IF(J19="","",(workings2x!Q13-J19))</f>
        <v/>
      </c>
      <c r="F34" s="2229" t="str">
        <f>IF(J19="","",workings2!T13-(N19+E34+G34+I34+J34+K34+L34+M34))</f>
        <v/>
      </c>
      <c r="G34" s="2229" t="str">
        <f>IF(D19="","",IF(OR(workings2!$X$2=FALSE,H19="y"),0,workings2!R13*-0.8))</f>
        <v/>
      </c>
      <c r="H34" s="2230" t="str">
        <f>IF(D19="","",IF(workings2!AH13=5000000,"5 Million",workings2!AH13))</f>
        <v/>
      </c>
      <c r="I34" s="2229" t="str">
        <f>IF(J19="","",(((workings2!Q13+L19)/workings2!AH13)-(workings2!Q13+L19))*workings2!U13)</f>
        <v/>
      </c>
      <c r="J34" s="2229" t="str">
        <f>IF(J19="","",workings2!AR13-workings2x!AR13)</f>
        <v/>
      </c>
      <c r="K34" s="2229" t="str">
        <f>IF(D19="","",workings2!CC13)</f>
        <v/>
      </c>
      <c r="L34" s="2229"/>
      <c r="M34" s="2229" t="str">
        <f>IF(J19="","",workings2!AZ13)</f>
        <v/>
      </c>
      <c r="N34" s="1648" t="str">
        <f t="shared" si="7"/>
        <v/>
      </c>
      <c r="Q34" s="2238"/>
      <c r="R34" s="2238"/>
      <c r="S34" s="2238"/>
      <c r="U34" s="2231">
        <f t="shared" si="8"/>
        <v>0</v>
      </c>
      <c r="V34" s="2232">
        <f t="shared" si="9"/>
        <v>0</v>
      </c>
      <c r="W34" s="2231">
        <f t="shared" si="10"/>
        <v>0</v>
      </c>
      <c r="X34" s="2231">
        <f t="shared" si="11"/>
        <v>0</v>
      </c>
      <c r="Y34" s="2231">
        <f t="shared" si="12"/>
        <v>0</v>
      </c>
      <c r="Z34" s="2231">
        <f t="shared" si="13"/>
        <v>0</v>
      </c>
      <c r="AA34" s="2231">
        <f t="shared" si="14"/>
        <v>0</v>
      </c>
      <c r="AB34" s="2231">
        <f t="shared" si="15"/>
        <v>0</v>
      </c>
      <c r="AC34" s="2231">
        <f t="shared" si="16"/>
        <v>0</v>
      </c>
      <c r="AD34" s="2231">
        <f t="shared" si="17"/>
        <v>0</v>
      </c>
      <c r="AF34" s="2238"/>
      <c r="AG34" s="2238"/>
      <c r="AH34" s="2238"/>
      <c r="AI34" s="2238"/>
      <c r="AJ34" s="2238"/>
      <c r="AK34" s="2238"/>
      <c r="AL34" s="2238"/>
      <c r="AM34" s="2238"/>
    </row>
    <row r="35" spans="1:39" x14ac:dyDescent="0.25">
      <c r="A35" s="2238"/>
      <c r="C35" s="2192" t="str">
        <f t="shared" si="6"/>
        <v/>
      </c>
      <c r="D35" s="2192" t="str">
        <f t="shared" si="6"/>
        <v/>
      </c>
      <c r="E35" s="2229" t="str">
        <f>IF(J20="","",(workings2x!Q14-J20))</f>
        <v/>
      </c>
      <c r="F35" s="2229" t="str">
        <f>IF(J20="","",workings2!T14-(N20+E35+G35+I35+J35+K35+L35+M35))</f>
        <v/>
      </c>
      <c r="G35" s="2229" t="str">
        <f>IF(D20="","",IF(OR(workings2!$X$2=FALSE,H20="y"),0,workings2!R14*-0.8))</f>
        <v/>
      </c>
      <c r="H35" s="2230" t="str">
        <f>IF(D20="","",IF(workings2!AH14=5000000,"5 Million",workings2!AH14))</f>
        <v/>
      </c>
      <c r="I35" s="2229" t="str">
        <f>IF(J20="","",(((workings2!Q14+L20)/workings2!AH14)-(workings2!Q14+L20))*workings2!U14)</f>
        <v/>
      </c>
      <c r="J35" s="2229" t="str">
        <f>IF(J20="","",workings2!AR14-workings2x!AR14)</f>
        <v/>
      </c>
      <c r="K35" s="2229" t="str">
        <f>IF(D20="","",workings2!CC14)</f>
        <v/>
      </c>
      <c r="L35" s="2229"/>
      <c r="M35" s="2229" t="str">
        <f>IF(J20="","",workings2!AZ14)</f>
        <v/>
      </c>
      <c r="N35" s="1648" t="str">
        <f t="shared" si="7"/>
        <v/>
      </c>
      <c r="Q35" s="2238"/>
      <c r="R35" s="2238"/>
      <c r="S35" s="2238"/>
      <c r="U35" s="2231">
        <f t="shared" si="8"/>
        <v>0</v>
      </c>
      <c r="V35" s="2232">
        <f t="shared" si="9"/>
        <v>0</v>
      </c>
      <c r="W35" s="2231">
        <f t="shared" si="10"/>
        <v>0</v>
      </c>
      <c r="X35" s="2231">
        <f t="shared" si="11"/>
        <v>0</v>
      </c>
      <c r="Y35" s="2231">
        <f t="shared" si="12"/>
        <v>0</v>
      </c>
      <c r="Z35" s="2231">
        <f t="shared" si="13"/>
        <v>0</v>
      </c>
      <c r="AA35" s="2231">
        <f t="shared" si="14"/>
        <v>0</v>
      </c>
      <c r="AB35" s="2231">
        <f t="shared" si="15"/>
        <v>0</v>
      </c>
      <c r="AC35" s="2231">
        <f t="shared" si="16"/>
        <v>0</v>
      </c>
      <c r="AD35" s="2231">
        <f t="shared" si="17"/>
        <v>0</v>
      </c>
      <c r="AF35" s="2238"/>
      <c r="AG35" s="2238"/>
      <c r="AH35" s="2238"/>
      <c r="AI35" s="2238"/>
      <c r="AJ35" s="2238"/>
      <c r="AK35" s="2238"/>
      <c r="AL35" s="2238"/>
      <c r="AM35" s="2238"/>
    </row>
    <row r="36" spans="1:39" ht="13" x14ac:dyDescent="0.3">
      <c r="A36" s="2238"/>
      <c r="C36" s="1501"/>
      <c r="D36" s="1501"/>
      <c r="E36" s="2233">
        <f ca="1">SUM(E24:E35)</f>
        <v>0</v>
      </c>
      <c r="F36" s="2233">
        <f ca="1">SUM(F24:F35)</f>
        <v>0</v>
      </c>
      <c r="G36" s="2233">
        <f>SUM(G24:G35)</f>
        <v>0</v>
      </c>
      <c r="H36" s="2233"/>
      <c r="I36" s="2233">
        <f t="shared" ref="I36:N36" ca="1" si="18">SUM(I24:I35)</f>
        <v>0</v>
      </c>
      <c r="J36" s="2233">
        <f t="shared" ca="1" si="18"/>
        <v>0</v>
      </c>
      <c r="K36" s="2233">
        <f t="shared" si="18"/>
        <v>0</v>
      </c>
      <c r="L36" s="2233">
        <f t="shared" si="18"/>
        <v>0</v>
      </c>
      <c r="M36" s="2233">
        <f t="shared" ca="1" si="18"/>
        <v>0</v>
      </c>
      <c r="N36" s="2221">
        <f t="shared" ca="1" si="18"/>
        <v>0</v>
      </c>
      <c r="Q36" s="2238"/>
      <c r="R36" s="2238"/>
      <c r="S36" s="2238"/>
      <c r="AF36" s="2238"/>
      <c r="AG36" s="2238"/>
      <c r="AH36" s="2238"/>
      <c r="AI36" s="2238"/>
      <c r="AJ36" s="2238"/>
      <c r="AK36" s="2238"/>
      <c r="AL36" s="2238"/>
      <c r="AM36" s="2238"/>
    </row>
    <row r="37" spans="1:39" ht="13" x14ac:dyDescent="0.3">
      <c r="A37" s="2238"/>
      <c r="M37" s="2234" t="str">
        <f ca="1">IF(M36=workings2!AY1,"capped at","")</f>
        <v/>
      </c>
      <c r="Q37" s="2238"/>
      <c r="R37" s="2238"/>
      <c r="S37" s="2238"/>
      <c r="AF37" s="2238"/>
      <c r="AG37" s="2238"/>
      <c r="AH37" s="2238"/>
      <c r="AI37" s="2238"/>
      <c r="AJ37" s="2238"/>
      <c r="AK37" s="2238"/>
      <c r="AL37" s="2238"/>
      <c r="AM37" s="2238"/>
    </row>
    <row r="38" spans="1:39" ht="13" x14ac:dyDescent="0.3">
      <c r="A38" s="2238"/>
      <c r="M38" s="2235" t="str">
        <f ca="1">IF(M36=workings2!AY1,workings2!AY1*-1,"")</f>
        <v/>
      </c>
      <c r="N38" s="2232"/>
      <c r="Q38" s="2238"/>
      <c r="R38" s="2238"/>
      <c r="S38" s="2238"/>
      <c r="AF38" s="2238"/>
      <c r="AG38" s="2238"/>
      <c r="AH38" s="2238"/>
      <c r="AI38" s="2238"/>
      <c r="AJ38" s="2238"/>
      <c r="AK38" s="2238"/>
      <c r="AL38" s="2238"/>
      <c r="AM38" s="2238"/>
    </row>
    <row r="39" spans="1:39" x14ac:dyDescent="0.25">
      <c r="A39" s="2238"/>
      <c r="B39" s="2238"/>
      <c r="C39" s="2238"/>
      <c r="D39" s="2238"/>
      <c r="E39" s="2238"/>
      <c r="F39" s="2238"/>
      <c r="G39" s="2238"/>
      <c r="H39" s="2238"/>
      <c r="I39" s="2238"/>
      <c r="J39" s="2238"/>
      <c r="K39" s="2238"/>
      <c r="L39" s="2238"/>
      <c r="M39" s="2238"/>
      <c r="N39" s="2238"/>
      <c r="O39" s="2238"/>
      <c r="P39" s="2238"/>
      <c r="Q39" s="2238"/>
      <c r="R39" s="2238"/>
      <c r="S39" s="2238"/>
      <c r="AF39" s="2238"/>
      <c r="AG39" s="2238"/>
      <c r="AH39" s="2238"/>
      <c r="AI39" s="2238"/>
      <c r="AJ39" s="2238"/>
      <c r="AK39" s="2238"/>
      <c r="AL39" s="2238"/>
      <c r="AM39" s="2238"/>
    </row>
    <row r="40" spans="1:39" x14ac:dyDescent="0.25">
      <c r="A40" s="2238"/>
      <c r="B40" s="2238"/>
      <c r="C40" s="2238"/>
      <c r="D40" s="2238"/>
      <c r="E40" s="2238"/>
      <c r="F40" s="2238"/>
      <c r="G40" s="2238"/>
      <c r="H40" s="2238"/>
      <c r="I40" s="2238"/>
      <c r="J40" s="2238"/>
      <c r="K40" s="2238"/>
      <c r="L40" s="2238"/>
      <c r="M40" s="2238"/>
      <c r="N40" s="2238"/>
      <c r="O40" s="2238"/>
      <c r="P40" s="2238"/>
      <c r="Q40" s="2238"/>
      <c r="R40" s="2238"/>
      <c r="S40" s="2238"/>
      <c r="AF40" s="2238"/>
      <c r="AG40" s="2238"/>
      <c r="AH40" s="2238"/>
      <c r="AI40" s="2238"/>
      <c r="AJ40" s="2238"/>
      <c r="AK40" s="2238"/>
      <c r="AL40" s="2238"/>
      <c r="AM40" s="2238"/>
    </row>
    <row r="41" spans="1:39" x14ac:dyDescent="0.25">
      <c r="A41" s="2238"/>
      <c r="B41" s="2238"/>
      <c r="C41" s="2238"/>
      <c r="D41" s="2238"/>
      <c r="E41" s="2238"/>
      <c r="F41" s="2238"/>
      <c r="G41" s="2238"/>
      <c r="H41" s="2238"/>
      <c r="I41" s="2238"/>
      <c r="J41" s="2238"/>
      <c r="K41" s="2238"/>
      <c r="L41" s="2238"/>
      <c r="M41" s="2238"/>
      <c r="N41" s="2238"/>
      <c r="O41" s="2238"/>
      <c r="P41" s="2238"/>
      <c r="Q41" s="2238"/>
      <c r="R41" s="2238"/>
      <c r="S41" s="2238"/>
      <c r="AF41" s="2238"/>
      <c r="AG41" s="2238"/>
      <c r="AH41" s="2238"/>
      <c r="AI41" s="2238"/>
      <c r="AJ41" s="2238"/>
      <c r="AK41" s="2238"/>
      <c r="AL41" s="2238"/>
      <c r="AM41" s="2238"/>
    </row>
    <row r="42" spans="1:39" x14ac:dyDescent="0.25">
      <c r="A42" s="2238"/>
      <c r="B42" s="2238"/>
      <c r="C42" s="2238"/>
      <c r="D42" s="2238"/>
      <c r="E42" s="2238"/>
      <c r="F42" s="2238"/>
      <c r="G42" s="2238"/>
      <c r="H42" s="2238"/>
      <c r="I42" s="2238"/>
      <c r="J42" s="2238"/>
      <c r="K42" s="2238"/>
      <c r="L42" s="2238"/>
      <c r="M42" s="2238"/>
      <c r="N42" s="2238"/>
      <c r="O42" s="2238"/>
      <c r="P42" s="2238"/>
      <c r="Q42" s="2238"/>
      <c r="R42" s="2238"/>
      <c r="S42" s="2238"/>
      <c r="AF42" s="2238"/>
      <c r="AG42" s="2238"/>
      <c r="AH42" s="2238"/>
      <c r="AI42" s="2238"/>
      <c r="AJ42" s="2238"/>
      <c r="AK42" s="2238"/>
      <c r="AL42" s="2238"/>
      <c r="AM42" s="2238"/>
    </row>
    <row r="43" spans="1:39" x14ac:dyDescent="0.25">
      <c r="A43" s="2238"/>
      <c r="B43" s="2238"/>
      <c r="C43" s="2238"/>
      <c r="D43" s="2238"/>
      <c r="E43" s="2238"/>
      <c r="F43" s="2238"/>
      <c r="G43" s="2238"/>
      <c r="H43" s="2238"/>
      <c r="I43" s="2238"/>
      <c r="J43" s="2238"/>
      <c r="K43" s="2238"/>
      <c r="L43" s="2238"/>
      <c r="M43" s="2238"/>
      <c r="N43" s="2238"/>
      <c r="O43" s="2238"/>
      <c r="P43" s="2238"/>
      <c r="Q43" s="2238"/>
      <c r="R43" s="2238"/>
      <c r="S43" s="2238"/>
      <c r="AF43" s="2238"/>
      <c r="AG43" s="2238"/>
      <c r="AH43" s="2238"/>
      <c r="AI43" s="2238"/>
      <c r="AJ43" s="2238"/>
      <c r="AK43" s="2238"/>
      <c r="AL43" s="2238"/>
      <c r="AM43" s="2238"/>
    </row>
    <row r="44" spans="1:39" x14ac:dyDescent="0.25">
      <c r="A44" s="2238"/>
      <c r="B44" s="2238"/>
      <c r="C44" s="2238"/>
      <c r="D44" s="2238"/>
      <c r="E44" s="2238"/>
      <c r="F44" s="2238"/>
      <c r="G44" s="2238"/>
      <c r="H44" s="2238"/>
      <c r="I44" s="2238"/>
      <c r="J44" s="2238"/>
      <c r="K44" s="2238"/>
      <c r="L44" s="2238"/>
      <c r="M44" s="2238"/>
      <c r="N44" s="2238"/>
      <c r="O44" s="2238"/>
      <c r="P44" s="2238"/>
      <c r="Q44" s="2238"/>
      <c r="R44" s="2238"/>
      <c r="S44" s="2238"/>
      <c r="AF44" s="2238"/>
      <c r="AG44" s="2238"/>
      <c r="AH44" s="2238"/>
      <c r="AI44" s="2238"/>
      <c r="AJ44" s="2238"/>
      <c r="AK44" s="2238"/>
      <c r="AL44" s="2238"/>
      <c r="AM44" s="2238"/>
    </row>
    <row r="45" spans="1:39" x14ac:dyDescent="0.25">
      <c r="A45" s="2238"/>
      <c r="B45" s="2238"/>
      <c r="C45" s="2238"/>
      <c r="D45" s="2238"/>
      <c r="E45" s="2238"/>
      <c r="F45" s="2238"/>
      <c r="G45" s="2238"/>
      <c r="H45" s="2238"/>
      <c r="I45" s="2238"/>
      <c r="J45" s="2238"/>
      <c r="K45" s="2238"/>
      <c r="L45" s="2238"/>
      <c r="M45" s="2238"/>
      <c r="N45" s="2238"/>
      <c r="O45" s="2238"/>
      <c r="P45" s="2238"/>
      <c r="Q45" s="2238"/>
      <c r="R45" s="2238"/>
      <c r="S45" s="2238"/>
      <c r="AF45" s="2238"/>
      <c r="AG45" s="2238"/>
      <c r="AH45" s="2238"/>
      <c r="AI45" s="2238"/>
      <c r="AJ45" s="2238"/>
      <c r="AK45" s="2238"/>
      <c r="AL45" s="2238"/>
      <c r="AM45" s="2238"/>
    </row>
    <row r="46" spans="1:39" x14ac:dyDescent="0.25">
      <c r="A46" s="2238"/>
      <c r="B46" s="2238"/>
      <c r="C46" s="2238"/>
      <c r="D46" s="2238"/>
      <c r="E46" s="2238"/>
      <c r="F46" s="2238"/>
      <c r="G46" s="2238"/>
      <c r="H46" s="2238"/>
      <c r="I46" s="2238"/>
      <c r="J46" s="2238"/>
      <c r="K46" s="2238"/>
      <c r="L46" s="2238"/>
      <c r="M46" s="2238"/>
      <c r="N46" s="2238"/>
      <c r="O46" s="2238"/>
      <c r="P46" s="2238"/>
      <c r="Q46" s="2238"/>
      <c r="R46" s="2238"/>
      <c r="S46" s="2238"/>
      <c r="AF46" s="2238"/>
      <c r="AG46" s="2238"/>
      <c r="AH46" s="2238"/>
      <c r="AI46" s="2238"/>
      <c r="AJ46" s="2238"/>
      <c r="AK46" s="2238"/>
      <c r="AL46" s="2238"/>
      <c r="AM46" s="2238"/>
    </row>
    <row r="47" spans="1:39" x14ac:dyDescent="0.25">
      <c r="A47" s="2238"/>
      <c r="B47" s="2238"/>
      <c r="C47" s="2238"/>
      <c r="D47" s="2238"/>
      <c r="E47" s="2238"/>
      <c r="F47" s="2238"/>
      <c r="G47" s="2238"/>
      <c r="H47" s="2238"/>
      <c r="I47" s="2238"/>
      <c r="J47" s="2238"/>
      <c r="K47" s="2238"/>
      <c r="L47" s="2238"/>
      <c r="M47" s="2238"/>
      <c r="N47" s="2238"/>
      <c r="O47" s="2238"/>
      <c r="P47" s="2238"/>
      <c r="Q47" s="2238"/>
      <c r="R47" s="2238"/>
      <c r="S47" s="2238"/>
      <c r="AF47" s="2238"/>
      <c r="AG47" s="2238"/>
      <c r="AH47" s="2238"/>
      <c r="AI47" s="2238"/>
      <c r="AJ47" s="2238"/>
      <c r="AK47" s="2238"/>
      <c r="AL47" s="2238"/>
      <c r="AM47" s="2238"/>
    </row>
    <row r="48" spans="1:39" x14ac:dyDescent="0.25">
      <c r="A48" s="2238"/>
      <c r="B48" s="2238"/>
      <c r="C48" s="2238"/>
      <c r="D48" s="2238"/>
      <c r="E48" s="2238"/>
      <c r="F48" s="2238"/>
      <c r="G48" s="2238"/>
      <c r="H48" s="2238"/>
      <c r="I48" s="2238"/>
      <c r="J48" s="2238"/>
      <c r="K48" s="2238"/>
      <c r="L48" s="2238"/>
      <c r="M48" s="2238"/>
      <c r="N48" s="2238"/>
      <c r="O48" s="2238"/>
      <c r="P48" s="2238"/>
      <c r="Q48" s="2238"/>
      <c r="R48" s="2238"/>
      <c r="S48" s="2238"/>
      <c r="AF48" s="2238"/>
      <c r="AG48" s="2238"/>
      <c r="AH48" s="2238"/>
      <c r="AI48" s="2238"/>
      <c r="AJ48" s="2238"/>
      <c r="AK48" s="2238"/>
      <c r="AL48" s="2238"/>
      <c r="AM48" s="2238"/>
    </row>
    <row r="49" spans="1:39" x14ac:dyDescent="0.25">
      <c r="A49" s="2238"/>
      <c r="B49" s="2238"/>
      <c r="C49" s="2238"/>
      <c r="D49" s="2238"/>
      <c r="E49" s="2238"/>
      <c r="F49" s="2238"/>
      <c r="G49" s="2238"/>
      <c r="H49" s="2238"/>
      <c r="I49" s="2238"/>
      <c r="J49" s="2238"/>
      <c r="K49" s="2238"/>
      <c r="L49" s="2238"/>
      <c r="M49" s="2238"/>
      <c r="N49" s="2238"/>
      <c r="O49" s="2238"/>
      <c r="P49" s="2238"/>
      <c r="Q49" s="2238"/>
      <c r="R49" s="2238"/>
      <c r="S49" s="2238"/>
      <c r="AF49" s="2238"/>
      <c r="AG49" s="2238"/>
      <c r="AH49" s="2238"/>
      <c r="AI49" s="2238"/>
      <c r="AJ49" s="2238"/>
      <c r="AK49" s="2238"/>
      <c r="AL49" s="2238"/>
      <c r="AM49" s="2238"/>
    </row>
    <row r="50" spans="1:39" x14ac:dyDescent="0.25">
      <c r="A50" s="2238"/>
      <c r="B50" s="2238"/>
      <c r="C50" s="2238"/>
      <c r="D50" s="2238"/>
      <c r="E50" s="2238"/>
      <c r="F50" s="2238"/>
      <c r="G50" s="2238"/>
      <c r="H50" s="2238"/>
      <c r="I50" s="2238"/>
      <c r="J50" s="2238"/>
      <c r="K50" s="2238"/>
      <c r="L50" s="2238"/>
      <c r="M50" s="2238"/>
      <c r="N50" s="2238"/>
      <c r="O50" s="2238"/>
      <c r="P50" s="2238"/>
      <c r="Q50" s="2238"/>
      <c r="R50" s="2238"/>
      <c r="S50" s="2238"/>
      <c r="AF50" s="2238"/>
      <c r="AG50" s="2238"/>
      <c r="AH50" s="2238"/>
      <c r="AI50" s="2238"/>
      <c r="AJ50" s="2238"/>
      <c r="AK50" s="2238"/>
      <c r="AL50" s="2238"/>
      <c r="AM50" s="2238"/>
    </row>
    <row r="51" spans="1:39" x14ac:dyDescent="0.25">
      <c r="A51" s="2238"/>
      <c r="B51" s="2238"/>
      <c r="C51" s="2238"/>
      <c r="D51" s="2238"/>
      <c r="E51" s="2238"/>
      <c r="F51" s="2238"/>
      <c r="G51" s="2238"/>
      <c r="H51" s="2238"/>
      <c r="I51" s="2238"/>
      <c r="J51" s="2238"/>
      <c r="K51" s="2238"/>
      <c r="L51" s="2238"/>
      <c r="M51" s="2238"/>
      <c r="N51" s="2238"/>
      <c r="O51" s="2238"/>
      <c r="P51" s="2238"/>
      <c r="Q51" s="2238"/>
      <c r="R51" s="2238"/>
      <c r="S51" s="2238"/>
      <c r="AF51" s="2238"/>
      <c r="AG51" s="2238"/>
      <c r="AH51" s="2238"/>
      <c r="AI51" s="2238"/>
      <c r="AJ51" s="2238"/>
      <c r="AK51" s="2238"/>
      <c r="AL51" s="2238"/>
      <c r="AM51" s="2238"/>
    </row>
    <row r="52" spans="1:39" x14ac:dyDescent="0.25">
      <c r="A52" s="2238"/>
      <c r="B52" s="2238"/>
      <c r="C52" s="2238"/>
      <c r="D52" s="2238"/>
      <c r="E52" s="2238"/>
      <c r="F52" s="2238"/>
      <c r="G52" s="2238"/>
      <c r="H52" s="2238"/>
      <c r="I52" s="2238"/>
      <c r="J52" s="2238"/>
      <c r="K52" s="2238"/>
      <c r="L52" s="2238"/>
      <c r="M52" s="2238"/>
      <c r="N52" s="2238"/>
      <c r="O52" s="2238"/>
      <c r="P52" s="2238"/>
      <c r="Q52" s="2238"/>
      <c r="R52" s="2238"/>
      <c r="S52" s="2238"/>
      <c r="AF52" s="2238"/>
      <c r="AG52" s="2238"/>
      <c r="AH52" s="2238"/>
      <c r="AI52" s="2238"/>
      <c r="AJ52" s="2238"/>
      <c r="AK52" s="2238"/>
      <c r="AL52" s="2238"/>
      <c r="AM52" s="2238"/>
    </row>
    <row r="53" spans="1:39" x14ac:dyDescent="0.25">
      <c r="A53" s="2238"/>
      <c r="B53" s="2238"/>
      <c r="C53" s="2238"/>
      <c r="D53" s="2238"/>
      <c r="E53" s="2238"/>
      <c r="F53" s="2238"/>
      <c r="G53" s="2238"/>
      <c r="H53" s="2238"/>
      <c r="I53" s="2238"/>
      <c r="J53" s="2238"/>
      <c r="K53" s="2238"/>
      <c r="L53" s="2238"/>
      <c r="M53" s="2238"/>
      <c r="N53" s="2238"/>
      <c r="O53" s="2238"/>
      <c r="P53" s="2238"/>
      <c r="Q53" s="2238"/>
      <c r="R53" s="2238"/>
      <c r="S53" s="2238"/>
      <c r="AF53" s="2238"/>
      <c r="AG53" s="2238"/>
      <c r="AH53" s="2238"/>
      <c r="AI53" s="2238"/>
      <c r="AJ53" s="2238"/>
      <c r="AK53" s="2238"/>
      <c r="AL53" s="2238"/>
      <c r="AM53" s="2238"/>
    </row>
    <row r="54" spans="1:39" x14ac:dyDescent="0.25">
      <c r="A54" s="2238"/>
      <c r="B54" s="2238"/>
      <c r="C54" s="2238"/>
      <c r="D54" s="2238"/>
      <c r="E54" s="2238"/>
      <c r="F54" s="2238"/>
      <c r="G54" s="2238"/>
      <c r="H54" s="2238"/>
      <c r="I54" s="2238"/>
      <c r="J54" s="2238"/>
      <c r="K54" s="2238"/>
      <c r="L54" s="2238"/>
      <c r="M54" s="2238"/>
      <c r="N54" s="2238"/>
      <c r="O54" s="2238"/>
      <c r="P54" s="2238"/>
      <c r="Q54" s="2238"/>
      <c r="R54" s="2238"/>
      <c r="S54" s="2238"/>
      <c r="AF54" s="2238"/>
      <c r="AG54" s="2238"/>
      <c r="AH54" s="2238"/>
      <c r="AI54" s="2238"/>
      <c r="AJ54" s="2238"/>
      <c r="AK54" s="2238"/>
      <c r="AL54" s="2238"/>
      <c r="AM54" s="2238"/>
    </row>
    <row r="55" spans="1:39" x14ac:dyDescent="0.25">
      <c r="A55" s="2238"/>
      <c r="B55" s="2238"/>
      <c r="C55" s="2238"/>
      <c r="D55" s="2238"/>
      <c r="E55" s="2238"/>
      <c r="F55" s="2238"/>
      <c r="G55" s="2238"/>
      <c r="H55" s="2238"/>
      <c r="I55" s="2238"/>
      <c r="J55" s="2238"/>
      <c r="K55" s="2238"/>
      <c r="L55" s="2238"/>
      <c r="M55" s="2238"/>
      <c r="N55" s="2238"/>
      <c r="O55" s="2238"/>
      <c r="P55" s="2238"/>
      <c r="Q55" s="2238"/>
      <c r="R55" s="2238"/>
      <c r="S55" s="2238"/>
      <c r="AF55" s="2238"/>
      <c r="AG55" s="2238"/>
      <c r="AH55" s="2238"/>
      <c r="AI55" s="2238"/>
      <c r="AJ55" s="2238"/>
      <c r="AK55" s="2238"/>
      <c r="AL55" s="2238"/>
      <c r="AM55" s="2238"/>
    </row>
    <row r="56" spans="1:39" x14ac:dyDescent="0.25">
      <c r="A56" s="2238"/>
      <c r="B56" s="2238"/>
      <c r="C56" s="2238"/>
      <c r="D56" s="2238"/>
      <c r="E56" s="2238"/>
      <c r="F56" s="2238"/>
      <c r="G56" s="2238"/>
      <c r="H56" s="2238"/>
      <c r="I56" s="2238"/>
      <c r="J56" s="2238"/>
      <c r="K56" s="2238"/>
      <c r="L56" s="2238"/>
      <c r="M56" s="2238"/>
      <c r="N56" s="2238"/>
      <c r="O56" s="2238"/>
      <c r="P56" s="2238"/>
      <c r="Q56" s="2238"/>
      <c r="R56" s="2238"/>
      <c r="S56" s="2238"/>
      <c r="AF56" s="2238"/>
      <c r="AG56" s="2238"/>
      <c r="AH56" s="2238"/>
      <c r="AI56" s="2238"/>
      <c r="AJ56" s="2238"/>
      <c r="AK56" s="2238"/>
      <c r="AL56" s="2238"/>
      <c r="AM56" s="2238"/>
    </row>
    <row r="57" spans="1:39" x14ac:dyDescent="0.25">
      <c r="A57" s="2238"/>
      <c r="B57" s="2238"/>
      <c r="C57" s="2238"/>
      <c r="D57" s="2238"/>
      <c r="E57" s="2238"/>
      <c r="F57" s="2238"/>
      <c r="G57" s="2238"/>
      <c r="H57" s="2238"/>
      <c r="I57" s="2238"/>
      <c r="J57" s="2238"/>
      <c r="K57" s="2238"/>
      <c r="L57" s="2238"/>
      <c r="M57" s="2238"/>
      <c r="N57" s="2238"/>
      <c r="O57" s="2238"/>
      <c r="P57" s="2238"/>
      <c r="Q57" s="2238"/>
      <c r="R57" s="2238"/>
      <c r="S57" s="2238"/>
      <c r="AF57" s="2238"/>
      <c r="AG57" s="2238"/>
      <c r="AH57" s="2238"/>
      <c r="AI57" s="2238"/>
      <c r="AJ57" s="2238"/>
      <c r="AK57" s="2238"/>
      <c r="AL57" s="2238"/>
      <c r="AM57" s="2238"/>
    </row>
    <row r="58" spans="1:39" x14ac:dyDescent="0.25">
      <c r="A58" s="2238"/>
      <c r="B58" s="2238"/>
      <c r="C58" s="2238"/>
      <c r="D58" s="2238"/>
      <c r="E58" s="2238"/>
      <c r="F58" s="2238"/>
      <c r="G58" s="2238"/>
      <c r="H58" s="2238"/>
      <c r="I58" s="2238"/>
      <c r="J58" s="2238"/>
      <c r="K58" s="2238"/>
      <c r="L58" s="2238"/>
      <c r="M58" s="2238"/>
      <c r="N58" s="2238"/>
      <c r="O58" s="2238"/>
      <c r="P58" s="2238"/>
      <c r="Q58" s="2238"/>
      <c r="R58" s="2238"/>
      <c r="S58" s="2238"/>
      <c r="AF58" s="2238"/>
      <c r="AG58" s="2238"/>
      <c r="AH58" s="2238"/>
      <c r="AI58" s="2238"/>
      <c r="AJ58" s="2238"/>
      <c r="AK58" s="2238"/>
      <c r="AL58" s="2238"/>
      <c r="AM58" s="2238"/>
    </row>
    <row r="59" spans="1:39" x14ac:dyDescent="0.25">
      <c r="A59" s="2238"/>
      <c r="B59" s="2238"/>
      <c r="C59" s="2238"/>
      <c r="D59" s="2238"/>
      <c r="E59" s="2238"/>
      <c r="F59" s="2238"/>
      <c r="G59" s="2238"/>
      <c r="H59" s="2238"/>
      <c r="I59" s="2238"/>
      <c r="J59" s="2238"/>
      <c r="K59" s="2238"/>
      <c r="L59" s="2238"/>
      <c r="M59" s="2238"/>
      <c r="N59" s="2238"/>
      <c r="O59" s="2238"/>
      <c r="P59" s="2238"/>
      <c r="Q59" s="2238"/>
      <c r="R59" s="2238"/>
      <c r="S59" s="2238"/>
      <c r="AF59" s="2238"/>
      <c r="AG59" s="2238"/>
      <c r="AH59" s="2238"/>
      <c r="AI59" s="2238"/>
      <c r="AJ59" s="2238"/>
      <c r="AK59" s="2238"/>
      <c r="AL59" s="2238"/>
      <c r="AM59" s="2238"/>
    </row>
    <row r="60" spans="1:39" x14ac:dyDescent="0.25">
      <c r="A60" s="2238"/>
      <c r="B60" s="2238"/>
      <c r="C60" s="2238"/>
      <c r="D60" s="2238"/>
      <c r="E60" s="2238"/>
      <c r="F60" s="2238"/>
      <c r="G60" s="2238"/>
      <c r="H60" s="2238"/>
      <c r="I60" s="2238"/>
      <c r="J60" s="2238"/>
      <c r="K60" s="2238"/>
      <c r="L60" s="2238"/>
      <c r="M60" s="2238"/>
      <c r="N60" s="2238"/>
      <c r="O60" s="2238"/>
      <c r="P60" s="2238"/>
      <c r="Q60" s="2238"/>
      <c r="R60" s="2238"/>
      <c r="S60" s="2238"/>
      <c r="AF60" s="2238"/>
      <c r="AG60" s="2238"/>
      <c r="AH60" s="2238"/>
      <c r="AI60" s="2238"/>
      <c r="AJ60" s="2238"/>
      <c r="AK60" s="2238"/>
      <c r="AL60" s="2238"/>
      <c r="AM60" s="2238"/>
    </row>
    <row r="61" spans="1:39" x14ac:dyDescent="0.25">
      <c r="A61" s="2238"/>
      <c r="B61" s="2238"/>
      <c r="C61" s="2238"/>
      <c r="D61" s="2238"/>
      <c r="E61" s="2238"/>
      <c r="F61" s="2238"/>
      <c r="G61" s="2238"/>
      <c r="H61" s="2238"/>
      <c r="I61" s="2238"/>
      <c r="J61" s="2238"/>
      <c r="K61" s="2238"/>
      <c r="L61" s="2238"/>
      <c r="M61" s="2238"/>
      <c r="N61" s="2238"/>
      <c r="O61" s="2238"/>
      <c r="P61" s="2238"/>
      <c r="Q61" s="2238"/>
      <c r="R61" s="2238"/>
      <c r="S61" s="2238"/>
      <c r="AF61" s="2238"/>
      <c r="AG61" s="2238"/>
      <c r="AH61" s="2238"/>
      <c r="AI61" s="2238"/>
      <c r="AJ61" s="2238"/>
      <c r="AK61" s="2238"/>
      <c r="AL61" s="2238"/>
      <c r="AM61" s="2238"/>
    </row>
    <row r="62" spans="1:39" x14ac:dyDescent="0.25">
      <c r="A62" s="2238"/>
      <c r="B62" s="2238"/>
      <c r="C62" s="2238"/>
      <c r="D62" s="2238"/>
      <c r="E62" s="2238"/>
      <c r="F62" s="2238"/>
      <c r="G62" s="2238"/>
      <c r="H62" s="2238"/>
      <c r="I62" s="2238"/>
      <c r="J62" s="2238"/>
      <c r="K62" s="2238"/>
      <c r="L62" s="2238"/>
      <c r="M62" s="2238"/>
      <c r="N62" s="2238"/>
      <c r="O62" s="2238"/>
      <c r="P62" s="2238"/>
      <c r="Q62" s="2238"/>
      <c r="R62" s="2238"/>
      <c r="S62" s="2238"/>
      <c r="AF62" s="2238"/>
      <c r="AG62" s="2238"/>
      <c r="AH62" s="2238"/>
      <c r="AI62" s="2238"/>
      <c r="AJ62" s="2238"/>
      <c r="AK62" s="2238"/>
      <c r="AL62" s="2238"/>
      <c r="AM62" s="2238"/>
    </row>
    <row r="63" spans="1:39" x14ac:dyDescent="0.25">
      <c r="A63" s="2238"/>
      <c r="B63" s="2238"/>
      <c r="C63" s="2238"/>
      <c r="D63" s="2238"/>
      <c r="E63" s="2238"/>
      <c r="F63" s="2238"/>
      <c r="G63" s="2238"/>
      <c r="H63" s="2238"/>
      <c r="I63" s="2238"/>
      <c r="J63" s="2238"/>
      <c r="K63" s="2238"/>
      <c r="L63" s="2238"/>
      <c r="M63" s="2238"/>
      <c r="N63" s="2238"/>
      <c r="O63" s="2238"/>
      <c r="P63" s="2238"/>
      <c r="Q63" s="2238"/>
      <c r="R63" s="2238"/>
      <c r="S63" s="2238"/>
      <c r="AF63" s="2238"/>
      <c r="AG63" s="2238"/>
      <c r="AH63" s="2238"/>
      <c r="AI63" s="2238"/>
      <c r="AJ63" s="2238"/>
      <c r="AK63" s="2238"/>
      <c r="AL63" s="2238"/>
      <c r="AM63" s="2238"/>
    </row>
  </sheetData>
  <sheetProtection algorithmName="SHA-512" hashValue="93QKMdooD83OWRIyYkO3UINhNGPEOOlM98Ip1A2pl5tTLpUiTIq64Zw7SEEy8ZNwXTuk+2QmE+a2GyHCs0M7VA==" saltValue="NxxPU6Z5zKikYdIJNvs7RQ=="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goto_details">
                <anchor moveWithCells="1" sizeWithCells="1">
                  <from>
                    <xdr:col>2</xdr:col>
                    <xdr:colOff>25400</xdr:colOff>
                    <xdr:row>5</xdr:row>
                    <xdr:rowOff>6350</xdr:rowOff>
                  </from>
                  <to>
                    <xdr:col>2</xdr:col>
                    <xdr:colOff>749300</xdr:colOff>
                    <xdr:row>6</xdr:row>
                    <xdr:rowOff>146050</xdr:rowOff>
                  </to>
                </anchor>
              </controlPr>
            </control>
          </mc:Choice>
        </mc:AlternateContent>
        <mc:AlternateContent xmlns:mc="http://schemas.openxmlformats.org/markup-compatibility/2006">
          <mc:Choice Requires="x14">
            <control shapeId="96258" r:id="rId5" name="Button 2">
              <controlPr defaultSize="0" print="0" autoFill="0" autoPict="0" macro="[0]!backto">
                <anchor moveWithCells="1" sizeWithCells="1">
                  <from>
                    <xdr:col>16</xdr:col>
                    <xdr:colOff>44450</xdr:colOff>
                    <xdr:row>1</xdr:row>
                    <xdr:rowOff>6350</xdr:rowOff>
                  </from>
                  <to>
                    <xdr:col>16</xdr:col>
                    <xdr:colOff>1130300</xdr:colOff>
                    <xdr:row>4</xdr:row>
                    <xdr:rowOff>127000</xdr:rowOff>
                  </to>
                </anchor>
              </controlPr>
            </control>
          </mc:Choice>
        </mc:AlternateContent>
        <mc:AlternateContent xmlns:mc="http://schemas.openxmlformats.org/markup-compatibility/2006">
          <mc:Choice Requires="x14">
            <control shapeId="96259" r:id="rId6" name="Button 3">
              <controlPr defaultSize="0" print="0" autoFill="0" autoPict="0" macro="[0]!goto_revised_advdetail_from_original">
                <anchor moveWithCells="1" sizeWithCells="1">
                  <from>
                    <xdr:col>16</xdr:col>
                    <xdr:colOff>63500</xdr:colOff>
                    <xdr:row>7</xdr:row>
                    <xdr:rowOff>679450</xdr:rowOff>
                  </from>
                  <to>
                    <xdr:col>17</xdr:col>
                    <xdr:colOff>577850</xdr:colOff>
                    <xdr:row>10</xdr:row>
                    <xdr:rowOff>139700</xdr:rowOff>
                  </to>
                </anchor>
              </controlPr>
            </control>
          </mc:Choice>
        </mc:AlternateContent>
        <mc:AlternateContent xmlns:mc="http://schemas.openxmlformats.org/markup-compatibility/2006">
          <mc:Choice Requires="x14">
            <control shapeId="96260" r:id="rId7" name="Button 4">
              <controlPr defaultSize="0" print="0" autoFill="0" autoPict="0" macro="[0]!goto_home">
                <anchor moveWithCells="1" sizeWithCells="1">
                  <from>
                    <xdr:col>0</xdr:col>
                    <xdr:colOff>38100</xdr:colOff>
                    <xdr:row>1</xdr:row>
                    <xdr:rowOff>0</xdr:rowOff>
                  </from>
                  <to>
                    <xdr:col>0</xdr:col>
                    <xdr:colOff>622300</xdr:colOff>
                    <xdr:row>4</xdr:row>
                    <xdr:rowOff>25400</xdr:rowOff>
                  </to>
                </anchor>
              </controlPr>
            </control>
          </mc:Choice>
        </mc:AlternateContent>
        <mc:AlternateContent xmlns:mc="http://schemas.openxmlformats.org/markup-compatibility/2006">
          <mc:Choice Requires="x14">
            <control shapeId="96261" r:id="rId8" name="Button 5">
              <controlPr defaultSize="0" print="0" autoFill="0" autoPict="0" macro="[0]!goto_next_year_any_sheet">
                <anchor moveWithCells="1" sizeWithCells="1">
                  <from>
                    <xdr:col>16</xdr:col>
                    <xdr:colOff>990600</xdr:colOff>
                    <xdr:row>11</xdr:row>
                    <xdr:rowOff>0</xdr:rowOff>
                  </from>
                  <to>
                    <xdr:col>17</xdr:col>
                    <xdr:colOff>577850</xdr:colOff>
                    <xdr:row>14</xdr:row>
                    <xdr:rowOff>63500</xdr:rowOff>
                  </to>
                </anchor>
              </controlPr>
            </control>
          </mc:Choice>
        </mc:AlternateContent>
        <mc:AlternateContent xmlns:mc="http://schemas.openxmlformats.org/markup-compatibility/2006">
          <mc:Choice Requires="x14">
            <control shapeId="96262" r:id="rId9" name="Button 6">
              <controlPr defaultSize="0" print="0" autoFill="0" autoPict="0" macro="[0]!goto_previous_year_any_sheet">
                <anchor moveWithCells="1" sizeWithCells="1">
                  <from>
                    <xdr:col>16</xdr:col>
                    <xdr:colOff>69850</xdr:colOff>
                    <xdr:row>11</xdr:row>
                    <xdr:rowOff>0</xdr:rowOff>
                  </from>
                  <to>
                    <xdr:col>16</xdr:col>
                    <xdr:colOff>965200</xdr:colOff>
                    <xdr:row>14</xdr:row>
                    <xdr:rowOff>63500</xdr:rowOff>
                  </to>
                </anchor>
              </controlPr>
            </control>
          </mc:Choice>
        </mc:AlternateContent>
        <mc:AlternateContent xmlns:mc="http://schemas.openxmlformats.org/markup-compatibility/2006">
          <mc:Choice Requires="x14">
            <control shapeId="96263" r:id="rId10" name="Button 7">
              <controlPr defaultSize="0" print="0" autoFill="0" autoPict="0" macro="[0]!copy_as_excel">
                <anchor moveWithCells="1" sizeWithCells="1">
                  <from>
                    <xdr:col>16</xdr:col>
                    <xdr:colOff>69850</xdr:colOff>
                    <xdr:row>7</xdr:row>
                    <xdr:rowOff>146050</xdr:rowOff>
                  </from>
                  <to>
                    <xdr:col>16</xdr:col>
                    <xdr:colOff>755650</xdr:colOff>
                    <xdr:row>7</xdr:row>
                    <xdr:rowOff>533400</xdr:rowOff>
                  </to>
                </anchor>
              </controlPr>
            </control>
          </mc:Choice>
        </mc:AlternateContent>
        <mc:AlternateContent xmlns:mc="http://schemas.openxmlformats.org/markup-compatibility/2006">
          <mc:Choice Requires="x14">
            <control shapeId="96264" r:id="rId11" name="Button 8">
              <controlPr defaultSize="0" print="0" autoFill="0" autoPict="0" macro="[0]!pdflauncher">
                <anchor moveWithCells="1" sizeWithCells="1">
                  <from>
                    <xdr:col>16</xdr:col>
                    <xdr:colOff>762000</xdr:colOff>
                    <xdr:row>7</xdr:row>
                    <xdr:rowOff>146050</xdr:rowOff>
                  </from>
                  <to>
                    <xdr:col>17</xdr:col>
                    <xdr:colOff>279400</xdr:colOff>
                    <xdr:row>7</xdr:row>
                    <xdr:rowOff>533400</xdr:rowOff>
                  </to>
                </anchor>
              </controlPr>
            </control>
          </mc:Choice>
        </mc:AlternateContent>
        <mc:AlternateContent xmlns:mc="http://schemas.openxmlformats.org/markup-compatibility/2006">
          <mc:Choice Requires="x14">
            <control shapeId="96265" r:id="rId12" name="Button 9">
              <controlPr defaultSize="0" print="0" autoFill="0" autoPict="0" macro="[0]!openfolder">
                <anchor moveWithCells="1" sizeWithCells="1">
                  <from>
                    <xdr:col>17</xdr:col>
                    <xdr:colOff>298450</xdr:colOff>
                    <xdr:row>7</xdr:row>
                    <xdr:rowOff>146050</xdr:rowOff>
                  </from>
                  <to>
                    <xdr:col>17</xdr:col>
                    <xdr:colOff>831850</xdr:colOff>
                    <xdr:row>7</xdr:row>
                    <xdr:rowOff>533400</xdr:rowOff>
                  </to>
                </anchor>
              </controlPr>
            </control>
          </mc:Choice>
        </mc:AlternateContent>
        <mc:AlternateContent xmlns:mc="http://schemas.openxmlformats.org/markup-compatibility/2006">
          <mc:Choice Requires="x14">
            <control shapeId="96266" r:id="rId13" name="Button 10">
              <controlPr defaultSize="0" print="0" autoFill="0" autoPict="0" macro="[0]!goto_folder_settings">
                <anchor moveWithCells="1" sizeWithCells="1">
                  <from>
                    <xdr:col>17</xdr:col>
                    <xdr:colOff>838200</xdr:colOff>
                    <xdr:row>7</xdr:row>
                    <xdr:rowOff>146050</xdr:rowOff>
                  </from>
                  <to>
                    <xdr:col>18</xdr:col>
                    <xdr:colOff>482600</xdr:colOff>
                    <xdr:row>7</xdr:row>
                    <xdr:rowOff>533400</xdr:rowOff>
                  </to>
                </anchor>
              </controlPr>
            </control>
          </mc:Choice>
        </mc:AlternateContent>
        <mc:AlternateContent xmlns:mc="http://schemas.openxmlformats.org/markup-compatibility/2006">
          <mc:Choice Requires="x14">
            <control shapeId="96267" r:id="rId14" name="Button 11">
              <controlPr defaultSize="0" print="0" autoFill="0" autoPict="0" macro="[0]!email_pdf_launch">
                <anchor moveWithCells="1" sizeWithCells="1">
                  <from>
                    <xdr:col>16</xdr:col>
                    <xdr:colOff>914400</xdr:colOff>
                    <xdr:row>6</xdr:row>
                    <xdr:rowOff>0</xdr:rowOff>
                  </from>
                  <to>
                    <xdr:col>17</xdr:col>
                    <xdr:colOff>431800</xdr:colOff>
                    <xdr:row>7</xdr:row>
                    <xdr:rowOff>127000</xdr:rowOff>
                  </to>
                </anchor>
              </controlPr>
            </control>
          </mc:Choice>
        </mc:AlternateContent>
        <mc:AlternateContent xmlns:mc="http://schemas.openxmlformats.org/markup-compatibility/2006">
          <mc:Choice Requires="x14">
            <control shapeId="96268" r:id="rId15" name="Button 12">
              <controlPr defaultSize="0" print="0" autoFill="0" autoPict="0" macro="[0]!email_copy_as_excel">
                <anchor moveWithCells="1" sizeWithCells="1">
                  <from>
                    <xdr:col>16</xdr:col>
                    <xdr:colOff>69850</xdr:colOff>
                    <xdr:row>6</xdr:row>
                    <xdr:rowOff>0</xdr:rowOff>
                  </from>
                  <to>
                    <xdr:col>16</xdr:col>
                    <xdr:colOff>901700</xdr:colOff>
                    <xdr:row>7</xdr:row>
                    <xdr:rowOff>127000</xdr:rowOff>
                  </to>
                </anchor>
              </controlPr>
            </control>
          </mc:Choice>
        </mc:AlternateContent>
        <mc:AlternateContent xmlns:mc="http://schemas.openxmlformats.org/markup-compatibility/2006">
          <mc:Choice Requires="x14">
            <control shapeId="96269" r:id="rId16" name="Button 13">
              <controlPr defaultSize="0" print="0" autoFill="0" autoPict="0" macro="[0]!emailsettings">
                <anchor moveWithCells="1" sizeWithCells="1">
                  <from>
                    <xdr:col>17</xdr:col>
                    <xdr:colOff>444500</xdr:colOff>
                    <xdr:row>6</xdr:row>
                    <xdr:rowOff>0</xdr:rowOff>
                  </from>
                  <to>
                    <xdr:col>18</xdr:col>
                    <xdr:colOff>482600</xdr:colOff>
                    <xdr:row>7</xdr:row>
                    <xdr:rowOff>127000</xdr:rowOff>
                  </to>
                </anchor>
              </controlPr>
            </control>
          </mc:Choice>
        </mc:AlternateContent>
        <mc:AlternateContent xmlns:mc="http://schemas.openxmlformats.org/markup-compatibility/2006">
          <mc:Choice Requires="x14">
            <control shapeId="96270" r:id="rId17" name="Button 14">
              <controlPr defaultSize="0" print="0" autoFill="0" autoPict="0" macro="[0]!goto_advanced">
                <anchor moveWithCells="1" sizeWithCells="1">
                  <from>
                    <xdr:col>16</xdr:col>
                    <xdr:colOff>69850</xdr:colOff>
                    <xdr:row>15</xdr:row>
                    <xdr:rowOff>63500</xdr:rowOff>
                  </from>
                  <to>
                    <xdr:col>17</xdr:col>
                    <xdr:colOff>584200</xdr:colOff>
                    <xdr:row>18</xdr:row>
                    <xdr:rowOff>120650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0E4B2-72F7-44D2-BBFB-1CB2DDC445D9}">
  <sheetPr codeName="Sheet119">
    <pageSetUpPr fitToPage="1"/>
  </sheetPr>
  <dimension ref="A1:AM63"/>
  <sheetViews>
    <sheetView showGridLines="0" zoomScaleNormal="100" workbookViewId="0">
      <selection activeCell="A3" sqref="A3"/>
    </sheetView>
  </sheetViews>
  <sheetFormatPr defaultColWidth="9.08984375" defaultRowHeight="12.5" x14ac:dyDescent="0.25"/>
  <cols>
    <col min="1" max="1" width="10.08984375" style="1493" customWidth="1"/>
    <col min="2" max="2" width="1.90625" style="1493" customWidth="1"/>
    <col min="3" max="3" width="11.54296875" style="1493" customWidth="1"/>
    <col min="4" max="4" width="11.6328125" style="1493" customWidth="1"/>
    <col min="5" max="5" width="13.08984375" style="1493" customWidth="1"/>
    <col min="6" max="6" width="13" style="1493" customWidth="1"/>
    <col min="7" max="7" width="12.08984375" style="1493" customWidth="1"/>
    <col min="8" max="8" width="8.08984375" style="1493" customWidth="1"/>
    <col min="9" max="9" width="11.90625" style="1493" customWidth="1"/>
    <col min="10" max="10" width="13.36328125" style="1493" customWidth="1"/>
    <col min="11" max="11" width="11.90625" style="1493" customWidth="1"/>
    <col min="12" max="13" width="12.54296875" style="1493" customWidth="1"/>
    <col min="14" max="14" width="13.36328125" style="1493" customWidth="1"/>
    <col min="15" max="15" width="1.6328125" style="1493" customWidth="1"/>
    <col min="16" max="16" width="1.90625" style="1493" customWidth="1"/>
    <col min="17" max="17" width="17" style="1493" customWidth="1"/>
    <col min="18" max="18" width="12.90625" style="1493" customWidth="1"/>
    <col min="19" max="19" width="9.08984375" style="1493"/>
    <col min="20" max="20" width="9.08984375" style="1493" hidden="1" customWidth="1"/>
    <col min="21" max="21" width="11.6328125" style="1493" hidden="1" customWidth="1"/>
    <col min="22" max="31" width="9.08984375" style="1493" hidden="1" customWidth="1"/>
    <col min="32" max="16384" width="9.08984375" style="1493"/>
  </cols>
  <sheetData>
    <row r="1" spans="1:39" ht="21" customHeight="1" x14ac:dyDescent="0.25">
      <c r="A1" s="1491"/>
      <c r="B1" s="1491"/>
      <c r="C1" s="1491"/>
      <c r="D1" s="1491"/>
      <c r="E1" s="1491"/>
      <c r="F1" s="1491"/>
      <c r="G1" s="1491"/>
      <c r="H1" s="1491"/>
      <c r="I1" s="1491"/>
      <c r="J1" s="1491"/>
      <c r="K1" s="1491"/>
      <c r="L1" s="1491"/>
      <c r="M1" s="1491"/>
      <c r="N1" s="1491"/>
      <c r="O1" s="1491"/>
      <c r="P1" s="1491"/>
      <c r="Q1" s="1491"/>
      <c r="R1" s="1491"/>
      <c r="S1" s="1491"/>
      <c r="AF1" s="1491"/>
      <c r="AG1" s="1491"/>
      <c r="AH1" s="1491"/>
      <c r="AI1" s="1491"/>
      <c r="AJ1" s="1491"/>
      <c r="AK1" s="1491"/>
      <c r="AL1" s="1491"/>
      <c r="AM1" s="1491"/>
    </row>
    <row r="2" spans="1:39" ht="8.25" customHeight="1" x14ac:dyDescent="0.25">
      <c r="A2" s="1491"/>
      <c r="Q2" s="1491"/>
      <c r="R2" s="1491"/>
      <c r="S2" s="1491"/>
      <c r="AF2" s="1491"/>
      <c r="AG2" s="1491"/>
      <c r="AH2" s="1491"/>
      <c r="AI2" s="1491"/>
      <c r="AJ2" s="1491"/>
      <c r="AK2" s="1491"/>
      <c r="AL2" s="1491"/>
      <c r="AM2" s="1491"/>
    </row>
    <row r="3" spans="1:39" ht="15.5" x14ac:dyDescent="0.35">
      <c r="A3" s="1491"/>
      <c r="C3" s="2216" t="str">
        <f ca="1">"Detailed Liability Report (Advanced Original) for the year "&amp;OFFSET(advanced!G87,U3,0)</f>
        <v xml:space="preserve">Detailed Liability Report (Advanced Original) for the year 2024/25 </v>
      </c>
      <c r="D3" s="1966"/>
      <c r="E3" s="1966"/>
      <c r="F3" s="1966"/>
      <c r="G3" s="1966"/>
      <c r="H3" s="1966"/>
      <c r="I3" s="1966"/>
      <c r="J3" s="1966"/>
      <c r="K3" s="1966"/>
      <c r="L3" s="1966"/>
      <c r="M3" s="1966"/>
      <c r="N3" s="2216" t="str">
        <f>"Year "&amp;U3</f>
        <v>Year 2</v>
      </c>
      <c r="Q3" s="1491"/>
      <c r="R3" s="1491"/>
      <c r="S3" s="1491"/>
      <c r="T3" s="2158" t="s">
        <v>573</v>
      </c>
      <c r="U3" s="1961">
        <v>2</v>
      </c>
      <c r="V3" s="1945">
        <f>U3</f>
        <v>2</v>
      </c>
      <c r="W3" s="1945">
        <f>V3</f>
        <v>2</v>
      </c>
      <c r="X3" s="2236" t="s">
        <v>574</v>
      </c>
      <c r="Y3" s="2236"/>
      <c r="AF3" s="1491"/>
      <c r="AG3" s="1491"/>
      <c r="AH3" s="1491"/>
      <c r="AI3" s="1491"/>
      <c r="AJ3" s="1491"/>
      <c r="AK3" s="1491"/>
      <c r="AL3" s="1491"/>
      <c r="AM3" s="1491"/>
    </row>
    <row r="4" spans="1:39" ht="6.75" customHeight="1" x14ac:dyDescent="0.3">
      <c r="A4" s="1491"/>
      <c r="C4" s="1501"/>
      <c r="D4" s="1966"/>
      <c r="E4" s="1966"/>
      <c r="F4" s="1966"/>
      <c r="G4" s="1966"/>
      <c r="H4" s="1966"/>
      <c r="I4" s="1966"/>
      <c r="J4" s="1966"/>
      <c r="K4" s="1966"/>
      <c r="L4" s="1966"/>
      <c r="M4" s="1966"/>
      <c r="N4" s="1966"/>
      <c r="Q4" s="1491"/>
      <c r="R4" s="1491"/>
      <c r="S4" s="1491"/>
      <c r="T4" s="1564"/>
      <c r="U4" s="1564"/>
      <c r="V4" s="1564"/>
      <c r="W4" s="1564"/>
      <c r="AF4" s="1491"/>
      <c r="AG4" s="1491"/>
      <c r="AH4" s="1491"/>
      <c r="AI4" s="1491"/>
      <c r="AJ4" s="1491"/>
      <c r="AK4" s="1491"/>
      <c r="AL4" s="1491"/>
      <c r="AM4" s="1491"/>
    </row>
    <row r="5" spans="1:39" ht="13" x14ac:dyDescent="0.3">
      <c r="A5" s="1491"/>
      <c r="C5" s="1501" t="str">
        <f>advanced!F5</f>
        <v>Click Button Below to Enter Address</v>
      </c>
      <c r="D5" s="1966"/>
      <c r="E5" s="1966"/>
      <c r="F5" s="1966"/>
      <c r="G5" s="1966"/>
      <c r="H5" s="1966"/>
      <c r="I5" s="1966"/>
      <c r="J5" s="1966"/>
      <c r="K5" s="1966"/>
      <c r="L5" s="1966"/>
      <c r="M5" s="1966"/>
      <c r="N5" s="1966"/>
      <c r="Q5" s="1491"/>
      <c r="R5" s="1491"/>
      <c r="S5" s="1491"/>
      <c r="T5" s="1564"/>
      <c r="U5" s="1564"/>
      <c r="V5" s="1564"/>
      <c r="W5" s="1564"/>
      <c r="AF5" s="1491"/>
      <c r="AG5" s="1491"/>
      <c r="AH5" s="1491"/>
      <c r="AI5" s="1491"/>
      <c r="AJ5" s="1491"/>
      <c r="AK5" s="1491"/>
      <c r="AL5" s="1491"/>
      <c r="AM5" s="1491"/>
    </row>
    <row r="6" spans="1:39" ht="7.5" customHeight="1" x14ac:dyDescent="0.25">
      <c r="A6" s="1491"/>
      <c r="C6" s="1966"/>
      <c r="D6" s="1966"/>
      <c r="E6" s="1966"/>
      <c r="F6" s="1966"/>
      <c r="G6" s="1966"/>
      <c r="H6" s="1966"/>
      <c r="I6" s="1966"/>
      <c r="J6" s="1966"/>
      <c r="K6" s="1966"/>
      <c r="L6" s="1966"/>
      <c r="M6" s="1966"/>
      <c r="N6" s="1966"/>
      <c r="Q6" s="1491"/>
      <c r="R6" s="1491"/>
      <c r="S6" s="1491"/>
      <c r="T6" s="1564"/>
      <c r="U6" s="1564"/>
      <c r="V6" s="1564"/>
      <c r="W6" s="1564"/>
      <c r="AF6" s="1491"/>
      <c r="AG6" s="1491"/>
      <c r="AH6" s="1491"/>
      <c r="AI6" s="1491"/>
      <c r="AJ6" s="1491"/>
      <c r="AK6" s="1491"/>
      <c r="AL6" s="1491"/>
      <c r="AM6" s="1491"/>
    </row>
    <row r="7" spans="1:39" ht="13" x14ac:dyDescent="0.3">
      <c r="A7" s="1491"/>
      <c r="C7" s="1501"/>
      <c r="D7" s="1966" t="s">
        <v>1843</v>
      </c>
      <c r="E7" s="2011">
        <f ca="1">OFFSET(data!C12,U3,0)</f>
        <v>365</v>
      </c>
      <c r="F7" s="1966"/>
      <c r="G7" s="1966"/>
      <c r="H7" s="1966"/>
      <c r="I7" s="1966"/>
      <c r="J7" s="1966"/>
      <c r="K7" s="1966"/>
      <c r="L7" s="1966"/>
      <c r="M7" s="1966"/>
      <c r="N7" s="1966"/>
      <c r="Q7" s="1491"/>
      <c r="R7" s="1491"/>
      <c r="S7" s="1491"/>
      <c r="T7" s="1564"/>
      <c r="U7" s="1564"/>
      <c r="V7" s="1564"/>
      <c r="W7" s="1564"/>
      <c r="AF7" s="1491"/>
      <c r="AG7" s="1491"/>
      <c r="AH7" s="1491"/>
      <c r="AI7" s="1491"/>
      <c r="AJ7" s="1491"/>
      <c r="AK7" s="1491"/>
      <c r="AL7" s="1491"/>
      <c r="AM7" s="1491"/>
    </row>
    <row r="8" spans="1:39" s="2106" customFormat="1" ht="55.5" customHeight="1" x14ac:dyDescent="0.3">
      <c r="A8" s="2217"/>
      <c r="C8" s="2218" t="s">
        <v>1844</v>
      </c>
      <c r="D8" s="2218" t="s">
        <v>1845</v>
      </c>
      <c r="E8" s="2218" t="s">
        <v>324</v>
      </c>
      <c r="F8" s="2218" t="s">
        <v>272</v>
      </c>
      <c r="G8" s="2218" t="s">
        <v>915</v>
      </c>
      <c r="H8" s="2218" t="s">
        <v>112</v>
      </c>
      <c r="I8" s="2219" t="s">
        <v>1846</v>
      </c>
      <c r="J8" s="2218" t="str">
        <f ca="1">"RV x SBNDRM / "&amp;E7&amp;" x days"</f>
        <v>RV x SBNDRM / 365 x days</v>
      </c>
      <c r="K8" s="2218" t="str">
        <f>"SB Supplement is RV x "&amp;'info sheet'!E11</f>
        <v>SB Supplement is RV x 0.047</v>
      </c>
      <c r="L8" s="2218" t="str">
        <f>"City of London Supplement"</f>
        <v>City of London Supplement</v>
      </c>
      <c r="M8" s="2218" t="s">
        <v>1847</v>
      </c>
      <c r="N8" s="2218" t="s">
        <v>1848</v>
      </c>
      <c r="P8" s="1493"/>
      <c r="Q8" s="1491"/>
      <c r="R8" s="1491"/>
      <c r="S8" s="1491"/>
      <c r="T8" s="1564"/>
      <c r="U8" s="1571" t="s">
        <v>581</v>
      </c>
      <c r="V8" s="1571" t="s">
        <v>321</v>
      </c>
      <c r="W8" s="1571" t="s">
        <v>572</v>
      </c>
      <c r="X8" s="1591" t="s">
        <v>2812</v>
      </c>
      <c r="Y8" s="1591" t="s">
        <v>2813</v>
      </c>
      <c r="Z8" s="1597" t="s">
        <v>575</v>
      </c>
      <c r="AA8" s="1597" t="s">
        <v>576</v>
      </c>
      <c r="AB8" s="1597" t="s">
        <v>577</v>
      </c>
      <c r="AC8" s="1591" t="s">
        <v>596</v>
      </c>
      <c r="AD8" s="1493"/>
      <c r="AE8" s="1493"/>
      <c r="AF8" s="1491"/>
      <c r="AG8" s="1491"/>
      <c r="AH8" s="1491"/>
      <c r="AI8" s="1491"/>
      <c r="AJ8" s="1491"/>
      <c r="AK8" s="1491"/>
      <c r="AL8" s="1491"/>
      <c r="AM8" s="1491"/>
    </row>
    <row r="9" spans="1:39" ht="17.25" customHeight="1" x14ac:dyDescent="0.3">
      <c r="A9" s="1491"/>
      <c r="C9" s="2192">
        <f>IF(workings1!G16&lt;workings1!F16,"",workings1!F16)</f>
        <v>45383</v>
      </c>
      <c r="D9" s="2192">
        <f>IF(workings1!G16&lt;workings1!F16,"",workings1!G16)</f>
        <v>45747</v>
      </c>
      <c r="E9" s="2200">
        <f>IF(D9&lt;&gt;"",workings1!H16,"")</f>
        <v>365</v>
      </c>
      <c r="F9" s="1649">
        <f ca="1">IF(D9&lt;&gt;"",workings1x!L16,"")</f>
        <v>0</v>
      </c>
      <c r="G9" s="2220">
        <f ca="1">IF(D9="","",workings1!S16)</f>
        <v>1</v>
      </c>
      <c r="H9" s="1649" t="str">
        <f ca="1">IF(D9="","",workings1!AF16)</f>
        <v>n</v>
      </c>
      <c r="I9" s="2200">
        <f>IF(D9="","",workings1!P16)</f>
        <v>0.499</v>
      </c>
      <c r="J9" s="1648">
        <f ca="1">IF(F9="","", IF(E9=0,0,F9*I9/$E$7*E9))</f>
        <v>0</v>
      </c>
      <c r="K9" s="1648">
        <f ca="1">IF(D9="","",workings1x!Y16)</f>
        <v>0</v>
      </c>
      <c r="L9" s="1648">
        <f ca="1">IF(D9="","",F9*U9/$E$7*E9*workings1x!$AC$2)</f>
        <v>0</v>
      </c>
      <c r="M9" s="1648">
        <f ca="1">IF(D9="","",workings1x!Z16)</f>
        <v>0</v>
      </c>
      <c r="N9" s="2221">
        <f t="shared" ref="N9:N20" ca="1" si="0">IF(D9="","",SUM(J9:M9))</f>
        <v>0</v>
      </c>
      <c r="P9" s="2222"/>
      <c r="Q9" s="1491"/>
      <c r="R9" s="1491"/>
      <c r="S9" s="1491"/>
      <c r="T9" s="1564"/>
      <c r="U9" s="1945">
        <f ca="1">OFFSET('info sheet'!$G$9,$U$3,0)-X9</f>
        <v>1.6E-2</v>
      </c>
      <c r="V9" s="1945">
        <f ca="1">OFFSET('info sheet'!H9,V3,0)</f>
        <v>0.02</v>
      </c>
      <c r="W9" s="1945">
        <f ca="1">OFFSET('info sheet'!E9,W3,0)</f>
        <v>4.7000000000000042E-2</v>
      </c>
      <c r="X9" s="1564">
        <f ca="1">workings1!$CW$3*Y9</f>
        <v>2.0000000000000018E-3</v>
      </c>
      <c r="Y9" s="1564" t="b">
        <f ca="1">F9&lt;AC9</f>
        <v>1</v>
      </c>
      <c r="Z9" s="2237" t="str">
        <f>VLOOKUP(U3,text!A8:E16,5,FALSE)</f>
        <v>2024</v>
      </c>
      <c r="AA9" s="2237" t="str">
        <f>VLOOKUP(U3+1,text!A8:E16,5,FALSE)</f>
        <v>2025</v>
      </c>
      <c r="AB9" s="2237" t="str">
        <f>VLOOKUP(U3-1,text!A8:E16,5,FALSE)</f>
        <v>2023</v>
      </c>
      <c r="AC9" s="1564">
        <f>workings1!CV3</f>
        <v>51000</v>
      </c>
      <c r="AF9" s="1491"/>
      <c r="AG9" s="1491"/>
      <c r="AH9" s="1491"/>
      <c r="AI9" s="1491"/>
      <c r="AJ9" s="1491"/>
      <c r="AK9" s="1491"/>
      <c r="AL9" s="1491"/>
      <c r="AM9" s="1491"/>
    </row>
    <row r="10" spans="1:39" ht="13" x14ac:dyDescent="0.3">
      <c r="A10" s="1491"/>
      <c r="C10" s="2192" t="str">
        <f>IF(workings1!G17&lt;workings1!F17,"",workings1!F17)</f>
        <v/>
      </c>
      <c r="D10" s="2192" t="str">
        <f>IF(workings1!G17&lt;workings1!F17,"",workings1!G17)</f>
        <v/>
      </c>
      <c r="E10" s="2200" t="str">
        <f>IF(D10&lt;&gt;"",workings1!H17,"")</f>
        <v/>
      </c>
      <c r="F10" s="1649" t="str">
        <f>IF(D10&lt;&gt;"",workings1x!L17,"")</f>
        <v/>
      </c>
      <c r="G10" s="2220" t="str">
        <f>IF(D10="","",workings1!S17)</f>
        <v/>
      </c>
      <c r="H10" s="1649" t="str">
        <f>IF(D10="","",workings1!AF17)</f>
        <v/>
      </c>
      <c r="I10" s="2200" t="str">
        <f>IF(D10="","",workings1!P17)</f>
        <v/>
      </c>
      <c r="J10" s="1648" t="str">
        <f t="shared" ref="J10:J20" si="1">IF(F10="","", IF(E10=0,0,F10*I10/$E$7*E10))</f>
        <v/>
      </c>
      <c r="K10" s="1648" t="str">
        <f>IF(D10="","",workings1x!Y17)</f>
        <v/>
      </c>
      <c r="L10" s="1648" t="str">
        <f>IF(D10="","",F10*U10/$E$7*E10*workings1x!$AC$2)</f>
        <v/>
      </c>
      <c r="M10" s="1648" t="str">
        <f>IF(D10="","",workings1x!Z17)</f>
        <v/>
      </c>
      <c r="N10" s="2221" t="str">
        <f t="shared" si="0"/>
        <v/>
      </c>
      <c r="P10" s="2222"/>
      <c r="Q10" s="1491"/>
      <c r="R10" s="1491"/>
      <c r="S10" s="1491"/>
      <c r="T10" s="1564"/>
      <c r="U10" s="1571">
        <f ca="1">OFFSET('info sheet'!$G$9,$U$3,0)-X10</f>
        <v>1.8000000000000002E-2</v>
      </c>
      <c r="V10" s="1571">
        <f t="shared" ref="V10:V20" ca="1" si="2">V9</f>
        <v>0.02</v>
      </c>
      <c r="W10" s="1571">
        <f t="shared" ref="W10:W20" ca="1" si="3">W9</f>
        <v>4.7000000000000042E-2</v>
      </c>
      <c r="X10" s="1564">
        <f>workings1!$CW$3*Y10</f>
        <v>0</v>
      </c>
      <c r="Y10" s="1564" t="b">
        <f t="shared" ref="Y10:Y20" si="4">F10&lt;AC10</f>
        <v>0</v>
      </c>
      <c r="AC10" s="1564">
        <f>AC9</f>
        <v>51000</v>
      </c>
      <c r="AF10" s="1491"/>
      <c r="AG10" s="1491"/>
      <c r="AH10" s="1491"/>
      <c r="AI10" s="1491"/>
      <c r="AJ10" s="1491"/>
      <c r="AK10" s="1491"/>
      <c r="AL10" s="1491"/>
      <c r="AM10" s="1491"/>
    </row>
    <row r="11" spans="1:39" ht="13" x14ac:dyDescent="0.3">
      <c r="A11" s="1491"/>
      <c r="C11" s="2192" t="str">
        <f>IF(workings1!G18&lt;workings1!F18,"",workings1!F18)</f>
        <v/>
      </c>
      <c r="D11" s="2192" t="str">
        <f>IF(workings1!G18&lt;workings1!F18,"",workings1!G18)</f>
        <v/>
      </c>
      <c r="E11" s="2200" t="str">
        <f>IF(D11&lt;&gt;"",workings1!H18,"")</f>
        <v/>
      </c>
      <c r="F11" s="1649" t="str">
        <f>IF(D11&lt;&gt;"",workings1x!L18,"")</f>
        <v/>
      </c>
      <c r="G11" s="2220" t="str">
        <f>IF(D11="","",workings1!S18)</f>
        <v/>
      </c>
      <c r="H11" s="1649" t="str">
        <f>IF(D11="","",workings1!AF18)</f>
        <v/>
      </c>
      <c r="I11" s="2200" t="str">
        <f>IF(D11="","",workings1!P18)</f>
        <v/>
      </c>
      <c r="J11" s="1648" t="str">
        <f t="shared" si="1"/>
        <v/>
      </c>
      <c r="K11" s="1648" t="str">
        <f>IF(D11="","",workings1x!Y18)</f>
        <v/>
      </c>
      <c r="L11" s="1648" t="str">
        <f>IF(D11="","",F11*U11/$E$7*E11*workings1x!$AC$2)</f>
        <v/>
      </c>
      <c r="M11" s="1648" t="str">
        <f>IF(D11="","",workings1x!Z18)</f>
        <v/>
      </c>
      <c r="N11" s="2221" t="str">
        <f t="shared" si="0"/>
        <v/>
      </c>
      <c r="P11" s="2222"/>
      <c r="Q11" s="1491"/>
      <c r="R11" s="1491"/>
      <c r="S11" s="1491"/>
      <c r="T11" s="1564"/>
      <c r="U11" s="1571">
        <f ca="1">OFFSET('info sheet'!$G$9,$U$3,0)-X11</f>
        <v>1.8000000000000002E-2</v>
      </c>
      <c r="V11" s="1571">
        <f t="shared" ca="1" si="2"/>
        <v>0.02</v>
      </c>
      <c r="W11" s="1571">
        <f t="shared" ca="1" si="3"/>
        <v>4.7000000000000042E-2</v>
      </c>
      <c r="X11" s="1564">
        <f>workings1!$CW$3*Y11</f>
        <v>0</v>
      </c>
      <c r="Y11" s="1564" t="b">
        <f t="shared" si="4"/>
        <v>0</v>
      </c>
      <c r="AC11" s="1564">
        <f t="shared" ref="AC11:AC20" si="5">AC10</f>
        <v>51000</v>
      </c>
      <c r="AF11" s="1491"/>
      <c r="AG11" s="1491"/>
      <c r="AH11" s="1491"/>
      <c r="AI11" s="1491"/>
      <c r="AJ11" s="1491"/>
      <c r="AK11" s="1491"/>
      <c r="AL11" s="1491"/>
      <c r="AM11" s="1491"/>
    </row>
    <row r="12" spans="1:39" ht="13" x14ac:dyDescent="0.3">
      <c r="A12" s="1491"/>
      <c r="C12" s="2192" t="str">
        <f>IF(workings1!G19&lt;workings1!F19,"",workings1!F19)</f>
        <v/>
      </c>
      <c r="D12" s="2192" t="str">
        <f>IF(workings1!G19&lt;workings1!F19,"",workings1!G19)</f>
        <v/>
      </c>
      <c r="E12" s="2200" t="str">
        <f>IF(D12&lt;&gt;"",workings1!H19,"")</f>
        <v/>
      </c>
      <c r="F12" s="1649" t="str">
        <f>IF(D12&lt;&gt;"",workings1x!L19,"")</f>
        <v/>
      </c>
      <c r="G12" s="2220" t="str">
        <f>IF(D12="","",workings1!S19)</f>
        <v/>
      </c>
      <c r="H12" s="1649" t="str">
        <f>IF(D12="","",workings1!AF19)</f>
        <v/>
      </c>
      <c r="I12" s="2200" t="str">
        <f>IF(D12="","",workings1!P19)</f>
        <v/>
      </c>
      <c r="J12" s="1648" t="str">
        <f t="shared" si="1"/>
        <v/>
      </c>
      <c r="K12" s="1648" t="str">
        <f>IF(D12="","",workings1x!Y19)</f>
        <v/>
      </c>
      <c r="L12" s="1648" t="str">
        <f>IF(D12="","",F12*U12/$E$7*E12*workings1x!$AC$2)</f>
        <v/>
      </c>
      <c r="M12" s="1648" t="str">
        <f>IF(D12="","",workings1x!Z19)</f>
        <v/>
      </c>
      <c r="N12" s="2221" t="str">
        <f t="shared" si="0"/>
        <v/>
      </c>
      <c r="P12" s="2222"/>
      <c r="Q12" s="1491"/>
      <c r="R12" s="1491"/>
      <c r="S12" s="1491"/>
      <c r="T12" s="1564"/>
      <c r="U12" s="1571">
        <f ca="1">OFFSET('info sheet'!$G$9,$U$3,0)-X12</f>
        <v>1.8000000000000002E-2</v>
      </c>
      <c r="V12" s="1571">
        <f t="shared" ca="1" si="2"/>
        <v>0.02</v>
      </c>
      <c r="W12" s="1571">
        <f t="shared" ca="1" si="3"/>
        <v>4.7000000000000042E-2</v>
      </c>
      <c r="X12" s="1564">
        <f>workings1!$CW$3*Y12</f>
        <v>0</v>
      </c>
      <c r="Y12" s="1564" t="b">
        <f t="shared" si="4"/>
        <v>0</v>
      </c>
      <c r="AC12" s="1564">
        <f t="shared" si="5"/>
        <v>51000</v>
      </c>
      <c r="AF12" s="1491"/>
      <c r="AG12" s="1491"/>
      <c r="AH12" s="1491"/>
      <c r="AI12" s="1491"/>
      <c r="AJ12" s="1491"/>
      <c r="AK12" s="1491"/>
      <c r="AL12" s="1491"/>
      <c r="AM12" s="1491"/>
    </row>
    <row r="13" spans="1:39" ht="13" x14ac:dyDescent="0.3">
      <c r="A13" s="1491"/>
      <c r="C13" s="2192" t="str">
        <f>IF(workings1!G20&lt;workings1!F20,"",workings1!F20)</f>
        <v/>
      </c>
      <c r="D13" s="2192" t="str">
        <f>IF(workings1!G20&lt;workings1!F20,"",workings1!G20)</f>
        <v/>
      </c>
      <c r="E13" s="2200" t="str">
        <f>IF(D13&lt;&gt;"",workings1!H20,"")</f>
        <v/>
      </c>
      <c r="F13" s="1649" t="str">
        <f>IF(D13&lt;&gt;"",workings1x!L20,"")</f>
        <v/>
      </c>
      <c r="G13" s="2220" t="str">
        <f>IF(D13="","",workings1!S20)</f>
        <v/>
      </c>
      <c r="H13" s="1649" t="str">
        <f>IF(D13="","",workings1!AF20)</f>
        <v/>
      </c>
      <c r="I13" s="2200" t="str">
        <f>IF(D13="","",workings1!P20)</f>
        <v/>
      </c>
      <c r="J13" s="1648" t="str">
        <f t="shared" si="1"/>
        <v/>
      </c>
      <c r="K13" s="1648" t="str">
        <f>IF(D13="","",workings1x!Y20)</f>
        <v/>
      </c>
      <c r="L13" s="1648" t="str">
        <f>IF(D13="","",F13*U13/$E$7*E13*workings1x!$AC$2)</f>
        <v/>
      </c>
      <c r="M13" s="1648" t="str">
        <f>IF(D13="","",workings1x!Z20)</f>
        <v/>
      </c>
      <c r="N13" s="2221" t="str">
        <f t="shared" si="0"/>
        <v/>
      </c>
      <c r="P13" s="2222"/>
      <c r="Q13" s="1491"/>
      <c r="R13" s="1491"/>
      <c r="S13" s="1491"/>
      <c r="T13" s="1564"/>
      <c r="U13" s="1571">
        <f ca="1">OFFSET('info sheet'!$G$9,$U$3,0)-X13</f>
        <v>1.8000000000000002E-2</v>
      </c>
      <c r="V13" s="1571">
        <f t="shared" ca="1" si="2"/>
        <v>0.02</v>
      </c>
      <c r="W13" s="1571">
        <f t="shared" ca="1" si="3"/>
        <v>4.7000000000000042E-2</v>
      </c>
      <c r="X13" s="1564">
        <f>workings1!$CW$3*Y13</f>
        <v>0</v>
      </c>
      <c r="Y13" s="1564" t="b">
        <f t="shared" si="4"/>
        <v>0</v>
      </c>
      <c r="AC13" s="1564">
        <f t="shared" si="5"/>
        <v>51000</v>
      </c>
      <c r="AF13" s="1491"/>
      <c r="AG13" s="1491"/>
      <c r="AH13" s="1491"/>
      <c r="AI13" s="1491"/>
      <c r="AJ13" s="1491"/>
      <c r="AK13" s="1491"/>
      <c r="AL13" s="1491"/>
      <c r="AM13" s="1491"/>
    </row>
    <row r="14" spans="1:39" ht="13" x14ac:dyDescent="0.3">
      <c r="A14" s="1491"/>
      <c r="C14" s="2192" t="str">
        <f>IF(workings1!G21&lt;workings1!F21,"",workings1!F21)</f>
        <v/>
      </c>
      <c r="D14" s="2192" t="str">
        <f>IF(workings1!G21&lt;workings1!F21,"",workings1!G21)</f>
        <v/>
      </c>
      <c r="E14" s="2200" t="str">
        <f>IF(D14&lt;&gt;"",workings1!H21,"")</f>
        <v/>
      </c>
      <c r="F14" s="1649" t="str">
        <f>IF(D14&lt;&gt;"",workings1x!L21,"")</f>
        <v/>
      </c>
      <c r="G14" s="2220" t="str">
        <f>IF(D14="","",workings1!S21)</f>
        <v/>
      </c>
      <c r="H14" s="1649" t="str">
        <f>IF(D14="","",workings1!AF21)</f>
        <v/>
      </c>
      <c r="I14" s="2200" t="str">
        <f>IF(D14="","",workings1!P21)</f>
        <v/>
      </c>
      <c r="J14" s="1648" t="str">
        <f t="shared" si="1"/>
        <v/>
      </c>
      <c r="K14" s="1648" t="str">
        <f>IF(D14="","",workings1x!Y21)</f>
        <v/>
      </c>
      <c r="L14" s="1648" t="str">
        <f>IF(D14="","",F14*U14/$E$7*E14*workings1x!$AC$2)</f>
        <v/>
      </c>
      <c r="M14" s="1648" t="str">
        <f>IF(D14="","",workings1x!Z21)</f>
        <v/>
      </c>
      <c r="N14" s="2221" t="str">
        <f t="shared" si="0"/>
        <v/>
      </c>
      <c r="P14" s="2222"/>
      <c r="Q14" s="1491"/>
      <c r="R14" s="1491"/>
      <c r="S14" s="1491"/>
      <c r="T14" s="1564"/>
      <c r="U14" s="1571">
        <f ca="1">OFFSET('info sheet'!$G$9,$U$3,0)-X14</f>
        <v>1.8000000000000002E-2</v>
      </c>
      <c r="V14" s="1571">
        <f t="shared" ca="1" si="2"/>
        <v>0.02</v>
      </c>
      <c r="W14" s="1571">
        <f t="shared" ca="1" si="3"/>
        <v>4.7000000000000042E-2</v>
      </c>
      <c r="X14" s="1564">
        <f>workings1!$CW$3*Y14</f>
        <v>0</v>
      </c>
      <c r="Y14" s="1564" t="b">
        <f t="shared" si="4"/>
        <v>0</v>
      </c>
      <c r="AC14" s="1564">
        <f t="shared" si="5"/>
        <v>51000</v>
      </c>
      <c r="AF14" s="1491"/>
      <c r="AG14" s="1491"/>
      <c r="AH14" s="1491"/>
      <c r="AI14" s="1491"/>
      <c r="AJ14" s="1491"/>
      <c r="AK14" s="1491"/>
      <c r="AL14" s="1491"/>
      <c r="AM14" s="1491"/>
    </row>
    <row r="15" spans="1:39" ht="13" x14ac:dyDescent="0.3">
      <c r="A15" s="1491"/>
      <c r="C15" s="2192" t="str">
        <f>IF(workings1!G22&lt;workings1!F22,"",workings1!F22)</f>
        <v/>
      </c>
      <c r="D15" s="2192" t="str">
        <f>IF(workings1!G22&lt;workings1!F22,"",workings1!G22)</f>
        <v/>
      </c>
      <c r="E15" s="2200" t="str">
        <f>IF(D15&lt;&gt;"",workings1!H22,"")</f>
        <v/>
      </c>
      <c r="F15" s="1649" t="str">
        <f>IF(D15&lt;&gt;"",workings1x!L22,"")</f>
        <v/>
      </c>
      <c r="G15" s="2220" t="str">
        <f>IF(D15="","",workings1!S22)</f>
        <v/>
      </c>
      <c r="H15" s="1649" t="str">
        <f>IF(D15="","",workings1!AF22)</f>
        <v/>
      </c>
      <c r="I15" s="2200" t="str">
        <f>IF(D15="","",workings1!P22)</f>
        <v/>
      </c>
      <c r="J15" s="1648" t="str">
        <f t="shared" si="1"/>
        <v/>
      </c>
      <c r="K15" s="1648" t="str">
        <f>IF(D15="","",workings1x!Y22)</f>
        <v/>
      </c>
      <c r="L15" s="1648" t="str">
        <f>IF(D15="","",F15*U15/$E$7*E15*workings1x!$AC$2)</f>
        <v/>
      </c>
      <c r="M15" s="1648" t="str">
        <f>IF(D15="","",workings1x!Z22)</f>
        <v/>
      </c>
      <c r="N15" s="2221" t="str">
        <f t="shared" si="0"/>
        <v/>
      </c>
      <c r="P15" s="2222"/>
      <c r="Q15" s="1491"/>
      <c r="R15" s="1491"/>
      <c r="S15" s="1491"/>
      <c r="T15" s="1564"/>
      <c r="U15" s="1571">
        <f ca="1">OFFSET('info sheet'!$G$9,$U$3,0)-X15</f>
        <v>1.8000000000000002E-2</v>
      </c>
      <c r="V15" s="1571">
        <f t="shared" ca="1" si="2"/>
        <v>0.02</v>
      </c>
      <c r="W15" s="1571">
        <f t="shared" ca="1" si="3"/>
        <v>4.7000000000000042E-2</v>
      </c>
      <c r="X15" s="1564">
        <f>workings1!$CW$3*Y15</f>
        <v>0</v>
      </c>
      <c r="Y15" s="1564" t="b">
        <f t="shared" si="4"/>
        <v>0</v>
      </c>
      <c r="AC15" s="1564">
        <f t="shared" si="5"/>
        <v>51000</v>
      </c>
      <c r="AF15" s="1491"/>
      <c r="AG15" s="1491"/>
      <c r="AH15" s="1491"/>
      <c r="AI15" s="1491"/>
      <c r="AJ15" s="1491"/>
      <c r="AK15" s="1491"/>
      <c r="AL15" s="1491"/>
      <c r="AM15" s="1491"/>
    </row>
    <row r="16" spans="1:39" ht="13" x14ac:dyDescent="0.3">
      <c r="A16" s="1491"/>
      <c r="C16" s="2192" t="str">
        <f>IF(workings1!G23&lt;workings1!F23,"",workings1!F23)</f>
        <v/>
      </c>
      <c r="D16" s="2192" t="str">
        <f>IF(workings1!G23&lt;workings1!F23,"",workings1!G23)</f>
        <v/>
      </c>
      <c r="E16" s="2200" t="str">
        <f>IF(D16&lt;&gt;"",workings1!H23,"")</f>
        <v/>
      </c>
      <c r="F16" s="1649" t="str">
        <f>IF(D16&lt;&gt;"",workings1x!L23,"")</f>
        <v/>
      </c>
      <c r="G16" s="2220" t="str">
        <f>IF(D16="","",workings1!S23)</f>
        <v/>
      </c>
      <c r="H16" s="1649" t="str">
        <f>IF(D16="","",workings1!AF23)</f>
        <v/>
      </c>
      <c r="I16" s="2200" t="str">
        <f>IF(D16="","",workings1!P23)</f>
        <v/>
      </c>
      <c r="J16" s="1648" t="str">
        <f t="shared" si="1"/>
        <v/>
      </c>
      <c r="K16" s="1648" t="str">
        <f>IF(D16="","",workings1x!Y23)</f>
        <v/>
      </c>
      <c r="L16" s="1648" t="str">
        <f>IF(D16="","",F16*U16/$E$7*E16*workings1x!$AC$2)</f>
        <v/>
      </c>
      <c r="M16" s="1648" t="str">
        <f>IF(D16="","",workings1x!Z23)</f>
        <v/>
      </c>
      <c r="N16" s="2221" t="str">
        <f t="shared" si="0"/>
        <v/>
      </c>
      <c r="P16" s="2222"/>
      <c r="Q16" s="1491"/>
      <c r="R16" s="1491"/>
      <c r="S16" s="1491"/>
      <c r="T16" s="1564"/>
      <c r="U16" s="1571">
        <f ca="1">OFFSET('info sheet'!$G$9,$U$3,0)-X16</f>
        <v>1.8000000000000002E-2</v>
      </c>
      <c r="V16" s="1571">
        <f t="shared" ca="1" si="2"/>
        <v>0.02</v>
      </c>
      <c r="W16" s="1571">
        <f t="shared" ca="1" si="3"/>
        <v>4.7000000000000042E-2</v>
      </c>
      <c r="X16" s="1564">
        <f>workings1!$CW$3*Y16</f>
        <v>0</v>
      </c>
      <c r="Y16" s="1564" t="b">
        <f t="shared" si="4"/>
        <v>0</v>
      </c>
      <c r="AC16" s="1564">
        <f t="shared" si="5"/>
        <v>51000</v>
      </c>
      <c r="AF16" s="1491"/>
      <c r="AG16" s="1491"/>
      <c r="AH16" s="1491"/>
      <c r="AI16" s="1491"/>
      <c r="AJ16" s="1491"/>
      <c r="AK16" s="1491"/>
      <c r="AL16" s="1491"/>
      <c r="AM16" s="1491"/>
    </row>
    <row r="17" spans="1:39" ht="13" x14ac:dyDescent="0.3">
      <c r="A17" s="1491"/>
      <c r="C17" s="2192" t="str">
        <f>IF(workings1!G24&lt;workings1!F24,"",workings1!F24)</f>
        <v/>
      </c>
      <c r="D17" s="2192" t="str">
        <f>IF(workings1!G24&lt;workings1!F24,"",workings1!G24)</f>
        <v/>
      </c>
      <c r="E17" s="2200" t="str">
        <f>IF(D17&lt;&gt;"",workings1!H24,"")</f>
        <v/>
      </c>
      <c r="F17" s="1649" t="str">
        <f>IF(D17&lt;&gt;"",workings1x!L24,"")</f>
        <v/>
      </c>
      <c r="G17" s="2220" t="str">
        <f>IF(D17="","",workings1!S24)</f>
        <v/>
      </c>
      <c r="H17" s="1649" t="str">
        <f>IF(D17="","",workings1!AF24)</f>
        <v/>
      </c>
      <c r="I17" s="2200" t="str">
        <f>IF(D17="","",workings1!P24)</f>
        <v/>
      </c>
      <c r="J17" s="1648" t="str">
        <f t="shared" si="1"/>
        <v/>
      </c>
      <c r="K17" s="1648" t="str">
        <f>IF(D17="","",workings1x!Y24)</f>
        <v/>
      </c>
      <c r="L17" s="1648" t="str">
        <f>IF(D17="","",F17*U17/$E$7*E17*workings1x!$AC$2)</f>
        <v/>
      </c>
      <c r="M17" s="1648" t="str">
        <f>IF(D17="","",workings1x!Z24)</f>
        <v/>
      </c>
      <c r="N17" s="2221" t="str">
        <f t="shared" si="0"/>
        <v/>
      </c>
      <c r="P17" s="2222"/>
      <c r="Q17" s="1491"/>
      <c r="R17" s="1491"/>
      <c r="S17" s="1491"/>
      <c r="T17" s="1564"/>
      <c r="U17" s="1571">
        <f ca="1">OFFSET('info sheet'!$G$9,$U$3,0)-X17</f>
        <v>1.8000000000000002E-2</v>
      </c>
      <c r="V17" s="1571">
        <f t="shared" ca="1" si="2"/>
        <v>0.02</v>
      </c>
      <c r="W17" s="1571">
        <f t="shared" ca="1" si="3"/>
        <v>4.7000000000000042E-2</v>
      </c>
      <c r="X17" s="1564">
        <f>workings1!$CW$3*Y17</f>
        <v>0</v>
      </c>
      <c r="Y17" s="1564" t="b">
        <f t="shared" si="4"/>
        <v>0</v>
      </c>
      <c r="AC17" s="1564">
        <f t="shared" si="5"/>
        <v>51000</v>
      </c>
      <c r="AF17" s="1491"/>
      <c r="AG17" s="1491"/>
      <c r="AH17" s="1491"/>
      <c r="AI17" s="1491"/>
      <c r="AJ17" s="1491"/>
      <c r="AK17" s="1491"/>
      <c r="AL17" s="1491"/>
      <c r="AM17" s="1491"/>
    </row>
    <row r="18" spans="1:39" ht="13" x14ac:dyDescent="0.3">
      <c r="A18" s="1491"/>
      <c r="C18" s="2192" t="str">
        <f>IF(workings1!G25&lt;workings1!F25,"",workings1!F25)</f>
        <v/>
      </c>
      <c r="D18" s="2192" t="str">
        <f>IF(workings1!G25&lt;workings1!F25,"",workings1!G25)</f>
        <v/>
      </c>
      <c r="E18" s="2200" t="str">
        <f>IF(D18&lt;&gt;"",workings1!H25,"")</f>
        <v/>
      </c>
      <c r="F18" s="1649" t="str">
        <f>IF(D18&lt;&gt;"",workings1x!L25,"")</f>
        <v/>
      </c>
      <c r="G18" s="2220" t="str">
        <f>IF(D18="","",workings1!S25)</f>
        <v/>
      </c>
      <c r="H18" s="1649" t="str">
        <f>IF(D18="","",workings1!AF25)</f>
        <v/>
      </c>
      <c r="I18" s="2200" t="str">
        <f>IF(D18="","",workings1!P25)</f>
        <v/>
      </c>
      <c r="J18" s="1648" t="str">
        <f t="shared" si="1"/>
        <v/>
      </c>
      <c r="K18" s="1648" t="str">
        <f>IF(D18="","",workings1x!Y25)</f>
        <v/>
      </c>
      <c r="L18" s="1648" t="str">
        <f>IF(D18="","",F18*U18/$E$7*E18*workings1x!$AC$2)</f>
        <v/>
      </c>
      <c r="M18" s="1648" t="str">
        <f>IF(D18="","",workings1x!Z25)</f>
        <v/>
      </c>
      <c r="N18" s="2221" t="str">
        <f t="shared" si="0"/>
        <v/>
      </c>
      <c r="P18" s="2222"/>
      <c r="Q18" s="1491"/>
      <c r="R18" s="1491"/>
      <c r="S18" s="1491"/>
      <c r="T18" s="1564"/>
      <c r="U18" s="1571">
        <f ca="1">OFFSET('info sheet'!$G$9,$U$3,0)-X18</f>
        <v>1.8000000000000002E-2</v>
      </c>
      <c r="V18" s="1571">
        <f t="shared" ca="1" si="2"/>
        <v>0.02</v>
      </c>
      <c r="W18" s="1571">
        <f t="shared" ca="1" si="3"/>
        <v>4.7000000000000042E-2</v>
      </c>
      <c r="X18" s="1564">
        <f>workings1!$CW$3*Y18</f>
        <v>0</v>
      </c>
      <c r="Y18" s="1564" t="b">
        <f t="shared" si="4"/>
        <v>0</v>
      </c>
      <c r="AC18" s="1564">
        <f t="shared" si="5"/>
        <v>51000</v>
      </c>
      <c r="AF18" s="1491"/>
      <c r="AG18" s="1491"/>
      <c r="AH18" s="1491"/>
      <c r="AI18" s="1491"/>
      <c r="AJ18" s="1491"/>
      <c r="AK18" s="1491"/>
      <c r="AL18" s="1491"/>
      <c r="AM18" s="1491"/>
    </row>
    <row r="19" spans="1:39" ht="13" x14ac:dyDescent="0.3">
      <c r="A19" s="1491"/>
      <c r="C19" s="2192" t="str">
        <f>IF(workings1!G26&lt;workings1!F26,"",workings1!F26)</f>
        <v/>
      </c>
      <c r="D19" s="2192" t="str">
        <f>IF(workings1!G26&lt;workings1!F26,"",workings1!G26)</f>
        <v/>
      </c>
      <c r="E19" s="2200" t="str">
        <f>IF(D19&lt;&gt;"",workings1!H26,"")</f>
        <v/>
      </c>
      <c r="F19" s="1649" t="str">
        <f>IF(D19&lt;&gt;"",workings1x!L26,"")</f>
        <v/>
      </c>
      <c r="G19" s="2220" t="str">
        <f>IF(D19="","",workings1!S26)</f>
        <v/>
      </c>
      <c r="H19" s="1649" t="str">
        <f>IF(D19="","",workings1!AF26)</f>
        <v/>
      </c>
      <c r="I19" s="2200" t="str">
        <f>IF(D19="","",workings1!P26)</f>
        <v/>
      </c>
      <c r="J19" s="1648" t="str">
        <f t="shared" si="1"/>
        <v/>
      </c>
      <c r="K19" s="1648" t="str">
        <f>IF(D19="","",workings1x!Y26)</f>
        <v/>
      </c>
      <c r="L19" s="1648" t="str">
        <f>IF(D19="","",F19*U19/$E$7*E19*workings1x!$AC$2)</f>
        <v/>
      </c>
      <c r="M19" s="1648" t="str">
        <f>IF(D19="","",workings1x!Z26)</f>
        <v/>
      </c>
      <c r="N19" s="2221" t="str">
        <f t="shared" si="0"/>
        <v/>
      </c>
      <c r="P19" s="2222"/>
      <c r="Q19" s="1491"/>
      <c r="R19" s="1491"/>
      <c r="S19" s="1491"/>
      <c r="T19" s="1564"/>
      <c r="U19" s="1571">
        <f ca="1">OFFSET('info sheet'!$G$9,$U$3,0)-X19</f>
        <v>1.8000000000000002E-2</v>
      </c>
      <c r="V19" s="1571">
        <f t="shared" ca="1" si="2"/>
        <v>0.02</v>
      </c>
      <c r="W19" s="1571">
        <f t="shared" ca="1" si="3"/>
        <v>4.7000000000000042E-2</v>
      </c>
      <c r="X19" s="1564">
        <f>workings1!$CW$3*Y19</f>
        <v>0</v>
      </c>
      <c r="Y19" s="1564" t="b">
        <f t="shared" si="4"/>
        <v>0</v>
      </c>
      <c r="AC19" s="1564">
        <f t="shared" si="5"/>
        <v>51000</v>
      </c>
      <c r="AF19" s="1491"/>
      <c r="AG19" s="1491"/>
      <c r="AH19" s="1491"/>
      <c r="AI19" s="1491"/>
      <c r="AJ19" s="1491"/>
      <c r="AK19" s="1491"/>
      <c r="AL19" s="1491"/>
      <c r="AM19" s="1491"/>
    </row>
    <row r="20" spans="1:39" ht="13" x14ac:dyDescent="0.3">
      <c r="A20" s="1491"/>
      <c r="C20" s="2192" t="str">
        <f>IF(workings1!G27&lt;workings1!F27,"",workings1!F27)</f>
        <v/>
      </c>
      <c r="D20" s="2192" t="str">
        <f>IF(workings1!G27&lt;workings1!F27,"",workings1!G27)</f>
        <v/>
      </c>
      <c r="E20" s="2200" t="str">
        <f>IF(D20&lt;&gt;"",workings1!H27,"")</f>
        <v/>
      </c>
      <c r="F20" s="1649" t="str">
        <f>IF(D20&lt;&gt;"",workings1x!L27,"")</f>
        <v/>
      </c>
      <c r="G20" s="2220" t="str">
        <f>IF(D20="","",workings1!S27)</f>
        <v/>
      </c>
      <c r="H20" s="1649" t="str">
        <f>IF(D20="","",workings1!AF27)</f>
        <v/>
      </c>
      <c r="I20" s="2200" t="str">
        <f>IF(D20="","",workings1!P27)</f>
        <v/>
      </c>
      <c r="J20" s="1648" t="str">
        <f t="shared" si="1"/>
        <v/>
      </c>
      <c r="K20" s="1648" t="str">
        <f>IF(D20="","",workings1x!Y27)</f>
        <v/>
      </c>
      <c r="L20" s="1648" t="str">
        <f>IF(D20="","",F20*U20/$E$7*E20*workings1x!$AC$2)</f>
        <v/>
      </c>
      <c r="M20" s="1648" t="str">
        <f>IF(D20="","",workings1x!Z27)</f>
        <v/>
      </c>
      <c r="N20" s="2221" t="str">
        <f t="shared" si="0"/>
        <v/>
      </c>
      <c r="P20" s="2222"/>
      <c r="Q20" s="1491"/>
      <c r="R20" s="1491"/>
      <c r="S20" s="1491"/>
      <c r="T20" s="1564"/>
      <c r="U20" s="1571">
        <f ca="1">OFFSET('info sheet'!$G$9,$U$3,0)-X20</f>
        <v>1.8000000000000002E-2</v>
      </c>
      <c r="V20" s="1571">
        <f t="shared" ca="1" si="2"/>
        <v>0.02</v>
      </c>
      <c r="W20" s="1571">
        <f t="shared" ca="1" si="3"/>
        <v>4.7000000000000042E-2</v>
      </c>
      <c r="X20" s="1564">
        <f>workings1!$CW$3*Y20</f>
        <v>0</v>
      </c>
      <c r="Y20" s="1564" t="b">
        <f t="shared" si="4"/>
        <v>0</v>
      </c>
      <c r="AC20" s="1564">
        <f t="shared" si="5"/>
        <v>51000</v>
      </c>
      <c r="AF20" s="1491"/>
      <c r="AG20" s="1491"/>
      <c r="AH20" s="1491"/>
      <c r="AI20" s="1491"/>
      <c r="AJ20" s="1491"/>
      <c r="AK20" s="1491"/>
      <c r="AL20" s="1491"/>
      <c r="AM20" s="1491"/>
    </row>
    <row r="21" spans="1:39" ht="13.5" thickBot="1" x14ac:dyDescent="0.35">
      <c r="A21" s="1491"/>
      <c r="C21" s="1966"/>
      <c r="D21" s="1966"/>
      <c r="E21" s="1966"/>
      <c r="F21" s="1966"/>
      <c r="G21" s="1966"/>
      <c r="H21" s="1966"/>
      <c r="I21" s="1966"/>
      <c r="J21" s="2223">
        <f ca="1">SUM(J9:J20)</f>
        <v>0</v>
      </c>
      <c r="K21" s="2223">
        <f ca="1">SUM(K9:K20)</f>
        <v>0</v>
      </c>
      <c r="L21" s="2223">
        <f ca="1">SUM(L9:L20)</f>
        <v>0</v>
      </c>
      <c r="M21" s="2223">
        <f ca="1">SUM(M9:M20)</f>
        <v>0</v>
      </c>
      <c r="N21" s="2223">
        <f ca="1">SUM(N9:N20)</f>
        <v>0</v>
      </c>
      <c r="Q21" s="1491"/>
      <c r="R21" s="1491"/>
      <c r="S21" s="1491"/>
      <c r="AF21" s="1491"/>
      <c r="AG21" s="1491"/>
      <c r="AH21" s="1491"/>
      <c r="AI21" s="1491"/>
      <c r="AJ21" s="1491"/>
      <c r="AK21" s="1491"/>
      <c r="AL21" s="1491"/>
      <c r="AM21" s="1491"/>
    </row>
    <row r="22" spans="1:39" ht="13.5" thickTop="1" x14ac:dyDescent="0.3">
      <c r="A22" s="1491"/>
      <c r="C22" s="1501" t="s">
        <v>1849</v>
      </c>
      <c r="D22" s="1966"/>
      <c r="E22" s="1966"/>
      <c r="F22" s="1966"/>
      <c r="G22" s="1966"/>
      <c r="H22" s="1966"/>
      <c r="I22" s="1966"/>
      <c r="J22" s="2224"/>
      <c r="K22" s="1966"/>
      <c r="L22" s="2224"/>
      <c r="M22" s="2224"/>
      <c r="N22" s="1966"/>
      <c r="Q22" s="1491"/>
      <c r="R22" s="1491"/>
      <c r="S22" s="1491"/>
      <c r="AF22" s="1491"/>
      <c r="AG22" s="1491"/>
      <c r="AH22" s="1491"/>
      <c r="AI22" s="1491"/>
      <c r="AJ22" s="1491"/>
      <c r="AK22" s="1491"/>
      <c r="AL22" s="1491"/>
      <c r="AM22" s="1491"/>
    </row>
    <row r="23" spans="1:39" ht="26" x14ac:dyDescent="0.3">
      <c r="A23" s="1491"/>
      <c r="C23" s="2225" t="s">
        <v>1844</v>
      </c>
      <c r="D23" s="2225" t="s">
        <v>1845</v>
      </c>
      <c r="E23" s="2226" t="s">
        <v>2399</v>
      </c>
      <c r="F23" s="2226" t="s">
        <v>1850</v>
      </c>
      <c r="G23" s="2226" t="s">
        <v>1851</v>
      </c>
      <c r="H23" s="2227" t="s">
        <v>274</v>
      </c>
      <c r="I23" s="2226" t="s">
        <v>115</v>
      </c>
      <c r="J23" s="2228" t="s">
        <v>2864</v>
      </c>
      <c r="K23" s="2228" t="s">
        <v>1703</v>
      </c>
      <c r="L23" s="2228"/>
      <c r="M23" s="2228" t="str">
        <f>'original detail 1'!$M$23</f>
        <v>RHL</v>
      </c>
      <c r="N23" s="2225" t="s">
        <v>1852</v>
      </c>
      <c r="Q23" s="1491"/>
      <c r="R23" s="1491"/>
      <c r="S23" s="1491"/>
      <c r="U23" s="1594" t="s">
        <v>2326</v>
      </c>
      <c r="AF23" s="1491"/>
      <c r="AG23" s="1491"/>
      <c r="AH23" s="1491"/>
      <c r="AI23" s="1491"/>
      <c r="AJ23" s="1491"/>
      <c r="AK23" s="1491"/>
      <c r="AL23" s="1491"/>
      <c r="AM23" s="1491"/>
    </row>
    <row r="24" spans="1:39" ht="15.75" customHeight="1" x14ac:dyDescent="0.25">
      <c r="A24" s="1491"/>
      <c r="C24" s="2192">
        <f t="shared" ref="C24:D35" si="6">C9</f>
        <v>45383</v>
      </c>
      <c r="D24" s="2192">
        <f t="shared" si="6"/>
        <v>45747</v>
      </c>
      <c r="E24" s="2229">
        <f ca="1">IF(J9="","",(workings1x!Q16-J9))</f>
        <v>0</v>
      </c>
      <c r="F24" s="2229">
        <f ca="1">IF(J9="","",workings1!T16-(N9+E24+G24+I24+J24+K24+L24+M24))</f>
        <v>0</v>
      </c>
      <c r="G24" s="2229">
        <f ca="1">IF(D9="","",IF(OR(workings1!$X$2=FALSE,H9="y"),0,workings1!R16*-0.8))</f>
        <v>0</v>
      </c>
      <c r="H24" s="2230" t="str">
        <f ca="1">IF(D9="","",IF(workings1!AH16=5000000,"5 Million",workings1!AH16))</f>
        <v>5 Million</v>
      </c>
      <c r="I24" s="2229">
        <f ca="1">IF(J9="","",(((workings1!Q16+L9)/workings1!AH16)-(workings1!Q16+L9))*workings1!U16)</f>
        <v>0</v>
      </c>
      <c r="J24" s="2229">
        <f ca="1">IF(J9="","",workings1!AR16-workings1x!AR16)</f>
        <v>0</v>
      </c>
      <c r="K24" s="2229">
        <f ca="1">IF(D9="","",workings1!CC16)</f>
        <v>0</v>
      </c>
      <c r="L24" s="2229"/>
      <c r="M24" s="2229">
        <f ca="1">IF(J9="","",workings1!AZ16)</f>
        <v>0</v>
      </c>
      <c r="N24" s="1648">
        <f t="shared" ref="N24:N35" ca="1" si="7">IF(D9="","",U24)</f>
        <v>0</v>
      </c>
      <c r="Q24" s="1491"/>
      <c r="R24" s="1491"/>
      <c r="S24" s="1491"/>
      <c r="U24" s="2231">
        <f t="shared" ref="U24:U35" ca="1" si="8">SUM(V24:AD24)</f>
        <v>0</v>
      </c>
      <c r="V24" s="2232">
        <f t="shared" ref="V24:V35" ca="1" si="9">IF(N9="",0,N9)</f>
        <v>0</v>
      </c>
      <c r="W24" s="2231">
        <f t="shared" ref="W24:W35" ca="1" si="10">IF(E24="",0,E24)</f>
        <v>0</v>
      </c>
      <c r="X24" s="2231">
        <f t="shared" ref="X24:X35" ca="1" si="11">IF(F24="",0,F24)</f>
        <v>0</v>
      </c>
      <c r="Y24" s="2231">
        <f t="shared" ref="Y24:Y35" ca="1" si="12">IF(G24="",0,G24)</f>
        <v>0</v>
      </c>
      <c r="Z24" s="2231">
        <f t="shared" ref="Z24:Z35" ca="1" si="13">IF(I24="",0,I24)</f>
        <v>0</v>
      </c>
      <c r="AA24" s="2231">
        <f t="shared" ref="AA24:AA35" ca="1" si="14">IF(J24="",0,J24)</f>
        <v>0</v>
      </c>
      <c r="AB24" s="2231">
        <f t="shared" ref="AB24:AB35" ca="1" si="15">IF(K24="",0,K24)</f>
        <v>0</v>
      </c>
      <c r="AC24" s="2231">
        <f t="shared" ref="AC24:AC35" si="16">IF(L24="",0,L24)</f>
        <v>0</v>
      </c>
      <c r="AD24" s="2231">
        <f t="shared" ref="AD24:AD35" ca="1" si="17">IF(M24="",0,M24)</f>
        <v>0</v>
      </c>
      <c r="AF24" s="1491"/>
      <c r="AG24" s="1491"/>
      <c r="AH24" s="1491"/>
      <c r="AI24" s="1491"/>
      <c r="AJ24" s="1491"/>
      <c r="AK24" s="1491"/>
      <c r="AL24" s="1491"/>
      <c r="AM24" s="1491"/>
    </row>
    <row r="25" spans="1:39" x14ac:dyDescent="0.25">
      <c r="A25" s="1491"/>
      <c r="C25" s="2192" t="str">
        <f t="shared" si="6"/>
        <v/>
      </c>
      <c r="D25" s="2192" t="str">
        <f t="shared" si="6"/>
        <v/>
      </c>
      <c r="E25" s="2229" t="str">
        <f>IF(J10="","",(workings1x!Q17-J10))</f>
        <v/>
      </c>
      <c r="F25" s="2229" t="str">
        <f>IF(J10="","",workings1!T17-(N10+E25+G25+I25+J25+K25+L25+M25))</f>
        <v/>
      </c>
      <c r="G25" s="2229" t="str">
        <f>IF(D10="","",IF(OR(workings1!$X$2=FALSE,H10="y"),0,workings1!R17*-0.8))</f>
        <v/>
      </c>
      <c r="H25" s="2230" t="str">
        <f>IF(D10="","",IF(workings1!AH17=5000000,"5 Million",workings1!AH17))</f>
        <v/>
      </c>
      <c r="I25" s="2229" t="str">
        <f>IF(J10="","",(((workings1!Q17+L10)/workings1!AH17)-(workings1!Q17+L10))*workings1!U17)</f>
        <v/>
      </c>
      <c r="J25" s="2229" t="str">
        <f>IF(J10="","",workings1!AR17-workings1x!AR17)</f>
        <v/>
      </c>
      <c r="K25" s="2229" t="str">
        <f>IF(D10="","",workings1!CC17)</f>
        <v/>
      </c>
      <c r="L25" s="2229"/>
      <c r="M25" s="2229" t="str">
        <f>IF(J10="","",workings1!AZ17)</f>
        <v/>
      </c>
      <c r="N25" s="1648" t="str">
        <f t="shared" si="7"/>
        <v/>
      </c>
      <c r="Q25" s="1491"/>
      <c r="R25" s="1491"/>
      <c r="S25" s="1491"/>
      <c r="U25" s="2231">
        <f t="shared" si="8"/>
        <v>0</v>
      </c>
      <c r="V25" s="2232">
        <f t="shared" si="9"/>
        <v>0</v>
      </c>
      <c r="W25" s="2231">
        <f t="shared" si="10"/>
        <v>0</v>
      </c>
      <c r="X25" s="2231">
        <f t="shared" si="11"/>
        <v>0</v>
      </c>
      <c r="Y25" s="2231">
        <f t="shared" si="12"/>
        <v>0</v>
      </c>
      <c r="Z25" s="2231">
        <f t="shared" si="13"/>
        <v>0</v>
      </c>
      <c r="AA25" s="2231">
        <f t="shared" si="14"/>
        <v>0</v>
      </c>
      <c r="AB25" s="2231">
        <f t="shared" si="15"/>
        <v>0</v>
      </c>
      <c r="AC25" s="2231">
        <f t="shared" si="16"/>
        <v>0</v>
      </c>
      <c r="AD25" s="2231">
        <f t="shared" si="17"/>
        <v>0</v>
      </c>
      <c r="AF25" s="1491"/>
      <c r="AG25" s="1491"/>
      <c r="AH25" s="1491"/>
      <c r="AI25" s="1491"/>
      <c r="AJ25" s="1491"/>
      <c r="AK25" s="1491"/>
      <c r="AL25" s="1491"/>
      <c r="AM25" s="1491"/>
    </row>
    <row r="26" spans="1:39" x14ac:dyDescent="0.25">
      <c r="A26" s="1491"/>
      <c r="C26" s="2192" t="str">
        <f t="shared" si="6"/>
        <v/>
      </c>
      <c r="D26" s="2192" t="str">
        <f t="shared" si="6"/>
        <v/>
      </c>
      <c r="E26" s="2229" t="str">
        <f>IF(J11="","",(workings1x!Q18-J11))</f>
        <v/>
      </c>
      <c r="F26" s="2229" t="str">
        <f>IF(J11="","",workings1!T18-(N11+E26+G26+I26+J26+K26+L26+M26))</f>
        <v/>
      </c>
      <c r="G26" s="2229" t="str">
        <f>IF(D11="","",IF(OR(workings1!$X$2=FALSE,H11="y"),0,workings1!R18*-0.8))</f>
        <v/>
      </c>
      <c r="H26" s="2230" t="str">
        <f>IF(D11="","",IF(workings1!AH18=5000000,"5 Million",workings1!AH18))</f>
        <v/>
      </c>
      <c r="I26" s="2229" t="str">
        <f>IF(J11="","",(((workings1!Q18+L11)/workings1!AH18)-(workings1!Q18+L11))*workings1!U18)</f>
        <v/>
      </c>
      <c r="J26" s="2229" t="str">
        <f>IF(J11="","",workings1!AR18-workings1x!AR18)</f>
        <v/>
      </c>
      <c r="K26" s="2229" t="str">
        <f>IF(D11="","",workings1!CC18)</f>
        <v/>
      </c>
      <c r="L26" s="2229"/>
      <c r="M26" s="2229" t="str">
        <f>IF(J11="","",workings1!AZ18)</f>
        <v/>
      </c>
      <c r="N26" s="1648" t="str">
        <f t="shared" si="7"/>
        <v/>
      </c>
      <c r="Q26" s="1491"/>
      <c r="R26" s="1491"/>
      <c r="S26" s="1491"/>
      <c r="U26" s="2231">
        <f t="shared" si="8"/>
        <v>0</v>
      </c>
      <c r="V26" s="2232">
        <f t="shared" si="9"/>
        <v>0</v>
      </c>
      <c r="W26" s="2231">
        <f t="shared" si="10"/>
        <v>0</v>
      </c>
      <c r="X26" s="2231">
        <f t="shared" si="11"/>
        <v>0</v>
      </c>
      <c r="Y26" s="2231">
        <f t="shared" si="12"/>
        <v>0</v>
      </c>
      <c r="Z26" s="2231">
        <f t="shared" si="13"/>
        <v>0</v>
      </c>
      <c r="AA26" s="2231">
        <f t="shared" si="14"/>
        <v>0</v>
      </c>
      <c r="AB26" s="2231">
        <f t="shared" si="15"/>
        <v>0</v>
      </c>
      <c r="AC26" s="2231">
        <f t="shared" si="16"/>
        <v>0</v>
      </c>
      <c r="AD26" s="2231">
        <f t="shared" si="17"/>
        <v>0</v>
      </c>
      <c r="AF26" s="1491"/>
      <c r="AG26" s="1491"/>
      <c r="AH26" s="1491"/>
      <c r="AI26" s="1491"/>
      <c r="AJ26" s="1491"/>
      <c r="AK26" s="1491"/>
      <c r="AL26" s="1491"/>
      <c r="AM26" s="1491"/>
    </row>
    <row r="27" spans="1:39" x14ac:dyDescent="0.25">
      <c r="A27" s="1491"/>
      <c r="C27" s="2192" t="str">
        <f t="shared" si="6"/>
        <v/>
      </c>
      <c r="D27" s="2192" t="str">
        <f t="shared" si="6"/>
        <v/>
      </c>
      <c r="E27" s="2229" t="str">
        <f>IF(J12="","",(workings1x!Q19-J12))</f>
        <v/>
      </c>
      <c r="F27" s="2229" t="str">
        <f>IF(J12="","",workings1!T19-(N12+E27+G27+I27+J27+K27+L27+M27))</f>
        <v/>
      </c>
      <c r="G27" s="2229" t="str">
        <f>IF(D12="","",IF(OR(workings1!$X$2=FALSE,H12="y"),0,workings1!R19*-0.8))</f>
        <v/>
      </c>
      <c r="H27" s="2230" t="str">
        <f>IF(D12="","",IF(workings1!AH19=5000000,"5 Million",workings1!AH19))</f>
        <v/>
      </c>
      <c r="I27" s="2229" t="str">
        <f>IF(J12="","",(((workings1!Q19+L12)/workings1!AH19)-(workings1!Q19+L12))*workings1!U19)</f>
        <v/>
      </c>
      <c r="J27" s="2229" t="str">
        <f>IF(J12="","",workings1!AR19-workings1x!AR19)</f>
        <v/>
      </c>
      <c r="K27" s="2229" t="str">
        <f>IF(D12="","",workings1!CC19)</f>
        <v/>
      </c>
      <c r="L27" s="2229"/>
      <c r="M27" s="2229" t="str">
        <f>IF(J12="","",workings1!AZ19)</f>
        <v/>
      </c>
      <c r="N27" s="1648" t="str">
        <f t="shared" si="7"/>
        <v/>
      </c>
      <c r="Q27" s="1491"/>
      <c r="R27" s="1491"/>
      <c r="S27" s="1491"/>
      <c r="U27" s="2231">
        <f t="shared" si="8"/>
        <v>0</v>
      </c>
      <c r="V27" s="2232">
        <f t="shared" si="9"/>
        <v>0</v>
      </c>
      <c r="W27" s="2231">
        <f t="shared" si="10"/>
        <v>0</v>
      </c>
      <c r="X27" s="2231">
        <f t="shared" si="11"/>
        <v>0</v>
      </c>
      <c r="Y27" s="2231">
        <f t="shared" si="12"/>
        <v>0</v>
      </c>
      <c r="Z27" s="2231">
        <f t="shared" si="13"/>
        <v>0</v>
      </c>
      <c r="AA27" s="2231">
        <f t="shared" si="14"/>
        <v>0</v>
      </c>
      <c r="AB27" s="2231">
        <f t="shared" si="15"/>
        <v>0</v>
      </c>
      <c r="AC27" s="2231">
        <f t="shared" si="16"/>
        <v>0</v>
      </c>
      <c r="AD27" s="2231">
        <f t="shared" si="17"/>
        <v>0</v>
      </c>
      <c r="AF27" s="1491"/>
      <c r="AG27" s="1491"/>
      <c r="AH27" s="1491"/>
      <c r="AI27" s="1491"/>
      <c r="AJ27" s="1491"/>
      <c r="AK27" s="1491"/>
      <c r="AL27" s="1491"/>
      <c r="AM27" s="1491"/>
    </row>
    <row r="28" spans="1:39" x14ac:dyDescent="0.25">
      <c r="A28" s="1491"/>
      <c r="C28" s="2192" t="str">
        <f t="shared" si="6"/>
        <v/>
      </c>
      <c r="D28" s="2192" t="str">
        <f t="shared" si="6"/>
        <v/>
      </c>
      <c r="E28" s="2229" t="str">
        <f>IF(J13="","",(workings1x!Q20-J13))</f>
        <v/>
      </c>
      <c r="F28" s="2229" t="str">
        <f>IF(J13="","",workings1!T20-(N13+E28+G28+I28+J28+K28+L28+M28))</f>
        <v/>
      </c>
      <c r="G28" s="2229" t="str">
        <f>IF(D13="","",IF(OR(workings1!$X$2=FALSE,H13="y"),0,workings1!R20*-0.8))</f>
        <v/>
      </c>
      <c r="H28" s="2230" t="str">
        <f>IF(D13="","",IF(workings1!AH20=5000000,"5 Million",workings1!AH20))</f>
        <v/>
      </c>
      <c r="I28" s="2229" t="str">
        <f>IF(J13="","",(((workings1!Q20+L13)/workings1!AH20)-(workings1!Q20+L13))*workings1!U20)</f>
        <v/>
      </c>
      <c r="J28" s="2229" t="str">
        <f>IF(J13="","",workings1!AR20-workings1x!AR20)</f>
        <v/>
      </c>
      <c r="K28" s="2229" t="str">
        <f>IF(D13="","",workings1!CC20)</f>
        <v/>
      </c>
      <c r="L28" s="2229"/>
      <c r="M28" s="2229" t="str">
        <f>IF(J13="","",workings1!AZ20)</f>
        <v/>
      </c>
      <c r="N28" s="1648" t="str">
        <f t="shared" si="7"/>
        <v/>
      </c>
      <c r="Q28" s="1491"/>
      <c r="R28" s="1491"/>
      <c r="S28" s="1491"/>
      <c r="U28" s="2231">
        <f t="shared" si="8"/>
        <v>0</v>
      </c>
      <c r="V28" s="2232">
        <f t="shared" si="9"/>
        <v>0</v>
      </c>
      <c r="W28" s="2231">
        <f t="shared" si="10"/>
        <v>0</v>
      </c>
      <c r="X28" s="2231">
        <f t="shared" si="11"/>
        <v>0</v>
      </c>
      <c r="Y28" s="2231">
        <f t="shared" si="12"/>
        <v>0</v>
      </c>
      <c r="Z28" s="2231">
        <f t="shared" si="13"/>
        <v>0</v>
      </c>
      <c r="AA28" s="2231">
        <f t="shared" si="14"/>
        <v>0</v>
      </c>
      <c r="AB28" s="2231">
        <f t="shared" si="15"/>
        <v>0</v>
      </c>
      <c r="AC28" s="2231">
        <f t="shared" si="16"/>
        <v>0</v>
      </c>
      <c r="AD28" s="2231">
        <f t="shared" si="17"/>
        <v>0</v>
      </c>
      <c r="AF28" s="1491"/>
      <c r="AG28" s="1491"/>
      <c r="AH28" s="1491"/>
      <c r="AI28" s="1491"/>
      <c r="AJ28" s="1491"/>
      <c r="AK28" s="1491"/>
      <c r="AL28" s="1491"/>
      <c r="AM28" s="1491"/>
    </row>
    <row r="29" spans="1:39" x14ac:dyDescent="0.25">
      <c r="A29" s="1491"/>
      <c r="C29" s="2192" t="str">
        <f t="shared" si="6"/>
        <v/>
      </c>
      <c r="D29" s="2192" t="str">
        <f t="shared" si="6"/>
        <v/>
      </c>
      <c r="E29" s="2229" t="str">
        <f>IF(J14="","",(workings1x!Q21-J14))</f>
        <v/>
      </c>
      <c r="F29" s="2229" t="str">
        <f>IF(J14="","",workings1!T21-(N14+E29+G29+I29+J29+K29+L29+M29))</f>
        <v/>
      </c>
      <c r="G29" s="2229" t="str">
        <f>IF(D14="","",IF(OR(workings1!$X$2=FALSE,H14="y"),0,workings1!R21*-0.8))</f>
        <v/>
      </c>
      <c r="H29" s="2230" t="str">
        <f>IF(D14="","",IF(workings1!AH21=5000000,"5 Million",workings1!AH21))</f>
        <v/>
      </c>
      <c r="I29" s="2229" t="str">
        <f>IF(J14="","",(((workings1!Q21+L14)/workings1!AH21)-(workings1!Q21+L14))*workings1!U21)</f>
        <v/>
      </c>
      <c r="J29" s="2229" t="str">
        <f>IF(J14="","",workings1!AR21-workings1x!AR21)</f>
        <v/>
      </c>
      <c r="K29" s="2229" t="str">
        <f>IF(D14="","",workings1!CC21)</f>
        <v/>
      </c>
      <c r="L29" s="2229"/>
      <c r="M29" s="2229" t="str">
        <f>IF(J14="","",workings1!AZ21)</f>
        <v/>
      </c>
      <c r="N29" s="1648" t="str">
        <f t="shared" si="7"/>
        <v/>
      </c>
      <c r="Q29" s="1491"/>
      <c r="R29" s="1491"/>
      <c r="S29" s="1491"/>
      <c r="U29" s="2231">
        <f t="shared" si="8"/>
        <v>0</v>
      </c>
      <c r="V29" s="2232">
        <f t="shared" si="9"/>
        <v>0</v>
      </c>
      <c r="W29" s="2231">
        <f t="shared" si="10"/>
        <v>0</v>
      </c>
      <c r="X29" s="2231">
        <f t="shared" si="11"/>
        <v>0</v>
      </c>
      <c r="Y29" s="2231">
        <f t="shared" si="12"/>
        <v>0</v>
      </c>
      <c r="Z29" s="2231">
        <f t="shared" si="13"/>
        <v>0</v>
      </c>
      <c r="AA29" s="2231">
        <f t="shared" si="14"/>
        <v>0</v>
      </c>
      <c r="AB29" s="2231">
        <f t="shared" si="15"/>
        <v>0</v>
      </c>
      <c r="AC29" s="2231">
        <f t="shared" si="16"/>
        <v>0</v>
      </c>
      <c r="AD29" s="2231">
        <f t="shared" si="17"/>
        <v>0</v>
      </c>
      <c r="AF29" s="1491"/>
      <c r="AG29" s="1491"/>
      <c r="AH29" s="1491"/>
      <c r="AI29" s="1491"/>
      <c r="AJ29" s="1491"/>
      <c r="AK29" s="1491"/>
      <c r="AL29" s="1491"/>
      <c r="AM29" s="1491"/>
    </row>
    <row r="30" spans="1:39" x14ac:dyDescent="0.25">
      <c r="A30" s="1491"/>
      <c r="C30" s="2192" t="str">
        <f t="shared" si="6"/>
        <v/>
      </c>
      <c r="D30" s="2192" t="str">
        <f t="shared" si="6"/>
        <v/>
      </c>
      <c r="E30" s="2229" t="str">
        <f>IF(J15="","",(workings1x!Q22-J15))</f>
        <v/>
      </c>
      <c r="F30" s="2229" t="str">
        <f>IF(J15="","",workings1!T22-(N15+E30+G30+I30+J30+K30+L30+M30))</f>
        <v/>
      </c>
      <c r="G30" s="2229" t="str">
        <f>IF(D15="","",IF(OR(workings1!$X$2=FALSE,H15="y"),0,workings1!R22*-0.8))</f>
        <v/>
      </c>
      <c r="H30" s="2230" t="str">
        <f>IF(D15="","",IF(workings1!AH22=5000000,"5 Million",workings1!AH22))</f>
        <v/>
      </c>
      <c r="I30" s="2229" t="str">
        <f>IF(J15="","",(((workings1!Q22+L15)/workings1!AH22)-(workings1!Q22+L15))*workings1!U22)</f>
        <v/>
      </c>
      <c r="J30" s="2229" t="str">
        <f>IF(J15="","",workings1!AR22-workings1x!AR22)</f>
        <v/>
      </c>
      <c r="K30" s="2229" t="str">
        <f>IF(D15="","",workings1!CC22)</f>
        <v/>
      </c>
      <c r="L30" s="2229"/>
      <c r="M30" s="2229" t="str">
        <f>IF(J15="","",workings1!AZ22)</f>
        <v/>
      </c>
      <c r="N30" s="1648" t="str">
        <f t="shared" si="7"/>
        <v/>
      </c>
      <c r="Q30" s="1491"/>
      <c r="R30" s="1491"/>
      <c r="S30" s="1491"/>
      <c r="U30" s="2231">
        <f t="shared" si="8"/>
        <v>0</v>
      </c>
      <c r="V30" s="2232">
        <f t="shared" si="9"/>
        <v>0</v>
      </c>
      <c r="W30" s="2231">
        <f t="shared" si="10"/>
        <v>0</v>
      </c>
      <c r="X30" s="2231">
        <f t="shared" si="11"/>
        <v>0</v>
      </c>
      <c r="Y30" s="2231">
        <f t="shared" si="12"/>
        <v>0</v>
      </c>
      <c r="Z30" s="2231">
        <f t="shared" si="13"/>
        <v>0</v>
      </c>
      <c r="AA30" s="2231">
        <f t="shared" si="14"/>
        <v>0</v>
      </c>
      <c r="AB30" s="2231">
        <f t="shared" si="15"/>
        <v>0</v>
      </c>
      <c r="AC30" s="2231">
        <f t="shared" si="16"/>
        <v>0</v>
      </c>
      <c r="AD30" s="2231">
        <f t="shared" si="17"/>
        <v>0</v>
      </c>
      <c r="AF30" s="1491"/>
      <c r="AG30" s="1491"/>
      <c r="AH30" s="1491"/>
      <c r="AI30" s="1491"/>
      <c r="AJ30" s="1491"/>
      <c r="AK30" s="1491"/>
      <c r="AL30" s="1491"/>
      <c r="AM30" s="1491"/>
    </row>
    <row r="31" spans="1:39" x14ac:dyDescent="0.25">
      <c r="A31" s="1491"/>
      <c r="C31" s="2192" t="str">
        <f t="shared" si="6"/>
        <v/>
      </c>
      <c r="D31" s="2192" t="str">
        <f t="shared" si="6"/>
        <v/>
      </c>
      <c r="E31" s="2229" t="str">
        <f>IF(J16="","",(workings1x!Q23-J16))</f>
        <v/>
      </c>
      <c r="F31" s="2229" t="str">
        <f>IF(J16="","",workings1!T23-(N16+E31+G31+I31+J31+K31+L31+M31))</f>
        <v/>
      </c>
      <c r="G31" s="2229" t="str">
        <f>IF(D16="","",IF(OR(workings1!$X$2=FALSE,H16="y"),0,workings1!R23*-0.8))</f>
        <v/>
      </c>
      <c r="H31" s="2230" t="str">
        <f>IF(D16="","",IF(workings1!AH23=5000000,"5 Million",workings1!AH23))</f>
        <v/>
      </c>
      <c r="I31" s="2229" t="str">
        <f>IF(J16="","",(((workings1!Q23+L16)/workings1!AH23)-(workings1!Q23+L16))*workings1!U23)</f>
        <v/>
      </c>
      <c r="J31" s="2229" t="str">
        <f>IF(J16="","",workings1!AR23-workings1x!AR23)</f>
        <v/>
      </c>
      <c r="K31" s="2229" t="str">
        <f>IF(D16="","",workings1!CC23)</f>
        <v/>
      </c>
      <c r="L31" s="2229"/>
      <c r="M31" s="2229" t="str">
        <f>IF(J16="","",workings1!AZ23)</f>
        <v/>
      </c>
      <c r="N31" s="1648" t="str">
        <f t="shared" si="7"/>
        <v/>
      </c>
      <c r="Q31" s="1491"/>
      <c r="R31" s="1491"/>
      <c r="S31" s="1491"/>
      <c r="U31" s="2231">
        <f t="shared" si="8"/>
        <v>0</v>
      </c>
      <c r="V31" s="2232">
        <f t="shared" si="9"/>
        <v>0</v>
      </c>
      <c r="W31" s="2231">
        <f t="shared" si="10"/>
        <v>0</v>
      </c>
      <c r="X31" s="2231">
        <f t="shared" si="11"/>
        <v>0</v>
      </c>
      <c r="Y31" s="2231">
        <f t="shared" si="12"/>
        <v>0</v>
      </c>
      <c r="Z31" s="2231">
        <f t="shared" si="13"/>
        <v>0</v>
      </c>
      <c r="AA31" s="2231">
        <f t="shared" si="14"/>
        <v>0</v>
      </c>
      <c r="AB31" s="2231">
        <f t="shared" si="15"/>
        <v>0</v>
      </c>
      <c r="AC31" s="2231">
        <f t="shared" si="16"/>
        <v>0</v>
      </c>
      <c r="AD31" s="2231">
        <f t="shared" si="17"/>
        <v>0</v>
      </c>
      <c r="AF31" s="1491"/>
      <c r="AG31" s="1491"/>
      <c r="AH31" s="1491"/>
      <c r="AI31" s="1491"/>
      <c r="AJ31" s="1491"/>
      <c r="AK31" s="1491"/>
      <c r="AL31" s="1491"/>
      <c r="AM31" s="1491"/>
    </row>
    <row r="32" spans="1:39" x14ac:dyDescent="0.25">
      <c r="A32" s="1491"/>
      <c r="C32" s="2192" t="str">
        <f t="shared" si="6"/>
        <v/>
      </c>
      <c r="D32" s="2192" t="str">
        <f t="shared" si="6"/>
        <v/>
      </c>
      <c r="E32" s="2229" t="str">
        <f>IF(J17="","",(workings1x!Q24-J17))</f>
        <v/>
      </c>
      <c r="F32" s="2229" t="str">
        <f>IF(J17="","",workings1!T24-(N17+E32+G32+I32+J32+K32+L32+M32))</f>
        <v/>
      </c>
      <c r="G32" s="2229" t="str">
        <f>IF(D17="","",IF(OR(workings1!$X$2=FALSE,H17="y"),0,workings1!R24*-0.8))</f>
        <v/>
      </c>
      <c r="H32" s="2230" t="str">
        <f>IF(D17="","",IF(workings1!AH24=5000000,"5 Million",workings1!AH24))</f>
        <v/>
      </c>
      <c r="I32" s="2229" t="str">
        <f>IF(J17="","",(((workings1!Q24+L17)/workings1!AH24)-(workings1!Q24+L17))*workings1!U24)</f>
        <v/>
      </c>
      <c r="J32" s="2229" t="str">
        <f>IF(J17="","",workings1!AR24-workings1x!AR24)</f>
        <v/>
      </c>
      <c r="K32" s="2229" t="str">
        <f>IF(D17="","",workings1!CC24)</f>
        <v/>
      </c>
      <c r="L32" s="2229"/>
      <c r="M32" s="2229" t="str">
        <f>IF(J17="","",workings1!AZ24)</f>
        <v/>
      </c>
      <c r="N32" s="1648" t="str">
        <f t="shared" si="7"/>
        <v/>
      </c>
      <c r="Q32" s="1491"/>
      <c r="R32" s="1491"/>
      <c r="S32" s="1491"/>
      <c r="U32" s="2231">
        <f t="shared" si="8"/>
        <v>0</v>
      </c>
      <c r="V32" s="2232">
        <f t="shared" si="9"/>
        <v>0</v>
      </c>
      <c r="W32" s="2231">
        <f t="shared" si="10"/>
        <v>0</v>
      </c>
      <c r="X32" s="2231">
        <f t="shared" si="11"/>
        <v>0</v>
      </c>
      <c r="Y32" s="2231">
        <f t="shared" si="12"/>
        <v>0</v>
      </c>
      <c r="Z32" s="2231">
        <f t="shared" si="13"/>
        <v>0</v>
      </c>
      <c r="AA32" s="2231">
        <f t="shared" si="14"/>
        <v>0</v>
      </c>
      <c r="AB32" s="2231">
        <f t="shared" si="15"/>
        <v>0</v>
      </c>
      <c r="AC32" s="2231">
        <f t="shared" si="16"/>
        <v>0</v>
      </c>
      <c r="AD32" s="2231">
        <f t="shared" si="17"/>
        <v>0</v>
      </c>
      <c r="AF32" s="1491"/>
      <c r="AG32" s="1491"/>
      <c r="AH32" s="1491"/>
      <c r="AI32" s="1491"/>
      <c r="AJ32" s="1491"/>
      <c r="AK32" s="1491"/>
      <c r="AL32" s="1491"/>
      <c r="AM32" s="1491"/>
    </row>
    <row r="33" spans="1:39" x14ac:dyDescent="0.25">
      <c r="A33" s="1491"/>
      <c r="C33" s="2192" t="str">
        <f t="shared" si="6"/>
        <v/>
      </c>
      <c r="D33" s="2192" t="str">
        <f t="shared" si="6"/>
        <v/>
      </c>
      <c r="E33" s="2229" t="str">
        <f>IF(J18="","",(workings1x!Q25-J18))</f>
        <v/>
      </c>
      <c r="F33" s="2229" t="str">
        <f>IF(J18="","",workings1!T25-(N18+E33+G33+I33+J33+K33+L33+M33))</f>
        <v/>
      </c>
      <c r="G33" s="2229" t="str">
        <f>IF(D18="","",IF(OR(workings1!$X$2=FALSE,H18="y"),0,workings1!R25*-0.8))</f>
        <v/>
      </c>
      <c r="H33" s="2230" t="str">
        <f>IF(D18="","",IF(workings1!AH25=5000000,"5 Million",workings1!AH25))</f>
        <v/>
      </c>
      <c r="I33" s="2229" t="str">
        <f>IF(J18="","",(((workings1!Q25+L18)/workings1!AH25)-(workings1!Q25+L18))*workings1!U25)</f>
        <v/>
      </c>
      <c r="J33" s="2229" t="str">
        <f>IF(J18="","",workings1!AR25-workings1x!AR25)</f>
        <v/>
      </c>
      <c r="K33" s="2229" t="str">
        <f>IF(D18="","",workings1!CC25)</f>
        <v/>
      </c>
      <c r="L33" s="2229"/>
      <c r="M33" s="2229" t="str">
        <f>IF(J18="","",workings1!AZ25)</f>
        <v/>
      </c>
      <c r="N33" s="1648" t="str">
        <f t="shared" si="7"/>
        <v/>
      </c>
      <c r="Q33" s="1491"/>
      <c r="R33" s="1491"/>
      <c r="S33" s="1491"/>
      <c r="U33" s="2231">
        <f t="shared" si="8"/>
        <v>0</v>
      </c>
      <c r="V33" s="2232">
        <f t="shared" si="9"/>
        <v>0</v>
      </c>
      <c r="W33" s="2231">
        <f t="shared" si="10"/>
        <v>0</v>
      </c>
      <c r="X33" s="2231">
        <f t="shared" si="11"/>
        <v>0</v>
      </c>
      <c r="Y33" s="2231">
        <f t="shared" si="12"/>
        <v>0</v>
      </c>
      <c r="Z33" s="2231">
        <f t="shared" si="13"/>
        <v>0</v>
      </c>
      <c r="AA33" s="2231">
        <f t="shared" si="14"/>
        <v>0</v>
      </c>
      <c r="AB33" s="2231">
        <f t="shared" si="15"/>
        <v>0</v>
      </c>
      <c r="AC33" s="2231">
        <f t="shared" si="16"/>
        <v>0</v>
      </c>
      <c r="AD33" s="2231">
        <f t="shared" si="17"/>
        <v>0</v>
      </c>
      <c r="AF33" s="1491"/>
      <c r="AG33" s="1491"/>
      <c r="AH33" s="1491"/>
      <c r="AI33" s="1491"/>
      <c r="AJ33" s="1491"/>
      <c r="AK33" s="1491"/>
      <c r="AL33" s="1491"/>
      <c r="AM33" s="1491"/>
    </row>
    <row r="34" spans="1:39" x14ac:dyDescent="0.25">
      <c r="A34" s="1491"/>
      <c r="C34" s="2192" t="str">
        <f t="shared" si="6"/>
        <v/>
      </c>
      <c r="D34" s="2192" t="str">
        <f t="shared" si="6"/>
        <v/>
      </c>
      <c r="E34" s="2229" t="str">
        <f>IF(J19="","",(workings1x!Q26-J19))</f>
        <v/>
      </c>
      <c r="F34" s="2229" t="str">
        <f>IF(J19="","",workings1!T26-(N19+E34+G34+I34+J34+K34+L34+M34))</f>
        <v/>
      </c>
      <c r="G34" s="2229" t="str">
        <f>IF(D19="","",IF(OR(workings1!$X$2=FALSE,H19="y"),0,workings1!R26*-0.8))</f>
        <v/>
      </c>
      <c r="H34" s="2230" t="str">
        <f>IF(D19="","",IF(workings1!AH26=5000000,"5 Million",workings1!AH26))</f>
        <v/>
      </c>
      <c r="I34" s="2229" t="str">
        <f>IF(J19="","",(((workings1!Q26+L19)/workings1!AH26)-(workings1!Q26+L19))*workings1!U26)</f>
        <v/>
      </c>
      <c r="J34" s="2229" t="str">
        <f>IF(J19="","",workings1!AR26-workings1x!AR26)</f>
        <v/>
      </c>
      <c r="K34" s="2229" t="str">
        <f>IF(D19="","",workings1!CC26)</f>
        <v/>
      </c>
      <c r="L34" s="2229"/>
      <c r="M34" s="2229" t="str">
        <f>IF(J19="","",workings1!AZ26)</f>
        <v/>
      </c>
      <c r="N34" s="1648" t="str">
        <f t="shared" si="7"/>
        <v/>
      </c>
      <c r="Q34" s="1491"/>
      <c r="R34" s="1491"/>
      <c r="S34" s="1491"/>
      <c r="U34" s="2231">
        <f t="shared" si="8"/>
        <v>0</v>
      </c>
      <c r="V34" s="2232">
        <f t="shared" si="9"/>
        <v>0</v>
      </c>
      <c r="W34" s="2231">
        <f t="shared" si="10"/>
        <v>0</v>
      </c>
      <c r="X34" s="2231">
        <f t="shared" si="11"/>
        <v>0</v>
      </c>
      <c r="Y34" s="2231">
        <f t="shared" si="12"/>
        <v>0</v>
      </c>
      <c r="Z34" s="2231">
        <f t="shared" si="13"/>
        <v>0</v>
      </c>
      <c r="AA34" s="2231">
        <f t="shared" si="14"/>
        <v>0</v>
      </c>
      <c r="AB34" s="2231">
        <f t="shared" si="15"/>
        <v>0</v>
      </c>
      <c r="AC34" s="2231">
        <f t="shared" si="16"/>
        <v>0</v>
      </c>
      <c r="AD34" s="2231">
        <f t="shared" si="17"/>
        <v>0</v>
      </c>
      <c r="AF34" s="1491"/>
      <c r="AG34" s="1491"/>
      <c r="AH34" s="1491"/>
      <c r="AI34" s="1491"/>
      <c r="AJ34" s="1491"/>
      <c r="AK34" s="1491"/>
      <c r="AL34" s="1491"/>
      <c r="AM34" s="1491"/>
    </row>
    <row r="35" spans="1:39" x14ac:dyDescent="0.25">
      <c r="A35" s="1491"/>
      <c r="C35" s="2192" t="str">
        <f t="shared" si="6"/>
        <v/>
      </c>
      <c r="D35" s="2192" t="str">
        <f t="shared" si="6"/>
        <v/>
      </c>
      <c r="E35" s="2229" t="str">
        <f>IF(J20="","",(workings1x!Q27-J20))</f>
        <v/>
      </c>
      <c r="F35" s="2229" t="str">
        <f>IF(J20="","",workings1!T27-(N20+E35+G35+I35+J35+K35+L35+M35))</f>
        <v/>
      </c>
      <c r="G35" s="2229" t="str">
        <f>IF(D20="","",IF(OR(workings1!$X$2=FALSE,H20="y"),0,workings1!R27*-0.8))</f>
        <v/>
      </c>
      <c r="H35" s="2230" t="str">
        <f>IF(D20="","",IF(workings1!AH27=5000000,"5 Million",workings1!AH27))</f>
        <v/>
      </c>
      <c r="I35" s="2229" t="str">
        <f>IF(J20="","",(((workings1!Q27+L20)/workings1!AH27)-(workings1!Q27+L20))*workings1!U27)</f>
        <v/>
      </c>
      <c r="J35" s="2229" t="str">
        <f>IF(J20="","",workings1!AR27-workings1x!AR27)</f>
        <v/>
      </c>
      <c r="K35" s="2229" t="str">
        <f>IF(D20="","",workings1!CC27)</f>
        <v/>
      </c>
      <c r="L35" s="2229"/>
      <c r="M35" s="2229" t="str">
        <f>IF(J20="","",workings1!AZ27)</f>
        <v/>
      </c>
      <c r="N35" s="1648" t="str">
        <f t="shared" si="7"/>
        <v/>
      </c>
      <c r="Q35" s="1491"/>
      <c r="R35" s="1491"/>
      <c r="S35" s="1491"/>
      <c r="U35" s="2231">
        <f t="shared" si="8"/>
        <v>0</v>
      </c>
      <c r="V35" s="2232">
        <f t="shared" si="9"/>
        <v>0</v>
      </c>
      <c r="W35" s="2231">
        <f t="shared" si="10"/>
        <v>0</v>
      </c>
      <c r="X35" s="2231">
        <f t="shared" si="11"/>
        <v>0</v>
      </c>
      <c r="Y35" s="2231">
        <f t="shared" si="12"/>
        <v>0</v>
      </c>
      <c r="Z35" s="2231">
        <f t="shared" si="13"/>
        <v>0</v>
      </c>
      <c r="AA35" s="2231">
        <f t="shared" si="14"/>
        <v>0</v>
      </c>
      <c r="AB35" s="2231">
        <f t="shared" si="15"/>
        <v>0</v>
      </c>
      <c r="AC35" s="2231">
        <f t="shared" si="16"/>
        <v>0</v>
      </c>
      <c r="AD35" s="2231">
        <f t="shared" si="17"/>
        <v>0</v>
      </c>
      <c r="AF35" s="1491"/>
      <c r="AG35" s="1491"/>
      <c r="AH35" s="1491"/>
      <c r="AI35" s="1491"/>
      <c r="AJ35" s="1491"/>
      <c r="AK35" s="1491"/>
      <c r="AL35" s="1491"/>
      <c r="AM35" s="1491"/>
    </row>
    <row r="36" spans="1:39" ht="13" x14ac:dyDescent="0.3">
      <c r="A36" s="1491"/>
      <c r="C36" s="1501"/>
      <c r="D36" s="1501"/>
      <c r="E36" s="2233">
        <f ca="1">SUM(E24:E35)</f>
        <v>0</v>
      </c>
      <c r="F36" s="2233">
        <f ca="1">SUM(F24:F35)</f>
        <v>0</v>
      </c>
      <c r="G36" s="2233">
        <f ca="1">SUM(G24:G35)</f>
        <v>0</v>
      </c>
      <c r="H36" s="2233"/>
      <c r="I36" s="2233">
        <f t="shared" ref="I36:N36" ca="1" si="18">SUM(I24:I35)</f>
        <v>0</v>
      </c>
      <c r="J36" s="2233">
        <f t="shared" ca="1" si="18"/>
        <v>0</v>
      </c>
      <c r="K36" s="2233">
        <f t="shared" ca="1" si="18"/>
        <v>0</v>
      </c>
      <c r="L36" s="2233">
        <f t="shared" si="18"/>
        <v>0</v>
      </c>
      <c r="M36" s="2233">
        <f t="shared" ca="1" si="18"/>
        <v>0</v>
      </c>
      <c r="N36" s="2221">
        <f t="shared" ca="1" si="18"/>
        <v>0</v>
      </c>
      <c r="Q36" s="1491"/>
      <c r="R36" s="1491"/>
      <c r="S36" s="1491"/>
      <c r="AF36" s="1491"/>
      <c r="AG36" s="1491"/>
      <c r="AH36" s="1491"/>
      <c r="AI36" s="1491"/>
      <c r="AJ36" s="1491"/>
      <c r="AK36" s="1491"/>
      <c r="AL36" s="1491"/>
      <c r="AM36" s="1491"/>
    </row>
    <row r="37" spans="1:39" ht="13" x14ac:dyDescent="0.3">
      <c r="A37" s="1491"/>
      <c r="M37" s="2234" t="str">
        <f ca="1">IF(M36=workings1!BA28,"capped at","")</f>
        <v/>
      </c>
      <c r="Q37" s="1491"/>
      <c r="R37" s="1491"/>
      <c r="S37" s="1491"/>
      <c r="AF37" s="1491"/>
      <c r="AG37" s="1491"/>
      <c r="AH37" s="1491"/>
      <c r="AI37" s="1491"/>
      <c r="AJ37" s="1491"/>
      <c r="AK37" s="1491"/>
      <c r="AL37" s="1491"/>
      <c r="AM37" s="1491"/>
    </row>
    <row r="38" spans="1:39" ht="13" x14ac:dyDescent="0.3">
      <c r="A38" s="1491"/>
      <c r="M38" s="2235" t="str">
        <f ca="1">IF(M36=workings1!BA28,workings1!BA28*-1,"")</f>
        <v/>
      </c>
      <c r="N38" s="2232"/>
      <c r="Q38" s="1491"/>
      <c r="R38" s="1491"/>
      <c r="S38" s="1491"/>
      <c r="AF38" s="1491"/>
      <c r="AG38" s="1491"/>
      <c r="AH38" s="1491"/>
      <c r="AI38" s="1491"/>
      <c r="AJ38" s="1491"/>
      <c r="AK38" s="1491"/>
      <c r="AL38" s="1491"/>
      <c r="AM38" s="1491"/>
    </row>
    <row r="39" spans="1:39" x14ac:dyDescent="0.25">
      <c r="A39" s="1491"/>
      <c r="B39" s="1491"/>
      <c r="C39" s="1491"/>
      <c r="D39" s="1491"/>
      <c r="E39" s="1491"/>
      <c r="F39" s="1491"/>
      <c r="G39" s="1491"/>
      <c r="H39" s="1491"/>
      <c r="I39" s="1491"/>
      <c r="J39" s="1491"/>
      <c r="K39" s="1491"/>
      <c r="L39" s="1491"/>
      <c r="M39" s="1491"/>
      <c r="N39" s="1491"/>
      <c r="O39" s="1491"/>
      <c r="P39" s="1491"/>
      <c r="Q39" s="1491"/>
      <c r="R39" s="1491"/>
      <c r="S39" s="1491"/>
      <c r="AF39" s="1491"/>
      <c r="AG39" s="1491"/>
      <c r="AH39" s="1491"/>
      <c r="AI39" s="1491"/>
      <c r="AJ39" s="1491"/>
      <c r="AK39" s="1491"/>
      <c r="AL39" s="1491"/>
      <c r="AM39" s="1491"/>
    </row>
    <row r="40" spans="1:39" x14ac:dyDescent="0.25">
      <c r="A40" s="1491"/>
      <c r="B40" s="1491"/>
      <c r="C40" s="1491"/>
      <c r="D40" s="1491"/>
      <c r="E40" s="1491"/>
      <c r="F40" s="1491"/>
      <c r="G40" s="1491"/>
      <c r="H40" s="1491"/>
      <c r="I40" s="1491"/>
      <c r="J40" s="1491"/>
      <c r="K40" s="1491"/>
      <c r="L40" s="1491"/>
      <c r="M40" s="1491"/>
      <c r="N40" s="1491"/>
      <c r="O40" s="1491"/>
      <c r="P40" s="1491"/>
      <c r="Q40" s="1491"/>
      <c r="R40" s="1491"/>
      <c r="S40" s="1491"/>
      <c r="AF40" s="1491"/>
      <c r="AG40" s="1491"/>
      <c r="AH40" s="1491"/>
      <c r="AI40" s="1491"/>
      <c r="AJ40" s="1491"/>
      <c r="AK40" s="1491"/>
      <c r="AL40" s="1491"/>
      <c r="AM40" s="1491"/>
    </row>
    <row r="41" spans="1:39" x14ac:dyDescent="0.25">
      <c r="A41" s="1491"/>
      <c r="B41" s="1491"/>
      <c r="C41" s="1491"/>
      <c r="D41" s="1491"/>
      <c r="E41" s="1491"/>
      <c r="F41" s="1491"/>
      <c r="G41" s="1491"/>
      <c r="H41" s="1491"/>
      <c r="I41" s="1491"/>
      <c r="J41" s="1491"/>
      <c r="K41" s="1491"/>
      <c r="L41" s="1491"/>
      <c r="M41" s="1491"/>
      <c r="N41" s="1491"/>
      <c r="O41" s="1491"/>
      <c r="P41" s="1491"/>
      <c r="Q41" s="1491"/>
      <c r="R41" s="1491"/>
      <c r="S41" s="1491"/>
      <c r="AF41" s="1491"/>
      <c r="AG41" s="1491"/>
      <c r="AH41" s="1491"/>
      <c r="AI41" s="1491"/>
      <c r="AJ41" s="1491"/>
      <c r="AK41" s="1491"/>
      <c r="AL41" s="1491"/>
      <c r="AM41" s="1491"/>
    </row>
    <row r="42" spans="1:39" x14ac:dyDescent="0.25">
      <c r="A42" s="1491"/>
      <c r="B42" s="1491"/>
      <c r="C42" s="1491"/>
      <c r="D42" s="1491"/>
      <c r="E42" s="1491"/>
      <c r="F42" s="1491"/>
      <c r="G42" s="1491"/>
      <c r="H42" s="1491"/>
      <c r="I42" s="1491"/>
      <c r="J42" s="1491"/>
      <c r="K42" s="1491"/>
      <c r="L42" s="1491"/>
      <c r="M42" s="1491"/>
      <c r="N42" s="1491"/>
      <c r="O42" s="1491"/>
      <c r="P42" s="1491"/>
      <c r="Q42" s="1491"/>
      <c r="R42" s="1491"/>
      <c r="S42" s="1491"/>
      <c r="AF42" s="1491"/>
      <c r="AG42" s="1491"/>
      <c r="AH42" s="1491"/>
      <c r="AI42" s="1491"/>
      <c r="AJ42" s="1491"/>
      <c r="AK42" s="1491"/>
      <c r="AL42" s="1491"/>
      <c r="AM42" s="1491"/>
    </row>
    <row r="43" spans="1:39" x14ac:dyDescent="0.25">
      <c r="A43" s="1491"/>
      <c r="B43" s="1491"/>
      <c r="C43" s="1491"/>
      <c r="D43" s="1491"/>
      <c r="E43" s="1491"/>
      <c r="F43" s="1491"/>
      <c r="G43" s="1491"/>
      <c r="H43" s="1491"/>
      <c r="I43" s="1491"/>
      <c r="J43" s="1491"/>
      <c r="K43" s="1491"/>
      <c r="L43" s="1491"/>
      <c r="M43" s="1491"/>
      <c r="N43" s="1491"/>
      <c r="O43" s="1491"/>
      <c r="P43" s="1491"/>
      <c r="Q43" s="1491"/>
      <c r="R43" s="1491"/>
      <c r="S43" s="1491"/>
      <c r="AF43" s="1491"/>
      <c r="AG43" s="1491"/>
      <c r="AH43" s="1491"/>
      <c r="AI43" s="1491"/>
      <c r="AJ43" s="1491"/>
      <c r="AK43" s="1491"/>
      <c r="AL43" s="1491"/>
      <c r="AM43" s="1491"/>
    </row>
    <row r="44" spans="1:39" x14ac:dyDescent="0.25">
      <c r="A44" s="1491"/>
      <c r="B44" s="1491"/>
      <c r="C44" s="1491"/>
      <c r="D44" s="1491"/>
      <c r="E44" s="1491"/>
      <c r="F44" s="1491"/>
      <c r="G44" s="1491"/>
      <c r="H44" s="1491"/>
      <c r="I44" s="1491"/>
      <c r="J44" s="1491"/>
      <c r="K44" s="1491"/>
      <c r="L44" s="1491"/>
      <c r="M44" s="1491"/>
      <c r="N44" s="1491"/>
      <c r="O44" s="1491"/>
      <c r="P44" s="1491"/>
      <c r="Q44" s="1491"/>
      <c r="R44" s="1491"/>
      <c r="S44" s="1491"/>
      <c r="AF44" s="1491"/>
      <c r="AG44" s="1491"/>
      <c r="AH44" s="1491"/>
      <c r="AI44" s="1491"/>
      <c r="AJ44" s="1491"/>
      <c r="AK44" s="1491"/>
      <c r="AL44" s="1491"/>
      <c r="AM44" s="1491"/>
    </row>
    <row r="45" spans="1:39" x14ac:dyDescent="0.25">
      <c r="A45" s="1491"/>
      <c r="B45" s="1491"/>
      <c r="C45" s="1491"/>
      <c r="D45" s="1491"/>
      <c r="E45" s="1491"/>
      <c r="F45" s="1491"/>
      <c r="G45" s="1491"/>
      <c r="H45" s="1491"/>
      <c r="I45" s="1491"/>
      <c r="J45" s="1491"/>
      <c r="K45" s="1491"/>
      <c r="L45" s="1491"/>
      <c r="M45" s="1491"/>
      <c r="N45" s="1491"/>
      <c r="O45" s="1491"/>
      <c r="P45" s="1491"/>
      <c r="Q45" s="1491"/>
      <c r="R45" s="1491"/>
      <c r="S45" s="1491"/>
      <c r="AF45" s="1491"/>
      <c r="AG45" s="1491"/>
      <c r="AH45" s="1491"/>
      <c r="AI45" s="1491"/>
      <c r="AJ45" s="1491"/>
      <c r="AK45" s="1491"/>
      <c r="AL45" s="1491"/>
      <c r="AM45" s="1491"/>
    </row>
    <row r="46" spans="1:39" x14ac:dyDescent="0.25">
      <c r="A46" s="1491"/>
      <c r="B46" s="1491"/>
      <c r="C46" s="1491"/>
      <c r="D46" s="1491"/>
      <c r="E46" s="1491"/>
      <c r="F46" s="1491"/>
      <c r="G46" s="1491"/>
      <c r="H46" s="1491"/>
      <c r="I46" s="1491"/>
      <c r="J46" s="1491"/>
      <c r="K46" s="1491"/>
      <c r="L46" s="1491"/>
      <c r="M46" s="1491"/>
      <c r="N46" s="1491"/>
      <c r="O46" s="1491"/>
      <c r="P46" s="1491"/>
      <c r="Q46" s="1491"/>
      <c r="R46" s="1491"/>
      <c r="S46" s="1491"/>
      <c r="AF46" s="1491"/>
      <c r="AG46" s="1491"/>
      <c r="AH46" s="1491"/>
      <c r="AI46" s="1491"/>
      <c r="AJ46" s="1491"/>
      <c r="AK46" s="1491"/>
      <c r="AL46" s="1491"/>
      <c r="AM46" s="1491"/>
    </row>
    <row r="47" spans="1:39" x14ac:dyDescent="0.25">
      <c r="A47" s="1491"/>
      <c r="B47" s="1491"/>
      <c r="C47" s="1491"/>
      <c r="D47" s="1491"/>
      <c r="E47" s="1491"/>
      <c r="F47" s="1491"/>
      <c r="G47" s="1491"/>
      <c r="H47" s="1491"/>
      <c r="I47" s="1491"/>
      <c r="J47" s="1491"/>
      <c r="K47" s="1491"/>
      <c r="L47" s="1491"/>
      <c r="M47" s="1491"/>
      <c r="N47" s="1491"/>
      <c r="O47" s="1491"/>
      <c r="P47" s="1491"/>
      <c r="Q47" s="1491"/>
      <c r="R47" s="1491"/>
      <c r="S47" s="1491"/>
      <c r="AF47" s="1491"/>
      <c r="AG47" s="1491"/>
      <c r="AH47" s="1491"/>
      <c r="AI47" s="1491"/>
      <c r="AJ47" s="1491"/>
      <c r="AK47" s="1491"/>
      <c r="AL47" s="1491"/>
      <c r="AM47" s="1491"/>
    </row>
    <row r="48" spans="1:39" x14ac:dyDescent="0.25">
      <c r="A48" s="1491"/>
      <c r="B48" s="1491"/>
      <c r="C48" s="1491"/>
      <c r="D48" s="1491"/>
      <c r="E48" s="1491"/>
      <c r="F48" s="1491"/>
      <c r="G48" s="1491"/>
      <c r="H48" s="1491"/>
      <c r="I48" s="1491"/>
      <c r="J48" s="1491"/>
      <c r="K48" s="1491"/>
      <c r="L48" s="1491"/>
      <c r="M48" s="1491"/>
      <c r="N48" s="1491"/>
      <c r="O48" s="1491"/>
      <c r="P48" s="1491"/>
      <c r="Q48" s="1491"/>
      <c r="R48" s="1491"/>
      <c r="S48" s="1491"/>
      <c r="AF48" s="1491"/>
      <c r="AG48" s="1491"/>
      <c r="AH48" s="1491"/>
      <c r="AI48" s="1491"/>
      <c r="AJ48" s="1491"/>
      <c r="AK48" s="1491"/>
      <c r="AL48" s="1491"/>
      <c r="AM48" s="1491"/>
    </row>
    <row r="49" spans="1:39" x14ac:dyDescent="0.25">
      <c r="A49" s="1491"/>
      <c r="B49" s="1491"/>
      <c r="C49" s="1491"/>
      <c r="D49" s="1491"/>
      <c r="E49" s="1491"/>
      <c r="F49" s="1491"/>
      <c r="G49" s="1491"/>
      <c r="H49" s="1491"/>
      <c r="I49" s="1491"/>
      <c r="J49" s="1491"/>
      <c r="K49" s="1491"/>
      <c r="L49" s="1491"/>
      <c r="M49" s="1491"/>
      <c r="N49" s="1491"/>
      <c r="O49" s="1491"/>
      <c r="P49" s="1491"/>
      <c r="Q49" s="1491"/>
      <c r="R49" s="1491"/>
      <c r="S49" s="1491"/>
      <c r="AF49" s="1491"/>
      <c r="AG49" s="1491"/>
      <c r="AH49" s="1491"/>
      <c r="AI49" s="1491"/>
      <c r="AJ49" s="1491"/>
      <c r="AK49" s="1491"/>
      <c r="AL49" s="1491"/>
      <c r="AM49" s="1491"/>
    </row>
    <row r="50" spans="1:39" x14ac:dyDescent="0.25">
      <c r="A50" s="1491"/>
      <c r="B50" s="1491"/>
      <c r="C50" s="1491"/>
      <c r="D50" s="1491"/>
      <c r="E50" s="1491"/>
      <c r="F50" s="1491"/>
      <c r="G50" s="1491"/>
      <c r="H50" s="1491"/>
      <c r="I50" s="1491"/>
      <c r="J50" s="1491"/>
      <c r="K50" s="1491"/>
      <c r="L50" s="1491"/>
      <c r="M50" s="1491"/>
      <c r="N50" s="1491"/>
      <c r="O50" s="1491"/>
      <c r="P50" s="1491"/>
      <c r="Q50" s="1491"/>
      <c r="R50" s="1491"/>
      <c r="S50" s="1491"/>
      <c r="AF50" s="1491"/>
      <c r="AG50" s="1491"/>
      <c r="AH50" s="1491"/>
      <c r="AI50" s="1491"/>
      <c r="AJ50" s="1491"/>
      <c r="AK50" s="1491"/>
      <c r="AL50" s="1491"/>
      <c r="AM50" s="1491"/>
    </row>
    <row r="51" spans="1:39" x14ac:dyDescent="0.25">
      <c r="A51" s="1491"/>
      <c r="B51" s="1491"/>
      <c r="C51" s="1491"/>
      <c r="D51" s="1491"/>
      <c r="E51" s="1491"/>
      <c r="F51" s="1491"/>
      <c r="G51" s="1491"/>
      <c r="H51" s="1491"/>
      <c r="I51" s="1491"/>
      <c r="J51" s="1491"/>
      <c r="K51" s="1491"/>
      <c r="L51" s="1491"/>
      <c r="M51" s="1491"/>
      <c r="N51" s="1491"/>
      <c r="O51" s="1491"/>
      <c r="P51" s="1491"/>
      <c r="Q51" s="1491"/>
      <c r="R51" s="1491"/>
      <c r="S51" s="1491"/>
      <c r="AF51" s="1491"/>
      <c r="AG51" s="1491"/>
      <c r="AH51" s="1491"/>
      <c r="AI51" s="1491"/>
      <c r="AJ51" s="1491"/>
      <c r="AK51" s="1491"/>
      <c r="AL51" s="1491"/>
      <c r="AM51" s="1491"/>
    </row>
    <row r="52" spans="1:39" x14ac:dyDescent="0.25">
      <c r="A52" s="1491"/>
      <c r="B52" s="1491"/>
      <c r="C52" s="1491"/>
      <c r="D52" s="1491"/>
      <c r="E52" s="1491"/>
      <c r="F52" s="1491"/>
      <c r="G52" s="1491"/>
      <c r="H52" s="1491"/>
      <c r="I52" s="1491"/>
      <c r="J52" s="1491"/>
      <c r="K52" s="1491"/>
      <c r="L52" s="1491"/>
      <c r="M52" s="1491"/>
      <c r="N52" s="1491"/>
      <c r="O52" s="1491"/>
      <c r="P52" s="1491"/>
      <c r="Q52" s="1491"/>
      <c r="R52" s="1491"/>
      <c r="S52" s="1491"/>
      <c r="AF52" s="1491"/>
      <c r="AG52" s="1491"/>
      <c r="AH52" s="1491"/>
      <c r="AI52" s="1491"/>
      <c r="AJ52" s="1491"/>
      <c r="AK52" s="1491"/>
      <c r="AL52" s="1491"/>
      <c r="AM52" s="1491"/>
    </row>
    <row r="53" spans="1:39" x14ac:dyDescent="0.25">
      <c r="A53" s="1491"/>
      <c r="B53" s="1491"/>
      <c r="C53" s="1491"/>
      <c r="D53" s="1491"/>
      <c r="E53" s="1491"/>
      <c r="F53" s="1491"/>
      <c r="G53" s="1491"/>
      <c r="H53" s="1491"/>
      <c r="I53" s="1491"/>
      <c r="J53" s="1491"/>
      <c r="K53" s="1491"/>
      <c r="L53" s="1491"/>
      <c r="M53" s="1491"/>
      <c r="N53" s="1491"/>
      <c r="O53" s="1491"/>
      <c r="P53" s="1491"/>
      <c r="Q53" s="1491"/>
      <c r="R53" s="1491"/>
      <c r="S53" s="1491"/>
      <c r="AF53" s="1491"/>
      <c r="AG53" s="1491"/>
      <c r="AH53" s="1491"/>
      <c r="AI53" s="1491"/>
      <c r="AJ53" s="1491"/>
      <c r="AK53" s="1491"/>
      <c r="AL53" s="1491"/>
      <c r="AM53" s="1491"/>
    </row>
    <row r="54" spans="1:39" x14ac:dyDescent="0.25">
      <c r="A54" s="1491"/>
      <c r="B54" s="1491"/>
      <c r="C54" s="1491"/>
      <c r="D54" s="1491"/>
      <c r="E54" s="1491"/>
      <c r="F54" s="1491"/>
      <c r="G54" s="1491"/>
      <c r="H54" s="1491"/>
      <c r="I54" s="1491"/>
      <c r="J54" s="1491"/>
      <c r="K54" s="1491"/>
      <c r="L54" s="1491"/>
      <c r="M54" s="1491"/>
      <c r="N54" s="1491"/>
      <c r="O54" s="1491"/>
      <c r="P54" s="1491"/>
      <c r="Q54" s="1491"/>
      <c r="R54" s="1491"/>
      <c r="S54" s="1491"/>
      <c r="AF54" s="1491"/>
      <c r="AG54" s="1491"/>
      <c r="AH54" s="1491"/>
      <c r="AI54" s="1491"/>
      <c r="AJ54" s="1491"/>
      <c r="AK54" s="1491"/>
      <c r="AL54" s="1491"/>
      <c r="AM54" s="1491"/>
    </row>
    <row r="55" spans="1:39" x14ac:dyDescent="0.25">
      <c r="A55" s="1491"/>
      <c r="B55" s="1491"/>
      <c r="C55" s="1491"/>
      <c r="D55" s="1491"/>
      <c r="E55" s="1491"/>
      <c r="F55" s="1491"/>
      <c r="G55" s="1491"/>
      <c r="H55" s="1491"/>
      <c r="I55" s="1491"/>
      <c r="J55" s="1491"/>
      <c r="K55" s="1491"/>
      <c r="L55" s="1491"/>
      <c r="M55" s="1491"/>
      <c r="N55" s="1491"/>
      <c r="O55" s="1491"/>
      <c r="P55" s="1491"/>
      <c r="Q55" s="1491"/>
      <c r="R55" s="1491"/>
      <c r="S55" s="1491"/>
      <c r="AF55" s="1491"/>
      <c r="AG55" s="1491"/>
      <c r="AH55" s="1491"/>
      <c r="AI55" s="1491"/>
      <c r="AJ55" s="1491"/>
      <c r="AK55" s="1491"/>
      <c r="AL55" s="1491"/>
      <c r="AM55" s="1491"/>
    </row>
    <row r="56" spans="1:39" x14ac:dyDescent="0.25">
      <c r="A56" s="1491"/>
      <c r="B56" s="1491"/>
      <c r="C56" s="1491"/>
      <c r="D56" s="1491"/>
      <c r="E56" s="1491"/>
      <c r="F56" s="1491"/>
      <c r="G56" s="1491"/>
      <c r="H56" s="1491"/>
      <c r="I56" s="1491"/>
      <c r="J56" s="1491"/>
      <c r="K56" s="1491"/>
      <c r="L56" s="1491"/>
      <c r="M56" s="1491"/>
      <c r="N56" s="1491"/>
      <c r="O56" s="1491"/>
      <c r="P56" s="1491"/>
      <c r="Q56" s="1491"/>
      <c r="R56" s="1491"/>
      <c r="S56" s="1491"/>
      <c r="AF56" s="1491"/>
      <c r="AG56" s="1491"/>
      <c r="AH56" s="1491"/>
      <c r="AI56" s="1491"/>
      <c r="AJ56" s="1491"/>
      <c r="AK56" s="1491"/>
      <c r="AL56" s="1491"/>
      <c r="AM56" s="1491"/>
    </row>
    <row r="57" spans="1:39" x14ac:dyDescent="0.25">
      <c r="A57" s="1491"/>
      <c r="B57" s="1491"/>
      <c r="C57" s="1491"/>
      <c r="D57" s="1491"/>
      <c r="E57" s="1491"/>
      <c r="F57" s="1491"/>
      <c r="G57" s="1491"/>
      <c r="H57" s="1491"/>
      <c r="I57" s="1491"/>
      <c r="J57" s="1491"/>
      <c r="K57" s="1491"/>
      <c r="L57" s="1491"/>
      <c r="M57" s="1491"/>
      <c r="N57" s="1491"/>
      <c r="O57" s="1491"/>
      <c r="P57" s="1491"/>
      <c r="Q57" s="1491"/>
      <c r="R57" s="1491"/>
      <c r="S57" s="1491"/>
      <c r="AF57" s="1491"/>
      <c r="AG57" s="1491"/>
      <c r="AH57" s="1491"/>
      <c r="AI57" s="1491"/>
      <c r="AJ57" s="1491"/>
      <c r="AK57" s="1491"/>
      <c r="AL57" s="1491"/>
      <c r="AM57" s="1491"/>
    </row>
    <row r="58" spans="1:39" x14ac:dyDescent="0.25">
      <c r="A58" s="1491"/>
      <c r="B58" s="1491"/>
      <c r="C58" s="1491"/>
      <c r="D58" s="1491"/>
      <c r="E58" s="1491"/>
      <c r="F58" s="1491"/>
      <c r="G58" s="1491"/>
      <c r="H58" s="1491"/>
      <c r="I58" s="1491"/>
      <c r="J58" s="1491"/>
      <c r="K58" s="1491"/>
      <c r="L58" s="1491"/>
      <c r="M58" s="1491"/>
      <c r="N58" s="1491"/>
      <c r="O58" s="1491"/>
      <c r="P58" s="1491"/>
      <c r="Q58" s="1491"/>
      <c r="R58" s="1491"/>
      <c r="S58" s="1491"/>
      <c r="AF58" s="1491"/>
      <c r="AG58" s="1491"/>
      <c r="AH58" s="1491"/>
      <c r="AI58" s="1491"/>
      <c r="AJ58" s="1491"/>
      <c r="AK58" s="1491"/>
      <c r="AL58" s="1491"/>
      <c r="AM58" s="1491"/>
    </row>
    <row r="59" spans="1:39" x14ac:dyDescent="0.25">
      <c r="A59" s="1491"/>
      <c r="B59" s="1491"/>
      <c r="C59" s="1491"/>
      <c r="D59" s="1491"/>
      <c r="E59" s="1491"/>
      <c r="F59" s="1491"/>
      <c r="G59" s="1491"/>
      <c r="H59" s="1491"/>
      <c r="I59" s="1491"/>
      <c r="J59" s="1491"/>
      <c r="K59" s="1491"/>
      <c r="L59" s="1491"/>
      <c r="M59" s="1491"/>
      <c r="N59" s="1491"/>
      <c r="O59" s="1491"/>
      <c r="P59" s="1491"/>
      <c r="Q59" s="1491"/>
      <c r="R59" s="1491"/>
      <c r="S59" s="1491"/>
      <c r="AF59" s="1491"/>
      <c r="AG59" s="1491"/>
      <c r="AH59" s="1491"/>
      <c r="AI59" s="1491"/>
      <c r="AJ59" s="1491"/>
      <c r="AK59" s="1491"/>
      <c r="AL59" s="1491"/>
      <c r="AM59" s="1491"/>
    </row>
    <row r="60" spans="1:39" x14ac:dyDescent="0.25">
      <c r="A60" s="1491"/>
      <c r="B60" s="1491"/>
      <c r="C60" s="1491"/>
      <c r="D60" s="1491"/>
      <c r="E60" s="1491"/>
      <c r="F60" s="1491"/>
      <c r="G60" s="1491"/>
      <c r="H60" s="1491"/>
      <c r="I60" s="1491"/>
      <c r="J60" s="1491"/>
      <c r="K60" s="1491"/>
      <c r="L60" s="1491"/>
      <c r="M60" s="1491"/>
      <c r="N60" s="1491"/>
      <c r="O60" s="1491"/>
      <c r="P60" s="1491"/>
      <c r="Q60" s="1491"/>
      <c r="R60" s="1491"/>
      <c r="S60" s="1491"/>
      <c r="AF60" s="1491"/>
      <c r="AG60" s="1491"/>
      <c r="AH60" s="1491"/>
      <c r="AI60" s="1491"/>
      <c r="AJ60" s="1491"/>
      <c r="AK60" s="1491"/>
      <c r="AL60" s="1491"/>
      <c r="AM60" s="1491"/>
    </row>
    <row r="61" spans="1:39" x14ac:dyDescent="0.25">
      <c r="A61" s="1491"/>
      <c r="B61" s="1491"/>
      <c r="C61" s="1491"/>
      <c r="D61" s="1491"/>
      <c r="E61" s="1491"/>
      <c r="F61" s="1491"/>
      <c r="G61" s="1491"/>
      <c r="H61" s="1491"/>
      <c r="I61" s="1491"/>
      <c r="J61" s="1491"/>
      <c r="K61" s="1491"/>
      <c r="L61" s="1491"/>
      <c r="M61" s="1491"/>
      <c r="N61" s="1491"/>
      <c r="O61" s="1491"/>
      <c r="P61" s="1491"/>
      <c r="Q61" s="1491"/>
      <c r="R61" s="1491"/>
      <c r="S61" s="1491"/>
      <c r="AF61" s="1491"/>
      <c r="AG61" s="1491"/>
      <c r="AH61" s="1491"/>
      <c r="AI61" s="1491"/>
      <c r="AJ61" s="1491"/>
      <c r="AK61" s="1491"/>
      <c r="AL61" s="1491"/>
      <c r="AM61" s="1491"/>
    </row>
    <row r="62" spans="1:39" x14ac:dyDescent="0.25">
      <c r="A62" s="1491"/>
      <c r="B62" s="1491"/>
      <c r="C62" s="1491"/>
      <c r="D62" s="1491"/>
      <c r="E62" s="1491"/>
      <c r="F62" s="1491"/>
      <c r="G62" s="1491"/>
      <c r="H62" s="1491"/>
      <c r="I62" s="1491"/>
      <c r="J62" s="1491"/>
      <c r="K62" s="1491"/>
      <c r="L62" s="1491"/>
      <c r="M62" s="1491"/>
      <c r="N62" s="1491"/>
      <c r="O62" s="1491"/>
      <c r="P62" s="1491"/>
      <c r="Q62" s="1491"/>
      <c r="R62" s="1491"/>
      <c r="S62" s="1491"/>
      <c r="AF62" s="1491"/>
      <c r="AG62" s="1491"/>
      <c r="AH62" s="1491"/>
      <c r="AI62" s="1491"/>
      <c r="AJ62" s="1491"/>
      <c r="AK62" s="1491"/>
      <c r="AL62" s="1491"/>
      <c r="AM62" s="1491"/>
    </row>
    <row r="63" spans="1:39" x14ac:dyDescent="0.25">
      <c r="A63" s="1491"/>
      <c r="B63" s="1491"/>
      <c r="C63" s="1491"/>
      <c r="D63" s="1491"/>
      <c r="E63" s="1491"/>
      <c r="F63" s="1491"/>
      <c r="G63" s="1491"/>
      <c r="H63" s="1491"/>
      <c r="I63" s="1491"/>
      <c r="J63" s="1491"/>
      <c r="K63" s="1491"/>
      <c r="L63" s="1491"/>
      <c r="M63" s="1491"/>
      <c r="N63" s="1491"/>
      <c r="O63" s="1491"/>
      <c r="P63" s="1491"/>
      <c r="Q63" s="1491"/>
      <c r="R63" s="1491"/>
      <c r="S63" s="1491"/>
      <c r="AF63" s="1491"/>
      <c r="AG63" s="1491"/>
      <c r="AH63" s="1491"/>
      <c r="AI63" s="1491"/>
      <c r="AJ63" s="1491"/>
      <c r="AK63" s="1491"/>
      <c r="AL63" s="1491"/>
      <c r="AM63" s="1491"/>
    </row>
  </sheetData>
  <sheetProtection algorithmName="SHA-512" hashValue="Li/xg/bNrwOXisgfLUrZB5XRx6g+UPKgEnb2/bPLPA+xZaG1JjklX/DUPabHlW1wKwVPuC4Ixne7EUYe2CQbvA==" saltValue="ASPDOeljUPUp1yNpbEq0SA=="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goto_details">
                <anchor moveWithCells="1" sizeWithCells="1">
                  <from>
                    <xdr:col>2</xdr:col>
                    <xdr:colOff>25400</xdr:colOff>
                    <xdr:row>5</xdr:row>
                    <xdr:rowOff>6350</xdr:rowOff>
                  </from>
                  <to>
                    <xdr:col>2</xdr:col>
                    <xdr:colOff>749300</xdr:colOff>
                    <xdr:row>6</xdr:row>
                    <xdr:rowOff>146050</xdr:rowOff>
                  </to>
                </anchor>
              </controlPr>
            </control>
          </mc:Choice>
        </mc:AlternateContent>
        <mc:AlternateContent xmlns:mc="http://schemas.openxmlformats.org/markup-compatibility/2006">
          <mc:Choice Requires="x14">
            <control shapeId="94210" r:id="rId5" name="Button 2">
              <controlPr defaultSize="0" print="0" autoFill="0" autoPict="0" macro="[0]!backto">
                <anchor moveWithCells="1" sizeWithCells="1">
                  <from>
                    <xdr:col>16</xdr:col>
                    <xdr:colOff>44450</xdr:colOff>
                    <xdr:row>1</xdr:row>
                    <xdr:rowOff>6350</xdr:rowOff>
                  </from>
                  <to>
                    <xdr:col>16</xdr:col>
                    <xdr:colOff>1130300</xdr:colOff>
                    <xdr:row>4</xdr:row>
                    <xdr:rowOff>127000</xdr:rowOff>
                  </to>
                </anchor>
              </controlPr>
            </control>
          </mc:Choice>
        </mc:AlternateContent>
        <mc:AlternateContent xmlns:mc="http://schemas.openxmlformats.org/markup-compatibility/2006">
          <mc:Choice Requires="x14">
            <control shapeId="94211" r:id="rId6" name="Button 3">
              <controlPr defaultSize="0" print="0" autoFill="0" autoPict="0" macro="[0]!goto_revised_advdetail_from_original">
                <anchor moveWithCells="1" sizeWithCells="1">
                  <from>
                    <xdr:col>16</xdr:col>
                    <xdr:colOff>63500</xdr:colOff>
                    <xdr:row>7</xdr:row>
                    <xdr:rowOff>679450</xdr:rowOff>
                  </from>
                  <to>
                    <xdr:col>17</xdr:col>
                    <xdr:colOff>577850</xdr:colOff>
                    <xdr:row>10</xdr:row>
                    <xdr:rowOff>139700</xdr:rowOff>
                  </to>
                </anchor>
              </controlPr>
            </control>
          </mc:Choice>
        </mc:AlternateContent>
        <mc:AlternateContent xmlns:mc="http://schemas.openxmlformats.org/markup-compatibility/2006">
          <mc:Choice Requires="x14">
            <control shapeId="94212" r:id="rId7" name="Button 4">
              <controlPr defaultSize="0" print="0" autoFill="0" autoPict="0" macro="[0]!goto_home">
                <anchor moveWithCells="1" sizeWithCells="1">
                  <from>
                    <xdr:col>0</xdr:col>
                    <xdr:colOff>38100</xdr:colOff>
                    <xdr:row>1</xdr:row>
                    <xdr:rowOff>0</xdr:rowOff>
                  </from>
                  <to>
                    <xdr:col>0</xdr:col>
                    <xdr:colOff>622300</xdr:colOff>
                    <xdr:row>4</xdr:row>
                    <xdr:rowOff>25400</xdr:rowOff>
                  </to>
                </anchor>
              </controlPr>
            </control>
          </mc:Choice>
        </mc:AlternateContent>
        <mc:AlternateContent xmlns:mc="http://schemas.openxmlformats.org/markup-compatibility/2006">
          <mc:Choice Requires="x14">
            <control shapeId="94213" r:id="rId8" name="Button 5">
              <controlPr defaultSize="0" print="0" autoFill="0" autoPict="0" macro="[0]!goto_next_year_any_sheet">
                <anchor moveWithCells="1" sizeWithCells="1">
                  <from>
                    <xdr:col>16</xdr:col>
                    <xdr:colOff>990600</xdr:colOff>
                    <xdr:row>11</xdr:row>
                    <xdr:rowOff>0</xdr:rowOff>
                  </from>
                  <to>
                    <xdr:col>17</xdr:col>
                    <xdr:colOff>577850</xdr:colOff>
                    <xdr:row>14</xdr:row>
                    <xdr:rowOff>63500</xdr:rowOff>
                  </to>
                </anchor>
              </controlPr>
            </control>
          </mc:Choice>
        </mc:AlternateContent>
        <mc:AlternateContent xmlns:mc="http://schemas.openxmlformats.org/markup-compatibility/2006">
          <mc:Choice Requires="x14">
            <control shapeId="94214" r:id="rId9" name="Button 6">
              <controlPr defaultSize="0" print="0" autoFill="0" autoPict="0" macro="[0]!goto_previous_year_any_sheet">
                <anchor moveWithCells="1" sizeWithCells="1">
                  <from>
                    <xdr:col>16</xdr:col>
                    <xdr:colOff>69850</xdr:colOff>
                    <xdr:row>11</xdr:row>
                    <xdr:rowOff>0</xdr:rowOff>
                  </from>
                  <to>
                    <xdr:col>16</xdr:col>
                    <xdr:colOff>965200</xdr:colOff>
                    <xdr:row>14</xdr:row>
                    <xdr:rowOff>63500</xdr:rowOff>
                  </to>
                </anchor>
              </controlPr>
            </control>
          </mc:Choice>
        </mc:AlternateContent>
        <mc:AlternateContent xmlns:mc="http://schemas.openxmlformats.org/markup-compatibility/2006">
          <mc:Choice Requires="x14">
            <control shapeId="94215" r:id="rId10" name="Button 7">
              <controlPr defaultSize="0" print="0" autoFill="0" autoPict="0" macro="[0]!copy_as_excel">
                <anchor moveWithCells="1" sizeWithCells="1">
                  <from>
                    <xdr:col>16</xdr:col>
                    <xdr:colOff>69850</xdr:colOff>
                    <xdr:row>7</xdr:row>
                    <xdr:rowOff>146050</xdr:rowOff>
                  </from>
                  <to>
                    <xdr:col>16</xdr:col>
                    <xdr:colOff>755650</xdr:colOff>
                    <xdr:row>7</xdr:row>
                    <xdr:rowOff>533400</xdr:rowOff>
                  </to>
                </anchor>
              </controlPr>
            </control>
          </mc:Choice>
        </mc:AlternateContent>
        <mc:AlternateContent xmlns:mc="http://schemas.openxmlformats.org/markup-compatibility/2006">
          <mc:Choice Requires="x14">
            <control shapeId="94216" r:id="rId11" name="Button 8">
              <controlPr defaultSize="0" print="0" autoFill="0" autoPict="0" macro="[0]!pdflauncher">
                <anchor moveWithCells="1" sizeWithCells="1">
                  <from>
                    <xdr:col>16</xdr:col>
                    <xdr:colOff>762000</xdr:colOff>
                    <xdr:row>7</xdr:row>
                    <xdr:rowOff>146050</xdr:rowOff>
                  </from>
                  <to>
                    <xdr:col>17</xdr:col>
                    <xdr:colOff>279400</xdr:colOff>
                    <xdr:row>7</xdr:row>
                    <xdr:rowOff>533400</xdr:rowOff>
                  </to>
                </anchor>
              </controlPr>
            </control>
          </mc:Choice>
        </mc:AlternateContent>
        <mc:AlternateContent xmlns:mc="http://schemas.openxmlformats.org/markup-compatibility/2006">
          <mc:Choice Requires="x14">
            <control shapeId="94217" r:id="rId12" name="Button 9">
              <controlPr defaultSize="0" print="0" autoFill="0" autoPict="0" macro="[0]!openfolder">
                <anchor moveWithCells="1" sizeWithCells="1">
                  <from>
                    <xdr:col>17</xdr:col>
                    <xdr:colOff>298450</xdr:colOff>
                    <xdr:row>7</xdr:row>
                    <xdr:rowOff>146050</xdr:rowOff>
                  </from>
                  <to>
                    <xdr:col>17</xdr:col>
                    <xdr:colOff>831850</xdr:colOff>
                    <xdr:row>7</xdr:row>
                    <xdr:rowOff>533400</xdr:rowOff>
                  </to>
                </anchor>
              </controlPr>
            </control>
          </mc:Choice>
        </mc:AlternateContent>
        <mc:AlternateContent xmlns:mc="http://schemas.openxmlformats.org/markup-compatibility/2006">
          <mc:Choice Requires="x14">
            <control shapeId="94218" r:id="rId13" name="Button 10">
              <controlPr defaultSize="0" print="0" autoFill="0" autoPict="0" macro="[0]!goto_folder_settings">
                <anchor moveWithCells="1" sizeWithCells="1">
                  <from>
                    <xdr:col>17</xdr:col>
                    <xdr:colOff>838200</xdr:colOff>
                    <xdr:row>7</xdr:row>
                    <xdr:rowOff>146050</xdr:rowOff>
                  </from>
                  <to>
                    <xdr:col>18</xdr:col>
                    <xdr:colOff>482600</xdr:colOff>
                    <xdr:row>7</xdr:row>
                    <xdr:rowOff>533400</xdr:rowOff>
                  </to>
                </anchor>
              </controlPr>
            </control>
          </mc:Choice>
        </mc:AlternateContent>
        <mc:AlternateContent xmlns:mc="http://schemas.openxmlformats.org/markup-compatibility/2006">
          <mc:Choice Requires="x14">
            <control shapeId="94219" r:id="rId14" name="Button 11">
              <controlPr defaultSize="0" print="0" autoFill="0" autoPict="0" macro="[0]!email_pdf_launch">
                <anchor moveWithCells="1" sizeWithCells="1">
                  <from>
                    <xdr:col>16</xdr:col>
                    <xdr:colOff>914400</xdr:colOff>
                    <xdr:row>6</xdr:row>
                    <xdr:rowOff>0</xdr:rowOff>
                  </from>
                  <to>
                    <xdr:col>17</xdr:col>
                    <xdr:colOff>431800</xdr:colOff>
                    <xdr:row>7</xdr:row>
                    <xdr:rowOff>127000</xdr:rowOff>
                  </to>
                </anchor>
              </controlPr>
            </control>
          </mc:Choice>
        </mc:AlternateContent>
        <mc:AlternateContent xmlns:mc="http://schemas.openxmlformats.org/markup-compatibility/2006">
          <mc:Choice Requires="x14">
            <control shapeId="94220" r:id="rId15" name="Button 12">
              <controlPr defaultSize="0" print="0" autoFill="0" autoPict="0" macro="[0]!email_copy_as_excel">
                <anchor moveWithCells="1" sizeWithCells="1">
                  <from>
                    <xdr:col>16</xdr:col>
                    <xdr:colOff>69850</xdr:colOff>
                    <xdr:row>6</xdr:row>
                    <xdr:rowOff>0</xdr:rowOff>
                  </from>
                  <to>
                    <xdr:col>16</xdr:col>
                    <xdr:colOff>901700</xdr:colOff>
                    <xdr:row>7</xdr:row>
                    <xdr:rowOff>127000</xdr:rowOff>
                  </to>
                </anchor>
              </controlPr>
            </control>
          </mc:Choice>
        </mc:AlternateContent>
        <mc:AlternateContent xmlns:mc="http://schemas.openxmlformats.org/markup-compatibility/2006">
          <mc:Choice Requires="x14">
            <control shapeId="94221" r:id="rId16" name="Button 13">
              <controlPr defaultSize="0" print="0" autoFill="0" autoPict="0" macro="[0]!emailsettings">
                <anchor moveWithCells="1" sizeWithCells="1">
                  <from>
                    <xdr:col>17</xdr:col>
                    <xdr:colOff>444500</xdr:colOff>
                    <xdr:row>6</xdr:row>
                    <xdr:rowOff>0</xdr:rowOff>
                  </from>
                  <to>
                    <xdr:col>18</xdr:col>
                    <xdr:colOff>482600</xdr:colOff>
                    <xdr:row>7</xdr:row>
                    <xdr:rowOff>127000</xdr:rowOff>
                  </to>
                </anchor>
              </controlPr>
            </control>
          </mc:Choice>
        </mc:AlternateContent>
        <mc:AlternateContent xmlns:mc="http://schemas.openxmlformats.org/markup-compatibility/2006">
          <mc:Choice Requires="x14">
            <control shapeId="94222" r:id="rId17" name="Button 14">
              <controlPr defaultSize="0" print="0" autoFill="0" autoPict="0" macro="[0]!goto_advanced">
                <anchor moveWithCells="1" sizeWithCells="1">
                  <from>
                    <xdr:col>16</xdr:col>
                    <xdr:colOff>69850</xdr:colOff>
                    <xdr:row>15</xdr:row>
                    <xdr:rowOff>63500</xdr:rowOff>
                  </from>
                  <to>
                    <xdr:col>17</xdr:col>
                    <xdr:colOff>584200</xdr:colOff>
                    <xdr:row>18</xdr:row>
                    <xdr:rowOff>120650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EA3A4-D03A-4CE2-B50D-7C36C3E3AE77}">
  <sheetPr codeName="Sheet122">
    <pageSetUpPr fitToPage="1"/>
  </sheetPr>
  <dimension ref="A1:AM63"/>
  <sheetViews>
    <sheetView showGridLines="0" zoomScaleNormal="100" workbookViewId="0">
      <selection activeCell="A3" sqref="A3"/>
    </sheetView>
  </sheetViews>
  <sheetFormatPr defaultColWidth="9.08984375" defaultRowHeight="12.5" x14ac:dyDescent="0.25"/>
  <cols>
    <col min="1" max="1" width="10.08984375" style="1493" customWidth="1"/>
    <col min="2" max="2" width="1.90625" style="1493" customWidth="1"/>
    <col min="3" max="3" width="11.54296875" style="1493" customWidth="1"/>
    <col min="4" max="4" width="11.6328125" style="1493" customWidth="1"/>
    <col min="5" max="5" width="13.08984375" style="1493" customWidth="1"/>
    <col min="6" max="6" width="13" style="1493" customWidth="1"/>
    <col min="7" max="7" width="12.08984375" style="1493" customWidth="1"/>
    <col min="8" max="8" width="8.08984375" style="1493" customWidth="1"/>
    <col min="9" max="9" width="11.90625" style="1493" customWidth="1"/>
    <col min="10" max="10" width="13.36328125" style="1493" customWidth="1"/>
    <col min="11" max="11" width="11.90625" style="1493" customWidth="1"/>
    <col min="12" max="13" width="12.54296875" style="1493" customWidth="1"/>
    <col min="14" max="14" width="13.36328125" style="1493" customWidth="1"/>
    <col min="15" max="15" width="1.6328125" style="1493" customWidth="1"/>
    <col min="16" max="16" width="1.90625" style="1493" customWidth="1"/>
    <col min="17" max="17" width="17" style="1493" customWidth="1"/>
    <col min="18" max="18" width="12.90625" style="1493" customWidth="1"/>
    <col min="19" max="19" width="9.08984375" style="1493"/>
    <col min="20" max="31" width="9.08984375" style="1493" hidden="1" customWidth="1"/>
    <col min="32" max="16384" width="9.08984375" style="1493"/>
  </cols>
  <sheetData>
    <row r="1" spans="1:39" ht="21" customHeight="1" x14ac:dyDescent="0.25">
      <c r="A1" s="2238"/>
      <c r="B1" s="2238"/>
      <c r="C1" s="2238"/>
      <c r="D1" s="2238"/>
      <c r="E1" s="2238"/>
      <c r="F1" s="2238"/>
      <c r="G1" s="2238"/>
      <c r="H1" s="2238"/>
      <c r="I1" s="2238"/>
      <c r="J1" s="2238"/>
      <c r="K1" s="2238"/>
      <c r="L1" s="2238"/>
      <c r="M1" s="2238"/>
      <c r="N1" s="2238"/>
      <c r="O1" s="2238"/>
      <c r="P1" s="2238"/>
      <c r="Q1" s="2238"/>
      <c r="R1" s="2238"/>
      <c r="S1" s="2238"/>
      <c r="T1" s="2238"/>
      <c r="U1" s="2238"/>
      <c r="V1" s="2238"/>
      <c r="W1" s="2238"/>
      <c r="X1" s="2238"/>
      <c r="Y1" s="2238"/>
      <c r="Z1" s="2238"/>
      <c r="AA1" s="2238"/>
      <c r="AB1" s="2238"/>
      <c r="AC1" s="2238"/>
      <c r="AD1" s="2238"/>
      <c r="AE1" s="2238"/>
      <c r="AF1" s="2238"/>
      <c r="AG1" s="2238"/>
      <c r="AH1" s="2238"/>
      <c r="AI1" s="2238"/>
      <c r="AJ1" s="2238"/>
      <c r="AK1" s="2238"/>
      <c r="AL1" s="2238"/>
      <c r="AM1" s="2238"/>
    </row>
    <row r="2" spans="1:39" ht="8.25" customHeight="1" x14ac:dyDescent="0.25">
      <c r="A2" s="2238"/>
      <c r="Q2" s="2238"/>
      <c r="R2" s="2238"/>
      <c r="S2" s="2238"/>
      <c r="AF2" s="2238"/>
      <c r="AG2" s="2238"/>
      <c r="AH2" s="2238"/>
      <c r="AI2" s="2238"/>
      <c r="AJ2" s="2238"/>
      <c r="AK2" s="2238"/>
      <c r="AL2" s="2238"/>
      <c r="AM2" s="2238"/>
    </row>
    <row r="3" spans="1:39" ht="15.5" x14ac:dyDescent="0.35">
      <c r="A3" s="2238"/>
      <c r="C3" s="2216" t="str">
        <f ca="1">"Detailed Liability Report (Advanced Revised) for the year "&amp;OFFSET(advanced!G87,U3,0)</f>
        <v xml:space="preserve">Detailed Liability Report (Advanced Revised) for the year 2024/25 </v>
      </c>
      <c r="D3" s="1966"/>
      <c r="E3" s="1966"/>
      <c r="F3" s="1966"/>
      <c r="G3" s="1966"/>
      <c r="H3" s="1966"/>
      <c r="I3" s="1966"/>
      <c r="J3" s="1966"/>
      <c r="K3" s="1966"/>
      <c r="L3" s="1966"/>
      <c r="M3" s="1966"/>
      <c r="N3" s="2216" t="str">
        <f>"Year "&amp;U3</f>
        <v>Year 2</v>
      </c>
      <c r="Q3" s="2238"/>
      <c r="R3" s="2238"/>
      <c r="S3" s="2238"/>
      <c r="T3" s="2158" t="s">
        <v>573</v>
      </c>
      <c r="U3" s="1961">
        <v>2</v>
      </c>
      <c r="V3" s="1945">
        <f>U3</f>
        <v>2</v>
      </c>
      <c r="W3" s="1945">
        <f>V3</f>
        <v>2</v>
      </c>
      <c r="X3" s="2236" t="s">
        <v>574</v>
      </c>
      <c r="Y3" s="2236"/>
      <c r="AF3" s="2238"/>
      <c r="AG3" s="2238"/>
      <c r="AH3" s="2238"/>
      <c r="AI3" s="2238"/>
      <c r="AJ3" s="2238"/>
      <c r="AK3" s="2238"/>
      <c r="AL3" s="2238"/>
      <c r="AM3" s="2238"/>
    </row>
    <row r="4" spans="1:39" ht="6.75" customHeight="1" x14ac:dyDescent="0.3">
      <c r="A4" s="2238"/>
      <c r="C4" s="1501"/>
      <c r="D4" s="1966"/>
      <c r="E4" s="1966"/>
      <c r="F4" s="1966"/>
      <c r="G4" s="1966"/>
      <c r="H4" s="1966"/>
      <c r="I4" s="1966"/>
      <c r="J4" s="1966"/>
      <c r="K4" s="1966"/>
      <c r="L4" s="1966"/>
      <c r="M4" s="1966"/>
      <c r="N4" s="1966"/>
      <c r="Q4" s="2238"/>
      <c r="R4" s="2238"/>
      <c r="S4" s="2238"/>
      <c r="T4" s="1564"/>
      <c r="U4" s="1564"/>
      <c r="V4" s="1564"/>
      <c r="W4" s="1564"/>
      <c r="AF4" s="2238"/>
      <c r="AG4" s="2238"/>
      <c r="AH4" s="2238"/>
      <c r="AI4" s="2238"/>
      <c r="AJ4" s="2238"/>
      <c r="AK4" s="2238"/>
      <c r="AL4" s="2238"/>
      <c r="AM4" s="2238"/>
    </row>
    <row r="5" spans="1:39" ht="13" x14ac:dyDescent="0.3">
      <c r="A5" s="2238"/>
      <c r="C5" s="1501" t="str">
        <f>advanced!F5</f>
        <v>Click Button Below to Enter Address</v>
      </c>
      <c r="D5" s="1966"/>
      <c r="E5" s="1966"/>
      <c r="F5" s="1966"/>
      <c r="G5" s="1966"/>
      <c r="H5" s="1966"/>
      <c r="I5" s="1966"/>
      <c r="J5" s="1966"/>
      <c r="K5" s="1966"/>
      <c r="L5" s="1966"/>
      <c r="M5" s="1966"/>
      <c r="N5" s="1966"/>
      <c r="Q5" s="2238"/>
      <c r="R5" s="2238"/>
      <c r="S5" s="2238"/>
      <c r="T5" s="1564"/>
      <c r="U5" s="1564"/>
      <c r="V5" s="1564"/>
      <c r="W5" s="1564"/>
      <c r="AF5" s="2238"/>
      <c r="AG5" s="2238"/>
      <c r="AH5" s="2238"/>
      <c r="AI5" s="2238"/>
      <c r="AJ5" s="2238"/>
      <c r="AK5" s="2238"/>
      <c r="AL5" s="2238"/>
      <c r="AM5" s="2238"/>
    </row>
    <row r="6" spans="1:39" ht="7.5" customHeight="1" x14ac:dyDescent="0.25">
      <c r="A6" s="2238"/>
      <c r="C6" s="1966"/>
      <c r="D6" s="1966"/>
      <c r="E6" s="1966"/>
      <c r="F6" s="1966"/>
      <c r="G6" s="1966"/>
      <c r="H6" s="1966"/>
      <c r="I6" s="1966"/>
      <c r="J6" s="1966"/>
      <c r="K6" s="1966"/>
      <c r="L6" s="1966"/>
      <c r="M6" s="1966"/>
      <c r="N6" s="1966"/>
      <c r="Q6" s="2238"/>
      <c r="R6" s="2238"/>
      <c r="S6" s="2238"/>
      <c r="T6" s="1564"/>
      <c r="U6" s="1564"/>
      <c r="V6" s="1564"/>
      <c r="W6" s="1564"/>
      <c r="AF6" s="2238"/>
      <c r="AG6" s="2238"/>
      <c r="AH6" s="2238"/>
      <c r="AI6" s="2238"/>
      <c r="AJ6" s="2238"/>
      <c r="AK6" s="2238"/>
      <c r="AL6" s="2238"/>
      <c r="AM6" s="2238"/>
    </row>
    <row r="7" spans="1:39" ht="13" x14ac:dyDescent="0.3">
      <c r="A7" s="2238"/>
      <c r="C7" s="1501"/>
      <c r="D7" s="1966" t="s">
        <v>1843</v>
      </c>
      <c r="E7" s="2011">
        <f ca="1">OFFSET(data!C12,U3,0)</f>
        <v>365</v>
      </c>
      <c r="F7" s="1966"/>
      <c r="G7" s="1966"/>
      <c r="H7" s="1966"/>
      <c r="I7" s="1966"/>
      <c r="J7" s="1966"/>
      <c r="K7" s="1966"/>
      <c r="L7" s="1966"/>
      <c r="M7" s="1966"/>
      <c r="N7" s="1966"/>
      <c r="Q7" s="2238"/>
      <c r="R7" s="2238"/>
      <c r="S7" s="2238"/>
      <c r="T7" s="1564"/>
      <c r="U7" s="1564"/>
      <c r="V7" s="1564"/>
      <c r="W7" s="1564"/>
      <c r="AF7" s="2238"/>
      <c r="AG7" s="2238"/>
      <c r="AH7" s="2238"/>
      <c r="AI7" s="2238"/>
      <c r="AJ7" s="2238"/>
      <c r="AK7" s="2238"/>
      <c r="AL7" s="2238"/>
      <c r="AM7" s="2238"/>
    </row>
    <row r="8" spans="1:39" s="2106" customFormat="1" ht="55.5" customHeight="1" x14ac:dyDescent="0.3">
      <c r="A8" s="2239"/>
      <c r="C8" s="2218" t="s">
        <v>1844</v>
      </c>
      <c r="D8" s="2218" t="s">
        <v>1845</v>
      </c>
      <c r="E8" s="2218" t="s">
        <v>324</v>
      </c>
      <c r="F8" s="2218" t="s">
        <v>272</v>
      </c>
      <c r="G8" s="2218" t="s">
        <v>915</v>
      </c>
      <c r="H8" s="2218" t="s">
        <v>112</v>
      </c>
      <c r="I8" s="2219" t="s">
        <v>1846</v>
      </c>
      <c r="J8" s="2218" t="str">
        <f ca="1">"RV x SBNDRM / "&amp;E7&amp;" x days"</f>
        <v>RV x SBNDRM / 365 x days</v>
      </c>
      <c r="K8" s="2218" t="str">
        <f>"SB Supplement is RV x "&amp;'info sheet'!E11</f>
        <v>SB Supplement is RV x 0.047</v>
      </c>
      <c r="L8" s="2218" t="str">
        <f>"City of London Supplement"</f>
        <v>City of London Supplement</v>
      </c>
      <c r="M8" s="2218" t="s">
        <v>1847</v>
      </c>
      <c r="N8" s="2218" t="s">
        <v>1848</v>
      </c>
      <c r="P8" s="1493"/>
      <c r="Q8" s="2238"/>
      <c r="R8" s="2238"/>
      <c r="S8" s="2238"/>
      <c r="T8" s="1564"/>
      <c r="U8" s="1571" t="s">
        <v>581</v>
      </c>
      <c r="V8" s="1571" t="s">
        <v>321</v>
      </c>
      <c r="W8" s="1571" t="s">
        <v>572</v>
      </c>
      <c r="X8" s="1591" t="s">
        <v>2812</v>
      </c>
      <c r="Y8" s="1591" t="s">
        <v>2813</v>
      </c>
      <c r="Z8" s="1597" t="s">
        <v>575</v>
      </c>
      <c r="AA8" s="1597" t="s">
        <v>576</v>
      </c>
      <c r="AB8" s="1597" t="s">
        <v>577</v>
      </c>
      <c r="AC8" s="1591" t="s">
        <v>596</v>
      </c>
      <c r="AD8" s="1493"/>
      <c r="AE8" s="1493"/>
      <c r="AF8" s="2238"/>
      <c r="AG8" s="2238"/>
      <c r="AH8" s="2238"/>
      <c r="AI8" s="2238"/>
      <c r="AJ8" s="2238"/>
      <c r="AK8" s="2238"/>
      <c r="AL8" s="2238"/>
      <c r="AM8" s="2238"/>
    </row>
    <row r="9" spans="1:39" ht="17.25" customHeight="1" x14ac:dyDescent="0.3">
      <c r="A9" s="2238"/>
      <c r="C9" s="2192">
        <f>IF(workings2!G16&lt;workings2!F16,"",workings2!F16)</f>
        <v>45383</v>
      </c>
      <c r="D9" s="2192">
        <f>IF(workings2!G16&lt;workings2!F16,"",workings2!G16)</f>
        <v>45747</v>
      </c>
      <c r="E9" s="2200">
        <f>IF(D9&lt;&gt;"",workings2!H16,"")</f>
        <v>365</v>
      </c>
      <c r="F9" s="1649">
        <f ca="1">IF(D9&lt;&gt;"",workings2x!L16,"")</f>
        <v>0</v>
      </c>
      <c r="G9" s="2220">
        <f ca="1">IF(D9="","",workings2!S16)</f>
        <v>1</v>
      </c>
      <c r="H9" s="1649" t="str">
        <f ca="1">IF(D9="","",workings2!AF16)</f>
        <v>n</v>
      </c>
      <c r="I9" s="2200">
        <f>IF(D9="","",workings2!P16)</f>
        <v>0.499</v>
      </c>
      <c r="J9" s="1648">
        <f t="shared" ref="J9:J20" ca="1" si="0">IF(F9="","", IF(E9=0,0,F9*I9/$E$7*E9))</f>
        <v>0</v>
      </c>
      <c r="K9" s="1648">
        <f ca="1">IF(D9="","",workings2x!Y16)</f>
        <v>0</v>
      </c>
      <c r="L9" s="1648">
        <f ca="1">IF(D9="","",F9*U9/$E$7*E9*workings2x!$AC$2)</f>
        <v>0</v>
      </c>
      <c r="M9" s="1648">
        <f ca="1">IF(D9="","",workings2x!Z16)</f>
        <v>0</v>
      </c>
      <c r="N9" s="2221">
        <f t="shared" ref="N9:N20" ca="1" si="1">IF(D9="","",SUM(J9:M9))</f>
        <v>0</v>
      </c>
      <c r="P9" s="2222"/>
      <c r="Q9" s="2238"/>
      <c r="R9" s="2238"/>
      <c r="S9" s="2238"/>
      <c r="T9" s="1564"/>
      <c r="U9" s="1945">
        <f ca="1">OFFSET('info sheet'!$G$9,$U$3,0)-X9</f>
        <v>1.6E-2</v>
      </c>
      <c r="V9" s="1945">
        <f ca="1">OFFSET('info sheet'!H9,V3,0)</f>
        <v>0.02</v>
      </c>
      <c r="W9" s="1945">
        <f ca="1">OFFSET('info sheet'!E9,W3,0)</f>
        <v>4.7000000000000042E-2</v>
      </c>
      <c r="X9" s="1564">
        <f ca="1">workings1!$CW$3*Y9</f>
        <v>2.0000000000000018E-3</v>
      </c>
      <c r="Y9" s="1564" t="b">
        <f ca="1">F9&lt;AC9</f>
        <v>1</v>
      </c>
      <c r="Z9" s="2237" t="str">
        <f>VLOOKUP(U3,text!A8:E16,5,FALSE)</f>
        <v>2024</v>
      </c>
      <c r="AA9" s="2237" t="str">
        <f>VLOOKUP(U3+1,text!A8:E16,5,FALSE)</f>
        <v>2025</v>
      </c>
      <c r="AB9" s="2237" t="str">
        <f>VLOOKUP(U3-1,text!A8:E16,5,FALSE)</f>
        <v>2023</v>
      </c>
      <c r="AC9" s="1564">
        <f>workings1!CV3</f>
        <v>51000</v>
      </c>
      <c r="AF9" s="2238"/>
      <c r="AG9" s="2238"/>
      <c r="AH9" s="2238"/>
      <c r="AI9" s="2238"/>
      <c r="AJ9" s="2238"/>
      <c r="AK9" s="2238"/>
      <c r="AL9" s="2238"/>
      <c r="AM9" s="2238"/>
    </row>
    <row r="10" spans="1:39" ht="13" x14ac:dyDescent="0.3">
      <c r="A10" s="2238"/>
      <c r="C10" s="2192" t="str">
        <f>IF(workings2!G17&lt;workings2!F17,"",workings2!F17)</f>
        <v/>
      </c>
      <c r="D10" s="2192" t="str">
        <f>IF(workings2!G17&lt;workings2!F17,"",workings2!G17)</f>
        <v/>
      </c>
      <c r="E10" s="2200" t="str">
        <f>IF(D10&lt;&gt;"",workings2!H17,"")</f>
        <v/>
      </c>
      <c r="F10" s="1649" t="str">
        <f>IF(D10&lt;&gt;"",workings2x!L17,"")</f>
        <v/>
      </c>
      <c r="G10" s="2220" t="str">
        <f>IF(D10="","",workings2!S17)</f>
        <v/>
      </c>
      <c r="H10" s="1649" t="str">
        <f>IF(D10="","",workings2!AF17)</f>
        <v/>
      </c>
      <c r="I10" s="2200" t="str">
        <f>IF(D10="","",workings2!P17)</f>
        <v/>
      </c>
      <c r="J10" s="1648" t="str">
        <f t="shared" si="0"/>
        <v/>
      </c>
      <c r="K10" s="1648" t="str">
        <f>IF(D10="","",workings2x!Y17)</f>
        <v/>
      </c>
      <c r="L10" s="1648" t="str">
        <f>IF(D10="","",F10*U10/$E$7*E10*workings2x!$AC$2)</f>
        <v/>
      </c>
      <c r="M10" s="1648" t="str">
        <f>IF(D10="","",workings2x!Z17)</f>
        <v/>
      </c>
      <c r="N10" s="2221" t="str">
        <f t="shared" si="1"/>
        <v/>
      </c>
      <c r="P10" s="2222"/>
      <c r="Q10" s="2238"/>
      <c r="R10" s="2238"/>
      <c r="S10" s="2238"/>
      <c r="T10" s="1564"/>
      <c r="U10" s="1571">
        <f ca="1">OFFSET('info sheet'!$G$9,$U$3,0)-X10</f>
        <v>1.8000000000000002E-2</v>
      </c>
      <c r="V10" s="1571">
        <f t="shared" ref="V10:V20" ca="1" si="2">V9</f>
        <v>0.02</v>
      </c>
      <c r="W10" s="1571">
        <f t="shared" ref="W10:W20" ca="1" si="3">W9</f>
        <v>4.7000000000000042E-2</v>
      </c>
      <c r="X10" s="1564">
        <f>workings1!$CW$3*Y10</f>
        <v>0</v>
      </c>
      <c r="Y10" s="1564" t="b">
        <f t="shared" ref="Y10:Y20" si="4">F10&lt;AC10</f>
        <v>0</v>
      </c>
      <c r="AC10" s="1564">
        <f>AC9</f>
        <v>51000</v>
      </c>
      <c r="AF10" s="2238"/>
      <c r="AG10" s="2238"/>
      <c r="AH10" s="2238"/>
      <c r="AI10" s="2238"/>
      <c r="AJ10" s="2238"/>
      <c r="AK10" s="2238"/>
      <c r="AL10" s="2238"/>
      <c r="AM10" s="2238"/>
    </row>
    <row r="11" spans="1:39" ht="13" x14ac:dyDescent="0.3">
      <c r="A11" s="2238"/>
      <c r="C11" s="2192" t="str">
        <f>IF(workings2!G18&lt;workings2!F18,"",workings2!F18)</f>
        <v/>
      </c>
      <c r="D11" s="2192" t="str">
        <f>IF(workings2!G18&lt;workings2!F18,"",workings2!G18)</f>
        <v/>
      </c>
      <c r="E11" s="2200" t="str">
        <f>IF(D11&lt;&gt;"",workings2!H18,"")</f>
        <v/>
      </c>
      <c r="F11" s="1649" t="str">
        <f>IF(D11&lt;&gt;"",workings2x!L18,"")</f>
        <v/>
      </c>
      <c r="G11" s="2220" t="str">
        <f>IF(D11="","",workings2!S18)</f>
        <v/>
      </c>
      <c r="H11" s="1649" t="str">
        <f>IF(D11="","",workings2!AF18)</f>
        <v/>
      </c>
      <c r="I11" s="2200" t="str">
        <f>IF(D11="","",workings2!P18)</f>
        <v/>
      </c>
      <c r="J11" s="1648" t="str">
        <f t="shared" si="0"/>
        <v/>
      </c>
      <c r="K11" s="1648" t="str">
        <f>IF(D11="","",workings2x!Y18)</f>
        <v/>
      </c>
      <c r="L11" s="1648" t="str">
        <f>IF(D11="","",F11*U11/$E$7*E11*workings2x!$AC$2)</f>
        <v/>
      </c>
      <c r="M11" s="1648" t="str">
        <f>IF(D11="","",workings2x!Z18)</f>
        <v/>
      </c>
      <c r="N11" s="2221" t="str">
        <f t="shared" si="1"/>
        <v/>
      </c>
      <c r="P11" s="2222"/>
      <c r="Q11" s="2238"/>
      <c r="R11" s="2238"/>
      <c r="S11" s="2238"/>
      <c r="T11" s="1564"/>
      <c r="U11" s="1571">
        <f ca="1">OFFSET('info sheet'!$G$9,$U$3,0)-X11</f>
        <v>1.8000000000000002E-2</v>
      </c>
      <c r="V11" s="1571">
        <f t="shared" ca="1" si="2"/>
        <v>0.02</v>
      </c>
      <c r="W11" s="1571">
        <f t="shared" ca="1" si="3"/>
        <v>4.7000000000000042E-2</v>
      </c>
      <c r="X11" s="1564">
        <f>workings1!$CW$3*Y11</f>
        <v>0</v>
      </c>
      <c r="Y11" s="1564" t="b">
        <f t="shared" si="4"/>
        <v>0</v>
      </c>
      <c r="AC11" s="1564">
        <f t="shared" ref="AC11:AC20" si="5">AC10</f>
        <v>51000</v>
      </c>
      <c r="AF11" s="2238"/>
      <c r="AG11" s="2238"/>
      <c r="AH11" s="2238"/>
      <c r="AI11" s="2238"/>
      <c r="AJ11" s="2238"/>
      <c r="AK11" s="2238"/>
      <c r="AL11" s="2238"/>
      <c r="AM11" s="2238"/>
    </row>
    <row r="12" spans="1:39" ht="13" x14ac:dyDescent="0.3">
      <c r="A12" s="2238"/>
      <c r="C12" s="2192" t="str">
        <f>IF(workings2!G19&lt;workings2!F19,"",workings2!F19)</f>
        <v/>
      </c>
      <c r="D12" s="2192" t="str">
        <f>IF(workings2!G19&lt;workings2!F19,"",workings2!G19)</f>
        <v/>
      </c>
      <c r="E12" s="2200" t="str">
        <f>IF(D12&lt;&gt;"",workings2!H19,"")</f>
        <v/>
      </c>
      <c r="F12" s="1649" t="str">
        <f>IF(D12&lt;&gt;"",workings2x!L19,"")</f>
        <v/>
      </c>
      <c r="G12" s="2220" t="str">
        <f>IF(D12="","",workings2!S19)</f>
        <v/>
      </c>
      <c r="H12" s="1649" t="str">
        <f>IF(D12="","",workings2!AF19)</f>
        <v/>
      </c>
      <c r="I12" s="2200" t="str">
        <f>IF(D12="","",workings2!P19)</f>
        <v/>
      </c>
      <c r="J12" s="1648" t="str">
        <f t="shared" si="0"/>
        <v/>
      </c>
      <c r="K12" s="1648" t="str">
        <f>IF(D12="","",workings2x!Y19)</f>
        <v/>
      </c>
      <c r="L12" s="1648" t="str">
        <f>IF(D12="","",F12*U12/$E$7*E12*workings2x!$AC$2)</f>
        <v/>
      </c>
      <c r="M12" s="1648" t="str">
        <f>IF(D12="","",workings2x!Z19)</f>
        <v/>
      </c>
      <c r="N12" s="2221" t="str">
        <f t="shared" si="1"/>
        <v/>
      </c>
      <c r="P12" s="2222"/>
      <c r="Q12" s="2238"/>
      <c r="R12" s="2238"/>
      <c r="S12" s="2238"/>
      <c r="T12" s="1564"/>
      <c r="U12" s="1571">
        <f ca="1">OFFSET('info sheet'!$G$9,$U$3,0)-X12</f>
        <v>1.8000000000000002E-2</v>
      </c>
      <c r="V12" s="1571">
        <f t="shared" ca="1" si="2"/>
        <v>0.02</v>
      </c>
      <c r="W12" s="1571">
        <f t="shared" ca="1" si="3"/>
        <v>4.7000000000000042E-2</v>
      </c>
      <c r="X12" s="1564">
        <f>workings1!$CW$3*Y12</f>
        <v>0</v>
      </c>
      <c r="Y12" s="1564" t="b">
        <f t="shared" si="4"/>
        <v>0</v>
      </c>
      <c r="AC12" s="1564">
        <f t="shared" si="5"/>
        <v>51000</v>
      </c>
      <c r="AF12" s="2238"/>
      <c r="AG12" s="2238"/>
      <c r="AH12" s="2238"/>
      <c r="AI12" s="2238"/>
      <c r="AJ12" s="2238"/>
      <c r="AK12" s="2238"/>
      <c r="AL12" s="2238"/>
      <c r="AM12" s="2238"/>
    </row>
    <row r="13" spans="1:39" ht="13" x14ac:dyDescent="0.3">
      <c r="A13" s="2238"/>
      <c r="C13" s="2192" t="str">
        <f>IF(workings2!G20&lt;workings2!F20,"",workings2!F20)</f>
        <v/>
      </c>
      <c r="D13" s="2192" t="str">
        <f>IF(workings2!G20&lt;workings2!F20,"",workings2!G20)</f>
        <v/>
      </c>
      <c r="E13" s="2200" t="str">
        <f>IF(D13&lt;&gt;"",workings2!H20,"")</f>
        <v/>
      </c>
      <c r="F13" s="1649" t="str">
        <f>IF(D13&lt;&gt;"",workings2x!L20,"")</f>
        <v/>
      </c>
      <c r="G13" s="2220" t="str">
        <f>IF(D13="","",workings2!S20)</f>
        <v/>
      </c>
      <c r="H13" s="1649" t="str">
        <f>IF(D13="","",workings2!AF20)</f>
        <v/>
      </c>
      <c r="I13" s="2200" t="str">
        <f>IF(D13="","",workings2!P20)</f>
        <v/>
      </c>
      <c r="J13" s="1648" t="str">
        <f t="shared" si="0"/>
        <v/>
      </c>
      <c r="K13" s="1648" t="str">
        <f>IF(D13="","",workings2x!Y20)</f>
        <v/>
      </c>
      <c r="L13" s="1648" t="str">
        <f>IF(D13="","",F13*U13/$E$7*E13*workings2x!$AC$2)</f>
        <v/>
      </c>
      <c r="M13" s="1648" t="str">
        <f>IF(D13="","",workings2x!Z20)</f>
        <v/>
      </c>
      <c r="N13" s="2221" t="str">
        <f t="shared" si="1"/>
        <v/>
      </c>
      <c r="P13" s="2222"/>
      <c r="Q13" s="2238"/>
      <c r="R13" s="2238"/>
      <c r="S13" s="2238"/>
      <c r="T13" s="1564"/>
      <c r="U13" s="1571">
        <f ca="1">OFFSET('info sheet'!$G$9,$U$3,0)-X13</f>
        <v>1.8000000000000002E-2</v>
      </c>
      <c r="V13" s="1571">
        <f t="shared" ca="1" si="2"/>
        <v>0.02</v>
      </c>
      <c r="W13" s="1571">
        <f t="shared" ca="1" si="3"/>
        <v>4.7000000000000042E-2</v>
      </c>
      <c r="X13" s="1564">
        <f>workings1!$CW$3*Y13</f>
        <v>0</v>
      </c>
      <c r="Y13" s="1564" t="b">
        <f t="shared" si="4"/>
        <v>0</v>
      </c>
      <c r="AC13" s="1564">
        <f t="shared" si="5"/>
        <v>51000</v>
      </c>
      <c r="AF13" s="2238"/>
      <c r="AG13" s="2238"/>
      <c r="AH13" s="2238"/>
      <c r="AI13" s="2238"/>
      <c r="AJ13" s="2238"/>
      <c r="AK13" s="2238"/>
      <c r="AL13" s="2238"/>
      <c r="AM13" s="2238"/>
    </row>
    <row r="14" spans="1:39" ht="13" x14ac:dyDescent="0.3">
      <c r="A14" s="2238"/>
      <c r="C14" s="2192" t="str">
        <f>IF(workings2!G21&lt;workings2!F21,"",workings2!F21)</f>
        <v/>
      </c>
      <c r="D14" s="2192" t="str">
        <f>IF(workings2!G21&lt;workings2!F21,"",workings2!G21)</f>
        <v/>
      </c>
      <c r="E14" s="2200" t="str">
        <f>IF(D14&lt;&gt;"",workings2!H21,"")</f>
        <v/>
      </c>
      <c r="F14" s="1649" t="str">
        <f>IF(D14&lt;&gt;"",workings2x!L21,"")</f>
        <v/>
      </c>
      <c r="G14" s="2220" t="str">
        <f>IF(D14="","",workings2!S21)</f>
        <v/>
      </c>
      <c r="H14" s="1649" t="str">
        <f>IF(D14="","",workings2!AF21)</f>
        <v/>
      </c>
      <c r="I14" s="2200" t="str">
        <f>IF(D14="","",workings2!P21)</f>
        <v/>
      </c>
      <c r="J14" s="1648" t="str">
        <f t="shared" si="0"/>
        <v/>
      </c>
      <c r="K14" s="1648" t="str">
        <f>IF(D14="","",workings2x!Y21)</f>
        <v/>
      </c>
      <c r="L14" s="1648" t="str">
        <f>IF(D14="","",F14*U14/$E$7*E14*workings2x!$AC$2)</f>
        <v/>
      </c>
      <c r="M14" s="1648" t="str">
        <f>IF(D14="","",workings2x!Z21)</f>
        <v/>
      </c>
      <c r="N14" s="2221" t="str">
        <f t="shared" si="1"/>
        <v/>
      </c>
      <c r="P14" s="2222"/>
      <c r="Q14" s="2238"/>
      <c r="R14" s="2238"/>
      <c r="S14" s="2238"/>
      <c r="T14" s="1564"/>
      <c r="U14" s="1571">
        <f ca="1">OFFSET('info sheet'!$G$9,$U$3,0)-X14</f>
        <v>1.8000000000000002E-2</v>
      </c>
      <c r="V14" s="1571">
        <f t="shared" ca="1" si="2"/>
        <v>0.02</v>
      </c>
      <c r="W14" s="1571">
        <f t="shared" ca="1" si="3"/>
        <v>4.7000000000000042E-2</v>
      </c>
      <c r="X14" s="1564">
        <f>workings1!$CW$3*Y14</f>
        <v>0</v>
      </c>
      <c r="Y14" s="1564" t="b">
        <f t="shared" si="4"/>
        <v>0</v>
      </c>
      <c r="AC14" s="1564">
        <f t="shared" si="5"/>
        <v>51000</v>
      </c>
      <c r="AF14" s="2238"/>
      <c r="AG14" s="2238"/>
      <c r="AH14" s="2238"/>
      <c r="AI14" s="2238"/>
      <c r="AJ14" s="2238"/>
      <c r="AK14" s="2238"/>
      <c r="AL14" s="2238"/>
      <c r="AM14" s="2238"/>
    </row>
    <row r="15" spans="1:39" ht="13" x14ac:dyDescent="0.3">
      <c r="A15" s="2238"/>
      <c r="C15" s="2192" t="str">
        <f>IF(workings2!G22&lt;workings2!F22,"",workings2!F22)</f>
        <v/>
      </c>
      <c r="D15" s="2192" t="str">
        <f>IF(workings2!G22&lt;workings2!F22,"",workings2!G22)</f>
        <v/>
      </c>
      <c r="E15" s="2200" t="str">
        <f>IF(D15&lt;&gt;"",workings2!H22,"")</f>
        <v/>
      </c>
      <c r="F15" s="1649" t="str">
        <f>IF(D15&lt;&gt;"",workings2x!L22,"")</f>
        <v/>
      </c>
      <c r="G15" s="2220" t="str">
        <f>IF(D15="","",workings2!S22)</f>
        <v/>
      </c>
      <c r="H15" s="1649" t="str">
        <f>IF(D15="","",workings2!AF22)</f>
        <v/>
      </c>
      <c r="I15" s="2200" t="str">
        <f>IF(D15="","",workings2!P22)</f>
        <v/>
      </c>
      <c r="J15" s="1648" t="str">
        <f t="shared" si="0"/>
        <v/>
      </c>
      <c r="K15" s="1648" t="str">
        <f>IF(D15="","",workings2x!Y22)</f>
        <v/>
      </c>
      <c r="L15" s="1648" t="str">
        <f>IF(D15="","",F15*U15/$E$7*E15*workings2x!$AC$2)</f>
        <v/>
      </c>
      <c r="M15" s="1648" t="str">
        <f>IF(D15="","",workings2x!Z22)</f>
        <v/>
      </c>
      <c r="N15" s="2221" t="str">
        <f t="shared" si="1"/>
        <v/>
      </c>
      <c r="P15" s="2222"/>
      <c r="Q15" s="2238"/>
      <c r="R15" s="2238"/>
      <c r="S15" s="2238"/>
      <c r="T15" s="1564"/>
      <c r="U15" s="1571">
        <f ca="1">OFFSET('info sheet'!$G$9,$U$3,0)-X15</f>
        <v>1.8000000000000002E-2</v>
      </c>
      <c r="V15" s="1571">
        <f t="shared" ca="1" si="2"/>
        <v>0.02</v>
      </c>
      <c r="W15" s="1571">
        <f t="shared" ca="1" si="3"/>
        <v>4.7000000000000042E-2</v>
      </c>
      <c r="X15" s="1564">
        <f>workings1!$CW$3*Y15</f>
        <v>0</v>
      </c>
      <c r="Y15" s="1564" t="b">
        <f t="shared" si="4"/>
        <v>0</v>
      </c>
      <c r="AC15" s="1564">
        <f t="shared" si="5"/>
        <v>51000</v>
      </c>
      <c r="AF15" s="2238"/>
      <c r="AG15" s="2238"/>
      <c r="AH15" s="2238"/>
      <c r="AI15" s="2238"/>
      <c r="AJ15" s="2238"/>
      <c r="AK15" s="2238"/>
      <c r="AL15" s="2238"/>
      <c r="AM15" s="2238"/>
    </row>
    <row r="16" spans="1:39" ht="13" x14ac:dyDescent="0.3">
      <c r="A16" s="2238"/>
      <c r="C16" s="2192" t="str">
        <f>IF(workings2!G23&lt;workings2!F23,"",workings2!F23)</f>
        <v/>
      </c>
      <c r="D16" s="2192" t="str">
        <f>IF(workings2!G23&lt;workings2!F23,"",workings2!G23)</f>
        <v/>
      </c>
      <c r="E16" s="2200" t="str">
        <f>IF(D16&lt;&gt;"",workings2!H23,"")</f>
        <v/>
      </c>
      <c r="F16" s="1649" t="str">
        <f>IF(D16&lt;&gt;"",workings2x!L23,"")</f>
        <v/>
      </c>
      <c r="G16" s="2220" t="str">
        <f>IF(D16="","",workings2!S23)</f>
        <v/>
      </c>
      <c r="H16" s="1649" t="str">
        <f>IF(D16="","",workings2!AF23)</f>
        <v/>
      </c>
      <c r="I16" s="2200" t="str">
        <f>IF(D16="","",workings2!P23)</f>
        <v/>
      </c>
      <c r="J16" s="1648" t="str">
        <f t="shared" si="0"/>
        <v/>
      </c>
      <c r="K16" s="1648" t="str">
        <f>IF(D16="","",workings2x!Y23)</f>
        <v/>
      </c>
      <c r="L16" s="1648" t="str">
        <f>IF(D16="","",F16*U16/$E$7*E16*workings2x!$AC$2)</f>
        <v/>
      </c>
      <c r="M16" s="1648" t="str">
        <f>IF(D16="","",workings2x!Z23)</f>
        <v/>
      </c>
      <c r="N16" s="2221" t="str">
        <f t="shared" si="1"/>
        <v/>
      </c>
      <c r="P16" s="2222"/>
      <c r="Q16" s="2238"/>
      <c r="R16" s="2238"/>
      <c r="S16" s="2238"/>
      <c r="T16" s="1564"/>
      <c r="U16" s="1571">
        <f ca="1">OFFSET('info sheet'!$G$9,$U$3,0)-X16</f>
        <v>1.8000000000000002E-2</v>
      </c>
      <c r="V16" s="1571">
        <f t="shared" ca="1" si="2"/>
        <v>0.02</v>
      </c>
      <c r="W16" s="1571">
        <f t="shared" ca="1" si="3"/>
        <v>4.7000000000000042E-2</v>
      </c>
      <c r="X16" s="1564">
        <f>workings1!$CW$3*Y16</f>
        <v>0</v>
      </c>
      <c r="Y16" s="1564" t="b">
        <f t="shared" si="4"/>
        <v>0</v>
      </c>
      <c r="AC16" s="1564">
        <f t="shared" si="5"/>
        <v>51000</v>
      </c>
      <c r="AF16" s="2238"/>
      <c r="AG16" s="2238"/>
      <c r="AH16" s="2238"/>
      <c r="AI16" s="2238"/>
      <c r="AJ16" s="2238"/>
      <c r="AK16" s="2238"/>
      <c r="AL16" s="2238"/>
      <c r="AM16" s="2238"/>
    </row>
    <row r="17" spans="1:39" ht="13" x14ac:dyDescent="0.3">
      <c r="A17" s="2238"/>
      <c r="C17" s="2192" t="str">
        <f>IF(workings2!G24&lt;workings2!F24,"",workings2!F24)</f>
        <v/>
      </c>
      <c r="D17" s="2192" t="str">
        <f>IF(workings2!G24&lt;workings2!F24,"",workings2!G24)</f>
        <v/>
      </c>
      <c r="E17" s="2200" t="str">
        <f>IF(D17&lt;&gt;"",workings2!H24,"")</f>
        <v/>
      </c>
      <c r="F17" s="1649" t="str">
        <f>IF(D17&lt;&gt;"",workings2x!L24,"")</f>
        <v/>
      </c>
      <c r="G17" s="2220" t="str">
        <f>IF(D17="","",workings2!S24)</f>
        <v/>
      </c>
      <c r="H17" s="1649" t="str">
        <f>IF(D17="","",workings2!AF24)</f>
        <v/>
      </c>
      <c r="I17" s="2200" t="str">
        <f>IF(D17="","",workings2!P24)</f>
        <v/>
      </c>
      <c r="J17" s="1648" t="str">
        <f t="shared" si="0"/>
        <v/>
      </c>
      <c r="K17" s="1648" t="str">
        <f>IF(D17="","",workings2x!Y24)</f>
        <v/>
      </c>
      <c r="L17" s="1648" t="str">
        <f>IF(D17="","",F17*U17/$E$7*E17*workings2x!$AC$2)</f>
        <v/>
      </c>
      <c r="M17" s="1648" t="str">
        <f>IF(D17="","",workings2x!Z24)</f>
        <v/>
      </c>
      <c r="N17" s="2221" t="str">
        <f t="shared" si="1"/>
        <v/>
      </c>
      <c r="P17" s="2222"/>
      <c r="Q17" s="2238"/>
      <c r="R17" s="2238"/>
      <c r="S17" s="2238"/>
      <c r="T17" s="1564"/>
      <c r="U17" s="1571">
        <f ca="1">OFFSET('info sheet'!$G$9,$U$3,0)-X17</f>
        <v>1.8000000000000002E-2</v>
      </c>
      <c r="V17" s="1571">
        <f t="shared" ca="1" si="2"/>
        <v>0.02</v>
      </c>
      <c r="W17" s="1571">
        <f t="shared" ca="1" si="3"/>
        <v>4.7000000000000042E-2</v>
      </c>
      <c r="X17" s="1564">
        <f>workings1!$CW$3*Y17</f>
        <v>0</v>
      </c>
      <c r="Y17" s="1564" t="b">
        <f t="shared" si="4"/>
        <v>0</v>
      </c>
      <c r="AC17" s="1564">
        <f t="shared" si="5"/>
        <v>51000</v>
      </c>
      <c r="AF17" s="2238"/>
      <c r="AG17" s="2238"/>
      <c r="AH17" s="2238"/>
      <c r="AI17" s="2238"/>
      <c r="AJ17" s="2238"/>
      <c r="AK17" s="2238"/>
      <c r="AL17" s="2238"/>
      <c r="AM17" s="2238"/>
    </row>
    <row r="18" spans="1:39" ht="13" x14ac:dyDescent="0.3">
      <c r="A18" s="2238"/>
      <c r="C18" s="2192" t="str">
        <f>IF(workings2!G25&lt;workings2!F25,"",workings2!F25)</f>
        <v/>
      </c>
      <c r="D18" s="2192" t="str">
        <f>IF(workings2!G25&lt;workings2!F25,"",workings2!G25)</f>
        <v/>
      </c>
      <c r="E18" s="2200" t="str">
        <f>IF(D18&lt;&gt;"",workings2!H25,"")</f>
        <v/>
      </c>
      <c r="F18" s="1649" t="str">
        <f>IF(D18&lt;&gt;"",workings2x!L25,"")</f>
        <v/>
      </c>
      <c r="G18" s="2220" t="str">
        <f>IF(D18="","",workings2!S25)</f>
        <v/>
      </c>
      <c r="H18" s="1649" t="str">
        <f>IF(D18="","",workings2!AF25)</f>
        <v/>
      </c>
      <c r="I18" s="2200" t="str">
        <f>IF(D18="","",workings2!P25)</f>
        <v/>
      </c>
      <c r="J18" s="1648" t="str">
        <f t="shared" si="0"/>
        <v/>
      </c>
      <c r="K18" s="1648" t="str">
        <f>IF(D18="","",workings2x!Y25)</f>
        <v/>
      </c>
      <c r="L18" s="1648" t="str">
        <f>IF(D18="","",F18*U18/$E$7*E18*workings2x!$AC$2)</f>
        <v/>
      </c>
      <c r="M18" s="1648" t="str">
        <f>IF(D18="","",workings2x!Z25)</f>
        <v/>
      </c>
      <c r="N18" s="2221" t="str">
        <f t="shared" si="1"/>
        <v/>
      </c>
      <c r="P18" s="2222"/>
      <c r="Q18" s="2238"/>
      <c r="R18" s="2238"/>
      <c r="S18" s="2238"/>
      <c r="T18" s="1564"/>
      <c r="U18" s="1571">
        <f ca="1">OFFSET('info sheet'!$G$9,$U$3,0)-X18</f>
        <v>1.8000000000000002E-2</v>
      </c>
      <c r="V18" s="1571">
        <f t="shared" ca="1" si="2"/>
        <v>0.02</v>
      </c>
      <c r="W18" s="1571">
        <f t="shared" ca="1" si="3"/>
        <v>4.7000000000000042E-2</v>
      </c>
      <c r="X18" s="1564">
        <f>workings1!$CW$3*Y18</f>
        <v>0</v>
      </c>
      <c r="Y18" s="1564" t="b">
        <f t="shared" si="4"/>
        <v>0</v>
      </c>
      <c r="AC18" s="1564">
        <f t="shared" si="5"/>
        <v>51000</v>
      </c>
      <c r="AF18" s="2238"/>
      <c r="AG18" s="2238"/>
      <c r="AH18" s="2238"/>
      <c r="AI18" s="2238"/>
      <c r="AJ18" s="2238"/>
      <c r="AK18" s="2238"/>
      <c r="AL18" s="2238"/>
      <c r="AM18" s="2238"/>
    </row>
    <row r="19" spans="1:39" ht="13" x14ac:dyDescent="0.3">
      <c r="A19" s="2238"/>
      <c r="C19" s="2192" t="str">
        <f>IF(workings2!G26&lt;workings2!F26,"",workings2!F26)</f>
        <v/>
      </c>
      <c r="D19" s="2192" t="str">
        <f>IF(workings2!G26&lt;workings2!F26,"",workings2!G26)</f>
        <v/>
      </c>
      <c r="E19" s="2200" t="str">
        <f>IF(D19&lt;&gt;"",workings2!H26,"")</f>
        <v/>
      </c>
      <c r="F19" s="1649" t="str">
        <f>IF(D19&lt;&gt;"",workings2x!L26,"")</f>
        <v/>
      </c>
      <c r="G19" s="2220" t="str">
        <f>IF(D19="","",workings2!S26)</f>
        <v/>
      </c>
      <c r="H19" s="1649" t="str">
        <f>IF(D19="","",workings2!AF26)</f>
        <v/>
      </c>
      <c r="I19" s="2200" t="str">
        <f>IF(D19="","",workings2!P26)</f>
        <v/>
      </c>
      <c r="J19" s="1648" t="str">
        <f t="shared" si="0"/>
        <v/>
      </c>
      <c r="K19" s="1648" t="str">
        <f>IF(D19="","",workings2x!Y26)</f>
        <v/>
      </c>
      <c r="L19" s="1648" t="str">
        <f>IF(D19="","",F19*U19/$E$7*E19*workings2x!$AC$2)</f>
        <v/>
      </c>
      <c r="M19" s="1648" t="str">
        <f>IF(D19="","",workings2x!Z26)</f>
        <v/>
      </c>
      <c r="N19" s="2221" t="str">
        <f t="shared" si="1"/>
        <v/>
      </c>
      <c r="P19" s="2222"/>
      <c r="Q19" s="2238"/>
      <c r="R19" s="2238"/>
      <c r="S19" s="2238"/>
      <c r="T19" s="1564"/>
      <c r="U19" s="1571">
        <f ca="1">OFFSET('info sheet'!$G$9,$U$3,0)-X19</f>
        <v>1.8000000000000002E-2</v>
      </c>
      <c r="V19" s="1571">
        <f t="shared" ca="1" si="2"/>
        <v>0.02</v>
      </c>
      <c r="W19" s="1571">
        <f t="shared" ca="1" si="3"/>
        <v>4.7000000000000042E-2</v>
      </c>
      <c r="X19" s="1564">
        <f>workings1!$CW$3*Y19</f>
        <v>0</v>
      </c>
      <c r="Y19" s="1564" t="b">
        <f t="shared" si="4"/>
        <v>0</v>
      </c>
      <c r="AC19" s="1564">
        <f t="shared" si="5"/>
        <v>51000</v>
      </c>
      <c r="AF19" s="2238"/>
      <c r="AG19" s="2238"/>
      <c r="AH19" s="2238"/>
      <c r="AI19" s="2238"/>
      <c r="AJ19" s="2238"/>
      <c r="AK19" s="2238"/>
      <c r="AL19" s="2238"/>
      <c r="AM19" s="2238"/>
    </row>
    <row r="20" spans="1:39" ht="13" x14ac:dyDescent="0.3">
      <c r="A20" s="2238"/>
      <c r="C20" s="2192" t="str">
        <f>IF(workings2!G27&lt;workings2!F27,"",workings2!F27)</f>
        <v/>
      </c>
      <c r="D20" s="2192" t="str">
        <f>IF(workings2!G27&lt;workings2!F27,"",workings2!G27)</f>
        <v/>
      </c>
      <c r="E20" s="2200" t="str">
        <f>IF(D20&lt;&gt;"",workings2!H27,"")</f>
        <v/>
      </c>
      <c r="F20" s="1649" t="str">
        <f>IF(D20&lt;&gt;"",workings2x!L27,"")</f>
        <v/>
      </c>
      <c r="G20" s="2220" t="str">
        <f>IF(D20="","",workings2!S27)</f>
        <v/>
      </c>
      <c r="H20" s="1649" t="str">
        <f>IF(D20="","",workings2!AF27)</f>
        <v/>
      </c>
      <c r="I20" s="2200" t="str">
        <f>IF(D20="","",workings2!P27)</f>
        <v/>
      </c>
      <c r="J20" s="1648" t="str">
        <f t="shared" si="0"/>
        <v/>
      </c>
      <c r="K20" s="1648" t="str">
        <f>IF(D20="","",workings2x!Y27)</f>
        <v/>
      </c>
      <c r="L20" s="1648" t="str">
        <f>IF(D20="","",F20*U20/$E$7*E20*workings2x!$AC$2)</f>
        <v/>
      </c>
      <c r="M20" s="1648" t="str">
        <f>IF(D20="","",workings2x!Z27)</f>
        <v/>
      </c>
      <c r="N20" s="2221" t="str">
        <f t="shared" si="1"/>
        <v/>
      </c>
      <c r="P20" s="2222"/>
      <c r="Q20" s="2238"/>
      <c r="R20" s="2238"/>
      <c r="S20" s="2238"/>
      <c r="T20" s="1564"/>
      <c r="U20" s="1571">
        <f ca="1">OFFSET('info sheet'!$G$9,$U$3,0)-X20</f>
        <v>1.8000000000000002E-2</v>
      </c>
      <c r="V20" s="1571">
        <f t="shared" ca="1" si="2"/>
        <v>0.02</v>
      </c>
      <c r="W20" s="1571">
        <f t="shared" ca="1" si="3"/>
        <v>4.7000000000000042E-2</v>
      </c>
      <c r="X20" s="1564">
        <f>workings1!$CW$3*Y20</f>
        <v>0</v>
      </c>
      <c r="Y20" s="1564" t="b">
        <f t="shared" si="4"/>
        <v>0</v>
      </c>
      <c r="AC20" s="1564">
        <f t="shared" si="5"/>
        <v>51000</v>
      </c>
      <c r="AF20" s="2238"/>
      <c r="AG20" s="2238"/>
      <c r="AH20" s="2238"/>
      <c r="AI20" s="2238"/>
      <c r="AJ20" s="2238"/>
      <c r="AK20" s="2238"/>
      <c r="AL20" s="2238"/>
      <c r="AM20" s="2238"/>
    </row>
    <row r="21" spans="1:39" ht="13.5" thickBot="1" x14ac:dyDescent="0.35">
      <c r="A21" s="2238"/>
      <c r="C21" s="1966"/>
      <c r="D21" s="1966"/>
      <c r="E21" s="1966"/>
      <c r="F21" s="1966"/>
      <c r="G21" s="1966"/>
      <c r="H21" s="1966"/>
      <c r="I21" s="1966"/>
      <c r="J21" s="2223">
        <f ca="1">SUM(J9:J20)</f>
        <v>0</v>
      </c>
      <c r="K21" s="2223">
        <f ca="1">SUM(K9:K20)</f>
        <v>0</v>
      </c>
      <c r="L21" s="2223">
        <f ca="1">SUM(L9:L20)</f>
        <v>0</v>
      </c>
      <c r="M21" s="2223">
        <f ca="1">SUM(M9:M20)</f>
        <v>0</v>
      </c>
      <c r="N21" s="2223">
        <f ca="1">SUM(N9:N20)</f>
        <v>0</v>
      </c>
      <c r="Q21" s="2238"/>
      <c r="R21" s="2238"/>
      <c r="S21" s="2238"/>
      <c r="AF21" s="2238"/>
      <c r="AG21" s="2238"/>
      <c r="AH21" s="2238"/>
      <c r="AI21" s="2238"/>
      <c r="AJ21" s="2238"/>
      <c r="AK21" s="2238"/>
      <c r="AL21" s="2238"/>
      <c r="AM21" s="2238"/>
    </row>
    <row r="22" spans="1:39" ht="13.5" thickTop="1" x14ac:dyDescent="0.3">
      <c r="A22" s="2238"/>
      <c r="C22" s="1501" t="s">
        <v>1849</v>
      </c>
      <c r="D22" s="1966"/>
      <c r="E22" s="1966"/>
      <c r="F22" s="1966"/>
      <c r="G22" s="1966"/>
      <c r="H22" s="1966"/>
      <c r="I22" s="1966"/>
      <c r="J22" s="2224"/>
      <c r="K22" s="1966"/>
      <c r="L22" s="2224"/>
      <c r="M22" s="2224"/>
      <c r="N22" s="1966"/>
      <c r="Q22" s="2238"/>
      <c r="R22" s="2238"/>
      <c r="S22" s="2238"/>
      <c r="AF22" s="2238"/>
      <c r="AG22" s="2238"/>
      <c r="AH22" s="2238"/>
      <c r="AI22" s="2238"/>
      <c r="AJ22" s="2238"/>
      <c r="AK22" s="2238"/>
      <c r="AL22" s="2238"/>
      <c r="AM22" s="2238"/>
    </row>
    <row r="23" spans="1:39" ht="26" x14ac:dyDescent="0.3">
      <c r="A23" s="2238"/>
      <c r="C23" s="2225" t="s">
        <v>1844</v>
      </c>
      <c r="D23" s="2225" t="s">
        <v>1845</v>
      </c>
      <c r="E23" s="2226" t="s">
        <v>2399</v>
      </c>
      <c r="F23" s="2226" t="s">
        <v>1850</v>
      </c>
      <c r="G23" s="2226" t="s">
        <v>1851</v>
      </c>
      <c r="H23" s="2227" t="s">
        <v>274</v>
      </c>
      <c r="I23" s="2226" t="s">
        <v>115</v>
      </c>
      <c r="J23" s="2228" t="s">
        <v>2864</v>
      </c>
      <c r="K23" s="2228" t="s">
        <v>1703</v>
      </c>
      <c r="L23" s="2228"/>
      <c r="M23" s="2228" t="str">
        <f>'original detail 1'!$M$23</f>
        <v>RHL</v>
      </c>
      <c r="N23" s="2225" t="s">
        <v>1852</v>
      </c>
      <c r="Q23" s="2238"/>
      <c r="R23" s="2238"/>
      <c r="S23" s="2238"/>
      <c r="U23" s="1594" t="s">
        <v>2326</v>
      </c>
      <c r="AF23" s="2238"/>
      <c r="AG23" s="2238"/>
      <c r="AH23" s="2238"/>
      <c r="AI23" s="2238"/>
      <c r="AJ23" s="2238"/>
      <c r="AK23" s="2238"/>
      <c r="AL23" s="2238"/>
      <c r="AM23" s="2238"/>
    </row>
    <row r="24" spans="1:39" ht="15.75" customHeight="1" x14ac:dyDescent="0.25">
      <c r="A24" s="2238"/>
      <c r="C24" s="2192">
        <f t="shared" ref="C24:D35" si="6">C9</f>
        <v>45383</v>
      </c>
      <c r="D24" s="2192">
        <f t="shared" si="6"/>
        <v>45747</v>
      </c>
      <c r="E24" s="2229">
        <f ca="1">IF(J9="","",(workings2x!Q16-J9))</f>
        <v>0</v>
      </c>
      <c r="F24" s="2229">
        <f ca="1">IF(J9="","",workings2!T16-(N9+E24+G24+I24+J24+K24+L24+M24))</f>
        <v>0</v>
      </c>
      <c r="G24" s="2229">
        <f ca="1">IF(D9="","",IF(OR(workings2!$X$2=FALSE,H9="y"),0,workings2!R16*-0.8))</f>
        <v>0</v>
      </c>
      <c r="H24" s="2230" t="str">
        <f ca="1">IF(D9="","",IF(workings2!AH16=5000000,"5 Million",workings2!AH16))</f>
        <v>5 Million</v>
      </c>
      <c r="I24" s="2229">
        <f ca="1">IF(J9="","",(((workings2!Q16+L9)/workings2!AH16)-(workings2!Q16+L9))*workings2!U16)</f>
        <v>0</v>
      </c>
      <c r="J24" s="2229">
        <f ca="1">IF(J9="","",workings2!AR16-workings2x!AR16)</f>
        <v>0</v>
      </c>
      <c r="K24" s="2229">
        <f ca="1">IF(D9="","",workings2!CC16)</f>
        <v>0</v>
      </c>
      <c r="L24" s="2229"/>
      <c r="M24" s="2229">
        <f ca="1">IF(J9="","",workings2!AZ16)</f>
        <v>0</v>
      </c>
      <c r="N24" s="1648">
        <f t="shared" ref="N24:N35" ca="1" si="7">IF(D9="","",U24)</f>
        <v>0</v>
      </c>
      <c r="Q24" s="2238"/>
      <c r="R24" s="2238"/>
      <c r="S24" s="2238"/>
      <c r="U24" s="2231">
        <f t="shared" ref="U24:U35" ca="1" si="8">SUM(V24:AD24)</f>
        <v>0</v>
      </c>
      <c r="V24" s="2232">
        <f t="shared" ref="V24:V35" ca="1" si="9">IF(N9="",0,N9)</f>
        <v>0</v>
      </c>
      <c r="W24" s="2231">
        <f t="shared" ref="W24:W35" ca="1" si="10">IF(E24="",0,E24)</f>
        <v>0</v>
      </c>
      <c r="X24" s="2231">
        <f t="shared" ref="X24:X35" ca="1" si="11">IF(F24="",0,F24)</f>
        <v>0</v>
      </c>
      <c r="Y24" s="2231">
        <f t="shared" ref="Y24:Y35" ca="1" si="12">IF(G24="",0,G24)</f>
        <v>0</v>
      </c>
      <c r="Z24" s="2231">
        <f t="shared" ref="Z24:Z35" ca="1" si="13">IF(I24="",0,I24)</f>
        <v>0</v>
      </c>
      <c r="AA24" s="2231">
        <f t="shared" ref="AA24:AA35" ca="1" si="14">IF(J24="",0,J24)</f>
        <v>0</v>
      </c>
      <c r="AB24" s="2231">
        <f t="shared" ref="AB24:AB35" ca="1" si="15">IF(K24="",0,K24)</f>
        <v>0</v>
      </c>
      <c r="AC24" s="2231">
        <f t="shared" ref="AC24:AC35" si="16">IF(L24="",0,L24)</f>
        <v>0</v>
      </c>
      <c r="AD24" s="2231">
        <f t="shared" ref="AD24:AD35" ca="1" si="17">IF(M24="",0,M24)</f>
        <v>0</v>
      </c>
      <c r="AF24" s="2238"/>
      <c r="AG24" s="2238"/>
      <c r="AH24" s="2238"/>
      <c r="AI24" s="2238"/>
      <c r="AJ24" s="2238"/>
      <c r="AK24" s="2238"/>
      <c r="AL24" s="2238"/>
      <c r="AM24" s="2238"/>
    </row>
    <row r="25" spans="1:39" x14ac:dyDescent="0.25">
      <c r="A25" s="2238"/>
      <c r="C25" s="2192" t="str">
        <f t="shared" si="6"/>
        <v/>
      </c>
      <c r="D25" s="2192" t="str">
        <f t="shared" si="6"/>
        <v/>
      </c>
      <c r="E25" s="2229" t="str">
        <f>IF(J10="","",(workings2x!Q17-J10))</f>
        <v/>
      </c>
      <c r="F25" s="2229" t="str">
        <f>IF(J10="","",workings2!T17-(N10+E25+G25+I25+J25+K25+L25+M25))</f>
        <v/>
      </c>
      <c r="G25" s="2229" t="str">
        <f>IF(D10="","",IF(OR(workings2!$X$2=FALSE,H10="y"),0,workings2!R17*-0.8))</f>
        <v/>
      </c>
      <c r="H25" s="2230" t="str">
        <f>IF(D10="","",IF(workings2!AH17=5000000,"5 Million",workings2!AH17))</f>
        <v/>
      </c>
      <c r="I25" s="2229" t="str">
        <f>IF(J10="","",(((workings2!Q17+L10)/workings2!AH17)-(workings2!Q17+L10))*workings2!U17)</f>
        <v/>
      </c>
      <c r="J25" s="2229" t="str">
        <f>IF(J10="","",workings2!AR17-workings2x!AR17)</f>
        <v/>
      </c>
      <c r="K25" s="2229" t="str">
        <f>IF(D10="","",workings2!CC17)</f>
        <v/>
      </c>
      <c r="L25" s="2229"/>
      <c r="M25" s="2229" t="str">
        <f>IF(J10="","",workings2!AZ17)</f>
        <v/>
      </c>
      <c r="N25" s="1648" t="str">
        <f t="shared" si="7"/>
        <v/>
      </c>
      <c r="Q25" s="2238"/>
      <c r="R25" s="2238"/>
      <c r="S25" s="2238"/>
      <c r="U25" s="2231">
        <f t="shared" si="8"/>
        <v>0</v>
      </c>
      <c r="V25" s="2232">
        <f t="shared" si="9"/>
        <v>0</v>
      </c>
      <c r="W25" s="2231">
        <f t="shared" si="10"/>
        <v>0</v>
      </c>
      <c r="X25" s="2231">
        <f t="shared" si="11"/>
        <v>0</v>
      </c>
      <c r="Y25" s="2231">
        <f t="shared" si="12"/>
        <v>0</v>
      </c>
      <c r="Z25" s="2231">
        <f t="shared" si="13"/>
        <v>0</v>
      </c>
      <c r="AA25" s="2231">
        <f t="shared" si="14"/>
        <v>0</v>
      </c>
      <c r="AB25" s="2231">
        <f t="shared" si="15"/>
        <v>0</v>
      </c>
      <c r="AC25" s="2231">
        <f t="shared" si="16"/>
        <v>0</v>
      </c>
      <c r="AD25" s="2231">
        <f t="shared" si="17"/>
        <v>0</v>
      </c>
      <c r="AF25" s="2238"/>
      <c r="AG25" s="2238"/>
      <c r="AH25" s="2238"/>
      <c r="AI25" s="2238"/>
      <c r="AJ25" s="2238"/>
      <c r="AK25" s="2238"/>
      <c r="AL25" s="2238"/>
      <c r="AM25" s="2238"/>
    </row>
    <row r="26" spans="1:39" x14ac:dyDescent="0.25">
      <c r="A26" s="2238"/>
      <c r="C26" s="2192" t="str">
        <f t="shared" si="6"/>
        <v/>
      </c>
      <c r="D26" s="2192" t="str">
        <f t="shared" si="6"/>
        <v/>
      </c>
      <c r="E26" s="2229" t="str">
        <f>IF(J11="","",(workings2x!Q18-J11))</f>
        <v/>
      </c>
      <c r="F26" s="2229" t="str">
        <f>IF(J11="","",workings2!T18-(N11+E26+G26+I26+J26+K26+L26+M26))</f>
        <v/>
      </c>
      <c r="G26" s="2229" t="str">
        <f>IF(D11="","",IF(OR(workings2!$X$2=FALSE,H11="y"),0,workings2!R18*-0.8))</f>
        <v/>
      </c>
      <c r="H26" s="2230" t="str">
        <f>IF(D11="","",IF(workings2!AH18=5000000,"5 Million",workings2!AH18))</f>
        <v/>
      </c>
      <c r="I26" s="2229" t="str">
        <f>IF(J11="","",(((workings2!Q18+L11)/workings2!AH18)-(workings2!Q18+L11))*workings2!U18)</f>
        <v/>
      </c>
      <c r="J26" s="2229" t="str">
        <f>IF(J11="","",workings2!AR18-workings2x!AR18)</f>
        <v/>
      </c>
      <c r="K26" s="2229" t="str">
        <f>IF(D11="","",workings2!CC18)</f>
        <v/>
      </c>
      <c r="L26" s="2229"/>
      <c r="M26" s="2229" t="str">
        <f>IF(J11="","",workings2!AZ18)</f>
        <v/>
      </c>
      <c r="N26" s="1648" t="str">
        <f t="shared" si="7"/>
        <v/>
      </c>
      <c r="Q26" s="2238"/>
      <c r="R26" s="2238"/>
      <c r="S26" s="2238"/>
      <c r="U26" s="2231">
        <f t="shared" si="8"/>
        <v>0</v>
      </c>
      <c r="V26" s="2232">
        <f t="shared" si="9"/>
        <v>0</v>
      </c>
      <c r="W26" s="2231">
        <f t="shared" si="10"/>
        <v>0</v>
      </c>
      <c r="X26" s="2231">
        <f t="shared" si="11"/>
        <v>0</v>
      </c>
      <c r="Y26" s="2231">
        <f t="shared" si="12"/>
        <v>0</v>
      </c>
      <c r="Z26" s="2231">
        <f t="shared" si="13"/>
        <v>0</v>
      </c>
      <c r="AA26" s="2231">
        <f t="shared" si="14"/>
        <v>0</v>
      </c>
      <c r="AB26" s="2231">
        <f t="shared" si="15"/>
        <v>0</v>
      </c>
      <c r="AC26" s="2231">
        <f t="shared" si="16"/>
        <v>0</v>
      </c>
      <c r="AD26" s="2231">
        <f t="shared" si="17"/>
        <v>0</v>
      </c>
      <c r="AF26" s="2238"/>
      <c r="AG26" s="2238"/>
      <c r="AH26" s="2238"/>
      <c r="AI26" s="2238"/>
      <c r="AJ26" s="2238"/>
      <c r="AK26" s="2238"/>
      <c r="AL26" s="2238"/>
      <c r="AM26" s="2238"/>
    </row>
    <row r="27" spans="1:39" x14ac:dyDescent="0.25">
      <c r="A27" s="2238"/>
      <c r="C27" s="2192" t="str">
        <f t="shared" si="6"/>
        <v/>
      </c>
      <c r="D27" s="2192" t="str">
        <f t="shared" si="6"/>
        <v/>
      </c>
      <c r="E27" s="2229" t="str">
        <f>IF(J12="","",(workings2x!Q19-J12))</f>
        <v/>
      </c>
      <c r="F27" s="2229" t="str">
        <f>IF(J12="","",workings2!T19-(N12+E27+G27+I27+J27+K27+L27+M27))</f>
        <v/>
      </c>
      <c r="G27" s="2229" t="str">
        <f>IF(D12="","",IF(OR(workings2!$X$2=FALSE,H12="y"),0,workings2!R19*-0.8))</f>
        <v/>
      </c>
      <c r="H27" s="2230" t="str">
        <f>IF(D12="","",IF(workings2!AH19=5000000,"5 Million",workings2!AH19))</f>
        <v/>
      </c>
      <c r="I27" s="2229" t="str">
        <f>IF(J12="","",(((workings2!Q19+L12)/workings2!AH19)-(workings2!Q19+L12))*workings2!U19)</f>
        <v/>
      </c>
      <c r="J27" s="2229" t="str">
        <f>IF(J12="","",workings2!AR19-workings2x!AR19)</f>
        <v/>
      </c>
      <c r="K27" s="2229" t="str">
        <f>IF(D12="","",workings2!CC19)</f>
        <v/>
      </c>
      <c r="L27" s="2229"/>
      <c r="M27" s="2229" t="str">
        <f>IF(J12="","",workings2!AZ19)</f>
        <v/>
      </c>
      <c r="N27" s="1648" t="str">
        <f t="shared" si="7"/>
        <v/>
      </c>
      <c r="Q27" s="2238"/>
      <c r="R27" s="2238"/>
      <c r="S27" s="2238"/>
      <c r="U27" s="2231">
        <f t="shared" si="8"/>
        <v>0</v>
      </c>
      <c r="V27" s="2232">
        <f t="shared" si="9"/>
        <v>0</v>
      </c>
      <c r="W27" s="2231">
        <f t="shared" si="10"/>
        <v>0</v>
      </c>
      <c r="X27" s="2231">
        <f t="shared" si="11"/>
        <v>0</v>
      </c>
      <c r="Y27" s="2231">
        <f t="shared" si="12"/>
        <v>0</v>
      </c>
      <c r="Z27" s="2231">
        <f t="shared" si="13"/>
        <v>0</v>
      </c>
      <c r="AA27" s="2231">
        <f t="shared" si="14"/>
        <v>0</v>
      </c>
      <c r="AB27" s="2231">
        <f t="shared" si="15"/>
        <v>0</v>
      </c>
      <c r="AC27" s="2231">
        <f t="shared" si="16"/>
        <v>0</v>
      </c>
      <c r="AD27" s="2231">
        <f t="shared" si="17"/>
        <v>0</v>
      </c>
      <c r="AF27" s="2238"/>
      <c r="AG27" s="2238"/>
      <c r="AH27" s="2238"/>
      <c r="AI27" s="2238"/>
      <c r="AJ27" s="2238"/>
      <c r="AK27" s="2238"/>
      <c r="AL27" s="2238"/>
      <c r="AM27" s="2238"/>
    </row>
    <row r="28" spans="1:39" x14ac:dyDescent="0.25">
      <c r="A28" s="2238"/>
      <c r="C28" s="2192" t="str">
        <f t="shared" si="6"/>
        <v/>
      </c>
      <c r="D28" s="2192" t="str">
        <f t="shared" si="6"/>
        <v/>
      </c>
      <c r="E28" s="2229" t="str">
        <f>IF(J13="","",(workings2x!Q20-J13))</f>
        <v/>
      </c>
      <c r="F28" s="2229" t="str">
        <f>IF(J13="","",workings2!T20-(N13+E28+G28+I28+J28+K28+L28+M28))</f>
        <v/>
      </c>
      <c r="G28" s="2229" t="str">
        <f>IF(D13="","",IF(OR(workings2!$X$2=FALSE,H13="y"),0,workings2!R20*-0.8))</f>
        <v/>
      </c>
      <c r="H28" s="2230" t="str">
        <f>IF(D13="","",IF(workings2!AH20=5000000,"5 Million",workings2!AH20))</f>
        <v/>
      </c>
      <c r="I28" s="2229" t="str">
        <f>IF(J13="","",(((workings2!Q20+L13)/workings2!AH20)-(workings2!Q20+L13))*workings2!U20)</f>
        <v/>
      </c>
      <c r="J28" s="2229" t="str">
        <f>IF(J13="","",workings2!AR20-workings2x!AR20)</f>
        <v/>
      </c>
      <c r="K28" s="2229" t="str">
        <f>IF(D13="","",workings2!CC20)</f>
        <v/>
      </c>
      <c r="L28" s="2229"/>
      <c r="M28" s="2229" t="str">
        <f>IF(J13="","",workings2!AZ20)</f>
        <v/>
      </c>
      <c r="N28" s="1648" t="str">
        <f t="shared" si="7"/>
        <v/>
      </c>
      <c r="Q28" s="2238"/>
      <c r="R28" s="2238"/>
      <c r="S28" s="2238"/>
      <c r="U28" s="2231">
        <f t="shared" si="8"/>
        <v>0</v>
      </c>
      <c r="V28" s="2232">
        <f t="shared" si="9"/>
        <v>0</v>
      </c>
      <c r="W28" s="2231">
        <f t="shared" si="10"/>
        <v>0</v>
      </c>
      <c r="X28" s="2231">
        <f t="shared" si="11"/>
        <v>0</v>
      </c>
      <c r="Y28" s="2231">
        <f t="shared" si="12"/>
        <v>0</v>
      </c>
      <c r="Z28" s="2231">
        <f t="shared" si="13"/>
        <v>0</v>
      </c>
      <c r="AA28" s="2231">
        <f t="shared" si="14"/>
        <v>0</v>
      </c>
      <c r="AB28" s="2231">
        <f t="shared" si="15"/>
        <v>0</v>
      </c>
      <c r="AC28" s="2231">
        <f t="shared" si="16"/>
        <v>0</v>
      </c>
      <c r="AD28" s="2231">
        <f t="shared" si="17"/>
        <v>0</v>
      </c>
      <c r="AF28" s="2238"/>
      <c r="AG28" s="2238"/>
      <c r="AH28" s="2238"/>
      <c r="AI28" s="2238"/>
      <c r="AJ28" s="2238"/>
      <c r="AK28" s="2238"/>
      <c r="AL28" s="2238"/>
      <c r="AM28" s="2238"/>
    </row>
    <row r="29" spans="1:39" x14ac:dyDescent="0.25">
      <c r="A29" s="2238"/>
      <c r="C29" s="2192" t="str">
        <f t="shared" si="6"/>
        <v/>
      </c>
      <c r="D29" s="2192" t="str">
        <f t="shared" si="6"/>
        <v/>
      </c>
      <c r="E29" s="2229" t="str">
        <f>IF(J14="","",(workings2x!Q21-J14))</f>
        <v/>
      </c>
      <c r="F29" s="2229" t="str">
        <f>IF(J14="","",workings2!T21-(N14+E29+G29+I29+J29+K29+L29+M29))</f>
        <v/>
      </c>
      <c r="G29" s="2229" t="str">
        <f>IF(D14="","",IF(OR(workings2!$X$2=FALSE,H14="y"),0,workings2!R21*-0.8))</f>
        <v/>
      </c>
      <c r="H29" s="2230" t="str">
        <f>IF(D14="","",IF(workings2!AH21=5000000,"5 Million",workings2!AH21))</f>
        <v/>
      </c>
      <c r="I29" s="2229" t="str">
        <f>IF(J14="","",(((workings2!Q21+L14)/workings2!AH21)-(workings2!Q21+L14))*workings2!U21)</f>
        <v/>
      </c>
      <c r="J29" s="2229" t="str">
        <f>IF(J14="","",workings2!AR21-workings2x!AR21)</f>
        <v/>
      </c>
      <c r="K29" s="2229" t="str">
        <f>IF(D14="","",workings2!CC21)</f>
        <v/>
      </c>
      <c r="L29" s="2229"/>
      <c r="M29" s="2229" t="str">
        <f>IF(J14="","",workings2!AZ21)</f>
        <v/>
      </c>
      <c r="N29" s="1648" t="str">
        <f t="shared" si="7"/>
        <v/>
      </c>
      <c r="Q29" s="2238"/>
      <c r="R29" s="2238"/>
      <c r="S29" s="2238"/>
      <c r="U29" s="2231">
        <f t="shared" si="8"/>
        <v>0</v>
      </c>
      <c r="V29" s="2232">
        <f t="shared" si="9"/>
        <v>0</v>
      </c>
      <c r="W29" s="2231">
        <f t="shared" si="10"/>
        <v>0</v>
      </c>
      <c r="X29" s="2231">
        <f t="shared" si="11"/>
        <v>0</v>
      </c>
      <c r="Y29" s="2231">
        <f t="shared" si="12"/>
        <v>0</v>
      </c>
      <c r="Z29" s="2231">
        <f t="shared" si="13"/>
        <v>0</v>
      </c>
      <c r="AA29" s="2231">
        <f t="shared" si="14"/>
        <v>0</v>
      </c>
      <c r="AB29" s="2231">
        <f t="shared" si="15"/>
        <v>0</v>
      </c>
      <c r="AC29" s="2231">
        <f t="shared" si="16"/>
        <v>0</v>
      </c>
      <c r="AD29" s="2231">
        <f t="shared" si="17"/>
        <v>0</v>
      </c>
      <c r="AF29" s="2238"/>
      <c r="AG29" s="2238"/>
      <c r="AH29" s="2238"/>
      <c r="AI29" s="2238"/>
      <c r="AJ29" s="2238"/>
      <c r="AK29" s="2238"/>
      <c r="AL29" s="2238"/>
      <c r="AM29" s="2238"/>
    </row>
    <row r="30" spans="1:39" x14ac:dyDescent="0.25">
      <c r="A30" s="2238"/>
      <c r="C30" s="2192" t="str">
        <f t="shared" si="6"/>
        <v/>
      </c>
      <c r="D30" s="2192" t="str">
        <f t="shared" si="6"/>
        <v/>
      </c>
      <c r="E30" s="2229" t="str">
        <f>IF(J15="","",(workings2x!Q22-J15))</f>
        <v/>
      </c>
      <c r="F30" s="2229" t="str">
        <f>IF(J15="","",workings2!T22-(N15+E30+G30+I30+J30+K30+L30+M30))</f>
        <v/>
      </c>
      <c r="G30" s="2229" t="str">
        <f>IF(D15="","",IF(OR(workings2!$X$2=FALSE,H15="y"),0,workings2!R22*-0.8))</f>
        <v/>
      </c>
      <c r="H30" s="2230" t="str">
        <f>IF(D15="","",IF(workings2!AH22=5000000,"5 Million",workings2!AH22))</f>
        <v/>
      </c>
      <c r="I30" s="2229" t="str">
        <f>IF(J15="","",(((workings2!Q22+L15)/workings2!AH22)-(workings2!Q22+L15))*workings2!U22)</f>
        <v/>
      </c>
      <c r="J30" s="2229" t="str">
        <f>IF(J15="","",workings2!AR22-workings2x!AR22)</f>
        <v/>
      </c>
      <c r="K30" s="2229" t="str">
        <f>IF(D15="","",workings2!CC22)</f>
        <v/>
      </c>
      <c r="L30" s="2229"/>
      <c r="M30" s="2229" t="str">
        <f>IF(J15="","",workings2!AZ22)</f>
        <v/>
      </c>
      <c r="N30" s="1648" t="str">
        <f t="shared" si="7"/>
        <v/>
      </c>
      <c r="Q30" s="2238"/>
      <c r="R30" s="2238"/>
      <c r="S30" s="2238"/>
      <c r="U30" s="2231">
        <f t="shared" si="8"/>
        <v>0</v>
      </c>
      <c r="V30" s="2232">
        <f t="shared" si="9"/>
        <v>0</v>
      </c>
      <c r="W30" s="2231">
        <f t="shared" si="10"/>
        <v>0</v>
      </c>
      <c r="X30" s="2231">
        <f t="shared" si="11"/>
        <v>0</v>
      </c>
      <c r="Y30" s="2231">
        <f t="shared" si="12"/>
        <v>0</v>
      </c>
      <c r="Z30" s="2231">
        <f t="shared" si="13"/>
        <v>0</v>
      </c>
      <c r="AA30" s="2231">
        <f t="shared" si="14"/>
        <v>0</v>
      </c>
      <c r="AB30" s="2231">
        <f t="shared" si="15"/>
        <v>0</v>
      </c>
      <c r="AC30" s="2231">
        <f t="shared" si="16"/>
        <v>0</v>
      </c>
      <c r="AD30" s="2231">
        <f t="shared" si="17"/>
        <v>0</v>
      </c>
      <c r="AF30" s="2238"/>
      <c r="AG30" s="2238"/>
      <c r="AH30" s="2238"/>
      <c r="AI30" s="2238"/>
      <c r="AJ30" s="2238"/>
      <c r="AK30" s="2238"/>
      <c r="AL30" s="2238"/>
      <c r="AM30" s="2238"/>
    </row>
    <row r="31" spans="1:39" x14ac:dyDescent="0.25">
      <c r="A31" s="2238"/>
      <c r="C31" s="2192" t="str">
        <f t="shared" si="6"/>
        <v/>
      </c>
      <c r="D31" s="2192" t="str">
        <f t="shared" si="6"/>
        <v/>
      </c>
      <c r="E31" s="2229" t="str">
        <f>IF(J16="","",(workings2x!Q23-J16))</f>
        <v/>
      </c>
      <c r="F31" s="2229" t="str">
        <f>IF(J16="","",workings2!T23-(N16+E31+G31+I31+J31+K31+L31+M31))</f>
        <v/>
      </c>
      <c r="G31" s="2229" t="str">
        <f>IF(D16="","",IF(OR(workings2!$X$2=FALSE,H16="y"),0,workings2!R23*-0.8))</f>
        <v/>
      </c>
      <c r="H31" s="2230" t="str">
        <f>IF(D16="","",IF(workings2!AH23=5000000,"5 Million",workings2!AH23))</f>
        <v/>
      </c>
      <c r="I31" s="2229" t="str">
        <f>IF(J16="","",(((workings2!Q23+L16)/workings2!AH23)-(workings2!Q23+L16))*workings2!U23)</f>
        <v/>
      </c>
      <c r="J31" s="2229" t="str">
        <f>IF(J16="","",workings2!AR23-workings2x!AR23)</f>
        <v/>
      </c>
      <c r="K31" s="2229" t="str">
        <f>IF(D16="","",workings2!CC23)</f>
        <v/>
      </c>
      <c r="L31" s="2229"/>
      <c r="M31" s="2229" t="str">
        <f>IF(J16="","",workings2!AZ23)</f>
        <v/>
      </c>
      <c r="N31" s="1648" t="str">
        <f t="shared" si="7"/>
        <v/>
      </c>
      <c r="Q31" s="2238"/>
      <c r="R31" s="2238"/>
      <c r="S31" s="2238"/>
      <c r="U31" s="2231">
        <f t="shared" si="8"/>
        <v>0</v>
      </c>
      <c r="V31" s="2232">
        <f t="shared" si="9"/>
        <v>0</v>
      </c>
      <c r="W31" s="2231">
        <f t="shared" si="10"/>
        <v>0</v>
      </c>
      <c r="X31" s="2231">
        <f t="shared" si="11"/>
        <v>0</v>
      </c>
      <c r="Y31" s="2231">
        <f t="shared" si="12"/>
        <v>0</v>
      </c>
      <c r="Z31" s="2231">
        <f t="shared" si="13"/>
        <v>0</v>
      </c>
      <c r="AA31" s="2231">
        <f t="shared" si="14"/>
        <v>0</v>
      </c>
      <c r="AB31" s="2231">
        <f t="shared" si="15"/>
        <v>0</v>
      </c>
      <c r="AC31" s="2231">
        <f t="shared" si="16"/>
        <v>0</v>
      </c>
      <c r="AD31" s="2231">
        <f t="shared" si="17"/>
        <v>0</v>
      </c>
      <c r="AF31" s="2238"/>
      <c r="AG31" s="2238"/>
      <c r="AH31" s="2238"/>
      <c r="AI31" s="2238"/>
      <c r="AJ31" s="2238"/>
      <c r="AK31" s="2238"/>
      <c r="AL31" s="2238"/>
      <c r="AM31" s="2238"/>
    </row>
    <row r="32" spans="1:39" x14ac:dyDescent="0.25">
      <c r="A32" s="2238"/>
      <c r="C32" s="2192" t="str">
        <f t="shared" si="6"/>
        <v/>
      </c>
      <c r="D32" s="2192" t="str">
        <f t="shared" si="6"/>
        <v/>
      </c>
      <c r="E32" s="2229" t="str">
        <f>IF(J17="","",(workings2x!Q24-J17))</f>
        <v/>
      </c>
      <c r="F32" s="2229" t="str">
        <f>IF(J17="","",workings2!T24-(N17+E32+G32+I32+J32+K32+L32+M32))</f>
        <v/>
      </c>
      <c r="G32" s="2229" t="str">
        <f>IF(D17="","",IF(OR(workings2!$X$2=FALSE,H17="y"),0,workings2!R24*-0.8))</f>
        <v/>
      </c>
      <c r="H32" s="2230" t="str">
        <f>IF(D17="","",IF(workings2!AH24=5000000,"5 Million",workings2!AH24))</f>
        <v/>
      </c>
      <c r="I32" s="2229" t="str">
        <f>IF(J17="","",(((workings2!Q24+L17)/workings2!AH24)-(workings2!Q24+L17))*workings2!U24)</f>
        <v/>
      </c>
      <c r="J32" s="2229" t="str">
        <f>IF(J17="","",workings2!AR24-workings2x!AR24)</f>
        <v/>
      </c>
      <c r="K32" s="2229" t="str">
        <f>IF(D17="","",workings2!CC24)</f>
        <v/>
      </c>
      <c r="L32" s="2229"/>
      <c r="M32" s="2229" t="str">
        <f>IF(J17="","",workings2!AZ24)</f>
        <v/>
      </c>
      <c r="N32" s="1648" t="str">
        <f t="shared" si="7"/>
        <v/>
      </c>
      <c r="Q32" s="2238"/>
      <c r="R32" s="2238"/>
      <c r="S32" s="2238"/>
      <c r="U32" s="2231">
        <f t="shared" si="8"/>
        <v>0</v>
      </c>
      <c r="V32" s="2232">
        <f t="shared" si="9"/>
        <v>0</v>
      </c>
      <c r="W32" s="2231">
        <f t="shared" si="10"/>
        <v>0</v>
      </c>
      <c r="X32" s="2231">
        <f t="shared" si="11"/>
        <v>0</v>
      </c>
      <c r="Y32" s="2231">
        <f t="shared" si="12"/>
        <v>0</v>
      </c>
      <c r="Z32" s="2231">
        <f t="shared" si="13"/>
        <v>0</v>
      </c>
      <c r="AA32" s="2231">
        <f t="shared" si="14"/>
        <v>0</v>
      </c>
      <c r="AB32" s="2231">
        <f t="shared" si="15"/>
        <v>0</v>
      </c>
      <c r="AC32" s="2231">
        <f t="shared" si="16"/>
        <v>0</v>
      </c>
      <c r="AD32" s="2231">
        <f t="shared" si="17"/>
        <v>0</v>
      </c>
      <c r="AF32" s="2238"/>
      <c r="AG32" s="2238"/>
      <c r="AH32" s="2238"/>
      <c r="AI32" s="2238"/>
      <c r="AJ32" s="2238"/>
      <c r="AK32" s="2238"/>
      <c r="AL32" s="2238"/>
      <c r="AM32" s="2238"/>
    </row>
    <row r="33" spans="1:39" x14ac:dyDescent="0.25">
      <c r="A33" s="2238"/>
      <c r="C33" s="2192" t="str">
        <f t="shared" si="6"/>
        <v/>
      </c>
      <c r="D33" s="2192" t="str">
        <f t="shared" si="6"/>
        <v/>
      </c>
      <c r="E33" s="2229" t="str">
        <f>IF(J18="","",(workings2x!Q25-J18))</f>
        <v/>
      </c>
      <c r="F33" s="2229" t="str">
        <f>IF(J18="","",workings2!T25-(N18+E33+G33+I33+J33+K33+L33+M33))</f>
        <v/>
      </c>
      <c r="G33" s="2229" t="str">
        <f>IF(D18="","",IF(OR(workings2!$X$2=FALSE,H18="y"),0,workings2!R25*-0.8))</f>
        <v/>
      </c>
      <c r="H33" s="2230" t="str">
        <f>IF(D18="","",IF(workings2!AH25=5000000,"5 Million",workings2!AH25))</f>
        <v/>
      </c>
      <c r="I33" s="2229" t="str">
        <f>IF(J18="","",(((workings2!Q25+L18)/workings2!AH25)-(workings2!Q25+L18))*workings2!U25)</f>
        <v/>
      </c>
      <c r="J33" s="2229" t="str">
        <f>IF(J18="","",workings2!AR25-workings2x!AR25)</f>
        <v/>
      </c>
      <c r="K33" s="2229" t="str">
        <f>IF(D18="","",workings2!CC25)</f>
        <v/>
      </c>
      <c r="L33" s="2229"/>
      <c r="M33" s="2229" t="str">
        <f>IF(J18="","",workings2!AZ25)</f>
        <v/>
      </c>
      <c r="N33" s="1648" t="str">
        <f t="shared" si="7"/>
        <v/>
      </c>
      <c r="Q33" s="2238"/>
      <c r="R33" s="2238"/>
      <c r="S33" s="2238"/>
      <c r="U33" s="2231">
        <f t="shared" si="8"/>
        <v>0</v>
      </c>
      <c r="V33" s="2232">
        <f t="shared" si="9"/>
        <v>0</v>
      </c>
      <c r="W33" s="2231">
        <f t="shared" si="10"/>
        <v>0</v>
      </c>
      <c r="X33" s="2231">
        <f t="shared" si="11"/>
        <v>0</v>
      </c>
      <c r="Y33" s="2231">
        <f t="shared" si="12"/>
        <v>0</v>
      </c>
      <c r="Z33" s="2231">
        <f t="shared" si="13"/>
        <v>0</v>
      </c>
      <c r="AA33" s="2231">
        <f t="shared" si="14"/>
        <v>0</v>
      </c>
      <c r="AB33" s="2231">
        <f t="shared" si="15"/>
        <v>0</v>
      </c>
      <c r="AC33" s="2231">
        <f t="shared" si="16"/>
        <v>0</v>
      </c>
      <c r="AD33" s="2231">
        <f t="shared" si="17"/>
        <v>0</v>
      </c>
      <c r="AF33" s="2238"/>
      <c r="AG33" s="2238"/>
      <c r="AH33" s="2238"/>
      <c r="AI33" s="2238"/>
      <c r="AJ33" s="2238"/>
      <c r="AK33" s="2238"/>
      <c r="AL33" s="2238"/>
      <c r="AM33" s="2238"/>
    </row>
    <row r="34" spans="1:39" x14ac:dyDescent="0.25">
      <c r="A34" s="2238"/>
      <c r="C34" s="2192" t="str">
        <f t="shared" si="6"/>
        <v/>
      </c>
      <c r="D34" s="2192" t="str">
        <f t="shared" si="6"/>
        <v/>
      </c>
      <c r="E34" s="2229" t="str">
        <f>IF(J19="","",(workings2x!Q26-J19))</f>
        <v/>
      </c>
      <c r="F34" s="2229" t="str">
        <f>IF(J19="","",workings2!T26-(N19+E34+G34+I34+J34+K34+L34+M34))</f>
        <v/>
      </c>
      <c r="G34" s="2229" t="str">
        <f>IF(D19="","",IF(OR(workings2!$X$2=FALSE,H19="y"),0,workings2!R26*-0.8))</f>
        <v/>
      </c>
      <c r="H34" s="2230" t="str">
        <f>IF(D19="","",IF(workings2!AH26=5000000,"5 Million",workings2!AH26))</f>
        <v/>
      </c>
      <c r="I34" s="2229" t="str">
        <f>IF(J19="","",(((workings2!Q26+L19)/workings2!AH26)-(workings2!Q26+L19))*workings2!U26)</f>
        <v/>
      </c>
      <c r="J34" s="2229" t="str">
        <f>IF(J19="","",workings2!AR26-workings2x!AR26)</f>
        <v/>
      </c>
      <c r="K34" s="2229" t="str">
        <f>IF(D19="","",workings2!CC26)</f>
        <v/>
      </c>
      <c r="L34" s="2229"/>
      <c r="M34" s="2229" t="str">
        <f>IF(J19="","",workings2!AZ26)</f>
        <v/>
      </c>
      <c r="N34" s="1648" t="str">
        <f t="shared" si="7"/>
        <v/>
      </c>
      <c r="Q34" s="2238"/>
      <c r="R34" s="2238"/>
      <c r="S34" s="2238"/>
      <c r="U34" s="2231">
        <f t="shared" si="8"/>
        <v>0</v>
      </c>
      <c r="V34" s="2232">
        <f t="shared" si="9"/>
        <v>0</v>
      </c>
      <c r="W34" s="2231">
        <f t="shared" si="10"/>
        <v>0</v>
      </c>
      <c r="X34" s="2231">
        <f t="shared" si="11"/>
        <v>0</v>
      </c>
      <c r="Y34" s="2231">
        <f t="shared" si="12"/>
        <v>0</v>
      </c>
      <c r="Z34" s="2231">
        <f t="shared" si="13"/>
        <v>0</v>
      </c>
      <c r="AA34" s="2231">
        <f t="shared" si="14"/>
        <v>0</v>
      </c>
      <c r="AB34" s="2231">
        <f t="shared" si="15"/>
        <v>0</v>
      </c>
      <c r="AC34" s="2231">
        <f t="shared" si="16"/>
        <v>0</v>
      </c>
      <c r="AD34" s="2231">
        <f t="shared" si="17"/>
        <v>0</v>
      </c>
      <c r="AF34" s="2238"/>
      <c r="AG34" s="2238"/>
      <c r="AH34" s="2238"/>
      <c r="AI34" s="2238"/>
      <c r="AJ34" s="2238"/>
      <c r="AK34" s="2238"/>
      <c r="AL34" s="2238"/>
      <c r="AM34" s="2238"/>
    </row>
    <row r="35" spans="1:39" x14ac:dyDescent="0.25">
      <c r="A35" s="2238"/>
      <c r="C35" s="2192" t="str">
        <f t="shared" si="6"/>
        <v/>
      </c>
      <c r="D35" s="2192" t="str">
        <f t="shared" si="6"/>
        <v/>
      </c>
      <c r="E35" s="2229" t="str">
        <f>IF(J20="","",(workings2x!Q27-J20))</f>
        <v/>
      </c>
      <c r="F35" s="2229" t="str">
        <f>IF(J20="","",workings2!T27-(N20+E35+G35+I35+J35+K35+L35+M35))</f>
        <v/>
      </c>
      <c r="G35" s="2229" t="str">
        <f>IF(D20="","",IF(OR(workings2!$X$2=FALSE,H20="y"),0,workings2!R27*-0.8))</f>
        <v/>
      </c>
      <c r="H35" s="2230" t="str">
        <f>IF(D20="","",IF(workings2!AH27=5000000,"5 Million",workings2!AH27))</f>
        <v/>
      </c>
      <c r="I35" s="2229" t="str">
        <f>IF(J20="","",(((workings2!Q27+L20)/workings2!AH27)-(workings2!Q27+L20))*workings2!U27)</f>
        <v/>
      </c>
      <c r="J35" s="2229" t="str">
        <f>IF(J20="","",workings2!AR27-workings2x!AR27)</f>
        <v/>
      </c>
      <c r="K35" s="2229" t="str">
        <f>IF(D20="","",workings2!CC27)</f>
        <v/>
      </c>
      <c r="L35" s="2229"/>
      <c r="M35" s="2229" t="str">
        <f>IF(J20="","",workings2!AZ27)</f>
        <v/>
      </c>
      <c r="N35" s="1648" t="str">
        <f t="shared" si="7"/>
        <v/>
      </c>
      <c r="Q35" s="2238"/>
      <c r="R35" s="2238"/>
      <c r="S35" s="2238"/>
      <c r="U35" s="2231">
        <f t="shared" si="8"/>
        <v>0</v>
      </c>
      <c r="V35" s="2232">
        <f t="shared" si="9"/>
        <v>0</v>
      </c>
      <c r="W35" s="2231">
        <f t="shared" si="10"/>
        <v>0</v>
      </c>
      <c r="X35" s="2231">
        <f t="shared" si="11"/>
        <v>0</v>
      </c>
      <c r="Y35" s="2231">
        <f t="shared" si="12"/>
        <v>0</v>
      </c>
      <c r="Z35" s="2231">
        <f t="shared" si="13"/>
        <v>0</v>
      </c>
      <c r="AA35" s="2231">
        <f t="shared" si="14"/>
        <v>0</v>
      </c>
      <c r="AB35" s="2231">
        <f t="shared" si="15"/>
        <v>0</v>
      </c>
      <c r="AC35" s="2231">
        <f t="shared" si="16"/>
        <v>0</v>
      </c>
      <c r="AD35" s="2231">
        <f t="shared" si="17"/>
        <v>0</v>
      </c>
      <c r="AF35" s="2238"/>
      <c r="AG35" s="2238"/>
      <c r="AH35" s="2238"/>
      <c r="AI35" s="2238"/>
      <c r="AJ35" s="2238"/>
      <c r="AK35" s="2238"/>
      <c r="AL35" s="2238"/>
      <c r="AM35" s="2238"/>
    </row>
    <row r="36" spans="1:39" ht="13" x14ac:dyDescent="0.3">
      <c r="A36" s="2238"/>
      <c r="C36" s="1501"/>
      <c r="D36" s="1501"/>
      <c r="E36" s="2233">
        <f ca="1">SUM(E24:E35)</f>
        <v>0</v>
      </c>
      <c r="F36" s="2233">
        <f ca="1">SUM(F24:F35)</f>
        <v>0</v>
      </c>
      <c r="G36" s="2233">
        <f ca="1">SUM(G24:G35)</f>
        <v>0</v>
      </c>
      <c r="H36" s="2233"/>
      <c r="I36" s="2233">
        <f t="shared" ref="I36:N36" ca="1" si="18">SUM(I24:I35)</f>
        <v>0</v>
      </c>
      <c r="J36" s="2233">
        <f t="shared" ca="1" si="18"/>
        <v>0</v>
      </c>
      <c r="K36" s="2233">
        <f t="shared" ca="1" si="18"/>
        <v>0</v>
      </c>
      <c r="L36" s="2233">
        <f t="shared" si="18"/>
        <v>0</v>
      </c>
      <c r="M36" s="2233">
        <f t="shared" ca="1" si="18"/>
        <v>0</v>
      </c>
      <c r="N36" s="2221">
        <f t="shared" ca="1" si="18"/>
        <v>0</v>
      </c>
      <c r="Q36" s="2238"/>
      <c r="R36" s="2238"/>
      <c r="S36" s="2238"/>
      <c r="AF36" s="2238"/>
      <c r="AG36" s="2238"/>
      <c r="AH36" s="2238"/>
      <c r="AI36" s="2238"/>
      <c r="AJ36" s="2238"/>
      <c r="AK36" s="2238"/>
      <c r="AL36" s="2238"/>
      <c r="AM36" s="2238"/>
    </row>
    <row r="37" spans="1:39" ht="13" x14ac:dyDescent="0.3">
      <c r="A37" s="2238"/>
      <c r="M37" s="2234" t="str">
        <f ca="1">IF(M36=workings2!BA28,"capped at","")</f>
        <v/>
      </c>
      <c r="Q37" s="2238"/>
      <c r="R37" s="2238"/>
      <c r="S37" s="2238"/>
      <c r="AF37" s="2238"/>
      <c r="AG37" s="2238"/>
      <c r="AH37" s="2238"/>
      <c r="AI37" s="2238"/>
      <c r="AJ37" s="2238"/>
      <c r="AK37" s="2238"/>
      <c r="AL37" s="2238"/>
      <c r="AM37" s="2238"/>
    </row>
    <row r="38" spans="1:39" ht="13" x14ac:dyDescent="0.3">
      <c r="A38" s="2238"/>
      <c r="M38" s="2235" t="str">
        <f ca="1">IF(M36=workings2!BA28,workings2!BA28*-1,"")</f>
        <v/>
      </c>
      <c r="N38" s="2232"/>
      <c r="Q38" s="2238"/>
      <c r="R38" s="2238"/>
      <c r="S38" s="2238"/>
      <c r="AF38" s="2238"/>
      <c r="AG38" s="2238"/>
      <c r="AH38" s="2238"/>
      <c r="AI38" s="2238"/>
      <c r="AJ38" s="2238"/>
      <c r="AK38" s="2238"/>
      <c r="AL38" s="2238"/>
      <c r="AM38" s="2238"/>
    </row>
    <row r="39" spans="1:39" x14ac:dyDescent="0.25">
      <c r="A39" s="2238"/>
      <c r="B39" s="2238"/>
      <c r="C39" s="2238"/>
      <c r="D39" s="2238"/>
      <c r="E39" s="2238"/>
      <c r="F39" s="2238"/>
      <c r="G39" s="2238"/>
      <c r="H39" s="2238"/>
      <c r="I39" s="2238"/>
      <c r="J39" s="2238"/>
      <c r="K39" s="2238"/>
      <c r="L39" s="2238"/>
      <c r="M39" s="2238"/>
      <c r="N39" s="2238"/>
      <c r="O39" s="2238"/>
      <c r="P39" s="2238"/>
      <c r="Q39" s="2238"/>
      <c r="R39" s="2238"/>
      <c r="S39" s="2238"/>
      <c r="AF39" s="2238"/>
      <c r="AG39" s="2238"/>
      <c r="AH39" s="2238"/>
      <c r="AI39" s="2238"/>
      <c r="AJ39" s="2238"/>
      <c r="AK39" s="2238"/>
      <c r="AL39" s="2238"/>
      <c r="AM39" s="2238"/>
    </row>
    <row r="40" spans="1:39" x14ac:dyDescent="0.25">
      <c r="A40" s="2238"/>
      <c r="B40" s="2238"/>
      <c r="C40" s="2238"/>
      <c r="D40" s="2238"/>
      <c r="E40" s="2238"/>
      <c r="F40" s="2238"/>
      <c r="G40" s="2238"/>
      <c r="H40" s="2238"/>
      <c r="I40" s="2238"/>
      <c r="J40" s="2238"/>
      <c r="K40" s="2238"/>
      <c r="L40" s="2238"/>
      <c r="M40" s="2238"/>
      <c r="N40" s="2238"/>
      <c r="O40" s="2238"/>
      <c r="P40" s="2238"/>
      <c r="Q40" s="2238"/>
      <c r="R40" s="2238"/>
      <c r="S40" s="2238"/>
      <c r="AF40" s="2238"/>
      <c r="AG40" s="2238"/>
      <c r="AH40" s="2238"/>
      <c r="AI40" s="2238"/>
      <c r="AJ40" s="2238"/>
      <c r="AK40" s="2238"/>
      <c r="AL40" s="2238"/>
      <c r="AM40" s="2238"/>
    </row>
    <row r="41" spans="1:39" x14ac:dyDescent="0.25">
      <c r="A41" s="2238"/>
      <c r="B41" s="2238"/>
      <c r="C41" s="2238"/>
      <c r="D41" s="2238"/>
      <c r="E41" s="2238"/>
      <c r="F41" s="2238"/>
      <c r="G41" s="2238"/>
      <c r="H41" s="2238"/>
      <c r="I41" s="2238"/>
      <c r="J41" s="2238"/>
      <c r="K41" s="2238"/>
      <c r="L41" s="2238"/>
      <c r="M41" s="2238"/>
      <c r="N41" s="2238"/>
      <c r="O41" s="2238"/>
      <c r="P41" s="2238"/>
      <c r="Q41" s="2238"/>
      <c r="R41" s="2238"/>
      <c r="S41" s="2238"/>
      <c r="AF41" s="2238"/>
      <c r="AG41" s="2238"/>
      <c r="AH41" s="2238"/>
      <c r="AI41" s="2238"/>
      <c r="AJ41" s="2238"/>
      <c r="AK41" s="2238"/>
      <c r="AL41" s="2238"/>
      <c r="AM41" s="2238"/>
    </row>
    <row r="42" spans="1:39" x14ac:dyDescent="0.25">
      <c r="A42" s="2238"/>
      <c r="B42" s="2238"/>
      <c r="C42" s="2238"/>
      <c r="D42" s="2238"/>
      <c r="E42" s="2238"/>
      <c r="F42" s="2238"/>
      <c r="G42" s="2238"/>
      <c r="H42" s="2238"/>
      <c r="I42" s="2238"/>
      <c r="J42" s="2238"/>
      <c r="K42" s="2238"/>
      <c r="L42" s="2238"/>
      <c r="M42" s="2238"/>
      <c r="N42" s="2238"/>
      <c r="O42" s="2238"/>
      <c r="P42" s="2238"/>
      <c r="Q42" s="2238"/>
      <c r="R42" s="2238"/>
      <c r="S42" s="2238"/>
      <c r="AF42" s="2238"/>
      <c r="AG42" s="2238"/>
      <c r="AH42" s="2238"/>
      <c r="AI42" s="2238"/>
      <c r="AJ42" s="2238"/>
      <c r="AK42" s="2238"/>
      <c r="AL42" s="2238"/>
      <c r="AM42" s="2238"/>
    </row>
    <row r="43" spans="1:39" x14ac:dyDescent="0.25">
      <c r="A43" s="2238"/>
      <c r="B43" s="2238"/>
      <c r="C43" s="2238"/>
      <c r="D43" s="2238"/>
      <c r="E43" s="2238"/>
      <c r="F43" s="2238"/>
      <c r="G43" s="2238"/>
      <c r="H43" s="2238"/>
      <c r="I43" s="2238"/>
      <c r="J43" s="2238"/>
      <c r="K43" s="2238"/>
      <c r="L43" s="2238"/>
      <c r="M43" s="2238"/>
      <c r="N43" s="2238"/>
      <c r="O43" s="2238"/>
      <c r="P43" s="2238"/>
      <c r="Q43" s="2238"/>
      <c r="R43" s="2238"/>
      <c r="S43" s="2238"/>
      <c r="AF43" s="2238"/>
      <c r="AG43" s="2238"/>
      <c r="AH43" s="2238"/>
      <c r="AI43" s="2238"/>
      <c r="AJ43" s="2238"/>
      <c r="AK43" s="2238"/>
      <c r="AL43" s="2238"/>
      <c r="AM43" s="2238"/>
    </row>
    <row r="44" spans="1:39" x14ac:dyDescent="0.25">
      <c r="A44" s="2238"/>
      <c r="B44" s="2238"/>
      <c r="C44" s="2238"/>
      <c r="D44" s="2238"/>
      <c r="E44" s="2238"/>
      <c r="F44" s="2238"/>
      <c r="G44" s="2238"/>
      <c r="H44" s="2238"/>
      <c r="I44" s="2238"/>
      <c r="J44" s="2238"/>
      <c r="K44" s="2238"/>
      <c r="L44" s="2238"/>
      <c r="M44" s="2238"/>
      <c r="N44" s="2238"/>
      <c r="O44" s="2238"/>
      <c r="P44" s="2238"/>
      <c r="Q44" s="2238"/>
      <c r="R44" s="2238"/>
      <c r="S44" s="2238"/>
      <c r="AF44" s="2238"/>
      <c r="AG44" s="2238"/>
      <c r="AH44" s="2238"/>
      <c r="AI44" s="2238"/>
      <c r="AJ44" s="2238"/>
      <c r="AK44" s="2238"/>
      <c r="AL44" s="2238"/>
      <c r="AM44" s="2238"/>
    </row>
    <row r="45" spans="1:39" x14ac:dyDescent="0.25">
      <c r="A45" s="2238"/>
      <c r="B45" s="2238"/>
      <c r="C45" s="2238"/>
      <c r="D45" s="2238"/>
      <c r="E45" s="2238"/>
      <c r="F45" s="2238"/>
      <c r="G45" s="2238"/>
      <c r="H45" s="2238"/>
      <c r="I45" s="2238"/>
      <c r="J45" s="2238"/>
      <c r="K45" s="2238"/>
      <c r="L45" s="2238"/>
      <c r="M45" s="2238"/>
      <c r="N45" s="2238"/>
      <c r="O45" s="2238"/>
      <c r="P45" s="2238"/>
      <c r="Q45" s="2238"/>
      <c r="R45" s="2238"/>
      <c r="S45" s="2238"/>
      <c r="AF45" s="2238"/>
      <c r="AG45" s="2238"/>
      <c r="AH45" s="2238"/>
      <c r="AI45" s="2238"/>
      <c r="AJ45" s="2238"/>
      <c r="AK45" s="2238"/>
      <c r="AL45" s="2238"/>
      <c r="AM45" s="2238"/>
    </row>
    <row r="46" spans="1:39" x14ac:dyDescent="0.25">
      <c r="A46" s="2238"/>
      <c r="B46" s="2238"/>
      <c r="C46" s="2238"/>
      <c r="D46" s="2238"/>
      <c r="E46" s="2238"/>
      <c r="F46" s="2238"/>
      <c r="G46" s="2238"/>
      <c r="H46" s="2238"/>
      <c r="I46" s="2238"/>
      <c r="J46" s="2238"/>
      <c r="K46" s="2238"/>
      <c r="L46" s="2238"/>
      <c r="M46" s="2238"/>
      <c r="N46" s="2238"/>
      <c r="O46" s="2238"/>
      <c r="P46" s="2238"/>
      <c r="Q46" s="2238"/>
      <c r="R46" s="2238"/>
      <c r="S46" s="2238"/>
      <c r="AF46" s="2238"/>
      <c r="AG46" s="2238"/>
      <c r="AH46" s="2238"/>
      <c r="AI46" s="2238"/>
      <c r="AJ46" s="2238"/>
      <c r="AK46" s="2238"/>
      <c r="AL46" s="2238"/>
      <c r="AM46" s="2238"/>
    </row>
    <row r="47" spans="1:39" x14ac:dyDescent="0.25">
      <c r="A47" s="2238"/>
      <c r="B47" s="2238"/>
      <c r="C47" s="2238"/>
      <c r="D47" s="2238"/>
      <c r="E47" s="2238"/>
      <c r="F47" s="2238"/>
      <c r="G47" s="2238"/>
      <c r="H47" s="2238"/>
      <c r="I47" s="2238"/>
      <c r="J47" s="2238"/>
      <c r="K47" s="2238"/>
      <c r="L47" s="2238"/>
      <c r="M47" s="2238"/>
      <c r="N47" s="2238"/>
      <c r="O47" s="2238"/>
      <c r="P47" s="2238"/>
      <c r="Q47" s="2238"/>
      <c r="R47" s="2238"/>
      <c r="S47" s="2238"/>
      <c r="AF47" s="2238"/>
      <c r="AG47" s="2238"/>
      <c r="AH47" s="2238"/>
      <c r="AI47" s="2238"/>
      <c r="AJ47" s="2238"/>
      <c r="AK47" s="2238"/>
      <c r="AL47" s="2238"/>
      <c r="AM47" s="2238"/>
    </row>
    <row r="48" spans="1:39" x14ac:dyDescent="0.25">
      <c r="A48" s="2238"/>
      <c r="B48" s="2238"/>
      <c r="C48" s="2238"/>
      <c r="D48" s="2238"/>
      <c r="E48" s="2238"/>
      <c r="F48" s="2238"/>
      <c r="G48" s="2238"/>
      <c r="H48" s="2238"/>
      <c r="I48" s="2238"/>
      <c r="J48" s="2238"/>
      <c r="K48" s="2238"/>
      <c r="L48" s="2238"/>
      <c r="M48" s="2238"/>
      <c r="N48" s="2238"/>
      <c r="O48" s="2238"/>
      <c r="P48" s="2238"/>
      <c r="Q48" s="2238"/>
      <c r="R48" s="2238"/>
      <c r="S48" s="2238"/>
      <c r="AF48" s="2238"/>
      <c r="AG48" s="2238"/>
      <c r="AH48" s="2238"/>
      <c r="AI48" s="2238"/>
      <c r="AJ48" s="2238"/>
      <c r="AK48" s="2238"/>
      <c r="AL48" s="2238"/>
      <c r="AM48" s="2238"/>
    </row>
    <row r="49" spans="1:39" x14ac:dyDescent="0.25">
      <c r="A49" s="2238"/>
      <c r="B49" s="2238"/>
      <c r="C49" s="2238"/>
      <c r="D49" s="2238"/>
      <c r="E49" s="2238"/>
      <c r="F49" s="2238"/>
      <c r="G49" s="2238"/>
      <c r="H49" s="2238"/>
      <c r="I49" s="2238"/>
      <c r="J49" s="2238"/>
      <c r="K49" s="2238"/>
      <c r="L49" s="2238"/>
      <c r="M49" s="2238"/>
      <c r="N49" s="2238"/>
      <c r="O49" s="2238"/>
      <c r="P49" s="2238"/>
      <c r="Q49" s="2238"/>
      <c r="R49" s="2238"/>
      <c r="S49" s="2238"/>
      <c r="AF49" s="2238"/>
      <c r="AG49" s="2238"/>
      <c r="AH49" s="2238"/>
      <c r="AI49" s="2238"/>
      <c r="AJ49" s="2238"/>
      <c r="AK49" s="2238"/>
      <c r="AL49" s="2238"/>
      <c r="AM49" s="2238"/>
    </row>
    <row r="50" spans="1:39" x14ac:dyDescent="0.25">
      <c r="A50" s="2238"/>
      <c r="B50" s="2238"/>
      <c r="C50" s="2238"/>
      <c r="D50" s="2238"/>
      <c r="E50" s="2238"/>
      <c r="F50" s="2238"/>
      <c r="G50" s="2238"/>
      <c r="H50" s="2238"/>
      <c r="I50" s="2238"/>
      <c r="J50" s="2238"/>
      <c r="K50" s="2238"/>
      <c r="L50" s="2238"/>
      <c r="M50" s="2238"/>
      <c r="N50" s="2238"/>
      <c r="O50" s="2238"/>
      <c r="P50" s="2238"/>
      <c r="Q50" s="2238"/>
      <c r="R50" s="2238"/>
      <c r="S50" s="2238"/>
      <c r="AF50" s="2238"/>
      <c r="AG50" s="2238"/>
      <c r="AH50" s="2238"/>
      <c r="AI50" s="2238"/>
      <c r="AJ50" s="2238"/>
      <c r="AK50" s="2238"/>
      <c r="AL50" s="2238"/>
      <c r="AM50" s="2238"/>
    </row>
    <row r="51" spans="1:39" x14ac:dyDescent="0.25">
      <c r="A51" s="2238"/>
      <c r="B51" s="2238"/>
      <c r="C51" s="2238"/>
      <c r="D51" s="2238"/>
      <c r="E51" s="2238"/>
      <c r="F51" s="2238"/>
      <c r="G51" s="2238"/>
      <c r="H51" s="2238"/>
      <c r="I51" s="2238"/>
      <c r="J51" s="2238"/>
      <c r="K51" s="2238"/>
      <c r="L51" s="2238"/>
      <c r="M51" s="2238"/>
      <c r="N51" s="2238"/>
      <c r="O51" s="2238"/>
      <c r="P51" s="2238"/>
      <c r="Q51" s="2238"/>
      <c r="R51" s="2238"/>
      <c r="S51" s="2238"/>
      <c r="AF51" s="2238"/>
      <c r="AG51" s="2238"/>
      <c r="AH51" s="2238"/>
      <c r="AI51" s="2238"/>
      <c r="AJ51" s="2238"/>
      <c r="AK51" s="2238"/>
      <c r="AL51" s="2238"/>
      <c r="AM51" s="2238"/>
    </row>
    <row r="52" spans="1:39" x14ac:dyDescent="0.25">
      <c r="A52" s="2238"/>
      <c r="B52" s="2238"/>
      <c r="C52" s="2238"/>
      <c r="D52" s="2238"/>
      <c r="E52" s="2238"/>
      <c r="F52" s="2238"/>
      <c r="G52" s="2238"/>
      <c r="H52" s="2238"/>
      <c r="I52" s="2238"/>
      <c r="J52" s="2238"/>
      <c r="K52" s="2238"/>
      <c r="L52" s="2238"/>
      <c r="M52" s="2238"/>
      <c r="N52" s="2238"/>
      <c r="O52" s="2238"/>
      <c r="P52" s="2238"/>
      <c r="Q52" s="2238"/>
      <c r="R52" s="2238"/>
      <c r="S52" s="2238"/>
      <c r="AF52" s="2238"/>
      <c r="AG52" s="2238"/>
      <c r="AH52" s="2238"/>
      <c r="AI52" s="2238"/>
      <c r="AJ52" s="2238"/>
      <c r="AK52" s="2238"/>
      <c r="AL52" s="2238"/>
      <c r="AM52" s="2238"/>
    </row>
    <row r="53" spans="1:39" x14ac:dyDescent="0.25">
      <c r="A53" s="2238"/>
      <c r="B53" s="2238"/>
      <c r="C53" s="2238"/>
      <c r="D53" s="2238"/>
      <c r="E53" s="2238"/>
      <c r="F53" s="2238"/>
      <c r="G53" s="2238"/>
      <c r="H53" s="2238"/>
      <c r="I53" s="2238"/>
      <c r="J53" s="2238"/>
      <c r="K53" s="2238"/>
      <c r="L53" s="2238"/>
      <c r="M53" s="2238"/>
      <c r="N53" s="2238"/>
      <c r="O53" s="2238"/>
      <c r="P53" s="2238"/>
      <c r="Q53" s="2238"/>
      <c r="R53" s="2238"/>
      <c r="S53" s="2238"/>
      <c r="AF53" s="2238"/>
      <c r="AG53" s="2238"/>
      <c r="AH53" s="2238"/>
      <c r="AI53" s="2238"/>
      <c r="AJ53" s="2238"/>
      <c r="AK53" s="2238"/>
      <c r="AL53" s="2238"/>
      <c r="AM53" s="2238"/>
    </row>
    <row r="54" spans="1:39" x14ac:dyDescent="0.25">
      <c r="A54" s="2238"/>
      <c r="B54" s="2238"/>
      <c r="C54" s="2238"/>
      <c r="D54" s="2238"/>
      <c r="E54" s="2238"/>
      <c r="F54" s="2238"/>
      <c r="G54" s="2238"/>
      <c r="H54" s="2238"/>
      <c r="I54" s="2238"/>
      <c r="J54" s="2238"/>
      <c r="K54" s="2238"/>
      <c r="L54" s="2238"/>
      <c r="M54" s="2238"/>
      <c r="N54" s="2238"/>
      <c r="O54" s="2238"/>
      <c r="P54" s="2238"/>
      <c r="Q54" s="2238"/>
      <c r="R54" s="2238"/>
      <c r="S54" s="2238"/>
      <c r="AF54" s="2238"/>
      <c r="AG54" s="2238"/>
      <c r="AH54" s="2238"/>
      <c r="AI54" s="2238"/>
      <c r="AJ54" s="2238"/>
      <c r="AK54" s="2238"/>
      <c r="AL54" s="2238"/>
      <c r="AM54" s="2238"/>
    </row>
    <row r="55" spans="1:39" x14ac:dyDescent="0.25">
      <c r="A55" s="2238"/>
      <c r="B55" s="2238"/>
      <c r="C55" s="2238"/>
      <c r="D55" s="2238"/>
      <c r="E55" s="2238"/>
      <c r="F55" s="2238"/>
      <c r="G55" s="2238"/>
      <c r="H55" s="2238"/>
      <c r="I55" s="2238"/>
      <c r="J55" s="2238"/>
      <c r="K55" s="2238"/>
      <c r="L55" s="2238"/>
      <c r="M55" s="2238"/>
      <c r="N55" s="2238"/>
      <c r="O55" s="2238"/>
      <c r="P55" s="2238"/>
      <c r="Q55" s="2238"/>
      <c r="R55" s="2238"/>
      <c r="S55" s="2238"/>
      <c r="AF55" s="2238"/>
      <c r="AG55" s="2238"/>
      <c r="AH55" s="2238"/>
      <c r="AI55" s="2238"/>
      <c r="AJ55" s="2238"/>
      <c r="AK55" s="2238"/>
      <c r="AL55" s="2238"/>
      <c r="AM55" s="2238"/>
    </row>
    <row r="56" spans="1:39" x14ac:dyDescent="0.25">
      <c r="A56" s="2238"/>
      <c r="B56" s="2238"/>
      <c r="C56" s="2238"/>
      <c r="D56" s="2238"/>
      <c r="E56" s="2238"/>
      <c r="F56" s="2238"/>
      <c r="G56" s="2238"/>
      <c r="H56" s="2238"/>
      <c r="I56" s="2238"/>
      <c r="J56" s="2238"/>
      <c r="K56" s="2238"/>
      <c r="L56" s="2238"/>
      <c r="M56" s="2238"/>
      <c r="N56" s="2238"/>
      <c r="O56" s="2238"/>
      <c r="P56" s="2238"/>
      <c r="Q56" s="2238"/>
      <c r="R56" s="2238"/>
      <c r="S56" s="2238"/>
      <c r="AF56" s="2238"/>
      <c r="AG56" s="2238"/>
      <c r="AH56" s="2238"/>
      <c r="AI56" s="2238"/>
      <c r="AJ56" s="2238"/>
      <c r="AK56" s="2238"/>
      <c r="AL56" s="2238"/>
      <c r="AM56" s="2238"/>
    </row>
    <row r="57" spans="1:39" x14ac:dyDescent="0.25">
      <c r="A57" s="2238"/>
      <c r="B57" s="2238"/>
      <c r="C57" s="2238"/>
      <c r="D57" s="2238"/>
      <c r="E57" s="2238"/>
      <c r="F57" s="2238"/>
      <c r="G57" s="2238"/>
      <c r="H57" s="2238"/>
      <c r="I57" s="2238"/>
      <c r="J57" s="2238"/>
      <c r="K57" s="2238"/>
      <c r="L57" s="2238"/>
      <c r="M57" s="2238"/>
      <c r="N57" s="2238"/>
      <c r="O57" s="2238"/>
      <c r="P57" s="2238"/>
      <c r="Q57" s="2238"/>
      <c r="R57" s="2238"/>
      <c r="S57" s="2238"/>
      <c r="AF57" s="2238"/>
      <c r="AG57" s="2238"/>
      <c r="AH57" s="2238"/>
      <c r="AI57" s="2238"/>
      <c r="AJ57" s="2238"/>
      <c r="AK57" s="2238"/>
      <c r="AL57" s="2238"/>
      <c r="AM57" s="2238"/>
    </row>
    <row r="58" spans="1:39" x14ac:dyDescent="0.25">
      <c r="A58" s="2238"/>
      <c r="B58" s="2238"/>
      <c r="C58" s="2238"/>
      <c r="D58" s="2238"/>
      <c r="E58" s="2238"/>
      <c r="F58" s="2238"/>
      <c r="G58" s="2238"/>
      <c r="H58" s="2238"/>
      <c r="I58" s="2238"/>
      <c r="J58" s="2238"/>
      <c r="K58" s="2238"/>
      <c r="L58" s="2238"/>
      <c r="M58" s="2238"/>
      <c r="N58" s="2238"/>
      <c r="O58" s="2238"/>
      <c r="P58" s="2238"/>
      <c r="Q58" s="2238"/>
      <c r="R58" s="2238"/>
      <c r="S58" s="2238"/>
      <c r="AF58" s="2238"/>
      <c r="AG58" s="2238"/>
      <c r="AH58" s="2238"/>
      <c r="AI58" s="2238"/>
      <c r="AJ58" s="2238"/>
      <c r="AK58" s="2238"/>
      <c r="AL58" s="2238"/>
      <c r="AM58" s="2238"/>
    </row>
    <row r="59" spans="1:39" x14ac:dyDescent="0.25">
      <c r="A59" s="2238"/>
      <c r="B59" s="2238"/>
      <c r="C59" s="2238"/>
      <c r="D59" s="2238"/>
      <c r="E59" s="2238"/>
      <c r="F59" s="2238"/>
      <c r="G59" s="2238"/>
      <c r="H59" s="2238"/>
      <c r="I59" s="2238"/>
      <c r="J59" s="2238"/>
      <c r="K59" s="2238"/>
      <c r="L59" s="2238"/>
      <c r="M59" s="2238"/>
      <c r="N59" s="2238"/>
      <c r="O59" s="2238"/>
      <c r="P59" s="2238"/>
      <c r="Q59" s="2238"/>
      <c r="R59" s="2238"/>
      <c r="S59" s="2238"/>
      <c r="AF59" s="2238"/>
      <c r="AG59" s="2238"/>
      <c r="AH59" s="2238"/>
      <c r="AI59" s="2238"/>
      <c r="AJ59" s="2238"/>
      <c r="AK59" s="2238"/>
      <c r="AL59" s="2238"/>
      <c r="AM59" s="2238"/>
    </row>
    <row r="60" spans="1:39" x14ac:dyDescent="0.25">
      <c r="A60" s="2238"/>
      <c r="B60" s="2238"/>
      <c r="C60" s="2238"/>
      <c r="D60" s="2238"/>
      <c r="E60" s="2238"/>
      <c r="F60" s="2238"/>
      <c r="G60" s="2238"/>
      <c r="H60" s="2238"/>
      <c r="I60" s="2238"/>
      <c r="J60" s="2238"/>
      <c r="K60" s="2238"/>
      <c r="L60" s="2238"/>
      <c r="M60" s="2238"/>
      <c r="N60" s="2238"/>
      <c r="O60" s="2238"/>
      <c r="P60" s="2238"/>
      <c r="Q60" s="2238"/>
      <c r="R60" s="2238"/>
      <c r="S60" s="2238"/>
      <c r="AF60" s="2238"/>
      <c r="AG60" s="2238"/>
      <c r="AH60" s="2238"/>
      <c r="AI60" s="2238"/>
      <c r="AJ60" s="2238"/>
      <c r="AK60" s="2238"/>
      <c r="AL60" s="2238"/>
      <c r="AM60" s="2238"/>
    </row>
    <row r="61" spans="1:39" x14ac:dyDescent="0.25">
      <c r="A61" s="2238"/>
      <c r="B61" s="2238"/>
      <c r="C61" s="2238"/>
      <c r="D61" s="2238"/>
      <c r="E61" s="2238"/>
      <c r="F61" s="2238"/>
      <c r="G61" s="2238"/>
      <c r="H61" s="2238"/>
      <c r="I61" s="2238"/>
      <c r="J61" s="2238"/>
      <c r="K61" s="2238"/>
      <c r="L61" s="2238"/>
      <c r="M61" s="2238"/>
      <c r="N61" s="2238"/>
      <c r="O61" s="2238"/>
      <c r="P61" s="2238"/>
      <c r="Q61" s="2238"/>
      <c r="R61" s="2238"/>
      <c r="S61" s="2238"/>
      <c r="AF61" s="2238"/>
      <c r="AG61" s="2238"/>
      <c r="AH61" s="2238"/>
      <c r="AI61" s="2238"/>
      <c r="AJ61" s="2238"/>
      <c r="AK61" s="2238"/>
      <c r="AL61" s="2238"/>
      <c r="AM61" s="2238"/>
    </row>
    <row r="62" spans="1:39" x14ac:dyDescent="0.25">
      <c r="A62" s="2238"/>
      <c r="B62" s="2238"/>
      <c r="C62" s="2238"/>
      <c r="D62" s="2238"/>
      <c r="E62" s="2238"/>
      <c r="F62" s="2238"/>
      <c r="G62" s="2238"/>
      <c r="H62" s="2238"/>
      <c r="I62" s="2238"/>
      <c r="J62" s="2238"/>
      <c r="K62" s="2238"/>
      <c r="L62" s="2238"/>
      <c r="M62" s="2238"/>
      <c r="N62" s="2238"/>
      <c r="O62" s="2238"/>
      <c r="P62" s="2238"/>
      <c r="Q62" s="2238"/>
      <c r="R62" s="2238"/>
      <c r="S62" s="2238"/>
      <c r="AF62" s="2238"/>
      <c r="AG62" s="2238"/>
      <c r="AH62" s="2238"/>
      <c r="AI62" s="2238"/>
      <c r="AJ62" s="2238"/>
      <c r="AK62" s="2238"/>
      <c r="AL62" s="2238"/>
      <c r="AM62" s="2238"/>
    </row>
    <row r="63" spans="1:39" x14ac:dyDescent="0.25">
      <c r="A63" s="2238"/>
      <c r="B63" s="2238"/>
      <c r="C63" s="2238"/>
      <c r="D63" s="2238"/>
      <c r="E63" s="2238"/>
      <c r="F63" s="2238"/>
      <c r="G63" s="2238"/>
      <c r="H63" s="2238"/>
      <c r="I63" s="2238"/>
      <c r="J63" s="2238"/>
      <c r="K63" s="2238"/>
      <c r="L63" s="2238"/>
      <c r="M63" s="2238"/>
      <c r="N63" s="2238"/>
      <c r="O63" s="2238"/>
      <c r="P63" s="2238"/>
      <c r="Q63" s="2238"/>
      <c r="R63" s="2238"/>
      <c r="S63" s="2238"/>
      <c r="AF63" s="2238"/>
      <c r="AG63" s="2238"/>
      <c r="AH63" s="2238"/>
      <c r="AI63" s="2238"/>
      <c r="AJ63" s="2238"/>
      <c r="AK63" s="2238"/>
      <c r="AL63" s="2238"/>
      <c r="AM63" s="2238"/>
    </row>
  </sheetData>
  <sheetProtection algorithmName="SHA-512" hashValue="6s7++tUdKzhBiyeuVEfmkXFbL9xy40NwRdjovnOO6RTJ8oNuYwEUVDMxJNnnLX9Gi6Lbcm4CBQT1ORvIBWjHAQ==" saltValue="HGqBVNESbnnCL/JypBiIGA=="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goto_details">
                <anchor moveWithCells="1" sizeWithCells="1">
                  <from>
                    <xdr:col>2</xdr:col>
                    <xdr:colOff>25400</xdr:colOff>
                    <xdr:row>5</xdr:row>
                    <xdr:rowOff>6350</xdr:rowOff>
                  </from>
                  <to>
                    <xdr:col>2</xdr:col>
                    <xdr:colOff>749300</xdr:colOff>
                    <xdr:row>6</xdr:row>
                    <xdr:rowOff>146050</xdr:rowOff>
                  </to>
                </anchor>
              </controlPr>
            </control>
          </mc:Choice>
        </mc:AlternateContent>
        <mc:AlternateContent xmlns:mc="http://schemas.openxmlformats.org/markup-compatibility/2006">
          <mc:Choice Requires="x14">
            <control shapeId="97282" r:id="rId5" name="Button 2">
              <controlPr defaultSize="0" print="0" autoFill="0" autoPict="0" macro="[0]!backto">
                <anchor moveWithCells="1" sizeWithCells="1">
                  <from>
                    <xdr:col>16</xdr:col>
                    <xdr:colOff>44450</xdr:colOff>
                    <xdr:row>1</xdr:row>
                    <xdr:rowOff>6350</xdr:rowOff>
                  </from>
                  <to>
                    <xdr:col>16</xdr:col>
                    <xdr:colOff>1130300</xdr:colOff>
                    <xdr:row>4</xdr:row>
                    <xdr:rowOff>127000</xdr:rowOff>
                  </to>
                </anchor>
              </controlPr>
            </control>
          </mc:Choice>
        </mc:AlternateContent>
        <mc:AlternateContent xmlns:mc="http://schemas.openxmlformats.org/markup-compatibility/2006">
          <mc:Choice Requires="x14">
            <control shapeId="97283" r:id="rId6" name="Button 3">
              <controlPr defaultSize="0" print="0" autoFill="0" autoPict="0" macro="[0]!goto_revised_advdetail_from_original">
                <anchor moveWithCells="1" sizeWithCells="1">
                  <from>
                    <xdr:col>16</xdr:col>
                    <xdr:colOff>63500</xdr:colOff>
                    <xdr:row>7</xdr:row>
                    <xdr:rowOff>679450</xdr:rowOff>
                  </from>
                  <to>
                    <xdr:col>17</xdr:col>
                    <xdr:colOff>577850</xdr:colOff>
                    <xdr:row>10</xdr:row>
                    <xdr:rowOff>139700</xdr:rowOff>
                  </to>
                </anchor>
              </controlPr>
            </control>
          </mc:Choice>
        </mc:AlternateContent>
        <mc:AlternateContent xmlns:mc="http://schemas.openxmlformats.org/markup-compatibility/2006">
          <mc:Choice Requires="x14">
            <control shapeId="97284" r:id="rId7" name="Button 4">
              <controlPr defaultSize="0" print="0" autoFill="0" autoPict="0" macro="[0]!goto_home">
                <anchor moveWithCells="1" sizeWithCells="1">
                  <from>
                    <xdr:col>0</xdr:col>
                    <xdr:colOff>38100</xdr:colOff>
                    <xdr:row>1</xdr:row>
                    <xdr:rowOff>0</xdr:rowOff>
                  </from>
                  <to>
                    <xdr:col>0</xdr:col>
                    <xdr:colOff>622300</xdr:colOff>
                    <xdr:row>4</xdr:row>
                    <xdr:rowOff>25400</xdr:rowOff>
                  </to>
                </anchor>
              </controlPr>
            </control>
          </mc:Choice>
        </mc:AlternateContent>
        <mc:AlternateContent xmlns:mc="http://schemas.openxmlformats.org/markup-compatibility/2006">
          <mc:Choice Requires="x14">
            <control shapeId="97285" r:id="rId8" name="Button 5">
              <controlPr defaultSize="0" print="0" autoFill="0" autoPict="0" macro="[0]!goto_next_year_any_sheet">
                <anchor moveWithCells="1" sizeWithCells="1">
                  <from>
                    <xdr:col>16</xdr:col>
                    <xdr:colOff>990600</xdr:colOff>
                    <xdr:row>11</xdr:row>
                    <xdr:rowOff>0</xdr:rowOff>
                  </from>
                  <to>
                    <xdr:col>17</xdr:col>
                    <xdr:colOff>577850</xdr:colOff>
                    <xdr:row>14</xdr:row>
                    <xdr:rowOff>63500</xdr:rowOff>
                  </to>
                </anchor>
              </controlPr>
            </control>
          </mc:Choice>
        </mc:AlternateContent>
        <mc:AlternateContent xmlns:mc="http://schemas.openxmlformats.org/markup-compatibility/2006">
          <mc:Choice Requires="x14">
            <control shapeId="97286" r:id="rId9" name="Button 6">
              <controlPr defaultSize="0" print="0" autoFill="0" autoPict="0" macro="[0]!goto_previous_year_any_sheet">
                <anchor moveWithCells="1" sizeWithCells="1">
                  <from>
                    <xdr:col>16</xdr:col>
                    <xdr:colOff>69850</xdr:colOff>
                    <xdr:row>11</xdr:row>
                    <xdr:rowOff>0</xdr:rowOff>
                  </from>
                  <to>
                    <xdr:col>16</xdr:col>
                    <xdr:colOff>965200</xdr:colOff>
                    <xdr:row>14</xdr:row>
                    <xdr:rowOff>63500</xdr:rowOff>
                  </to>
                </anchor>
              </controlPr>
            </control>
          </mc:Choice>
        </mc:AlternateContent>
        <mc:AlternateContent xmlns:mc="http://schemas.openxmlformats.org/markup-compatibility/2006">
          <mc:Choice Requires="x14">
            <control shapeId="97287" r:id="rId10" name="Button 7">
              <controlPr defaultSize="0" print="0" autoFill="0" autoPict="0" macro="[0]!copy_as_excel">
                <anchor moveWithCells="1" sizeWithCells="1">
                  <from>
                    <xdr:col>16</xdr:col>
                    <xdr:colOff>69850</xdr:colOff>
                    <xdr:row>7</xdr:row>
                    <xdr:rowOff>146050</xdr:rowOff>
                  </from>
                  <to>
                    <xdr:col>16</xdr:col>
                    <xdr:colOff>755650</xdr:colOff>
                    <xdr:row>7</xdr:row>
                    <xdr:rowOff>533400</xdr:rowOff>
                  </to>
                </anchor>
              </controlPr>
            </control>
          </mc:Choice>
        </mc:AlternateContent>
        <mc:AlternateContent xmlns:mc="http://schemas.openxmlformats.org/markup-compatibility/2006">
          <mc:Choice Requires="x14">
            <control shapeId="97288" r:id="rId11" name="Button 8">
              <controlPr defaultSize="0" print="0" autoFill="0" autoPict="0" macro="[0]!pdflauncher">
                <anchor moveWithCells="1" sizeWithCells="1">
                  <from>
                    <xdr:col>16</xdr:col>
                    <xdr:colOff>762000</xdr:colOff>
                    <xdr:row>7</xdr:row>
                    <xdr:rowOff>146050</xdr:rowOff>
                  </from>
                  <to>
                    <xdr:col>17</xdr:col>
                    <xdr:colOff>279400</xdr:colOff>
                    <xdr:row>7</xdr:row>
                    <xdr:rowOff>533400</xdr:rowOff>
                  </to>
                </anchor>
              </controlPr>
            </control>
          </mc:Choice>
        </mc:AlternateContent>
        <mc:AlternateContent xmlns:mc="http://schemas.openxmlformats.org/markup-compatibility/2006">
          <mc:Choice Requires="x14">
            <control shapeId="97289" r:id="rId12" name="Button 9">
              <controlPr defaultSize="0" print="0" autoFill="0" autoPict="0" macro="[0]!openfolder">
                <anchor moveWithCells="1" sizeWithCells="1">
                  <from>
                    <xdr:col>17</xdr:col>
                    <xdr:colOff>298450</xdr:colOff>
                    <xdr:row>7</xdr:row>
                    <xdr:rowOff>146050</xdr:rowOff>
                  </from>
                  <to>
                    <xdr:col>17</xdr:col>
                    <xdr:colOff>831850</xdr:colOff>
                    <xdr:row>7</xdr:row>
                    <xdr:rowOff>533400</xdr:rowOff>
                  </to>
                </anchor>
              </controlPr>
            </control>
          </mc:Choice>
        </mc:AlternateContent>
        <mc:AlternateContent xmlns:mc="http://schemas.openxmlformats.org/markup-compatibility/2006">
          <mc:Choice Requires="x14">
            <control shapeId="97290" r:id="rId13" name="Button 10">
              <controlPr defaultSize="0" print="0" autoFill="0" autoPict="0" macro="[0]!goto_folder_settings">
                <anchor moveWithCells="1" sizeWithCells="1">
                  <from>
                    <xdr:col>17</xdr:col>
                    <xdr:colOff>838200</xdr:colOff>
                    <xdr:row>7</xdr:row>
                    <xdr:rowOff>146050</xdr:rowOff>
                  </from>
                  <to>
                    <xdr:col>18</xdr:col>
                    <xdr:colOff>482600</xdr:colOff>
                    <xdr:row>7</xdr:row>
                    <xdr:rowOff>533400</xdr:rowOff>
                  </to>
                </anchor>
              </controlPr>
            </control>
          </mc:Choice>
        </mc:AlternateContent>
        <mc:AlternateContent xmlns:mc="http://schemas.openxmlformats.org/markup-compatibility/2006">
          <mc:Choice Requires="x14">
            <control shapeId="97291" r:id="rId14" name="Button 11">
              <controlPr defaultSize="0" print="0" autoFill="0" autoPict="0" macro="[0]!email_pdf_launch">
                <anchor moveWithCells="1" sizeWithCells="1">
                  <from>
                    <xdr:col>16</xdr:col>
                    <xdr:colOff>914400</xdr:colOff>
                    <xdr:row>6</xdr:row>
                    <xdr:rowOff>0</xdr:rowOff>
                  </from>
                  <to>
                    <xdr:col>17</xdr:col>
                    <xdr:colOff>431800</xdr:colOff>
                    <xdr:row>7</xdr:row>
                    <xdr:rowOff>127000</xdr:rowOff>
                  </to>
                </anchor>
              </controlPr>
            </control>
          </mc:Choice>
        </mc:AlternateContent>
        <mc:AlternateContent xmlns:mc="http://schemas.openxmlformats.org/markup-compatibility/2006">
          <mc:Choice Requires="x14">
            <control shapeId="97292" r:id="rId15" name="Button 12">
              <controlPr defaultSize="0" print="0" autoFill="0" autoPict="0" macro="[0]!email_copy_as_excel">
                <anchor moveWithCells="1" sizeWithCells="1">
                  <from>
                    <xdr:col>16</xdr:col>
                    <xdr:colOff>69850</xdr:colOff>
                    <xdr:row>6</xdr:row>
                    <xdr:rowOff>0</xdr:rowOff>
                  </from>
                  <to>
                    <xdr:col>16</xdr:col>
                    <xdr:colOff>901700</xdr:colOff>
                    <xdr:row>7</xdr:row>
                    <xdr:rowOff>127000</xdr:rowOff>
                  </to>
                </anchor>
              </controlPr>
            </control>
          </mc:Choice>
        </mc:AlternateContent>
        <mc:AlternateContent xmlns:mc="http://schemas.openxmlformats.org/markup-compatibility/2006">
          <mc:Choice Requires="x14">
            <control shapeId="97293" r:id="rId16" name="Button 13">
              <controlPr defaultSize="0" print="0" autoFill="0" autoPict="0" macro="[0]!emailsettings">
                <anchor moveWithCells="1" sizeWithCells="1">
                  <from>
                    <xdr:col>17</xdr:col>
                    <xdr:colOff>444500</xdr:colOff>
                    <xdr:row>6</xdr:row>
                    <xdr:rowOff>0</xdr:rowOff>
                  </from>
                  <to>
                    <xdr:col>18</xdr:col>
                    <xdr:colOff>482600</xdr:colOff>
                    <xdr:row>7</xdr:row>
                    <xdr:rowOff>127000</xdr:rowOff>
                  </to>
                </anchor>
              </controlPr>
            </control>
          </mc:Choice>
        </mc:AlternateContent>
        <mc:AlternateContent xmlns:mc="http://schemas.openxmlformats.org/markup-compatibility/2006">
          <mc:Choice Requires="x14">
            <control shapeId="97294" r:id="rId17" name="Button 14">
              <controlPr defaultSize="0" print="0" autoFill="0" autoPict="0" macro="[0]!goto_advanced">
                <anchor moveWithCells="1" sizeWithCells="1">
                  <from>
                    <xdr:col>16</xdr:col>
                    <xdr:colOff>69850</xdr:colOff>
                    <xdr:row>15</xdr:row>
                    <xdr:rowOff>63500</xdr:rowOff>
                  </from>
                  <to>
                    <xdr:col>17</xdr:col>
                    <xdr:colOff>584200</xdr:colOff>
                    <xdr:row>18</xdr:row>
                    <xdr:rowOff>120650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4F7E4-35CD-46B4-850D-3E4AC8431C65}">
  <sheetPr codeName="Sheet120">
    <pageSetUpPr fitToPage="1"/>
  </sheetPr>
  <dimension ref="A1:AM63"/>
  <sheetViews>
    <sheetView showGridLines="0" zoomScaleNormal="100" workbookViewId="0">
      <selection activeCell="A3" sqref="A3"/>
    </sheetView>
  </sheetViews>
  <sheetFormatPr defaultColWidth="9.08984375" defaultRowHeight="12.5" x14ac:dyDescent="0.25"/>
  <cols>
    <col min="1" max="1" width="10.08984375" style="1493" customWidth="1"/>
    <col min="2" max="2" width="1.90625" style="1493" customWidth="1"/>
    <col min="3" max="3" width="11.54296875" style="1493" customWidth="1"/>
    <col min="4" max="4" width="11.6328125" style="1493" customWidth="1"/>
    <col min="5" max="5" width="13.08984375" style="1493" customWidth="1"/>
    <col min="6" max="6" width="13" style="1493" customWidth="1"/>
    <col min="7" max="7" width="12.08984375" style="1493" customWidth="1"/>
    <col min="8" max="8" width="8.08984375" style="1493" customWidth="1"/>
    <col min="9" max="9" width="11.90625" style="1493" customWidth="1"/>
    <col min="10" max="10" width="13.36328125" style="1493" customWidth="1"/>
    <col min="11" max="11" width="11.90625" style="1493" customWidth="1"/>
    <col min="12" max="13" width="12.54296875" style="1493" customWidth="1"/>
    <col min="14" max="14" width="13.36328125" style="1493" customWidth="1"/>
    <col min="15" max="15" width="1.6328125" style="1493" customWidth="1"/>
    <col min="16" max="16" width="1.90625" style="1493" customWidth="1"/>
    <col min="17" max="17" width="17" style="1493" customWidth="1"/>
    <col min="18" max="18" width="12.90625" style="1493" customWidth="1"/>
    <col min="19" max="19" width="9.08984375" style="1493"/>
    <col min="20" max="31" width="9.08984375" style="1493" hidden="1" customWidth="1"/>
    <col min="32" max="16384" width="9.08984375" style="1493"/>
  </cols>
  <sheetData>
    <row r="1" spans="1:39" ht="21" customHeight="1" x14ac:dyDescent="0.25">
      <c r="A1" s="1491"/>
      <c r="B1" s="1491"/>
      <c r="C1" s="1491"/>
      <c r="D1" s="1491"/>
      <c r="E1" s="1491"/>
      <c r="F1" s="1491"/>
      <c r="G1" s="1491"/>
      <c r="H1" s="1491"/>
      <c r="I1" s="1491"/>
      <c r="J1" s="1491"/>
      <c r="K1" s="1491"/>
      <c r="L1" s="1491"/>
      <c r="M1" s="1491"/>
      <c r="N1" s="1491"/>
      <c r="O1" s="1491"/>
      <c r="P1" s="1491"/>
      <c r="Q1" s="1491"/>
      <c r="R1" s="1491"/>
      <c r="S1" s="1491"/>
      <c r="AF1" s="1491"/>
      <c r="AG1" s="1491"/>
      <c r="AH1" s="1491"/>
      <c r="AI1" s="1491"/>
      <c r="AJ1" s="1491"/>
      <c r="AK1" s="1491"/>
      <c r="AL1" s="1491"/>
      <c r="AM1" s="1491"/>
    </row>
    <row r="2" spans="1:39" ht="8.25" customHeight="1" x14ac:dyDescent="0.25">
      <c r="A2" s="1491"/>
      <c r="Q2" s="1491"/>
      <c r="R2" s="1491"/>
      <c r="S2" s="1491"/>
      <c r="AF2" s="1491"/>
      <c r="AG2" s="1491"/>
      <c r="AH2" s="1491"/>
      <c r="AI2" s="1491"/>
      <c r="AJ2" s="1491"/>
      <c r="AK2" s="1491"/>
      <c r="AL2" s="1491"/>
      <c r="AM2" s="1491"/>
    </row>
    <row r="3" spans="1:39" ht="15.5" x14ac:dyDescent="0.35">
      <c r="A3" s="1491"/>
      <c r="C3" s="2216" t="str">
        <f ca="1">"Detailed Liability Report (Advanced Original) for the year "&amp;OFFSET(advanced!G87,U3,0)</f>
        <v xml:space="preserve">Detailed Liability Report (Advanced Original) for the year 2025/26 </v>
      </c>
      <c r="D3" s="1966"/>
      <c r="E3" s="1966"/>
      <c r="F3" s="1966"/>
      <c r="G3" s="1966"/>
      <c r="H3" s="1966"/>
      <c r="I3" s="1966"/>
      <c r="J3" s="1966"/>
      <c r="K3" s="1966"/>
      <c r="L3" s="1966"/>
      <c r="M3" s="1966"/>
      <c r="N3" s="2216" t="str">
        <f>"Year "&amp;U3</f>
        <v>Year 3</v>
      </c>
      <c r="Q3" s="1491"/>
      <c r="R3" s="1491"/>
      <c r="S3" s="1491"/>
      <c r="T3" s="2158" t="s">
        <v>573</v>
      </c>
      <c r="U3" s="1961">
        <v>3</v>
      </c>
      <c r="V3" s="1945">
        <f>U3</f>
        <v>3</v>
      </c>
      <c r="W3" s="1945">
        <f>V3</f>
        <v>3</v>
      </c>
      <c r="X3" s="2236" t="s">
        <v>574</v>
      </c>
      <c r="Y3" s="2236"/>
      <c r="AF3" s="1491"/>
      <c r="AG3" s="1491"/>
      <c r="AH3" s="1491"/>
      <c r="AI3" s="1491"/>
      <c r="AJ3" s="1491"/>
      <c r="AK3" s="1491"/>
      <c r="AL3" s="1491"/>
      <c r="AM3" s="1491"/>
    </row>
    <row r="4" spans="1:39" ht="6.75" customHeight="1" x14ac:dyDescent="0.3">
      <c r="A4" s="1491"/>
      <c r="C4" s="1501"/>
      <c r="D4" s="1966"/>
      <c r="E4" s="1966"/>
      <c r="F4" s="1966"/>
      <c r="G4" s="1966"/>
      <c r="H4" s="1966"/>
      <c r="I4" s="1966"/>
      <c r="J4" s="1966"/>
      <c r="K4" s="1966"/>
      <c r="L4" s="1966"/>
      <c r="M4" s="1966"/>
      <c r="N4" s="1966"/>
      <c r="Q4" s="1491"/>
      <c r="R4" s="1491"/>
      <c r="S4" s="1491"/>
      <c r="T4" s="1564"/>
      <c r="U4" s="1564"/>
      <c r="V4" s="1564"/>
      <c r="W4" s="1564"/>
      <c r="AF4" s="1491"/>
      <c r="AG4" s="1491"/>
      <c r="AH4" s="1491"/>
      <c r="AI4" s="1491"/>
      <c r="AJ4" s="1491"/>
      <c r="AK4" s="1491"/>
      <c r="AL4" s="1491"/>
      <c r="AM4" s="1491"/>
    </row>
    <row r="5" spans="1:39" ht="13" x14ac:dyDescent="0.3">
      <c r="A5" s="1491"/>
      <c r="C5" s="1501" t="str">
        <f>advanced!F5</f>
        <v>Click Button Below to Enter Address</v>
      </c>
      <c r="D5" s="1966"/>
      <c r="E5" s="1966"/>
      <c r="F5" s="1966"/>
      <c r="G5" s="1966"/>
      <c r="H5" s="1966"/>
      <c r="I5" s="1966"/>
      <c r="J5" s="1966"/>
      <c r="K5" s="1966"/>
      <c r="L5" s="1966"/>
      <c r="M5" s="1966"/>
      <c r="N5" s="1966"/>
      <c r="Q5" s="1491"/>
      <c r="R5" s="1491"/>
      <c r="S5" s="1491"/>
      <c r="T5" s="1564"/>
      <c r="U5" s="1564"/>
      <c r="V5" s="1564"/>
      <c r="W5" s="1564"/>
      <c r="AF5" s="1491"/>
      <c r="AG5" s="1491"/>
      <c r="AH5" s="1491"/>
      <c r="AI5" s="1491"/>
      <c r="AJ5" s="1491"/>
      <c r="AK5" s="1491"/>
      <c r="AL5" s="1491"/>
      <c r="AM5" s="1491"/>
    </row>
    <row r="6" spans="1:39" ht="7.5" customHeight="1" x14ac:dyDescent="0.25">
      <c r="A6" s="1491"/>
      <c r="C6" s="1966"/>
      <c r="D6" s="1966"/>
      <c r="E6" s="1966"/>
      <c r="F6" s="1966"/>
      <c r="G6" s="1966"/>
      <c r="H6" s="1966"/>
      <c r="I6" s="1966"/>
      <c r="J6" s="1966"/>
      <c r="K6" s="1966"/>
      <c r="L6" s="1966"/>
      <c r="M6" s="1966"/>
      <c r="N6" s="1966"/>
      <c r="Q6" s="1491"/>
      <c r="R6" s="1491"/>
      <c r="S6" s="1491"/>
      <c r="T6" s="1564"/>
      <c r="U6" s="1564"/>
      <c r="V6" s="1564"/>
      <c r="W6" s="1564"/>
      <c r="AF6" s="1491"/>
      <c r="AG6" s="1491"/>
      <c r="AH6" s="1491"/>
      <c r="AI6" s="1491"/>
      <c r="AJ6" s="1491"/>
      <c r="AK6" s="1491"/>
      <c r="AL6" s="1491"/>
      <c r="AM6" s="1491"/>
    </row>
    <row r="7" spans="1:39" ht="13" x14ac:dyDescent="0.3">
      <c r="A7" s="1491"/>
      <c r="C7" s="1501"/>
      <c r="D7" s="1966" t="s">
        <v>1843</v>
      </c>
      <c r="E7" s="2011">
        <f ca="1">OFFSET(data!C12,U3,0)</f>
        <v>365</v>
      </c>
      <c r="F7" s="1966"/>
      <c r="G7" s="1966"/>
      <c r="H7" s="1966"/>
      <c r="I7" s="1966"/>
      <c r="J7" s="1966"/>
      <c r="K7" s="1966"/>
      <c r="L7" s="1966"/>
      <c r="M7" s="1966"/>
      <c r="N7" s="1966"/>
      <c r="Q7" s="1491"/>
      <c r="R7" s="1491"/>
      <c r="S7" s="1491"/>
      <c r="T7" s="1564"/>
      <c r="U7" s="1564"/>
      <c r="V7" s="1564"/>
      <c r="W7" s="1564"/>
      <c r="AF7" s="1491"/>
      <c r="AG7" s="1491"/>
      <c r="AH7" s="1491"/>
      <c r="AI7" s="1491"/>
      <c r="AJ7" s="1491"/>
      <c r="AK7" s="1491"/>
      <c r="AL7" s="1491"/>
      <c r="AM7" s="1491"/>
    </row>
    <row r="8" spans="1:39" s="2106" customFormat="1" ht="55.5" customHeight="1" x14ac:dyDescent="0.3">
      <c r="A8" s="2217"/>
      <c r="C8" s="2218" t="s">
        <v>1844</v>
      </c>
      <c r="D8" s="2218" t="s">
        <v>1845</v>
      </c>
      <c r="E8" s="2218" t="s">
        <v>324</v>
      </c>
      <c r="F8" s="2218" t="s">
        <v>272</v>
      </c>
      <c r="G8" s="2218" t="s">
        <v>915</v>
      </c>
      <c r="H8" s="2218" t="s">
        <v>112</v>
      </c>
      <c r="I8" s="2219" t="s">
        <v>1846</v>
      </c>
      <c r="J8" s="2218" t="str">
        <f ca="1">"RV x SBNDRM / "&amp;E7&amp;" x days"</f>
        <v>RV x SBNDRM / 365 x days</v>
      </c>
      <c r="K8" s="2218" t="str">
        <f>"SB Supplement is RV x "&amp;'info sheet'!E12</f>
        <v>SB Supplement is RV x 0.056</v>
      </c>
      <c r="L8" s="2218" t="str">
        <f>"City of London Supplement"</f>
        <v>City of London Supplement</v>
      </c>
      <c r="M8" s="2218" t="s">
        <v>1847</v>
      </c>
      <c r="N8" s="2218" t="s">
        <v>1848</v>
      </c>
      <c r="P8" s="1493"/>
      <c r="Q8" s="1491"/>
      <c r="R8" s="1491"/>
      <c r="S8" s="1491"/>
      <c r="T8" s="1564"/>
      <c r="U8" s="1571" t="s">
        <v>581</v>
      </c>
      <c r="V8" s="1571" t="s">
        <v>321</v>
      </c>
      <c r="W8" s="1571" t="s">
        <v>572</v>
      </c>
      <c r="X8" s="1591" t="s">
        <v>2812</v>
      </c>
      <c r="Y8" s="1591" t="s">
        <v>2813</v>
      </c>
      <c r="Z8" s="1597" t="s">
        <v>575</v>
      </c>
      <c r="AA8" s="1597" t="s">
        <v>576</v>
      </c>
      <c r="AB8" s="1597" t="s">
        <v>577</v>
      </c>
      <c r="AC8" s="1591" t="s">
        <v>596</v>
      </c>
      <c r="AD8" s="1493"/>
      <c r="AE8" s="1493"/>
      <c r="AF8" s="1491"/>
      <c r="AG8" s="1491"/>
      <c r="AH8" s="1491"/>
      <c r="AI8" s="1491"/>
      <c r="AJ8" s="1491"/>
      <c r="AK8" s="1491"/>
      <c r="AL8" s="1491"/>
      <c r="AM8" s="1491"/>
    </row>
    <row r="9" spans="1:39" ht="17.25" customHeight="1" x14ac:dyDescent="0.3">
      <c r="A9" s="1491"/>
      <c r="C9" s="2192">
        <f>IF(workings1!G29&lt;workings1!F29,"",workings1!F29)</f>
        <v>45748</v>
      </c>
      <c r="D9" s="2192">
        <f>IF(workings1!G29&lt;workings1!F29,"",workings1!G29)</f>
        <v>46112</v>
      </c>
      <c r="E9" s="2200">
        <f>IF(D9&lt;&gt;"",workings1!H29,"")</f>
        <v>365</v>
      </c>
      <c r="F9" s="1649">
        <f ca="1">IF(D9&lt;&gt;"",workings1x!L29,"")</f>
        <v>0</v>
      </c>
      <c r="G9" s="2220">
        <f ca="1">IF(D9="","",workings1!S29)</f>
        <v>1</v>
      </c>
      <c r="H9" s="1649" t="str">
        <f ca="1">IF(D9="","",workings1!AF29)</f>
        <v>n</v>
      </c>
      <c r="I9" s="2200">
        <f>IF(D9="","",workings1!P29)</f>
        <v>0.499</v>
      </c>
      <c r="J9" s="1648">
        <f ca="1">IF(F9="","", IF(E9=0,0,F9*I9/$E$7*E9))</f>
        <v>0</v>
      </c>
      <c r="K9" s="1648">
        <f ca="1">IF(D9="","",workings1x!Y29)</f>
        <v>0</v>
      </c>
      <c r="L9" s="1648">
        <f ca="1">IF(D9="","",F9*U9/$E$7*E9*workings1x!$AC$2)</f>
        <v>0</v>
      </c>
      <c r="M9" s="1648">
        <f ca="1">IF(D9="","",workings1x!Z29)</f>
        <v>0</v>
      </c>
      <c r="N9" s="2221">
        <f t="shared" ref="N9:N20" ca="1" si="0">IF(D9="","",SUM(J9:M9))</f>
        <v>0</v>
      </c>
      <c r="P9" s="2222"/>
      <c r="Q9" s="1491"/>
      <c r="R9" s="1491"/>
      <c r="S9" s="1491"/>
      <c r="T9" s="1564"/>
      <c r="U9" s="1945">
        <f ca="1">OFFSET('info sheet'!$G$9,$U$3,0)-X9</f>
        <v>0.02</v>
      </c>
      <c r="V9" s="1945">
        <f ca="1">OFFSET('info sheet'!H9,V3,0)</f>
        <v>0.02</v>
      </c>
      <c r="W9" s="1945">
        <f ca="1">OFFSET('info sheet'!E9,W3,0)</f>
        <v>5.600000000000005E-2</v>
      </c>
      <c r="X9" s="1564">
        <f ca="1">workings1!$CW$4*Y9</f>
        <v>1.9999999999999983E-3</v>
      </c>
      <c r="Y9" s="1564" t="b">
        <f ca="1">F9&lt;AC9</f>
        <v>1</v>
      </c>
      <c r="Z9" s="2237" t="str">
        <f>VLOOKUP(U3,text!A8:E16,5,FALSE)</f>
        <v>2025</v>
      </c>
      <c r="AA9" s="2237" t="str">
        <f>VLOOKUP(U3+1,text!A8:E16,5,FALSE)</f>
        <v>2026</v>
      </c>
      <c r="AB9" s="2237" t="str">
        <f>VLOOKUP(U3-1,text!A8:E16,5,FALSE)</f>
        <v>2024</v>
      </c>
      <c r="AC9" s="1564">
        <f>workings1!CV4</f>
        <v>51000</v>
      </c>
      <c r="AF9" s="1491"/>
      <c r="AG9" s="1491"/>
      <c r="AH9" s="1491"/>
      <c r="AI9" s="1491"/>
      <c r="AJ9" s="1491"/>
      <c r="AK9" s="1491"/>
      <c r="AL9" s="1491"/>
      <c r="AM9" s="1491"/>
    </row>
    <row r="10" spans="1:39" ht="13" x14ac:dyDescent="0.3">
      <c r="A10" s="1491"/>
      <c r="C10" s="2192" t="str">
        <f>IF(workings1!G30&lt;workings1!F30,"",workings1!F30)</f>
        <v/>
      </c>
      <c r="D10" s="2192" t="str">
        <f>IF(workings1!G30&lt;workings1!F30,"",workings1!G30)</f>
        <v/>
      </c>
      <c r="E10" s="2200" t="str">
        <f>IF(D10&lt;&gt;"",workings1!H30,"")</f>
        <v/>
      </c>
      <c r="F10" s="1649" t="str">
        <f>IF(D10&lt;&gt;"",workings1x!L30,"")</f>
        <v/>
      </c>
      <c r="G10" s="2220" t="str">
        <f>IF(D10="","",workings1!S30)</f>
        <v/>
      </c>
      <c r="H10" s="1649" t="str">
        <f>IF(D10="","",workings1!AF30)</f>
        <v/>
      </c>
      <c r="I10" s="2200" t="str">
        <f>IF(D10="","",workings1!P30)</f>
        <v/>
      </c>
      <c r="J10" s="1648" t="str">
        <f t="shared" ref="J10:J20" si="1">IF(F10="","", IF(E10=0,0,F10*I10/$E$7*E10))</f>
        <v/>
      </c>
      <c r="K10" s="1648" t="str">
        <f>IF(D10="","",workings1x!Y30)</f>
        <v/>
      </c>
      <c r="L10" s="1648" t="str">
        <f>IF(D10="","",F10*U10/$E$7*E10*workings1x!$AC$2)</f>
        <v/>
      </c>
      <c r="M10" s="1648" t="str">
        <f>IF(D10="","",workings1x!Z30)</f>
        <v/>
      </c>
      <c r="N10" s="2221" t="str">
        <f t="shared" si="0"/>
        <v/>
      </c>
      <c r="P10" s="2222"/>
      <c r="Q10" s="1491"/>
      <c r="R10" s="1491"/>
      <c r="S10" s="1491"/>
      <c r="T10" s="1564"/>
      <c r="U10" s="1571">
        <f ca="1">OFFSET('info sheet'!$G$9,$U$3,0)-X10</f>
        <v>2.1999999999999999E-2</v>
      </c>
      <c r="V10" s="1571">
        <f t="shared" ref="V10:V20" ca="1" si="2">V9</f>
        <v>0.02</v>
      </c>
      <c r="W10" s="1571">
        <f t="shared" ref="W10:W20" ca="1" si="3">W9</f>
        <v>5.600000000000005E-2</v>
      </c>
      <c r="X10" s="1564">
        <f>workings1!$CW$4*Y10</f>
        <v>0</v>
      </c>
      <c r="Y10" s="1564" t="b">
        <f t="shared" ref="Y10:Y20" si="4">F10&lt;AC10</f>
        <v>0</v>
      </c>
      <c r="AC10" s="1564">
        <f>AC9</f>
        <v>51000</v>
      </c>
      <c r="AF10" s="1491"/>
      <c r="AG10" s="1491"/>
      <c r="AH10" s="1491"/>
      <c r="AI10" s="1491"/>
      <c r="AJ10" s="1491"/>
      <c r="AK10" s="1491"/>
      <c r="AL10" s="1491"/>
      <c r="AM10" s="1491"/>
    </row>
    <row r="11" spans="1:39" ht="13" x14ac:dyDescent="0.3">
      <c r="A11" s="1491"/>
      <c r="C11" s="2192" t="str">
        <f>IF(workings1!G31&lt;workings1!F31,"",workings1!F31)</f>
        <v/>
      </c>
      <c r="D11" s="2192" t="str">
        <f>IF(workings1!G31&lt;workings1!F31,"",workings1!G31)</f>
        <v/>
      </c>
      <c r="E11" s="2200" t="str">
        <f>IF(D11&lt;&gt;"",workings1!H31,"")</f>
        <v/>
      </c>
      <c r="F11" s="1649" t="str">
        <f>IF(D11&lt;&gt;"",workings1x!L31,"")</f>
        <v/>
      </c>
      <c r="G11" s="2220" t="str">
        <f>IF(D11="","",workings1!S31)</f>
        <v/>
      </c>
      <c r="H11" s="1649" t="str">
        <f>IF(D11="","",workings1!AF31)</f>
        <v/>
      </c>
      <c r="I11" s="2200" t="str">
        <f>IF(D11="","",workings1!P31)</f>
        <v/>
      </c>
      <c r="J11" s="1648" t="str">
        <f t="shared" si="1"/>
        <v/>
      </c>
      <c r="K11" s="1648" t="str">
        <f>IF(D11="","",workings1x!Y31)</f>
        <v/>
      </c>
      <c r="L11" s="1648" t="str">
        <f>IF(D11="","",F11*U11/$E$7*E11*workings1x!$AC$2)</f>
        <v/>
      </c>
      <c r="M11" s="1648" t="str">
        <f>IF(D11="","",workings1x!Z31)</f>
        <v/>
      </c>
      <c r="N11" s="2221" t="str">
        <f t="shared" si="0"/>
        <v/>
      </c>
      <c r="P11" s="2222"/>
      <c r="Q11" s="1491"/>
      <c r="R11" s="1491"/>
      <c r="S11" s="1491"/>
      <c r="T11" s="1564"/>
      <c r="U11" s="1571">
        <f ca="1">OFFSET('info sheet'!$G$9,$U$3,0)-X11</f>
        <v>2.1999999999999999E-2</v>
      </c>
      <c r="V11" s="1571">
        <f t="shared" ca="1" si="2"/>
        <v>0.02</v>
      </c>
      <c r="W11" s="1571">
        <f t="shared" ca="1" si="3"/>
        <v>5.600000000000005E-2</v>
      </c>
      <c r="X11" s="1564">
        <f>workings1!$CW$4*Y11</f>
        <v>0</v>
      </c>
      <c r="Y11" s="1564" t="b">
        <f t="shared" si="4"/>
        <v>0</v>
      </c>
      <c r="AC11" s="1564">
        <f t="shared" ref="AC11:AC20" si="5">AC10</f>
        <v>51000</v>
      </c>
      <c r="AF11" s="1491"/>
      <c r="AG11" s="1491"/>
      <c r="AH11" s="1491"/>
      <c r="AI11" s="1491"/>
      <c r="AJ11" s="1491"/>
      <c r="AK11" s="1491"/>
      <c r="AL11" s="1491"/>
      <c r="AM11" s="1491"/>
    </row>
    <row r="12" spans="1:39" ht="13" x14ac:dyDescent="0.3">
      <c r="A12" s="1491"/>
      <c r="C12" s="2192" t="str">
        <f>IF(workings1!G32&lt;workings1!F32,"",workings1!F32)</f>
        <v/>
      </c>
      <c r="D12" s="2192" t="str">
        <f>IF(workings1!G32&lt;workings1!F32,"",workings1!G32)</f>
        <v/>
      </c>
      <c r="E12" s="2200" t="str">
        <f>IF(D12&lt;&gt;"",workings1!H32,"")</f>
        <v/>
      </c>
      <c r="F12" s="1649" t="str">
        <f>IF(D12&lt;&gt;"",workings1x!L32,"")</f>
        <v/>
      </c>
      <c r="G12" s="2220" t="str">
        <f>IF(D12="","",workings1!S32)</f>
        <v/>
      </c>
      <c r="H12" s="1649" t="str">
        <f>IF(D12="","",workings1!AF32)</f>
        <v/>
      </c>
      <c r="I12" s="2200" t="str">
        <f>IF(D12="","",workings1!P32)</f>
        <v/>
      </c>
      <c r="J12" s="1648" t="str">
        <f t="shared" si="1"/>
        <v/>
      </c>
      <c r="K12" s="1648" t="str">
        <f>IF(D12="","",workings1x!Y32)</f>
        <v/>
      </c>
      <c r="L12" s="1648" t="str">
        <f>IF(D12="","",F12*U12/$E$7*E12*workings1x!$AC$2)</f>
        <v/>
      </c>
      <c r="M12" s="1648" t="str">
        <f>IF(D12="","",workings1x!Z32)</f>
        <v/>
      </c>
      <c r="N12" s="2221" t="str">
        <f t="shared" si="0"/>
        <v/>
      </c>
      <c r="P12" s="2222"/>
      <c r="Q12" s="1491"/>
      <c r="R12" s="1491"/>
      <c r="S12" s="1491"/>
      <c r="T12" s="1564"/>
      <c r="U12" s="1571">
        <f ca="1">OFFSET('info sheet'!$G$9,$U$3,0)-X12</f>
        <v>2.1999999999999999E-2</v>
      </c>
      <c r="V12" s="1571">
        <f t="shared" ca="1" si="2"/>
        <v>0.02</v>
      </c>
      <c r="W12" s="1571">
        <f t="shared" ca="1" si="3"/>
        <v>5.600000000000005E-2</v>
      </c>
      <c r="X12" s="1564">
        <f>workings1!$CW$4*Y12</f>
        <v>0</v>
      </c>
      <c r="Y12" s="1564" t="b">
        <f t="shared" si="4"/>
        <v>0</v>
      </c>
      <c r="AC12" s="1564">
        <f t="shared" si="5"/>
        <v>51000</v>
      </c>
      <c r="AF12" s="1491"/>
      <c r="AG12" s="1491"/>
      <c r="AH12" s="1491"/>
      <c r="AI12" s="1491"/>
      <c r="AJ12" s="1491"/>
      <c r="AK12" s="1491"/>
      <c r="AL12" s="1491"/>
      <c r="AM12" s="1491"/>
    </row>
    <row r="13" spans="1:39" ht="13" x14ac:dyDescent="0.3">
      <c r="A13" s="1491"/>
      <c r="C13" s="2192" t="str">
        <f>IF(workings1!G33&lt;workings1!F33,"",workings1!F33)</f>
        <v/>
      </c>
      <c r="D13" s="2192" t="str">
        <f>IF(workings1!G33&lt;workings1!F33,"",workings1!G33)</f>
        <v/>
      </c>
      <c r="E13" s="2200" t="str">
        <f>IF(D13&lt;&gt;"",workings1!H33,"")</f>
        <v/>
      </c>
      <c r="F13" s="1649" t="str">
        <f>IF(D13&lt;&gt;"",workings1x!L33,"")</f>
        <v/>
      </c>
      <c r="G13" s="2220" t="str">
        <f>IF(D13="","",workings1!S33)</f>
        <v/>
      </c>
      <c r="H13" s="1649" t="str">
        <f>IF(D13="","",workings1!AF33)</f>
        <v/>
      </c>
      <c r="I13" s="2200" t="str">
        <f>IF(D13="","",workings1!P33)</f>
        <v/>
      </c>
      <c r="J13" s="1648" t="str">
        <f t="shared" si="1"/>
        <v/>
      </c>
      <c r="K13" s="1648" t="str">
        <f>IF(D13="","",workings1x!Y33)</f>
        <v/>
      </c>
      <c r="L13" s="1648" t="str">
        <f>IF(D13="","",F13*U13/$E$7*E13*workings1x!$AC$2)</f>
        <v/>
      </c>
      <c r="M13" s="1648" t="str">
        <f>IF(D13="","",workings1x!Z33)</f>
        <v/>
      </c>
      <c r="N13" s="2221" t="str">
        <f t="shared" si="0"/>
        <v/>
      </c>
      <c r="P13" s="2222"/>
      <c r="Q13" s="1491"/>
      <c r="R13" s="1491"/>
      <c r="S13" s="1491"/>
      <c r="T13" s="1564"/>
      <c r="U13" s="1571">
        <f ca="1">OFFSET('info sheet'!$G$9,$U$3,0)-X13</f>
        <v>2.1999999999999999E-2</v>
      </c>
      <c r="V13" s="1571">
        <f t="shared" ca="1" si="2"/>
        <v>0.02</v>
      </c>
      <c r="W13" s="1571">
        <f t="shared" ca="1" si="3"/>
        <v>5.600000000000005E-2</v>
      </c>
      <c r="X13" s="1564">
        <f>workings1!$CW$4*Y13</f>
        <v>0</v>
      </c>
      <c r="Y13" s="1564" t="b">
        <f t="shared" si="4"/>
        <v>0</v>
      </c>
      <c r="AC13" s="1564">
        <f t="shared" si="5"/>
        <v>51000</v>
      </c>
      <c r="AF13" s="1491"/>
      <c r="AG13" s="1491"/>
      <c r="AH13" s="1491"/>
      <c r="AI13" s="1491"/>
      <c r="AJ13" s="1491"/>
      <c r="AK13" s="1491"/>
      <c r="AL13" s="1491"/>
      <c r="AM13" s="1491"/>
    </row>
    <row r="14" spans="1:39" ht="13" x14ac:dyDescent="0.3">
      <c r="A14" s="1491"/>
      <c r="C14" s="2192" t="str">
        <f>IF(workings1!G34&lt;workings1!F34,"",workings1!F34)</f>
        <v/>
      </c>
      <c r="D14" s="2192" t="str">
        <f>IF(workings1!G34&lt;workings1!F34,"",workings1!G34)</f>
        <v/>
      </c>
      <c r="E14" s="2200" t="str">
        <f>IF(D14&lt;&gt;"",workings1!H34,"")</f>
        <v/>
      </c>
      <c r="F14" s="1649" t="str">
        <f>IF(D14&lt;&gt;"",workings1x!L34,"")</f>
        <v/>
      </c>
      <c r="G14" s="2220" t="str">
        <f>IF(D14="","",workings1!S34)</f>
        <v/>
      </c>
      <c r="H14" s="1649" t="str">
        <f>IF(D14="","",workings1!AF34)</f>
        <v/>
      </c>
      <c r="I14" s="2200" t="str">
        <f>IF(D14="","",workings1!P34)</f>
        <v/>
      </c>
      <c r="J14" s="1648" t="str">
        <f t="shared" si="1"/>
        <v/>
      </c>
      <c r="K14" s="1648" t="str">
        <f>IF(D14="","",workings1x!Y34)</f>
        <v/>
      </c>
      <c r="L14" s="1648" t="str">
        <f>IF(D14="","",F14*U14/$E$7*E14*workings1x!$AC$2)</f>
        <v/>
      </c>
      <c r="M14" s="1648" t="str">
        <f>IF(D14="","",workings1x!Z34)</f>
        <v/>
      </c>
      <c r="N14" s="2221" t="str">
        <f t="shared" si="0"/>
        <v/>
      </c>
      <c r="P14" s="2222"/>
      <c r="Q14" s="1491"/>
      <c r="R14" s="1491"/>
      <c r="S14" s="1491"/>
      <c r="T14" s="1564"/>
      <c r="U14" s="1571">
        <f ca="1">OFFSET('info sheet'!$G$9,$U$3,0)-X14</f>
        <v>2.1999999999999999E-2</v>
      </c>
      <c r="V14" s="1571">
        <f t="shared" ca="1" si="2"/>
        <v>0.02</v>
      </c>
      <c r="W14" s="1571">
        <f t="shared" ca="1" si="3"/>
        <v>5.600000000000005E-2</v>
      </c>
      <c r="X14" s="1564">
        <f>workings1!$CW$4*Y14</f>
        <v>0</v>
      </c>
      <c r="Y14" s="1564" t="b">
        <f t="shared" si="4"/>
        <v>0</v>
      </c>
      <c r="AC14" s="1564">
        <f t="shared" si="5"/>
        <v>51000</v>
      </c>
      <c r="AF14" s="1491"/>
      <c r="AG14" s="1491"/>
      <c r="AH14" s="1491"/>
      <c r="AI14" s="1491"/>
      <c r="AJ14" s="1491"/>
      <c r="AK14" s="1491"/>
      <c r="AL14" s="1491"/>
      <c r="AM14" s="1491"/>
    </row>
    <row r="15" spans="1:39" ht="13" x14ac:dyDescent="0.3">
      <c r="A15" s="1491"/>
      <c r="C15" s="2192" t="str">
        <f>IF(workings1!G35&lt;workings1!F35,"",workings1!F35)</f>
        <v/>
      </c>
      <c r="D15" s="2192" t="str">
        <f>IF(workings1!G35&lt;workings1!F35,"",workings1!G35)</f>
        <v/>
      </c>
      <c r="E15" s="2200" t="str">
        <f>IF(D15&lt;&gt;"",workings1!H35,"")</f>
        <v/>
      </c>
      <c r="F15" s="1649" t="str">
        <f>IF(D15&lt;&gt;"",workings1x!L35,"")</f>
        <v/>
      </c>
      <c r="G15" s="2220" t="str">
        <f>IF(D15="","",workings1!S35)</f>
        <v/>
      </c>
      <c r="H15" s="1649" t="str">
        <f>IF(D15="","",workings1!AF35)</f>
        <v/>
      </c>
      <c r="I15" s="2200" t="str">
        <f>IF(D15="","",workings1!P35)</f>
        <v/>
      </c>
      <c r="J15" s="1648" t="str">
        <f t="shared" si="1"/>
        <v/>
      </c>
      <c r="K15" s="1648" t="str">
        <f>IF(D15="","",workings1x!Y35)</f>
        <v/>
      </c>
      <c r="L15" s="1648" t="str">
        <f>IF(D15="","",F15*U15/$E$7*E15*workings1x!$AC$2)</f>
        <v/>
      </c>
      <c r="M15" s="1648" t="str">
        <f>IF(D15="","",workings1x!Z35)</f>
        <v/>
      </c>
      <c r="N15" s="2221" t="str">
        <f t="shared" si="0"/>
        <v/>
      </c>
      <c r="P15" s="2222"/>
      <c r="Q15" s="1491"/>
      <c r="R15" s="1491"/>
      <c r="S15" s="1491"/>
      <c r="T15" s="1564"/>
      <c r="U15" s="1571">
        <f ca="1">OFFSET('info sheet'!$G$9,$U$3,0)-X15</f>
        <v>2.1999999999999999E-2</v>
      </c>
      <c r="V15" s="1571">
        <f t="shared" ca="1" si="2"/>
        <v>0.02</v>
      </c>
      <c r="W15" s="1571">
        <f t="shared" ca="1" si="3"/>
        <v>5.600000000000005E-2</v>
      </c>
      <c r="X15" s="1564">
        <f>workings1!$CW$4*Y15</f>
        <v>0</v>
      </c>
      <c r="Y15" s="1564" t="b">
        <f t="shared" si="4"/>
        <v>0</v>
      </c>
      <c r="AC15" s="1564">
        <f t="shared" si="5"/>
        <v>51000</v>
      </c>
      <c r="AF15" s="1491"/>
      <c r="AG15" s="1491"/>
      <c r="AH15" s="1491"/>
      <c r="AI15" s="1491"/>
      <c r="AJ15" s="1491"/>
      <c r="AK15" s="1491"/>
      <c r="AL15" s="1491"/>
      <c r="AM15" s="1491"/>
    </row>
    <row r="16" spans="1:39" ht="13" x14ac:dyDescent="0.3">
      <c r="A16" s="1491"/>
      <c r="C16" s="2192" t="str">
        <f>IF(workings1!G36&lt;workings1!F36,"",workings1!F36)</f>
        <v/>
      </c>
      <c r="D16" s="2192" t="str">
        <f>IF(workings1!G36&lt;workings1!F36,"",workings1!G36)</f>
        <v/>
      </c>
      <c r="E16" s="2200" t="str">
        <f>IF(D16&lt;&gt;"",workings1!H36,"")</f>
        <v/>
      </c>
      <c r="F16" s="1649" t="str">
        <f>IF(D16&lt;&gt;"",workings1x!L36,"")</f>
        <v/>
      </c>
      <c r="G16" s="2220" t="str">
        <f>IF(D16="","",workings1!S36)</f>
        <v/>
      </c>
      <c r="H16" s="1649" t="str">
        <f>IF(D16="","",workings1!AF36)</f>
        <v/>
      </c>
      <c r="I16" s="2200" t="str">
        <f>IF(D16="","",workings1!P36)</f>
        <v/>
      </c>
      <c r="J16" s="1648" t="str">
        <f t="shared" si="1"/>
        <v/>
      </c>
      <c r="K16" s="1648" t="str">
        <f>IF(D16="","",workings1x!Y36)</f>
        <v/>
      </c>
      <c r="L16" s="1648" t="str">
        <f>IF(D16="","",F16*U16/$E$7*E16*workings1x!$AC$2)</f>
        <v/>
      </c>
      <c r="M16" s="1648" t="str">
        <f>IF(D16="","",workings1x!Z36)</f>
        <v/>
      </c>
      <c r="N16" s="2221" t="str">
        <f t="shared" si="0"/>
        <v/>
      </c>
      <c r="P16" s="2222"/>
      <c r="Q16" s="1491"/>
      <c r="R16" s="1491"/>
      <c r="S16" s="1491"/>
      <c r="T16" s="1564"/>
      <c r="U16" s="1571">
        <f ca="1">OFFSET('info sheet'!$G$9,$U$3,0)-X16</f>
        <v>2.1999999999999999E-2</v>
      </c>
      <c r="V16" s="1571">
        <f t="shared" ca="1" si="2"/>
        <v>0.02</v>
      </c>
      <c r="W16" s="1571">
        <f t="shared" ca="1" si="3"/>
        <v>5.600000000000005E-2</v>
      </c>
      <c r="X16" s="1564">
        <f>workings1!$CW$4*Y16</f>
        <v>0</v>
      </c>
      <c r="Y16" s="1564" t="b">
        <f t="shared" si="4"/>
        <v>0</v>
      </c>
      <c r="AC16" s="1564">
        <f t="shared" si="5"/>
        <v>51000</v>
      </c>
      <c r="AF16" s="1491"/>
      <c r="AG16" s="1491"/>
      <c r="AH16" s="1491"/>
      <c r="AI16" s="1491"/>
      <c r="AJ16" s="1491"/>
      <c r="AK16" s="1491"/>
      <c r="AL16" s="1491"/>
      <c r="AM16" s="1491"/>
    </row>
    <row r="17" spans="1:39" ht="13" x14ac:dyDescent="0.3">
      <c r="A17" s="1491"/>
      <c r="C17" s="2192" t="str">
        <f>IF(workings1!G37&lt;workings1!F37,"",workings1!F37)</f>
        <v/>
      </c>
      <c r="D17" s="2192" t="str">
        <f>IF(workings1!G37&lt;workings1!F37,"",workings1!G37)</f>
        <v/>
      </c>
      <c r="E17" s="2200" t="str">
        <f>IF(D17&lt;&gt;"",workings1!H37,"")</f>
        <v/>
      </c>
      <c r="F17" s="1649" t="str">
        <f>IF(D17&lt;&gt;"",workings1x!L37,"")</f>
        <v/>
      </c>
      <c r="G17" s="2220" t="str">
        <f>IF(D17="","",workings1!S37)</f>
        <v/>
      </c>
      <c r="H17" s="1649" t="str">
        <f>IF(D17="","",workings1!AF37)</f>
        <v/>
      </c>
      <c r="I17" s="2200" t="str">
        <f>IF(D17="","",workings1!P37)</f>
        <v/>
      </c>
      <c r="J17" s="1648" t="str">
        <f t="shared" si="1"/>
        <v/>
      </c>
      <c r="K17" s="1648" t="str">
        <f>IF(D17="","",workings1x!Y37)</f>
        <v/>
      </c>
      <c r="L17" s="1648" t="str">
        <f>IF(D17="","",F17*U17/$E$7*E17*workings1x!$AC$2)</f>
        <v/>
      </c>
      <c r="M17" s="1648" t="str">
        <f>IF(D17="","",workings1x!Z37)</f>
        <v/>
      </c>
      <c r="N17" s="2221" t="str">
        <f t="shared" si="0"/>
        <v/>
      </c>
      <c r="P17" s="2222"/>
      <c r="Q17" s="1491"/>
      <c r="R17" s="1491"/>
      <c r="S17" s="1491"/>
      <c r="T17" s="1564"/>
      <c r="U17" s="1571">
        <f ca="1">OFFSET('info sheet'!$G$9,$U$3,0)-X17</f>
        <v>2.1999999999999999E-2</v>
      </c>
      <c r="V17" s="1571">
        <f t="shared" ca="1" si="2"/>
        <v>0.02</v>
      </c>
      <c r="W17" s="1571">
        <f t="shared" ca="1" si="3"/>
        <v>5.600000000000005E-2</v>
      </c>
      <c r="X17" s="1564">
        <f>workings1!$CW$4*Y17</f>
        <v>0</v>
      </c>
      <c r="Y17" s="1564" t="b">
        <f t="shared" si="4"/>
        <v>0</v>
      </c>
      <c r="AC17" s="1564">
        <f t="shared" si="5"/>
        <v>51000</v>
      </c>
      <c r="AF17" s="1491"/>
      <c r="AG17" s="1491"/>
      <c r="AH17" s="1491"/>
      <c r="AI17" s="1491"/>
      <c r="AJ17" s="1491"/>
      <c r="AK17" s="1491"/>
      <c r="AL17" s="1491"/>
      <c r="AM17" s="1491"/>
    </row>
    <row r="18" spans="1:39" ht="13" x14ac:dyDescent="0.3">
      <c r="A18" s="1491"/>
      <c r="C18" s="2192" t="str">
        <f>IF(workings1!G38&lt;workings1!F38,"",workings1!F38)</f>
        <v/>
      </c>
      <c r="D18" s="2192" t="str">
        <f>IF(workings1!G38&lt;workings1!F38,"",workings1!G38)</f>
        <v/>
      </c>
      <c r="E18" s="2200" t="str">
        <f>IF(D18&lt;&gt;"",workings1!H38,"")</f>
        <v/>
      </c>
      <c r="F18" s="1649" t="str">
        <f>IF(D18&lt;&gt;"",workings1x!L38,"")</f>
        <v/>
      </c>
      <c r="G18" s="2220" t="str">
        <f>IF(D18="","",workings1!S38)</f>
        <v/>
      </c>
      <c r="H18" s="1649" t="str">
        <f>IF(D18="","",workings1!AF38)</f>
        <v/>
      </c>
      <c r="I18" s="2200" t="str">
        <f>IF(D18="","",workings1!P38)</f>
        <v/>
      </c>
      <c r="J18" s="1648" t="str">
        <f t="shared" si="1"/>
        <v/>
      </c>
      <c r="K18" s="1648" t="str">
        <f>IF(D18="","",workings1x!Y38)</f>
        <v/>
      </c>
      <c r="L18" s="1648" t="str">
        <f>IF(D18="","",F18*U18/$E$7*E18*workings1x!$AC$2)</f>
        <v/>
      </c>
      <c r="M18" s="1648" t="str">
        <f>IF(D18="","",workings1x!Z38)</f>
        <v/>
      </c>
      <c r="N18" s="2221" t="str">
        <f t="shared" si="0"/>
        <v/>
      </c>
      <c r="P18" s="2222"/>
      <c r="Q18" s="1491"/>
      <c r="R18" s="1491"/>
      <c r="S18" s="1491"/>
      <c r="T18" s="1564"/>
      <c r="U18" s="1571">
        <f ca="1">OFFSET('info sheet'!$G$9,$U$3,0)-X18</f>
        <v>2.1999999999999999E-2</v>
      </c>
      <c r="V18" s="1571">
        <f t="shared" ca="1" si="2"/>
        <v>0.02</v>
      </c>
      <c r="W18" s="1571">
        <f t="shared" ca="1" si="3"/>
        <v>5.600000000000005E-2</v>
      </c>
      <c r="X18" s="1564">
        <f>workings1!$CW$4*Y18</f>
        <v>0</v>
      </c>
      <c r="Y18" s="1564" t="b">
        <f t="shared" si="4"/>
        <v>0</v>
      </c>
      <c r="AC18" s="1564">
        <f t="shared" si="5"/>
        <v>51000</v>
      </c>
      <c r="AF18" s="1491"/>
      <c r="AG18" s="1491"/>
      <c r="AH18" s="1491"/>
      <c r="AI18" s="1491"/>
      <c r="AJ18" s="1491"/>
      <c r="AK18" s="1491"/>
      <c r="AL18" s="1491"/>
      <c r="AM18" s="1491"/>
    </row>
    <row r="19" spans="1:39" ht="13" x14ac:dyDescent="0.3">
      <c r="A19" s="1491"/>
      <c r="C19" s="2192" t="str">
        <f>IF(workings1!G39&lt;workings1!F39,"",workings1!F39)</f>
        <v/>
      </c>
      <c r="D19" s="2192" t="str">
        <f>IF(workings1!G39&lt;workings1!F39,"",workings1!G39)</f>
        <v/>
      </c>
      <c r="E19" s="2200" t="str">
        <f>IF(D19&lt;&gt;"",workings1!H39,"")</f>
        <v/>
      </c>
      <c r="F19" s="1649" t="str">
        <f>IF(D19&lt;&gt;"",workings1x!L39,"")</f>
        <v/>
      </c>
      <c r="G19" s="2220" t="str">
        <f>IF(D19="","",workings1!S39)</f>
        <v/>
      </c>
      <c r="H19" s="1649" t="str">
        <f>IF(D19="","",workings1!AF39)</f>
        <v/>
      </c>
      <c r="I19" s="2200" t="str">
        <f>IF(D19="","",workings1!P39)</f>
        <v/>
      </c>
      <c r="J19" s="1648" t="str">
        <f t="shared" si="1"/>
        <v/>
      </c>
      <c r="K19" s="1648" t="str">
        <f>IF(D19="","",workings1x!Y39)</f>
        <v/>
      </c>
      <c r="L19" s="1648" t="str">
        <f>IF(D19="","",F19*U19/$E$7*E19*workings1x!$AC$2)</f>
        <v/>
      </c>
      <c r="M19" s="1648" t="str">
        <f>IF(D19="","",workings1x!Z39)</f>
        <v/>
      </c>
      <c r="N19" s="2221" t="str">
        <f t="shared" si="0"/>
        <v/>
      </c>
      <c r="P19" s="2222"/>
      <c r="Q19" s="1491"/>
      <c r="R19" s="1491"/>
      <c r="S19" s="1491"/>
      <c r="T19" s="1564"/>
      <c r="U19" s="1571">
        <f ca="1">OFFSET('info sheet'!$G$9,$U$3,0)-X19</f>
        <v>2.1999999999999999E-2</v>
      </c>
      <c r="V19" s="1571">
        <f t="shared" ca="1" si="2"/>
        <v>0.02</v>
      </c>
      <c r="W19" s="1571">
        <f t="shared" ca="1" si="3"/>
        <v>5.600000000000005E-2</v>
      </c>
      <c r="X19" s="1564">
        <f>workings1!$CW$4*Y19</f>
        <v>0</v>
      </c>
      <c r="Y19" s="1564" t="b">
        <f t="shared" si="4"/>
        <v>0</v>
      </c>
      <c r="AC19" s="1564">
        <f t="shared" si="5"/>
        <v>51000</v>
      </c>
      <c r="AF19" s="1491"/>
      <c r="AG19" s="1491"/>
      <c r="AH19" s="1491"/>
      <c r="AI19" s="1491"/>
      <c r="AJ19" s="1491"/>
      <c r="AK19" s="1491"/>
      <c r="AL19" s="1491"/>
      <c r="AM19" s="1491"/>
    </row>
    <row r="20" spans="1:39" ht="13" x14ac:dyDescent="0.3">
      <c r="A20" s="1491"/>
      <c r="C20" s="2192" t="str">
        <f>IF(workings1!G40&lt;workings1!F40,"",workings1!F40)</f>
        <v/>
      </c>
      <c r="D20" s="2192" t="str">
        <f>IF(workings1!G40&lt;workings1!F40,"",workings1!G40)</f>
        <v/>
      </c>
      <c r="E20" s="2200" t="str">
        <f>IF(D20&lt;&gt;"",workings1!H40,"")</f>
        <v/>
      </c>
      <c r="F20" s="1649" t="str">
        <f>IF(D20&lt;&gt;"",workings1x!L40,"")</f>
        <v/>
      </c>
      <c r="G20" s="2220" t="str">
        <f>IF(D20="","",workings1!S40)</f>
        <v/>
      </c>
      <c r="H20" s="1649" t="str">
        <f>IF(D20="","",workings1!AF40)</f>
        <v/>
      </c>
      <c r="I20" s="2200" t="str">
        <f>IF(D20="","",workings1!P40)</f>
        <v/>
      </c>
      <c r="J20" s="1648" t="str">
        <f t="shared" si="1"/>
        <v/>
      </c>
      <c r="K20" s="1648" t="str">
        <f>IF(D20="","",workings1x!Y40)</f>
        <v/>
      </c>
      <c r="L20" s="1648" t="str">
        <f>IF(D20="","",F20*U20/$E$7*E20*workings1x!$AC$2)</f>
        <v/>
      </c>
      <c r="M20" s="1648" t="str">
        <f>IF(D20="","",workings1x!Z40)</f>
        <v/>
      </c>
      <c r="N20" s="2221" t="str">
        <f t="shared" si="0"/>
        <v/>
      </c>
      <c r="P20" s="2222"/>
      <c r="Q20" s="1491"/>
      <c r="R20" s="1491"/>
      <c r="S20" s="1491"/>
      <c r="T20" s="1564"/>
      <c r="U20" s="1571">
        <f ca="1">OFFSET('info sheet'!$G$9,$U$3,0)-X20</f>
        <v>2.1999999999999999E-2</v>
      </c>
      <c r="V20" s="1571">
        <f t="shared" ca="1" si="2"/>
        <v>0.02</v>
      </c>
      <c r="W20" s="1571">
        <f t="shared" ca="1" si="3"/>
        <v>5.600000000000005E-2</v>
      </c>
      <c r="X20" s="1564">
        <f>workings1!$CW$4*Y20</f>
        <v>0</v>
      </c>
      <c r="Y20" s="1564" t="b">
        <f t="shared" si="4"/>
        <v>0</v>
      </c>
      <c r="AC20" s="1564">
        <f t="shared" si="5"/>
        <v>51000</v>
      </c>
      <c r="AF20" s="1491"/>
      <c r="AG20" s="1491"/>
      <c r="AH20" s="1491"/>
      <c r="AI20" s="1491"/>
      <c r="AJ20" s="1491"/>
      <c r="AK20" s="1491"/>
      <c r="AL20" s="1491"/>
      <c r="AM20" s="1491"/>
    </row>
    <row r="21" spans="1:39" ht="13.5" thickBot="1" x14ac:dyDescent="0.35">
      <c r="A21" s="1491"/>
      <c r="C21" s="1966"/>
      <c r="D21" s="1966"/>
      <c r="E21" s="1966"/>
      <c r="F21" s="1966"/>
      <c r="G21" s="1966"/>
      <c r="H21" s="1966"/>
      <c r="I21" s="1966"/>
      <c r="J21" s="2223">
        <f ca="1">SUM(J9:J20)</f>
        <v>0</v>
      </c>
      <c r="K21" s="2223">
        <f ca="1">SUM(K9:K20)</f>
        <v>0</v>
      </c>
      <c r="L21" s="2223">
        <f ca="1">SUM(L9:L20)</f>
        <v>0</v>
      </c>
      <c r="M21" s="2223">
        <f ca="1">SUM(M9:M20)</f>
        <v>0</v>
      </c>
      <c r="N21" s="2223">
        <f ca="1">SUM(N9:N20)</f>
        <v>0</v>
      </c>
      <c r="Q21" s="1491"/>
      <c r="R21" s="1491"/>
      <c r="S21" s="1491"/>
      <c r="AF21" s="1491"/>
      <c r="AG21" s="1491"/>
      <c r="AH21" s="1491"/>
      <c r="AI21" s="1491"/>
      <c r="AJ21" s="1491"/>
      <c r="AK21" s="1491"/>
      <c r="AL21" s="1491"/>
      <c r="AM21" s="1491"/>
    </row>
    <row r="22" spans="1:39" ht="13.5" thickTop="1" x14ac:dyDescent="0.3">
      <c r="A22" s="1491"/>
      <c r="C22" s="1501" t="s">
        <v>1849</v>
      </c>
      <c r="D22" s="1966"/>
      <c r="E22" s="1966"/>
      <c r="F22" s="1966"/>
      <c r="G22" s="1966"/>
      <c r="H22" s="1966"/>
      <c r="I22" s="1966"/>
      <c r="J22" s="2224"/>
      <c r="K22" s="1966"/>
      <c r="L22" s="2224"/>
      <c r="M22" s="2224"/>
      <c r="N22" s="1966"/>
      <c r="Q22" s="1491"/>
      <c r="R22" s="1491"/>
      <c r="S22" s="1491"/>
      <c r="AF22" s="1491"/>
      <c r="AG22" s="1491"/>
      <c r="AH22" s="1491"/>
      <c r="AI22" s="1491"/>
      <c r="AJ22" s="1491"/>
      <c r="AK22" s="1491"/>
      <c r="AL22" s="1491"/>
      <c r="AM22" s="1491"/>
    </row>
    <row r="23" spans="1:39" ht="26" x14ac:dyDescent="0.3">
      <c r="A23" s="1491"/>
      <c r="C23" s="2225" t="s">
        <v>1844</v>
      </c>
      <c r="D23" s="2225" t="s">
        <v>1845</v>
      </c>
      <c r="E23" s="2226" t="s">
        <v>2399</v>
      </c>
      <c r="F23" s="2226" t="s">
        <v>1850</v>
      </c>
      <c r="G23" s="2226" t="s">
        <v>1851</v>
      </c>
      <c r="H23" s="2227" t="s">
        <v>274</v>
      </c>
      <c r="I23" s="2226" t="s">
        <v>115</v>
      </c>
      <c r="J23" s="2228" t="s">
        <v>2864</v>
      </c>
      <c r="K23" s="2228" t="s">
        <v>1703</v>
      </c>
      <c r="L23" s="2228"/>
      <c r="M23" s="2228" t="str">
        <f>'original detail 1'!$M$23</f>
        <v>RHL</v>
      </c>
      <c r="N23" s="2225" t="s">
        <v>1852</v>
      </c>
      <c r="Q23" s="1491"/>
      <c r="R23" s="1491"/>
      <c r="S23" s="1491"/>
      <c r="U23" s="1594" t="s">
        <v>2326</v>
      </c>
      <c r="AF23" s="1491"/>
      <c r="AG23" s="1491"/>
      <c r="AH23" s="1491"/>
      <c r="AI23" s="1491"/>
      <c r="AJ23" s="1491"/>
      <c r="AK23" s="1491"/>
      <c r="AL23" s="1491"/>
      <c r="AM23" s="1491"/>
    </row>
    <row r="24" spans="1:39" ht="15.75" customHeight="1" x14ac:dyDescent="0.25">
      <c r="A24" s="1491"/>
      <c r="C24" s="2192">
        <f t="shared" ref="C24:D35" si="6">C9</f>
        <v>45748</v>
      </c>
      <c r="D24" s="2192">
        <f t="shared" si="6"/>
        <v>46112</v>
      </c>
      <c r="E24" s="2229">
        <f ca="1">IF(J9="","",(workings1x!Q29-J9))</f>
        <v>0</v>
      </c>
      <c r="F24" s="2229">
        <f ca="1">IF(J9="","",workings1!T29-(N9+E24+G24+I24+J24+K24+L24+M24))</f>
        <v>0</v>
      </c>
      <c r="G24" s="2229">
        <f ca="1">IF(D9="","",IF(OR(workings1!$X$2=FALSE,H9="y"),0,workings1!R29*-0.8))</f>
        <v>0</v>
      </c>
      <c r="H24" s="2230" t="str">
        <f ca="1">IF(D9="","",IF(workings1!AH29=5000000,"5 Million",workings1!AH29))</f>
        <v>5 Million</v>
      </c>
      <c r="I24" s="2229">
        <f ca="1">IF(J9="","",(((workings1!Q29+L9)/workings1!AH29)-(workings1!Q29+L9))*workings1!U29)</f>
        <v>0</v>
      </c>
      <c r="J24" s="2229">
        <f ca="1">IF(J9="","",workings1!AR29-workings1x!AR29)</f>
        <v>0</v>
      </c>
      <c r="K24" s="2229">
        <f ca="1">IF(D9="","",workings1!CC29)</f>
        <v>0</v>
      </c>
      <c r="L24" s="2229"/>
      <c r="M24" s="2229">
        <f ca="1">IF(J9="","",workings1!AZ29)</f>
        <v>0</v>
      </c>
      <c r="N24" s="1648">
        <f t="shared" ref="N24:N35" ca="1" si="7">IF(D9="","",U24)</f>
        <v>0</v>
      </c>
      <c r="Q24" s="1491"/>
      <c r="R24" s="1491"/>
      <c r="S24" s="1491"/>
      <c r="U24" s="2231">
        <f t="shared" ref="U24:U35" ca="1" si="8">SUM(V24:AD24)</f>
        <v>0</v>
      </c>
      <c r="V24" s="2232">
        <f t="shared" ref="V24:V35" ca="1" si="9">IF(N9="",0,N9)</f>
        <v>0</v>
      </c>
      <c r="W24" s="2231">
        <f t="shared" ref="W24:W35" ca="1" si="10">IF(E24="",0,E24)</f>
        <v>0</v>
      </c>
      <c r="X24" s="2231">
        <f t="shared" ref="X24:X35" ca="1" si="11">IF(F24="",0,F24)</f>
        <v>0</v>
      </c>
      <c r="Y24" s="2231">
        <f t="shared" ref="Y24:Y35" ca="1" si="12">IF(G24="",0,G24)</f>
        <v>0</v>
      </c>
      <c r="Z24" s="2231">
        <f t="shared" ref="Z24:Z35" ca="1" si="13">IF(I24="",0,I24)</f>
        <v>0</v>
      </c>
      <c r="AA24" s="2231">
        <f t="shared" ref="AA24:AA35" ca="1" si="14">IF(J24="",0,J24)</f>
        <v>0</v>
      </c>
      <c r="AB24" s="2231">
        <f t="shared" ref="AB24:AB35" ca="1" si="15">IF(K24="",0,K24)</f>
        <v>0</v>
      </c>
      <c r="AC24" s="2231">
        <f t="shared" ref="AC24:AC35" si="16">IF(L24="",0,L24)</f>
        <v>0</v>
      </c>
      <c r="AD24" s="2231">
        <f t="shared" ref="AD24:AD35" ca="1" si="17">IF(M24="",0,M24)</f>
        <v>0</v>
      </c>
      <c r="AF24" s="1491"/>
      <c r="AG24" s="1491"/>
      <c r="AH24" s="1491"/>
      <c r="AI24" s="1491"/>
      <c r="AJ24" s="1491"/>
      <c r="AK24" s="1491"/>
      <c r="AL24" s="1491"/>
      <c r="AM24" s="1491"/>
    </row>
    <row r="25" spans="1:39" x14ac:dyDescent="0.25">
      <c r="A25" s="1491"/>
      <c r="C25" s="2192" t="str">
        <f t="shared" si="6"/>
        <v/>
      </c>
      <c r="D25" s="2192" t="str">
        <f t="shared" si="6"/>
        <v/>
      </c>
      <c r="E25" s="2229" t="str">
        <f>IF(J10="","",(workings1x!Q30-J10))</f>
        <v/>
      </c>
      <c r="F25" s="2229" t="str">
        <f>IF(J10="","",workings1!T30-(N10+E25+G25+I25+J25+K25+L25+M25))</f>
        <v/>
      </c>
      <c r="G25" s="2229" t="str">
        <f>IF(D10="","",IF(OR(workings1!$X$2=FALSE,H10="y"),0,workings1!R30*-0.8))</f>
        <v/>
      </c>
      <c r="H25" s="2230" t="str">
        <f>IF(D10="","",IF(workings1!AH30=5000000,"5 Million",workings1!AH30))</f>
        <v/>
      </c>
      <c r="I25" s="2229" t="str">
        <f>IF(J10="","",(((workings1!Q30+L10)/workings1!AH30)-(workings1!Q30+L10))*workings1!U30)</f>
        <v/>
      </c>
      <c r="J25" s="2229" t="str">
        <f>IF(J10="","",workings1!AR30-workings1x!AR30)</f>
        <v/>
      </c>
      <c r="K25" s="2229" t="str">
        <f>IF(D10="","",workings1!CC30)</f>
        <v/>
      </c>
      <c r="L25" s="2229"/>
      <c r="M25" s="2229" t="str">
        <f>IF(J10="","",workings1!AZ30)</f>
        <v/>
      </c>
      <c r="N25" s="1648" t="str">
        <f t="shared" si="7"/>
        <v/>
      </c>
      <c r="Q25" s="1491"/>
      <c r="R25" s="1491"/>
      <c r="S25" s="1491"/>
      <c r="U25" s="2231">
        <f t="shared" si="8"/>
        <v>0</v>
      </c>
      <c r="V25" s="2232">
        <f t="shared" si="9"/>
        <v>0</v>
      </c>
      <c r="W25" s="2231">
        <f t="shared" si="10"/>
        <v>0</v>
      </c>
      <c r="X25" s="2231">
        <f t="shared" si="11"/>
        <v>0</v>
      </c>
      <c r="Y25" s="2231">
        <f t="shared" si="12"/>
        <v>0</v>
      </c>
      <c r="Z25" s="2231">
        <f t="shared" si="13"/>
        <v>0</v>
      </c>
      <c r="AA25" s="2231">
        <f t="shared" si="14"/>
        <v>0</v>
      </c>
      <c r="AB25" s="2231">
        <f t="shared" si="15"/>
        <v>0</v>
      </c>
      <c r="AC25" s="2231">
        <f t="shared" si="16"/>
        <v>0</v>
      </c>
      <c r="AD25" s="2231">
        <f t="shared" si="17"/>
        <v>0</v>
      </c>
      <c r="AF25" s="1491"/>
      <c r="AG25" s="1491"/>
      <c r="AH25" s="1491"/>
      <c r="AI25" s="1491"/>
      <c r="AJ25" s="1491"/>
      <c r="AK25" s="1491"/>
      <c r="AL25" s="1491"/>
      <c r="AM25" s="1491"/>
    </row>
    <row r="26" spans="1:39" x14ac:dyDescent="0.25">
      <c r="A26" s="1491"/>
      <c r="C26" s="2192" t="str">
        <f t="shared" si="6"/>
        <v/>
      </c>
      <c r="D26" s="2192" t="str">
        <f t="shared" si="6"/>
        <v/>
      </c>
      <c r="E26" s="2229" t="str">
        <f>IF(J11="","",(workings1x!Q31-J11))</f>
        <v/>
      </c>
      <c r="F26" s="2229" t="str">
        <f>IF(J11="","",workings1!T31-(N11+E26+G26+I26+J26+K26+L26+M26))</f>
        <v/>
      </c>
      <c r="G26" s="2229" t="str">
        <f>IF(D11="","",IF(OR(workings1!$X$2=FALSE,H11="y"),0,workings1!R31*-0.8))</f>
        <v/>
      </c>
      <c r="H26" s="2230" t="str">
        <f>IF(D11="","",IF(workings1!AH31=5000000,"5 Million",workings1!AH31))</f>
        <v/>
      </c>
      <c r="I26" s="2229" t="str">
        <f>IF(J11="","",(((workings1!Q31+L11)/workings1!AH31)-(workings1!Q31+L11))*workings1!U31)</f>
        <v/>
      </c>
      <c r="J26" s="2229" t="str">
        <f>IF(J11="","",workings1!AR31-workings1x!AR31)</f>
        <v/>
      </c>
      <c r="K26" s="2229" t="str">
        <f>IF(D11="","",workings1!CC31)</f>
        <v/>
      </c>
      <c r="L26" s="2229"/>
      <c r="M26" s="2229" t="str">
        <f>IF(J11="","",workings1!AZ31)</f>
        <v/>
      </c>
      <c r="N26" s="1648" t="str">
        <f t="shared" si="7"/>
        <v/>
      </c>
      <c r="Q26" s="1491"/>
      <c r="R26" s="1491"/>
      <c r="S26" s="1491"/>
      <c r="U26" s="2231">
        <f t="shared" si="8"/>
        <v>0</v>
      </c>
      <c r="V26" s="2232">
        <f t="shared" si="9"/>
        <v>0</v>
      </c>
      <c r="W26" s="2231">
        <f t="shared" si="10"/>
        <v>0</v>
      </c>
      <c r="X26" s="2231">
        <f t="shared" si="11"/>
        <v>0</v>
      </c>
      <c r="Y26" s="2231">
        <f t="shared" si="12"/>
        <v>0</v>
      </c>
      <c r="Z26" s="2231">
        <f t="shared" si="13"/>
        <v>0</v>
      </c>
      <c r="AA26" s="2231">
        <f t="shared" si="14"/>
        <v>0</v>
      </c>
      <c r="AB26" s="2231">
        <f t="shared" si="15"/>
        <v>0</v>
      </c>
      <c r="AC26" s="2231">
        <f t="shared" si="16"/>
        <v>0</v>
      </c>
      <c r="AD26" s="2231">
        <f t="shared" si="17"/>
        <v>0</v>
      </c>
      <c r="AF26" s="1491"/>
      <c r="AG26" s="1491"/>
      <c r="AH26" s="1491"/>
      <c r="AI26" s="1491"/>
      <c r="AJ26" s="1491"/>
      <c r="AK26" s="1491"/>
      <c r="AL26" s="1491"/>
      <c r="AM26" s="1491"/>
    </row>
    <row r="27" spans="1:39" x14ac:dyDescent="0.25">
      <c r="A27" s="1491"/>
      <c r="C27" s="2192" t="str">
        <f t="shared" si="6"/>
        <v/>
      </c>
      <c r="D27" s="2192" t="str">
        <f t="shared" si="6"/>
        <v/>
      </c>
      <c r="E27" s="2229" t="str">
        <f>IF(J12="","",(workings1x!Q32-J12))</f>
        <v/>
      </c>
      <c r="F27" s="2229" t="str">
        <f>IF(J12="","",workings1!T32-(N12+E27+G27+I27+J27+K27+L27+M27))</f>
        <v/>
      </c>
      <c r="G27" s="2229" t="str">
        <f>IF(D12="","",IF(OR(workings1!$X$2=FALSE,H12="y"),0,workings1!R32*-0.8))</f>
        <v/>
      </c>
      <c r="H27" s="2230" t="str">
        <f>IF(D12="","",IF(workings1!AH32=5000000,"5 Million",workings1!AH32))</f>
        <v/>
      </c>
      <c r="I27" s="2229" t="str">
        <f>IF(J12="","",(((workings1!Q32+L12)/workings1!AH32)-(workings1!Q32+L12))*workings1!U32)</f>
        <v/>
      </c>
      <c r="J27" s="2229" t="str">
        <f>IF(J12="","",workings1!AR32-workings1x!AR32)</f>
        <v/>
      </c>
      <c r="K27" s="2229" t="str">
        <f>IF(D12="","",workings1!CC32)</f>
        <v/>
      </c>
      <c r="L27" s="2229"/>
      <c r="M27" s="2229" t="str">
        <f>IF(J12="","",workings1!AZ32)</f>
        <v/>
      </c>
      <c r="N27" s="1648" t="str">
        <f t="shared" si="7"/>
        <v/>
      </c>
      <c r="Q27" s="1491"/>
      <c r="R27" s="1491"/>
      <c r="S27" s="1491"/>
      <c r="U27" s="2231">
        <f t="shared" si="8"/>
        <v>0</v>
      </c>
      <c r="V27" s="2232">
        <f t="shared" si="9"/>
        <v>0</v>
      </c>
      <c r="W27" s="2231">
        <f t="shared" si="10"/>
        <v>0</v>
      </c>
      <c r="X27" s="2231">
        <f t="shared" si="11"/>
        <v>0</v>
      </c>
      <c r="Y27" s="2231">
        <f t="shared" si="12"/>
        <v>0</v>
      </c>
      <c r="Z27" s="2231">
        <f t="shared" si="13"/>
        <v>0</v>
      </c>
      <c r="AA27" s="2231">
        <f t="shared" si="14"/>
        <v>0</v>
      </c>
      <c r="AB27" s="2231">
        <f t="shared" si="15"/>
        <v>0</v>
      </c>
      <c r="AC27" s="2231">
        <f t="shared" si="16"/>
        <v>0</v>
      </c>
      <c r="AD27" s="2231">
        <f t="shared" si="17"/>
        <v>0</v>
      </c>
      <c r="AF27" s="1491"/>
      <c r="AG27" s="1491"/>
      <c r="AH27" s="1491"/>
      <c r="AI27" s="1491"/>
      <c r="AJ27" s="1491"/>
      <c r="AK27" s="1491"/>
      <c r="AL27" s="1491"/>
      <c r="AM27" s="1491"/>
    </row>
    <row r="28" spans="1:39" x14ac:dyDescent="0.25">
      <c r="A28" s="1491"/>
      <c r="C28" s="2192" t="str">
        <f t="shared" si="6"/>
        <v/>
      </c>
      <c r="D28" s="2192" t="str">
        <f t="shared" si="6"/>
        <v/>
      </c>
      <c r="E28" s="2229" t="str">
        <f>IF(J13="","",(workings1x!Q33-J13))</f>
        <v/>
      </c>
      <c r="F28" s="2229" t="str">
        <f>IF(J13="","",workings1!T33-(N13+E28+G28+I28+J28+K28+L28+M28))</f>
        <v/>
      </c>
      <c r="G28" s="2229" t="str">
        <f>IF(D13="","",IF(OR(workings1!$X$2=FALSE,H13="y"),0,workings1!R33*-0.8))</f>
        <v/>
      </c>
      <c r="H28" s="2230" t="str">
        <f>IF(D13="","",IF(workings1!AH33=5000000,"5 Million",workings1!AH33))</f>
        <v/>
      </c>
      <c r="I28" s="2229" t="str">
        <f>IF(J13="","",(((workings1!Q33+L13)/workings1!AH33)-(workings1!Q33+L13))*workings1!U33)</f>
        <v/>
      </c>
      <c r="J28" s="2229" t="str">
        <f>IF(J13="","",workings1!AR33-workings1x!AR33)</f>
        <v/>
      </c>
      <c r="K28" s="2229" t="str">
        <f>IF(D13="","",workings1!CC33)</f>
        <v/>
      </c>
      <c r="L28" s="2229"/>
      <c r="M28" s="2229" t="str">
        <f>IF(J13="","",workings1!AZ33)</f>
        <v/>
      </c>
      <c r="N28" s="1648" t="str">
        <f t="shared" si="7"/>
        <v/>
      </c>
      <c r="Q28" s="1491"/>
      <c r="R28" s="1491"/>
      <c r="S28" s="1491"/>
      <c r="U28" s="2231">
        <f t="shared" si="8"/>
        <v>0</v>
      </c>
      <c r="V28" s="2232">
        <f t="shared" si="9"/>
        <v>0</v>
      </c>
      <c r="W28" s="2231">
        <f t="shared" si="10"/>
        <v>0</v>
      </c>
      <c r="X28" s="2231">
        <f t="shared" si="11"/>
        <v>0</v>
      </c>
      <c r="Y28" s="2231">
        <f t="shared" si="12"/>
        <v>0</v>
      </c>
      <c r="Z28" s="2231">
        <f t="shared" si="13"/>
        <v>0</v>
      </c>
      <c r="AA28" s="2231">
        <f t="shared" si="14"/>
        <v>0</v>
      </c>
      <c r="AB28" s="2231">
        <f t="shared" si="15"/>
        <v>0</v>
      </c>
      <c r="AC28" s="2231">
        <f t="shared" si="16"/>
        <v>0</v>
      </c>
      <c r="AD28" s="2231">
        <f t="shared" si="17"/>
        <v>0</v>
      </c>
      <c r="AF28" s="1491"/>
      <c r="AG28" s="1491"/>
      <c r="AH28" s="1491"/>
      <c r="AI28" s="1491"/>
      <c r="AJ28" s="1491"/>
      <c r="AK28" s="1491"/>
      <c r="AL28" s="1491"/>
      <c r="AM28" s="1491"/>
    </row>
    <row r="29" spans="1:39" x14ac:dyDescent="0.25">
      <c r="A29" s="1491"/>
      <c r="C29" s="2192" t="str">
        <f t="shared" si="6"/>
        <v/>
      </c>
      <c r="D29" s="2192" t="str">
        <f t="shared" si="6"/>
        <v/>
      </c>
      <c r="E29" s="2229" t="str">
        <f>IF(J14="","",(workings1x!Q34-J14))</f>
        <v/>
      </c>
      <c r="F29" s="2229" t="str">
        <f>IF(J14="","",workings1!T34-(N14+E29+G29+I29+J29+K29+L29+M29))</f>
        <v/>
      </c>
      <c r="G29" s="2229" t="str">
        <f>IF(D14="","",IF(OR(workings1!$X$2=FALSE,H14="y"),0,workings1!R34*-0.8))</f>
        <v/>
      </c>
      <c r="H29" s="2230" t="str">
        <f>IF(D14="","",IF(workings1!AH34=5000000,"5 Million",workings1!AH34))</f>
        <v/>
      </c>
      <c r="I29" s="2229" t="str">
        <f>IF(J14="","",(((workings1!Q34+L14)/workings1!AH34)-(workings1!Q34+L14))*workings1!U34)</f>
        <v/>
      </c>
      <c r="J29" s="2229" t="str">
        <f>IF(J14="","",workings1!AR34-workings1x!AR34)</f>
        <v/>
      </c>
      <c r="K29" s="2229" t="str">
        <f>IF(D14="","",workings1!CC34)</f>
        <v/>
      </c>
      <c r="L29" s="2229"/>
      <c r="M29" s="2229" t="str">
        <f>IF(J14="","",workings1!AZ34)</f>
        <v/>
      </c>
      <c r="N29" s="1648" t="str">
        <f t="shared" si="7"/>
        <v/>
      </c>
      <c r="Q29" s="1491"/>
      <c r="R29" s="1491"/>
      <c r="S29" s="1491"/>
      <c r="U29" s="2231">
        <f t="shared" si="8"/>
        <v>0</v>
      </c>
      <c r="V29" s="2232">
        <f t="shared" si="9"/>
        <v>0</v>
      </c>
      <c r="W29" s="2231">
        <f t="shared" si="10"/>
        <v>0</v>
      </c>
      <c r="X29" s="2231">
        <f t="shared" si="11"/>
        <v>0</v>
      </c>
      <c r="Y29" s="2231">
        <f t="shared" si="12"/>
        <v>0</v>
      </c>
      <c r="Z29" s="2231">
        <f t="shared" si="13"/>
        <v>0</v>
      </c>
      <c r="AA29" s="2231">
        <f t="shared" si="14"/>
        <v>0</v>
      </c>
      <c r="AB29" s="2231">
        <f t="shared" si="15"/>
        <v>0</v>
      </c>
      <c r="AC29" s="2231">
        <f t="shared" si="16"/>
        <v>0</v>
      </c>
      <c r="AD29" s="2231">
        <f t="shared" si="17"/>
        <v>0</v>
      </c>
      <c r="AF29" s="1491"/>
      <c r="AG29" s="1491"/>
      <c r="AH29" s="1491"/>
      <c r="AI29" s="1491"/>
      <c r="AJ29" s="1491"/>
      <c r="AK29" s="1491"/>
      <c r="AL29" s="1491"/>
      <c r="AM29" s="1491"/>
    </row>
    <row r="30" spans="1:39" x14ac:dyDescent="0.25">
      <c r="A30" s="1491"/>
      <c r="C30" s="2192" t="str">
        <f t="shared" si="6"/>
        <v/>
      </c>
      <c r="D30" s="2192" t="str">
        <f t="shared" si="6"/>
        <v/>
      </c>
      <c r="E30" s="2229" t="str">
        <f>IF(J15="","",(workings1x!Q35-J15))</f>
        <v/>
      </c>
      <c r="F30" s="2229" t="str">
        <f>IF(J15="","",workings1!T35-(N15+E30+G30+I30+J30+K30+L30+M30))</f>
        <v/>
      </c>
      <c r="G30" s="2229" t="str">
        <f>IF(D15="","",IF(OR(workings1!$X$2=FALSE,H15="y"),0,workings1!R35*-0.8))</f>
        <v/>
      </c>
      <c r="H30" s="2230" t="str">
        <f>IF(D15="","",IF(workings1!AH35=5000000,"5 Million",workings1!AH35))</f>
        <v/>
      </c>
      <c r="I30" s="2229" t="str">
        <f>IF(J15="","",(((workings1!Q35+L15)/workings1!AH35)-(workings1!Q35+L15))*workings1!U35)</f>
        <v/>
      </c>
      <c r="J30" s="2229" t="str">
        <f>IF(J15="","",workings1!AR35-workings1x!AR35)</f>
        <v/>
      </c>
      <c r="K30" s="2229" t="str">
        <f>IF(D15="","",workings1!CC35)</f>
        <v/>
      </c>
      <c r="L30" s="2229"/>
      <c r="M30" s="2229" t="str">
        <f>IF(J15="","",workings1!AZ35)</f>
        <v/>
      </c>
      <c r="N30" s="1648" t="str">
        <f t="shared" si="7"/>
        <v/>
      </c>
      <c r="Q30" s="1491"/>
      <c r="R30" s="1491"/>
      <c r="S30" s="1491"/>
      <c r="U30" s="2231">
        <f t="shared" si="8"/>
        <v>0</v>
      </c>
      <c r="V30" s="2232">
        <f t="shared" si="9"/>
        <v>0</v>
      </c>
      <c r="W30" s="2231">
        <f t="shared" si="10"/>
        <v>0</v>
      </c>
      <c r="X30" s="2231">
        <f t="shared" si="11"/>
        <v>0</v>
      </c>
      <c r="Y30" s="2231">
        <f t="shared" si="12"/>
        <v>0</v>
      </c>
      <c r="Z30" s="2231">
        <f t="shared" si="13"/>
        <v>0</v>
      </c>
      <c r="AA30" s="2231">
        <f t="shared" si="14"/>
        <v>0</v>
      </c>
      <c r="AB30" s="2231">
        <f t="shared" si="15"/>
        <v>0</v>
      </c>
      <c r="AC30" s="2231">
        <f t="shared" si="16"/>
        <v>0</v>
      </c>
      <c r="AD30" s="2231">
        <f t="shared" si="17"/>
        <v>0</v>
      </c>
      <c r="AF30" s="1491"/>
      <c r="AG30" s="1491"/>
      <c r="AH30" s="1491"/>
      <c r="AI30" s="1491"/>
      <c r="AJ30" s="1491"/>
      <c r="AK30" s="1491"/>
      <c r="AL30" s="1491"/>
      <c r="AM30" s="1491"/>
    </row>
    <row r="31" spans="1:39" x14ac:dyDescent="0.25">
      <c r="A31" s="1491"/>
      <c r="C31" s="2192" t="str">
        <f t="shared" si="6"/>
        <v/>
      </c>
      <c r="D31" s="2192" t="str">
        <f t="shared" si="6"/>
        <v/>
      </c>
      <c r="E31" s="2229" t="str">
        <f>IF(J16="","",(workings1x!Q36-J16))</f>
        <v/>
      </c>
      <c r="F31" s="2229" t="str">
        <f>IF(J16="","",workings1!T36-(N16+E31+G31+I31+J31+K31+L31+M31))</f>
        <v/>
      </c>
      <c r="G31" s="2229" t="str">
        <f>IF(D16="","",IF(OR(workings1!$X$2=FALSE,H16="y"),0,workings1!R36*-0.8))</f>
        <v/>
      </c>
      <c r="H31" s="2230" t="str">
        <f>IF(D16="","",IF(workings1!AH36=5000000,"5 Million",workings1!AH36))</f>
        <v/>
      </c>
      <c r="I31" s="2229" t="str">
        <f>IF(J16="","",(((workings1!Q36+L16)/workings1!AH36)-(workings1!Q36+L16))*workings1!U36)</f>
        <v/>
      </c>
      <c r="J31" s="2229" t="str">
        <f>IF(J16="","",workings1!AR36-workings1x!AR36)</f>
        <v/>
      </c>
      <c r="K31" s="2229" t="str">
        <f>IF(D16="","",workings1!CC36)</f>
        <v/>
      </c>
      <c r="L31" s="2229"/>
      <c r="M31" s="2229" t="str">
        <f>IF(J16="","",workings1!AZ36)</f>
        <v/>
      </c>
      <c r="N31" s="1648" t="str">
        <f t="shared" si="7"/>
        <v/>
      </c>
      <c r="Q31" s="1491"/>
      <c r="R31" s="1491"/>
      <c r="S31" s="1491"/>
      <c r="U31" s="2231">
        <f t="shared" si="8"/>
        <v>0</v>
      </c>
      <c r="V31" s="2232">
        <f t="shared" si="9"/>
        <v>0</v>
      </c>
      <c r="W31" s="2231">
        <f t="shared" si="10"/>
        <v>0</v>
      </c>
      <c r="X31" s="2231">
        <f t="shared" si="11"/>
        <v>0</v>
      </c>
      <c r="Y31" s="2231">
        <f t="shared" si="12"/>
        <v>0</v>
      </c>
      <c r="Z31" s="2231">
        <f t="shared" si="13"/>
        <v>0</v>
      </c>
      <c r="AA31" s="2231">
        <f t="shared" si="14"/>
        <v>0</v>
      </c>
      <c r="AB31" s="2231">
        <f t="shared" si="15"/>
        <v>0</v>
      </c>
      <c r="AC31" s="2231">
        <f t="shared" si="16"/>
        <v>0</v>
      </c>
      <c r="AD31" s="2231">
        <f t="shared" si="17"/>
        <v>0</v>
      </c>
      <c r="AF31" s="1491"/>
      <c r="AG31" s="1491"/>
      <c r="AH31" s="1491"/>
      <c r="AI31" s="1491"/>
      <c r="AJ31" s="1491"/>
      <c r="AK31" s="1491"/>
      <c r="AL31" s="1491"/>
      <c r="AM31" s="1491"/>
    </row>
    <row r="32" spans="1:39" x14ac:dyDescent="0.25">
      <c r="A32" s="1491"/>
      <c r="C32" s="2192" t="str">
        <f t="shared" si="6"/>
        <v/>
      </c>
      <c r="D32" s="2192" t="str">
        <f t="shared" si="6"/>
        <v/>
      </c>
      <c r="E32" s="2229" t="str">
        <f>IF(J17="","",(workings1x!Q37-J17))</f>
        <v/>
      </c>
      <c r="F32" s="2229" t="str">
        <f>IF(J17="","",workings1!T37-(N17+E32+G32+I32+J32+K32+L32+M32))</f>
        <v/>
      </c>
      <c r="G32" s="2229" t="str">
        <f>IF(D17="","",IF(OR(workings1!$X$2=FALSE,H17="y"),0,workings1!R37*-0.8))</f>
        <v/>
      </c>
      <c r="H32" s="2230" t="str">
        <f>IF(D17="","",IF(workings1!AH37=5000000,"5 Million",workings1!AH37))</f>
        <v/>
      </c>
      <c r="I32" s="2229" t="str">
        <f>IF(J17="","",(((workings1!Q37+L17)/workings1!AH37)-(workings1!Q37+L17))*workings1!U37)</f>
        <v/>
      </c>
      <c r="J32" s="2229" t="str">
        <f>IF(J17="","",workings1!AR37-workings1x!AR37)</f>
        <v/>
      </c>
      <c r="K32" s="2229" t="str">
        <f>IF(D17="","",workings1!CC37)</f>
        <v/>
      </c>
      <c r="L32" s="2229"/>
      <c r="M32" s="2229" t="str">
        <f>IF(J17="","",workings1!AZ37)</f>
        <v/>
      </c>
      <c r="N32" s="1648" t="str">
        <f t="shared" si="7"/>
        <v/>
      </c>
      <c r="Q32" s="1491"/>
      <c r="R32" s="1491"/>
      <c r="S32" s="1491"/>
      <c r="U32" s="2231">
        <f t="shared" si="8"/>
        <v>0</v>
      </c>
      <c r="V32" s="2232">
        <f t="shared" si="9"/>
        <v>0</v>
      </c>
      <c r="W32" s="2231">
        <f t="shared" si="10"/>
        <v>0</v>
      </c>
      <c r="X32" s="2231">
        <f t="shared" si="11"/>
        <v>0</v>
      </c>
      <c r="Y32" s="2231">
        <f t="shared" si="12"/>
        <v>0</v>
      </c>
      <c r="Z32" s="2231">
        <f t="shared" si="13"/>
        <v>0</v>
      </c>
      <c r="AA32" s="2231">
        <f t="shared" si="14"/>
        <v>0</v>
      </c>
      <c r="AB32" s="2231">
        <f t="shared" si="15"/>
        <v>0</v>
      </c>
      <c r="AC32" s="2231">
        <f t="shared" si="16"/>
        <v>0</v>
      </c>
      <c r="AD32" s="2231">
        <f t="shared" si="17"/>
        <v>0</v>
      </c>
      <c r="AF32" s="1491"/>
      <c r="AG32" s="1491"/>
      <c r="AH32" s="1491"/>
      <c r="AI32" s="1491"/>
      <c r="AJ32" s="1491"/>
      <c r="AK32" s="1491"/>
      <c r="AL32" s="1491"/>
      <c r="AM32" s="1491"/>
    </row>
    <row r="33" spans="1:39" x14ac:dyDescent="0.25">
      <c r="A33" s="1491"/>
      <c r="C33" s="2192" t="str">
        <f t="shared" si="6"/>
        <v/>
      </c>
      <c r="D33" s="2192" t="str">
        <f t="shared" si="6"/>
        <v/>
      </c>
      <c r="E33" s="2229" t="str">
        <f>IF(J18="","",(workings1x!Q38-J18))</f>
        <v/>
      </c>
      <c r="F33" s="2229" t="str">
        <f>IF(J18="","",workings1!T38-(N18+E33+G33+I33+J33+K33+L33+M33))</f>
        <v/>
      </c>
      <c r="G33" s="2229" t="str">
        <f>IF(D18="","",IF(OR(workings1!$X$2=FALSE,H18="y"),0,workings1!R38*-0.8))</f>
        <v/>
      </c>
      <c r="H33" s="2230" t="str">
        <f>IF(D18="","",IF(workings1!AH38=5000000,"5 Million",workings1!AH38))</f>
        <v/>
      </c>
      <c r="I33" s="2229" t="str">
        <f>IF(J18="","",(((workings1!Q38+L18)/workings1!AH38)-(workings1!Q38+L18))*workings1!U38)</f>
        <v/>
      </c>
      <c r="J33" s="2229" t="str">
        <f>IF(J18="","",workings1!AR38-workings1x!AR38)</f>
        <v/>
      </c>
      <c r="K33" s="2229" t="str">
        <f>IF(D18="","",workings1!CC38)</f>
        <v/>
      </c>
      <c r="L33" s="2229"/>
      <c r="M33" s="2229" t="str">
        <f>IF(J18="","",workings1!AZ38)</f>
        <v/>
      </c>
      <c r="N33" s="1648" t="str">
        <f t="shared" si="7"/>
        <v/>
      </c>
      <c r="Q33" s="1491"/>
      <c r="R33" s="1491"/>
      <c r="S33" s="1491"/>
      <c r="U33" s="2231">
        <f t="shared" si="8"/>
        <v>0</v>
      </c>
      <c r="V33" s="2232">
        <f t="shared" si="9"/>
        <v>0</v>
      </c>
      <c r="W33" s="2231">
        <f t="shared" si="10"/>
        <v>0</v>
      </c>
      <c r="X33" s="2231">
        <f t="shared" si="11"/>
        <v>0</v>
      </c>
      <c r="Y33" s="2231">
        <f t="shared" si="12"/>
        <v>0</v>
      </c>
      <c r="Z33" s="2231">
        <f t="shared" si="13"/>
        <v>0</v>
      </c>
      <c r="AA33" s="2231">
        <f t="shared" si="14"/>
        <v>0</v>
      </c>
      <c r="AB33" s="2231">
        <f t="shared" si="15"/>
        <v>0</v>
      </c>
      <c r="AC33" s="2231">
        <f t="shared" si="16"/>
        <v>0</v>
      </c>
      <c r="AD33" s="2231">
        <f t="shared" si="17"/>
        <v>0</v>
      </c>
      <c r="AF33" s="1491"/>
      <c r="AG33" s="1491"/>
      <c r="AH33" s="1491"/>
      <c r="AI33" s="1491"/>
      <c r="AJ33" s="1491"/>
      <c r="AK33" s="1491"/>
      <c r="AL33" s="1491"/>
      <c r="AM33" s="1491"/>
    </row>
    <row r="34" spans="1:39" x14ac:dyDescent="0.25">
      <c r="A34" s="1491"/>
      <c r="C34" s="2192" t="str">
        <f t="shared" si="6"/>
        <v/>
      </c>
      <c r="D34" s="2192" t="str">
        <f t="shared" si="6"/>
        <v/>
      </c>
      <c r="E34" s="2229" t="str">
        <f>IF(J19="","",(workings1x!Q39-J19))</f>
        <v/>
      </c>
      <c r="F34" s="2229" t="str">
        <f>IF(J19="","",workings1!T39-(N19+E34+G34+I34+J34+K34+L34+M34))</f>
        <v/>
      </c>
      <c r="G34" s="2229" t="str">
        <f>IF(D19="","",IF(OR(workings1!$X$2=FALSE,H19="y"),0,workings1!R39*-0.8))</f>
        <v/>
      </c>
      <c r="H34" s="2230" t="str">
        <f>IF(D19="","",IF(workings1!AH39=5000000,"5 Million",workings1!AH39))</f>
        <v/>
      </c>
      <c r="I34" s="2229" t="str">
        <f>IF(J19="","",(((workings1!Q39+L19)/workings1!AH39)-(workings1!Q39+L19))*workings1!U39)</f>
        <v/>
      </c>
      <c r="J34" s="2229" t="str">
        <f>IF(J19="","",workings1!AR39-workings1x!AR39)</f>
        <v/>
      </c>
      <c r="K34" s="2229" t="str">
        <f>IF(D19="","",workings1!CC39)</f>
        <v/>
      </c>
      <c r="L34" s="2229"/>
      <c r="M34" s="2229" t="str">
        <f>IF(J19="","",workings1!AZ39)</f>
        <v/>
      </c>
      <c r="N34" s="1648" t="str">
        <f t="shared" si="7"/>
        <v/>
      </c>
      <c r="Q34" s="1491"/>
      <c r="R34" s="1491"/>
      <c r="S34" s="1491"/>
      <c r="U34" s="2231">
        <f t="shared" si="8"/>
        <v>0</v>
      </c>
      <c r="V34" s="2232">
        <f t="shared" si="9"/>
        <v>0</v>
      </c>
      <c r="W34" s="2231">
        <f t="shared" si="10"/>
        <v>0</v>
      </c>
      <c r="X34" s="2231">
        <f t="shared" si="11"/>
        <v>0</v>
      </c>
      <c r="Y34" s="2231">
        <f t="shared" si="12"/>
        <v>0</v>
      </c>
      <c r="Z34" s="2231">
        <f t="shared" si="13"/>
        <v>0</v>
      </c>
      <c r="AA34" s="2231">
        <f t="shared" si="14"/>
        <v>0</v>
      </c>
      <c r="AB34" s="2231">
        <f t="shared" si="15"/>
        <v>0</v>
      </c>
      <c r="AC34" s="2231">
        <f t="shared" si="16"/>
        <v>0</v>
      </c>
      <c r="AD34" s="2231">
        <f t="shared" si="17"/>
        <v>0</v>
      </c>
      <c r="AF34" s="1491"/>
      <c r="AG34" s="1491"/>
      <c r="AH34" s="1491"/>
      <c r="AI34" s="1491"/>
      <c r="AJ34" s="1491"/>
      <c r="AK34" s="1491"/>
      <c r="AL34" s="1491"/>
      <c r="AM34" s="1491"/>
    </row>
    <row r="35" spans="1:39" x14ac:dyDescent="0.25">
      <c r="A35" s="1491"/>
      <c r="C35" s="2192" t="str">
        <f t="shared" si="6"/>
        <v/>
      </c>
      <c r="D35" s="2192" t="str">
        <f t="shared" si="6"/>
        <v/>
      </c>
      <c r="E35" s="2229" t="str">
        <f>IF(J20="","",(workings1x!Q40-J20))</f>
        <v/>
      </c>
      <c r="F35" s="2229" t="str">
        <f>IF(J20="","",workings1!T40-(N20+E35+G35+I35+J35+K35+L35+M35))</f>
        <v/>
      </c>
      <c r="G35" s="2229" t="str">
        <f>IF(D20="","",IF(OR(workings1!$X$2=FALSE,H20="y"),0,workings1!R40*-0.8))</f>
        <v/>
      </c>
      <c r="H35" s="2230" t="str">
        <f>IF(D20="","",IF(workings1!AH40=5000000,"5 Million",workings1!AH40))</f>
        <v/>
      </c>
      <c r="I35" s="2229" t="str">
        <f>IF(J20="","",(((workings1!Q40+L20)/workings1!AH40)-(workings1!Q40+L20))*workings1!U40)</f>
        <v/>
      </c>
      <c r="J35" s="2229" t="str">
        <f>IF(J20="","",workings1!AR40-workings1x!AR40)</f>
        <v/>
      </c>
      <c r="K35" s="2229" t="str">
        <f>IF(D20="","",workings1!CC40)</f>
        <v/>
      </c>
      <c r="L35" s="2229"/>
      <c r="M35" s="2229" t="str">
        <f>IF(J20="","",workings1!AZ40)</f>
        <v/>
      </c>
      <c r="N35" s="1648" t="str">
        <f t="shared" si="7"/>
        <v/>
      </c>
      <c r="Q35" s="1491"/>
      <c r="R35" s="1491"/>
      <c r="S35" s="1491"/>
      <c r="U35" s="2231">
        <f t="shared" si="8"/>
        <v>0</v>
      </c>
      <c r="V35" s="2232">
        <f t="shared" si="9"/>
        <v>0</v>
      </c>
      <c r="W35" s="2231">
        <f t="shared" si="10"/>
        <v>0</v>
      </c>
      <c r="X35" s="2231">
        <f t="shared" si="11"/>
        <v>0</v>
      </c>
      <c r="Y35" s="2231">
        <f t="shared" si="12"/>
        <v>0</v>
      </c>
      <c r="Z35" s="2231">
        <f t="shared" si="13"/>
        <v>0</v>
      </c>
      <c r="AA35" s="2231">
        <f t="shared" si="14"/>
        <v>0</v>
      </c>
      <c r="AB35" s="2231">
        <f t="shared" si="15"/>
        <v>0</v>
      </c>
      <c r="AC35" s="2231">
        <f t="shared" si="16"/>
        <v>0</v>
      </c>
      <c r="AD35" s="2231">
        <f t="shared" si="17"/>
        <v>0</v>
      </c>
      <c r="AF35" s="1491"/>
      <c r="AG35" s="1491"/>
      <c r="AH35" s="1491"/>
      <c r="AI35" s="1491"/>
      <c r="AJ35" s="1491"/>
      <c r="AK35" s="1491"/>
      <c r="AL35" s="1491"/>
      <c r="AM35" s="1491"/>
    </row>
    <row r="36" spans="1:39" ht="13" x14ac:dyDescent="0.3">
      <c r="A36" s="1491"/>
      <c r="C36" s="1501"/>
      <c r="D36" s="1501"/>
      <c r="E36" s="2233">
        <f ca="1">SUM(E24:E35)</f>
        <v>0</v>
      </c>
      <c r="F36" s="2233">
        <f ca="1">SUM(F24:F35)</f>
        <v>0</v>
      </c>
      <c r="G36" s="2233">
        <f ca="1">SUM(G24:G35)</f>
        <v>0</v>
      </c>
      <c r="H36" s="2233"/>
      <c r="I36" s="2233">
        <f t="shared" ref="I36:N36" ca="1" si="18">SUM(I24:I35)</f>
        <v>0</v>
      </c>
      <c r="J36" s="2233">
        <f t="shared" ca="1" si="18"/>
        <v>0</v>
      </c>
      <c r="K36" s="2233">
        <f t="shared" ca="1" si="18"/>
        <v>0</v>
      </c>
      <c r="L36" s="2233">
        <f t="shared" si="18"/>
        <v>0</v>
      </c>
      <c r="M36" s="2233">
        <f t="shared" ca="1" si="18"/>
        <v>0</v>
      </c>
      <c r="N36" s="2221">
        <f t="shared" ca="1" si="18"/>
        <v>0</v>
      </c>
      <c r="Q36" s="1491"/>
      <c r="R36" s="1491"/>
      <c r="S36" s="1491"/>
      <c r="AF36" s="1491"/>
      <c r="AG36" s="1491"/>
      <c r="AH36" s="1491"/>
      <c r="AI36" s="1491"/>
      <c r="AJ36" s="1491"/>
      <c r="AK36" s="1491"/>
      <c r="AL36" s="1491"/>
      <c r="AM36" s="1491"/>
    </row>
    <row r="37" spans="1:39" ht="13" x14ac:dyDescent="0.3">
      <c r="A37" s="1491"/>
      <c r="M37" s="2234" t="str">
        <f ca="1">IF(M36=workings1!BA41,"capped at","")</f>
        <v/>
      </c>
      <c r="Q37" s="1491"/>
      <c r="R37" s="1491"/>
      <c r="S37" s="1491"/>
      <c r="AF37" s="1491"/>
      <c r="AG37" s="1491"/>
      <c r="AH37" s="1491"/>
      <c r="AI37" s="1491"/>
      <c r="AJ37" s="1491"/>
      <c r="AK37" s="1491"/>
      <c r="AL37" s="1491"/>
      <c r="AM37" s="1491"/>
    </row>
    <row r="38" spans="1:39" ht="13" x14ac:dyDescent="0.3">
      <c r="A38" s="1491"/>
      <c r="M38" s="2235" t="str">
        <f ca="1">IF(M36=workings1!BA41,workings1!BA41*-1,"")</f>
        <v/>
      </c>
      <c r="N38" s="2232"/>
      <c r="Q38" s="1491"/>
      <c r="R38" s="1491"/>
      <c r="S38" s="1491"/>
      <c r="AF38" s="1491"/>
      <c r="AG38" s="1491"/>
      <c r="AH38" s="1491"/>
      <c r="AI38" s="1491"/>
      <c r="AJ38" s="1491"/>
      <c r="AK38" s="1491"/>
      <c r="AL38" s="1491"/>
      <c r="AM38" s="1491"/>
    </row>
    <row r="39" spans="1:39" x14ac:dyDescent="0.25">
      <c r="A39" s="1491"/>
      <c r="B39" s="1491"/>
      <c r="C39" s="1491"/>
      <c r="D39" s="1491"/>
      <c r="E39" s="1491"/>
      <c r="F39" s="1491"/>
      <c r="G39" s="1491"/>
      <c r="H39" s="1491"/>
      <c r="I39" s="1491"/>
      <c r="J39" s="1491"/>
      <c r="K39" s="1491"/>
      <c r="L39" s="1491"/>
      <c r="M39" s="1491"/>
      <c r="N39" s="1491"/>
      <c r="O39" s="1491"/>
      <c r="P39" s="1491"/>
      <c r="Q39" s="1491"/>
      <c r="R39" s="1491"/>
      <c r="S39" s="1491"/>
      <c r="AF39" s="1491"/>
      <c r="AG39" s="1491"/>
      <c r="AH39" s="1491"/>
      <c r="AI39" s="1491"/>
      <c r="AJ39" s="1491"/>
      <c r="AK39" s="1491"/>
      <c r="AL39" s="1491"/>
      <c r="AM39" s="1491"/>
    </row>
    <row r="40" spans="1:39" x14ac:dyDescent="0.25">
      <c r="A40" s="1491"/>
      <c r="B40" s="1491"/>
      <c r="C40" s="1491"/>
      <c r="D40" s="1491"/>
      <c r="E40" s="1491"/>
      <c r="F40" s="1491"/>
      <c r="G40" s="1491"/>
      <c r="H40" s="1491"/>
      <c r="I40" s="1491"/>
      <c r="J40" s="1491"/>
      <c r="K40" s="1491"/>
      <c r="L40" s="1491"/>
      <c r="M40" s="1491"/>
      <c r="N40" s="1491"/>
      <c r="O40" s="1491"/>
      <c r="P40" s="1491"/>
      <c r="Q40" s="1491"/>
      <c r="R40" s="1491"/>
      <c r="S40" s="1491"/>
      <c r="AF40" s="1491"/>
      <c r="AG40" s="1491"/>
      <c r="AH40" s="1491"/>
      <c r="AI40" s="1491"/>
      <c r="AJ40" s="1491"/>
      <c r="AK40" s="1491"/>
      <c r="AL40" s="1491"/>
      <c r="AM40" s="1491"/>
    </row>
    <row r="41" spans="1:39" x14ac:dyDescent="0.25">
      <c r="A41" s="1491"/>
      <c r="B41" s="1491"/>
      <c r="C41" s="1491"/>
      <c r="D41" s="1491"/>
      <c r="E41" s="1491"/>
      <c r="F41" s="1491"/>
      <c r="G41" s="1491"/>
      <c r="H41" s="1491"/>
      <c r="I41" s="1491"/>
      <c r="J41" s="1491"/>
      <c r="K41" s="1491"/>
      <c r="L41" s="1491"/>
      <c r="M41" s="1491"/>
      <c r="N41" s="1491"/>
      <c r="O41" s="1491"/>
      <c r="P41" s="1491"/>
      <c r="Q41" s="1491"/>
      <c r="R41" s="1491"/>
      <c r="S41" s="1491"/>
      <c r="AF41" s="1491"/>
      <c r="AG41" s="1491"/>
      <c r="AH41" s="1491"/>
      <c r="AI41" s="1491"/>
      <c r="AJ41" s="1491"/>
      <c r="AK41" s="1491"/>
      <c r="AL41" s="1491"/>
      <c r="AM41" s="1491"/>
    </row>
    <row r="42" spans="1:39" x14ac:dyDescent="0.25">
      <c r="A42" s="1491"/>
      <c r="B42" s="1491"/>
      <c r="C42" s="1491"/>
      <c r="D42" s="1491"/>
      <c r="E42" s="1491"/>
      <c r="F42" s="1491"/>
      <c r="G42" s="1491"/>
      <c r="H42" s="1491"/>
      <c r="I42" s="1491"/>
      <c r="J42" s="1491"/>
      <c r="K42" s="1491"/>
      <c r="L42" s="1491"/>
      <c r="M42" s="1491"/>
      <c r="N42" s="1491"/>
      <c r="O42" s="1491"/>
      <c r="P42" s="1491"/>
      <c r="Q42" s="1491"/>
      <c r="R42" s="1491"/>
      <c r="S42" s="1491"/>
      <c r="AF42" s="1491"/>
      <c r="AG42" s="1491"/>
      <c r="AH42" s="1491"/>
      <c r="AI42" s="1491"/>
      <c r="AJ42" s="1491"/>
      <c r="AK42" s="1491"/>
      <c r="AL42" s="1491"/>
      <c r="AM42" s="1491"/>
    </row>
    <row r="43" spans="1:39" x14ac:dyDescent="0.25">
      <c r="A43" s="1491"/>
      <c r="B43" s="1491"/>
      <c r="C43" s="1491"/>
      <c r="D43" s="1491"/>
      <c r="E43" s="1491"/>
      <c r="F43" s="1491"/>
      <c r="G43" s="1491"/>
      <c r="H43" s="1491"/>
      <c r="I43" s="1491"/>
      <c r="J43" s="1491"/>
      <c r="K43" s="1491"/>
      <c r="L43" s="1491"/>
      <c r="M43" s="1491"/>
      <c r="N43" s="1491"/>
      <c r="O43" s="1491"/>
      <c r="P43" s="1491"/>
      <c r="Q43" s="1491"/>
      <c r="R43" s="1491"/>
      <c r="S43" s="1491"/>
      <c r="AF43" s="1491"/>
      <c r="AG43" s="1491"/>
      <c r="AH43" s="1491"/>
      <c r="AI43" s="1491"/>
      <c r="AJ43" s="1491"/>
      <c r="AK43" s="1491"/>
      <c r="AL43" s="1491"/>
      <c r="AM43" s="1491"/>
    </row>
    <row r="44" spans="1:39" x14ac:dyDescent="0.25">
      <c r="A44" s="1491"/>
      <c r="B44" s="1491"/>
      <c r="C44" s="1491"/>
      <c r="D44" s="1491"/>
      <c r="E44" s="1491"/>
      <c r="F44" s="1491"/>
      <c r="G44" s="1491"/>
      <c r="H44" s="1491"/>
      <c r="I44" s="1491"/>
      <c r="J44" s="1491"/>
      <c r="K44" s="1491"/>
      <c r="L44" s="1491"/>
      <c r="M44" s="1491"/>
      <c r="N44" s="1491"/>
      <c r="O44" s="1491"/>
      <c r="P44" s="1491"/>
      <c r="Q44" s="1491"/>
      <c r="R44" s="1491"/>
      <c r="S44" s="1491"/>
      <c r="AF44" s="1491"/>
      <c r="AG44" s="1491"/>
      <c r="AH44" s="1491"/>
      <c r="AI44" s="1491"/>
      <c r="AJ44" s="1491"/>
      <c r="AK44" s="1491"/>
      <c r="AL44" s="1491"/>
      <c r="AM44" s="1491"/>
    </row>
    <row r="45" spans="1:39" x14ac:dyDescent="0.25">
      <c r="A45" s="1491"/>
      <c r="B45" s="1491"/>
      <c r="C45" s="1491"/>
      <c r="D45" s="1491"/>
      <c r="E45" s="1491"/>
      <c r="F45" s="1491"/>
      <c r="G45" s="1491"/>
      <c r="H45" s="1491"/>
      <c r="I45" s="1491"/>
      <c r="J45" s="1491"/>
      <c r="K45" s="1491"/>
      <c r="L45" s="1491"/>
      <c r="M45" s="1491"/>
      <c r="N45" s="1491"/>
      <c r="O45" s="1491"/>
      <c r="P45" s="1491"/>
      <c r="Q45" s="1491"/>
      <c r="R45" s="1491"/>
      <c r="S45" s="1491"/>
      <c r="AF45" s="1491"/>
      <c r="AG45" s="1491"/>
      <c r="AH45" s="1491"/>
      <c r="AI45" s="1491"/>
      <c r="AJ45" s="1491"/>
      <c r="AK45" s="1491"/>
      <c r="AL45" s="1491"/>
      <c r="AM45" s="1491"/>
    </row>
    <row r="46" spans="1:39" x14ac:dyDescent="0.25">
      <c r="A46" s="1491"/>
      <c r="B46" s="1491"/>
      <c r="C46" s="1491"/>
      <c r="D46" s="1491"/>
      <c r="E46" s="1491"/>
      <c r="F46" s="1491"/>
      <c r="G46" s="1491"/>
      <c r="H46" s="1491"/>
      <c r="I46" s="1491"/>
      <c r="J46" s="1491"/>
      <c r="K46" s="1491"/>
      <c r="L46" s="1491"/>
      <c r="M46" s="1491"/>
      <c r="N46" s="1491"/>
      <c r="O46" s="1491"/>
      <c r="P46" s="1491"/>
      <c r="Q46" s="1491"/>
      <c r="R46" s="1491"/>
      <c r="S46" s="1491"/>
      <c r="AF46" s="1491"/>
      <c r="AG46" s="1491"/>
      <c r="AH46" s="1491"/>
      <c r="AI46" s="1491"/>
      <c r="AJ46" s="1491"/>
      <c r="AK46" s="1491"/>
      <c r="AL46" s="1491"/>
      <c r="AM46" s="1491"/>
    </row>
    <row r="47" spans="1:39" x14ac:dyDescent="0.25">
      <c r="A47" s="1491"/>
      <c r="B47" s="1491"/>
      <c r="C47" s="1491"/>
      <c r="D47" s="1491"/>
      <c r="E47" s="1491"/>
      <c r="F47" s="1491"/>
      <c r="G47" s="1491"/>
      <c r="H47" s="1491"/>
      <c r="I47" s="1491"/>
      <c r="J47" s="1491"/>
      <c r="K47" s="1491"/>
      <c r="L47" s="1491"/>
      <c r="M47" s="1491"/>
      <c r="N47" s="1491"/>
      <c r="O47" s="1491"/>
      <c r="P47" s="1491"/>
      <c r="Q47" s="1491"/>
      <c r="R47" s="1491"/>
      <c r="S47" s="1491"/>
      <c r="AF47" s="1491"/>
      <c r="AG47" s="1491"/>
      <c r="AH47" s="1491"/>
      <c r="AI47" s="1491"/>
      <c r="AJ47" s="1491"/>
      <c r="AK47" s="1491"/>
      <c r="AL47" s="1491"/>
      <c r="AM47" s="1491"/>
    </row>
    <row r="48" spans="1:39" x14ac:dyDescent="0.25">
      <c r="A48" s="1491"/>
      <c r="B48" s="1491"/>
      <c r="C48" s="1491"/>
      <c r="D48" s="1491"/>
      <c r="E48" s="1491"/>
      <c r="F48" s="1491"/>
      <c r="G48" s="1491"/>
      <c r="H48" s="1491"/>
      <c r="I48" s="1491"/>
      <c r="J48" s="1491"/>
      <c r="K48" s="1491"/>
      <c r="L48" s="1491"/>
      <c r="M48" s="1491"/>
      <c r="N48" s="1491"/>
      <c r="O48" s="1491"/>
      <c r="P48" s="1491"/>
      <c r="Q48" s="1491"/>
      <c r="R48" s="1491"/>
      <c r="S48" s="1491"/>
      <c r="AF48" s="1491"/>
      <c r="AG48" s="1491"/>
      <c r="AH48" s="1491"/>
      <c r="AI48" s="1491"/>
      <c r="AJ48" s="1491"/>
      <c r="AK48" s="1491"/>
      <c r="AL48" s="1491"/>
      <c r="AM48" s="1491"/>
    </row>
    <row r="49" spans="1:39" x14ac:dyDescent="0.25">
      <c r="A49" s="1491"/>
      <c r="B49" s="1491"/>
      <c r="C49" s="1491"/>
      <c r="D49" s="1491"/>
      <c r="E49" s="1491"/>
      <c r="F49" s="1491"/>
      <c r="G49" s="1491"/>
      <c r="H49" s="1491"/>
      <c r="I49" s="1491"/>
      <c r="J49" s="1491"/>
      <c r="K49" s="1491"/>
      <c r="L49" s="1491"/>
      <c r="M49" s="1491"/>
      <c r="N49" s="1491"/>
      <c r="O49" s="1491"/>
      <c r="P49" s="1491"/>
      <c r="Q49" s="1491"/>
      <c r="R49" s="1491"/>
      <c r="S49" s="1491"/>
      <c r="AF49" s="1491"/>
      <c r="AG49" s="1491"/>
      <c r="AH49" s="1491"/>
      <c r="AI49" s="1491"/>
      <c r="AJ49" s="1491"/>
      <c r="AK49" s="1491"/>
      <c r="AL49" s="1491"/>
      <c r="AM49" s="1491"/>
    </row>
    <row r="50" spans="1:39" x14ac:dyDescent="0.25">
      <c r="A50" s="1491"/>
      <c r="B50" s="1491"/>
      <c r="C50" s="1491"/>
      <c r="D50" s="1491"/>
      <c r="E50" s="1491"/>
      <c r="F50" s="1491"/>
      <c r="G50" s="1491"/>
      <c r="H50" s="1491"/>
      <c r="I50" s="1491"/>
      <c r="J50" s="1491"/>
      <c r="K50" s="1491"/>
      <c r="L50" s="1491"/>
      <c r="M50" s="1491"/>
      <c r="N50" s="1491"/>
      <c r="O50" s="1491"/>
      <c r="P50" s="1491"/>
      <c r="Q50" s="1491"/>
      <c r="R50" s="1491"/>
      <c r="S50" s="1491"/>
      <c r="AF50" s="1491"/>
      <c r="AG50" s="1491"/>
      <c r="AH50" s="1491"/>
      <c r="AI50" s="1491"/>
      <c r="AJ50" s="1491"/>
      <c r="AK50" s="1491"/>
      <c r="AL50" s="1491"/>
      <c r="AM50" s="1491"/>
    </row>
    <row r="51" spans="1:39" x14ac:dyDescent="0.25">
      <c r="A51" s="1491"/>
      <c r="B51" s="1491"/>
      <c r="C51" s="1491"/>
      <c r="D51" s="1491"/>
      <c r="E51" s="1491"/>
      <c r="F51" s="1491"/>
      <c r="G51" s="1491"/>
      <c r="H51" s="1491"/>
      <c r="I51" s="1491"/>
      <c r="J51" s="1491"/>
      <c r="K51" s="1491"/>
      <c r="L51" s="1491"/>
      <c r="M51" s="1491"/>
      <c r="N51" s="1491"/>
      <c r="O51" s="1491"/>
      <c r="P51" s="1491"/>
      <c r="Q51" s="1491"/>
      <c r="R51" s="1491"/>
      <c r="S51" s="1491"/>
      <c r="AF51" s="1491"/>
      <c r="AG51" s="1491"/>
      <c r="AH51" s="1491"/>
      <c r="AI51" s="1491"/>
      <c r="AJ51" s="1491"/>
      <c r="AK51" s="1491"/>
      <c r="AL51" s="1491"/>
      <c r="AM51" s="1491"/>
    </row>
    <row r="52" spans="1:39" x14ac:dyDescent="0.25">
      <c r="A52" s="1491"/>
      <c r="B52" s="1491"/>
      <c r="C52" s="1491"/>
      <c r="D52" s="1491"/>
      <c r="E52" s="1491"/>
      <c r="F52" s="1491"/>
      <c r="G52" s="1491"/>
      <c r="H52" s="1491"/>
      <c r="I52" s="1491"/>
      <c r="J52" s="1491"/>
      <c r="K52" s="1491"/>
      <c r="L52" s="1491"/>
      <c r="M52" s="1491"/>
      <c r="N52" s="1491"/>
      <c r="O52" s="1491"/>
      <c r="P52" s="1491"/>
      <c r="Q52" s="1491"/>
      <c r="R52" s="1491"/>
      <c r="S52" s="1491"/>
      <c r="AF52" s="1491"/>
      <c r="AG52" s="1491"/>
      <c r="AH52" s="1491"/>
      <c r="AI52" s="1491"/>
      <c r="AJ52" s="1491"/>
      <c r="AK52" s="1491"/>
      <c r="AL52" s="1491"/>
      <c r="AM52" s="1491"/>
    </row>
    <row r="53" spans="1:39" x14ac:dyDescent="0.25">
      <c r="A53" s="1491"/>
      <c r="B53" s="1491"/>
      <c r="C53" s="1491"/>
      <c r="D53" s="1491"/>
      <c r="E53" s="1491"/>
      <c r="F53" s="1491"/>
      <c r="G53" s="1491"/>
      <c r="H53" s="1491"/>
      <c r="I53" s="1491"/>
      <c r="J53" s="1491"/>
      <c r="K53" s="1491"/>
      <c r="L53" s="1491"/>
      <c r="M53" s="1491"/>
      <c r="N53" s="1491"/>
      <c r="O53" s="1491"/>
      <c r="P53" s="1491"/>
      <c r="Q53" s="1491"/>
      <c r="R53" s="1491"/>
      <c r="S53" s="1491"/>
      <c r="AF53" s="1491"/>
      <c r="AG53" s="1491"/>
      <c r="AH53" s="1491"/>
      <c r="AI53" s="1491"/>
      <c r="AJ53" s="1491"/>
      <c r="AK53" s="1491"/>
      <c r="AL53" s="1491"/>
      <c r="AM53" s="1491"/>
    </row>
    <row r="54" spans="1:39" x14ac:dyDescent="0.25">
      <c r="A54" s="1491"/>
      <c r="B54" s="1491"/>
      <c r="C54" s="1491"/>
      <c r="D54" s="1491"/>
      <c r="E54" s="1491"/>
      <c r="F54" s="1491"/>
      <c r="G54" s="1491"/>
      <c r="H54" s="1491"/>
      <c r="I54" s="1491"/>
      <c r="J54" s="1491"/>
      <c r="K54" s="1491"/>
      <c r="L54" s="1491"/>
      <c r="M54" s="1491"/>
      <c r="N54" s="1491"/>
      <c r="O54" s="1491"/>
      <c r="P54" s="1491"/>
      <c r="Q54" s="1491"/>
      <c r="R54" s="1491"/>
      <c r="S54" s="1491"/>
      <c r="AF54" s="1491"/>
      <c r="AG54" s="1491"/>
      <c r="AH54" s="1491"/>
      <c r="AI54" s="1491"/>
      <c r="AJ54" s="1491"/>
      <c r="AK54" s="1491"/>
      <c r="AL54" s="1491"/>
      <c r="AM54" s="1491"/>
    </row>
    <row r="55" spans="1:39" x14ac:dyDescent="0.25">
      <c r="A55" s="1491"/>
      <c r="B55" s="1491"/>
      <c r="C55" s="1491"/>
      <c r="D55" s="1491"/>
      <c r="E55" s="1491"/>
      <c r="F55" s="1491"/>
      <c r="G55" s="1491"/>
      <c r="H55" s="1491"/>
      <c r="I55" s="1491"/>
      <c r="J55" s="1491"/>
      <c r="K55" s="1491"/>
      <c r="L55" s="1491"/>
      <c r="M55" s="1491"/>
      <c r="N55" s="1491"/>
      <c r="O55" s="1491"/>
      <c r="P55" s="1491"/>
      <c r="Q55" s="1491"/>
      <c r="R55" s="1491"/>
      <c r="S55" s="1491"/>
      <c r="AF55" s="1491"/>
      <c r="AG55" s="1491"/>
      <c r="AH55" s="1491"/>
      <c r="AI55" s="1491"/>
      <c r="AJ55" s="1491"/>
      <c r="AK55" s="1491"/>
      <c r="AL55" s="1491"/>
      <c r="AM55" s="1491"/>
    </row>
    <row r="56" spans="1:39" x14ac:dyDescent="0.25">
      <c r="A56" s="1491"/>
      <c r="B56" s="1491"/>
      <c r="C56" s="1491"/>
      <c r="D56" s="1491"/>
      <c r="E56" s="1491"/>
      <c r="F56" s="1491"/>
      <c r="G56" s="1491"/>
      <c r="H56" s="1491"/>
      <c r="I56" s="1491"/>
      <c r="J56" s="1491"/>
      <c r="K56" s="1491"/>
      <c r="L56" s="1491"/>
      <c r="M56" s="1491"/>
      <c r="N56" s="1491"/>
      <c r="O56" s="1491"/>
      <c r="P56" s="1491"/>
      <c r="Q56" s="1491"/>
      <c r="R56" s="1491"/>
      <c r="S56" s="1491"/>
      <c r="AF56" s="1491"/>
      <c r="AG56" s="1491"/>
      <c r="AH56" s="1491"/>
      <c r="AI56" s="1491"/>
      <c r="AJ56" s="1491"/>
      <c r="AK56" s="1491"/>
      <c r="AL56" s="1491"/>
      <c r="AM56" s="1491"/>
    </row>
    <row r="57" spans="1:39" x14ac:dyDescent="0.25">
      <c r="A57" s="1491"/>
      <c r="B57" s="1491"/>
      <c r="C57" s="1491"/>
      <c r="D57" s="1491"/>
      <c r="E57" s="1491"/>
      <c r="F57" s="1491"/>
      <c r="G57" s="1491"/>
      <c r="H57" s="1491"/>
      <c r="I57" s="1491"/>
      <c r="J57" s="1491"/>
      <c r="K57" s="1491"/>
      <c r="L57" s="1491"/>
      <c r="M57" s="1491"/>
      <c r="N57" s="1491"/>
      <c r="O57" s="1491"/>
      <c r="P57" s="1491"/>
      <c r="Q57" s="1491"/>
      <c r="R57" s="1491"/>
      <c r="S57" s="1491"/>
      <c r="AF57" s="1491"/>
      <c r="AG57" s="1491"/>
      <c r="AH57" s="1491"/>
      <c r="AI57" s="1491"/>
      <c r="AJ57" s="1491"/>
      <c r="AK57" s="1491"/>
      <c r="AL57" s="1491"/>
      <c r="AM57" s="1491"/>
    </row>
    <row r="58" spans="1:39" x14ac:dyDescent="0.25">
      <c r="A58" s="1491"/>
      <c r="B58" s="1491"/>
      <c r="C58" s="1491"/>
      <c r="D58" s="1491"/>
      <c r="E58" s="1491"/>
      <c r="F58" s="1491"/>
      <c r="G58" s="1491"/>
      <c r="H58" s="1491"/>
      <c r="I58" s="1491"/>
      <c r="J58" s="1491"/>
      <c r="K58" s="1491"/>
      <c r="L58" s="1491"/>
      <c r="M58" s="1491"/>
      <c r="N58" s="1491"/>
      <c r="O58" s="1491"/>
      <c r="P58" s="1491"/>
      <c r="Q58" s="1491"/>
      <c r="R58" s="1491"/>
      <c r="S58" s="1491"/>
      <c r="AF58" s="1491"/>
      <c r="AG58" s="1491"/>
      <c r="AH58" s="1491"/>
      <c r="AI58" s="1491"/>
      <c r="AJ58" s="1491"/>
      <c r="AK58" s="1491"/>
      <c r="AL58" s="1491"/>
      <c r="AM58" s="1491"/>
    </row>
    <row r="59" spans="1:39" x14ac:dyDescent="0.25">
      <c r="A59" s="1491"/>
      <c r="B59" s="1491"/>
      <c r="C59" s="1491"/>
      <c r="D59" s="1491"/>
      <c r="E59" s="1491"/>
      <c r="F59" s="1491"/>
      <c r="G59" s="1491"/>
      <c r="H59" s="1491"/>
      <c r="I59" s="1491"/>
      <c r="J59" s="1491"/>
      <c r="K59" s="1491"/>
      <c r="L59" s="1491"/>
      <c r="M59" s="1491"/>
      <c r="N59" s="1491"/>
      <c r="O59" s="1491"/>
      <c r="P59" s="1491"/>
      <c r="Q59" s="1491"/>
      <c r="R59" s="1491"/>
      <c r="S59" s="1491"/>
      <c r="AF59" s="1491"/>
      <c r="AG59" s="1491"/>
      <c r="AH59" s="1491"/>
      <c r="AI59" s="1491"/>
      <c r="AJ59" s="1491"/>
      <c r="AK59" s="1491"/>
      <c r="AL59" s="1491"/>
      <c r="AM59" s="1491"/>
    </row>
    <row r="60" spans="1:39" x14ac:dyDescent="0.25">
      <c r="A60" s="1491"/>
      <c r="B60" s="1491"/>
      <c r="C60" s="1491"/>
      <c r="D60" s="1491"/>
      <c r="E60" s="1491"/>
      <c r="F60" s="1491"/>
      <c r="G60" s="1491"/>
      <c r="H60" s="1491"/>
      <c r="I60" s="1491"/>
      <c r="J60" s="1491"/>
      <c r="K60" s="1491"/>
      <c r="L60" s="1491"/>
      <c r="M60" s="1491"/>
      <c r="N60" s="1491"/>
      <c r="O60" s="1491"/>
      <c r="P60" s="1491"/>
      <c r="Q60" s="1491"/>
      <c r="R60" s="1491"/>
      <c r="S60" s="1491"/>
      <c r="AF60" s="1491"/>
      <c r="AG60" s="1491"/>
      <c r="AH60" s="1491"/>
      <c r="AI60" s="1491"/>
      <c r="AJ60" s="1491"/>
      <c r="AK60" s="1491"/>
      <c r="AL60" s="1491"/>
      <c r="AM60" s="1491"/>
    </row>
    <row r="61" spans="1:39" x14ac:dyDescent="0.25">
      <c r="A61" s="1491"/>
      <c r="B61" s="1491"/>
      <c r="C61" s="1491"/>
      <c r="D61" s="1491"/>
      <c r="E61" s="1491"/>
      <c r="F61" s="1491"/>
      <c r="G61" s="1491"/>
      <c r="H61" s="1491"/>
      <c r="I61" s="1491"/>
      <c r="J61" s="1491"/>
      <c r="K61" s="1491"/>
      <c r="L61" s="1491"/>
      <c r="M61" s="1491"/>
      <c r="N61" s="1491"/>
      <c r="O61" s="1491"/>
      <c r="P61" s="1491"/>
      <c r="Q61" s="1491"/>
      <c r="R61" s="1491"/>
      <c r="S61" s="1491"/>
      <c r="AF61" s="1491"/>
      <c r="AG61" s="1491"/>
      <c r="AH61" s="1491"/>
      <c r="AI61" s="1491"/>
      <c r="AJ61" s="1491"/>
      <c r="AK61" s="1491"/>
      <c r="AL61" s="1491"/>
      <c r="AM61" s="1491"/>
    </row>
    <row r="62" spans="1:39" x14ac:dyDescent="0.25">
      <c r="A62" s="1491"/>
      <c r="B62" s="1491"/>
      <c r="C62" s="1491"/>
      <c r="D62" s="1491"/>
      <c r="E62" s="1491"/>
      <c r="F62" s="1491"/>
      <c r="G62" s="1491"/>
      <c r="H62" s="1491"/>
      <c r="I62" s="1491"/>
      <c r="J62" s="1491"/>
      <c r="K62" s="1491"/>
      <c r="L62" s="1491"/>
      <c r="M62" s="1491"/>
      <c r="N62" s="1491"/>
      <c r="O62" s="1491"/>
      <c r="P62" s="1491"/>
      <c r="Q62" s="1491"/>
      <c r="R62" s="1491"/>
      <c r="S62" s="1491"/>
      <c r="AF62" s="1491"/>
      <c r="AG62" s="1491"/>
      <c r="AH62" s="1491"/>
      <c r="AI62" s="1491"/>
      <c r="AJ62" s="1491"/>
      <c r="AK62" s="1491"/>
      <c r="AL62" s="1491"/>
      <c r="AM62" s="1491"/>
    </row>
    <row r="63" spans="1:39" x14ac:dyDescent="0.25">
      <c r="A63" s="1491"/>
      <c r="B63" s="1491"/>
      <c r="C63" s="1491"/>
      <c r="D63" s="1491"/>
      <c r="E63" s="1491"/>
      <c r="F63" s="1491"/>
      <c r="G63" s="1491"/>
      <c r="H63" s="1491"/>
      <c r="I63" s="1491"/>
      <c r="J63" s="1491"/>
      <c r="K63" s="1491"/>
      <c r="L63" s="1491"/>
      <c r="M63" s="1491"/>
      <c r="N63" s="1491"/>
      <c r="O63" s="1491"/>
      <c r="P63" s="1491"/>
      <c r="Q63" s="1491"/>
      <c r="R63" s="1491"/>
      <c r="S63" s="1491"/>
      <c r="AF63" s="1491"/>
      <c r="AG63" s="1491"/>
      <c r="AH63" s="1491"/>
      <c r="AI63" s="1491"/>
      <c r="AJ63" s="1491"/>
      <c r="AK63" s="1491"/>
      <c r="AL63" s="1491"/>
      <c r="AM63" s="1491"/>
    </row>
  </sheetData>
  <sheetProtection algorithmName="SHA-512" hashValue="UfMUb+iLr6zgeoJ56Yw9rjS+XyEXZPowJ0Fo7TNhCf6WcOSEb82HQYk1eM2DMd164CDPK8B9unedBuNI03G0LQ==" saltValue="bPByMCrGr6SoniVHeAcDxw==" spinCount="100000" sheet="1" objects="1" scenarios="1"/>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goto_details">
                <anchor moveWithCells="1" sizeWithCells="1">
                  <from>
                    <xdr:col>2</xdr:col>
                    <xdr:colOff>25400</xdr:colOff>
                    <xdr:row>5</xdr:row>
                    <xdr:rowOff>6350</xdr:rowOff>
                  </from>
                  <to>
                    <xdr:col>2</xdr:col>
                    <xdr:colOff>749300</xdr:colOff>
                    <xdr:row>6</xdr:row>
                    <xdr:rowOff>146050</xdr:rowOff>
                  </to>
                </anchor>
              </controlPr>
            </control>
          </mc:Choice>
        </mc:AlternateContent>
        <mc:AlternateContent xmlns:mc="http://schemas.openxmlformats.org/markup-compatibility/2006">
          <mc:Choice Requires="x14">
            <control shapeId="95234" r:id="rId5" name="Button 2">
              <controlPr defaultSize="0" print="0" autoFill="0" autoPict="0" macro="[0]!backto">
                <anchor moveWithCells="1" sizeWithCells="1">
                  <from>
                    <xdr:col>16</xdr:col>
                    <xdr:colOff>44450</xdr:colOff>
                    <xdr:row>1</xdr:row>
                    <xdr:rowOff>6350</xdr:rowOff>
                  </from>
                  <to>
                    <xdr:col>16</xdr:col>
                    <xdr:colOff>1130300</xdr:colOff>
                    <xdr:row>4</xdr:row>
                    <xdr:rowOff>127000</xdr:rowOff>
                  </to>
                </anchor>
              </controlPr>
            </control>
          </mc:Choice>
        </mc:AlternateContent>
        <mc:AlternateContent xmlns:mc="http://schemas.openxmlformats.org/markup-compatibility/2006">
          <mc:Choice Requires="x14">
            <control shapeId="95235" r:id="rId6" name="Button 3">
              <controlPr defaultSize="0" print="0" autoFill="0" autoPict="0" macro="[0]!goto_revised_advdetail_from_original">
                <anchor moveWithCells="1" sizeWithCells="1">
                  <from>
                    <xdr:col>16</xdr:col>
                    <xdr:colOff>63500</xdr:colOff>
                    <xdr:row>7</xdr:row>
                    <xdr:rowOff>679450</xdr:rowOff>
                  </from>
                  <to>
                    <xdr:col>17</xdr:col>
                    <xdr:colOff>577850</xdr:colOff>
                    <xdr:row>10</xdr:row>
                    <xdr:rowOff>139700</xdr:rowOff>
                  </to>
                </anchor>
              </controlPr>
            </control>
          </mc:Choice>
        </mc:AlternateContent>
        <mc:AlternateContent xmlns:mc="http://schemas.openxmlformats.org/markup-compatibility/2006">
          <mc:Choice Requires="x14">
            <control shapeId="95236" r:id="rId7" name="Button 4">
              <controlPr defaultSize="0" print="0" autoFill="0" autoPict="0" macro="[0]!goto_home">
                <anchor moveWithCells="1" sizeWithCells="1">
                  <from>
                    <xdr:col>0</xdr:col>
                    <xdr:colOff>38100</xdr:colOff>
                    <xdr:row>1</xdr:row>
                    <xdr:rowOff>0</xdr:rowOff>
                  </from>
                  <to>
                    <xdr:col>0</xdr:col>
                    <xdr:colOff>622300</xdr:colOff>
                    <xdr:row>4</xdr:row>
                    <xdr:rowOff>25400</xdr:rowOff>
                  </to>
                </anchor>
              </controlPr>
            </control>
          </mc:Choice>
        </mc:AlternateContent>
        <mc:AlternateContent xmlns:mc="http://schemas.openxmlformats.org/markup-compatibility/2006">
          <mc:Choice Requires="x14">
            <control shapeId="95237" r:id="rId8" name="Button 5">
              <controlPr defaultSize="0" print="0" autoFill="0" autoPict="0" macro="[0]!goto_next_year_any_sheet">
                <anchor moveWithCells="1" sizeWithCells="1">
                  <from>
                    <xdr:col>16</xdr:col>
                    <xdr:colOff>990600</xdr:colOff>
                    <xdr:row>11</xdr:row>
                    <xdr:rowOff>0</xdr:rowOff>
                  </from>
                  <to>
                    <xdr:col>17</xdr:col>
                    <xdr:colOff>577850</xdr:colOff>
                    <xdr:row>14</xdr:row>
                    <xdr:rowOff>63500</xdr:rowOff>
                  </to>
                </anchor>
              </controlPr>
            </control>
          </mc:Choice>
        </mc:AlternateContent>
        <mc:AlternateContent xmlns:mc="http://schemas.openxmlformats.org/markup-compatibility/2006">
          <mc:Choice Requires="x14">
            <control shapeId="95238" r:id="rId9" name="Button 6">
              <controlPr defaultSize="0" print="0" autoFill="0" autoPict="0" macro="[0]!goto_previous_year_any_sheet">
                <anchor moveWithCells="1" sizeWithCells="1">
                  <from>
                    <xdr:col>16</xdr:col>
                    <xdr:colOff>69850</xdr:colOff>
                    <xdr:row>11</xdr:row>
                    <xdr:rowOff>0</xdr:rowOff>
                  </from>
                  <to>
                    <xdr:col>16</xdr:col>
                    <xdr:colOff>965200</xdr:colOff>
                    <xdr:row>14</xdr:row>
                    <xdr:rowOff>63500</xdr:rowOff>
                  </to>
                </anchor>
              </controlPr>
            </control>
          </mc:Choice>
        </mc:AlternateContent>
        <mc:AlternateContent xmlns:mc="http://schemas.openxmlformats.org/markup-compatibility/2006">
          <mc:Choice Requires="x14">
            <control shapeId="95239" r:id="rId10" name="Button 7">
              <controlPr defaultSize="0" print="0" autoFill="0" autoPict="0" macro="[0]!copy_as_excel">
                <anchor moveWithCells="1" sizeWithCells="1">
                  <from>
                    <xdr:col>16</xdr:col>
                    <xdr:colOff>69850</xdr:colOff>
                    <xdr:row>7</xdr:row>
                    <xdr:rowOff>146050</xdr:rowOff>
                  </from>
                  <to>
                    <xdr:col>16</xdr:col>
                    <xdr:colOff>755650</xdr:colOff>
                    <xdr:row>7</xdr:row>
                    <xdr:rowOff>533400</xdr:rowOff>
                  </to>
                </anchor>
              </controlPr>
            </control>
          </mc:Choice>
        </mc:AlternateContent>
        <mc:AlternateContent xmlns:mc="http://schemas.openxmlformats.org/markup-compatibility/2006">
          <mc:Choice Requires="x14">
            <control shapeId="95240" r:id="rId11" name="Button 8">
              <controlPr defaultSize="0" print="0" autoFill="0" autoPict="0" macro="[0]!pdflauncher">
                <anchor moveWithCells="1" sizeWithCells="1">
                  <from>
                    <xdr:col>16</xdr:col>
                    <xdr:colOff>762000</xdr:colOff>
                    <xdr:row>7</xdr:row>
                    <xdr:rowOff>146050</xdr:rowOff>
                  </from>
                  <to>
                    <xdr:col>17</xdr:col>
                    <xdr:colOff>279400</xdr:colOff>
                    <xdr:row>7</xdr:row>
                    <xdr:rowOff>533400</xdr:rowOff>
                  </to>
                </anchor>
              </controlPr>
            </control>
          </mc:Choice>
        </mc:AlternateContent>
        <mc:AlternateContent xmlns:mc="http://schemas.openxmlformats.org/markup-compatibility/2006">
          <mc:Choice Requires="x14">
            <control shapeId="95241" r:id="rId12" name="Button 9">
              <controlPr defaultSize="0" print="0" autoFill="0" autoPict="0" macro="[0]!openfolder">
                <anchor moveWithCells="1" sizeWithCells="1">
                  <from>
                    <xdr:col>17</xdr:col>
                    <xdr:colOff>298450</xdr:colOff>
                    <xdr:row>7</xdr:row>
                    <xdr:rowOff>146050</xdr:rowOff>
                  </from>
                  <to>
                    <xdr:col>17</xdr:col>
                    <xdr:colOff>831850</xdr:colOff>
                    <xdr:row>7</xdr:row>
                    <xdr:rowOff>533400</xdr:rowOff>
                  </to>
                </anchor>
              </controlPr>
            </control>
          </mc:Choice>
        </mc:AlternateContent>
        <mc:AlternateContent xmlns:mc="http://schemas.openxmlformats.org/markup-compatibility/2006">
          <mc:Choice Requires="x14">
            <control shapeId="95242" r:id="rId13" name="Button 10">
              <controlPr defaultSize="0" print="0" autoFill="0" autoPict="0" macro="[0]!goto_folder_settings">
                <anchor moveWithCells="1" sizeWithCells="1">
                  <from>
                    <xdr:col>17</xdr:col>
                    <xdr:colOff>838200</xdr:colOff>
                    <xdr:row>7</xdr:row>
                    <xdr:rowOff>146050</xdr:rowOff>
                  </from>
                  <to>
                    <xdr:col>18</xdr:col>
                    <xdr:colOff>482600</xdr:colOff>
                    <xdr:row>7</xdr:row>
                    <xdr:rowOff>533400</xdr:rowOff>
                  </to>
                </anchor>
              </controlPr>
            </control>
          </mc:Choice>
        </mc:AlternateContent>
        <mc:AlternateContent xmlns:mc="http://schemas.openxmlformats.org/markup-compatibility/2006">
          <mc:Choice Requires="x14">
            <control shapeId="95243" r:id="rId14" name="Button 11">
              <controlPr defaultSize="0" print="0" autoFill="0" autoPict="0" macro="[0]!email_pdf_launch">
                <anchor moveWithCells="1" sizeWithCells="1">
                  <from>
                    <xdr:col>16</xdr:col>
                    <xdr:colOff>914400</xdr:colOff>
                    <xdr:row>6</xdr:row>
                    <xdr:rowOff>0</xdr:rowOff>
                  </from>
                  <to>
                    <xdr:col>17</xdr:col>
                    <xdr:colOff>431800</xdr:colOff>
                    <xdr:row>7</xdr:row>
                    <xdr:rowOff>127000</xdr:rowOff>
                  </to>
                </anchor>
              </controlPr>
            </control>
          </mc:Choice>
        </mc:AlternateContent>
        <mc:AlternateContent xmlns:mc="http://schemas.openxmlformats.org/markup-compatibility/2006">
          <mc:Choice Requires="x14">
            <control shapeId="95244" r:id="rId15" name="Button 12">
              <controlPr defaultSize="0" print="0" autoFill="0" autoPict="0" macro="[0]!email_copy_as_excel">
                <anchor moveWithCells="1" sizeWithCells="1">
                  <from>
                    <xdr:col>16</xdr:col>
                    <xdr:colOff>69850</xdr:colOff>
                    <xdr:row>6</xdr:row>
                    <xdr:rowOff>0</xdr:rowOff>
                  </from>
                  <to>
                    <xdr:col>16</xdr:col>
                    <xdr:colOff>901700</xdr:colOff>
                    <xdr:row>7</xdr:row>
                    <xdr:rowOff>127000</xdr:rowOff>
                  </to>
                </anchor>
              </controlPr>
            </control>
          </mc:Choice>
        </mc:AlternateContent>
        <mc:AlternateContent xmlns:mc="http://schemas.openxmlformats.org/markup-compatibility/2006">
          <mc:Choice Requires="x14">
            <control shapeId="95245" r:id="rId16" name="Button 13">
              <controlPr defaultSize="0" print="0" autoFill="0" autoPict="0" macro="[0]!emailsettings">
                <anchor moveWithCells="1" sizeWithCells="1">
                  <from>
                    <xdr:col>17</xdr:col>
                    <xdr:colOff>444500</xdr:colOff>
                    <xdr:row>6</xdr:row>
                    <xdr:rowOff>0</xdr:rowOff>
                  </from>
                  <to>
                    <xdr:col>18</xdr:col>
                    <xdr:colOff>482600</xdr:colOff>
                    <xdr:row>7</xdr:row>
                    <xdr:rowOff>127000</xdr:rowOff>
                  </to>
                </anchor>
              </controlPr>
            </control>
          </mc:Choice>
        </mc:AlternateContent>
        <mc:AlternateContent xmlns:mc="http://schemas.openxmlformats.org/markup-compatibility/2006">
          <mc:Choice Requires="x14">
            <control shapeId="95246" r:id="rId17" name="Button 14">
              <controlPr defaultSize="0" print="0" autoFill="0" autoPict="0" macro="[0]!goto_advanced">
                <anchor moveWithCells="1" sizeWithCells="1">
                  <from>
                    <xdr:col>16</xdr:col>
                    <xdr:colOff>69850</xdr:colOff>
                    <xdr:row>15</xdr:row>
                    <xdr:rowOff>63500</xdr:rowOff>
                  </from>
                  <to>
                    <xdr:col>17</xdr:col>
                    <xdr:colOff>584200</xdr:colOff>
                    <xdr:row>18</xdr:row>
                    <xdr:rowOff>120650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6799-B76A-4ECF-AEFC-901C8DDFBED7}">
  <sheetPr codeName="Sheet123">
    <pageSetUpPr fitToPage="1"/>
  </sheetPr>
  <dimension ref="A1:AM63"/>
  <sheetViews>
    <sheetView showGridLines="0" zoomScaleNormal="100" workbookViewId="0">
      <selection activeCell="A3" sqref="A3"/>
    </sheetView>
  </sheetViews>
  <sheetFormatPr defaultColWidth="9.08984375" defaultRowHeight="12.5" x14ac:dyDescent="0.25"/>
  <cols>
    <col min="1" max="1" width="10.08984375" style="1493" customWidth="1"/>
    <col min="2" max="2" width="1.90625" style="1493" customWidth="1"/>
    <col min="3" max="3" width="11.54296875" style="1493" customWidth="1"/>
    <col min="4" max="4" width="11.6328125" style="1493" customWidth="1"/>
    <col min="5" max="5" width="13.08984375" style="1493" customWidth="1"/>
    <col min="6" max="6" width="13" style="1493" customWidth="1"/>
    <col min="7" max="7" width="12.08984375" style="1493" customWidth="1"/>
    <col min="8" max="8" width="8.08984375" style="1493" customWidth="1"/>
    <col min="9" max="9" width="11.90625" style="1493" customWidth="1"/>
    <col min="10" max="10" width="13.36328125" style="1493" customWidth="1"/>
    <col min="11" max="11" width="11.90625" style="1493" customWidth="1"/>
    <col min="12" max="13" width="12.54296875" style="1493" customWidth="1"/>
    <col min="14" max="14" width="13.36328125" style="1493" customWidth="1"/>
    <col min="15" max="15" width="1.6328125" style="1493" customWidth="1"/>
    <col min="16" max="16" width="1.90625" style="1493" customWidth="1"/>
    <col min="17" max="17" width="17" style="1493" customWidth="1"/>
    <col min="18" max="18" width="12.90625" style="1493" customWidth="1"/>
    <col min="19" max="19" width="9.08984375" style="1493"/>
    <col min="20" max="31" width="9.08984375" style="1493" hidden="1" customWidth="1"/>
    <col min="32" max="16384" width="9.08984375" style="1493"/>
  </cols>
  <sheetData>
    <row r="1" spans="1:39" ht="21" customHeight="1" x14ac:dyDescent="0.25">
      <c r="A1" s="2238"/>
      <c r="B1" s="2238"/>
      <c r="C1" s="2238"/>
      <c r="D1" s="2238"/>
      <c r="E1" s="2238"/>
      <c r="F1" s="2238"/>
      <c r="G1" s="2238"/>
      <c r="H1" s="2238"/>
      <c r="I1" s="2238"/>
      <c r="J1" s="2238"/>
      <c r="K1" s="2238"/>
      <c r="L1" s="2238"/>
      <c r="M1" s="2238"/>
      <c r="N1" s="2238"/>
      <c r="O1" s="2238"/>
      <c r="P1" s="2238"/>
      <c r="Q1" s="2238"/>
      <c r="R1" s="2238"/>
      <c r="S1" s="2238"/>
      <c r="T1" s="2238"/>
      <c r="U1" s="2238"/>
      <c r="V1" s="2238"/>
      <c r="W1" s="2238"/>
      <c r="X1" s="2238"/>
      <c r="Y1" s="2238"/>
      <c r="Z1" s="2238"/>
      <c r="AA1" s="2238"/>
      <c r="AB1" s="2238"/>
      <c r="AC1" s="2238"/>
      <c r="AD1" s="2238"/>
      <c r="AE1" s="2238"/>
      <c r="AF1" s="2238"/>
      <c r="AG1" s="2238"/>
      <c r="AH1" s="2238"/>
      <c r="AI1" s="2238"/>
      <c r="AJ1" s="2238"/>
      <c r="AK1" s="2238"/>
      <c r="AL1" s="2238"/>
      <c r="AM1" s="2238"/>
    </row>
    <row r="2" spans="1:39" ht="8.25" customHeight="1" x14ac:dyDescent="0.25">
      <c r="A2" s="2238"/>
      <c r="Q2" s="2238"/>
      <c r="R2" s="2238"/>
      <c r="S2" s="2238"/>
      <c r="AF2" s="2238"/>
      <c r="AG2" s="2238"/>
      <c r="AH2" s="2238"/>
      <c r="AI2" s="2238"/>
      <c r="AJ2" s="2238"/>
      <c r="AK2" s="2238"/>
      <c r="AL2" s="2238"/>
      <c r="AM2" s="2238"/>
    </row>
    <row r="3" spans="1:39" ht="15.5" x14ac:dyDescent="0.35">
      <c r="A3" s="2238"/>
      <c r="C3" s="2216" t="str">
        <f ca="1">"Detailed Liability Report (Advanced Revised) for the year "&amp;OFFSET(advanced!G87,U3,0)</f>
        <v xml:space="preserve">Detailed Liability Report (Advanced Revised) for the year 2025/26 </v>
      </c>
      <c r="D3" s="1966"/>
      <c r="E3" s="1966"/>
      <c r="F3" s="1966"/>
      <c r="G3" s="1966"/>
      <c r="H3" s="1966"/>
      <c r="I3" s="1966"/>
      <c r="J3" s="1966"/>
      <c r="K3" s="1966"/>
      <c r="L3" s="1966"/>
      <c r="M3" s="1966"/>
      <c r="N3" s="2216" t="str">
        <f>"Year "&amp;U3</f>
        <v>Year 3</v>
      </c>
      <c r="Q3" s="2238"/>
      <c r="R3" s="2238"/>
      <c r="S3" s="2238"/>
      <c r="T3" s="2158" t="s">
        <v>573</v>
      </c>
      <c r="U3" s="1961">
        <v>3</v>
      </c>
      <c r="V3" s="1945">
        <f>U3</f>
        <v>3</v>
      </c>
      <c r="W3" s="1945">
        <f>V3</f>
        <v>3</v>
      </c>
      <c r="X3" s="2236" t="s">
        <v>574</v>
      </c>
      <c r="Y3" s="2236"/>
      <c r="AF3" s="2238"/>
      <c r="AG3" s="2238"/>
      <c r="AH3" s="2238"/>
      <c r="AI3" s="2238"/>
      <c r="AJ3" s="2238"/>
      <c r="AK3" s="2238"/>
      <c r="AL3" s="2238"/>
      <c r="AM3" s="2238"/>
    </row>
    <row r="4" spans="1:39" ht="6.75" customHeight="1" x14ac:dyDescent="0.3">
      <c r="A4" s="2238"/>
      <c r="C4" s="1501"/>
      <c r="D4" s="1966"/>
      <c r="E4" s="1966"/>
      <c r="F4" s="1966"/>
      <c r="G4" s="1966"/>
      <c r="H4" s="1966"/>
      <c r="I4" s="1966"/>
      <c r="J4" s="1966"/>
      <c r="K4" s="1966"/>
      <c r="L4" s="1966"/>
      <c r="M4" s="1966"/>
      <c r="N4" s="1966"/>
      <c r="Q4" s="2238"/>
      <c r="R4" s="2238"/>
      <c r="S4" s="2238"/>
      <c r="T4" s="1564"/>
      <c r="U4" s="1564"/>
      <c r="V4" s="1564"/>
      <c r="W4" s="1564"/>
      <c r="AF4" s="2238"/>
      <c r="AG4" s="2238"/>
      <c r="AH4" s="2238"/>
      <c r="AI4" s="2238"/>
      <c r="AJ4" s="2238"/>
      <c r="AK4" s="2238"/>
      <c r="AL4" s="2238"/>
      <c r="AM4" s="2238"/>
    </row>
    <row r="5" spans="1:39" ht="13" x14ac:dyDescent="0.3">
      <c r="A5" s="2238"/>
      <c r="C5" s="1501" t="str">
        <f>advanced!F5</f>
        <v>Click Button Below to Enter Address</v>
      </c>
      <c r="D5" s="1966"/>
      <c r="E5" s="1966"/>
      <c r="F5" s="1966"/>
      <c r="G5" s="1966"/>
      <c r="H5" s="1966"/>
      <c r="I5" s="1966"/>
      <c r="J5" s="1966"/>
      <c r="K5" s="1966"/>
      <c r="L5" s="1966"/>
      <c r="M5" s="1966"/>
      <c r="N5" s="1966"/>
      <c r="Q5" s="2238"/>
      <c r="R5" s="2238"/>
      <c r="S5" s="2238"/>
      <c r="T5" s="1564"/>
      <c r="U5" s="1564"/>
      <c r="V5" s="1564"/>
      <c r="W5" s="1564"/>
      <c r="AF5" s="2238"/>
      <c r="AG5" s="2238"/>
      <c r="AH5" s="2238"/>
      <c r="AI5" s="2238"/>
      <c r="AJ5" s="2238"/>
      <c r="AK5" s="2238"/>
      <c r="AL5" s="2238"/>
      <c r="AM5" s="2238"/>
    </row>
    <row r="6" spans="1:39" ht="7.5" customHeight="1" x14ac:dyDescent="0.25">
      <c r="A6" s="2238"/>
      <c r="C6" s="1966"/>
      <c r="D6" s="1966"/>
      <c r="E6" s="1966"/>
      <c r="F6" s="1966"/>
      <c r="G6" s="1966"/>
      <c r="H6" s="1966"/>
      <c r="I6" s="1966"/>
      <c r="J6" s="1966"/>
      <c r="K6" s="1966"/>
      <c r="L6" s="1966"/>
      <c r="M6" s="1966"/>
      <c r="N6" s="1966"/>
      <c r="Q6" s="2238"/>
      <c r="R6" s="2238"/>
      <c r="S6" s="2238"/>
      <c r="T6" s="1564"/>
      <c r="U6" s="1564"/>
      <c r="V6" s="1564"/>
      <c r="W6" s="1564"/>
      <c r="AF6" s="2238"/>
      <c r="AG6" s="2238"/>
      <c r="AH6" s="2238"/>
      <c r="AI6" s="2238"/>
      <c r="AJ6" s="2238"/>
      <c r="AK6" s="2238"/>
      <c r="AL6" s="2238"/>
      <c r="AM6" s="2238"/>
    </row>
    <row r="7" spans="1:39" ht="13" x14ac:dyDescent="0.3">
      <c r="A7" s="2238"/>
      <c r="C7" s="1501"/>
      <c r="D7" s="1966" t="s">
        <v>1843</v>
      </c>
      <c r="E7" s="2011">
        <f ca="1">OFFSET(data!C12,U3,0)</f>
        <v>365</v>
      </c>
      <c r="F7" s="1966"/>
      <c r="G7" s="1966"/>
      <c r="H7" s="1966"/>
      <c r="I7" s="1966"/>
      <c r="J7" s="1966"/>
      <c r="K7" s="1966"/>
      <c r="L7" s="1966"/>
      <c r="M7" s="1966"/>
      <c r="N7" s="1966"/>
      <c r="Q7" s="2238"/>
      <c r="R7" s="2238"/>
      <c r="S7" s="2238"/>
      <c r="T7" s="1564"/>
      <c r="U7" s="1564"/>
      <c r="V7" s="1564"/>
      <c r="W7" s="1564"/>
      <c r="AF7" s="2238"/>
      <c r="AG7" s="2238"/>
      <c r="AH7" s="2238"/>
      <c r="AI7" s="2238"/>
      <c r="AJ7" s="2238"/>
      <c r="AK7" s="2238"/>
      <c r="AL7" s="2238"/>
      <c r="AM7" s="2238"/>
    </row>
    <row r="8" spans="1:39" s="2106" customFormat="1" ht="55.5" customHeight="1" x14ac:dyDescent="0.3">
      <c r="A8" s="2239"/>
      <c r="C8" s="2218" t="s">
        <v>1844</v>
      </c>
      <c r="D8" s="2218" t="s">
        <v>1845</v>
      </c>
      <c r="E8" s="2218" t="s">
        <v>324</v>
      </c>
      <c r="F8" s="2218" t="s">
        <v>272</v>
      </c>
      <c r="G8" s="2218" t="s">
        <v>915</v>
      </c>
      <c r="H8" s="2218" t="s">
        <v>112</v>
      </c>
      <c r="I8" s="2219" t="s">
        <v>1846</v>
      </c>
      <c r="J8" s="2218" t="str">
        <f ca="1">"RV x SBNDRM / "&amp;E7&amp;" x days"</f>
        <v>RV x SBNDRM / 365 x days</v>
      </c>
      <c r="K8" s="2218" t="str">
        <f>"SB Supplement is RV x "&amp;'info sheet'!E12</f>
        <v>SB Supplement is RV x 0.056</v>
      </c>
      <c r="L8" s="2218" t="str">
        <f>"City of London Supplement"</f>
        <v>City of London Supplement</v>
      </c>
      <c r="M8" s="2218" t="s">
        <v>1847</v>
      </c>
      <c r="N8" s="2218" t="s">
        <v>1848</v>
      </c>
      <c r="P8" s="1493"/>
      <c r="Q8" s="2238"/>
      <c r="R8" s="2238"/>
      <c r="S8" s="2238"/>
      <c r="T8" s="1564"/>
      <c r="U8" s="1571" t="s">
        <v>581</v>
      </c>
      <c r="V8" s="1571" t="s">
        <v>321</v>
      </c>
      <c r="W8" s="1571" t="s">
        <v>572</v>
      </c>
      <c r="X8" s="1591" t="s">
        <v>2812</v>
      </c>
      <c r="Y8" s="1591" t="s">
        <v>2813</v>
      </c>
      <c r="Z8" s="1597" t="s">
        <v>575</v>
      </c>
      <c r="AA8" s="1597" t="s">
        <v>576</v>
      </c>
      <c r="AB8" s="1597" t="s">
        <v>577</v>
      </c>
      <c r="AC8" s="1591" t="s">
        <v>596</v>
      </c>
      <c r="AD8" s="1493"/>
      <c r="AE8" s="1493"/>
      <c r="AF8" s="2238"/>
      <c r="AG8" s="2238"/>
      <c r="AH8" s="2238"/>
      <c r="AI8" s="2238"/>
      <c r="AJ8" s="2238"/>
      <c r="AK8" s="2238"/>
      <c r="AL8" s="2238"/>
      <c r="AM8" s="2238"/>
    </row>
    <row r="9" spans="1:39" ht="17.25" customHeight="1" x14ac:dyDescent="0.3">
      <c r="A9" s="2238"/>
      <c r="C9" s="2192">
        <f>IF(workings2!G29&lt;workings2!F29,"",workings2!F29)</f>
        <v>45748</v>
      </c>
      <c r="D9" s="2192">
        <f>IF(workings2!G29&lt;workings2!F29,"",workings2!G29)</f>
        <v>46112</v>
      </c>
      <c r="E9" s="2200">
        <f>IF(D9&lt;&gt;"",workings2!H29,"")</f>
        <v>365</v>
      </c>
      <c r="F9" s="1649">
        <f ca="1">IF(D9&lt;&gt;"",workings2x!L29,"")</f>
        <v>0</v>
      </c>
      <c r="G9" s="2220">
        <f ca="1">IF(D9="","",workings2!S29)</f>
        <v>1</v>
      </c>
      <c r="H9" s="1649" t="str">
        <f ca="1">IF(D9="","",workings2!AF29)</f>
        <v>n</v>
      </c>
      <c r="I9" s="2200">
        <f>IF(D9="","",workings2!P29)</f>
        <v>0.499</v>
      </c>
      <c r="J9" s="1648">
        <f t="shared" ref="J9:J20" ca="1" si="0">IF(F9="","", IF(E9=0,0,F9*I9/$E$7*E9))</f>
        <v>0</v>
      </c>
      <c r="K9" s="1648">
        <f ca="1">IF(D9="","",workings2x!Y29)</f>
        <v>0</v>
      </c>
      <c r="L9" s="1648">
        <f ca="1">IF(D9="","",F9*U9/$E$7*E9*workings2x!$AC$2)</f>
        <v>0</v>
      </c>
      <c r="M9" s="1648">
        <f ca="1">IF(D9="","",workings2x!Z29)</f>
        <v>0</v>
      </c>
      <c r="N9" s="2221">
        <f t="shared" ref="N9:N20" ca="1" si="1">IF(D9="","",SUM(J9:M9))</f>
        <v>0</v>
      </c>
      <c r="P9" s="2222"/>
      <c r="Q9" s="2238"/>
      <c r="R9" s="2238"/>
      <c r="S9" s="2238"/>
      <c r="T9" s="1564"/>
      <c r="U9" s="1945">
        <f ca="1">OFFSET('info sheet'!$G$9,$U$3,0)-X9</f>
        <v>0.02</v>
      </c>
      <c r="V9" s="1945">
        <f ca="1">OFFSET('info sheet'!H9,V3,0)</f>
        <v>0.02</v>
      </c>
      <c r="W9" s="1945">
        <f ca="1">OFFSET('info sheet'!E9,W3,0)</f>
        <v>5.600000000000005E-2</v>
      </c>
      <c r="X9" s="1564">
        <f ca="1">workings1!$CW$4*Y9</f>
        <v>1.9999999999999983E-3</v>
      </c>
      <c r="Y9" s="1564" t="b">
        <f ca="1">F9&lt;AC9</f>
        <v>1</v>
      </c>
      <c r="Z9" s="2237" t="str">
        <f>VLOOKUP(U3,text!A8:E16,5,FALSE)</f>
        <v>2025</v>
      </c>
      <c r="AA9" s="2237" t="str">
        <f>VLOOKUP(U3+1,text!A8:E16,5,FALSE)</f>
        <v>2026</v>
      </c>
      <c r="AB9" s="2237" t="str">
        <f>VLOOKUP(U3-1,text!A8:E16,5,FALSE)</f>
        <v>2024</v>
      </c>
      <c r="AC9" s="1564">
        <f>workings1!CV4</f>
        <v>51000</v>
      </c>
      <c r="AF9" s="2238"/>
      <c r="AG9" s="2238"/>
      <c r="AH9" s="2238"/>
      <c r="AI9" s="2238"/>
      <c r="AJ9" s="2238"/>
      <c r="AK9" s="2238"/>
      <c r="AL9" s="2238"/>
      <c r="AM9" s="2238"/>
    </row>
    <row r="10" spans="1:39" ht="13" x14ac:dyDescent="0.3">
      <c r="A10" s="2238"/>
      <c r="C10" s="2192" t="str">
        <f>IF(workings2!G30&lt;workings2!F30,"",workings2!F30)</f>
        <v/>
      </c>
      <c r="D10" s="2192" t="str">
        <f>IF(workings2!G30&lt;workings2!F30,"",workings2!G30)</f>
        <v/>
      </c>
      <c r="E10" s="2200" t="str">
        <f>IF(D10&lt;&gt;"",workings2!H30,"")</f>
        <v/>
      </c>
      <c r="F10" s="1649" t="str">
        <f>IF(D10&lt;&gt;"",workings2x!L30,"")</f>
        <v/>
      </c>
      <c r="G10" s="2220" t="str">
        <f>IF(D10="","",workings2!S30)</f>
        <v/>
      </c>
      <c r="H10" s="1649" t="str">
        <f>IF(D10="","",workings2!AF30)</f>
        <v/>
      </c>
      <c r="I10" s="2200" t="str">
        <f>IF(D10="","",workings2!P30)</f>
        <v/>
      </c>
      <c r="J10" s="1648" t="str">
        <f t="shared" si="0"/>
        <v/>
      </c>
      <c r="K10" s="1648" t="str">
        <f>IF(D10="","",workings2x!Y30)</f>
        <v/>
      </c>
      <c r="L10" s="1648" t="str">
        <f>IF(D10="","",F10*U10/$E$7*E10*workings2x!$AC$2)</f>
        <v/>
      </c>
      <c r="M10" s="1648" t="str">
        <f>IF(D10="","",workings2x!Z30)</f>
        <v/>
      </c>
      <c r="N10" s="2221" t="str">
        <f t="shared" si="1"/>
        <v/>
      </c>
      <c r="P10" s="2222"/>
      <c r="Q10" s="2238"/>
      <c r="R10" s="2238"/>
      <c r="S10" s="2238"/>
      <c r="T10" s="1564"/>
      <c r="U10" s="1571">
        <f ca="1">OFFSET('info sheet'!$G$9,$U$3,0)-X10</f>
        <v>2.1999999999999999E-2</v>
      </c>
      <c r="V10" s="1571">
        <f t="shared" ref="V10:V20" ca="1" si="2">V9</f>
        <v>0.02</v>
      </c>
      <c r="W10" s="1571">
        <f t="shared" ref="W10:W20" ca="1" si="3">W9</f>
        <v>5.600000000000005E-2</v>
      </c>
      <c r="X10" s="1564">
        <f>workings1!$CW$4*Y10</f>
        <v>0</v>
      </c>
      <c r="Y10" s="1564" t="b">
        <f t="shared" ref="Y10:Y20" si="4">F10&lt;AC10</f>
        <v>0</v>
      </c>
      <c r="AC10" s="1564">
        <f>AC9</f>
        <v>51000</v>
      </c>
      <c r="AF10" s="2238"/>
      <c r="AG10" s="2238"/>
      <c r="AH10" s="2238"/>
      <c r="AI10" s="2238"/>
      <c r="AJ10" s="2238"/>
      <c r="AK10" s="2238"/>
      <c r="AL10" s="2238"/>
      <c r="AM10" s="2238"/>
    </row>
    <row r="11" spans="1:39" ht="13" x14ac:dyDescent="0.3">
      <c r="A11" s="2238"/>
      <c r="C11" s="2192" t="str">
        <f>IF(workings2!G31&lt;workings2!F31,"",workings2!F31)</f>
        <v/>
      </c>
      <c r="D11" s="2192" t="str">
        <f>IF(workings2!G31&lt;workings2!F31,"",workings2!G31)</f>
        <v/>
      </c>
      <c r="E11" s="2200" t="str">
        <f>IF(D11&lt;&gt;"",workings2!H31,"")</f>
        <v/>
      </c>
      <c r="F11" s="1649" t="str">
        <f>IF(D11&lt;&gt;"",workings2x!L31,"")</f>
        <v/>
      </c>
      <c r="G11" s="2220" t="str">
        <f>IF(D11="","",workings2!S31)</f>
        <v/>
      </c>
      <c r="H11" s="1649" t="str">
        <f>IF(D11="","",workings2!AF31)</f>
        <v/>
      </c>
      <c r="I11" s="2200" t="str">
        <f>IF(D11="","",workings2!P31)</f>
        <v/>
      </c>
      <c r="J11" s="1648" t="str">
        <f t="shared" si="0"/>
        <v/>
      </c>
      <c r="K11" s="1648" t="str">
        <f>IF(D11="","",workings2x!Y31)</f>
        <v/>
      </c>
      <c r="L11" s="1648" t="str">
        <f>IF(D11="","",F11*U11/$E$7*E11*workings2x!$AC$2)</f>
        <v/>
      </c>
      <c r="M11" s="1648" t="str">
        <f>IF(D11="","",workings2x!Z31)</f>
        <v/>
      </c>
      <c r="N11" s="2221" t="str">
        <f t="shared" si="1"/>
        <v/>
      </c>
      <c r="P11" s="2222"/>
      <c r="Q11" s="2238"/>
      <c r="R11" s="2238"/>
      <c r="S11" s="2238"/>
      <c r="T11" s="1564"/>
      <c r="U11" s="1571">
        <f ca="1">OFFSET('info sheet'!$G$9,$U$3,0)-X11</f>
        <v>2.1999999999999999E-2</v>
      </c>
      <c r="V11" s="1571">
        <f t="shared" ca="1" si="2"/>
        <v>0.02</v>
      </c>
      <c r="W11" s="1571">
        <f t="shared" ca="1" si="3"/>
        <v>5.600000000000005E-2</v>
      </c>
      <c r="X11" s="1564">
        <f>workings1!$CW$4*Y11</f>
        <v>0</v>
      </c>
      <c r="Y11" s="1564" t="b">
        <f t="shared" si="4"/>
        <v>0</v>
      </c>
      <c r="AC11" s="1564">
        <f t="shared" ref="AC11:AC20" si="5">AC10</f>
        <v>51000</v>
      </c>
      <c r="AF11" s="2238"/>
      <c r="AG11" s="2238"/>
      <c r="AH11" s="2238"/>
      <c r="AI11" s="2238"/>
      <c r="AJ11" s="2238"/>
      <c r="AK11" s="2238"/>
      <c r="AL11" s="2238"/>
      <c r="AM11" s="2238"/>
    </row>
    <row r="12" spans="1:39" ht="13" x14ac:dyDescent="0.3">
      <c r="A12" s="2238"/>
      <c r="C12" s="2192" t="str">
        <f>IF(workings2!G32&lt;workings2!F32,"",workings2!F32)</f>
        <v/>
      </c>
      <c r="D12" s="2192" t="str">
        <f>IF(workings2!G32&lt;workings2!F32,"",workings2!G32)</f>
        <v/>
      </c>
      <c r="E12" s="2200" t="str">
        <f>IF(D12&lt;&gt;"",workings2!H32,"")</f>
        <v/>
      </c>
      <c r="F12" s="1649" t="str">
        <f>IF(D12&lt;&gt;"",workings2x!L32,"")</f>
        <v/>
      </c>
      <c r="G12" s="2220" t="str">
        <f>IF(D12="","",workings2!S32)</f>
        <v/>
      </c>
      <c r="H12" s="1649" t="str">
        <f>IF(D12="","",workings2!AF32)</f>
        <v/>
      </c>
      <c r="I12" s="2200" t="str">
        <f>IF(D12="","",workings2!P32)</f>
        <v/>
      </c>
      <c r="J12" s="1648" t="str">
        <f t="shared" si="0"/>
        <v/>
      </c>
      <c r="K12" s="1648" t="str">
        <f>IF(D12="","",workings2x!Y32)</f>
        <v/>
      </c>
      <c r="L12" s="1648" t="str">
        <f>IF(D12="","",F12*U12/$E$7*E12*workings2x!$AC$2)</f>
        <v/>
      </c>
      <c r="M12" s="1648" t="str">
        <f>IF(D12="","",workings2x!Z32)</f>
        <v/>
      </c>
      <c r="N12" s="2221" t="str">
        <f t="shared" si="1"/>
        <v/>
      </c>
      <c r="P12" s="2222"/>
      <c r="Q12" s="2238"/>
      <c r="R12" s="2238"/>
      <c r="S12" s="2238"/>
      <c r="T12" s="1564"/>
      <c r="U12" s="1571">
        <f ca="1">OFFSET('info sheet'!$G$9,$U$3,0)-X12</f>
        <v>2.1999999999999999E-2</v>
      </c>
      <c r="V12" s="1571">
        <f t="shared" ca="1" si="2"/>
        <v>0.02</v>
      </c>
      <c r="W12" s="1571">
        <f t="shared" ca="1" si="3"/>
        <v>5.600000000000005E-2</v>
      </c>
      <c r="X12" s="1564">
        <f>workings1!$CW$4*Y12</f>
        <v>0</v>
      </c>
      <c r="Y12" s="1564" t="b">
        <f t="shared" si="4"/>
        <v>0</v>
      </c>
      <c r="AC12" s="1564">
        <f t="shared" si="5"/>
        <v>51000</v>
      </c>
      <c r="AF12" s="2238"/>
      <c r="AG12" s="2238"/>
      <c r="AH12" s="2238"/>
      <c r="AI12" s="2238"/>
      <c r="AJ12" s="2238"/>
      <c r="AK12" s="2238"/>
      <c r="AL12" s="2238"/>
      <c r="AM12" s="2238"/>
    </row>
    <row r="13" spans="1:39" ht="13" x14ac:dyDescent="0.3">
      <c r="A13" s="2238"/>
      <c r="C13" s="2192" t="str">
        <f>IF(workings2!G33&lt;workings2!F33,"",workings2!F33)</f>
        <v/>
      </c>
      <c r="D13" s="2192" t="str">
        <f>IF(workings2!G33&lt;workings2!F33,"",workings2!G33)</f>
        <v/>
      </c>
      <c r="E13" s="2200" t="str">
        <f>IF(D13&lt;&gt;"",workings2!H33,"")</f>
        <v/>
      </c>
      <c r="F13" s="1649" t="str">
        <f>IF(D13&lt;&gt;"",workings2x!L33,"")</f>
        <v/>
      </c>
      <c r="G13" s="2220" t="str">
        <f>IF(D13="","",workings2!S33)</f>
        <v/>
      </c>
      <c r="H13" s="1649" t="str">
        <f>IF(D13="","",workings2!AF33)</f>
        <v/>
      </c>
      <c r="I13" s="2200" t="str">
        <f>IF(D13="","",workings2!P33)</f>
        <v/>
      </c>
      <c r="J13" s="1648" t="str">
        <f t="shared" si="0"/>
        <v/>
      </c>
      <c r="K13" s="1648" t="str">
        <f>IF(D13="","",workings2x!Y33)</f>
        <v/>
      </c>
      <c r="L13" s="1648" t="str">
        <f>IF(D13="","",F13*U13/$E$7*E13*workings2x!$AC$2)</f>
        <v/>
      </c>
      <c r="M13" s="1648" t="str">
        <f>IF(D13="","",workings2x!Z33)</f>
        <v/>
      </c>
      <c r="N13" s="2221" t="str">
        <f t="shared" si="1"/>
        <v/>
      </c>
      <c r="P13" s="2222"/>
      <c r="Q13" s="2238"/>
      <c r="R13" s="2238"/>
      <c r="S13" s="2238"/>
      <c r="T13" s="1564"/>
      <c r="U13" s="1571">
        <f ca="1">OFFSET('info sheet'!$G$9,$U$3,0)-X13</f>
        <v>2.1999999999999999E-2</v>
      </c>
      <c r="V13" s="1571">
        <f t="shared" ca="1" si="2"/>
        <v>0.02</v>
      </c>
      <c r="W13" s="1571">
        <f t="shared" ca="1" si="3"/>
        <v>5.600000000000005E-2</v>
      </c>
      <c r="X13" s="1564">
        <f>workings1!$CW$4*Y13</f>
        <v>0</v>
      </c>
      <c r="Y13" s="1564" t="b">
        <f t="shared" si="4"/>
        <v>0</v>
      </c>
      <c r="AC13" s="1564">
        <f t="shared" si="5"/>
        <v>51000</v>
      </c>
      <c r="AF13" s="2238"/>
      <c r="AG13" s="2238"/>
      <c r="AH13" s="2238"/>
      <c r="AI13" s="2238"/>
      <c r="AJ13" s="2238"/>
      <c r="AK13" s="2238"/>
      <c r="AL13" s="2238"/>
      <c r="AM13" s="2238"/>
    </row>
    <row r="14" spans="1:39" ht="13" x14ac:dyDescent="0.3">
      <c r="A14" s="2238"/>
      <c r="C14" s="2192" t="str">
        <f>IF(workings2!G34&lt;workings2!F34,"",workings2!F34)</f>
        <v/>
      </c>
      <c r="D14" s="2192" t="str">
        <f>IF(workings2!G34&lt;workings2!F34,"",workings2!G34)</f>
        <v/>
      </c>
      <c r="E14" s="2200" t="str">
        <f>IF(D14&lt;&gt;"",workings2!H34,"")</f>
        <v/>
      </c>
      <c r="F14" s="1649" t="str">
        <f>IF(D14&lt;&gt;"",workings2x!L34,"")</f>
        <v/>
      </c>
      <c r="G14" s="2220" t="str">
        <f>IF(D14="","",workings2!S34)</f>
        <v/>
      </c>
      <c r="H14" s="1649" t="str">
        <f>IF(D14="","",workings2!AF34)</f>
        <v/>
      </c>
      <c r="I14" s="2200" t="str">
        <f>IF(D14="","",workings2!P34)</f>
        <v/>
      </c>
      <c r="J14" s="1648" t="str">
        <f t="shared" si="0"/>
        <v/>
      </c>
      <c r="K14" s="1648" t="str">
        <f>IF(D14="","",workings2x!Y34)</f>
        <v/>
      </c>
      <c r="L14" s="1648" t="str">
        <f>IF(D14="","",F14*U14/$E$7*E14*workings2x!$AC$2)</f>
        <v/>
      </c>
      <c r="M14" s="1648" t="str">
        <f>IF(D14="","",workings2x!Z34)</f>
        <v/>
      </c>
      <c r="N14" s="2221" t="str">
        <f t="shared" si="1"/>
        <v/>
      </c>
      <c r="P14" s="2222"/>
      <c r="Q14" s="2238"/>
      <c r="R14" s="2238"/>
      <c r="S14" s="2238"/>
      <c r="T14" s="1564"/>
      <c r="U14" s="1571">
        <f ca="1">OFFSET('info sheet'!$G$9,$U$3,0)-X14</f>
        <v>2.1999999999999999E-2</v>
      </c>
      <c r="V14" s="1571">
        <f t="shared" ca="1" si="2"/>
        <v>0.02</v>
      </c>
      <c r="W14" s="1571">
        <f t="shared" ca="1" si="3"/>
        <v>5.600000000000005E-2</v>
      </c>
      <c r="X14" s="1564">
        <f>workings1!$CW$4*Y14</f>
        <v>0</v>
      </c>
      <c r="Y14" s="1564" t="b">
        <f t="shared" si="4"/>
        <v>0</v>
      </c>
      <c r="AC14" s="1564">
        <f t="shared" si="5"/>
        <v>51000</v>
      </c>
      <c r="AF14" s="2238"/>
      <c r="AG14" s="2238"/>
      <c r="AH14" s="2238"/>
      <c r="AI14" s="2238"/>
      <c r="AJ14" s="2238"/>
      <c r="AK14" s="2238"/>
      <c r="AL14" s="2238"/>
      <c r="AM14" s="2238"/>
    </row>
    <row r="15" spans="1:39" ht="13" x14ac:dyDescent="0.3">
      <c r="A15" s="2238"/>
      <c r="C15" s="2192" t="str">
        <f>IF(workings2!G35&lt;workings2!F35,"",workings2!F35)</f>
        <v/>
      </c>
      <c r="D15" s="2192" t="str">
        <f>IF(workings2!G35&lt;workings2!F35,"",workings2!G35)</f>
        <v/>
      </c>
      <c r="E15" s="2200" t="str">
        <f>IF(D15&lt;&gt;"",workings2!H35,"")</f>
        <v/>
      </c>
      <c r="F15" s="1649" t="str">
        <f>IF(D15&lt;&gt;"",workings2x!L35,"")</f>
        <v/>
      </c>
      <c r="G15" s="2220" t="str">
        <f>IF(D15="","",workings2!S35)</f>
        <v/>
      </c>
      <c r="H15" s="1649" t="str">
        <f>IF(D15="","",workings2!AF35)</f>
        <v/>
      </c>
      <c r="I15" s="2200" t="str">
        <f>IF(D15="","",workings2!P35)</f>
        <v/>
      </c>
      <c r="J15" s="1648" t="str">
        <f t="shared" si="0"/>
        <v/>
      </c>
      <c r="K15" s="1648" t="str">
        <f>IF(D15="","",workings2x!Y35)</f>
        <v/>
      </c>
      <c r="L15" s="1648" t="str">
        <f>IF(D15="","",F15*U15/$E$7*E15*workings2x!$AC$2)</f>
        <v/>
      </c>
      <c r="M15" s="1648" t="str">
        <f>IF(D15="","",workings2x!Z35)</f>
        <v/>
      </c>
      <c r="N15" s="2221" t="str">
        <f t="shared" si="1"/>
        <v/>
      </c>
      <c r="P15" s="2222"/>
      <c r="Q15" s="2238"/>
      <c r="R15" s="2238"/>
      <c r="S15" s="2238"/>
      <c r="T15" s="1564"/>
      <c r="U15" s="1571">
        <f ca="1">OFFSET('info sheet'!$G$9,$U$3,0)-X15</f>
        <v>2.1999999999999999E-2</v>
      </c>
      <c r="V15" s="1571">
        <f t="shared" ca="1" si="2"/>
        <v>0.02</v>
      </c>
      <c r="W15" s="1571">
        <f t="shared" ca="1" si="3"/>
        <v>5.600000000000005E-2</v>
      </c>
      <c r="X15" s="1564">
        <f>workings1!$CW$4*Y15</f>
        <v>0</v>
      </c>
      <c r="Y15" s="1564" t="b">
        <f t="shared" si="4"/>
        <v>0</v>
      </c>
      <c r="AC15" s="1564">
        <f t="shared" si="5"/>
        <v>51000</v>
      </c>
      <c r="AF15" s="2238"/>
      <c r="AG15" s="2238"/>
      <c r="AH15" s="2238"/>
      <c r="AI15" s="2238"/>
      <c r="AJ15" s="2238"/>
      <c r="AK15" s="2238"/>
      <c r="AL15" s="2238"/>
      <c r="AM15" s="2238"/>
    </row>
    <row r="16" spans="1:39" ht="13" x14ac:dyDescent="0.3">
      <c r="A16" s="2238"/>
      <c r="C16" s="2192" t="str">
        <f>IF(workings2!G36&lt;workings2!F36,"",workings2!F36)</f>
        <v/>
      </c>
      <c r="D16" s="2192" t="str">
        <f>IF(workings2!G36&lt;workings2!F36,"",workings2!G36)</f>
        <v/>
      </c>
      <c r="E16" s="2200" t="str">
        <f>IF(D16&lt;&gt;"",workings2!H36,"")</f>
        <v/>
      </c>
      <c r="F16" s="1649" t="str">
        <f>IF(D16&lt;&gt;"",workings2x!L36,"")</f>
        <v/>
      </c>
      <c r="G16" s="2220" t="str">
        <f>IF(D16="","",workings2!S36)</f>
        <v/>
      </c>
      <c r="H16" s="1649" t="str">
        <f>IF(D16="","",workings2!AF36)</f>
        <v/>
      </c>
      <c r="I16" s="2200" t="str">
        <f>IF(D16="","",workings2!P36)</f>
        <v/>
      </c>
      <c r="J16" s="1648" t="str">
        <f t="shared" si="0"/>
        <v/>
      </c>
      <c r="K16" s="1648" t="str">
        <f>IF(D16="","",workings2x!Y36)</f>
        <v/>
      </c>
      <c r="L16" s="1648" t="str">
        <f>IF(D16="","",F16*U16/$E$7*E16*workings2x!$AC$2)</f>
        <v/>
      </c>
      <c r="M16" s="1648" t="str">
        <f>IF(D16="","",workings2x!Z36)</f>
        <v/>
      </c>
      <c r="N16" s="2221" t="str">
        <f t="shared" si="1"/>
        <v/>
      </c>
      <c r="P16" s="2222"/>
      <c r="Q16" s="2238"/>
      <c r="R16" s="2238"/>
      <c r="S16" s="2238"/>
      <c r="T16" s="1564"/>
      <c r="U16" s="1571">
        <f ca="1">OFFSET('info sheet'!$G$9,$U$3,0)-X16</f>
        <v>2.1999999999999999E-2</v>
      </c>
      <c r="V16" s="1571">
        <f t="shared" ca="1" si="2"/>
        <v>0.02</v>
      </c>
      <c r="W16" s="1571">
        <f t="shared" ca="1" si="3"/>
        <v>5.600000000000005E-2</v>
      </c>
      <c r="X16" s="1564">
        <f>workings1!$CW$4*Y16</f>
        <v>0</v>
      </c>
      <c r="Y16" s="1564" t="b">
        <f t="shared" si="4"/>
        <v>0</v>
      </c>
      <c r="AC16" s="1564">
        <f t="shared" si="5"/>
        <v>51000</v>
      </c>
      <c r="AF16" s="2238"/>
      <c r="AG16" s="2238"/>
      <c r="AH16" s="2238"/>
      <c r="AI16" s="2238"/>
      <c r="AJ16" s="2238"/>
      <c r="AK16" s="2238"/>
      <c r="AL16" s="2238"/>
      <c r="AM16" s="2238"/>
    </row>
    <row r="17" spans="1:39" ht="13" x14ac:dyDescent="0.3">
      <c r="A17" s="2238"/>
      <c r="C17" s="2192" t="str">
        <f>IF(workings2!G37&lt;workings2!F37,"",workings2!F37)</f>
        <v/>
      </c>
      <c r="D17" s="2192" t="str">
        <f>IF(workings2!G37&lt;workings2!F37,"",workings2!G37)</f>
        <v/>
      </c>
      <c r="E17" s="2200" t="str">
        <f>IF(D17&lt;&gt;"",workings2!H37,"")</f>
        <v/>
      </c>
      <c r="F17" s="1649" t="str">
        <f>IF(D17&lt;&gt;"",workings2x!L37,"")</f>
        <v/>
      </c>
      <c r="G17" s="2220" t="str">
        <f>IF(D17="","",workings2!S37)</f>
        <v/>
      </c>
      <c r="H17" s="1649" t="str">
        <f>IF(D17="","",workings2!AF37)</f>
        <v/>
      </c>
      <c r="I17" s="2200" t="str">
        <f>IF(D17="","",workings2!P37)</f>
        <v/>
      </c>
      <c r="J17" s="1648" t="str">
        <f t="shared" si="0"/>
        <v/>
      </c>
      <c r="K17" s="1648" t="str">
        <f>IF(D17="","",workings2x!Y37)</f>
        <v/>
      </c>
      <c r="L17" s="1648" t="str">
        <f>IF(D17="","",F17*U17/$E$7*E17*workings2x!$AC$2)</f>
        <v/>
      </c>
      <c r="M17" s="1648" t="str">
        <f>IF(D17="","",workings2x!Z37)</f>
        <v/>
      </c>
      <c r="N17" s="2221" t="str">
        <f t="shared" si="1"/>
        <v/>
      </c>
      <c r="P17" s="2222"/>
      <c r="Q17" s="2238"/>
      <c r="R17" s="2238"/>
      <c r="S17" s="2238"/>
      <c r="T17" s="1564"/>
      <c r="U17" s="1571">
        <f ca="1">OFFSET('info sheet'!$G$9,$U$3,0)-X17</f>
        <v>2.1999999999999999E-2</v>
      </c>
      <c r="V17" s="1571">
        <f t="shared" ca="1" si="2"/>
        <v>0.02</v>
      </c>
      <c r="W17" s="1571">
        <f t="shared" ca="1" si="3"/>
        <v>5.600000000000005E-2</v>
      </c>
      <c r="X17" s="1564">
        <f>workings1!$CW$4*Y17</f>
        <v>0</v>
      </c>
      <c r="Y17" s="1564" t="b">
        <f t="shared" si="4"/>
        <v>0</v>
      </c>
      <c r="AC17" s="1564">
        <f t="shared" si="5"/>
        <v>51000</v>
      </c>
      <c r="AF17" s="2238"/>
      <c r="AG17" s="2238"/>
      <c r="AH17" s="2238"/>
      <c r="AI17" s="2238"/>
      <c r="AJ17" s="2238"/>
      <c r="AK17" s="2238"/>
      <c r="AL17" s="2238"/>
      <c r="AM17" s="2238"/>
    </row>
    <row r="18" spans="1:39" ht="13" x14ac:dyDescent="0.3">
      <c r="A18" s="2238"/>
      <c r="C18" s="2192" t="str">
        <f>IF(workings2!G38&lt;workings2!F38,"",workings2!F38)</f>
        <v/>
      </c>
      <c r="D18" s="2192" t="str">
        <f>IF(workings2!G38&lt;workings2!F38,"",workings2!G38)</f>
        <v/>
      </c>
      <c r="E18" s="2200" t="str">
        <f>IF(D18&lt;&gt;"",workings2!H38,"")</f>
        <v/>
      </c>
      <c r="F18" s="1649" t="str">
        <f>IF(D18&lt;&gt;"",workings2x!L38,"")</f>
        <v/>
      </c>
      <c r="G18" s="2220" t="str">
        <f>IF(D18="","",workings2!S38)</f>
        <v/>
      </c>
      <c r="H18" s="1649" t="str">
        <f>IF(D18="","",workings2!AF38)</f>
        <v/>
      </c>
      <c r="I18" s="2200" t="str">
        <f>IF(D18="","",workings2!P38)</f>
        <v/>
      </c>
      <c r="J18" s="1648" t="str">
        <f t="shared" si="0"/>
        <v/>
      </c>
      <c r="K18" s="1648" t="str">
        <f>IF(D18="","",workings2x!Y38)</f>
        <v/>
      </c>
      <c r="L18" s="1648" t="str">
        <f>IF(D18="","",F18*U18/$E$7*E18*workings2x!$AC$2)</f>
        <v/>
      </c>
      <c r="M18" s="1648" t="str">
        <f>IF(D18="","",workings2x!Z38)</f>
        <v/>
      </c>
      <c r="N18" s="2221" t="str">
        <f t="shared" si="1"/>
        <v/>
      </c>
      <c r="P18" s="2222"/>
      <c r="Q18" s="2238"/>
      <c r="R18" s="2238"/>
      <c r="S18" s="2238"/>
      <c r="T18" s="1564"/>
      <c r="U18" s="1571">
        <f ca="1">OFFSET('info sheet'!$G$9,$U$3,0)-X18</f>
        <v>2.1999999999999999E-2</v>
      </c>
      <c r="V18" s="1571">
        <f t="shared" ca="1" si="2"/>
        <v>0.02</v>
      </c>
      <c r="W18" s="1571">
        <f t="shared" ca="1" si="3"/>
        <v>5.600000000000005E-2</v>
      </c>
      <c r="X18" s="1564">
        <f>workings1!$CW$4*Y18</f>
        <v>0</v>
      </c>
      <c r="Y18" s="1564" t="b">
        <f t="shared" si="4"/>
        <v>0</v>
      </c>
      <c r="AC18" s="1564">
        <f t="shared" si="5"/>
        <v>51000</v>
      </c>
      <c r="AF18" s="2238"/>
      <c r="AG18" s="2238"/>
      <c r="AH18" s="2238"/>
      <c r="AI18" s="2238"/>
      <c r="AJ18" s="2238"/>
      <c r="AK18" s="2238"/>
      <c r="AL18" s="2238"/>
      <c r="AM18" s="2238"/>
    </row>
    <row r="19" spans="1:39" ht="13" x14ac:dyDescent="0.3">
      <c r="A19" s="2238"/>
      <c r="C19" s="2192" t="str">
        <f>IF(workings2!G39&lt;workings2!F39,"",workings2!F39)</f>
        <v/>
      </c>
      <c r="D19" s="2192" t="str">
        <f>IF(workings2!G39&lt;workings2!F39,"",workings2!G39)</f>
        <v/>
      </c>
      <c r="E19" s="2200" t="str">
        <f>IF(D19&lt;&gt;"",workings2!H39,"")</f>
        <v/>
      </c>
      <c r="F19" s="1649" t="str">
        <f>IF(D19&lt;&gt;"",workings2x!L39,"")</f>
        <v/>
      </c>
      <c r="G19" s="2220" t="str">
        <f>IF(D19="","",workings2!S39)</f>
        <v/>
      </c>
      <c r="H19" s="1649" t="str">
        <f>IF(D19="","",workings2!AF39)</f>
        <v/>
      </c>
      <c r="I19" s="2200" t="str">
        <f>IF(D19="","",workings2!P39)</f>
        <v/>
      </c>
      <c r="J19" s="1648" t="str">
        <f t="shared" si="0"/>
        <v/>
      </c>
      <c r="K19" s="1648" t="str">
        <f>IF(D19="","",workings2x!Y39)</f>
        <v/>
      </c>
      <c r="L19" s="1648" t="str">
        <f>IF(D19="","",F19*U19/$E$7*E19*workings2x!$AC$2)</f>
        <v/>
      </c>
      <c r="M19" s="1648" t="str">
        <f>IF(D19="","",workings2x!Z39)</f>
        <v/>
      </c>
      <c r="N19" s="2221" t="str">
        <f t="shared" si="1"/>
        <v/>
      </c>
      <c r="P19" s="2222"/>
      <c r="Q19" s="2238"/>
      <c r="R19" s="2238"/>
      <c r="S19" s="2238"/>
      <c r="T19" s="1564"/>
      <c r="U19" s="1571">
        <f ca="1">OFFSET('info sheet'!$G$9,$U$3,0)-X19</f>
        <v>2.1999999999999999E-2</v>
      </c>
      <c r="V19" s="1571">
        <f t="shared" ca="1" si="2"/>
        <v>0.02</v>
      </c>
      <c r="W19" s="1571">
        <f t="shared" ca="1" si="3"/>
        <v>5.600000000000005E-2</v>
      </c>
      <c r="X19" s="1564">
        <f>workings1!$CW$4*Y19</f>
        <v>0</v>
      </c>
      <c r="Y19" s="1564" t="b">
        <f t="shared" si="4"/>
        <v>0</v>
      </c>
      <c r="AC19" s="1564">
        <f t="shared" si="5"/>
        <v>51000</v>
      </c>
      <c r="AF19" s="2238"/>
      <c r="AG19" s="2238"/>
      <c r="AH19" s="2238"/>
      <c r="AI19" s="2238"/>
      <c r="AJ19" s="2238"/>
      <c r="AK19" s="2238"/>
      <c r="AL19" s="2238"/>
      <c r="AM19" s="2238"/>
    </row>
    <row r="20" spans="1:39" ht="13" x14ac:dyDescent="0.3">
      <c r="A20" s="2238"/>
      <c r="C20" s="2192" t="str">
        <f>IF(workings2!G40&lt;workings2!F40,"",workings2!F40)</f>
        <v/>
      </c>
      <c r="D20" s="2192" t="str">
        <f>IF(workings2!G40&lt;workings2!F40,"",workings2!G40)</f>
        <v/>
      </c>
      <c r="E20" s="2200" t="str">
        <f>IF(D20&lt;&gt;"",workings2!H40,"")</f>
        <v/>
      </c>
      <c r="F20" s="1649" t="str">
        <f>IF(D20&lt;&gt;"",workings2x!L40,"")</f>
        <v/>
      </c>
      <c r="G20" s="2220" t="str">
        <f>IF(D20="","",workings2!S40)</f>
        <v/>
      </c>
      <c r="H20" s="1649" t="str">
        <f>IF(D20="","",workings2!AF40)</f>
        <v/>
      </c>
      <c r="I20" s="2200" t="str">
        <f>IF(D20="","",workings2!P40)</f>
        <v/>
      </c>
      <c r="J20" s="1648" t="str">
        <f t="shared" si="0"/>
        <v/>
      </c>
      <c r="K20" s="1648" t="str">
        <f>IF(D20="","",workings2x!Y40)</f>
        <v/>
      </c>
      <c r="L20" s="1648" t="str">
        <f>IF(D20="","",F20*U20/$E$7*E20*workings2x!$AC$2)</f>
        <v/>
      </c>
      <c r="M20" s="1648" t="str">
        <f>IF(D20="","",workings2x!Z40)</f>
        <v/>
      </c>
      <c r="N20" s="2221" t="str">
        <f t="shared" si="1"/>
        <v/>
      </c>
      <c r="P20" s="2222"/>
      <c r="Q20" s="2238"/>
      <c r="R20" s="2238"/>
      <c r="S20" s="2238"/>
      <c r="T20" s="1564"/>
      <c r="U20" s="1571">
        <f ca="1">OFFSET('info sheet'!$G$9,$U$3,0)-X20</f>
        <v>2.1999999999999999E-2</v>
      </c>
      <c r="V20" s="1571">
        <f t="shared" ca="1" si="2"/>
        <v>0.02</v>
      </c>
      <c r="W20" s="1571">
        <f t="shared" ca="1" si="3"/>
        <v>5.600000000000005E-2</v>
      </c>
      <c r="X20" s="1564">
        <f>workings1!$CW$4*Y20</f>
        <v>0</v>
      </c>
      <c r="Y20" s="1564" t="b">
        <f t="shared" si="4"/>
        <v>0</v>
      </c>
      <c r="AC20" s="1564">
        <f t="shared" si="5"/>
        <v>51000</v>
      </c>
      <c r="AF20" s="2238"/>
      <c r="AG20" s="2238"/>
      <c r="AH20" s="2238"/>
      <c r="AI20" s="2238"/>
      <c r="AJ20" s="2238"/>
      <c r="AK20" s="2238"/>
      <c r="AL20" s="2238"/>
      <c r="AM20" s="2238"/>
    </row>
    <row r="21" spans="1:39" ht="13.5" thickBot="1" x14ac:dyDescent="0.35">
      <c r="A21" s="2238"/>
      <c r="C21" s="1966"/>
      <c r="D21" s="1966"/>
      <c r="E21" s="1966"/>
      <c r="F21" s="1966"/>
      <c r="G21" s="1966"/>
      <c r="H21" s="1966"/>
      <c r="I21" s="1966"/>
      <c r="J21" s="2223">
        <f ca="1">SUM(J9:J20)</f>
        <v>0</v>
      </c>
      <c r="K21" s="2223">
        <f ca="1">SUM(K9:K20)</f>
        <v>0</v>
      </c>
      <c r="L21" s="2223">
        <f ca="1">SUM(L9:L20)</f>
        <v>0</v>
      </c>
      <c r="M21" s="2223">
        <f ca="1">SUM(M9:M20)</f>
        <v>0</v>
      </c>
      <c r="N21" s="2223">
        <f ca="1">SUM(N9:N20)</f>
        <v>0</v>
      </c>
      <c r="Q21" s="2238"/>
      <c r="R21" s="2238"/>
      <c r="S21" s="2238"/>
      <c r="AF21" s="2238"/>
      <c r="AG21" s="2238"/>
      <c r="AH21" s="2238"/>
      <c r="AI21" s="2238"/>
      <c r="AJ21" s="2238"/>
      <c r="AK21" s="2238"/>
      <c r="AL21" s="2238"/>
      <c r="AM21" s="2238"/>
    </row>
    <row r="22" spans="1:39" ht="13.5" thickTop="1" x14ac:dyDescent="0.3">
      <c r="A22" s="2238"/>
      <c r="C22" s="1501" t="s">
        <v>1849</v>
      </c>
      <c r="D22" s="1966"/>
      <c r="E22" s="1966"/>
      <c r="F22" s="1966"/>
      <c r="G22" s="1966"/>
      <c r="H22" s="1966"/>
      <c r="I22" s="1966"/>
      <c r="J22" s="2224"/>
      <c r="K22" s="1966"/>
      <c r="L22" s="2224"/>
      <c r="M22" s="2224"/>
      <c r="N22" s="1966"/>
      <c r="Q22" s="2238"/>
      <c r="R22" s="2238"/>
      <c r="S22" s="2238"/>
      <c r="AF22" s="2238"/>
      <c r="AG22" s="2238"/>
      <c r="AH22" s="2238"/>
      <c r="AI22" s="2238"/>
      <c r="AJ22" s="2238"/>
      <c r="AK22" s="2238"/>
      <c r="AL22" s="2238"/>
      <c r="AM22" s="2238"/>
    </row>
    <row r="23" spans="1:39" ht="26" x14ac:dyDescent="0.3">
      <c r="A23" s="2238"/>
      <c r="C23" s="2225" t="s">
        <v>1844</v>
      </c>
      <c r="D23" s="2225" t="s">
        <v>1845</v>
      </c>
      <c r="E23" s="2226" t="s">
        <v>2399</v>
      </c>
      <c r="F23" s="2226" t="s">
        <v>1850</v>
      </c>
      <c r="G23" s="2226" t="s">
        <v>1851</v>
      </c>
      <c r="H23" s="2227" t="s">
        <v>274</v>
      </c>
      <c r="I23" s="2226" t="s">
        <v>115</v>
      </c>
      <c r="J23" s="2228" t="s">
        <v>2864</v>
      </c>
      <c r="K23" s="2228" t="s">
        <v>1703</v>
      </c>
      <c r="L23" s="2228"/>
      <c r="M23" s="2228" t="str">
        <f>'original detail 1'!$M$23</f>
        <v>RHL</v>
      </c>
      <c r="N23" s="2225" t="s">
        <v>1852</v>
      </c>
      <c r="Q23" s="2238"/>
      <c r="R23" s="2238"/>
      <c r="S23" s="2238"/>
      <c r="U23" s="1594" t="s">
        <v>2326</v>
      </c>
      <c r="AF23" s="2238"/>
      <c r="AG23" s="2238"/>
      <c r="AH23" s="2238"/>
      <c r="AI23" s="2238"/>
      <c r="AJ23" s="2238"/>
      <c r="AK23" s="2238"/>
      <c r="AL23" s="2238"/>
      <c r="AM23" s="2238"/>
    </row>
    <row r="24" spans="1:39" ht="15.75" customHeight="1" x14ac:dyDescent="0.25">
      <c r="A24" s="2238"/>
      <c r="C24" s="2192">
        <f t="shared" ref="C24:D35" si="6">C9</f>
        <v>45748</v>
      </c>
      <c r="D24" s="2192">
        <f t="shared" si="6"/>
        <v>46112</v>
      </c>
      <c r="E24" s="2229">
        <f ca="1">IF(J9="","",(workings2x!Q29-J9))</f>
        <v>0</v>
      </c>
      <c r="F24" s="2229">
        <f ca="1">IF(J9="","",workings2!T29-(N9+E24+G24+I24+J24+K24+L24+M24))</f>
        <v>0</v>
      </c>
      <c r="G24" s="2229">
        <f ca="1">IF(D9="","",IF(OR(workings2!$X$2=FALSE,H9="y"),0,workings2!R29*-0.8))</f>
        <v>0</v>
      </c>
      <c r="H24" s="2230" t="str">
        <f ca="1">IF(D9="","",IF(workings2!AH29=5000000,"5 Million",workings2!AH29))</f>
        <v>5 Million</v>
      </c>
      <c r="I24" s="2229">
        <f ca="1">IF(J9="","",(((workings2!Q29+L9)/workings2!AH29)-(workings2!Q29+L9))*workings2!U29)</f>
        <v>0</v>
      </c>
      <c r="J24" s="2229">
        <f ca="1">IF(J9="","",workings2!AR29-workings2x!AR29)</f>
        <v>0</v>
      </c>
      <c r="K24" s="2229">
        <f ca="1">IF(D9="","",workings2!CC29)</f>
        <v>0</v>
      </c>
      <c r="L24" s="2229"/>
      <c r="M24" s="2229">
        <f ca="1">IF(J9="","",workings2!AZ29)</f>
        <v>0</v>
      </c>
      <c r="N24" s="1648">
        <f t="shared" ref="N24:N35" ca="1" si="7">IF(D9="","",U24)</f>
        <v>0</v>
      </c>
      <c r="Q24" s="2238"/>
      <c r="R24" s="2238"/>
      <c r="S24" s="2238"/>
      <c r="U24" s="2231">
        <f t="shared" ref="U24:U35" ca="1" si="8">SUM(V24:AD24)</f>
        <v>0</v>
      </c>
      <c r="V24" s="2232">
        <f t="shared" ref="V24:V35" ca="1" si="9">IF(N9="",0,N9)</f>
        <v>0</v>
      </c>
      <c r="W24" s="2231">
        <f t="shared" ref="W24:W35" ca="1" si="10">IF(E24="",0,E24)</f>
        <v>0</v>
      </c>
      <c r="X24" s="2231">
        <f t="shared" ref="X24:X35" ca="1" si="11">IF(F24="",0,F24)</f>
        <v>0</v>
      </c>
      <c r="Y24" s="2231">
        <f t="shared" ref="Y24:Y35" ca="1" si="12">IF(G24="",0,G24)</f>
        <v>0</v>
      </c>
      <c r="Z24" s="2231">
        <f t="shared" ref="Z24:Z35" ca="1" si="13">IF(I24="",0,I24)</f>
        <v>0</v>
      </c>
      <c r="AA24" s="2231">
        <f t="shared" ref="AA24:AA35" ca="1" si="14">IF(J24="",0,J24)</f>
        <v>0</v>
      </c>
      <c r="AB24" s="2231">
        <f t="shared" ref="AB24:AB35" ca="1" si="15">IF(K24="",0,K24)</f>
        <v>0</v>
      </c>
      <c r="AC24" s="2231">
        <f t="shared" ref="AC24:AC35" si="16">IF(L24="",0,L24)</f>
        <v>0</v>
      </c>
      <c r="AD24" s="2231">
        <f t="shared" ref="AD24:AD35" ca="1" si="17">IF(M24="",0,M24)</f>
        <v>0</v>
      </c>
      <c r="AF24" s="2238"/>
      <c r="AG24" s="2238"/>
      <c r="AH24" s="2238"/>
      <c r="AI24" s="2238"/>
      <c r="AJ24" s="2238"/>
      <c r="AK24" s="2238"/>
      <c r="AL24" s="2238"/>
      <c r="AM24" s="2238"/>
    </row>
    <row r="25" spans="1:39" x14ac:dyDescent="0.25">
      <c r="A25" s="2238"/>
      <c r="C25" s="2192" t="str">
        <f t="shared" si="6"/>
        <v/>
      </c>
      <c r="D25" s="2192" t="str">
        <f t="shared" si="6"/>
        <v/>
      </c>
      <c r="E25" s="2229" t="str">
        <f>IF(J10="","",(workings2x!Q30-J10))</f>
        <v/>
      </c>
      <c r="F25" s="2229" t="str">
        <f>IF(J10="","",workings2!T30-(N10+E25+G25+I25+J25+K25+L25+M25))</f>
        <v/>
      </c>
      <c r="G25" s="2229" t="str">
        <f>IF(D10="","",IF(OR(workings2!$X$2=FALSE,H10="y"),0,workings2!R30*-0.8))</f>
        <v/>
      </c>
      <c r="H25" s="2230" t="str">
        <f>IF(D10="","",IF(workings2!AH30=5000000,"5 Million",workings2!AH30))</f>
        <v/>
      </c>
      <c r="I25" s="2229" t="str">
        <f>IF(J10="","",(((workings2!Q30+L10)/workings2!AH30)-(workings2!Q30+L10))*workings2!U30)</f>
        <v/>
      </c>
      <c r="J25" s="2229" t="str">
        <f>IF(J10="","",workings2!AR30-workings2x!AR30)</f>
        <v/>
      </c>
      <c r="K25" s="2229" t="str">
        <f>IF(D10="","",workings2!CC30)</f>
        <v/>
      </c>
      <c r="L25" s="2229"/>
      <c r="M25" s="2229" t="str">
        <f>IF(J10="","",workings2!AZ30)</f>
        <v/>
      </c>
      <c r="N25" s="1648" t="str">
        <f t="shared" si="7"/>
        <v/>
      </c>
      <c r="Q25" s="2238"/>
      <c r="R25" s="2238"/>
      <c r="S25" s="2238"/>
      <c r="U25" s="2231">
        <f t="shared" si="8"/>
        <v>0</v>
      </c>
      <c r="V25" s="2232">
        <f t="shared" si="9"/>
        <v>0</v>
      </c>
      <c r="W25" s="2231">
        <f t="shared" si="10"/>
        <v>0</v>
      </c>
      <c r="X25" s="2231">
        <f t="shared" si="11"/>
        <v>0</v>
      </c>
      <c r="Y25" s="2231">
        <f t="shared" si="12"/>
        <v>0</v>
      </c>
      <c r="Z25" s="2231">
        <f t="shared" si="13"/>
        <v>0</v>
      </c>
      <c r="AA25" s="2231">
        <f t="shared" si="14"/>
        <v>0</v>
      </c>
      <c r="AB25" s="2231">
        <f t="shared" si="15"/>
        <v>0</v>
      </c>
      <c r="AC25" s="2231">
        <f t="shared" si="16"/>
        <v>0</v>
      </c>
      <c r="AD25" s="2231">
        <f t="shared" si="17"/>
        <v>0</v>
      </c>
      <c r="AF25" s="2238"/>
      <c r="AG25" s="2238"/>
      <c r="AH25" s="2238"/>
      <c r="AI25" s="2238"/>
      <c r="AJ25" s="2238"/>
      <c r="AK25" s="2238"/>
      <c r="AL25" s="2238"/>
      <c r="AM25" s="2238"/>
    </row>
    <row r="26" spans="1:39" x14ac:dyDescent="0.25">
      <c r="A26" s="2238"/>
      <c r="C26" s="2192" t="str">
        <f t="shared" si="6"/>
        <v/>
      </c>
      <c r="D26" s="2192" t="str">
        <f t="shared" si="6"/>
        <v/>
      </c>
      <c r="E26" s="2229" t="str">
        <f>IF(J11="","",(workings2x!Q31-J11))</f>
        <v/>
      </c>
      <c r="F26" s="2229" t="str">
        <f>IF(J11="","",workings2!T31-(N11+E26+G26+I26+J26+K26+L26+M26))</f>
        <v/>
      </c>
      <c r="G26" s="2229" t="str">
        <f>IF(D11="","",IF(OR(workings2!$X$2=FALSE,H11="y"),0,workings2!R31*-0.8))</f>
        <v/>
      </c>
      <c r="H26" s="2230" t="str">
        <f>IF(D11="","",IF(workings2!AH31=5000000,"5 Million",workings2!AH31))</f>
        <v/>
      </c>
      <c r="I26" s="2229" t="str">
        <f>IF(J11="","",(((workings2!Q31+L11)/workings2!AH31)-(workings2!Q31+L11))*workings2!U31)</f>
        <v/>
      </c>
      <c r="J26" s="2229" t="str">
        <f>IF(J11="","",workings2!AR31-workings2x!AR31)</f>
        <v/>
      </c>
      <c r="K26" s="2229" t="str">
        <f>IF(D11="","",workings2!CC31)</f>
        <v/>
      </c>
      <c r="L26" s="2229"/>
      <c r="M26" s="2229" t="str">
        <f>IF(J11="","",workings2!AZ31)</f>
        <v/>
      </c>
      <c r="N26" s="1648" t="str">
        <f t="shared" si="7"/>
        <v/>
      </c>
      <c r="Q26" s="2238"/>
      <c r="R26" s="2238"/>
      <c r="S26" s="2238"/>
      <c r="U26" s="2231">
        <f t="shared" si="8"/>
        <v>0</v>
      </c>
      <c r="V26" s="2232">
        <f t="shared" si="9"/>
        <v>0</v>
      </c>
      <c r="W26" s="2231">
        <f t="shared" si="10"/>
        <v>0</v>
      </c>
      <c r="X26" s="2231">
        <f t="shared" si="11"/>
        <v>0</v>
      </c>
      <c r="Y26" s="2231">
        <f t="shared" si="12"/>
        <v>0</v>
      </c>
      <c r="Z26" s="2231">
        <f t="shared" si="13"/>
        <v>0</v>
      </c>
      <c r="AA26" s="2231">
        <f t="shared" si="14"/>
        <v>0</v>
      </c>
      <c r="AB26" s="2231">
        <f t="shared" si="15"/>
        <v>0</v>
      </c>
      <c r="AC26" s="2231">
        <f t="shared" si="16"/>
        <v>0</v>
      </c>
      <c r="AD26" s="2231">
        <f t="shared" si="17"/>
        <v>0</v>
      </c>
      <c r="AF26" s="2238"/>
      <c r="AG26" s="2238"/>
      <c r="AH26" s="2238"/>
      <c r="AI26" s="2238"/>
      <c r="AJ26" s="2238"/>
      <c r="AK26" s="2238"/>
      <c r="AL26" s="2238"/>
      <c r="AM26" s="2238"/>
    </row>
    <row r="27" spans="1:39" x14ac:dyDescent="0.25">
      <c r="A27" s="2238"/>
      <c r="C27" s="2192" t="str">
        <f t="shared" si="6"/>
        <v/>
      </c>
      <c r="D27" s="2192" t="str">
        <f t="shared" si="6"/>
        <v/>
      </c>
      <c r="E27" s="2229" t="str">
        <f>IF(J12="","",(workings2x!Q32-J12))</f>
        <v/>
      </c>
      <c r="F27" s="2229" t="str">
        <f>IF(J12="","",workings2!T32-(N12+E27+G27+I27+J27+K27+L27+M27))</f>
        <v/>
      </c>
      <c r="G27" s="2229" t="str">
        <f>IF(D12="","",IF(OR(workings2!$X$2=FALSE,H12="y"),0,workings2!R32*-0.8))</f>
        <v/>
      </c>
      <c r="H27" s="2230" t="str">
        <f>IF(D12="","",IF(workings2!AH32=5000000,"5 Million",workings2!AH32))</f>
        <v/>
      </c>
      <c r="I27" s="2229" t="str">
        <f>IF(J12="","",(((workings2!Q32+L12)/workings2!AH32)-(workings2!Q32+L12))*workings2!U32)</f>
        <v/>
      </c>
      <c r="J27" s="2229" t="str">
        <f>IF(J12="","",workings2!AR32-workings2x!AR32)</f>
        <v/>
      </c>
      <c r="K27" s="2229" t="str">
        <f>IF(D12="","",workings2!CC32)</f>
        <v/>
      </c>
      <c r="L27" s="2229"/>
      <c r="M27" s="2229" t="str">
        <f>IF(J12="","",workings2!AZ32)</f>
        <v/>
      </c>
      <c r="N27" s="1648" t="str">
        <f t="shared" si="7"/>
        <v/>
      </c>
      <c r="Q27" s="2238"/>
      <c r="R27" s="2238"/>
      <c r="S27" s="2238"/>
      <c r="U27" s="2231">
        <f t="shared" si="8"/>
        <v>0</v>
      </c>
      <c r="V27" s="2232">
        <f t="shared" si="9"/>
        <v>0</v>
      </c>
      <c r="W27" s="2231">
        <f t="shared" si="10"/>
        <v>0</v>
      </c>
      <c r="X27" s="2231">
        <f t="shared" si="11"/>
        <v>0</v>
      </c>
      <c r="Y27" s="2231">
        <f t="shared" si="12"/>
        <v>0</v>
      </c>
      <c r="Z27" s="2231">
        <f t="shared" si="13"/>
        <v>0</v>
      </c>
      <c r="AA27" s="2231">
        <f t="shared" si="14"/>
        <v>0</v>
      </c>
      <c r="AB27" s="2231">
        <f t="shared" si="15"/>
        <v>0</v>
      </c>
      <c r="AC27" s="2231">
        <f t="shared" si="16"/>
        <v>0</v>
      </c>
      <c r="AD27" s="2231">
        <f t="shared" si="17"/>
        <v>0</v>
      </c>
      <c r="AF27" s="2238"/>
      <c r="AG27" s="2238"/>
      <c r="AH27" s="2238"/>
      <c r="AI27" s="2238"/>
      <c r="AJ27" s="2238"/>
      <c r="AK27" s="2238"/>
      <c r="AL27" s="2238"/>
      <c r="AM27" s="2238"/>
    </row>
    <row r="28" spans="1:39" x14ac:dyDescent="0.25">
      <c r="A28" s="2238"/>
      <c r="C28" s="2192" t="str">
        <f t="shared" si="6"/>
        <v/>
      </c>
      <c r="D28" s="2192" t="str">
        <f t="shared" si="6"/>
        <v/>
      </c>
      <c r="E28" s="2229" t="str">
        <f>IF(J13="","",(workings2x!Q33-J13))</f>
        <v/>
      </c>
      <c r="F28" s="2229" t="str">
        <f>IF(J13="","",workings2!T33-(N13+E28+G28+I28+J28+K28+L28+M28))</f>
        <v/>
      </c>
      <c r="G28" s="2229" t="str">
        <f>IF(D13="","",IF(OR(workings2!$X$2=FALSE,H13="y"),0,workings2!R33*-0.8))</f>
        <v/>
      </c>
      <c r="H28" s="2230" t="str">
        <f>IF(D13="","",IF(workings2!AH33=5000000,"5 Million",workings2!AH33))</f>
        <v/>
      </c>
      <c r="I28" s="2229" t="str">
        <f>IF(J13="","",(((workings2!Q33+L13)/workings2!AH33)-(workings2!Q33+L13))*workings2!U33)</f>
        <v/>
      </c>
      <c r="J28" s="2229" t="str">
        <f>IF(J13="","",workings2!AR33-workings2x!AR33)</f>
        <v/>
      </c>
      <c r="K28" s="2229" t="str">
        <f>IF(D13="","",workings2!CC33)</f>
        <v/>
      </c>
      <c r="L28" s="2229"/>
      <c r="M28" s="2229" t="str">
        <f>IF(J13="","",workings2!AZ33)</f>
        <v/>
      </c>
      <c r="N28" s="1648" t="str">
        <f t="shared" si="7"/>
        <v/>
      </c>
      <c r="Q28" s="2238"/>
      <c r="R28" s="2238"/>
      <c r="S28" s="2238"/>
      <c r="U28" s="2231">
        <f t="shared" si="8"/>
        <v>0</v>
      </c>
      <c r="V28" s="2232">
        <f t="shared" si="9"/>
        <v>0</v>
      </c>
      <c r="W28" s="2231">
        <f t="shared" si="10"/>
        <v>0</v>
      </c>
      <c r="X28" s="2231">
        <f t="shared" si="11"/>
        <v>0</v>
      </c>
      <c r="Y28" s="2231">
        <f t="shared" si="12"/>
        <v>0</v>
      </c>
      <c r="Z28" s="2231">
        <f t="shared" si="13"/>
        <v>0</v>
      </c>
      <c r="AA28" s="2231">
        <f t="shared" si="14"/>
        <v>0</v>
      </c>
      <c r="AB28" s="2231">
        <f t="shared" si="15"/>
        <v>0</v>
      </c>
      <c r="AC28" s="2231">
        <f t="shared" si="16"/>
        <v>0</v>
      </c>
      <c r="AD28" s="2231">
        <f t="shared" si="17"/>
        <v>0</v>
      </c>
      <c r="AF28" s="2238"/>
      <c r="AG28" s="2238"/>
      <c r="AH28" s="2238"/>
      <c r="AI28" s="2238"/>
      <c r="AJ28" s="2238"/>
      <c r="AK28" s="2238"/>
      <c r="AL28" s="2238"/>
      <c r="AM28" s="2238"/>
    </row>
    <row r="29" spans="1:39" x14ac:dyDescent="0.25">
      <c r="A29" s="2238"/>
      <c r="C29" s="2192" t="str">
        <f t="shared" si="6"/>
        <v/>
      </c>
      <c r="D29" s="2192" t="str">
        <f t="shared" si="6"/>
        <v/>
      </c>
      <c r="E29" s="2229" t="str">
        <f>IF(J14="","",(workings2x!Q34-J14))</f>
        <v/>
      </c>
      <c r="F29" s="2229" t="str">
        <f>IF(J14="","",workings2!T34-(N14+E29+G29+I29+J29+K29+L29+M29))</f>
        <v/>
      </c>
      <c r="G29" s="2229" t="str">
        <f>IF(D14="","",IF(OR(workings2!$X$2=FALSE,H14="y"),0,workings2!R34*-0.8))</f>
        <v/>
      </c>
      <c r="H29" s="2230" t="str">
        <f>IF(D14="","",IF(workings2!AH34=5000000,"5 Million",workings2!AH34))</f>
        <v/>
      </c>
      <c r="I29" s="2229" t="str">
        <f>IF(J14="","",(((workings2!Q34+L14)/workings2!AH34)-(workings2!Q34+L14))*workings2!U34)</f>
        <v/>
      </c>
      <c r="J29" s="2229" t="str">
        <f>IF(J14="","",workings2!AR34-workings2x!AR34)</f>
        <v/>
      </c>
      <c r="K29" s="2229" t="str">
        <f>IF(D14="","",workings2!CC34)</f>
        <v/>
      </c>
      <c r="L29" s="2229"/>
      <c r="M29" s="2229" t="str">
        <f>IF(J14="","",workings2!AZ34)</f>
        <v/>
      </c>
      <c r="N29" s="1648" t="str">
        <f t="shared" si="7"/>
        <v/>
      </c>
      <c r="Q29" s="2238"/>
      <c r="R29" s="2238"/>
      <c r="S29" s="2238"/>
      <c r="U29" s="2231">
        <f t="shared" si="8"/>
        <v>0</v>
      </c>
      <c r="V29" s="2232">
        <f t="shared" si="9"/>
        <v>0</v>
      </c>
      <c r="W29" s="2231">
        <f t="shared" si="10"/>
        <v>0</v>
      </c>
      <c r="X29" s="2231">
        <f t="shared" si="11"/>
        <v>0</v>
      </c>
      <c r="Y29" s="2231">
        <f t="shared" si="12"/>
        <v>0</v>
      </c>
      <c r="Z29" s="2231">
        <f t="shared" si="13"/>
        <v>0</v>
      </c>
      <c r="AA29" s="2231">
        <f t="shared" si="14"/>
        <v>0</v>
      </c>
      <c r="AB29" s="2231">
        <f t="shared" si="15"/>
        <v>0</v>
      </c>
      <c r="AC29" s="2231">
        <f t="shared" si="16"/>
        <v>0</v>
      </c>
      <c r="AD29" s="2231">
        <f t="shared" si="17"/>
        <v>0</v>
      </c>
      <c r="AF29" s="2238"/>
      <c r="AG29" s="2238"/>
      <c r="AH29" s="2238"/>
      <c r="AI29" s="2238"/>
      <c r="AJ29" s="2238"/>
      <c r="AK29" s="2238"/>
      <c r="AL29" s="2238"/>
      <c r="AM29" s="2238"/>
    </row>
    <row r="30" spans="1:39" x14ac:dyDescent="0.25">
      <c r="A30" s="2238"/>
      <c r="C30" s="2192" t="str">
        <f t="shared" si="6"/>
        <v/>
      </c>
      <c r="D30" s="2192" t="str">
        <f t="shared" si="6"/>
        <v/>
      </c>
      <c r="E30" s="2229" t="str">
        <f>IF(J15="","",(workings2x!Q35-J15))</f>
        <v/>
      </c>
      <c r="F30" s="2229" t="str">
        <f>IF(J15="","",workings2!T35-(N15+E30+G30+I30+J30+K30+L30+M30))</f>
        <v/>
      </c>
      <c r="G30" s="2229" t="str">
        <f>IF(D15="","",IF(OR(workings2!$X$2=FALSE,H15="y"),0,workings2!R35*-0.8))</f>
        <v/>
      </c>
      <c r="H30" s="2230" t="str">
        <f>IF(D15="","",IF(workings2!AH35=5000000,"5 Million",workings2!AH35))</f>
        <v/>
      </c>
      <c r="I30" s="2229" t="str">
        <f>IF(J15="","",(((workings2!Q35+L15)/workings2!AH35)-(workings2!Q35+L15))*workings2!U35)</f>
        <v/>
      </c>
      <c r="J30" s="2229" t="str">
        <f>IF(J15="","",workings2!AR35-workings2x!AR35)</f>
        <v/>
      </c>
      <c r="K30" s="2229" t="str">
        <f>IF(D15="","",workings2!CC35)</f>
        <v/>
      </c>
      <c r="L30" s="2229"/>
      <c r="M30" s="2229" t="str">
        <f>IF(J15="","",workings2!AZ35)</f>
        <v/>
      </c>
      <c r="N30" s="1648" t="str">
        <f t="shared" si="7"/>
        <v/>
      </c>
      <c r="Q30" s="2238"/>
      <c r="R30" s="2238"/>
      <c r="S30" s="2238"/>
      <c r="U30" s="2231">
        <f t="shared" si="8"/>
        <v>0</v>
      </c>
      <c r="V30" s="2232">
        <f t="shared" si="9"/>
        <v>0</v>
      </c>
      <c r="W30" s="2231">
        <f t="shared" si="10"/>
        <v>0</v>
      </c>
      <c r="X30" s="2231">
        <f t="shared" si="11"/>
        <v>0</v>
      </c>
      <c r="Y30" s="2231">
        <f t="shared" si="12"/>
        <v>0</v>
      </c>
      <c r="Z30" s="2231">
        <f t="shared" si="13"/>
        <v>0</v>
      </c>
      <c r="AA30" s="2231">
        <f t="shared" si="14"/>
        <v>0</v>
      </c>
      <c r="AB30" s="2231">
        <f t="shared" si="15"/>
        <v>0</v>
      </c>
      <c r="AC30" s="2231">
        <f t="shared" si="16"/>
        <v>0</v>
      </c>
      <c r="AD30" s="2231">
        <f t="shared" si="17"/>
        <v>0</v>
      </c>
      <c r="AF30" s="2238"/>
      <c r="AG30" s="2238"/>
      <c r="AH30" s="2238"/>
      <c r="AI30" s="2238"/>
      <c r="AJ30" s="2238"/>
      <c r="AK30" s="2238"/>
      <c r="AL30" s="2238"/>
      <c r="AM30" s="2238"/>
    </row>
    <row r="31" spans="1:39" x14ac:dyDescent="0.25">
      <c r="A31" s="2238"/>
      <c r="C31" s="2192" t="str">
        <f t="shared" si="6"/>
        <v/>
      </c>
      <c r="D31" s="2192" t="str">
        <f t="shared" si="6"/>
        <v/>
      </c>
      <c r="E31" s="2229" t="str">
        <f>IF(J16="","",(workings2x!Q36-J16))</f>
        <v/>
      </c>
      <c r="F31" s="2229" t="str">
        <f>IF(J16="","",workings2!T36-(N16+E31+G31+I31+J31+K31+L31+M31))</f>
        <v/>
      </c>
      <c r="G31" s="2229" t="str">
        <f>IF(D16="","",IF(OR(workings2!$X$2=FALSE,H16="y"),0,workings2!R36*-0.8))</f>
        <v/>
      </c>
      <c r="H31" s="2230" t="str">
        <f>IF(D16="","",IF(workings2!AH36=5000000,"5 Million",workings2!AH36))</f>
        <v/>
      </c>
      <c r="I31" s="2229" t="str">
        <f>IF(J16="","",(((workings2!Q36+L16)/workings2!AH36)-(workings2!Q36+L16))*workings2!U36)</f>
        <v/>
      </c>
      <c r="J31" s="2229" t="str">
        <f>IF(J16="","",workings2!AR36-workings2x!AR36)</f>
        <v/>
      </c>
      <c r="K31" s="2229" t="str">
        <f>IF(D16="","",workings2!CC36)</f>
        <v/>
      </c>
      <c r="L31" s="2229"/>
      <c r="M31" s="2229" t="str">
        <f>IF(J16="","",workings2!AZ36)</f>
        <v/>
      </c>
      <c r="N31" s="1648" t="str">
        <f t="shared" si="7"/>
        <v/>
      </c>
      <c r="Q31" s="2238"/>
      <c r="R31" s="2238"/>
      <c r="S31" s="2238"/>
      <c r="U31" s="2231">
        <f t="shared" si="8"/>
        <v>0</v>
      </c>
      <c r="V31" s="2232">
        <f t="shared" si="9"/>
        <v>0</v>
      </c>
      <c r="W31" s="2231">
        <f t="shared" si="10"/>
        <v>0</v>
      </c>
      <c r="X31" s="2231">
        <f t="shared" si="11"/>
        <v>0</v>
      </c>
      <c r="Y31" s="2231">
        <f t="shared" si="12"/>
        <v>0</v>
      </c>
      <c r="Z31" s="2231">
        <f t="shared" si="13"/>
        <v>0</v>
      </c>
      <c r="AA31" s="2231">
        <f t="shared" si="14"/>
        <v>0</v>
      </c>
      <c r="AB31" s="2231">
        <f t="shared" si="15"/>
        <v>0</v>
      </c>
      <c r="AC31" s="2231">
        <f t="shared" si="16"/>
        <v>0</v>
      </c>
      <c r="AD31" s="2231">
        <f t="shared" si="17"/>
        <v>0</v>
      </c>
      <c r="AF31" s="2238"/>
      <c r="AG31" s="2238"/>
      <c r="AH31" s="2238"/>
      <c r="AI31" s="2238"/>
      <c r="AJ31" s="2238"/>
      <c r="AK31" s="2238"/>
      <c r="AL31" s="2238"/>
      <c r="AM31" s="2238"/>
    </row>
    <row r="32" spans="1:39" x14ac:dyDescent="0.25">
      <c r="A32" s="2238"/>
      <c r="C32" s="2192" t="str">
        <f t="shared" si="6"/>
        <v/>
      </c>
      <c r="D32" s="2192" t="str">
        <f t="shared" si="6"/>
        <v/>
      </c>
      <c r="E32" s="2229" t="str">
        <f>IF(J17="","",(workings2x!Q37-J17))</f>
        <v/>
      </c>
      <c r="F32" s="2229" t="str">
        <f>IF(J17="","",workings2!T37-(N17+E32+G32+I32+J32+K32+L32+M32))</f>
        <v/>
      </c>
      <c r="G32" s="2229" t="str">
        <f>IF(D17="","",IF(OR(workings2!$X$2=FALSE,H17="y"),0,workings2!R37*-0.8))</f>
        <v/>
      </c>
      <c r="H32" s="2230" t="str">
        <f>IF(D17="","",IF(workings2!AH37=5000000,"5 Million",workings2!AH37))</f>
        <v/>
      </c>
      <c r="I32" s="2229" t="str">
        <f>IF(J17="","",(((workings2!Q37+L17)/workings2!AH37)-(workings2!Q37+L17))*workings2!U37)</f>
        <v/>
      </c>
      <c r="J32" s="2229" t="str">
        <f>IF(J17="","",workings2!AR37-workings2x!AR37)</f>
        <v/>
      </c>
      <c r="K32" s="2229" t="str">
        <f>IF(D17="","",workings2!CC37)</f>
        <v/>
      </c>
      <c r="L32" s="2229"/>
      <c r="M32" s="2229" t="str">
        <f>IF(J17="","",workings2!AZ37)</f>
        <v/>
      </c>
      <c r="N32" s="1648" t="str">
        <f t="shared" si="7"/>
        <v/>
      </c>
      <c r="Q32" s="2238"/>
      <c r="R32" s="2238"/>
      <c r="S32" s="2238"/>
      <c r="U32" s="2231">
        <f t="shared" si="8"/>
        <v>0</v>
      </c>
      <c r="V32" s="2232">
        <f t="shared" si="9"/>
        <v>0</v>
      </c>
      <c r="W32" s="2231">
        <f t="shared" si="10"/>
        <v>0</v>
      </c>
      <c r="X32" s="2231">
        <f t="shared" si="11"/>
        <v>0</v>
      </c>
      <c r="Y32" s="2231">
        <f t="shared" si="12"/>
        <v>0</v>
      </c>
      <c r="Z32" s="2231">
        <f t="shared" si="13"/>
        <v>0</v>
      </c>
      <c r="AA32" s="2231">
        <f t="shared" si="14"/>
        <v>0</v>
      </c>
      <c r="AB32" s="2231">
        <f t="shared" si="15"/>
        <v>0</v>
      </c>
      <c r="AC32" s="2231">
        <f t="shared" si="16"/>
        <v>0</v>
      </c>
      <c r="AD32" s="2231">
        <f t="shared" si="17"/>
        <v>0</v>
      </c>
      <c r="AF32" s="2238"/>
      <c r="AG32" s="2238"/>
      <c r="AH32" s="2238"/>
      <c r="AI32" s="2238"/>
      <c r="AJ32" s="2238"/>
      <c r="AK32" s="2238"/>
      <c r="AL32" s="2238"/>
      <c r="AM32" s="2238"/>
    </row>
    <row r="33" spans="1:39" x14ac:dyDescent="0.25">
      <c r="A33" s="2238"/>
      <c r="C33" s="2192" t="str">
        <f t="shared" si="6"/>
        <v/>
      </c>
      <c r="D33" s="2192" t="str">
        <f t="shared" si="6"/>
        <v/>
      </c>
      <c r="E33" s="2229" t="str">
        <f>IF(J18="","",(workings2x!Q38-J18))</f>
        <v/>
      </c>
      <c r="F33" s="2229" t="str">
        <f>IF(J18="","",workings2!T38-(N18+E33+G33+I33+J33+K33+L33+M33))</f>
        <v/>
      </c>
      <c r="G33" s="2229" t="str">
        <f>IF(D18="","",IF(OR(workings2!$X$2=FALSE,H18="y"),0,workings2!R38*-0.8))</f>
        <v/>
      </c>
      <c r="H33" s="2230" t="str">
        <f>IF(D18="","",IF(workings2!AH38=5000000,"5 Million",workings2!AH38))</f>
        <v/>
      </c>
      <c r="I33" s="2229" t="str">
        <f>IF(J18="","",(((workings2!Q38+L18)/workings2!AH38)-(workings2!Q38+L18))*workings2!U38)</f>
        <v/>
      </c>
      <c r="J33" s="2229" t="str">
        <f>IF(J18="","",workings2!AR38-workings2x!AR38)</f>
        <v/>
      </c>
      <c r="K33" s="2229" t="str">
        <f>IF(D18="","",workings2!CC38)</f>
        <v/>
      </c>
      <c r="L33" s="2229"/>
      <c r="M33" s="2229" t="str">
        <f>IF(J18="","",workings2!AZ38)</f>
        <v/>
      </c>
      <c r="N33" s="1648" t="str">
        <f t="shared" si="7"/>
        <v/>
      </c>
      <c r="Q33" s="2238"/>
      <c r="R33" s="2238"/>
      <c r="S33" s="2238"/>
      <c r="U33" s="2231">
        <f t="shared" si="8"/>
        <v>0</v>
      </c>
      <c r="V33" s="2232">
        <f t="shared" si="9"/>
        <v>0</v>
      </c>
      <c r="W33" s="2231">
        <f t="shared" si="10"/>
        <v>0</v>
      </c>
      <c r="X33" s="2231">
        <f t="shared" si="11"/>
        <v>0</v>
      </c>
      <c r="Y33" s="2231">
        <f t="shared" si="12"/>
        <v>0</v>
      </c>
      <c r="Z33" s="2231">
        <f t="shared" si="13"/>
        <v>0</v>
      </c>
      <c r="AA33" s="2231">
        <f t="shared" si="14"/>
        <v>0</v>
      </c>
      <c r="AB33" s="2231">
        <f t="shared" si="15"/>
        <v>0</v>
      </c>
      <c r="AC33" s="2231">
        <f t="shared" si="16"/>
        <v>0</v>
      </c>
      <c r="AD33" s="2231">
        <f t="shared" si="17"/>
        <v>0</v>
      </c>
      <c r="AF33" s="2238"/>
      <c r="AG33" s="2238"/>
      <c r="AH33" s="2238"/>
      <c r="AI33" s="2238"/>
      <c r="AJ33" s="2238"/>
      <c r="AK33" s="2238"/>
      <c r="AL33" s="2238"/>
      <c r="AM33" s="2238"/>
    </row>
    <row r="34" spans="1:39" x14ac:dyDescent="0.25">
      <c r="A34" s="2238"/>
      <c r="C34" s="2192" t="str">
        <f t="shared" si="6"/>
        <v/>
      </c>
      <c r="D34" s="2192" t="str">
        <f t="shared" si="6"/>
        <v/>
      </c>
      <c r="E34" s="2229" t="str">
        <f>IF(J19="","",(workings2x!Q39-J19))</f>
        <v/>
      </c>
      <c r="F34" s="2229" t="str">
        <f>IF(J19="","",workings2!T39-(N19+E34+G34+I34+J34+K34+L34+M34))</f>
        <v/>
      </c>
      <c r="G34" s="2229" t="str">
        <f>IF(D19="","",IF(OR(workings2!$X$2=FALSE,H19="y"),0,workings2!R39*-0.8))</f>
        <v/>
      </c>
      <c r="H34" s="2230" t="str">
        <f>IF(D19="","",IF(workings2!AH39=5000000,"5 Million",workings2!AH39))</f>
        <v/>
      </c>
      <c r="I34" s="2229" t="str">
        <f>IF(J19="","",(((workings2!Q39+L19)/workings2!AH39)-(workings2!Q39+L19))*workings2!U39)</f>
        <v/>
      </c>
      <c r="J34" s="2229" t="str">
        <f>IF(J19="","",workings2!AR39-workings2x!AR39)</f>
        <v/>
      </c>
      <c r="K34" s="2229" t="str">
        <f>IF(D19="","",workings2!CC39)</f>
        <v/>
      </c>
      <c r="L34" s="2229"/>
      <c r="M34" s="2229" t="str">
        <f>IF(J19="","",workings2!AZ39)</f>
        <v/>
      </c>
      <c r="N34" s="1648" t="str">
        <f t="shared" si="7"/>
        <v/>
      </c>
      <c r="Q34" s="2238"/>
      <c r="R34" s="2238"/>
      <c r="S34" s="2238"/>
      <c r="U34" s="2231">
        <f t="shared" si="8"/>
        <v>0</v>
      </c>
      <c r="V34" s="2232">
        <f t="shared" si="9"/>
        <v>0</v>
      </c>
      <c r="W34" s="2231">
        <f t="shared" si="10"/>
        <v>0</v>
      </c>
      <c r="X34" s="2231">
        <f t="shared" si="11"/>
        <v>0</v>
      </c>
      <c r="Y34" s="2231">
        <f t="shared" si="12"/>
        <v>0</v>
      </c>
      <c r="Z34" s="2231">
        <f t="shared" si="13"/>
        <v>0</v>
      </c>
      <c r="AA34" s="2231">
        <f t="shared" si="14"/>
        <v>0</v>
      </c>
      <c r="AB34" s="2231">
        <f t="shared" si="15"/>
        <v>0</v>
      </c>
      <c r="AC34" s="2231">
        <f t="shared" si="16"/>
        <v>0</v>
      </c>
      <c r="AD34" s="2231">
        <f t="shared" si="17"/>
        <v>0</v>
      </c>
      <c r="AF34" s="2238"/>
      <c r="AG34" s="2238"/>
      <c r="AH34" s="2238"/>
      <c r="AI34" s="2238"/>
      <c r="AJ34" s="2238"/>
      <c r="AK34" s="2238"/>
      <c r="AL34" s="2238"/>
      <c r="AM34" s="2238"/>
    </row>
    <row r="35" spans="1:39" x14ac:dyDescent="0.25">
      <c r="A35" s="2238"/>
      <c r="C35" s="2192" t="str">
        <f t="shared" si="6"/>
        <v/>
      </c>
      <c r="D35" s="2192" t="str">
        <f t="shared" si="6"/>
        <v/>
      </c>
      <c r="E35" s="2229" t="str">
        <f>IF(J20="","",(workings2x!Q40-J20))</f>
        <v/>
      </c>
      <c r="F35" s="2229" t="str">
        <f>IF(J20="","",workings2!T40-(N20+E35+G35+I35+J35+K35+L35+M35))</f>
        <v/>
      </c>
      <c r="G35" s="2229" t="str">
        <f>IF(D20="","",IF(OR(workings2!$X$2=FALSE,H20="y"),0,workings2!R40*-0.8))</f>
        <v/>
      </c>
      <c r="H35" s="2230" t="str">
        <f>IF(D20="","",IF(workings2!AH40=5000000,"5 Million",workings2!AH40))</f>
        <v/>
      </c>
      <c r="I35" s="2229" t="str">
        <f>IF(J20="","",(((workings2!Q40+L20)/workings2!AH40)-(workings2!Q40+L20))*workings2!U40)</f>
        <v/>
      </c>
      <c r="J35" s="2229" t="str">
        <f>IF(J20="","",workings2!AR40-workings2x!AR40)</f>
        <v/>
      </c>
      <c r="K35" s="2229" t="str">
        <f>IF(D20="","",workings2!CC40)</f>
        <v/>
      </c>
      <c r="L35" s="2229"/>
      <c r="M35" s="2229" t="str">
        <f>IF(J20="","",workings2!AZ40)</f>
        <v/>
      </c>
      <c r="N35" s="1648" t="str">
        <f t="shared" si="7"/>
        <v/>
      </c>
      <c r="Q35" s="2238"/>
      <c r="R35" s="2238"/>
      <c r="S35" s="2238"/>
      <c r="U35" s="2231">
        <f t="shared" si="8"/>
        <v>0</v>
      </c>
      <c r="V35" s="2232">
        <f t="shared" si="9"/>
        <v>0</v>
      </c>
      <c r="W35" s="2231">
        <f t="shared" si="10"/>
        <v>0</v>
      </c>
      <c r="X35" s="2231">
        <f t="shared" si="11"/>
        <v>0</v>
      </c>
      <c r="Y35" s="2231">
        <f t="shared" si="12"/>
        <v>0</v>
      </c>
      <c r="Z35" s="2231">
        <f t="shared" si="13"/>
        <v>0</v>
      </c>
      <c r="AA35" s="2231">
        <f t="shared" si="14"/>
        <v>0</v>
      </c>
      <c r="AB35" s="2231">
        <f t="shared" si="15"/>
        <v>0</v>
      </c>
      <c r="AC35" s="2231">
        <f t="shared" si="16"/>
        <v>0</v>
      </c>
      <c r="AD35" s="2231">
        <f t="shared" si="17"/>
        <v>0</v>
      </c>
      <c r="AF35" s="2238"/>
      <c r="AG35" s="2238"/>
      <c r="AH35" s="2238"/>
      <c r="AI35" s="2238"/>
      <c r="AJ35" s="2238"/>
      <c r="AK35" s="2238"/>
      <c r="AL35" s="2238"/>
      <c r="AM35" s="2238"/>
    </row>
    <row r="36" spans="1:39" ht="13" x14ac:dyDescent="0.3">
      <c r="A36" s="2238"/>
      <c r="C36" s="1501"/>
      <c r="D36" s="1501"/>
      <c r="E36" s="2233">
        <f ca="1">SUM(E24:E35)</f>
        <v>0</v>
      </c>
      <c r="F36" s="2233">
        <f ca="1">SUM(F24:F35)</f>
        <v>0</v>
      </c>
      <c r="G36" s="2233">
        <f ca="1">SUM(G24:G35)</f>
        <v>0</v>
      </c>
      <c r="H36" s="2233"/>
      <c r="I36" s="2233">
        <f t="shared" ref="I36:N36" ca="1" si="18">SUM(I24:I35)</f>
        <v>0</v>
      </c>
      <c r="J36" s="2233">
        <f t="shared" ca="1" si="18"/>
        <v>0</v>
      </c>
      <c r="K36" s="2233">
        <f t="shared" ca="1" si="18"/>
        <v>0</v>
      </c>
      <c r="L36" s="2233">
        <f t="shared" si="18"/>
        <v>0</v>
      </c>
      <c r="M36" s="2233">
        <f t="shared" ca="1" si="18"/>
        <v>0</v>
      </c>
      <c r="N36" s="2221">
        <f t="shared" ca="1" si="18"/>
        <v>0</v>
      </c>
      <c r="Q36" s="2238"/>
      <c r="R36" s="2238"/>
      <c r="S36" s="2238"/>
      <c r="AF36" s="2238"/>
      <c r="AG36" s="2238"/>
      <c r="AH36" s="2238"/>
      <c r="AI36" s="2238"/>
      <c r="AJ36" s="2238"/>
      <c r="AK36" s="2238"/>
      <c r="AL36" s="2238"/>
      <c r="AM36" s="2238"/>
    </row>
    <row r="37" spans="1:39" ht="13" x14ac:dyDescent="0.3">
      <c r="A37" s="2238"/>
      <c r="M37" s="2234" t="str">
        <f ca="1">IF(M36=workings2!BA41,"capped at","")</f>
        <v/>
      </c>
      <c r="Q37" s="2238"/>
      <c r="R37" s="2238"/>
      <c r="S37" s="2238"/>
      <c r="AF37" s="2238"/>
      <c r="AG37" s="2238"/>
      <c r="AH37" s="2238"/>
      <c r="AI37" s="2238"/>
      <c r="AJ37" s="2238"/>
      <c r="AK37" s="2238"/>
      <c r="AL37" s="2238"/>
      <c r="AM37" s="2238"/>
    </row>
    <row r="38" spans="1:39" ht="13" x14ac:dyDescent="0.3">
      <c r="A38" s="2238"/>
      <c r="M38" s="2235" t="str">
        <f ca="1">IF(M36=workings2!BA41,workings2!BA41*-1,"")</f>
        <v/>
      </c>
      <c r="N38" s="2232"/>
      <c r="Q38" s="2238"/>
      <c r="R38" s="2238"/>
      <c r="S38" s="2238"/>
      <c r="AF38" s="2238"/>
      <c r="AG38" s="2238"/>
      <c r="AH38" s="2238"/>
      <c r="AI38" s="2238"/>
      <c r="AJ38" s="2238"/>
      <c r="AK38" s="2238"/>
      <c r="AL38" s="2238"/>
      <c r="AM38" s="2238"/>
    </row>
    <row r="39" spans="1:39" x14ac:dyDescent="0.25">
      <c r="A39" s="2238"/>
      <c r="B39" s="2238"/>
      <c r="C39" s="2238"/>
      <c r="D39" s="2238"/>
      <c r="E39" s="2238"/>
      <c r="F39" s="2238"/>
      <c r="G39" s="2238"/>
      <c r="H39" s="2238"/>
      <c r="I39" s="2238"/>
      <c r="J39" s="2238"/>
      <c r="K39" s="2238"/>
      <c r="L39" s="2238"/>
      <c r="M39" s="2238"/>
      <c r="N39" s="2238"/>
      <c r="O39" s="2238"/>
      <c r="P39" s="2238"/>
      <c r="Q39" s="2238"/>
      <c r="R39" s="2238"/>
      <c r="S39" s="2238"/>
      <c r="AF39" s="2238"/>
      <c r="AG39" s="2238"/>
      <c r="AH39" s="2238"/>
      <c r="AI39" s="2238"/>
      <c r="AJ39" s="2238"/>
      <c r="AK39" s="2238"/>
      <c r="AL39" s="2238"/>
      <c r="AM39" s="2238"/>
    </row>
    <row r="40" spans="1:39" x14ac:dyDescent="0.25">
      <c r="A40" s="2238"/>
      <c r="B40" s="2238"/>
      <c r="C40" s="2238"/>
      <c r="D40" s="2238"/>
      <c r="E40" s="2238"/>
      <c r="F40" s="2238"/>
      <c r="G40" s="2238"/>
      <c r="H40" s="2238"/>
      <c r="I40" s="2238"/>
      <c r="J40" s="2238"/>
      <c r="K40" s="2238"/>
      <c r="L40" s="2238"/>
      <c r="M40" s="2238"/>
      <c r="N40" s="2238"/>
      <c r="O40" s="2238"/>
      <c r="P40" s="2238"/>
      <c r="Q40" s="2238"/>
      <c r="R40" s="2238"/>
      <c r="S40" s="2238"/>
      <c r="AF40" s="2238"/>
      <c r="AG40" s="2238"/>
      <c r="AH40" s="2238"/>
      <c r="AI40" s="2238"/>
      <c r="AJ40" s="2238"/>
      <c r="AK40" s="2238"/>
      <c r="AL40" s="2238"/>
      <c r="AM40" s="2238"/>
    </row>
    <row r="41" spans="1:39" x14ac:dyDescent="0.25">
      <c r="A41" s="2238"/>
      <c r="B41" s="2238"/>
      <c r="C41" s="2238"/>
      <c r="D41" s="2238"/>
      <c r="E41" s="2238"/>
      <c r="F41" s="2238"/>
      <c r="G41" s="2238"/>
      <c r="H41" s="2238"/>
      <c r="I41" s="2238"/>
      <c r="J41" s="2238"/>
      <c r="K41" s="2238"/>
      <c r="L41" s="2238"/>
      <c r="M41" s="2238"/>
      <c r="N41" s="2238"/>
      <c r="O41" s="2238"/>
      <c r="P41" s="2238"/>
      <c r="Q41" s="2238"/>
      <c r="R41" s="2238"/>
      <c r="S41" s="2238"/>
      <c r="AF41" s="2238"/>
      <c r="AG41" s="2238"/>
      <c r="AH41" s="2238"/>
      <c r="AI41" s="2238"/>
      <c r="AJ41" s="2238"/>
      <c r="AK41" s="2238"/>
      <c r="AL41" s="2238"/>
      <c r="AM41" s="2238"/>
    </row>
    <row r="42" spans="1:39" x14ac:dyDescent="0.25">
      <c r="A42" s="2238"/>
      <c r="B42" s="2238"/>
      <c r="C42" s="2238"/>
      <c r="D42" s="2238"/>
      <c r="E42" s="2238"/>
      <c r="F42" s="2238"/>
      <c r="G42" s="2238"/>
      <c r="H42" s="2238"/>
      <c r="I42" s="2238"/>
      <c r="J42" s="2238"/>
      <c r="K42" s="2238"/>
      <c r="L42" s="2238"/>
      <c r="M42" s="2238"/>
      <c r="N42" s="2238"/>
      <c r="O42" s="2238"/>
      <c r="P42" s="2238"/>
      <c r="Q42" s="2238"/>
      <c r="R42" s="2238"/>
      <c r="S42" s="2238"/>
      <c r="AF42" s="2238"/>
      <c r="AG42" s="2238"/>
      <c r="AH42" s="2238"/>
      <c r="AI42" s="2238"/>
      <c r="AJ42" s="2238"/>
      <c r="AK42" s="2238"/>
      <c r="AL42" s="2238"/>
      <c r="AM42" s="2238"/>
    </row>
    <row r="43" spans="1:39" x14ac:dyDescent="0.25">
      <c r="A43" s="2238"/>
      <c r="B43" s="2238"/>
      <c r="C43" s="2238"/>
      <c r="D43" s="2238"/>
      <c r="E43" s="2238"/>
      <c r="F43" s="2238"/>
      <c r="G43" s="2238"/>
      <c r="H43" s="2238"/>
      <c r="I43" s="2238"/>
      <c r="J43" s="2238"/>
      <c r="K43" s="2238"/>
      <c r="L43" s="2238"/>
      <c r="M43" s="2238"/>
      <c r="N43" s="2238"/>
      <c r="O43" s="2238"/>
      <c r="P43" s="2238"/>
      <c r="Q43" s="2238"/>
      <c r="R43" s="2238"/>
      <c r="S43" s="2238"/>
      <c r="AF43" s="2238"/>
      <c r="AG43" s="2238"/>
      <c r="AH43" s="2238"/>
      <c r="AI43" s="2238"/>
      <c r="AJ43" s="2238"/>
      <c r="AK43" s="2238"/>
      <c r="AL43" s="2238"/>
      <c r="AM43" s="2238"/>
    </row>
    <row r="44" spans="1:39" x14ac:dyDescent="0.25">
      <c r="A44" s="2238"/>
      <c r="B44" s="2238"/>
      <c r="C44" s="2238"/>
      <c r="D44" s="2238"/>
      <c r="E44" s="2238"/>
      <c r="F44" s="2238"/>
      <c r="G44" s="2238"/>
      <c r="H44" s="2238"/>
      <c r="I44" s="2238"/>
      <c r="J44" s="2238"/>
      <c r="K44" s="2238"/>
      <c r="L44" s="2238"/>
      <c r="M44" s="2238"/>
      <c r="N44" s="2238"/>
      <c r="O44" s="2238"/>
      <c r="P44" s="2238"/>
      <c r="Q44" s="2238"/>
      <c r="R44" s="2238"/>
      <c r="S44" s="2238"/>
      <c r="AF44" s="2238"/>
      <c r="AG44" s="2238"/>
      <c r="AH44" s="2238"/>
      <c r="AI44" s="2238"/>
      <c r="AJ44" s="2238"/>
      <c r="AK44" s="2238"/>
      <c r="AL44" s="2238"/>
      <c r="AM44" s="2238"/>
    </row>
    <row r="45" spans="1:39" x14ac:dyDescent="0.25">
      <c r="A45" s="2238"/>
      <c r="B45" s="2238"/>
      <c r="C45" s="2238"/>
      <c r="D45" s="2238"/>
      <c r="E45" s="2238"/>
      <c r="F45" s="2238"/>
      <c r="G45" s="2238"/>
      <c r="H45" s="2238"/>
      <c r="I45" s="2238"/>
      <c r="J45" s="2238"/>
      <c r="K45" s="2238"/>
      <c r="L45" s="2238"/>
      <c r="M45" s="2238"/>
      <c r="N45" s="2238"/>
      <c r="O45" s="2238"/>
      <c r="P45" s="2238"/>
      <c r="Q45" s="2238"/>
      <c r="R45" s="2238"/>
      <c r="S45" s="2238"/>
      <c r="AF45" s="2238"/>
      <c r="AG45" s="2238"/>
      <c r="AH45" s="2238"/>
      <c r="AI45" s="2238"/>
      <c r="AJ45" s="2238"/>
      <c r="AK45" s="2238"/>
      <c r="AL45" s="2238"/>
      <c r="AM45" s="2238"/>
    </row>
    <row r="46" spans="1:39" x14ac:dyDescent="0.25">
      <c r="A46" s="2238"/>
      <c r="B46" s="2238"/>
      <c r="C46" s="2238"/>
      <c r="D46" s="2238"/>
      <c r="E46" s="2238"/>
      <c r="F46" s="2238"/>
      <c r="G46" s="2238"/>
      <c r="H46" s="2238"/>
      <c r="I46" s="2238"/>
      <c r="J46" s="2238"/>
      <c r="K46" s="2238"/>
      <c r="L46" s="2238"/>
      <c r="M46" s="2238"/>
      <c r="N46" s="2238"/>
      <c r="O46" s="2238"/>
      <c r="P46" s="2238"/>
      <c r="Q46" s="2238"/>
      <c r="R46" s="2238"/>
      <c r="S46" s="2238"/>
      <c r="AF46" s="2238"/>
      <c r="AG46" s="2238"/>
      <c r="AH46" s="2238"/>
      <c r="AI46" s="2238"/>
      <c r="AJ46" s="2238"/>
      <c r="AK46" s="2238"/>
      <c r="AL46" s="2238"/>
      <c r="AM46" s="2238"/>
    </row>
    <row r="47" spans="1:39" x14ac:dyDescent="0.25">
      <c r="A47" s="2238"/>
      <c r="B47" s="2238"/>
      <c r="C47" s="2238"/>
      <c r="D47" s="2238"/>
      <c r="E47" s="2238"/>
      <c r="F47" s="2238"/>
      <c r="G47" s="2238"/>
      <c r="H47" s="2238"/>
      <c r="I47" s="2238"/>
      <c r="J47" s="2238"/>
      <c r="K47" s="2238"/>
      <c r="L47" s="2238"/>
      <c r="M47" s="2238"/>
      <c r="N47" s="2238"/>
      <c r="O47" s="2238"/>
      <c r="P47" s="2238"/>
      <c r="Q47" s="2238"/>
      <c r="R47" s="2238"/>
      <c r="S47" s="2238"/>
      <c r="AF47" s="2238"/>
      <c r="AG47" s="2238"/>
      <c r="AH47" s="2238"/>
      <c r="AI47" s="2238"/>
      <c r="AJ47" s="2238"/>
      <c r="AK47" s="2238"/>
      <c r="AL47" s="2238"/>
      <c r="AM47" s="2238"/>
    </row>
    <row r="48" spans="1:39" x14ac:dyDescent="0.25">
      <c r="A48" s="2238"/>
      <c r="B48" s="2238"/>
      <c r="C48" s="2238"/>
      <c r="D48" s="2238"/>
      <c r="E48" s="2238"/>
      <c r="F48" s="2238"/>
      <c r="G48" s="2238"/>
      <c r="H48" s="2238"/>
      <c r="I48" s="2238"/>
      <c r="J48" s="2238"/>
      <c r="K48" s="2238"/>
      <c r="L48" s="2238"/>
      <c r="M48" s="2238"/>
      <c r="N48" s="2238"/>
      <c r="O48" s="2238"/>
      <c r="P48" s="2238"/>
      <c r="Q48" s="2238"/>
      <c r="R48" s="2238"/>
      <c r="S48" s="2238"/>
      <c r="AF48" s="2238"/>
      <c r="AG48" s="2238"/>
      <c r="AH48" s="2238"/>
      <c r="AI48" s="2238"/>
      <c r="AJ48" s="2238"/>
      <c r="AK48" s="2238"/>
      <c r="AL48" s="2238"/>
      <c r="AM48" s="2238"/>
    </row>
    <row r="49" spans="1:39" x14ac:dyDescent="0.25">
      <c r="A49" s="2238"/>
      <c r="B49" s="2238"/>
      <c r="C49" s="2238"/>
      <c r="D49" s="2238"/>
      <c r="E49" s="2238"/>
      <c r="F49" s="2238"/>
      <c r="G49" s="2238"/>
      <c r="H49" s="2238"/>
      <c r="I49" s="2238"/>
      <c r="J49" s="2238"/>
      <c r="K49" s="2238"/>
      <c r="L49" s="2238"/>
      <c r="M49" s="2238"/>
      <c r="N49" s="2238"/>
      <c r="O49" s="2238"/>
      <c r="P49" s="2238"/>
      <c r="Q49" s="2238"/>
      <c r="R49" s="2238"/>
      <c r="S49" s="2238"/>
      <c r="AF49" s="2238"/>
      <c r="AG49" s="2238"/>
      <c r="AH49" s="2238"/>
      <c r="AI49" s="2238"/>
      <c r="AJ49" s="2238"/>
      <c r="AK49" s="2238"/>
      <c r="AL49" s="2238"/>
      <c r="AM49" s="2238"/>
    </row>
    <row r="50" spans="1:39" x14ac:dyDescent="0.25">
      <c r="A50" s="2238"/>
      <c r="B50" s="2238"/>
      <c r="C50" s="2238"/>
      <c r="D50" s="2238"/>
      <c r="E50" s="2238"/>
      <c r="F50" s="2238"/>
      <c r="G50" s="2238"/>
      <c r="H50" s="2238"/>
      <c r="I50" s="2238"/>
      <c r="J50" s="2238"/>
      <c r="K50" s="2238"/>
      <c r="L50" s="2238"/>
      <c r="M50" s="2238"/>
      <c r="N50" s="2238"/>
      <c r="O50" s="2238"/>
      <c r="P50" s="2238"/>
      <c r="Q50" s="2238"/>
      <c r="R50" s="2238"/>
      <c r="S50" s="2238"/>
      <c r="AF50" s="2238"/>
      <c r="AG50" s="2238"/>
      <c r="AH50" s="2238"/>
      <c r="AI50" s="2238"/>
      <c r="AJ50" s="2238"/>
      <c r="AK50" s="2238"/>
      <c r="AL50" s="2238"/>
      <c r="AM50" s="2238"/>
    </row>
    <row r="51" spans="1:39" x14ac:dyDescent="0.25">
      <c r="A51" s="2238"/>
      <c r="B51" s="2238"/>
      <c r="C51" s="2238"/>
      <c r="D51" s="2238"/>
      <c r="E51" s="2238"/>
      <c r="F51" s="2238"/>
      <c r="G51" s="2238"/>
      <c r="H51" s="2238"/>
      <c r="I51" s="2238"/>
      <c r="J51" s="2238"/>
      <c r="K51" s="2238"/>
      <c r="L51" s="2238"/>
      <c r="M51" s="2238"/>
      <c r="N51" s="2238"/>
      <c r="O51" s="2238"/>
      <c r="P51" s="2238"/>
      <c r="Q51" s="2238"/>
      <c r="R51" s="2238"/>
      <c r="S51" s="2238"/>
      <c r="AF51" s="2238"/>
      <c r="AG51" s="2238"/>
      <c r="AH51" s="2238"/>
      <c r="AI51" s="2238"/>
      <c r="AJ51" s="2238"/>
      <c r="AK51" s="2238"/>
      <c r="AL51" s="2238"/>
      <c r="AM51" s="2238"/>
    </row>
    <row r="52" spans="1:39" x14ac:dyDescent="0.25">
      <c r="A52" s="2238"/>
      <c r="B52" s="2238"/>
      <c r="C52" s="2238"/>
      <c r="D52" s="2238"/>
      <c r="E52" s="2238"/>
      <c r="F52" s="2238"/>
      <c r="G52" s="2238"/>
      <c r="H52" s="2238"/>
      <c r="I52" s="2238"/>
      <c r="J52" s="2238"/>
      <c r="K52" s="2238"/>
      <c r="L52" s="2238"/>
      <c r="M52" s="2238"/>
      <c r="N52" s="2238"/>
      <c r="O52" s="2238"/>
      <c r="P52" s="2238"/>
      <c r="Q52" s="2238"/>
      <c r="R52" s="2238"/>
      <c r="S52" s="2238"/>
      <c r="AF52" s="2238"/>
      <c r="AG52" s="2238"/>
      <c r="AH52" s="2238"/>
      <c r="AI52" s="2238"/>
      <c r="AJ52" s="2238"/>
      <c r="AK52" s="2238"/>
      <c r="AL52" s="2238"/>
      <c r="AM52" s="2238"/>
    </row>
    <row r="53" spans="1:39" x14ac:dyDescent="0.25">
      <c r="A53" s="2238"/>
      <c r="B53" s="2238"/>
      <c r="C53" s="2238"/>
      <c r="D53" s="2238"/>
      <c r="E53" s="2238"/>
      <c r="F53" s="2238"/>
      <c r="G53" s="2238"/>
      <c r="H53" s="2238"/>
      <c r="I53" s="2238"/>
      <c r="J53" s="2238"/>
      <c r="K53" s="2238"/>
      <c r="L53" s="2238"/>
      <c r="M53" s="2238"/>
      <c r="N53" s="2238"/>
      <c r="O53" s="2238"/>
      <c r="P53" s="2238"/>
      <c r="Q53" s="2238"/>
      <c r="R53" s="2238"/>
      <c r="S53" s="2238"/>
      <c r="AF53" s="2238"/>
      <c r="AG53" s="2238"/>
      <c r="AH53" s="2238"/>
      <c r="AI53" s="2238"/>
      <c r="AJ53" s="2238"/>
      <c r="AK53" s="2238"/>
      <c r="AL53" s="2238"/>
      <c r="AM53" s="2238"/>
    </row>
    <row r="54" spans="1:39" x14ac:dyDescent="0.25">
      <c r="A54" s="2238"/>
      <c r="B54" s="2238"/>
      <c r="C54" s="2238"/>
      <c r="D54" s="2238"/>
      <c r="E54" s="2238"/>
      <c r="F54" s="2238"/>
      <c r="G54" s="2238"/>
      <c r="H54" s="2238"/>
      <c r="I54" s="2238"/>
      <c r="J54" s="2238"/>
      <c r="K54" s="2238"/>
      <c r="L54" s="2238"/>
      <c r="M54" s="2238"/>
      <c r="N54" s="2238"/>
      <c r="O54" s="2238"/>
      <c r="P54" s="2238"/>
      <c r="Q54" s="2238"/>
      <c r="R54" s="2238"/>
      <c r="S54" s="2238"/>
      <c r="AF54" s="2238"/>
      <c r="AG54" s="2238"/>
      <c r="AH54" s="2238"/>
      <c r="AI54" s="2238"/>
      <c r="AJ54" s="2238"/>
      <c r="AK54" s="2238"/>
      <c r="AL54" s="2238"/>
      <c r="AM54" s="2238"/>
    </row>
    <row r="55" spans="1:39" x14ac:dyDescent="0.25">
      <c r="A55" s="2238"/>
      <c r="B55" s="2238"/>
      <c r="C55" s="2238"/>
      <c r="D55" s="2238"/>
      <c r="E55" s="2238"/>
      <c r="F55" s="2238"/>
      <c r="G55" s="2238"/>
      <c r="H55" s="2238"/>
      <c r="I55" s="2238"/>
      <c r="J55" s="2238"/>
      <c r="K55" s="2238"/>
      <c r="L55" s="2238"/>
      <c r="M55" s="2238"/>
      <c r="N55" s="2238"/>
      <c r="O55" s="2238"/>
      <c r="P55" s="2238"/>
      <c r="Q55" s="2238"/>
      <c r="R55" s="2238"/>
      <c r="S55" s="2238"/>
      <c r="AF55" s="2238"/>
      <c r="AG55" s="2238"/>
      <c r="AH55" s="2238"/>
      <c r="AI55" s="2238"/>
      <c r="AJ55" s="2238"/>
      <c r="AK55" s="2238"/>
      <c r="AL55" s="2238"/>
      <c r="AM55" s="2238"/>
    </row>
    <row r="56" spans="1:39" x14ac:dyDescent="0.25">
      <c r="A56" s="2238"/>
      <c r="B56" s="2238"/>
      <c r="C56" s="2238"/>
      <c r="D56" s="2238"/>
      <c r="E56" s="2238"/>
      <c r="F56" s="2238"/>
      <c r="G56" s="2238"/>
      <c r="H56" s="2238"/>
      <c r="I56" s="2238"/>
      <c r="J56" s="2238"/>
      <c r="K56" s="2238"/>
      <c r="L56" s="2238"/>
      <c r="M56" s="2238"/>
      <c r="N56" s="2238"/>
      <c r="O56" s="2238"/>
      <c r="P56" s="2238"/>
      <c r="Q56" s="2238"/>
      <c r="R56" s="2238"/>
      <c r="S56" s="2238"/>
      <c r="AF56" s="2238"/>
      <c r="AG56" s="2238"/>
      <c r="AH56" s="2238"/>
      <c r="AI56" s="2238"/>
      <c r="AJ56" s="2238"/>
      <c r="AK56" s="2238"/>
      <c r="AL56" s="2238"/>
      <c r="AM56" s="2238"/>
    </row>
    <row r="57" spans="1:39" x14ac:dyDescent="0.25">
      <c r="A57" s="2238"/>
      <c r="B57" s="2238"/>
      <c r="C57" s="2238"/>
      <c r="D57" s="2238"/>
      <c r="E57" s="2238"/>
      <c r="F57" s="2238"/>
      <c r="G57" s="2238"/>
      <c r="H57" s="2238"/>
      <c r="I57" s="2238"/>
      <c r="J57" s="2238"/>
      <c r="K57" s="2238"/>
      <c r="L57" s="2238"/>
      <c r="M57" s="2238"/>
      <c r="N57" s="2238"/>
      <c r="O57" s="2238"/>
      <c r="P57" s="2238"/>
      <c r="Q57" s="2238"/>
      <c r="R57" s="2238"/>
      <c r="S57" s="2238"/>
      <c r="AF57" s="2238"/>
      <c r="AG57" s="2238"/>
      <c r="AH57" s="2238"/>
      <c r="AI57" s="2238"/>
      <c r="AJ57" s="2238"/>
      <c r="AK57" s="2238"/>
      <c r="AL57" s="2238"/>
      <c r="AM57" s="2238"/>
    </row>
    <row r="58" spans="1:39" x14ac:dyDescent="0.25">
      <c r="A58" s="2238"/>
      <c r="B58" s="2238"/>
      <c r="C58" s="2238"/>
      <c r="D58" s="2238"/>
      <c r="E58" s="2238"/>
      <c r="F58" s="2238"/>
      <c r="G58" s="2238"/>
      <c r="H58" s="2238"/>
      <c r="I58" s="2238"/>
      <c r="J58" s="2238"/>
      <c r="K58" s="2238"/>
      <c r="L58" s="2238"/>
      <c r="M58" s="2238"/>
      <c r="N58" s="2238"/>
      <c r="O58" s="2238"/>
      <c r="P58" s="2238"/>
      <c r="Q58" s="2238"/>
      <c r="R58" s="2238"/>
      <c r="S58" s="2238"/>
      <c r="AF58" s="2238"/>
      <c r="AG58" s="2238"/>
      <c r="AH58" s="2238"/>
      <c r="AI58" s="2238"/>
      <c r="AJ58" s="2238"/>
      <c r="AK58" s="2238"/>
      <c r="AL58" s="2238"/>
      <c r="AM58" s="2238"/>
    </row>
    <row r="59" spans="1:39" x14ac:dyDescent="0.25">
      <c r="A59" s="2238"/>
      <c r="B59" s="2238"/>
      <c r="C59" s="2238"/>
      <c r="D59" s="2238"/>
      <c r="E59" s="2238"/>
      <c r="F59" s="2238"/>
      <c r="G59" s="2238"/>
      <c r="H59" s="2238"/>
      <c r="I59" s="2238"/>
      <c r="J59" s="2238"/>
      <c r="K59" s="2238"/>
      <c r="L59" s="2238"/>
      <c r="M59" s="2238"/>
      <c r="N59" s="2238"/>
      <c r="O59" s="2238"/>
      <c r="P59" s="2238"/>
      <c r="Q59" s="2238"/>
      <c r="R59" s="2238"/>
      <c r="S59" s="2238"/>
      <c r="AF59" s="2238"/>
      <c r="AG59" s="2238"/>
      <c r="AH59" s="2238"/>
      <c r="AI59" s="2238"/>
      <c r="AJ59" s="2238"/>
      <c r="AK59" s="2238"/>
      <c r="AL59" s="2238"/>
      <c r="AM59" s="2238"/>
    </row>
    <row r="60" spans="1:39" x14ac:dyDescent="0.25">
      <c r="A60" s="2238"/>
      <c r="B60" s="2238"/>
      <c r="C60" s="2238"/>
      <c r="D60" s="2238"/>
      <c r="E60" s="2238"/>
      <c r="F60" s="2238"/>
      <c r="G60" s="2238"/>
      <c r="H60" s="2238"/>
      <c r="I60" s="2238"/>
      <c r="J60" s="2238"/>
      <c r="K60" s="2238"/>
      <c r="L60" s="2238"/>
      <c r="M60" s="2238"/>
      <c r="N60" s="2238"/>
      <c r="O60" s="2238"/>
      <c r="P60" s="2238"/>
      <c r="Q60" s="2238"/>
      <c r="R60" s="2238"/>
      <c r="S60" s="2238"/>
      <c r="AF60" s="2238"/>
      <c r="AG60" s="2238"/>
      <c r="AH60" s="2238"/>
      <c r="AI60" s="2238"/>
      <c r="AJ60" s="2238"/>
      <c r="AK60" s="2238"/>
      <c r="AL60" s="2238"/>
      <c r="AM60" s="2238"/>
    </row>
    <row r="61" spans="1:39" x14ac:dyDescent="0.25">
      <c r="A61" s="2238"/>
      <c r="B61" s="2238"/>
      <c r="C61" s="2238"/>
      <c r="D61" s="2238"/>
      <c r="E61" s="2238"/>
      <c r="F61" s="2238"/>
      <c r="G61" s="2238"/>
      <c r="H61" s="2238"/>
      <c r="I61" s="2238"/>
      <c r="J61" s="2238"/>
      <c r="K61" s="2238"/>
      <c r="L61" s="2238"/>
      <c r="M61" s="2238"/>
      <c r="N61" s="2238"/>
      <c r="O61" s="2238"/>
      <c r="P61" s="2238"/>
      <c r="Q61" s="2238"/>
      <c r="R61" s="2238"/>
      <c r="S61" s="2238"/>
      <c r="AF61" s="2238"/>
      <c r="AG61" s="2238"/>
      <c r="AH61" s="2238"/>
      <c r="AI61" s="2238"/>
      <c r="AJ61" s="2238"/>
      <c r="AK61" s="2238"/>
      <c r="AL61" s="2238"/>
      <c r="AM61" s="2238"/>
    </row>
    <row r="62" spans="1:39" x14ac:dyDescent="0.25">
      <c r="A62" s="2238"/>
      <c r="B62" s="2238"/>
      <c r="C62" s="2238"/>
      <c r="D62" s="2238"/>
      <c r="E62" s="2238"/>
      <c r="F62" s="2238"/>
      <c r="G62" s="2238"/>
      <c r="H62" s="2238"/>
      <c r="I62" s="2238"/>
      <c r="J62" s="2238"/>
      <c r="K62" s="2238"/>
      <c r="L62" s="2238"/>
      <c r="M62" s="2238"/>
      <c r="N62" s="2238"/>
      <c r="O62" s="2238"/>
      <c r="P62" s="2238"/>
      <c r="Q62" s="2238"/>
      <c r="R62" s="2238"/>
      <c r="S62" s="2238"/>
      <c r="AF62" s="2238"/>
      <c r="AG62" s="2238"/>
      <c r="AH62" s="2238"/>
      <c r="AI62" s="2238"/>
      <c r="AJ62" s="2238"/>
      <c r="AK62" s="2238"/>
      <c r="AL62" s="2238"/>
      <c r="AM62" s="2238"/>
    </row>
    <row r="63" spans="1:39" x14ac:dyDescent="0.25">
      <c r="A63" s="2238"/>
      <c r="B63" s="2238"/>
      <c r="C63" s="2238"/>
      <c r="D63" s="2238"/>
      <c r="E63" s="2238"/>
      <c r="F63" s="2238"/>
      <c r="G63" s="2238"/>
      <c r="H63" s="2238"/>
      <c r="I63" s="2238"/>
      <c r="J63" s="2238"/>
      <c r="K63" s="2238"/>
      <c r="L63" s="2238"/>
      <c r="M63" s="2238"/>
      <c r="N63" s="2238"/>
      <c r="O63" s="2238"/>
      <c r="P63" s="2238"/>
      <c r="Q63" s="2238"/>
      <c r="R63" s="2238"/>
      <c r="S63" s="2238"/>
      <c r="AF63" s="2238"/>
      <c r="AG63" s="2238"/>
      <c r="AH63" s="2238"/>
      <c r="AI63" s="2238"/>
      <c r="AJ63" s="2238"/>
      <c r="AK63" s="2238"/>
      <c r="AL63" s="2238"/>
      <c r="AM63" s="2238"/>
    </row>
  </sheetData>
  <sheetProtection algorithmName="SHA-512" hashValue="YhK7AEef228ZRkb49z80uuiRgwmqPJ2dFfiKs6bFtXw3FoIip1nx5uwt00ifH2UxSHoNnMQLXHz8cLRft5hzCQ==" saltValue="4UiXt4qshlt4ezuF/9PRUA==" spinCount="100000" sheet="1" objects="1" scenarios="1"/>
  <phoneticPr fontId="124" type="noConversion"/>
  <pageMargins left="0.22" right="0.19685039370078741" top="0.44" bottom="0.36" header="0.28000000000000003" footer="0.16"/>
  <pageSetup paperSize="9" scale="97"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goto_details">
                <anchor moveWithCells="1" sizeWithCells="1">
                  <from>
                    <xdr:col>2</xdr:col>
                    <xdr:colOff>25400</xdr:colOff>
                    <xdr:row>5</xdr:row>
                    <xdr:rowOff>6350</xdr:rowOff>
                  </from>
                  <to>
                    <xdr:col>2</xdr:col>
                    <xdr:colOff>749300</xdr:colOff>
                    <xdr:row>6</xdr:row>
                    <xdr:rowOff>146050</xdr:rowOff>
                  </to>
                </anchor>
              </controlPr>
            </control>
          </mc:Choice>
        </mc:AlternateContent>
        <mc:AlternateContent xmlns:mc="http://schemas.openxmlformats.org/markup-compatibility/2006">
          <mc:Choice Requires="x14">
            <control shapeId="99330" r:id="rId5" name="Button 2">
              <controlPr defaultSize="0" print="0" autoFill="0" autoPict="0" macro="[0]!backto">
                <anchor moveWithCells="1" sizeWithCells="1">
                  <from>
                    <xdr:col>16</xdr:col>
                    <xdr:colOff>44450</xdr:colOff>
                    <xdr:row>1</xdr:row>
                    <xdr:rowOff>6350</xdr:rowOff>
                  </from>
                  <to>
                    <xdr:col>16</xdr:col>
                    <xdr:colOff>1130300</xdr:colOff>
                    <xdr:row>4</xdr:row>
                    <xdr:rowOff>127000</xdr:rowOff>
                  </to>
                </anchor>
              </controlPr>
            </control>
          </mc:Choice>
        </mc:AlternateContent>
        <mc:AlternateContent xmlns:mc="http://schemas.openxmlformats.org/markup-compatibility/2006">
          <mc:Choice Requires="x14">
            <control shapeId="99331" r:id="rId6" name="Button 3">
              <controlPr defaultSize="0" print="0" autoFill="0" autoPict="0" macro="[0]!goto_revised_advdetail_from_original">
                <anchor moveWithCells="1" sizeWithCells="1">
                  <from>
                    <xdr:col>16</xdr:col>
                    <xdr:colOff>63500</xdr:colOff>
                    <xdr:row>7</xdr:row>
                    <xdr:rowOff>679450</xdr:rowOff>
                  </from>
                  <to>
                    <xdr:col>17</xdr:col>
                    <xdr:colOff>577850</xdr:colOff>
                    <xdr:row>10</xdr:row>
                    <xdr:rowOff>139700</xdr:rowOff>
                  </to>
                </anchor>
              </controlPr>
            </control>
          </mc:Choice>
        </mc:AlternateContent>
        <mc:AlternateContent xmlns:mc="http://schemas.openxmlformats.org/markup-compatibility/2006">
          <mc:Choice Requires="x14">
            <control shapeId="99332" r:id="rId7" name="Button 4">
              <controlPr defaultSize="0" print="0" autoFill="0" autoPict="0" macro="[0]!goto_home">
                <anchor moveWithCells="1" sizeWithCells="1">
                  <from>
                    <xdr:col>0</xdr:col>
                    <xdr:colOff>38100</xdr:colOff>
                    <xdr:row>1</xdr:row>
                    <xdr:rowOff>0</xdr:rowOff>
                  </from>
                  <to>
                    <xdr:col>0</xdr:col>
                    <xdr:colOff>622300</xdr:colOff>
                    <xdr:row>4</xdr:row>
                    <xdr:rowOff>25400</xdr:rowOff>
                  </to>
                </anchor>
              </controlPr>
            </control>
          </mc:Choice>
        </mc:AlternateContent>
        <mc:AlternateContent xmlns:mc="http://schemas.openxmlformats.org/markup-compatibility/2006">
          <mc:Choice Requires="x14">
            <control shapeId="99333" r:id="rId8" name="Button 5">
              <controlPr defaultSize="0" print="0" autoFill="0" autoPict="0" macro="[0]!goto_next_year_any_sheet">
                <anchor moveWithCells="1" sizeWithCells="1">
                  <from>
                    <xdr:col>16</xdr:col>
                    <xdr:colOff>990600</xdr:colOff>
                    <xdr:row>11</xdr:row>
                    <xdr:rowOff>0</xdr:rowOff>
                  </from>
                  <to>
                    <xdr:col>17</xdr:col>
                    <xdr:colOff>577850</xdr:colOff>
                    <xdr:row>14</xdr:row>
                    <xdr:rowOff>63500</xdr:rowOff>
                  </to>
                </anchor>
              </controlPr>
            </control>
          </mc:Choice>
        </mc:AlternateContent>
        <mc:AlternateContent xmlns:mc="http://schemas.openxmlformats.org/markup-compatibility/2006">
          <mc:Choice Requires="x14">
            <control shapeId="99334" r:id="rId9" name="Button 6">
              <controlPr defaultSize="0" print="0" autoFill="0" autoPict="0" macro="[0]!goto_previous_year_any_sheet">
                <anchor moveWithCells="1" sizeWithCells="1">
                  <from>
                    <xdr:col>16</xdr:col>
                    <xdr:colOff>69850</xdr:colOff>
                    <xdr:row>11</xdr:row>
                    <xdr:rowOff>0</xdr:rowOff>
                  </from>
                  <to>
                    <xdr:col>16</xdr:col>
                    <xdr:colOff>965200</xdr:colOff>
                    <xdr:row>14</xdr:row>
                    <xdr:rowOff>63500</xdr:rowOff>
                  </to>
                </anchor>
              </controlPr>
            </control>
          </mc:Choice>
        </mc:AlternateContent>
        <mc:AlternateContent xmlns:mc="http://schemas.openxmlformats.org/markup-compatibility/2006">
          <mc:Choice Requires="x14">
            <control shapeId="99335" r:id="rId10" name="Button 7">
              <controlPr defaultSize="0" print="0" autoFill="0" autoPict="0" macro="[0]!copy_as_excel">
                <anchor moveWithCells="1" sizeWithCells="1">
                  <from>
                    <xdr:col>16</xdr:col>
                    <xdr:colOff>69850</xdr:colOff>
                    <xdr:row>7</xdr:row>
                    <xdr:rowOff>146050</xdr:rowOff>
                  </from>
                  <to>
                    <xdr:col>16</xdr:col>
                    <xdr:colOff>755650</xdr:colOff>
                    <xdr:row>7</xdr:row>
                    <xdr:rowOff>533400</xdr:rowOff>
                  </to>
                </anchor>
              </controlPr>
            </control>
          </mc:Choice>
        </mc:AlternateContent>
        <mc:AlternateContent xmlns:mc="http://schemas.openxmlformats.org/markup-compatibility/2006">
          <mc:Choice Requires="x14">
            <control shapeId="99336" r:id="rId11" name="Button 8">
              <controlPr defaultSize="0" print="0" autoFill="0" autoPict="0" macro="[0]!pdflauncher">
                <anchor moveWithCells="1" sizeWithCells="1">
                  <from>
                    <xdr:col>16</xdr:col>
                    <xdr:colOff>762000</xdr:colOff>
                    <xdr:row>7</xdr:row>
                    <xdr:rowOff>146050</xdr:rowOff>
                  </from>
                  <to>
                    <xdr:col>17</xdr:col>
                    <xdr:colOff>279400</xdr:colOff>
                    <xdr:row>7</xdr:row>
                    <xdr:rowOff>533400</xdr:rowOff>
                  </to>
                </anchor>
              </controlPr>
            </control>
          </mc:Choice>
        </mc:AlternateContent>
        <mc:AlternateContent xmlns:mc="http://schemas.openxmlformats.org/markup-compatibility/2006">
          <mc:Choice Requires="x14">
            <control shapeId="99337" r:id="rId12" name="Button 9">
              <controlPr defaultSize="0" print="0" autoFill="0" autoPict="0" macro="[0]!openfolder">
                <anchor moveWithCells="1" sizeWithCells="1">
                  <from>
                    <xdr:col>17</xdr:col>
                    <xdr:colOff>298450</xdr:colOff>
                    <xdr:row>7</xdr:row>
                    <xdr:rowOff>146050</xdr:rowOff>
                  </from>
                  <to>
                    <xdr:col>17</xdr:col>
                    <xdr:colOff>831850</xdr:colOff>
                    <xdr:row>7</xdr:row>
                    <xdr:rowOff>533400</xdr:rowOff>
                  </to>
                </anchor>
              </controlPr>
            </control>
          </mc:Choice>
        </mc:AlternateContent>
        <mc:AlternateContent xmlns:mc="http://schemas.openxmlformats.org/markup-compatibility/2006">
          <mc:Choice Requires="x14">
            <control shapeId="99338" r:id="rId13" name="Button 10">
              <controlPr defaultSize="0" print="0" autoFill="0" autoPict="0" macro="[0]!goto_folder_settings">
                <anchor moveWithCells="1" sizeWithCells="1">
                  <from>
                    <xdr:col>17</xdr:col>
                    <xdr:colOff>838200</xdr:colOff>
                    <xdr:row>7</xdr:row>
                    <xdr:rowOff>146050</xdr:rowOff>
                  </from>
                  <to>
                    <xdr:col>18</xdr:col>
                    <xdr:colOff>482600</xdr:colOff>
                    <xdr:row>7</xdr:row>
                    <xdr:rowOff>533400</xdr:rowOff>
                  </to>
                </anchor>
              </controlPr>
            </control>
          </mc:Choice>
        </mc:AlternateContent>
        <mc:AlternateContent xmlns:mc="http://schemas.openxmlformats.org/markup-compatibility/2006">
          <mc:Choice Requires="x14">
            <control shapeId="99339" r:id="rId14" name="Button 11">
              <controlPr defaultSize="0" print="0" autoFill="0" autoPict="0" macro="[0]!email_pdf_launch">
                <anchor moveWithCells="1" sizeWithCells="1">
                  <from>
                    <xdr:col>16</xdr:col>
                    <xdr:colOff>914400</xdr:colOff>
                    <xdr:row>6</xdr:row>
                    <xdr:rowOff>0</xdr:rowOff>
                  </from>
                  <to>
                    <xdr:col>17</xdr:col>
                    <xdr:colOff>431800</xdr:colOff>
                    <xdr:row>7</xdr:row>
                    <xdr:rowOff>127000</xdr:rowOff>
                  </to>
                </anchor>
              </controlPr>
            </control>
          </mc:Choice>
        </mc:AlternateContent>
        <mc:AlternateContent xmlns:mc="http://schemas.openxmlformats.org/markup-compatibility/2006">
          <mc:Choice Requires="x14">
            <control shapeId="99340" r:id="rId15" name="Button 12">
              <controlPr defaultSize="0" print="0" autoFill="0" autoPict="0" macro="[0]!email_copy_as_excel">
                <anchor moveWithCells="1" sizeWithCells="1">
                  <from>
                    <xdr:col>16</xdr:col>
                    <xdr:colOff>69850</xdr:colOff>
                    <xdr:row>6</xdr:row>
                    <xdr:rowOff>0</xdr:rowOff>
                  </from>
                  <to>
                    <xdr:col>16</xdr:col>
                    <xdr:colOff>901700</xdr:colOff>
                    <xdr:row>7</xdr:row>
                    <xdr:rowOff>127000</xdr:rowOff>
                  </to>
                </anchor>
              </controlPr>
            </control>
          </mc:Choice>
        </mc:AlternateContent>
        <mc:AlternateContent xmlns:mc="http://schemas.openxmlformats.org/markup-compatibility/2006">
          <mc:Choice Requires="x14">
            <control shapeId="99341" r:id="rId16" name="Button 13">
              <controlPr defaultSize="0" print="0" autoFill="0" autoPict="0" macro="[0]!emailsettings">
                <anchor moveWithCells="1" sizeWithCells="1">
                  <from>
                    <xdr:col>17</xdr:col>
                    <xdr:colOff>444500</xdr:colOff>
                    <xdr:row>6</xdr:row>
                    <xdr:rowOff>0</xdr:rowOff>
                  </from>
                  <to>
                    <xdr:col>18</xdr:col>
                    <xdr:colOff>482600</xdr:colOff>
                    <xdr:row>7</xdr:row>
                    <xdr:rowOff>127000</xdr:rowOff>
                  </to>
                </anchor>
              </controlPr>
            </control>
          </mc:Choice>
        </mc:AlternateContent>
        <mc:AlternateContent xmlns:mc="http://schemas.openxmlformats.org/markup-compatibility/2006">
          <mc:Choice Requires="x14">
            <control shapeId="99342" r:id="rId17" name="Button 14">
              <controlPr defaultSize="0" print="0" autoFill="0" autoPict="0" macro="[0]!goto_advanced">
                <anchor moveWithCells="1" sizeWithCells="1">
                  <from>
                    <xdr:col>16</xdr:col>
                    <xdr:colOff>69850</xdr:colOff>
                    <xdr:row>15</xdr:row>
                    <xdr:rowOff>63500</xdr:rowOff>
                  </from>
                  <to>
                    <xdr:col>17</xdr:col>
                    <xdr:colOff>584200</xdr:colOff>
                    <xdr:row>18</xdr:row>
                    <xdr:rowOff>120650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C69D6-0391-4357-A4EE-DA3BA7A6A6CE}">
  <sheetPr codeName="Sheet76">
    <pageSetUpPr fitToPage="1"/>
  </sheetPr>
  <dimension ref="A1:AO99"/>
  <sheetViews>
    <sheetView showGridLines="0" workbookViewId="0">
      <selection activeCell="E6" sqref="E6"/>
    </sheetView>
  </sheetViews>
  <sheetFormatPr defaultColWidth="9.08984375" defaultRowHeight="12.5" x14ac:dyDescent="0.25"/>
  <cols>
    <col min="1" max="1" width="6.453125" style="1493" customWidth="1"/>
    <col min="2" max="2" width="16.36328125" style="1493" customWidth="1"/>
    <col min="3" max="3" width="22.453125" style="1493" customWidth="1"/>
    <col min="4" max="4" width="19.36328125" style="1493" customWidth="1"/>
    <col min="5" max="5" width="13.36328125" style="1493" customWidth="1"/>
    <col min="6" max="6" width="3.08984375" style="1493" customWidth="1"/>
    <col min="7" max="7" width="10.6328125" style="1493" customWidth="1"/>
    <col min="8" max="8" width="2.90625" style="1493" customWidth="1"/>
    <col min="9" max="9" width="10.6328125" style="1493" customWidth="1"/>
    <col min="10" max="10" width="3.08984375" style="1493" customWidth="1"/>
    <col min="11" max="11" width="10.6328125" style="1493" customWidth="1"/>
    <col min="12" max="12" width="3.36328125" style="1493" customWidth="1"/>
    <col min="13" max="13" width="11.08984375" style="1493" customWidth="1"/>
    <col min="14" max="14" width="22.36328125" style="1493" customWidth="1"/>
    <col min="15" max="15" width="19.453125" style="1493" hidden="1" customWidth="1"/>
    <col min="16" max="16" width="11.08984375" style="1493" hidden="1" customWidth="1"/>
    <col min="17" max="17" width="21.90625" style="1493" hidden="1" customWidth="1"/>
    <col min="18" max="18" width="5.36328125" style="1493" hidden="1" customWidth="1"/>
    <col min="19" max="19" width="12.90625" style="1493" hidden="1" customWidth="1"/>
    <col min="20" max="25" width="11.08984375" style="1493" hidden="1" customWidth="1"/>
    <col min="26" max="26" width="7.6328125" style="1493" hidden="1" customWidth="1"/>
    <col min="27" max="27" width="3.453125" style="1493" hidden="1" customWidth="1"/>
    <col min="28" max="34" width="7.6328125" style="1493" hidden="1" customWidth="1"/>
    <col min="35" max="35" width="9.6328125" style="1493" hidden="1" customWidth="1"/>
    <col min="36" max="36" width="11" style="1493" hidden="1" customWidth="1"/>
    <col min="37" max="37" width="9.08984375" style="1493"/>
    <col min="38" max="38" width="51.54296875" style="1493" customWidth="1"/>
    <col min="39" max="40" width="9.08984375" style="1493"/>
    <col min="41" max="41" width="108.08984375" style="1493" customWidth="1"/>
    <col min="42" max="16384" width="9.08984375" style="1493"/>
  </cols>
  <sheetData>
    <row r="1" spans="1:41" x14ac:dyDescent="0.25">
      <c r="A1" s="1639"/>
      <c r="B1" s="1639"/>
      <c r="C1" s="1639"/>
      <c r="D1" s="1639"/>
      <c r="E1" s="1639"/>
      <c r="F1" s="1639"/>
      <c r="G1" s="1639"/>
      <c r="H1" s="1639"/>
      <c r="I1" s="1639"/>
      <c r="J1" s="1639"/>
      <c r="K1" s="1639"/>
      <c r="L1" s="1639"/>
      <c r="M1" s="1639"/>
      <c r="N1" s="1639"/>
      <c r="O1" s="1923">
        <f>text!$C$52</f>
        <v>45017</v>
      </c>
      <c r="P1" s="1745" t="s">
        <v>876</v>
      </c>
      <c r="Q1" s="1633"/>
      <c r="R1" s="1633"/>
      <c r="AK1" s="1639"/>
      <c r="AL1" s="1639"/>
      <c r="AM1" s="1639"/>
      <c r="AN1" s="1639"/>
      <c r="AO1" s="1639"/>
    </row>
    <row r="2" spans="1:41" ht="14.5" x14ac:dyDescent="0.35">
      <c r="A2" s="1639"/>
      <c r="B2" s="1924"/>
      <c r="C2" s="1925" t="str">
        <f ca="1">IF(P2=FALSE,"This page is part of the 'Advanced' package.  Please contact CalcuRate to upgrade.","")</f>
        <v/>
      </c>
      <c r="D2" s="1925"/>
      <c r="E2" s="1925"/>
      <c r="F2" s="1925"/>
      <c r="G2" s="1925"/>
      <c r="H2" s="1925"/>
      <c r="I2" s="1925"/>
      <c r="J2" s="1925"/>
      <c r="K2" s="1925"/>
      <c r="L2" s="1925"/>
      <c r="M2" s="1925"/>
      <c r="N2" s="1925"/>
      <c r="O2" s="1923">
        <f>text!C53</f>
        <v>46112</v>
      </c>
      <c r="P2" s="1926" t="b">
        <f ca="1">codes!F3</f>
        <v>1</v>
      </c>
      <c r="S2"/>
      <c r="T2"/>
      <c r="U2"/>
      <c r="V2"/>
      <c r="W2"/>
      <c r="X2"/>
      <c r="Y2"/>
      <c r="AA2" s="1594"/>
      <c r="AB2" s="1594"/>
      <c r="AC2" s="1594"/>
      <c r="AD2" s="1594"/>
      <c r="AE2" s="1594"/>
      <c r="AF2" s="1594"/>
      <c r="AG2" s="1594"/>
      <c r="AH2" s="1594"/>
      <c r="AI2" s="1594"/>
      <c r="AJ2" s="1594"/>
      <c r="AK2" s="1639"/>
      <c r="AL2" s="1639"/>
      <c r="AM2" s="1639"/>
      <c r="AN2" s="1639"/>
      <c r="AO2" s="1639"/>
    </row>
    <row r="3" spans="1:41" ht="15.5" x14ac:dyDescent="0.35">
      <c r="A3" s="1639"/>
      <c r="C3" s="1928" t="str">
        <f>"Split: 1 Hereditament into 2, 3, 4, or 5 - "&amp;'split report'!C22</f>
        <v>Split: 1 Hereditament into 2, 3, 4, or 5 - England</v>
      </c>
      <c r="D3" s="1928"/>
      <c r="E3" s="1924"/>
      <c r="F3" s="1924"/>
      <c r="G3" s="1924"/>
      <c r="H3" s="1924"/>
      <c r="I3" s="1924"/>
      <c r="J3" s="1924"/>
      <c r="K3" s="1924"/>
      <c r="L3" s="1924"/>
      <c r="M3" s="1924"/>
      <c r="N3" s="1924"/>
      <c r="O3" s="1929" t="s">
        <v>108</v>
      </c>
      <c r="P3" s="1577"/>
      <c r="S3"/>
      <c r="T3"/>
      <c r="U3"/>
      <c r="V3"/>
      <c r="W3"/>
      <c r="X3"/>
      <c r="Y3"/>
      <c r="AA3"/>
      <c r="AB3"/>
      <c r="AC3"/>
      <c r="AD3"/>
      <c r="AE3"/>
      <c r="AF3"/>
      <c r="AG3"/>
      <c r="AH3"/>
      <c r="AI3"/>
      <c r="AJ3"/>
      <c r="AK3" s="1639"/>
      <c r="AL3" s="1639"/>
      <c r="AM3" s="1639"/>
      <c r="AN3" s="1639"/>
      <c r="AO3" s="1639"/>
    </row>
    <row r="4" spans="1:41" ht="29.25" customHeight="1" x14ac:dyDescent="0.35">
      <c r="A4" s="1639"/>
      <c r="C4" s="1924"/>
      <c r="D4" s="1924"/>
      <c r="E4" s="1924"/>
      <c r="F4" s="1924"/>
      <c r="G4" s="1924"/>
      <c r="H4" s="1924"/>
      <c r="I4" s="1924"/>
      <c r="J4" s="1924"/>
      <c r="K4" s="1924"/>
      <c r="L4" s="1924"/>
      <c r="M4" s="1924"/>
      <c r="N4" s="1924"/>
      <c r="S4"/>
      <c r="T4"/>
      <c r="U4"/>
      <c r="V4"/>
      <c r="W4"/>
      <c r="X4"/>
      <c r="Y4"/>
      <c r="AA4"/>
      <c r="AB4"/>
      <c r="AC4"/>
      <c r="AD4"/>
      <c r="AE4"/>
      <c r="AF4"/>
      <c r="AG4"/>
      <c r="AH4"/>
      <c r="AI4"/>
      <c r="AJ4"/>
      <c r="AK4" s="1639"/>
      <c r="AL4" s="1639"/>
      <c r="AM4" s="1639"/>
      <c r="AN4" s="1639"/>
      <c r="AO4" s="1639"/>
    </row>
    <row r="5" spans="1:41" ht="12.75" customHeight="1" x14ac:dyDescent="0.35">
      <c r="A5" s="1639"/>
      <c r="C5" s="1924"/>
      <c r="D5" s="1924"/>
      <c r="E5" s="1924"/>
      <c r="F5" s="1924"/>
      <c r="G5" s="1924"/>
      <c r="H5" s="1924"/>
      <c r="I5" s="1924"/>
      <c r="J5" s="1924"/>
      <c r="K5" s="1924"/>
      <c r="L5" s="1924"/>
      <c r="M5" s="1924"/>
      <c r="N5" s="1924"/>
      <c r="O5" s="1591" t="s">
        <v>109</v>
      </c>
      <c r="S5"/>
      <c r="T5"/>
      <c r="U5"/>
      <c r="V5"/>
      <c r="W5"/>
      <c r="X5"/>
      <c r="Y5"/>
      <c r="AA5"/>
      <c r="AB5"/>
      <c r="AC5"/>
      <c r="AD5"/>
      <c r="AE5"/>
      <c r="AF5"/>
      <c r="AG5"/>
      <c r="AH5"/>
      <c r="AI5"/>
      <c r="AJ5"/>
      <c r="AK5" s="1639"/>
      <c r="AL5" s="1639"/>
      <c r="AM5" s="1639"/>
      <c r="AN5" s="1639"/>
      <c r="AO5" s="1639"/>
    </row>
    <row r="6" spans="1:41" ht="12.75" customHeight="1" x14ac:dyDescent="0.35">
      <c r="A6" s="1639"/>
      <c r="C6" s="1924" t="s">
        <v>110</v>
      </c>
      <c r="D6" s="1930" t="str">
        <f>IF(E6="","START &gt;","")</f>
        <v>START &gt;</v>
      </c>
      <c r="E6" s="1632"/>
      <c r="F6" s="1931" t="str">
        <f>IF(OR(E6="",E6=0),"&lt; Please Enter Effective Date",IF(O6=TRUE,O10&amp;" is selected. Click the ? Button if you need help",""))</f>
        <v>&lt; Please Enter Effective Date</v>
      </c>
      <c r="G6" s="1924"/>
      <c r="H6" s="1924"/>
      <c r="I6" s="1924"/>
      <c r="J6" s="1924"/>
      <c r="K6" s="1924"/>
      <c r="L6" s="1924"/>
      <c r="M6" s="1924"/>
      <c r="N6" s="1924"/>
      <c r="O6" s="1950" t="b">
        <f>E6=O1</f>
        <v>0</v>
      </c>
      <c r="S6"/>
      <c r="T6"/>
      <c r="U6"/>
      <c r="V6"/>
      <c r="W6"/>
      <c r="X6"/>
      <c r="Y6"/>
      <c r="AA6"/>
      <c r="AB6"/>
      <c r="AC6"/>
      <c r="AD6"/>
      <c r="AE6"/>
      <c r="AF6"/>
      <c r="AG6"/>
      <c r="AH6"/>
      <c r="AI6"/>
      <c r="AJ6"/>
      <c r="AK6" s="1639"/>
      <c r="AL6" s="1639"/>
      <c r="AM6" s="1639"/>
      <c r="AN6" s="1639"/>
      <c r="AO6" s="1639"/>
    </row>
    <row r="7" spans="1:41" ht="12.75" customHeight="1" x14ac:dyDescent="0.35">
      <c r="A7" s="1639"/>
      <c r="C7" s="1924" t="str">
        <f>advanced!F9</f>
        <v>Prior List RV or zero if none</v>
      </c>
      <c r="D7" s="1924"/>
      <c r="E7" s="1646"/>
      <c r="F7" s="1932" t="str">
        <f>IF(AND(E6&lt;&gt;"",E7=""),"&lt;","")</f>
        <v/>
      </c>
      <c r="G7" s="1932"/>
      <c r="H7" s="1932"/>
      <c r="I7" s="1932"/>
      <c r="K7" s="1924"/>
      <c r="L7" s="1924"/>
      <c r="M7" s="1924"/>
      <c r="N7" s="1924"/>
      <c r="O7" s="1493" t="str">
        <f>"Certified Value (or RV) as at " &amp;TEXT(O1,"dd/mm/yy")</f>
        <v>Certified Value (or RV) as at 01/04/23</v>
      </c>
      <c r="S7" s="1927" t="s">
        <v>115</v>
      </c>
      <c r="T7" s="1927"/>
      <c r="U7" s="1927"/>
      <c r="V7" s="1937" t="s">
        <v>116</v>
      </c>
      <c r="W7" s="1937"/>
      <c r="X7" s="1937"/>
      <c r="Y7" s="1937"/>
      <c r="Z7" s="1937"/>
      <c r="AA7"/>
      <c r="AB7" s="2091" t="s">
        <v>2323</v>
      </c>
      <c r="AC7" s="2091"/>
      <c r="AD7" s="2091"/>
      <c r="AE7" s="2091"/>
      <c r="AF7"/>
      <c r="AG7"/>
      <c r="AH7"/>
      <c r="AI7"/>
      <c r="AJ7"/>
      <c r="AK7" s="1639"/>
      <c r="AL7" s="1639"/>
      <c r="AM7" s="1639"/>
      <c r="AN7" s="1639"/>
      <c r="AO7" s="1639"/>
    </row>
    <row r="8" spans="1:41" ht="14.5" x14ac:dyDescent="0.35">
      <c r="A8" s="1639"/>
      <c r="C8" s="1493" t="str">
        <f>IF(AND(O11=1,O6=TRUE),O7,advanced!F10)</f>
        <v>RV as at 01/04/23 or a zero if none</v>
      </c>
      <c r="E8" s="1646"/>
      <c r="F8" s="1932" t="str">
        <f>IF(AND(E8="",E7&lt;&gt;""),"&lt;","")</f>
        <v/>
      </c>
      <c r="G8" s="1934" t="s">
        <v>111</v>
      </c>
      <c r="H8" s="1932"/>
      <c r="I8" s="1935" t="s">
        <v>112</v>
      </c>
      <c r="K8" s="1936" t="s">
        <v>113</v>
      </c>
      <c r="L8" s="1924"/>
      <c r="M8" s="1937" t="s">
        <v>114</v>
      </c>
      <c r="N8" s="1924"/>
      <c r="O8" s="1493" t="str">
        <f>IF(E6="","RV on day before (or day of) Split","RV of this hereditament on "&amp;TEXT((E6-1),"dd/mm/yy"))</f>
        <v>RV on day before (or day of) Split</v>
      </c>
      <c r="S8" s="1927" t="s">
        <v>118</v>
      </c>
      <c r="T8" s="1927" t="s">
        <v>119</v>
      </c>
      <c r="U8" s="1933" t="s">
        <v>935</v>
      </c>
      <c r="V8" s="1947" t="s">
        <v>120</v>
      </c>
      <c r="W8" s="1947" t="s">
        <v>121</v>
      </c>
      <c r="X8" s="1947" t="s">
        <v>122</v>
      </c>
      <c r="Y8" s="1947" t="s">
        <v>123</v>
      </c>
      <c r="Z8" s="1947" t="s">
        <v>124</v>
      </c>
      <c r="AA8"/>
      <c r="AB8" s="1935" t="s">
        <v>386</v>
      </c>
      <c r="AC8" s="1935" t="s">
        <v>319</v>
      </c>
      <c r="AD8" s="1935" t="s">
        <v>2324</v>
      </c>
      <c r="AE8" s="1935" t="s">
        <v>2325</v>
      </c>
      <c r="AF8" s="1935" t="s">
        <v>2326</v>
      </c>
      <c r="AG8" s="1935" t="s">
        <v>418</v>
      </c>
      <c r="AH8" s="2092"/>
      <c r="AI8"/>
      <c r="AJ8"/>
      <c r="AK8" s="1639"/>
      <c r="AL8" s="1639"/>
      <c r="AM8" s="1639"/>
      <c r="AN8" s="1639"/>
      <c r="AO8" s="1639"/>
    </row>
    <row r="9" spans="1:41" ht="14.5" x14ac:dyDescent="0.35">
      <c r="A9" s="1639"/>
      <c r="C9" s="1924" t="str">
        <f>IF(O6=TRUE,"",O8)</f>
        <v>RV on day before (or day of) Split</v>
      </c>
      <c r="D9" s="1924"/>
      <c r="E9" s="1938">
        <f>E8</f>
        <v>0</v>
      </c>
      <c r="F9" s="1924" t="str">
        <f>IF(AND(E8&lt;&gt;"",OR(E9="",E9=0)),"&lt;","")</f>
        <v/>
      </c>
      <c r="G9" s="1939" t="s">
        <v>426</v>
      </c>
      <c r="H9" s="1924"/>
      <c r="I9" s="1939" t="s">
        <v>426</v>
      </c>
      <c r="K9" s="1939" t="s">
        <v>426</v>
      </c>
      <c r="L9" s="1924"/>
      <c r="M9" s="1939" t="s">
        <v>426</v>
      </c>
      <c r="N9" s="1924"/>
      <c r="S9" s="1927" t="b">
        <f>AND(G9="y",E9&gt;T9)</f>
        <v>0</v>
      </c>
      <c r="T9" s="1927">
        <f>data!D29</f>
        <v>28000</v>
      </c>
      <c r="U9" s="1933" t="str">
        <f>IF(AND(G9="y",S9=FALSE),"y","n")</f>
        <v>n</v>
      </c>
      <c r="V9" s="1943" t="str">
        <f>IF(S9=TRUE,"too high for SBRR","")</f>
        <v/>
      </c>
      <c r="W9" s="1943" t="b">
        <f>AND(U9="y",K9="y")</f>
        <v>0</v>
      </c>
      <c r="X9" s="1943" t="str">
        <f>IF(W9=TRUE,"! sbrr &amp; Charity","")</f>
        <v/>
      </c>
      <c r="Y9" s="1943" t="b">
        <f>AND(I9="y",OR(K9="y",U9="y",M9="y"))</f>
        <v>0</v>
      </c>
      <c r="Z9" s="1943" t="str">
        <f>IF(Y9=TRUE,"! Vac &amp; sbrr or Ch","")</f>
        <v/>
      </c>
      <c r="AA9"/>
      <c r="AB9" s="7" t="b">
        <f>I9="Y"</f>
        <v>0</v>
      </c>
      <c r="AC9" s="7" t="b">
        <f>G9="Y"</f>
        <v>0</v>
      </c>
      <c r="AD9" s="7" t="b">
        <f>K9="Y"</f>
        <v>0</v>
      </c>
      <c r="AE9" s="7" t="b">
        <f>M9="Y"</f>
        <v>0</v>
      </c>
      <c r="AF9" s="7">
        <f>AC9+AD9+AE9</f>
        <v>0</v>
      </c>
      <c r="AG9" s="7" t="b">
        <f>AND(AB9=TRUE,AF9&gt;0)</f>
        <v>0</v>
      </c>
      <c r="AH9"/>
      <c r="AI9"/>
      <c r="AJ9"/>
      <c r="AK9" s="1639"/>
      <c r="AL9" s="1639"/>
      <c r="AM9" s="1639"/>
      <c r="AN9" s="1639"/>
      <c r="AO9" s="1639"/>
    </row>
    <row r="10" spans="1:41" ht="16.5" customHeight="1" x14ac:dyDescent="0.35">
      <c r="A10" s="1639"/>
      <c r="B10" s="1940" t="str">
        <f>IF(S28=TRUE,T28,"")</f>
        <v/>
      </c>
      <c r="C10" s="1669"/>
      <c r="D10" s="1669"/>
      <c r="E10" s="1941"/>
      <c r="F10" s="1669"/>
      <c r="G10" s="1942" t="str">
        <f>IF(AND(G9="y",S9=TRUE),"RV is too high","")</f>
        <v/>
      </c>
      <c r="H10" s="1669"/>
      <c r="I10" s="1942" t="str">
        <f>IF(AND(I9="y",OR(G9="y",K9="y")),"! See Error","")</f>
        <v/>
      </c>
      <c r="J10" s="1669"/>
      <c r="K10" s="1942" t="str">
        <f>IF(AND(K9="y",Y9="y"),"! See Error","")</f>
        <v/>
      </c>
      <c r="L10" s="1669"/>
      <c r="M10" s="1942" t="str">
        <f>IF(AND(M9="y",I9="y"),"! See Error","")</f>
        <v/>
      </c>
      <c r="O10" s="1564" t="str">
        <f>IF(O11=2,text!C61,text!C60)</f>
        <v>Schedule</v>
      </c>
      <c r="S10"/>
      <c r="T10"/>
      <c r="U10"/>
      <c r="V10"/>
      <c r="W10"/>
      <c r="X10"/>
      <c r="Y10"/>
      <c r="AA10"/>
      <c r="AB10"/>
      <c r="AC10"/>
      <c r="AD10"/>
      <c r="AE10"/>
      <c r="AF10"/>
      <c r="AG10"/>
      <c r="AH10"/>
      <c r="AI10"/>
      <c r="AJ10"/>
      <c r="AK10" s="1639"/>
      <c r="AL10" s="1639"/>
      <c r="AM10" s="1639"/>
      <c r="AN10" s="1639"/>
      <c r="AO10" s="1639"/>
    </row>
    <row r="11" spans="1:41" ht="14.5" x14ac:dyDescent="0.35">
      <c r="A11" s="1639"/>
      <c r="B11" s="1924"/>
      <c r="O11" s="2088">
        <v>1</v>
      </c>
      <c r="S11" s="1927" t="s">
        <v>115</v>
      </c>
      <c r="T11" s="1927"/>
      <c r="U11" s="1927"/>
      <c r="V11" s="1937" t="s">
        <v>116</v>
      </c>
      <c r="W11" s="1937"/>
      <c r="X11" s="1937"/>
      <c r="Y11" s="1937"/>
      <c r="Z11" s="1937"/>
      <c r="AB11" s="2091" t="s">
        <v>2323</v>
      </c>
      <c r="AC11" s="2091"/>
      <c r="AD11" s="2091"/>
      <c r="AE11" s="2091"/>
      <c r="AF11"/>
      <c r="AG11"/>
      <c r="AK11" s="1639"/>
      <c r="AL11" s="1639"/>
      <c r="AM11" s="1639"/>
      <c r="AN11" s="1639"/>
      <c r="AO11" s="1639"/>
    </row>
    <row r="12" spans="1:41" ht="13" x14ac:dyDescent="0.3">
      <c r="A12" s="1639"/>
      <c r="B12" s="1924"/>
      <c r="C12" s="1931"/>
      <c r="D12" s="1493" t="str">
        <f>IF(O12=TRUE,"Cert Val at "&amp;text!E54,IF(Q26&gt;0,"Please Delete TC",""))</f>
        <v/>
      </c>
      <c r="E12" s="1931" t="s">
        <v>117</v>
      </c>
      <c r="G12" s="1934" t="str">
        <f>G8</f>
        <v>SBRR?</v>
      </c>
      <c r="I12" s="1944" t="str">
        <f>I8</f>
        <v>Empty?</v>
      </c>
      <c r="K12" s="1945" t="str">
        <f>K8</f>
        <v>Charity?</v>
      </c>
      <c r="M12" s="1946" t="str">
        <f>M8</f>
        <v>Retail?</v>
      </c>
      <c r="O12" s="1564" t="b">
        <f>AND(O6=TRUE,O11=2)</f>
        <v>0</v>
      </c>
      <c r="Q12" s="1564" t="s">
        <v>2322</v>
      </c>
      <c r="S12" s="1927" t="s">
        <v>118</v>
      </c>
      <c r="T12" s="1927" t="s">
        <v>119</v>
      </c>
      <c r="U12" s="1933" t="s">
        <v>935</v>
      </c>
      <c r="V12" s="1947" t="s">
        <v>120</v>
      </c>
      <c r="W12" s="1947" t="s">
        <v>121</v>
      </c>
      <c r="X12" s="1947" t="s">
        <v>122</v>
      </c>
      <c r="Y12" s="1947" t="s">
        <v>123</v>
      </c>
      <c r="Z12" s="1947" t="s">
        <v>124</v>
      </c>
      <c r="AB12" s="1935" t="s">
        <v>386</v>
      </c>
      <c r="AC12" s="1935" t="s">
        <v>319</v>
      </c>
      <c r="AD12" s="1935" t="s">
        <v>2324</v>
      </c>
      <c r="AE12" s="1935" t="s">
        <v>2325</v>
      </c>
      <c r="AF12" s="1935" t="s">
        <v>2326</v>
      </c>
      <c r="AG12" s="1935" t="s">
        <v>418</v>
      </c>
      <c r="AI12" s="1571" t="s">
        <v>2328</v>
      </c>
      <c r="AK12" s="1639"/>
      <c r="AL12" s="1639"/>
      <c r="AM12" s="1639"/>
      <c r="AN12" s="1639"/>
      <c r="AO12" s="1639"/>
    </row>
    <row r="13" spans="1:41" ht="18" customHeight="1" x14ac:dyDescent="0.35">
      <c r="A13" s="1639"/>
      <c r="B13" s="1948" t="str">
        <f>IF(W13=TRUE,X13,IF(Y13=TRUE,Z13,V13))</f>
        <v/>
      </c>
      <c r="C13" s="1924" t="s">
        <v>125</v>
      </c>
      <c r="D13" s="1949"/>
      <c r="E13" s="1646"/>
      <c r="F13" s="1925" t="str">
        <f>IF(AND(E13="",E8&lt;&gt;""),"&lt;","")</f>
        <v/>
      </c>
      <c r="G13" s="1939" t="s">
        <v>426</v>
      </c>
      <c r="H13" s="1932"/>
      <c r="I13" s="1939" t="s">
        <v>426</v>
      </c>
      <c r="K13" s="1939" t="s">
        <v>426</v>
      </c>
      <c r="M13" s="1939" t="s">
        <v>426</v>
      </c>
      <c r="Q13" s="1564" t="b">
        <f>AND($O$11=2,E13&lt;&gt;"",D13="")</f>
        <v>0</v>
      </c>
      <c r="S13" s="1927" t="b">
        <f>AND(G13="y",E13&gt;T13)</f>
        <v>0</v>
      </c>
      <c r="T13" s="1927">
        <f>data!D33</f>
        <v>15000</v>
      </c>
      <c r="U13" s="1933" t="str">
        <f>IF(AND(G13="y",S13=FALSE),"y","n")</f>
        <v>n</v>
      </c>
      <c r="V13" s="1943" t="str">
        <f>IF(S13=TRUE,"too high for SBRR","")</f>
        <v/>
      </c>
      <c r="W13" s="1943" t="b">
        <f>AND(U13="y",K13="y")</f>
        <v>0</v>
      </c>
      <c r="X13" s="1943" t="str">
        <f>IF(W13=TRUE,"! sbrr &amp; Charity","")</f>
        <v/>
      </c>
      <c r="Y13" s="1943" t="b">
        <f>AND(I13="y",OR(K13="y",U13="y",M13="y"))</f>
        <v>0</v>
      </c>
      <c r="Z13" s="1943" t="str">
        <f>IF(Y13=TRUE,"! Vac &amp; sbrr or Ch","")</f>
        <v/>
      </c>
      <c r="AB13" s="7" t="b">
        <f>I13="Y"</f>
        <v>0</v>
      </c>
      <c r="AC13" s="7" t="b">
        <f>G13="Y"</f>
        <v>0</v>
      </c>
      <c r="AD13" s="7" t="b">
        <f>K13="Y"</f>
        <v>0</v>
      </c>
      <c r="AE13" s="7" t="b">
        <f>M13="Y"</f>
        <v>0</v>
      </c>
      <c r="AF13" s="7">
        <f>AC13+AD13+AE13</f>
        <v>0</v>
      </c>
      <c r="AG13" s="7" t="b">
        <f>AND(AB13=TRUE,AF13&gt;0)</f>
        <v>0</v>
      </c>
      <c r="AI13" s="1571" t="b">
        <f>E13&lt;&gt;""</f>
        <v>0</v>
      </c>
      <c r="AK13" s="1639"/>
      <c r="AL13" s="1639"/>
      <c r="AM13" s="1639"/>
      <c r="AN13" s="1639"/>
      <c r="AO13" s="1639"/>
    </row>
    <row r="14" spans="1:41" ht="18" customHeight="1" x14ac:dyDescent="0.35">
      <c r="A14" s="1639"/>
      <c r="B14" s="1948" t="str">
        <f>IF(W14=TRUE,X14,IF(Y14=TRUE,Z14,V14))</f>
        <v/>
      </c>
      <c r="C14" s="1924" t="s">
        <v>126</v>
      </c>
      <c r="D14" s="1949"/>
      <c r="E14" s="1646"/>
      <c r="F14" s="1925" t="str">
        <f>IF(AND(E14="",E13&lt;&gt;""),"&lt;","")</f>
        <v/>
      </c>
      <c r="G14" s="1939" t="s">
        <v>426</v>
      </c>
      <c r="H14" s="1932"/>
      <c r="I14" s="1939" t="s">
        <v>426</v>
      </c>
      <c r="K14" s="1951" t="s">
        <v>426</v>
      </c>
      <c r="M14" s="1939" t="s">
        <v>426</v>
      </c>
      <c r="Q14" s="1564" t="b">
        <f>AND($O$11=2,E14&lt;&gt;"",D14="")</f>
        <v>0</v>
      </c>
      <c r="S14" s="1927" t="b">
        <f>AND(G14="y",E14&gt;T14)</f>
        <v>0</v>
      </c>
      <c r="T14" s="1927">
        <f>T13</f>
        <v>15000</v>
      </c>
      <c r="U14" s="1933" t="str">
        <f>IF(AND(G14="y",S14=FALSE),"y","n")</f>
        <v>n</v>
      </c>
      <c r="V14" s="1943" t="str">
        <f>IF(S14=TRUE,"too high for SBRR","")</f>
        <v/>
      </c>
      <c r="W14" s="1943" t="b">
        <f>AND(U14="y",K14="y")</f>
        <v>0</v>
      </c>
      <c r="X14" s="1943" t="str">
        <f>IF(W14=TRUE,"! sbrr &amp; Charity","")</f>
        <v/>
      </c>
      <c r="Y14" s="1943" t="b">
        <f>AND(I14="y",OR(K14="y",U14="y",M14="y"))</f>
        <v>0</v>
      </c>
      <c r="Z14" s="1943" t="str">
        <f>IF(Y14=TRUE,"! Vac &amp; sbrr or Ch","")</f>
        <v/>
      </c>
      <c r="AB14" s="7" t="b">
        <f>I14="Y"</f>
        <v>0</v>
      </c>
      <c r="AC14" s="7" t="b">
        <f>G14="Y"</f>
        <v>0</v>
      </c>
      <c r="AD14" s="7" t="b">
        <f>K14="Y"</f>
        <v>0</v>
      </c>
      <c r="AE14" s="7" t="b">
        <f>M14="Y"</f>
        <v>0</v>
      </c>
      <c r="AF14" s="7">
        <f>AC14+AD14+AE14</f>
        <v>0</v>
      </c>
      <c r="AG14" s="7" t="b">
        <f>AND(AB14=TRUE,AF14&gt;0)</f>
        <v>0</v>
      </c>
      <c r="AI14" s="1571" t="b">
        <f>E14&lt;&gt;""</f>
        <v>0</v>
      </c>
      <c r="AK14" s="1639"/>
      <c r="AL14" s="1639"/>
      <c r="AM14" s="1639"/>
      <c r="AN14" s="1639"/>
      <c r="AO14" s="1639"/>
    </row>
    <row r="15" spans="1:41" ht="18" customHeight="1" x14ac:dyDescent="0.35">
      <c r="A15" s="1639"/>
      <c r="B15" s="1948" t="str">
        <f>IF(W15=TRUE,X15,IF(Y15=TRUE,Z15,V15))</f>
        <v/>
      </c>
      <c r="C15" s="1924" t="s">
        <v>127</v>
      </c>
      <c r="D15" s="1949"/>
      <c r="E15" s="1646"/>
      <c r="F15" s="1925" t="str">
        <f>IF(AND(E15="",E14&lt;&gt;""),"&lt;","")</f>
        <v/>
      </c>
      <c r="G15" s="1939" t="s">
        <v>426</v>
      </c>
      <c r="H15" s="1932"/>
      <c r="I15" s="1939" t="s">
        <v>426</v>
      </c>
      <c r="K15" s="1939" t="s">
        <v>426</v>
      </c>
      <c r="M15" s="1939" t="s">
        <v>426</v>
      </c>
      <c r="O15" s="1594" t="s">
        <v>128</v>
      </c>
      <c r="Q15" s="1564" t="b">
        <f>AND($O$11=2,E15&lt;&gt;"",D15="")</f>
        <v>0</v>
      </c>
      <c r="S15" s="1927" t="b">
        <f>AND(G15="y",E15&gt;T15)</f>
        <v>0</v>
      </c>
      <c r="T15" s="1927">
        <f>T14</f>
        <v>15000</v>
      </c>
      <c r="U15" s="1933" t="str">
        <f>IF(AND(G15="y",S15=FALSE),"y","n")</f>
        <v>n</v>
      </c>
      <c r="V15" s="1943" t="str">
        <f>IF(S15=TRUE,"too high for SBRR","")</f>
        <v/>
      </c>
      <c r="W15" s="1943" t="b">
        <f>AND(U15="y",K15="y")</f>
        <v>0</v>
      </c>
      <c r="X15" s="1943" t="str">
        <f>IF(W15=TRUE,"! sbrr &amp; Charity","")</f>
        <v/>
      </c>
      <c r="Y15" s="1943" t="b">
        <f>AND(I15="y",OR(K15="y",U15="y",M15="y"))</f>
        <v>0</v>
      </c>
      <c r="Z15" s="1943" t="str">
        <f>IF(Y15=TRUE,"! Vac &amp; sbrr or Ch","")</f>
        <v/>
      </c>
      <c r="AB15" s="7" t="b">
        <f>I15="Y"</f>
        <v>0</v>
      </c>
      <c r="AC15" s="7" t="b">
        <f>G15="Y"</f>
        <v>0</v>
      </c>
      <c r="AD15" s="7" t="b">
        <f>K15="Y"</f>
        <v>0</v>
      </c>
      <c r="AE15" s="7" t="b">
        <f>M15="Y"</f>
        <v>0</v>
      </c>
      <c r="AF15" s="7">
        <f>AC15+AD15+AE15</f>
        <v>0</v>
      </c>
      <c r="AG15" s="7" t="b">
        <f>AND(AB15=TRUE,AF15&gt;0)</f>
        <v>0</v>
      </c>
      <c r="AI15" s="1571" t="b">
        <f>E15&lt;&gt;""</f>
        <v>0</v>
      </c>
      <c r="AK15" s="1639"/>
      <c r="AL15" s="1639"/>
      <c r="AM15" s="1639"/>
      <c r="AN15" s="1639"/>
      <c r="AO15" s="1639"/>
    </row>
    <row r="16" spans="1:41" ht="18" customHeight="1" x14ac:dyDescent="0.35">
      <c r="A16" s="1639"/>
      <c r="B16" s="1948" t="str">
        <f>IF(W16=TRUE,X16,IF(Y16=TRUE,Z16,V16))</f>
        <v/>
      </c>
      <c r="C16" s="1924" t="s">
        <v>129</v>
      </c>
      <c r="D16" s="1949"/>
      <c r="E16" s="1646"/>
      <c r="F16" s="1925" t="str">
        <f>IF(AND(E16="",E15&lt;&gt;""),"&lt;","")</f>
        <v/>
      </c>
      <c r="G16" s="1939" t="s">
        <v>426</v>
      </c>
      <c r="H16" s="1932"/>
      <c r="I16" s="1951" t="s">
        <v>426</v>
      </c>
      <c r="K16" s="1939" t="s">
        <v>426</v>
      </c>
      <c r="M16" s="1939" t="s">
        <v>426</v>
      </c>
      <c r="O16" s="1493" t="b">
        <f>$O$6</f>
        <v>0</v>
      </c>
      <c r="P16" s="1597">
        <f>IF(D13&gt;0,1,0)</f>
        <v>0</v>
      </c>
      <c r="Q16" s="1564" t="b">
        <f>AND($O$11=2,E16&lt;&gt;"",D16="")</f>
        <v>0</v>
      </c>
      <c r="S16" s="1927" t="b">
        <f>AND(G16="y",E16&gt;T16)</f>
        <v>0</v>
      </c>
      <c r="T16" s="1927">
        <f>T15</f>
        <v>15000</v>
      </c>
      <c r="U16" s="1933" t="str">
        <f>IF(AND(G16="y",S16=FALSE),"y","n")</f>
        <v>n</v>
      </c>
      <c r="V16" s="1943" t="str">
        <f>IF(S16=TRUE,"too high for SBRR","")</f>
        <v/>
      </c>
      <c r="W16" s="1943" t="b">
        <f>AND(U16="y",K16="y")</f>
        <v>0</v>
      </c>
      <c r="X16" s="1943" t="str">
        <f>IF(W16=TRUE,"! sbrr &amp; Charity","")</f>
        <v/>
      </c>
      <c r="Y16" s="1943" t="b">
        <f>AND(I16="y",OR(K16="y",U16="y",M16="y"))</f>
        <v>0</v>
      </c>
      <c r="Z16" s="1943" t="str">
        <f>IF(Y16=TRUE,"! Vac &amp; sbrr or Ch","")</f>
        <v/>
      </c>
      <c r="AB16" s="7" t="b">
        <f>I16="Y"</f>
        <v>0</v>
      </c>
      <c r="AC16" s="7" t="b">
        <f>G16="Y"</f>
        <v>0</v>
      </c>
      <c r="AD16" s="7" t="b">
        <f>K16="Y"</f>
        <v>0</v>
      </c>
      <c r="AE16" s="7" t="b">
        <f>M16="Y"</f>
        <v>0</v>
      </c>
      <c r="AF16" s="7">
        <f>AC16+AD16+AE16</f>
        <v>0</v>
      </c>
      <c r="AG16" s="7" t="b">
        <f>AND(AB16=TRUE,AF16&gt;0)</f>
        <v>0</v>
      </c>
      <c r="AI16" s="1571" t="b">
        <f>E16&lt;&gt;""</f>
        <v>0</v>
      </c>
      <c r="AK16" s="1639"/>
      <c r="AL16" s="1639"/>
      <c r="AM16" s="1639"/>
      <c r="AN16" s="1639"/>
      <c r="AO16" s="1639"/>
    </row>
    <row r="17" spans="1:41" ht="18" customHeight="1" x14ac:dyDescent="0.35">
      <c r="A17" s="1639"/>
      <c r="B17" s="1948" t="str">
        <f>IF(W17=TRUE,X17,IF(Y17=TRUE,Z17,V17))</f>
        <v/>
      </c>
      <c r="C17" s="1924" t="s">
        <v>130</v>
      </c>
      <c r="D17" s="1949"/>
      <c r="E17" s="1646"/>
      <c r="F17" s="1925" t="str">
        <f>IF(AND(E17="",E16&lt;&gt;""),"&lt;","")</f>
        <v/>
      </c>
      <c r="G17" s="1939" t="s">
        <v>426</v>
      </c>
      <c r="H17" s="1932"/>
      <c r="I17" s="1939" t="s">
        <v>426</v>
      </c>
      <c r="K17" s="1939" t="s">
        <v>426</v>
      </c>
      <c r="M17" s="1939" t="s">
        <v>426</v>
      </c>
      <c r="O17" s="1493" t="b">
        <f>$O$6</f>
        <v>0</v>
      </c>
      <c r="P17" s="1597">
        <f>IF(D14&gt;0,1,0)</f>
        <v>0</v>
      </c>
      <c r="Q17" s="1564" t="b">
        <f>AND($O$11=2,E17&lt;&gt;"",D17="")</f>
        <v>0</v>
      </c>
      <c r="S17" s="1927" t="b">
        <f>AND(G17="y",E17&gt;T17)</f>
        <v>0</v>
      </c>
      <c r="T17" s="1927">
        <f>T16</f>
        <v>15000</v>
      </c>
      <c r="U17" s="1933" t="str">
        <f>IF(AND(G17="y",S17=FALSE),"y","n")</f>
        <v>n</v>
      </c>
      <c r="V17" s="1943" t="str">
        <f>IF(S17=TRUE,"too high for SBRR","")</f>
        <v/>
      </c>
      <c r="W17" s="1943" t="b">
        <f>AND(U17="y",K17="y")</f>
        <v>0</v>
      </c>
      <c r="X17" s="1943" t="str">
        <f>IF(W17=TRUE,"! sbrr &amp; Charity","")</f>
        <v/>
      </c>
      <c r="Y17" s="1943" t="b">
        <f>AND(I17="y",OR(K17="y",U17="y",M17="y"))</f>
        <v>0</v>
      </c>
      <c r="Z17" s="1943" t="str">
        <f>IF(Y17=TRUE,"! Vac &amp; sbrr or Ch","")</f>
        <v/>
      </c>
      <c r="AB17" s="7" t="b">
        <f>I17="Y"</f>
        <v>0</v>
      </c>
      <c r="AC17" s="7" t="b">
        <f>G17="Y"</f>
        <v>0</v>
      </c>
      <c r="AD17" s="7" t="b">
        <f>K17="Y"</f>
        <v>0</v>
      </c>
      <c r="AE17" s="7" t="b">
        <f>M17="Y"</f>
        <v>0</v>
      </c>
      <c r="AF17" s="7">
        <f>AC17+AD17+AE17</f>
        <v>0</v>
      </c>
      <c r="AG17" s="7" t="b">
        <f>AND(AB17=TRUE,AF17&gt;0)</f>
        <v>0</v>
      </c>
      <c r="AI17" s="1571" t="b">
        <f>E17&lt;&gt;""</f>
        <v>0</v>
      </c>
      <c r="AK17" s="1639"/>
      <c r="AL17" s="1639"/>
      <c r="AM17" s="1639"/>
      <c r="AN17" s="1639"/>
      <c r="AO17" s="1639"/>
    </row>
    <row r="18" spans="1:41" ht="13" x14ac:dyDescent="0.3">
      <c r="A18" s="1639"/>
      <c r="B18" s="1924"/>
      <c r="C18" s="1924"/>
      <c r="D18" s="1952" t="str">
        <f ca="1">IF(S22=TRUE,T22,IF(S36&gt;0,"Input Not Complete - "&amp;T36,""))</f>
        <v>Input Not Complete - Please Enter the Effective Date</v>
      </c>
      <c r="E18" s="1924"/>
      <c r="F18" s="1924"/>
      <c r="G18" s="1924"/>
      <c r="H18" s="1924"/>
      <c r="I18" s="1924"/>
      <c r="K18" s="1924"/>
      <c r="L18" s="1924"/>
      <c r="M18" s="1924"/>
      <c r="O18" s="1493" t="b">
        <f>$O$6</f>
        <v>0</v>
      </c>
      <c r="P18" s="1597">
        <f>IF(D15&gt;0,1,0)</f>
        <v>0</v>
      </c>
      <c r="Q18" s="1571">
        <f>Q13+Q14+Q15+Q16+Q17</f>
        <v>0</v>
      </c>
      <c r="R18" s="1597"/>
      <c r="V18" s="1699" t="s">
        <v>933</v>
      </c>
      <c r="W18" s="1571">
        <f>W13+W14+W15+W16+W17</f>
        <v>0</v>
      </c>
      <c r="X18" s="1699" t="s">
        <v>933</v>
      </c>
      <c r="Y18" s="1571">
        <f>Y13+Y14+Y15+Y16+Y17</f>
        <v>0</v>
      </c>
      <c r="AF18" s="1699" t="s">
        <v>933</v>
      </c>
      <c r="AG18" s="1571">
        <f>AG13+AG14+AG15+AG16+AG17</f>
        <v>0</v>
      </c>
      <c r="AI18" s="1571">
        <f>AI13+AI14+AI15+AI16+AI17</f>
        <v>0</v>
      </c>
      <c r="AK18" s="1639"/>
      <c r="AL18" s="1639"/>
      <c r="AM18" s="1639"/>
      <c r="AN18" s="1639"/>
      <c r="AO18" s="1639"/>
    </row>
    <row r="19" spans="1:41" ht="13" x14ac:dyDescent="0.3">
      <c r="A19" s="1639"/>
      <c r="B19" s="1924"/>
      <c r="C19" s="1924"/>
      <c r="D19" s="1924"/>
      <c r="E19" s="1954"/>
      <c r="F19" s="1924"/>
      <c r="G19" s="1924"/>
      <c r="H19" s="1924"/>
      <c r="I19" s="1924"/>
      <c r="J19" s="1924"/>
      <c r="K19" s="1924"/>
      <c r="O19" s="1493" t="b">
        <f>$O$6</f>
        <v>0</v>
      </c>
      <c r="P19" s="1597">
        <f>IF(D16&gt;0,1,0)</f>
        <v>0</v>
      </c>
      <c r="AK19" s="1639"/>
      <c r="AL19" s="1639"/>
      <c r="AM19" s="1639"/>
      <c r="AN19" s="1639"/>
      <c r="AO19" s="1639"/>
    </row>
    <row r="20" spans="1:41" ht="14.5" x14ac:dyDescent="0.35">
      <c r="A20" s="1639"/>
      <c r="B20" s="1924"/>
      <c r="D20" s="1931"/>
      <c r="E20" s="1954"/>
      <c r="F20" s="1924"/>
      <c r="G20" s="1954"/>
      <c r="H20" s="1924"/>
      <c r="I20" s="1924"/>
      <c r="J20" s="1924"/>
      <c r="K20" s="1924"/>
      <c r="O20" s="1493" t="b">
        <f>$O$6</f>
        <v>0</v>
      </c>
      <c r="P20" s="1597">
        <f>IF(D17&gt;0,1,0)</f>
        <v>0</v>
      </c>
      <c r="Q20" s="1564" t="s">
        <v>139</v>
      </c>
      <c r="S20" s="2090" t="s">
        <v>131</v>
      </c>
      <c r="T20" s="1953" t="s">
        <v>389</v>
      </c>
      <c r="U20" s="1564"/>
      <c r="V20" s="1564"/>
      <c r="W20" s="1564"/>
      <c r="X20" s="1564"/>
      <c r="AC20"/>
      <c r="AD20"/>
      <c r="AE20"/>
      <c r="AF20"/>
      <c r="AG20"/>
      <c r="AH20"/>
      <c r="AI20"/>
      <c r="AJ20"/>
      <c r="AK20" s="1639"/>
      <c r="AL20" s="1639"/>
      <c r="AM20" s="1639"/>
      <c r="AN20" s="1639"/>
      <c r="AO20" s="1639"/>
    </row>
    <row r="21" spans="1:41" ht="14.5" x14ac:dyDescent="0.35">
      <c r="A21" s="1639"/>
      <c r="B21" s="1924"/>
      <c r="C21" s="1931" t="str">
        <f>basic!D26</f>
        <v>Enter Address Details</v>
      </c>
      <c r="D21" s="1932"/>
      <c r="F21" s="1932"/>
      <c r="G21" s="1932"/>
      <c r="H21" s="1932"/>
      <c r="I21" s="1932"/>
      <c r="J21" s="1932"/>
      <c r="K21" s="1932"/>
      <c r="P21" s="1597">
        <f>MAX(P16:P20)</f>
        <v>0</v>
      </c>
      <c r="Q21" s="1564" t="b">
        <f>AND($O$11=1,D13&lt;&gt;"")</f>
        <v>0</v>
      </c>
      <c r="S21" s="2093" t="b">
        <v>0</v>
      </c>
      <c r="T21" s="1564" t="s">
        <v>132</v>
      </c>
      <c r="U21" s="1564"/>
      <c r="V21" s="1564"/>
      <c r="W21" s="1564"/>
      <c r="X21" s="1564"/>
      <c r="AA21"/>
      <c r="AB21"/>
      <c r="AC21"/>
      <c r="AD21"/>
      <c r="AE21"/>
      <c r="AF21"/>
      <c r="AG21"/>
      <c r="AH21"/>
      <c r="AI21"/>
      <c r="AJ21"/>
      <c r="AK21" s="1639"/>
      <c r="AL21" s="1639"/>
      <c r="AM21" s="1639"/>
      <c r="AN21" s="1639"/>
      <c r="AO21" s="1639"/>
    </row>
    <row r="22" spans="1:41" ht="14.5" x14ac:dyDescent="0.35">
      <c r="A22" s="1639"/>
      <c r="B22" s="1924"/>
      <c r="C22" s="1924"/>
      <c r="D22" s="1924"/>
      <c r="E22" s="1925"/>
      <c r="F22" s="1492"/>
      <c r="G22" s="1492"/>
      <c r="H22" s="1492"/>
      <c r="I22" s="1492"/>
      <c r="J22" s="1955"/>
      <c r="K22" s="1924"/>
      <c r="Q22" s="1564" t="b">
        <f>AND($O$11=1,D14&lt;&gt;"")</f>
        <v>0</v>
      </c>
      <c r="S22" s="1684" t="b">
        <f ca="1">P2&lt;&gt;TRUE</f>
        <v>0</v>
      </c>
      <c r="T22" s="1564" t="s">
        <v>133</v>
      </c>
      <c r="U22" s="1564"/>
      <c r="V22" s="1564"/>
      <c r="W22" s="1564"/>
      <c r="X22" s="1564"/>
      <c r="AA22"/>
      <c r="AB22"/>
      <c r="AC22"/>
      <c r="AD22"/>
      <c r="AE22"/>
      <c r="AF22"/>
      <c r="AG22"/>
      <c r="AH22"/>
      <c r="AI22"/>
      <c r="AJ22"/>
      <c r="AK22" s="1639"/>
      <c r="AL22" s="1639"/>
      <c r="AM22" s="1639"/>
      <c r="AN22" s="1639"/>
      <c r="AO22" s="1639"/>
    </row>
    <row r="23" spans="1:41" ht="14.5" hidden="1" x14ac:dyDescent="0.35">
      <c r="A23" s="1639"/>
      <c r="B23" s="1924"/>
      <c r="C23" s="1924"/>
      <c r="D23" s="1924"/>
      <c r="E23" s="1956"/>
      <c r="F23" s="1492"/>
      <c r="G23" s="1492"/>
      <c r="H23" s="1492"/>
      <c r="I23" s="1492"/>
      <c r="J23" s="1955"/>
      <c r="K23" s="1924"/>
      <c r="Q23" s="1564" t="b">
        <f>AND($O$11=1,D15&lt;&gt;"")</f>
        <v>0</v>
      </c>
      <c r="S23" s="1684" t="b">
        <f>OR(E6="",E6=0)</f>
        <v>1</v>
      </c>
      <c r="T23" s="1564" t="s">
        <v>134</v>
      </c>
      <c r="U23" s="1564"/>
      <c r="V23" s="1564"/>
      <c r="W23" s="1564"/>
      <c r="X23" s="1564"/>
      <c r="AA23"/>
      <c r="AB23"/>
      <c r="AC23"/>
      <c r="AD23"/>
      <c r="AE23"/>
      <c r="AF23"/>
      <c r="AG23"/>
      <c r="AH23"/>
      <c r="AI23"/>
      <c r="AJ23"/>
      <c r="AK23" s="1639"/>
      <c r="AL23" s="1639"/>
      <c r="AM23" s="1639"/>
      <c r="AN23" s="1639"/>
      <c r="AO23" s="1639"/>
    </row>
    <row r="24" spans="1:41" ht="14.5" hidden="1" x14ac:dyDescent="0.35">
      <c r="A24" s="1639"/>
      <c r="B24" s="1924"/>
      <c r="C24" s="1924"/>
      <c r="D24" s="1924"/>
      <c r="E24" s="1956"/>
      <c r="F24" s="1492"/>
      <c r="G24" s="1492"/>
      <c r="H24" s="1492"/>
      <c r="I24" s="1492"/>
      <c r="J24" s="1955"/>
      <c r="K24" s="1924"/>
      <c r="L24" s="1924"/>
      <c r="O24" s="1564" t="str">
        <f>IF(E19="","Calculate",E19)</f>
        <v>Calculate</v>
      </c>
      <c r="P24" s="1571">
        <f>AI18</f>
        <v>0</v>
      </c>
      <c r="Q24" s="1564" t="b">
        <f>AND($O$11=1,D16&lt;&gt;"")</f>
        <v>0</v>
      </c>
      <c r="S24" s="1684" t="b">
        <f>AND(E7&gt;0,OR(E8="",E8=0))</f>
        <v>0</v>
      </c>
      <c r="T24" s="1564" t="str">
        <f>"If you enter a Prior List RV you must also enter an RV at "&amp;text!E52</f>
        <v>If you enter a Prior List RV you must also enter an RV at 01/04/23</v>
      </c>
      <c r="U24" s="1564"/>
      <c r="V24" s="1564"/>
      <c r="W24" s="1564"/>
      <c r="X24" s="1564"/>
      <c r="AA24"/>
      <c r="AB24"/>
      <c r="AC24"/>
      <c r="AD24"/>
      <c r="AE24"/>
      <c r="AF24"/>
      <c r="AG24"/>
      <c r="AH24"/>
      <c r="AI24"/>
      <c r="AJ24"/>
      <c r="AK24" s="1639"/>
      <c r="AL24" s="1639"/>
      <c r="AM24" s="1639"/>
      <c r="AN24" s="1639"/>
      <c r="AO24" s="1639"/>
    </row>
    <row r="25" spans="1:41" ht="14.5" hidden="1" x14ac:dyDescent="0.35">
      <c r="A25" s="1639"/>
      <c r="B25" s="1924"/>
      <c r="C25" s="1924"/>
      <c r="D25" s="1924"/>
      <c r="E25" s="1956"/>
      <c r="F25" s="1492"/>
      <c r="G25" s="1492"/>
      <c r="H25" s="1492"/>
      <c r="I25" s="1492"/>
      <c r="J25" s="1955"/>
      <c r="K25" s="1924"/>
      <c r="L25" s="1924"/>
      <c r="M25" s="1924"/>
      <c r="Q25" s="1564" t="b">
        <f>AND($O$11=1,D17&lt;&gt;"")</f>
        <v>0</v>
      </c>
      <c r="S25" s="1684" t="b">
        <f>E7=""</f>
        <v>1</v>
      </c>
      <c r="T25" s="1564" t="str">
        <f>"Please Enter the RV as at "&amp;TEXT(O1-1,"dd/mm/yy")&amp;" or a zero if none"</f>
        <v>Please Enter the RV as at 31/03/23 or a zero if none</v>
      </c>
      <c r="U25" s="1564"/>
      <c r="V25" s="1564"/>
      <c r="W25" s="1564"/>
      <c r="X25" s="1564"/>
      <c r="AA25"/>
      <c r="AB25"/>
      <c r="AK25" s="1639"/>
      <c r="AL25" s="1639"/>
      <c r="AM25" s="1639"/>
      <c r="AN25" s="1639"/>
      <c r="AO25" s="1639"/>
    </row>
    <row r="26" spans="1:41" hidden="1" x14ac:dyDescent="0.25">
      <c r="A26" s="1639"/>
      <c r="B26" s="1924"/>
      <c r="C26" s="1924"/>
      <c r="D26" s="1924"/>
      <c r="E26" s="1956"/>
      <c r="F26" s="1492"/>
      <c r="G26" s="1492"/>
      <c r="H26" s="1492"/>
      <c r="I26" s="1492"/>
      <c r="J26" s="1955"/>
      <c r="K26" s="1924"/>
      <c r="L26" s="1924"/>
      <c r="M26" s="1924"/>
      <c r="Q26" s="1571">
        <f>Q21+Q22+Q23+Q24+Q25</f>
        <v>0</v>
      </c>
      <c r="R26" s="1597"/>
      <c r="S26" s="1493" t="b">
        <f>AND(O6=FALSE,OR(E9=0,E9=""))</f>
        <v>1</v>
      </c>
      <c r="T26" s="1957" t="e">
        <f>"There must be an RV on "&amp;TEXT((E6-1),"dd/mm/yy")&amp;" (Row 7)"</f>
        <v>#VALUE!</v>
      </c>
      <c r="AK26" s="1639"/>
      <c r="AL26" s="1639"/>
      <c r="AM26" s="1639"/>
      <c r="AN26" s="1639"/>
      <c r="AO26" s="1639"/>
    </row>
    <row r="27" spans="1:41" hidden="1" x14ac:dyDescent="0.25">
      <c r="A27" s="1639"/>
      <c r="B27" s="1924"/>
      <c r="C27" s="1924"/>
      <c r="D27" s="1924"/>
      <c r="K27" s="1924"/>
      <c r="L27" s="1924"/>
      <c r="M27" s="1924"/>
      <c r="N27" s="1924"/>
      <c r="S27" s="1684" t="b">
        <f>E13=""</f>
        <v>1</v>
      </c>
      <c r="T27" s="1564" t="s">
        <v>135</v>
      </c>
      <c r="U27" s="1564"/>
      <c r="V27" s="1564"/>
      <c r="W27" s="1564"/>
      <c r="X27" s="1564"/>
      <c r="AK27" s="1639"/>
      <c r="AL27" s="1639"/>
      <c r="AM27" s="1639"/>
      <c r="AN27" s="1639"/>
      <c r="AO27" s="1639"/>
    </row>
    <row r="28" spans="1:41" hidden="1" x14ac:dyDescent="0.25">
      <c r="A28" s="1639"/>
      <c r="B28" s="1924"/>
      <c r="C28" s="1924"/>
      <c r="D28" s="1924"/>
      <c r="E28" s="1924"/>
      <c r="F28" s="1924"/>
      <c r="G28" s="1924"/>
      <c r="H28" s="1924"/>
      <c r="I28" s="1924"/>
      <c r="J28" s="1924"/>
      <c r="K28" s="1924"/>
      <c r="L28" s="1924"/>
      <c r="M28" s="1924"/>
      <c r="N28" s="1924"/>
      <c r="S28" s="1684" t="b">
        <f>AND(E6&gt;O1,O11=2)</f>
        <v>0</v>
      </c>
      <c r="T28" s="1564" t="str">
        <f>"If the Effective Date is not "&amp;TEXT(O1,"dd/mm/yy")&amp;" "&amp;O10&amp;" can't apply"</f>
        <v>If the Effective Date is not 01/04/23 Schedule can't apply</v>
      </c>
      <c r="U28" s="1564"/>
      <c r="V28" s="1564"/>
      <c r="W28" s="1564"/>
      <c r="X28" s="1564"/>
      <c r="AK28" s="1639"/>
      <c r="AL28" s="1639"/>
      <c r="AM28" s="1639"/>
      <c r="AN28" s="1639"/>
      <c r="AO28" s="1639"/>
    </row>
    <row r="29" spans="1:41" hidden="1" x14ac:dyDescent="0.25">
      <c r="A29" s="1639"/>
      <c r="B29" s="1924"/>
      <c r="C29" s="1924"/>
      <c r="D29" s="1924"/>
      <c r="E29" s="1924"/>
      <c r="F29" s="1924"/>
      <c r="G29" s="1924"/>
      <c r="H29" s="1924"/>
      <c r="I29" s="1924"/>
      <c r="J29" s="1924"/>
      <c r="K29" s="1924"/>
      <c r="L29" s="1924"/>
      <c r="M29" s="1924"/>
      <c r="N29" s="1924"/>
      <c r="S29" s="1493" t="b">
        <f>W18&gt;0</f>
        <v>0</v>
      </c>
      <c r="T29" s="1493" t="s">
        <v>136</v>
      </c>
      <c r="AK29" s="1639"/>
      <c r="AL29" s="1639"/>
      <c r="AM29" s="1639"/>
      <c r="AN29" s="1639"/>
      <c r="AO29" s="1639"/>
    </row>
    <row r="30" spans="1:41" x14ac:dyDescent="0.25">
      <c r="A30" s="1639"/>
      <c r="B30" s="1924"/>
      <c r="C30" s="1924"/>
      <c r="D30" s="1924"/>
      <c r="E30" s="1924"/>
      <c r="F30" s="1924"/>
      <c r="G30" s="1924"/>
      <c r="H30" s="1924"/>
      <c r="I30" s="1924"/>
      <c r="J30" s="1924"/>
      <c r="K30" s="1924"/>
      <c r="L30" s="1924"/>
      <c r="M30" s="1924"/>
      <c r="N30" s="1924"/>
      <c r="S30" s="1493" t="b">
        <f>AG18&gt;0</f>
        <v>0</v>
      </c>
      <c r="T30" s="1493" t="s">
        <v>137</v>
      </c>
      <c r="AK30" s="1639"/>
      <c r="AL30" s="1639"/>
      <c r="AM30" s="1639"/>
      <c r="AN30" s="1639"/>
      <c r="AO30" s="1639"/>
    </row>
    <row r="31" spans="1:41" x14ac:dyDescent="0.25">
      <c r="A31" s="1639"/>
      <c r="B31" s="1639"/>
      <c r="C31" s="1639"/>
      <c r="D31" s="1639"/>
      <c r="E31" s="1639"/>
      <c r="F31" s="1639"/>
      <c r="G31" s="1639"/>
      <c r="H31" s="1639"/>
      <c r="I31" s="1639"/>
      <c r="J31" s="1639"/>
      <c r="K31" s="1639"/>
      <c r="L31" s="1639"/>
      <c r="M31" s="1639"/>
      <c r="N31" s="1639"/>
      <c r="S31" s="1493" t="b">
        <f>Q18&gt;0</f>
        <v>0</v>
      </c>
      <c r="T31" s="1493" t="str">
        <f>"If this is "&amp;O10&amp;" there must be a Certified Value for each RV (New RV Section)"</f>
        <v>If this is Schedule there must be a Certified Value for each RV (New RV Section)</v>
      </c>
      <c r="AK31" s="1639"/>
      <c r="AL31" s="1639"/>
      <c r="AM31" s="1639"/>
      <c r="AN31" s="1639"/>
      <c r="AO31" s="1639"/>
    </row>
    <row r="32" spans="1:41" x14ac:dyDescent="0.25">
      <c r="A32" s="1639"/>
      <c r="B32" s="1639"/>
      <c r="C32" s="1639"/>
      <c r="D32" s="1639"/>
      <c r="E32" s="1639"/>
      <c r="F32" s="1639"/>
      <c r="G32" s="1639"/>
      <c r="H32" s="1639"/>
      <c r="I32" s="1639"/>
      <c r="J32" s="1639"/>
      <c r="K32" s="1639"/>
      <c r="L32" s="1639"/>
      <c r="M32" s="1639"/>
      <c r="N32" s="1639"/>
      <c r="S32" s="1493" t="b">
        <f>AG9</f>
        <v>0</v>
      </c>
      <c r="T32" s="1594" t="s">
        <v>2327</v>
      </c>
      <c r="AK32" s="1639"/>
      <c r="AL32" s="1639"/>
      <c r="AM32" s="1639"/>
      <c r="AN32" s="1639"/>
      <c r="AO32" s="1639"/>
    </row>
    <row r="33" spans="1:41" ht="13" x14ac:dyDescent="0.3">
      <c r="A33" s="1639"/>
      <c r="B33" s="1639"/>
      <c r="C33" s="1639"/>
      <c r="D33" s="1639"/>
      <c r="E33" s="1639"/>
      <c r="F33" s="1639"/>
      <c r="G33" s="1639"/>
      <c r="H33" s="1639"/>
      <c r="I33" s="1958"/>
      <c r="J33" s="1639"/>
      <c r="K33" s="1639"/>
      <c r="L33" s="1639"/>
      <c r="M33" s="1639"/>
      <c r="N33" s="1959"/>
      <c r="S33" s="1493" t="b">
        <f>AND(K9="y",Y7="y")</f>
        <v>0</v>
      </c>
      <c r="T33" s="1594" t="s">
        <v>138</v>
      </c>
      <c r="AK33" s="1639"/>
      <c r="AL33" s="1639"/>
      <c r="AM33" s="1639"/>
      <c r="AN33" s="1639"/>
      <c r="AO33" s="1639"/>
    </row>
    <row r="34" spans="1:41" x14ac:dyDescent="0.25">
      <c r="A34" s="1639"/>
      <c r="B34" s="1639"/>
      <c r="C34" s="1639"/>
      <c r="D34" s="1639"/>
      <c r="E34" s="1639"/>
      <c r="F34" s="1639"/>
      <c r="G34" s="1639"/>
      <c r="H34" s="1639"/>
      <c r="I34" s="1639"/>
      <c r="J34" s="1639"/>
      <c r="K34" s="1639"/>
      <c r="L34" s="1639"/>
      <c r="M34" s="1639"/>
      <c r="N34" s="1639"/>
      <c r="S34" s="1493" t="b">
        <f>Q26&gt;0</f>
        <v>0</v>
      </c>
      <c r="T34" s="1594" t="str">
        <f>"If this is Sched please delete the TC Value on Property "&amp;P21</f>
        <v>If this is Sched please delete the TC Value on Property 0</v>
      </c>
      <c r="AK34" s="1639"/>
      <c r="AL34" s="1639"/>
      <c r="AM34" s="1639"/>
      <c r="AN34" s="1639"/>
      <c r="AO34" s="1639"/>
    </row>
    <row r="35" spans="1:41" x14ac:dyDescent="0.25">
      <c r="A35" s="1639"/>
      <c r="B35" s="1639"/>
      <c r="C35" s="1639"/>
      <c r="D35" s="1639"/>
      <c r="E35" s="1639"/>
      <c r="F35" s="1639"/>
      <c r="G35" s="1639"/>
      <c r="H35" s="1639"/>
      <c r="I35" s="1639"/>
      <c r="J35" s="1639"/>
      <c r="K35" s="1639"/>
      <c r="L35" s="1639"/>
      <c r="M35" s="1639"/>
      <c r="N35" s="1639"/>
      <c r="S35" s="1564" t="b">
        <v>1</v>
      </c>
      <c r="T35" s="1960" t="s">
        <v>836</v>
      </c>
      <c r="U35" s="1564"/>
      <c r="V35" s="1564"/>
      <c r="W35" s="1564"/>
      <c r="X35" s="1564"/>
      <c r="AK35" s="1639"/>
      <c r="AL35" s="1639"/>
      <c r="AM35" s="1639"/>
      <c r="AN35" s="1639"/>
      <c r="AO35" s="1639"/>
    </row>
    <row r="36" spans="1:41" x14ac:dyDescent="0.25">
      <c r="A36" s="1639"/>
      <c r="B36" s="1639"/>
      <c r="C36" s="1639"/>
      <c r="D36" s="1639"/>
      <c r="E36" s="1639"/>
      <c r="F36" s="1639"/>
      <c r="G36" s="1639"/>
      <c r="H36" s="1639"/>
      <c r="I36" s="1639"/>
      <c r="J36" s="1639"/>
      <c r="K36" s="1639"/>
      <c r="L36" s="1639"/>
      <c r="M36" s="1639"/>
      <c r="N36" s="1639"/>
      <c r="S36" s="1571">
        <f ca="1">S21+S22+S23+S24+S25+S26+S27+S28+S29+S30+S31+S32+S33+S34</f>
        <v>4</v>
      </c>
      <c r="T36" s="1564" t="str">
        <f ca="1">VLOOKUP(TRUE,S21:T35,2,FALSE)</f>
        <v>Please Enter the Effective Date</v>
      </c>
      <c r="U36" s="1564"/>
      <c r="V36" s="1564"/>
      <c r="W36" s="1564"/>
      <c r="X36" s="1564"/>
      <c r="AK36" s="1639"/>
      <c r="AL36" s="1639"/>
      <c r="AM36" s="1639"/>
      <c r="AN36" s="1639"/>
      <c r="AO36" s="1639"/>
    </row>
    <row r="37" spans="1:41" x14ac:dyDescent="0.25">
      <c r="A37" s="1639"/>
      <c r="B37" s="1639"/>
      <c r="C37" s="1639"/>
      <c r="D37" s="1639"/>
      <c r="E37" s="1639"/>
      <c r="F37" s="1639"/>
      <c r="G37" s="1639"/>
      <c r="H37" s="1639"/>
      <c r="I37" s="1639"/>
      <c r="J37" s="1639"/>
      <c r="K37" s="1639"/>
      <c r="L37" s="1639"/>
      <c r="M37" s="1639"/>
      <c r="N37" s="1639"/>
      <c r="AK37" s="1639"/>
      <c r="AL37" s="1639"/>
      <c r="AM37" s="1639"/>
      <c r="AN37" s="1639"/>
      <c r="AO37" s="1639"/>
    </row>
    <row r="38" spans="1:41" x14ac:dyDescent="0.25">
      <c r="A38" s="1639"/>
      <c r="B38" s="1639"/>
      <c r="C38" s="1639"/>
      <c r="D38" s="1639"/>
      <c r="E38" s="1639"/>
      <c r="F38" s="1639"/>
      <c r="G38" s="1639"/>
      <c r="H38" s="1639"/>
      <c r="I38" s="1639"/>
      <c r="J38" s="1639"/>
      <c r="K38" s="1639"/>
      <c r="L38" s="1639"/>
      <c r="M38" s="1639"/>
      <c r="N38" s="1639"/>
      <c r="AK38" s="1639"/>
      <c r="AL38" s="1639"/>
      <c r="AM38" s="1639"/>
      <c r="AN38" s="1639"/>
      <c r="AO38" s="1639"/>
    </row>
    <row r="39" spans="1:41" x14ac:dyDescent="0.25">
      <c r="A39" s="1639"/>
      <c r="B39" s="1639"/>
      <c r="C39" s="1639"/>
      <c r="D39" s="1639"/>
      <c r="E39" s="1639"/>
      <c r="F39" s="1639"/>
      <c r="G39" s="1639"/>
      <c r="H39" s="1639"/>
      <c r="I39" s="1639"/>
      <c r="J39" s="1639"/>
      <c r="K39" s="1639"/>
      <c r="L39" s="1639"/>
      <c r="M39" s="1639"/>
      <c r="N39" s="1639"/>
      <c r="AK39" s="1639"/>
      <c r="AL39" s="1639"/>
      <c r="AM39" s="1639"/>
      <c r="AN39" s="1639"/>
      <c r="AO39" s="1639"/>
    </row>
    <row r="40" spans="1:41" x14ac:dyDescent="0.25">
      <c r="A40" s="1639"/>
      <c r="B40" s="1639"/>
      <c r="C40" s="1639"/>
      <c r="D40" s="1639"/>
      <c r="E40" s="1639"/>
      <c r="F40" s="1639"/>
      <c r="G40" s="1639"/>
      <c r="H40" s="1639"/>
      <c r="I40" s="1639"/>
      <c r="J40" s="1639"/>
      <c r="K40" s="1639"/>
      <c r="L40" s="1639"/>
      <c r="M40" s="1639"/>
      <c r="N40" s="1639"/>
      <c r="AK40" s="1639"/>
      <c r="AL40" s="1639"/>
      <c r="AM40" s="1639"/>
      <c r="AN40" s="1639"/>
      <c r="AO40" s="1639"/>
    </row>
    <row r="41" spans="1:41" x14ac:dyDescent="0.25">
      <c r="A41" s="1639"/>
      <c r="B41" s="1639"/>
      <c r="C41" s="1639"/>
      <c r="D41" s="1639"/>
      <c r="E41" s="1639"/>
      <c r="F41" s="1639"/>
      <c r="G41" s="1639"/>
      <c r="H41" s="1639"/>
      <c r="I41" s="1639"/>
      <c r="J41" s="1639"/>
      <c r="K41" s="1639"/>
      <c r="L41" s="1639"/>
      <c r="M41" s="1639"/>
      <c r="N41" s="1639"/>
      <c r="AK41" s="1639"/>
      <c r="AL41" s="1639"/>
      <c r="AM41" s="1639"/>
      <c r="AN41" s="1639"/>
      <c r="AO41" s="1639"/>
    </row>
    <row r="42" spans="1:41" x14ac:dyDescent="0.25">
      <c r="A42" s="1639"/>
      <c r="B42" s="1639"/>
      <c r="C42" s="1639"/>
      <c r="D42" s="1639"/>
      <c r="E42" s="1639"/>
      <c r="F42" s="1639"/>
      <c r="G42" s="1639"/>
      <c r="H42" s="1639"/>
      <c r="I42" s="1639"/>
      <c r="J42" s="1639"/>
      <c r="K42" s="1639"/>
      <c r="L42" s="1639"/>
      <c r="M42" s="1639"/>
      <c r="N42" s="1639"/>
      <c r="AK42" s="1639"/>
      <c r="AL42" s="1639"/>
      <c r="AM42" s="1639"/>
      <c r="AN42" s="1639"/>
      <c r="AO42" s="1639"/>
    </row>
    <row r="43" spans="1:41" x14ac:dyDescent="0.25">
      <c r="A43" s="1639"/>
      <c r="B43" s="1639"/>
      <c r="C43" s="1639"/>
      <c r="D43" s="1639"/>
      <c r="E43" s="1639"/>
      <c r="F43" s="1639"/>
      <c r="G43" s="1639"/>
      <c r="H43" s="1639"/>
      <c r="I43" s="1639"/>
      <c r="J43" s="1639"/>
      <c r="K43" s="1639"/>
      <c r="L43" s="1639"/>
      <c r="M43" s="1639"/>
      <c r="N43" s="1639"/>
      <c r="O43" s="1564" t="s">
        <v>140</v>
      </c>
      <c r="P43" s="1564" t="e">
        <f t="shared" ref="P43:P62" si="0">VLOOKUP(TRUE,O44:Q48,3,FALSE)</f>
        <v>#N/A</v>
      </c>
      <c r="Q43" s="1961">
        <f t="shared" ref="Q43:Q62" si="1">ROW(D13)</f>
        <v>13</v>
      </c>
      <c r="R43" s="2089"/>
      <c r="AK43" s="1639"/>
      <c r="AL43" s="1639"/>
      <c r="AM43" s="1639"/>
      <c r="AN43" s="1639"/>
      <c r="AO43" s="1639"/>
    </row>
    <row r="44" spans="1:41" x14ac:dyDescent="0.25">
      <c r="A44" s="1639"/>
      <c r="B44" s="1639"/>
      <c r="C44" s="1639"/>
      <c r="D44" s="1639"/>
      <c r="E44" s="1639"/>
      <c r="F44" s="1639"/>
      <c r="G44" s="1639"/>
      <c r="H44" s="1639"/>
      <c r="I44" s="1639"/>
      <c r="J44" s="1639"/>
      <c r="K44" s="1639"/>
      <c r="L44" s="1639"/>
      <c r="M44" s="1639"/>
      <c r="N44" s="1639"/>
      <c r="O44" s="1564" t="s">
        <v>140</v>
      </c>
      <c r="P44" s="1564" t="e">
        <f t="shared" si="0"/>
        <v>#N/A</v>
      </c>
      <c r="Q44" s="1961">
        <f t="shared" si="1"/>
        <v>14</v>
      </c>
      <c r="R44" s="2089"/>
      <c r="AK44" s="1639"/>
      <c r="AL44" s="1639"/>
      <c r="AM44" s="1639"/>
      <c r="AN44" s="1639"/>
      <c r="AO44" s="1639"/>
    </row>
    <row r="45" spans="1:41" x14ac:dyDescent="0.25">
      <c r="A45" s="1639"/>
      <c r="B45" s="1639"/>
      <c r="C45" s="1639"/>
      <c r="D45" s="1639"/>
      <c r="E45" s="1639"/>
      <c r="F45" s="1639"/>
      <c r="G45" s="1639"/>
      <c r="H45" s="1639"/>
      <c r="I45" s="1639"/>
      <c r="J45" s="1639"/>
      <c r="K45" s="1639"/>
      <c r="L45" s="1639"/>
      <c r="M45" s="1639"/>
      <c r="N45" s="1639"/>
      <c r="O45" s="1564" t="s">
        <v>140</v>
      </c>
      <c r="P45" s="1564" t="e">
        <f t="shared" si="0"/>
        <v>#N/A</v>
      </c>
      <c r="Q45" s="1961">
        <f t="shared" si="1"/>
        <v>15</v>
      </c>
      <c r="R45" s="2089"/>
      <c r="AK45" s="1639"/>
      <c r="AL45" s="1639"/>
      <c r="AM45" s="1639"/>
      <c r="AN45" s="1639"/>
      <c r="AO45" s="1639"/>
    </row>
    <row r="46" spans="1:41" x14ac:dyDescent="0.25">
      <c r="A46" s="1639"/>
      <c r="B46" s="1639"/>
      <c r="C46" s="1639"/>
      <c r="D46" s="1639"/>
      <c r="E46" s="1639"/>
      <c r="F46" s="1639"/>
      <c r="G46" s="1639"/>
      <c r="H46" s="1639"/>
      <c r="I46" s="1639"/>
      <c r="J46" s="1639"/>
      <c r="K46" s="1639"/>
      <c r="L46" s="1639"/>
      <c r="M46" s="1639"/>
      <c r="N46" s="1639"/>
      <c r="O46" s="1564" t="s">
        <v>140</v>
      </c>
      <c r="P46" s="1564" t="e">
        <f t="shared" si="0"/>
        <v>#N/A</v>
      </c>
      <c r="Q46" s="1961">
        <f t="shared" si="1"/>
        <v>16</v>
      </c>
      <c r="R46" s="2089"/>
      <c r="AK46" s="1639"/>
      <c r="AL46" s="1639"/>
      <c r="AM46" s="1639"/>
      <c r="AN46" s="1639"/>
      <c r="AO46" s="1639"/>
    </row>
    <row r="47" spans="1:41" x14ac:dyDescent="0.25">
      <c r="A47" s="1639"/>
      <c r="B47" s="1639"/>
      <c r="C47" s="1639"/>
      <c r="D47" s="1639"/>
      <c r="E47" s="1639"/>
      <c r="F47" s="1639"/>
      <c r="G47" s="1639"/>
      <c r="H47" s="1639"/>
      <c r="I47" s="1639"/>
      <c r="J47" s="1639"/>
      <c r="K47" s="1639"/>
      <c r="L47" s="1639"/>
      <c r="M47" s="1639"/>
      <c r="N47" s="1639"/>
      <c r="O47" s="1564" t="s">
        <v>140</v>
      </c>
      <c r="P47" s="1564" t="e">
        <f t="shared" si="0"/>
        <v>#N/A</v>
      </c>
      <c r="Q47" s="1961">
        <f t="shared" si="1"/>
        <v>17</v>
      </c>
      <c r="R47" s="2089"/>
      <c r="AK47" s="1639"/>
      <c r="AL47" s="1639"/>
      <c r="AM47" s="1639"/>
      <c r="AN47" s="1639"/>
      <c r="AO47" s="1639"/>
    </row>
    <row r="48" spans="1:41" x14ac:dyDescent="0.25">
      <c r="A48" s="1639"/>
      <c r="B48" s="1639"/>
      <c r="C48" s="1639"/>
      <c r="D48" s="1639"/>
      <c r="E48" s="1639"/>
      <c r="F48" s="1639"/>
      <c r="G48" s="1639"/>
      <c r="H48" s="1639"/>
      <c r="I48" s="1639"/>
      <c r="J48" s="1639"/>
      <c r="K48" s="1639"/>
      <c r="L48" s="1639"/>
      <c r="M48" s="1639"/>
      <c r="N48" s="1639"/>
      <c r="O48" s="1564" t="s">
        <v>140</v>
      </c>
      <c r="P48" s="1564" t="e">
        <f t="shared" si="0"/>
        <v>#N/A</v>
      </c>
      <c r="Q48" s="1961">
        <f t="shared" si="1"/>
        <v>18</v>
      </c>
      <c r="R48" s="2089"/>
      <c r="AK48" s="1639"/>
      <c r="AL48" s="1639"/>
      <c r="AM48" s="1639"/>
      <c r="AN48" s="1639"/>
      <c r="AO48" s="1639"/>
    </row>
    <row r="49" spans="1:41" x14ac:dyDescent="0.25">
      <c r="A49" s="1639"/>
      <c r="B49" s="1639"/>
      <c r="C49" s="1639"/>
      <c r="D49" s="1639"/>
      <c r="E49" s="1639"/>
      <c r="F49" s="1639"/>
      <c r="G49" s="1639"/>
      <c r="H49" s="1639"/>
      <c r="I49" s="1639"/>
      <c r="J49" s="1639"/>
      <c r="K49" s="1639"/>
      <c r="L49" s="1639"/>
      <c r="M49" s="1639"/>
      <c r="N49" s="1639"/>
      <c r="O49" s="1564" t="s">
        <v>140</v>
      </c>
      <c r="P49" s="1564" t="e">
        <f t="shared" si="0"/>
        <v>#N/A</v>
      </c>
      <c r="Q49" s="1961">
        <f t="shared" si="1"/>
        <v>19</v>
      </c>
      <c r="R49" s="2089"/>
      <c r="AK49" s="1639"/>
      <c r="AL49" s="1639"/>
      <c r="AM49" s="1639"/>
      <c r="AN49" s="1639"/>
      <c r="AO49" s="1639"/>
    </row>
    <row r="50" spans="1:41" x14ac:dyDescent="0.25">
      <c r="A50" s="1639"/>
      <c r="B50" s="1639"/>
      <c r="C50" s="1639"/>
      <c r="D50" s="1639"/>
      <c r="E50" s="1639"/>
      <c r="F50" s="1639"/>
      <c r="G50" s="1639"/>
      <c r="H50" s="1639"/>
      <c r="I50" s="1639"/>
      <c r="J50" s="1639"/>
      <c r="K50" s="1639"/>
      <c r="L50" s="1639"/>
      <c r="M50" s="1639"/>
      <c r="N50" s="1639"/>
      <c r="O50" s="1564" t="s">
        <v>140</v>
      </c>
      <c r="P50" s="1564" t="e">
        <f t="shared" si="0"/>
        <v>#N/A</v>
      </c>
      <c r="Q50" s="1961">
        <f t="shared" si="1"/>
        <v>20</v>
      </c>
      <c r="R50" s="2089"/>
      <c r="AK50" s="1639"/>
      <c r="AL50" s="1639"/>
      <c r="AM50" s="1639"/>
      <c r="AN50" s="1639"/>
      <c r="AO50" s="1639"/>
    </row>
    <row r="51" spans="1:41" x14ac:dyDescent="0.25">
      <c r="A51" s="1639"/>
      <c r="B51" s="1639"/>
      <c r="C51" s="1639"/>
      <c r="D51" s="1639"/>
      <c r="E51" s="1639"/>
      <c r="F51" s="1639"/>
      <c r="G51" s="1639"/>
      <c r="H51" s="1639"/>
      <c r="I51" s="1639"/>
      <c r="J51" s="1639"/>
      <c r="K51" s="1639"/>
      <c r="L51" s="1639"/>
      <c r="M51" s="1639"/>
      <c r="N51" s="1639"/>
      <c r="O51" s="1564" t="s">
        <v>140</v>
      </c>
      <c r="P51" s="1564" t="e">
        <f t="shared" si="0"/>
        <v>#N/A</v>
      </c>
      <c r="Q51" s="1961">
        <f t="shared" si="1"/>
        <v>21</v>
      </c>
      <c r="R51" s="2089"/>
      <c r="AK51" s="1639"/>
      <c r="AL51" s="1639"/>
      <c r="AM51" s="1639"/>
      <c r="AN51" s="1639"/>
      <c r="AO51" s="1639"/>
    </row>
    <row r="52" spans="1:41" x14ac:dyDescent="0.25">
      <c r="A52" s="1639"/>
      <c r="B52" s="1639"/>
      <c r="C52" s="1639"/>
      <c r="D52" s="1639"/>
      <c r="E52" s="1639"/>
      <c r="F52" s="1639"/>
      <c r="G52" s="1639"/>
      <c r="H52" s="1639"/>
      <c r="I52" s="1639"/>
      <c r="J52" s="1639"/>
      <c r="K52" s="1639"/>
      <c r="L52" s="1639"/>
      <c r="M52" s="1639"/>
      <c r="N52" s="1639"/>
      <c r="O52" s="1564" t="s">
        <v>140</v>
      </c>
      <c r="P52" s="1564" t="e">
        <f t="shared" si="0"/>
        <v>#N/A</v>
      </c>
      <c r="Q52" s="1961">
        <f t="shared" si="1"/>
        <v>22</v>
      </c>
      <c r="R52" s="2089"/>
      <c r="AK52" s="1639"/>
      <c r="AL52" s="1639"/>
      <c r="AM52" s="1639"/>
      <c r="AN52" s="1639"/>
      <c r="AO52" s="1639"/>
    </row>
    <row r="53" spans="1:41" x14ac:dyDescent="0.25">
      <c r="A53" s="1639"/>
      <c r="B53" s="1639"/>
      <c r="C53" s="1639"/>
      <c r="D53" s="1639"/>
      <c r="E53" s="1639"/>
      <c r="F53" s="1639"/>
      <c r="G53" s="1639"/>
      <c r="H53" s="1639"/>
      <c r="I53" s="1639"/>
      <c r="J53" s="1639"/>
      <c r="K53" s="1639"/>
      <c r="L53" s="1639"/>
      <c r="M53" s="1639"/>
      <c r="N53" s="1639"/>
      <c r="O53" s="1564" t="s">
        <v>140</v>
      </c>
      <c r="P53" s="1564" t="e">
        <f t="shared" si="0"/>
        <v>#N/A</v>
      </c>
      <c r="Q53" s="1961">
        <f t="shared" si="1"/>
        <v>23</v>
      </c>
      <c r="R53" s="2089"/>
      <c r="AK53" s="1639"/>
      <c r="AL53" s="1639"/>
      <c r="AM53" s="1639"/>
      <c r="AN53" s="1639"/>
      <c r="AO53" s="1639"/>
    </row>
    <row r="54" spans="1:41" x14ac:dyDescent="0.25">
      <c r="A54" s="1639"/>
      <c r="B54" s="1639"/>
      <c r="C54" s="1639"/>
      <c r="D54" s="1639"/>
      <c r="E54" s="1639"/>
      <c r="F54" s="1639"/>
      <c r="G54" s="1639"/>
      <c r="H54" s="1639"/>
      <c r="I54" s="1639"/>
      <c r="J54" s="1639"/>
      <c r="K54" s="1639"/>
      <c r="L54" s="1639"/>
      <c r="M54" s="1639"/>
      <c r="N54" s="1639"/>
      <c r="O54" s="1564" t="s">
        <v>140</v>
      </c>
      <c r="P54" s="1564" t="e">
        <f t="shared" si="0"/>
        <v>#N/A</v>
      </c>
      <c r="Q54" s="1961">
        <f t="shared" si="1"/>
        <v>24</v>
      </c>
      <c r="R54" s="2089"/>
      <c r="AK54" s="1639"/>
      <c r="AL54" s="1639"/>
      <c r="AM54" s="1639"/>
      <c r="AN54" s="1639"/>
      <c r="AO54" s="1639"/>
    </row>
    <row r="55" spans="1:41" x14ac:dyDescent="0.25">
      <c r="A55" s="1639"/>
      <c r="B55" s="1639"/>
      <c r="C55" s="1639"/>
      <c r="D55" s="1639"/>
      <c r="E55" s="1639"/>
      <c r="F55" s="1639"/>
      <c r="G55" s="1639"/>
      <c r="H55" s="1639"/>
      <c r="I55" s="1639"/>
      <c r="J55" s="1639"/>
      <c r="K55" s="1639"/>
      <c r="L55" s="1639"/>
      <c r="M55" s="1639"/>
      <c r="N55" s="1639"/>
      <c r="O55" s="1564" t="s">
        <v>140</v>
      </c>
      <c r="P55" s="1564" t="e">
        <f t="shared" si="0"/>
        <v>#N/A</v>
      </c>
      <c r="Q55" s="1961">
        <f t="shared" si="1"/>
        <v>25</v>
      </c>
      <c r="R55" s="2089"/>
      <c r="AK55" s="1639"/>
      <c r="AL55" s="1639"/>
      <c r="AM55" s="1639"/>
      <c r="AN55" s="1639"/>
      <c r="AO55" s="1639"/>
    </row>
    <row r="56" spans="1:41" x14ac:dyDescent="0.25">
      <c r="A56" s="1639"/>
      <c r="B56" s="1639"/>
      <c r="C56" s="1639"/>
      <c r="D56" s="1639"/>
      <c r="E56" s="1639"/>
      <c r="F56" s="1639"/>
      <c r="G56" s="1639"/>
      <c r="H56" s="1639"/>
      <c r="I56" s="1639"/>
      <c r="J56" s="1639"/>
      <c r="K56" s="1639"/>
      <c r="L56" s="1639"/>
      <c r="M56" s="1639"/>
      <c r="N56" s="1639"/>
      <c r="O56" s="1564" t="s">
        <v>140</v>
      </c>
      <c r="P56" s="1564" t="e">
        <f t="shared" si="0"/>
        <v>#N/A</v>
      </c>
      <c r="Q56" s="1961">
        <f t="shared" si="1"/>
        <v>26</v>
      </c>
      <c r="R56" s="2089"/>
      <c r="AK56" s="1639"/>
      <c r="AL56" s="1639"/>
      <c r="AM56" s="1639"/>
      <c r="AN56" s="1639"/>
      <c r="AO56" s="1639"/>
    </row>
    <row r="57" spans="1:41" x14ac:dyDescent="0.25">
      <c r="A57" s="1639"/>
      <c r="B57" s="1639"/>
      <c r="C57" s="1639"/>
      <c r="D57" s="1639"/>
      <c r="E57" s="1639"/>
      <c r="F57" s="1639"/>
      <c r="G57" s="1639"/>
      <c r="H57" s="1639"/>
      <c r="I57" s="1639"/>
      <c r="J57" s="1639"/>
      <c r="K57" s="1639"/>
      <c r="L57" s="1639"/>
      <c r="M57" s="1639"/>
      <c r="N57" s="1639"/>
      <c r="O57" s="1564" t="s">
        <v>140</v>
      </c>
      <c r="P57" s="1564" t="e">
        <f t="shared" si="0"/>
        <v>#N/A</v>
      </c>
      <c r="Q57" s="1961">
        <f t="shared" si="1"/>
        <v>27</v>
      </c>
      <c r="R57" s="2089"/>
      <c r="AK57" s="1639"/>
      <c r="AL57" s="1639"/>
      <c r="AM57" s="1639"/>
      <c r="AN57" s="1639"/>
      <c r="AO57" s="1639"/>
    </row>
    <row r="58" spans="1:41" x14ac:dyDescent="0.25">
      <c r="A58" s="1639"/>
      <c r="B58" s="1639"/>
      <c r="C58" s="1639"/>
      <c r="D58" s="1639"/>
      <c r="E58" s="1639"/>
      <c r="F58" s="1639"/>
      <c r="G58" s="1639"/>
      <c r="H58" s="1639"/>
      <c r="I58" s="1639"/>
      <c r="J58" s="1639"/>
      <c r="K58" s="1639"/>
      <c r="L58" s="1639"/>
      <c r="M58" s="1639"/>
      <c r="N58" s="1639"/>
      <c r="O58" s="1564" t="s">
        <v>140</v>
      </c>
      <c r="P58" s="1564" t="e">
        <f t="shared" si="0"/>
        <v>#N/A</v>
      </c>
      <c r="Q58" s="1961">
        <f t="shared" si="1"/>
        <v>28</v>
      </c>
      <c r="R58" s="2089"/>
      <c r="AK58" s="1639"/>
      <c r="AL58" s="1639"/>
      <c r="AM58" s="1639"/>
      <c r="AN58" s="1639"/>
      <c r="AO58" s="1639"/>
    </row>
    <row r="59" spans="1:41" x14ac:dyDescent="0.25">
      <c r="A59" s="1639"/>
      <c r="B59" s="1639"/>
      <c r="C59" s="1639"/>
      <c r="D59" s="1639"/>
      <c r="E59" s="1639"/>
      <c r="F59" s="1639"/>
      <c r="G59" s="1639"/>
      <c r="H59" s="1639"/>
      <c r="I59" s="1639"/>
      <c r="J59" s="1639"/>
      <c r="K59" s="1639"/>
      <c r="L59" s="1639"/>
      <c r="M59" s="1639"/>
      <c r="N59" s="1639"/>
      <c r="O59" s="1564" t="s">
        <v>140</v>
      </c>
      <c r="P59" s="1564" t="e">
        <f t="shared" si="0"/>
        <v>#N/A</v>
      </c>
      <c r="Q59" s="1961">
        <f t="shared" si="1"/>
        <v>29</v>
      </c>
      <c r="R59" s="2089"/>
      <c r="AK59" s="1639"/>
      <c r="AL59" s="1639"/>
      <c r="AM59" s="1639"/>
      <c r="AN59" s="1639"/>
      <c r="AO59" s="1639"/>
    </row>
    <row r="60" spans="1:41" x14ac:dyDescent="0.25">
      <c r="A60" s="1639"/>
      <c r="B60" s="1639"/>
      <c r="C60" s="1639"/>
      <c r="D60" s="1639"/>
      <c r="E60" s="1639"/>
      <c r="F60" s="1639"/>
      <c r="G60" s="1639"/>
      <c r="H60" s="1639"/>
      <c r="I60" s="1639"/>
      <c r="J60" s="1639"/>
      <c r="K60" s="1639"/>
      <c r="L60" s="1639"/>
      <c r="M60" s="1639"/>
      <c r="N60" s="1639"/>
      <c r="O60" s="1564" t="s">
        <v>140</v>
      </c>
      <c r="P60" s="1564" t="e">
        <f t="shared" si="0"/>
        <v>#N/A</v>
      </c>
      <c r="Q60" s="1961">
        <f t="shared" si="1"/>
        <v>30</v>
      </c>
      <c r="R60" s="2089"/>
      <c r="AK60" s="1639"/>
      <c r="AL60" s="1639"/>
      <c r="AM60" s="1639"/>
      <c r="AN60" s="1639"/>
      <c r="AO60" s="1639"/>
    </row>
    <row r="61" spans="1:41" x14ac:dyDescent="0.25">
      <c r="A61" s="1639"/>
      <c r="B61" s="1639"/>
      <c r="C61" s="1639"/>
      <c r="D61" s="1639"/>
      <c r="E61" s="1639"/>
      <c r="F61" s="1639"/>
      <c r="G61" s="1639"/>
      <c r="H61" s="1639"/>
      <c r="I61" s="1639"/>
      <c r="J61" s="1639"/>
      <c r="K61" s="1639"/>
      <c r="L61" s="1639"/>
      <c r="M61" s="1639"/>
      <c r="N61" s="1639"/>
      <c r="O61" s="1564" t="s">
        <v>140</v>
      </c>
      <c r="P61" s="1564" t="e">
        <f t="shared" si="0"/>
        <v>#N/A</v>
      </c>
      <c r="Q61" s="1961">
        <f t="shared" si="1"/>
        <v>31</v>
      </c>
      <c r="R61" s="2089"/>
      <c r="AK61" s="1639"/>
      <c r="AL61" s="1639"/>
      <c r="AM61" s="1639"/>
      <c r="AN61" s="1639"/>
      <c r="AO61" s="1639"/>
    </row>
    <row r="62" spans="1:41" x14ac:dyDescent="0.25">
      <c r="A62" s="1639"/>
      <c r="B62" s="1639"/>
      <c r="C62" s="1639"/>
      <c r="D62" s="1639"/>
      <c r="E62" s="1639"/>
      <c r="F62" s="1639"/>
      <c r="G62" s="1639"/>
      <c r="H62" s="1639"/>
      <c r="I62" s="1639"/>
      <c r="J62" s="1639"/>
      <c r="K62" s="1639"/>
      <c r="L62" s="1639"/>
      <c r="M62" s="1639"/>
      <c r="N62" s="1639"/>
      <c r="O62" s="1564" t="s">
        <v>140</v>
      </c>
      <c r="P62" s="1564" t="e">
        <f t="shared" si="0"/>
        <v>#N/A</v>
      </c>
      <c r="Q62" s="1961">
        <f t="shared" si="1"/>
        <v>32</v>
      </c>
      <c r="R62" s="2089"/>
      <c r="AK62" s="1639"/>
      <c r="AL62" s="1639"/>
      <c r="AM62" s="1639"/>
      <c r="AN62" s="1639"/>
      <c r="AO62" s="1639"/>
    </row>
    <row r="63" spans="1:41" x14ac:dyDescent="0.25">
      <c r="O63" s="1493" t="s">
        <v>441</v>
      </c>
      <c r="P63" s="1962">
        <f>IF(E9="","",E9)</f>
        <v>0</v>
      </c>
      <c r="Q63" s="1597">
        <v>17</v>
      </c>
      <c r="R63" s="1597"/>
    </row>
    <row r="64" spans="1:41" x14ac:dyDescent="0.25">
      <c r="O64" s="1493" t="s">
        <v>931</v>
      </c>
      <c r="P64" s="1597" t="str">
        <f>G9</f>
        <v>n</v>
      </c>
      <c r="Q64" s="1597">
        <v>18</v>
      </c>
      <c r="R64" s="1597"/>
    </row>
    <row r="65" spans="15:18" x14ac:dyDescent="0.25">
      <c r="O65" s="1493" t="s">
        <v>318</v>
      </c>
      <c r="P65" s="1597" t="str">
        <f>K9</f>
        <v>n</v>
      </c>
      <c r="Q65" s="1597">
        <v>20</v>
      </c>
      <c r="R65" s="1597"/>
    </row>
    <row r="66" spans="15:18" x14ac:dyDescent="0.25">
      <c r="O66" s="1493" t="s">
        <v>317</v>
      </c>
      <c r="P66" s="1597" t="str">
        <f>I9</f>
        <v>n</v>
      </c>
      <c r="Q66" s="1597">
        <v>22</v>
      </c>
      <c r="R66" s="1597"/>
    </row>
    <row r="67" spans="15:18" x14ac:dyDescent="0.25">
      <c r="O67" s="1493" t="s">
        <v>379</v>
      </c>
      <c r="P67" s="1597" t="str">
        <f>M9</f>
        <v>n</v>
      </c>
      <c r="Q67" s="1597">
        <v>23</v>
      </c>
      <c r="R67" s="1597"/>
    </row>
    <row r="68" spans="15:18" x14ac:dyDescent="0.25">
      <c r="O68" s="1594" t="s">
        <v>1281</v>
      </c>
      <c r="P68" s="1617">
        <f>E6</f>
        <v>0</v>
      </c>
      <c r="Q68" s="1597">
        <v>24</v>
      </c>
      <c r="R68" s="1597"/>
    </row>
    <row r="69" spans="15:18" x14ac:dyDescent="0.25">
      <c r="O69" s="1594" t="s">
        <v>141</v>
      </c>
      <c r="P69" s="1597">
        <f>O11</f>
        <v>1</v>
      </c>
      <c r="Q69" s="1597">
        <v>34</v>
      </c>
      <c r="R69" s="1597"/>
    </row>
    <row r="70" spans="15:18" x14ac:dyDescent="0.25">
      <c r="O70" s="1493" t="s">
        <v>1126</v>
      </c>
      <c r="P70" s="1597" t="str">
        <f>G13</f>
        <v>n</v>
      </c>
      <c r="Q70" s="1597">
        <v>55</v>
      </c>
      <c r="R70" s="1597"/>
    </row>
    <row r="71" spans="15:18" x14ac:dyDescent="0.25">
      <c r="O71" s="1493" t="s">
        <v>1127</v>
      </c>
      <c r="P71" s="1597" t="str">
        <f>G14</f>
        <v>n</v>
      </c>
      <c r="Q71" s="1597">
        <v>56</v>
      </c>
      <c r="R71" s="1597"/>
    </row>
    <row r="72" spans="15:18" x14ac:dyDescent="0.25">
      <c r="O72" s="1493" t="s">
        <v>1128</v>
      </c>
      <c r="P72" s="1597" t="str">
        <f>G15</f>
        <v>n</v>
      </c>
      <c r="Q72" s="1597">
        <v>57</v>
      </c>
      <c r="R72" s="1597"/>
    </row>
    <row r="73" spans="15:18" x14ac:dyDescent="0.25">
      <c r="O73" s="1493" t="s">
        <v>1129</v>
      </c>
      <c r="P73" s="1597" t="str">
        <f>G16</f>
        <v>n</v>
      </c>
      <c r="Q73" s="1597">
        <v>58</v>
      </c>
      <c r="R73" s="1597"/>
    </row>
    <row r="74" spans="15:18" x14ac:dyDescent="0.25">
      <c r="O74" s="1493" t="s">
        <v>142</v>
      </c>
      <c r="P74" s="1597" t="str">
        <f>G17</f>
        <v>n</v>
      </c>
      <c r="Q74" s="1597">
        <v>59</v>
      </c>
      <c r="R74" s="1597"/>
    </row>
    <row r="75" spans="15:18" x14ac:dyDescent="0.25">
      <c r="O75" s="1594" t="s">
        <v>143</v>
      </c>
      <c r="P75" s="1962" t="str">
        <f>IF(D13="","",D13)</f>
        <v/>
      </c>
      <c r="Q75" s="1597">
        <v>104</v>
      </c>
      <c r="R75" s="1597"/>
    </row>
    <row r="76" spans="15:18" x14ac:dyDescent="0.25">
      <c r="O76" s="1594" t="s">
        <v>144</v>
      </c>
      <c r="P76" s="1962" t="str">
        <f>IF(D14="","",D14)</f>
        <v/>
      </c>
      <c r="Q76" s="1597">
        <v>105</v>
      </c>
      <c r="R76" s="1597"/>
    </row>
    <row r="77" spans="15:18" x14ac:dyDescent="0.25">
      <c r="O77" s="1594" t="s">
        <v>145</v>
      </c>
      <c r="P77" s="1962" t="str">
        <f>IF(D15="","",D15)</f>
        <v/>
      </c>
      <c r="Q77" s="1597">
        <v>106</v>
      </c>
      <c r="R77" s="1597"/>
    </row>
    <row r="78" spans="15:18" x14ac:dyDescent="0.25">
      <c r="O78" s="1594" t="s">
        <v>146</v>
      </c>
      <c r="P78" s="1962" t="str">
        <f>IF(D16="","",D16)</f>
        <v/>
      </c>
      <c r="Q78" s="1597">
        <v>107</v>
      </c>
      <c r="R78" s="1597"/>
    </row>
    <row r="79" spans="15:18" x14ac:dyDescent="0.25">
      <c r="O79" s="1594" t="s">
        <v>147</v>
      </c>
      <c r="P79" s="1962" t="str">
        <f>IF(D17="","",D17)</f>
        <v/>
      </c>
      <c r="Q79" s="1597">
        <v>108</v>
      </c>
      <c r="R79" s="1597"/>
    </row>
    <row r="80" spans="15:18" x14ac:dyDescent="0.25">
      <c r="O80" s="1594" t="s">
        <v>148</v>
      </c>
      <c r="P80" s="1962" t="str">
        <f>IF(E13="","",E13)</f>
        <v/>
      </c>
      <c r="Q80" s="1597">
        <v>109</v>
      </c>
      <c r="R80" s="1597"/>
    </row>
    <row r="81" spans="15:18" x14ac:dyDescent="0.25">
      <c r="O81" s="1594" t="s">
        <v>149</v>
      </c>
      <c r="P81" s="1962" t="str">
        <f>IF(E14="","",E14)</f>
        <v/>
      </c>
      <c r="Q81" s="1597">
        <v>110</v>
      </c>
      <c r="R81" s="1597"/>
    </row>
    <row r="82" spans="15:18" x14ac:dyDescent="0.25">
      <c r="O82" s="1594" t="s">
        <v>150</v>
      </c>
      <c r="P82" s="1962" t="str">
        <f>IF(E15="","",E15)</f>
        <v/>
      </c>
      <c r="Q82" s="1597">
        <v>111</v>
      </c>
      <c r="R82" s="1597"/>
    </row>
    <row r="83" spans="15:18" x14ac:dyDescent="0.25">
      <c r="O83" s="1594" t="s">
        <v>151</v>
      </c>
      <c r="P83" s="1962" t="str">
        <f>IF(E16="","",E16)</f>
        <v/>
      </c>
      <c r="Q83" s="1597">
        <v>112</v>
      </c>
      <c r="R83" s="1597"/>
    </row>
    <row r="84" spans="15:18" x14ac:dyDescent="0.25">
      <c r="O84" s="1594" t="s">
        <v>152</v>
      </c>
      <c r="P84" s="1962" t="str">
        <f>IF(E17="","",E17)</f>
        <v/>
      </c>
      <c r="Q84" s="1597">
        <v>113</v>
      </c>
      <c r="R84" s="1597"/>
    </row>
    <row r="85" spans="15:18" x14ac:dyDescent="0.25">
      <c r="O85" s="1493" t="s">
        <v>1189</v>
      </c>
      <c r="P85" s="1597" t="str">
        <f>I13</f>
        <v>n</v>
      </c>
      <c r="Q85" s="1597">
        <v>126</v>
      </c>
      <c r="R85" s="1597"/>
    </row>
    <row r="86" spans="15:18" x14ac:dyDescent="0.25">
      <c r="O86" s="1493" t="s">
        <v>1190</v>
      </c>
      <c r="P86" s="1597" t="str">
        <f>I14</f>
        <v>n</v>
      </c>
      <c r="Q86" s="1597">
        <v>127</v>
      </c>
      <c r="R86" s="1597"/>
    </row>
    <row r="87" spans="15:18" x14ac:dyDescent="0.25">
      <c r="O87" s="1493" t="s">
        <v>1191</v>
      </c>
      <c r="P87" s="1597" t="str">
        <f>I15</f>
        <v>n</v>
      </c>
      <c r="Q87" s="1597">
        <v>128</v>
      </c>
      <c r="R87" s="1597"/>
    </row>
    <row r="88" spans="15:18" x14ac:dyDescent="0.25">
      <c r="O88" s="1493" t="s">
        <v>1192</v>
      </c>
      <c r="P88" s="1597" t="str">
        <f>I16</f>
        <v>n</v>
      </c>
      <c r="Q88" s="1597">
        <v>129</v>
      </c>
      <c r="R88" s="1597"/>
    </row>
    <row r="89" spans="15:18" x14ac:dyDescent="0.25">
      <c r="O89" s="1493" t="s">
        <v>1193</v>
      </c>
      <c r="P89" s="1597" t="str">
        <f>I17</f>
        <v>n</v>
      </c>
      <c r="Q89" s="1597">
        <v>130</v>
      </c>
      <c r="R89" s="1597"/>
    </row>
    <row r="90" spans="15:18" x14ac:dyDescent="0.25">
      <c r="O90" s="1594" t="s">
        <v>153</v>
      </c>
      <c r="P90" s="1597" t="str">
        <f>K13</f>
        <v>n</v>
      </c>
      <c r="Q90" s="1597">
        <v>131</v>
      </c>
      <c r="R90" s="1597"/>
    </row>
    <row r="91" spans="15:18" x14ac:dyDescent="0.25">
      <c r="O91" s="1594" t="s">
        <v>154</v>
      </c>
      <c r="P91" s="1597" t="str">
        <f>K14</f>
        <v>n</v>
      </c>
      <c r="Q91" s="1597">
        <v>132</v>
      </c>
      <c r="R91" s="1597"/>
    </row>
    <row r="92" spans="15:18" x14ac:dyDescent="0.25">
      <c r="O92" s="1594" t="s">
        <v>155</v>
      </c>
      <c r="P92" s="1597" t="str">
        <f>K15</f>
        <v>n</v>
      </c>
      <c r="Q92" s="1597">
        <v>133</v>
      </c>
      <c r="R92" s="1597"/>
    </row>
    <row r="93" spans="15:18" x14ac:dyDescent="0.25">
      <c r="O93" s="1594" t="s">
        <v>156</v>
      </c>
      <c r="P93" s="1597" t="str">
        <f>K16</f>
        <v>n</v>
      </c>
      <c r="Q93" s="1597">
        <v>134</v>
      </c>
      <c r="R93" s="1597"/>
    </row>
    <row r="94" spans="15:18" x14ac:dyDescent="0.25">
      <c r="O94" s="1594" t="s">
        <v>158</v>
      </c>
      <c r="P94" s="1597" t="str">
        <f>K17</f>
        <v>n</v>
      </c>
      <c r="Q94" s="1597">
        <v>135</v>
      </c>
      <c r="R94" s="1597"/>
    </row>
    <row r="95" spans="15:18" x14ac:dyDescent="0.25">
      <c r="O95" s="1594" t="s">
        <v>159</v>
      </c>
      <c r="P95" s="1597" t="str">
        <f>M13</f>
        <v>n</v>
      </c>
      <c r="Q95" s="1597">
        <v>170</v>
      </c>
      <c r="R95" s="1597"/>
    </row>
    <row r="96" spans="15:18" x14ac:dyDescent="0.25">
      <c r="O96" s="1594" t="s">
        <v>160</v>
      </c>
      <c r="P96" s="1597" t="str">
        <f>M14</f>
        <v>n</v>
      </c>
      <c r="Q96" s="1597">
        <v>171</v>
      </c>
      <c r="R96" s="1597"/>
    </row>
    <row r="97" spans="15:18" x14ac:dyDescent="0.25">
      <c r="O97" s="1594" t="s">
        <v>161</v>
      </c>
      <c r="P97" s="1597" t="str">
        <f>M15</f>
        <v>n</v>
      </c>
      <c r="Q97" s="1597">
        <v>172</v>
      </c>
      <c r="R97" s="1597"/>
    </row>
    <row r="98" spans="15:18" x14ac:dyDescent="0.25">
      <c r="O98" s="1594" t="s">
        <v>162</v>
      </c>
      <c r="P98" s="1597" t="str">
        <f>M16</f>
        <v>n</v>
      </c>
      <c r="Q98" s="1597">
        <v>173</v>
      </c>
      <c r="R98" s="1597"/>
    </row>
    <row r="99" spans="15:18" x14ac:dyDescent="0.25">
      <c r="O99" s="1594" t="s">
        <v>163</v>
      </c>
      <c r="P99" s="1597" t="str">
        <f>M17</f>
        <v>n</v>
      </c>
      <c r="Q99" s="1597">
        <v>174</v>
      </c>
      <c r="R99" s="1597"/>
    </row>
  </sheetData>
  <sheetProtection algorithmName="SHA-512" hashValue="X/p0CQoUuWTxCtaTuaME74xhr3Wk62pUmcwgzCO26mKYGqhAb+C7tX41Tep9t/JVLrCQyW5VTpSwG2kfMbCkxA==" saltValue="pqchLwgDXZLZa/m+HHFVsw==" spinCount="100000" sheet="1" objects="1" scenarios="1"/>
  <phoneticPr fontId="124" type="noConversion"/>
  <conditionalFormatting sqref="F7:I7 H8 H13:H17 F8 F13">
    <cfRule type="cellIs" dxfId="104" priority="1" stopIfTrue="1" operator="equal">
      <formula>"&lt;"</formula>
    </cfRule>
  </conditionalFormatting>
  <conditionalFormatting sqref="F9">
    <cfRule type="expression" dxfId="103" priority="2" stopIfTrue="1">
      <formula>AND($E$8&lt;&gt;"",OR($E$9="",$E$9=0))</formula>
    </cfRule>
  </conditionalFormatting>
  <conditionalFormatting sqref="D6">
    <cfRule type="expression" dxfId="102" priority="3" stopIfTrue="1">
      <formula>OR($E$6="",$E$6=0)</formula>
    </cfRule>
  </conditionalFormatting>
  <conditionalFormatting sqref="E12">
    <cfRule type="expression" dxfId="101" priority="4" stopIfTrue="1">
      <formula>AND($E$13=FALSE,$E$8&lt;&gt;0)</formula>
    </cfRule>
  </conditionalFormatting>
  <conditionalFormatting sqref="F14:F17">
    <cfRule type="cellIs" dxfId="100" priority="5" stopIfTrue="1" operator="equal">
      <formula>"&lt;"</formula>
    </cfRule>
  </conditionalFormatting>
  <conditionalFormatting sqref="B6:B9">
    <cfRule type="expression" dxfId="99" priority="6" stopIfTrue="1">
      <formula>$O$6=TRUE</formula>
    </cfRule>
  </conditionalFormatting>
  <conditionalFormatting sqref="D12">
    <cfRule type="expression" dxfId="98" priority="7" stopIfTrue="1">
      <formula>OR($O$12=TRUE,$Q$42&gt;0)</formula>
    </cfRule>
  </conditionalFormatting>
  <conditionalFormatting sqref="E9">
    <cfRule type="expression" dxfId="97" priority="8" stopIfTrue="1">
      <formula>$O$6=TRUE</formula>
    </cfRule>
  </conditionalFormatting>
  <conditionalFormatting sqref="C2:N2">
    <cfRule type="expression" dxfId="96" priority="9" stopIfTrue="1">
      <formula>$P$2=FALSE</formula>
    </cfRule>
  </conditionalFormatting>
  <conditionalFormatting sqref="F6:M6">
    <cfRule type="expression" dxfId="95" priority="10" stopIfTrue="1">
      <formula>OR($E$6="",$E$6=0)</formula>
    </cfRule>
    <cfRule type="expression" dxfId="94" priority="11" stopIfTrue="1">
      <formula>$O$6=TRUE</formula>
    </cfRule>
  </conditionalFormatting>
  <conditionalFormatting sqref="D13:D17">
    <cfRule type="expression" dxfId="93" priority="12" stopIfTrue="1">
      <formula>$O$11=2</formula>
    </cfRule>
  </conditionalFormatting>
  <conditionalFormatting sqref="N33">
    <cfRule type="cellIs" dxfId="92" priority="13" stopIfTrue="1" operator="notEqual">
      <formula>""</formula>
    </cfRule>
  </conditionalFormatting>
  <conditionalFormatting sqref="M3:M4">
    <cfRule type="expression" dxfId="91" priority="14" stopIfTrue="1">
      <formula>$EA$3&gt;0</formula>
    </cfRule>
  </conditionalFormatting>
  <conditionalFormatting sqref="G13:G17">
    <cfRule type="expression" dxfId="90" priority="15" stopIfTrue="1">
      <formula>$G13&lt;&gt;$U13</formula>
    </cfRule>
  </conditionalFormatting>
  <conditionalFormatting sqref="B13:B17">
    <cfRule type="expression" dxfId="89" priority="16" stopIfTrue="1">
      <formula>OR(W13=TRUE,Y13=TRUE,$G13&lt;&gt;$U13)</formula>
    </cfRule>
  </conditionalFormatting>
  <conditionalFormatting sqref="B8:B9">
    <cfRule type="expression" dxfId="88" priority="17" stopIfTrue="1">
      <formula>$S$28=TRUE</formula>
    </cfRule>
  </conditionalFormatting>
  <conditionalFormatting sqref="B10:D10">
    <cfRule type="expression" dxfId="87" priority="18" stopIfTrue="1">
      <formula>$S$28=TRUE</formula>
    </cfRule>
  </conditionalFormatting>
  <conditionalFormatting sqref="D19:D20">
    <cfRule type="expression" dxfId="86" priority="19" stopIfTrue="1">
      <formula>$S$36=0</formula>
    </cfRule>
  </conditionalFormatting>
  <conditionalFormatting sqref="D18:M18">
    <cfRule type="expression" dxfId="85" priority="20" stopIfTrue="1">
      <formula>$S$36&gt;0</formula>
    </cfRule>
  </conditionalFormatting>
  <dataValidations count="6">
    <dataValidation type="whole" operator="greaterThanOrEqual" allowBlank="1" showInputMessage="1" showErrorMessage="1" errorTitle="RV Input" error="Please enter an RV or a zero" sqref="E7:E8" xr:uid="{26BB1F0A-51C0-4988-B70A-C025646294DB}">
      <formula1>0</formula1>
    </dataValidation>
    <dataValidation type="whole" operator="greaterThan" allowBlank="1" showInputMessage="1" showErrorMessage="1" errorTitle="RV Input" error="Please enter an RV" sqref="E9:E10" xr:uid="{D7120FF2-1B1B-4D49-B68F-9979F08DF713}">
      <formula1>0</formula1>
    </dataValidation>
    <dataValidation type="whole" operator="greaterThanOrEqual" allowBlank="1" showInputMessage="1" showErrorMessage="1" errorTitle="RV Input" error="Please enter an RV or leave blank" sqref="E13:E17" xr:uid="{BABDC990-10E8-4674-9789-549C08F0A065}">
      <formula1>0</formula1>
    </dataValidation>
    <dataValidation type="date" allowBlank="1" showInputMessage="1" showErrorMessage="1" errorTitle="Effective Date" error="date must be within this list" sqref="E6" xr:uid="{35D568D3-B380-4117-8F7F-B81834DD9F3C}">
      <formula1>O1</formula1>
      <formula2>O2</formula2>
    </dataValidation>
    <dataValidation type="custom" operator="greaterThanOrEqual" allowBlank="1" showInputMessage="1" showErrorMessage="1" errorTitle="CV" error="If this is not Reg 18 this must be blank" sqref="D14:D17" xr:uid="{D9603E1F-9128-4D17-8D2E-19E99B86AFFE}">
      <formula1>$O$11=2</formula1>
    </dataValidation>
    <dataValidation type="custom" operator="greaterThanOrEqual" allowBlank="1" showInputMessage="1" showErrorMessage="1" errorTitle="Input Error" error="If this is not Reg 20 this must be blank" sqref="D13" xr:uid="{77194C8E-9976-4AB5-8923-598B08F4B602}">
      <formula1>$O$11=2</formula1>
    </dataValidation>
  </dataValidations>
  <pageMargins left="0.75" right="0.75" top="1" bottom="1" header="0.5" footer="0.5"/>
  <pageSetup paperSize="9" scale="74"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4993" r:id="rId4" name="splitcalcbutton">
              <controlPr defaultSize="0" print="0" autoFill="0" autoPict="0" macro="[0]!splitvba">
                <anchor moveWithCells="1" sizeWithCells="1">
                  <from>
                    <xdr:col>3</xdr:col>
                    <xdr:colOff>38100</xdr:colOff>
                    <xdr:row>18</xdr:row>
                    <xdr:rowOff>25400</xdr:rowOff>
                  </from>
                  <to>
                    <xdr:col>3</xdr:col>
                    <xdr:colOff>1257300</xdr:colOff>
                    <xdr:row>19</xdr:row>
                    <xdr:rowOff>127000</xdr:rowOff>
                  </to>
                </anchor>
              </controlPr>
            </control>
          </mc:Choice>
        </mc:AlternateContent>
        <mc:AlternateContent xmlns:mc="http://schemas.openxmlformats.org/markup-compatibility/2006">
          <mc:Choice Requires="x14">
            <control shapeId="84996" r:id="rId5" name="Button 4">
              <controlPr defaultSize="0" print="0" autoFill="0" autoPict="0" macro="[0]!goto_home">
                <anchor moveWithCells="1">
                  <from>
                    <xdr:col>0</xdr:col>
                    <xdr:colOff>146050</xdr:colOff>
                    <xdr:row>1</xdr:row>
                    <xdr:rowOff>76200</xdr:rowOff>
                  </from>
                  <to>
                    <xdr:col>1</xdr:col>
                    <xdr:colOff>463550</xdr:colOff>
                    <xdr:row>3</xdr:row>
                    <xdr:rowOff>69850</xdr:rowOff>
                  </to>
                </anchor>
              </controlPr>
            </control>
          </mc:Choice>
        </mc:AlternateContent>
        <mc:AlternateContent xmlns:mc="http://schemas.openxmlformats.org/markup-compatibility/2006">
          <mc:Choice Requires="x14">
            <control shapeId="84997" r:id="rId6" name="Button 5">
              <controlPr defaultSize="0" print="0" autoFill="0" autoPict="0" macro="[0]!clear_split">
                <anchor moveWithCells="1">
                  <from>
                    <xdr:col>5</xdr:col>
                    <xdr:colOff>177800</xdr:colOff>
                    <xdr:row>2</xdr:row>
                    <xdr:rowOff>165100</xdr:rowOff>
                  </from>
                  <to>
                    <xdr:col>8</xdr:col>
                    <xdr:colOff>31750</xdr:colOff>
                    <xdr:row>4</xdr:row>
                    <xdr:rowOff>12700</xdr:rowOff>
                  </to>
                </anchor>
              </controlPr>
            </control>
          </mc:Choice>
        </mc:AlternateContent>
        <mc:AlternateContent xmlns:mc="http://schemas.openxmlformats.org/markup-compatibility/2006">
          <mc:Choice Requires="x14">
            <control shapeId="84998" r:id="rId7" name="Button 6">
              <controlPr defaultSize="0" print="0" autoFill="0" autoPict="0" macro="[0]!goto_details">
                <anchor moveWithCells="1" sizeWithCells="1">
                  <from>
                    <xdr:col>0</xdr:col>
                    <xdr:colOff>69850</xdr:colOff>
                    <xdr:row>19</xdr:row>
                    <xdr:rowOff>101600</xdr:rowOff>
                  </from>
                  <to>
                    <xdr:col>1</xdr:col>
                    <xdr:colOff>1073150</xdr:colOff>
                    <xdr:row>21</xdr:row>
                    <xdr:rowOff>76200</xdr:rowOff>
                  </to>
                </anchor>
              </controlPr>
            </control>
          </mc:Choice>
        </mc:AlternateContent>
        <mc:AlternateContent xmlns:mc="http://schemas.openxmlformats.org/markup-compatibility/2006">
          <mc:Choice Requires="x14">
            <control shapeId="84999" r:id="rId8" name="Button 7">
              <controlPr defaultSize="0" print="0" autoFill="0" autoPict="0" macro="[0]!goto_splitreport">
                <anchor moveWithCells="1">
                  <from>
                    <xdr:col>8</xdr:col>
                    <xdr:colOff>203200</xdr:colOff>
                    <xdr:row>2</xdr:row>
                    <xdr:rowOff>158750</xdr:rowOff>
                  </from>
                  <to>
                    <xdr:col>11</xdr:col>
                    <xdr:colOff>50800</xdr:colOff>
                    <xdr:row>4</xdr:row>
                    <xdr:rowOff>0</xdr:rowOff>
                  </to>
                </anchor>
              </controlPr>
            </control>
          </mc:Choice>
        </mc:AlternateContent>
        <mc:AlternateContent xmlns:mc="http://schemas.openxmlformats.org/markup-compatibility/2006">
          <mc:Choice Requires="x14">
            <control shapeId="85002" r:id="rId9" name="Button 10">
              <controlPr defaultSize="0" print="0" autoFill="0" autoPict="0" macro="[0]!morethan5_split">
                <anchor moveWithCells="1" sizeWithCells="1">
                  <from>
                    <xdr:col>2</xdr:col>
                    <xdr:colOff>25400</xdr:colOff>
                    <xdr:row>17</xdr:row>
                    <xdr:rowOff>38100</xdr:rowOff>
                  </from>
                  <to>
                    <xdr:col>2</xdr:col>
                    <xdr:colOff>1225550</xdr:colOff>
                    <xdr:row>18</xdr:row>
                    <xdr:rowOff>158750</xdr:rowOff>
                  </to>
                </anchor>
              </controlPr>
            </control>
          </mc:Choice>
        </mc:AlternateContent>
        <mc:AlternateContent xmlns:mc="http://schemas.openxmlformats.org/markup-compatibility/2006">
          <mc:Choice Requires="x14">
            <control shapeId="85003" r:id="rId10" name="Group Box 11">
              <controlPr defaultSize="0" autoFill="0" autoPict="0">
                <anchor moveWithCells="1">
                  <from>
                    <xdr:col>1</xdr:col>
                    <xdr:colOff>44450</xdr:colOff>
                    <xdr:row>5</xdr:row>
                    <xdr:rowOff>31750</xdr:rowOff>
                  </from>
                  <to>
                    <xdr:col>1</xdr:col>
                    <xdr:colOff>1060450</xdr:colOff>
                    <xdr:row>8</xdr:row>
                    <xdr:rowOff>101600</xdr:rowOff>
                  </to>
                </anchor>
              </controlPr>
            </control>
          </mc:Choice>
        </mc:AlternateContent>
        <mc:AlternateContent xmlns:mc="http://schemas.openxmlformats.org/markup-compatibility/2006">
          <mc:Choice Requires="x14">
            <control shapeId="85004" r:id="rId11" name="Option Button 12">
              <controlPr defaultSize="0" autoFill="0" autoLine="0" autoPict="0">
                <anchor moveWithCells="1">
                  <from>
                    <xdr:col>1</xdr:col>
                    <xdr:colOff>88900</xdr:colOff>
                    <xdr:row>5</xdr:row>
                    <xdr:rowOff>38100</xdr:rowOff>
                  </from>
                  <to>
                    <xdr:col>1</xdr:col>
                    <xdr:colOff>844550</xdr:colOff>
                    <xdr:row>6</xdr:row>
                    <xdr:rowOff>101600</xdr:rowOff>
                  </to>
                </anchor>
              </controlPr>
            </control>
          </mc:Choice>
        </mc:AlternateContent>
        <mc:AlternateContent xmlns:mc="http://schemas.openxmlformats.org/markup-compatibility/2006">
          <mc:Choice Requires="x14">
            <control shapeId="85005" r:id="rId12" name="Option Button 13">
              <controlPr defaultSize="0" autoFill="0" autoLine="0" autoPict="0" macro="[0]!split_reg_20_warning">
                <anchor moveWithCells="1">
                  <from>
                    <xdr:col>1</xdr:col>
                    <xdr:colOff>101600</xdr:colOff>
                    <xdr:row>7</xdr:row>
                    <xdr:rowOff>6350</xdr:rowOff>
                  </from>
                  <to>
                    <xdr:col>1</xdr:col>
                    <xdr:colOff>768350</xdr:colOff>
                    <xdr:row>8</xdr:row>
                    <xdr:rowOff>38100</xdr:rowOff>
                  </to>
                </anchor>
              </controlPr>
            </control>
          </mc:Choice>
        </mc:AlternateContent>
        <mc:AlternateContent xmlns:mc="http://schemas.openxmlformats.org/markup-compatibility/2006">
          <mc:Choice Requires="x14">
            <control shapeId="85006" r:id="rId13" name="Button 14">
              <controlPr defaultSize="0" print="0" autoFill="0" autoPict="0" macro="[0]!help_reg_20">
                <anchor moveWithCells="1" sizeWithCells="1">
                  <from>
                    <xdr:col>1</xdr:col>
                    <xdr:colOff>711200</xdr:colOff>
                    <xdr:row>6</xdr:row>
                    <xdr:rowOff>12700</xdr:rowOff>
                  </from>
                  <to>
                    <xdr:col>1</xdr:col>
                    <xdr:colOff>1016000</xdr:colOff>
                    <xdr:row>7</xdr:row>
                    <xdr:rowOff>88900</xdr:rowOff>
                  </to>
                </anchor>
              </controlPr>
            </control>
          </mc:Choice>
        </mc:AlternateContent>
        <mc:AlternateContent xmlns:mc="http://schemas.openxmlformats.org/markup-compatibility/2006">
          <mc:Choice Requires="x14">
            <control shapeId="85007" r:id="rId14" name="Button 15">
              <controlPr defaultSize="0" print="0" autoFill="0" autoPict="0" macro="[0]!split_error_message">
                <anchor moveWithCells="1" sizeWithCells="1">
                  <from>
                    <xdr:col>13</xdr:col>
                    <xdr:colOff>203200</xdr:colOff>
                    <xdr:row>4</xdr:row>
                    <xdr:rowOff>107950</xdr:rowOff>
                  </from>
                  <to>
                    <xdr:col>13</xdr:col>
                    <xdr:colOff>1206500</xdr:colOff>
                    <xdr:row>6</xdr:row>
                    <xdr:rowOff>50800</xdr:rowOff>
                  </to>
                </anchor>
              </controlPr>
            </control>
          </mc:Choice>
        </mc:AlternateContent>
        <mc:AlternateContent xmlns:mc="http://schemas.openxmlformats.org/markup-compatibility/2006">
          <mc:Choice Requires="x14">
            <control shapeId="85053" r:id="rId15" name="Drop Down 61">
              <controlPr defaultSize="0" print="0" autoLine="0" autoPict="0" macro="[0]!brsmessage">
                <anchor moveWithCells="1">
                  <from>
                    <xdr:col>2</xdr:col>
                    <xdr:colOff>76200</xdr:colOff>
                    <xdr:row>3</xdr:row>
                    <xdr:rowOff>146050</xdr:rowOff>
                  </from>
                  <to>
                    <xdr:col>3</xdr:col>
                    <xdr:colOff>196850</xdr:colOff>
                    <xdr:row>3</xdr:row>
                    <xdr:rowOff>342900</xdr:rowOff>
                  </to>
                </anchor>
              </controlPr>
            </control>
          </mc:Choice>
        </mc:AlternateContent>
        <mc:AlternateContent xmlns:mc="http://schemas.openxmlformats.org/markup-compatibility/2006">
          <mc:Choice Requires="x14">
            <control shapeId="85054" r:id="rId16" name="Button 62">
              <controlPr defaultSize="0" print="0" autoFill="0" autoPict="0" macro="[0]!goto_gllist">
                <anchor moveWithCells="1" sizeWithCells="1">
                  <from>
                    <xdr:col>3</xdr:col>
                    <xdr:colOff>622300</xdr:colOff>
                    <xdr:row>3</xdr:row>
                    <xdr:rowOff>120650</xdr:rowOff>
                  </from>
                  <to>
                    <xdr:col>3</xdr:col>
                    <xdr:colOff>1028700</xdr:colOff>
                    <xdr:row>3</xdr:row>
                    <xdr:rowOff>330200</xdr:rowOff>
                  </to>
                </anchor>
              </controlPr>
            </control>
          </mc:Choice>
        </mc:AlternateContent>
        <mc:AlternateContent xmlns:mc="http://schemas.openxmlformats.org/markup-compatibility/2006">
          <mc:Choice Requires="x14">
            <control shapeId="85055" r:id="rId17" name="Drop Down 63">
              <controlPr defaultSize="0" print="0" autoLine="0" autoPict="0">
                <anchor moveWithCells="1">
                  <from>
                    <xdr:col>3</xdr:col>
                    <xdr:colOff>1130300</xdr:colOff>
                    <xdr:row>3</xdr:row>
                    <xdr:rowOff>120650</xdr:rowOff>
                  </from>
                  <to>
                    <xdr:col>5</xdr:col>
                    <xdr:colOff>63500</xdr:colOff>
                    <xdr:row>3</xdr:row>
                    <xdr:rowOff>317500</xdr:rowOff>
                  </to>
                </anchor>
              </controlPr>
            </control>
          </mc:Choice>
        </mc:AlternateContent>
        <mc:AlternateContent xmlns:mc="http://schemas.openxmlformats.org/markup-compatibility/2006">
          <mc:Choice Requires="x14">
            <control shapeId="85056" r:id="rId18" name="Button 64">
              <controlPr defaultSize="0" print="0" autoFill="0" autoPict="0" macro="[0]!nya">
                <anchor moveWithCells="1" sizeWithCells="1">
                  <from>
                    <xdr:col>11</xdr:col>
                    <xdr:colOff>139700</xdr:colOff>
                    <xdr:row>30</xdr:row>
                    <xdr:rowOff>31750</xdr:rowOff>
                  </from>
                  <to>
                    <xdr:col>13</xdr:col>
                    <xdr:colOff>577850</xdr:colOff>
                    <xdr:row>32</xdr:row>
                    <xdr:rowOff>6350</xdr:rowOff>
                  </to>
                </anchor>
              </controlPr>
            </control>
          </mc:Choice>
        </mc:AlternateContent>
        <mc:AlternateContent xmlns:mc="http://schemas.openxmlformats.org/markup-compatibility/2006">
          <mc:Choice Requires="x14">
            <control shapeId="85057" r:id="rId19" name="Button 65">
              <controlPr defaultSize="0" print="0" autoFill="0" autoPict="0" macro="[0]!nya">
                <anchor moveWithCells="1" sizeWithCells="1">
                  <from>
                    <xdr:col>8</xdr:col>
                    <xdr:colOff>457200</xdr:colOff>
                    <xdr:row>30</xdr:row>
                    <xdr:rowOff>31750</xdr:rowOff>
                  </from>
                  <to>
                    <xdr:col>11</xdr:col>
                    <xdr:colOff>127000</xdr:colOff>
                    <xdr:row>32</xdr:row>
                    <xdr:rowOff>6350</xdr:rowOff>
                  </to>
                </anchor>
              </controlPr>
            </control>
          </mc:Choice>
        </mc:AlternateContent>
        <mc:AlternateContent xmlns:mc="http://schemas.openxmlformats.org/markup-compatibility/2006">
          <mc:Choice Requires="x14">
            <control shapeId="85058" r:id="rId20" name="Button 66">
              <controlPr defaultSize="0" print="0" autoFill="0" autoPict="0" macro="[0]!nya">
                <anchor moveWithCells="1" sizeWithCells="1">
                  <from>
                    <xdr:col>5</xdr:col>
                    <xdr:colOff>184150</xdr:colOff>
                    <xdr:row>30</xdr:row>
                    <xdr:rowOff>31750</xdr:rowOff>
                  </from>
                  <to>
                    <xdr:col>8</xdr:col>
                    <xdr:colOff>463550</xdr:colOff>
                    <xdr:row>32</xdr:row>
                    <xdr:rowOff>6350</xdr:rowOff>
                  </to>
                </anchor>
              </controlPr>
            </control>
          </mc:Choice>
        </mc:AlternateContent>
        <mc:AlternateContent xmlns:mc="http://schemas.openxmlformats.org/markup-compatibility/2006">
          <mc:Choice Requires="x14">
            <control shapeId="85059" r:id="rId21" name="Button 67">
              <controlPr defaultSize="0" print="0" autoFill="0" autoPict="0" macro="[0]!nya">
                <anchor moveWithCells="1" sizeWithCells="1">
                  <from>
                    <xdr:col>4</xdr:col>
                    <xdr:colOff>673100</xdr:colOff>
                    <xdr:row>30</xdr:row>
                    <xdr:rowOff>31750</xdr:rowOff>
                  </from>
                  <to>
                    <xdr:col>5</xdr:col>
                    <xdr:colOff>165100</xdr:colOff>
                    <xdr:row>32</xdr:row>
                    <xdr:rowOff>6350</xdr:rowOff>
                  </to>
                </anchor>
              </controlPr>
            </control>
          </mc:Choice>
        </mc:AlternateContent>
        <mc:AlternateContent xmlns:mc="http://schemas.openxmlformats.org/markup-compatibility/2006">
          <mc:Choice Requires="x14">
            <control shapeId="85060" r:id="rId22" name="globalbacktobutton">
              <controlPr defaultSize="0" print="0" autoFill="0" autoPict="0" macro="[0]!backto">
                <anchor moveWithCells="1" sizeWithCells="1">
                  <from>
                    <xdr:col>13</xdr:col>
                    <xdr:colOff>228600</xdr:colOff>
                    <xdr:row>1</xdr:row>
                    <xdr:rowOff>165100</xdr:rowOff>
                  </from>
                  <to>
                    <xdr:col>13</xdr:col>
                    <xdr:colOff>1060450</xdr:colOff>
                    <xdr:row>3</xdr:row>
                    <xdr:rowOff>260350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AB435-B7E2-4E69-A9A0-62CF8238A846}">
  <sheetPr codeName="Sheet59">
    <pageSetUpPr fitToPage="1"/>
  </sheetPr>
  <dimension ref="A1:AK82"/>
  <sheetViews>
    <sheetView showGridLines="0" workbookViewId="0">
      <selection activeCell="Q6" sqref="Q6"/>
    </sheetView>
  </sheetViews>
  <sheetFormatPr defaultColWidth="9.08984375" defaultRowHeight="12.5" x14ac:dyDescent="0.25"/>
  <cols>
    <col min="1" max="1" width="6.08984375" style="1436" customWidth="1"/>
    <col min="2" max="2" width="2" style="1436" customWidth="1"/>
    <col min="3" max="3" width="9" style="1436" customWidth="1"/>
    <col min="4" max="4" width="3.90625" style="1436" customWidth="1"/>
    <col min="5" max="5" width="7.6328125" style="1436" customWidth="1"/>
    <col min="6" max="6" width="12.6328125" style="1436" customWidth="1"/>
    <col min="7" max="7" width="7.6328125" style="1436" customWidth="1"/>
    <col min="8" max="8" width="12.6328125" style="1436" customWidth="1"/>
    <col min="9" max="9" width="7.6328125" style="1436" customWidth="1"/>
    <col min="10" max="10" width="12.6328125" style="1436" customWidth="1"/>
    <col min="11" max="11" width="7.6328125" style="1436" customWidth="1"/>
    <col min="12" max="12" width="12.6328125" style="1436" customWidth="1"/>
    <col min="13" max="13" width="7.6328125" style="1436" customWidth="1"/>
    <col min="14" max="14" width="12.6328125" style="1436" customWidth="1"/>
    <col min="15" max="15" width="7.6328125" style="1436" customWidth="1"/>
    <col min="16" max="16" width="12.6328125" style="1436" customWidth="1"/>
    <col min="17" max="17" width="13.6328125" style="1436" customWidth="1"/>
    <col min="18" max="18" width="2.453125" style="1436" customWidth="1"/>
    <col min="19" max="19" width="16.08984375" style="1436" customWidth="1"/>
    <col min="20" max="20" width="5" style="1436" customWidth="1"/>
    <col min="21" max="21" width="13.6328125" style="2079" hidden="1" customWidth="1"/>
    <col min="22" max="22" width="16" style="1420" hidden="1" customWidth="1"/>
    <col min="23" max="23" width="14" style="1436" hidden="1" customWidth="1"/>
    <col min="24" max="26" width="0" style="1436" hidden="1" customWidth="1"/>
    <col min="27" max="27" width="9.08984375" style="1436"/>
    <col min="28" max="30" width="15.54296875" style="1436" customWidth="1"/>
    <col min="31" max="34" width="9.08984375" style="1436"/>
    <col min="35" max="35" width="10.08984375" style="1436" customWidth="1"/>
    <col min="36" max="39" width="9.08984375" style="1436"/>
    <col min="40" max="40" width="5" style="1436" customWidth="1"/>
    <col min="41" max="16384" width="9.08984375" style="1436"/>
  </cols>
  <sheetData>
    <row r="1" spans="1:37" ht="29.25" customHeight="1" x14ac:dyDescent="0.35">
      <c r="A1" s="2026"/>
      <c r="B1" s="2027"/>
      <c r="C1" s="2028"/>
      <c r="D1" s="2027"/>
      <c r="E1" s="2029"/>
      <c r="F1" s="2030"/>
      <c r="G1" s="2030"/>
      <c r="H1" s="2030"/>
      <c r="I1" s="2030"/>
      <c r="J1" s="2030"/>
      <c r="K1" s="2030"/>
      <c r="L1" s="2030"/>
      <c r="M1" s="2030"/>
      <c r="N1" s="2030"/>
      <c r="O1" s="2031"/>
      <c r="P1" s="2032"/>
      <c r="Q1" s="2033"/>
      <c r="R1" s="2033"/>
      <c r="S1" s="2033"/>
      <c r="T1" s="2033"/>
      <c r="V1" s="1550"/>
      <c r="AA1" s="2033"/>
      <c r="AB1" s="2033"/>
      <c r="AC1" s="2033"/>
      <c r="AD1" s="2033"/>
      <c r="AE1" s="2033"/>
      <c r="AF1" s="2033"/>
      <c r="AG1" s="2033"/>
      <c r="AH1" s="2033"/>
      <c r="AI1" s="2033"/>
      <c r="AJ1" s="2033"/>
      <c r="AK1" s="2033"/>
    </row>
    <row r="2" spans="1:37" ht="20" x14ac:dyDescent="0.4">
      <c r="A2" s="2034"/>
      <c r="B2" s="1963"/>
      <c r="C2" s="1964" t="str">
        <f>"Split - "&amp;text!B45</f>
        <v>Split - Business Rates Liability and Savings 2023 List</v>
      </c>
      <c r="D2" s="1965"/>
      <c r="E2" s="1966"/>
      <c r="F2" s="1966"/>
      <c r="G2" s="1966"/>
      <c r="H2" s="1966"/>
      <c r="I2" s="1966"/>
      <c r="J2" s="1966"/>
      <c r="K2" s="1966"/>
      <c r="L2" s="1966"/>
      <c r="M2" s="1966"/>
      <c r="N2" s="1966"/>
      <c r="O2" s="1966"/>
      <c r="P2" s="1966"/>
      <c r="Q2" s="1966"/>
      <c r="R2" s="1966"/>
      <c r="S2" s="2033"/>
      <c r="T2" s="2033"/>
      <c r="U2" s="2080"/>
      <c r="V2" s="1550"/>
      <c r="AA2" s="2033"/>
      <c r="AB2" s="2033"/>
      <c r="AC2" s="2033"/>
      <c r="AD2" s="2033"/>
      <c r="AE2" s="2033"/>
      <c r="AF2" s="2033"/>
      <c r="AG2" s="2033"/>
      <c r="AH2" s="2033"/>
      <c r="AI2" s="2033"/>
      <c r="AJ2" s="2033"/>
      <c r="AK2" s="2033"/>
    </row>
    <row r="3" spans="1:37" ht="8.25" customHeight="1" x14ac:dyDescent="0.3">
      <c r="A3" s="2035"/>
      <c r="B3" s="1963"/>
      <c r="C3" s="1963"/>
      <c r="D3" s="1966"/>
      <c r="E3" s="1966"/>
      <c r="F3" s="1966"/>
      <c r="G3" s="1966"/>
      <c r="H3" s="1966"/>
      <c r="I3" s="1966"/>
      <c r="J3" s="1966"/>
      <c r="K3" s="1966"/>
      <c r="L3" s="1966"/>
      <c r="M3" s="1966"/>
      <c r="N3" s="1966"/>
      <c r="O3" s="1966"/>
      <c r="P3" s="1966"/>
      <c r="Q3" s="1501"/>
      <c r="R3" s="1501"/>
      <c r="S3" s="2033"/>
      <c r="T3" s="2033"/>
      <c r="V3" s="1550"/>
      <c r="AA3" s="2033"/>
      <c r="AB3" s="2033"/>
      <c r="AC3" s="2033"/>
      <c r="AD3" s="2033"/>
      <c r="AE3" s="2033"/>
      <c r="AF3" s="2033"/>
      <c r="AG3" s="2033"/>
      <c r="AH3" s="2033"/>
      <c r="AI3" s="2033"/>
      <c r="AJ3" s="2033"/>
      <c r="AK3" s="2033"/>
    </row>
    <row r="4" spans="1:37" ht="4.5" customHeight="1" x14ac:dyDescent="0.25">
      <c r="A4" s="2035"/>
      <c r="B4" s="1963"/>
      <c r="C4" s="1963"/>
      <c r="D4" s="1966"/>
      <c r="E4" s="1966"/>
      <c r="F4" s="1966"/>
      <c r="G4" s="1966"/>
      <c r="H4" s="1966"/>
      <c r="I4" s="1966"/>
      <c r="J4" s="1966"/>
      <c r="K4" s="1966"/>
      <c r="L4" s="1966"/>
      <c r="M4" s="1966"/>
      <c r="N4" s="1966"/>
      <c r="O4" s="1966"/>
      <c r="P4" s="1966"/>
      <c r="Q4" s="1966"/>
      <c r="R4" s="1966"/>
      <c r="S4" s="2033"/>
      <c r="T4" s="2033"/>
      <c r="V4" s="1550"/>
      <c r="AA4" s="2033"/>
      <c r="AB4" s="2033"/>
      <c r="AC4" s="2033"/>
      <c r="AD4" s="2033"/>
      <c r="AE4" s="2033"/>
      <c r="AF4" s="2033"/>
      <c r="AG4" s="2033"/>
      <c r="AH4" s="2033"/>
      <c r="AI4" s="2033"/>
      <c r="AJ4" s="2033"/>
      <c r="AK4" s="2033"/>
    </row>
    <row r="5" spans="1:37" ht="13" x14ac:dyDescent="0.3">
      <c r="A5" s="2033"/>
      <c r="B5" s="1963"/>
      <c r="C5" s="1967" t="s">
        <v>1272</v>
      </c>
      <c r="D5" s="1966"/>
      <c r="E5" s="1966" t="str">
        <f>'advanced report'!E8</f>
        <v>Please Complete the Details Page</v>
      </c>
      <c r="F5" s="1966"/>
      <c r="G5" s="1966"/>
      <c r="H5" s="1966"/>
      <c r="I5" s="1966"/>
      <c r="J5" s="1966"/>
      <c r="K5" s="1966"/>
      <c r="L5" s="1966"/>
      <c r="M5" s="1966"/>
      <c r="N5" s="1966"/>
      <c r="O5" s="1966"/>
      <c r="P5" s="1501" t="s">
        <v>911</v>
      </c>
      <c r="Q5" s="1969" t="str">
        <f>'advanced report'!K6</f>
        <v>Complete the Details Page</v>
      </c>
      <c r="R5" s="1968"/>
      <c r="S5" s="2033"/>
      <c r="T5" s="2033"/>
      <c r="V5" s="1550"/>
      <c r="AA5" s="2033"/>
      <c r="AB5" s="2033"/>
      <c r="AC5" s="2033"/>
      <c r="AD5" s="2033"/>
      <c r="AE5" s="2033"/>
      <c r="AF5" s="2033"/>
      <c r="AG5" s="2033"/>
      <c r="AH5" s="2033"/>
      <c r="AI5" s="2033"/>
      <c r="AJ5" s="2033"/>
      <c r="AK5" s="2033"/>
    </row>
    <row r="6" spans="1:37" ht="13" x14ac:dyDescent="0.3">
      <c r="A6" s="2033"/>
      <c r="B6" s="1963"/>
      <c r="D6" s="1969"/>
      <c r="F6" s="1966"/>
      <c r="G6" s="1966"/>
      <c r="H6" s="1966"/>
      <c r="I6" s="1966"/>
      <c r="J6" s="1966"/>
      <c r="K6" s="1966"/>
      <c r="L6" s="1966"/>
      <c r="M6" s="1966"/>
      <c r="N6" s="1966"/>
      <c r="O6" s="1966"/>
      <c r="P6" s="1501" t="s">
        <v>1738</v>
      </c>
      <c r="Q6" s="2036" t="s">
        <v>836</v>
      </c>
      <c r="R6" s="1968"/>
      <c r="S6" s="2033"/>
      <c r="T6" s="2033"/>
      <c r="V6" s="1550"/>
      <c r="AA6" s="2033"/>
      <c r="AB6" s="2033"/>
      <c r="AC6" s="2033"/>
      <c r="AD6" s="2033"/>
      <c r="AE6" s="2033"/>
      <c r="AF6" s="2033"/>
      <c r="AG6" s="2033"/>
      <c r="AH6" s="2033"/>
      <c r="AI6" s="2033"/>
      <c r="AJ6" s="2033"/>
      <c r="AK6" s="2033"/>
    </row>
    <row r="7" spans="1:37" ht="13" x14ac:dyDescent="0.3">
      <c r="A7" s="2033"/>
      <c r="B7" s="1963"/>
      <c r="C7" s="1967" t="s">
        <v>1274</v>
      </c>
      <c r="D7" s="1966"/>
      <c r="E7" s="1966" t="str">
        <f>'advanced report'!E6</f>
        <v>Please Complete the Details Page</v>
      </c>
      <c r="F7" s="1966"/>
      <c r="G7" s="1966"/>
      <c r="H7" s="1966"/>
      <c r="I7" s="1966"/>
      <c r="J7" s="1966"/>
      <c r="K7" s="1966"/>
      <c r="L7" s="1966"/>
      <c r="M7" s="1966"/>
      <c r="N7" s="1966"/>
      <c r="O7" s="1966"/>
      <c r="P7" s="1501" t="s">
        <v>1275</v>
      </c>
      <c r="Q7" s="1970">
        <f ca="1">TODAY()</f>
        <v>46155</v>
      </c>
      <c r="R7" s="1970"/>
      <c r="S7" s="2033"/>
      <c r="T7" s="2033"/>
      <c r="V7" s="1550"/>
      <c r="AA7" s="2033"/>
      <c r="AB7" s="2033"/>
      <c r="AC7" s="2033"/>
      <c r="AD7" s="2033"/>
      <c r="AE7" s="2033"/>
      <c r="AF7" s="2033"/>
      <c r="AG7" s="2033"/>
      <c r="AH7" s="2033"/>
      <c r="AI7" s="2033"/>
      <c r="AJ7" s="2033"/>
      <c r="AK7" s="2033"/>
    </row>
    <row r="8" spans="1:37" x14ac:dyDescent="0.25">
      <c r="A8" s="2033"/>
      <c r="B8" s="1963"/>
      <c r="C8" s="1971"/>
      <c r="D8" s="1972"/>
      <c r="E8" s="1972"/>
      <c r="F8" s="1972"/>
      <c r="G8" s="1972"/>
      <c r="H8" s="1972"/>
      <c r="I8" s="1972"/>
      <c r="J8" s="1972"/>
      <c r="K8" s="1972"/>
      <c r="L8" s="1972"/>
      <c r="M8" s="1972"/>
      <c r="N8" s="1972"/>
      <c r="O8" s="1972"/>
      <c r="P8" s="1972"/>
      <c r="Q8" s="1972"/>
      <c r="R8" s="1966"/>
      <c r="S8" s="2033"/>
      <c r="T8" s="2033"/>
      <c r="V8" s="1550"/>
      <c r="AA8" s="2033"/>
      <c r="AB8" s="2033"/>
      <c r="AC8" s="2033"/>
      <c r="AD8" s="2033"/>
      <c r="AE8" s="2033"/>
      <c r="AF8" s="2033"/>
      <c r="AG8" s="2033"/>
      <c r="AH8" s="2033"/>
      <c r="AI8" s="2033"/>
      <c r="AJ8" s="2033"/>
      <c r="AK8" s="2033"/>
    </row>
    <row r="9" spans="1:37" ht="13" x14ac:dyDescent="0.3">
      <c r="A9" s="2035"/>
      <c r="B9" s="1963"/>
      <c r="C9" s="1973" t="str">
        <f>'advanced report'!C10</f>
        <v>Please Complete the Details Page</v>
      </c>
      <c r="D9" s="2037"/>
      <c r="E9" s="2037"/>
      <c r="F9" s="2037"/>
      <c r="G9" s="2037"/>
      <c r="H9" s="2037"/>
      <c r="I9" s="2037"/>
      <c r="J9" s="2037"/>
      <c r="K9" s="2037"/>
      <c r="L9" s="2037"/>
      <c r="M9" s="2037"/>
      <c r="N9" s="2037"/>
      <c r="O9" s="2037"/>
      <c r="P9" s="2037"/>
      <c r="Q9" s="2037"/>
      <c r="R9" s="1966"/>
      <c r="S9" s="2033"/>
      <c r="T9" s="2033"/>
      <c r="V9" s="1550"/>
      <c r="AA9" s="2033"/>
      <c r="AB9" s="2033"/>
      <c r="AC9" s="2033"/>
      <c r="AD9" s="2033"/>
      <c r="AE9" s="2033"/>
      <c r="AF9" s="2033"/>
      <c r="AG9" s="2033"/>
      <c r="AH9" s="2033"/>
      <c r="AI9" s="2033"/>
      <c r="AJ9" s="2033"/>
      <c r="AK9" s="2033"/>
    </row>
    <row r="10" spans="1:37" ht="13" x14ac:dyDescent="0.3">
      <c r="A10" s="2033"/>
      <c r="B10" s="1963"/>
      <c r="C10" s="1973" t="str">
        <f>'advanced report'!C11</f>
        <v>Please Complete the Details Page</v>
      </c>
      <c r="D10" s="2038"/>
      <c r="E10" s="2038"/>
      <c r="F10" s="2038"/>
      <c r="G10" s="2038"/>
      <c r="H10" s="2038"/>
      <c r="I10" s="2038"/>
      <c r="J10" s="2038"/>
      <c r="K10" s="2038"/>
      <c r="L10" s="2038"/>
      <c r="M10" s="2038"/>
      <c r="N10" s="2038"/>
      <c r="O10" s="2038"/>
      <c r="P10" s="2038"/>
      <c r="Q10" s="2038"/>
      <c r="R10" s="1974"/>
      <c r="S10" s="2033"/>
      <c r="T10" s="2033"/>
      <c r="V10" s="1550"/>
      <c r="AA10" s="2033"/>
      <c r="AB10" s="2033"/>
      <c r="AC10" s="2033"/>
      <c r="AD10" s="2033"/>
      <c r="AE10" s="2033"/>
      <c r="AF10" s="2033"/>
      <c r="AG10" s="2033"/>
      <c r="AH10" s="2033"/>
      <c r="AI10" s="2033"/>
      <c r="AJ10" s="2033"/>
      <c r="AK10" s="2033"/>
    </row>
    <row r="11" spans="1:37" ht="13" x14ac:dyDescent="0.3">
      <c r="A11" s="2033"/>
      <c r="B11" s="1963"/>
      <c r="C11" s="1973" t="str">
        <f>'advanced report'!C12</f>
        <v>Please Complete the Details Page</v>
      </c>
      <c r="D11" s="2038"/>
      <c r="E11" s="2038"/>
      <c r="F11" s="2038"/>
      <c r="G11" s="2038"/>
      <c r="H11" s="2038"/>
      <c r="I11" s="2038"/>
      <c r="J11" s="2038"/>
      <c r="K11" s="2038"/>
      <c r="L11" s="2038"/>
      <c r="M11" s="2038"/>
      <c r="N11" s="2038"/>
      <c r="O11" s="2038"/>
      <c r="P11" s="2038"/>
      <c r="Q11" s="2038"/>
      <c r="R11" s="1974"/>
      <c r="S11" s="2033"/>
      <c r="T11" s="2033"/>
      <c r="V11" s="1550"/>
      <c r="AA11" s="2033"/>
      <c r="AB11" s="2033"/>
      <c r="AC11" s="2033"/>
      <c r="AD11" s="2033"/>
      <c r="AE11" s="2033"/>
      <c r="AF11" s="2033"/>
      <c r="AG11" s="2033"/>
      <c r="AH11" s="2033"/>
      <c r="AI11" s="2033"/>
      <c r="AJ11" s="2033"/>
      <c r="AK11" s="2033"/>
    </row>
    <row r="12" spans="1:37" ht="6.75" customHeight="1" x14ac:dyDescent="0.25">
      <c r="A12" s="2033"/>
      <c r="B12" s="1963"/>
      <c r="C12" s="1972"/>
      <c r="D12" s="1972"/>
      <c r="E12" s="1972"/>
      <c r="F12" s="1972"/>
      <c r="G12" s="1972"/>
      <c r="H12" s="1972"/>
      <c r="I12" s="1972"/>
      <c r="J12" s="1972"/>
      <c r="K12" s="1972"/>
      <c r="L12" s="1972"/>
      <c r="M12" s="1972"/>
      <c r="N12" s="1972"/>
      <c r="O12" s="1972"/>
      <c r="P12" s="1972"/>
      <c r="Q12" s="1972"/>
      <c r="R12" s="1966"/>
      <c r="S12" s="2033"/>
      <c r="T12" s="2033"/>
      <c r="V12" s="1550"/>
      <c r="AA12" s="2033"/>
      <c r="AB12" s="2033"/>
      <c r="AC12" s="2033"/>
      <c r="AD12" s="2033"/>
      <c r="AE12" s="2033"/>
      <c r="AF12" s="2033"/>
      <c r="AG12" s="2033"/>
      <c r="AH12" s="2033"/>
      <c r="AI12" s="2033"/>
      <c r="AJ12" s="2033"/>
      <c r="AK12" s="2033"/>
    </row>
    <row r="13" spans="1:37" ht="13" x14ac:dyDescent="0.3">
      <c r="A13" s="2033"/>
      <c r="B13" s="1963"/>
      <c r="C13" s="1501" t="s">
        <v>1337</v>
      </c>
      <c r="D13" s="1966"/>
      <c r="E13" s="1966"/>
      <c r="F13" s="1966"/>
      <c r="G13" s="1966"/>
      <c r="H13" s="1966"/>
      <c r="I13" s="1966"/>
      <c r="J13" s="1966"/>
      <c r="K13" s="1966"/>
      <c r="L13" s="1966"/>
      <c r="M13" s="1966"/>
      <c r="N13" s="1966"/>
      <c r="O13" s="1966"/>
      <c r="P13" s="1966"/>
      <c r="Q13" s="1966"/>
      <c r="R13" s="1966"/>
      <c r="S13" s="2033"/>
      <c r="T13" s="2033"/>
      <c r="V13" s="1550"/>
      <c r="AA13" s="2033"/>
      <c r="AB13" s="2033"/>
      <c r="AC13" s="2033"/>
      <c r="AD13" s="2033"/>
      <c r="AE13" s="2033"/>
      <c r="AF13" s="2033"/>
      <c r="AG13" s="2033"/>
      <c r="AH13" s="2033"/>
      <c r="AI13" s="2033"/>
      <c r="AJ13" s="2033"/>
      <c r="AK13" s="2033"/>
    </row>
    <row r="14" spans="1:37" ht="12.75" customHeight="1" x14ac:dyDescent="0.3">
      <c r="A14" s="2033"/>
      <c r="B14" s="1975" t="s">
        <v>836</v>
      </c>
      <c r="C14" s="1966"/>
      <c r="D14" s="1966"/>
      <c r="E14" s="1966"/>
      <c r="F14" s="1966"/>
      <c r="G14" s="1966"/>
      <c r="H14" s="2086" t="str">
        <f>IF(AND(H15&lt;&gt;"",split!$O$11=2),$U$14&amp;" TC","")</f>
        <v/>
      </c>
      <c r="I14" s="1966"/>
      <c r="J14" s="2086" t="str">
        <f>IF(AND(J15&lt;&gt;"",split!$O$11=2),$U$14&amp;" TC","")</f>
        <v/>
      </c>
      <c r="K14" s="1966"/>
      <c r="L14" s="2086" t="str">
        <f>IF(AND(L15&lt;&gt;"",split!$O$11=2),$U$14&amp;" TC","")</f>
        <v/>
      </c>
      <c r="M14" s="1966"/>
      <c r="N14" s="2086" t="str">
        <f>IF(AND(N15&lt;&gt;"",split!$O$11=2),$U$14&amp;" TC","")</f>
        <v/>
      </c>
      <c r="O14" s="1966"/>
      <c r="P14" s="2086" t="str">
        <f>IF(AND(P15&lt;&gt;"",split!$O$11=2),$U$14&amp;" TC","")</f>
        <v/>
      </c>
      <c r="Q14" s="1966"/>
      <c r="R14" s="1976"/>
      <c r="S14" s="2033"/>
      <c r="T14" s="2033"/>
      <c r="U14" s="2079" t="str">
        <f>split!O10</f>
        <v>Schedule</v>
      </c>
      <c r="V14" s="1550"/>
      <c r="AA14" s="2033"/>
      <c r="AB14" s="2033"/>
      <c r="AC14" s="2033"/>
      <c r="AD14" s="2033"/>
      <c r="AE14" s="2033"/>
      <c r="AF14" s="2033"/>
      <c r="AG14" s="2033"/>
      <c r="AH14" s="2033"/>
      <c r="AI14" s="2033"/>
      <c r="AJ14" s="2033"/>
      <c r="AK14" s="2033"/>
    </row>
    <row r="15" spans="1:37" ht="12.75" customHeight="1" x14ac:dyDescent="0.25">
      <c r="A15" s="2033"/>
      <c r="B15" s="1975" t="s">
        <v>836</v>
      </c>
      <c r="C15" s="2039">
        <f>text!C54</f>
        <v>45016</v>
      </c>
      <c r="F15" s="2081" t="str">
        <f>W15</f>
        <v/>
      </c>
      <c r="H15" s="2081" t="str">
        <f>IF(W61="","",W61)</f>
        <v/>
      </c>
      <c r="J15" s="2081" t="str">
        <f>IF(W64="","",W64)</f>
        <v/>
      </c>
      <c r="L15" s="2081" t="str">
        <f>IF(W67="","",W67)</f>
        <v/>
      </c>
      <c r="N15" s="2081" t="str">
        <f>IF(W70="","",W70)</f>
        <v/>
      </c>
      <c r="P15" s="2081" t="str">
        <f>IF(W73="","",W73)</f>
        <v/>
      </c>
      <c r="Q15" s="1966"/>
      <c r="R15" s="1966"/>
      <c r="S15" s="2033"/>
      <c r="T15" s="2033"/>
      <c r="U15" s="2079" t="s">
        <v>1752</v>
      </c>
      <c r="V15" s="1550"/>
      <c r="W15" s="1436" t="str">
        <f>IF(V15="","",V15)</f>
        <v/>
      </c>
      <c r="AA15" s="2033"/>
      <c r="AB15" s="2033"/>
      <c r="AC15" s="2033"/>
      <c r="AD15" s="2033"/>
      <c r="AE15" s="2033"/>
      <c r="AF15" s="2033"/>
      <c r="AG15" s="2033"/>
      <c r="AH15" s="2033"/>
      <c r="AI15" s="2033"/>
      <c r="AJ15" s="2033"/>
      <c r="AK15" s="2033"/>
    </row>
    <row r="16" spans="1:37" ht="12.75" customHeight="1" x14ac:dyDescent="0.3">
      <c r="A16" s="2033"/>
      <c r="B16" s="1975" t="s">
        <v>836</v>
      </c>
      <c r="C16" s="2040" t="s">
        <v>1739</v>
      </c>
      <c r="D16" s="1615"/>
      <c r="E16" s="1615"/>
      <c r="F16" s="1516" t="str">
        <f>W16</f>
        <v/>
      </c>
      <c r="G16" s="1516"/>
      <c r="H16" s="1516" t="str">
        <f>W62</f>
        <v/>
      </c>
      <c r="I16" s="1516"/>
      <c r="J16" s="1516" t="str">
        <f>W65</f>
        <v/>
      </c>
      <c r="K16" s="1516"/>
      <c r="L16" s="1516" t="str">
        <f>W68</f>
        <v/>
      </c>
      <c r="M16" s="1516"/>
      <c r="N16" s="1516" t="str">
        <f>W71</f>
        <v/>
      </c>
      <c r="O16" s="1615"/>
      <c r="P16" s="1516" t="str">
        <f>W74</f>
        <v/>
      </c>
      <c r="Q16" s="1966"/>
      <c r="R16" s="1966"/>
      <c r="S16" s="2033"/>
      <c r="T16" s="2033"/>
      <c r="U16" s="2079" t="s">
        <v>1751</v>
      </c>
      <c r="V16" s="1550"/>
      <c r="W16" s="1436" t="str">
        <f t="shared" ref="W16:W79" si="0">IF(V16="","",V16)</f>
        <v/>
      </c>
      <c r="AA16" s="2033"/>
      <c r="AB16" s="2033"/>
      <c r="AC16" s="2033"/>
      <c r="AD16" s="2033"/>
      <c r="AE16" s="2033"/>
      <c r="AF16" s="2033"/>
      <c r="AG16" s="2033"/>
      <c r="AH16" s="2033"/>
      <c r="AI16" s="2033"/>
      <c r="AJ16" s="2033"/>
      <c r="AK16" s="2033"/>
    </row>
    <row r="17" spans="1:37" ht="12.75" customHeight="1" x14ac:dyDescent="0.3">
      <c r="A17" s="2033"/>
      <c r="B17" s="1966"/>
      <c r="C17" s="1966"/>
      <c r="D17" s="1966"/>
      <c r="E17" s="1966"/>
      <c r="F17" s="1600" t="s">
        <v>1341</v>
      </c>
      <c r="H17" s="2041" t="s">
        <v>1342</v>
      </c>
      <c r="I17" s="2041"/>
      <c r="J17" s="2041" t="s">
        <v>1342</v>
      </c>
      <c r="K17" s="2041"/>
      <c r="L17" s="2041" t="s">
        <v>1342</v>
      </c>
      <c r="M17" s="2041"/>
      <c r="N17" s="2041" t="s">
        <v>1342</v>
      </c>
      <c r="O17" s="2042"/>
      <c r="P17" s="2041" t="s">
        <v>1342</v>
      </c>
      <c r="R17" s="1966"/>
      <c r="S17" s="2033"/>
      <c r="T17" s="2033"/>
      <c r="U17" s="2079" t="s">
        <v>1223</v>
      </c>
      <c r="V17" s="1550"/>
      <c r="W17" s="1436" t="str">
        <f t="shared" si="0"/>
        <v/>
      </c>
      <c r="AA17" s="2033"/>
      <c r="AB17" s="2033"/>
      <c r="AC17" s="2033"/>
      <c r="AD17" s="2033"/>
      <c r="AE17" s="2033"/>
      <c r="AF17" s="2033"/>
      <c r="AG17" s="2033"/>
      <c r="AH17" s="2033"/>
      <c r="AI17" s="2033"/>
      <c r="AJ17" s="2033"/>
      <c r="AK17" s="2033"/>
    </row>
    <row r="18" spans="1:37" ht="12.75" customHeight="1" x14ac:dyDescent="0.25">
      <c r="A18" s="2033"/>
      <c r="B18" s="1963"/>
      <c r="C18" s="2039">
        <f>text!C52</f>
        <v>45017</v>
      </c>
      <c r="D18" s="1966"/>
      <c r="E18" s="1966"/>
      <c r="F18" s="2081" t="str">
        <f>W17</f>
        <v/>
      </c>
      <c r="G18" s="1496"/>
      <c r="H18" s="2081" t="str">
        <f>IF(split!O6=TRUE,W63,"-")</f>
        <v>-</v>
      </c>
      <c r="I18" s="1496"/>
      <c r="J18" s="2081" t="str">
        <f>IF(split!O6=TRUE,W66,"-")</f>
        <v>-</v>
      </c>
      <c r="K18" s="1496"/>
      <c r="L18" s="2081" t="str">
        <f>IF(split!O6=TRUE,W69,"-")</f>
        <v>-</v>
      </c>
      <c r="M18" s="1496"/>
      <c r="N18" s="2081" t="str">
        <f>IF(split!O6=TRUE,W72,"-")</f>
        <v>-</v>
      </c>
      <c r="O18" s="2043"/>
      <c r="P18" s="2081" t="str">
        <f>IF(split!O6=TRUE,W75,"-")</f>
        <v>-</v>
      </c>
      <c r="Q18" s="1977"/>
      <c r="R18" s="1966"/>
      <c r="S18" s="2033"/>
      <c r="T18" s="2033"/>
      <c r="U18" s="2079" t="s">
        <v>1753</v>
      </c>
      <c r="V18" s="1550"/>
      <c r="W18" s="1436" t="str">
        <f t="shared" si="0"/>
        <v/>
      </c>
      <c r="AA18" s="2033"/>
      <c r="AB18" s="2033"/>
      <c r="AC18" s="2033"/>
      <c r="AD18" s="2033"/>
      <c r="AE18" s="2033"/>
      <c r="AF18" s="2033"/>
      <c r="AG18" s="2033"/>
      <c r="AH18" s="2033"/>
      <c r="AI18" s="2033"/>
      <c r="AJ18" s="2033"/>
      <c r="AK18" s="2033"/>
    </row>
    <row r="19" spans="1:37" ht="12.75" customHeight="1" x14ac:dyDescent="0.3">
      <c r="A19" s="2033"/>
      <c r="B19" s="1963"/>
      <c r="C19" s="2101"/>
      <c r="D19" s="1966"/>
      <c r="E19" s="2087"/>
      <c r="F19" s="2081" t="str">
        <f>IF(W18="","",W18)</f>
        <v/>
      </c>
      <c r="G19" s="1496"/>
      <c r="H19" s="2081" t="str">
        <f>IF(split!O6=FALSE,W63,"")</f>
        <v/>
      </c>
      <c r="I19" s="1496"/>
      <c r="J19" s="2081" t="str">
        <f>IF(split!O6=FALSE,W66,"")</f>
        <v/>
      </c>
      <c r="K19" s="1496"/>
      <c r="L19" s="2081" t="str">
        <f>IF(split!O6=FALSE,W69,"")</f>
        <v/>
      </c>
      <c r="M19" s="1496"/>
      <c r="N19" s="2081" t="str">
        <f>IF(split!O6=FALSE,W72,"")</f>
        <v/>
      </c>
      <c r="O19" s="2044"/>
      <c r="P19" s="2081" t="str">
        <f>IF(split!O6=FALSE,W75,"")</f>
        <v/>
      </c>
      <c r="Q19" s="1966"/>
      <c r="R19" s="1966"/>
      <c r="S19" s="2033"/>
      <c r="T19" s="2033"/>
      <c r="U19" s="2079" t="s">
        <v>1754</v>
      </c>
      <c r="V19" s="1550"/>
      <c r="W19" s="1436" t="str">
        <f t="shared" si="0"/>
        <v/>
      </c>
      <c r="AA19" s="2033"/>
      <c r="AB19" s="2033"/>
      <c r="AC19" s="2033"/>
      <c r="AD19" s="2033"/>
      <c r="AE19" s="2033"/>
      <c r="AF19" s="2033"/>
      <c r="AG19" s="2033"/>
      <c r="AH19" s="2033"/>
      <c r="AI19" s="2033"/>
      <c r="AJ19" s="2033"/>
      <c r="AK19" s="2033"/>
    </row>
    <row r="20" spans="1:37" ht="14.25" customHeight="1" x14ac:dyDescent="0.3">
      <c r="A20" s="2033"/>
      <c r="B20" s="1963"/>
      <c r="C20" s="1978"/>
      <c r="D20" s="1979"/>
      <c r="E20" s="1980"/>
      <c r="F20" s="2046" t="str">
        <f>IF(W19="","",W19)</f>
        <v/>
      </c>
      <c r="G20" s="2045"/>
      <c r="H20" s="2046" t="str">
        <f>IF(W32="","",W32)</f>
        <v/>
      </c>
      <c r="I20" s="2045"/>
      <c r="J20" s="2046" t="str">
        <f>IF(W39="","",W39)</f>
        <v/>
      </c>
      <c r="K20" s="2045"/>
      <c r="L20" s="2046" t="str">
        <f>IF(W46="","",W46)</f>
        <v/>
      </c>
      <c r="M20" s="2045"/>
      <c r="N20" s="2046" t="str">
        <f>IF(W53="","",W53)</f>
        <v/>
      </c>
      <c r="O20" s="2046"/>
      <c r="P20" s="2046" t="str">
        <f>IF(W60="","",W60)</f>
        <v/>
      </c>
      <c r="Q20" s="1981"/>
      <c r="R20" s="1976"/>
      <c r="S20" s="2033"/>
      <c r="T20" s="2033"/>
      <c r="U20" s="2079" t="s">
        <v>1755</v>
      </c>
      <c r="V20" s="1550"/>
      <c r="W20" s="1436" t="str">
        <f t="shared" si="0"/>
        <v/>
      </c>
      <c r="AA20" s="2033"/>
      <c r="AB20" s="2033"/>
      <c r="AC20" s="2033"/>
      <c r="AD20" s="2033"/>
      <c r="AE20" s="2033"/>
      <c r="AF20" s="2033"/>
      <c r="AG20" s="2033"/>
      <c r="AH20" s="2033"/>
      <c r="AI20" s="2033"/>
      <c r="AJ20" s="2033"/>
      <c r="AK20" s="2033"/>
    </row>
    <row r="21" spans="1:37" ht="18" customHeight="1" x14ac:dyDescent="0.3">
      <c r="A21" s="2033"/>
      <c r="B21" s="1963"/>
      <c r="C21" s="1982" t="s">
        <v>1339</v>
      </c>
      <c r="D21" s="1983"/>
      <c r="E21" s="1984"/>
      <c r="F21" s="1985"/>
      <c r="G21" s="1985"/>
      <c r="H21" s="1985"/>
      <c r="I21" s="1985"/>
      <c r="J21" s="1985"/>
      <c r="K21" s="1985"/>
      <c r="L21" s="1985"/>
      <c r="M21" s="1985"/>
      <c r="N21" s="1985"/>
      <c r="P21" s="1611"/>
      <c r="Q21" s="1976"/>
      <c r="R21" s="1976"/>
      <c r="S21" s="2033"/>
      <c r="T21" s="2033"/>
      <c r="U21" s="2079" t="s">
        <v>1756</v>
      </c>
      <c r="V21" s="1550"/>
      <c r="W21" s="1436" t="str">
        <f t="shared" si="0"/>
        <v/>
      </c>
      <c r="AA21" s="2033"/>
      <c r="AB21" s="2033"/>
      <c r="AC21" s="2033"/>
      <c r="AD21" s="2033"/>
      <c r="AE21" s="2033"/>
      <c r="AF21" s="2033"/>
      <c r="AG21" s="2033"/>
      <c r="AH21" s="2033"/>
      <c r="AI21" s="2033"/>
      <c r="AJ21" s="2033"/>
      <c r="AK21" s="2033"/>
    </row>
    <row r="22" spans="1:37" ht="14.25" customHeight="1" x14ac:dyDescent="0.3">
      <c r="A22" s="2033"/>
      <c r="B22" s="1963"/>
      <c r="C22" s="1986" t="str">
        <f>advanced!G96</f>
        <v>England</v>
      </c>
      <c r="D22" s="1983"/>
      <c r="E22" s="1984"/>
      <c r="F22" s="1985"/>
      <c r="G22" s="1985"/>
      <c r="H22" s="1985"/>
      <c r="I22" s="1985"/>
      <c r="J22" s="1985"/>
      <c r="K22" s="1985"/>
      <c r="L22" s="1985"/>
      <c r="M22" s="1985"/>
      <c r="N22" s="1985"/>
      <c r="O22" s="2047"/>
      <c r="P22" s="1611"/>
      <c r="Q22" s="1976"/>
      <c r="R22" s="1976"/>
      <c r="S22" s="2033"/>
      <c r="T22" s="2033"/>
      <c r="U22" s="2079" t="s">
        <v>1757</v>
      </c>
      <c r="V22" s="1550"/>
      <c r="W22" s="1436" t="str">
        <f t="shared" si="0"/>
        <v/>
      </c>
      <c r="AA22" s="2033"/>
      <c r="AB22" s="2033"/>
      <c r="AC22" s="2033"/>
      <c r="AD22" s="2033"/>
      <c r="AE22" s="2033"/>
      <c r="AF22" s="2033"/>
      <c r="AG22" s="2033"/>
      <c r="AH22" s="2033"/>
      <c r="AI22" s="2033"/>
      <c r="AJ22" s="2033"/>
      <c r="AK22" s="2033"/>
    </row>
    <row r="23" spans="1:37" ht="11.25" customHeight="1" x14ac:dyDescent="0.3">
      <c r="A23" s="2033"/>
      <c r="B23" s="1963"/>
      <c r="C23" s="1987"/>
      <c r="D23" s="1983"/>
      <c r="E23" s="1984"/>
      <c r="F23" s="1985"/>
      <c r="G23" s="1985"/>
      <c r="H23" s="1985"/>
      <c r="I23" s="1985"/>
      <c r="J23" s="1985"/>
      <c r="K23" s="1985"/>
      <c r="L23" s="1985"/>
      <c r="M23" s="1985"/>
      <c r="N23" s="1985"/>
      <c r="O23" s="2047"/>
      <c r="P23" s="1611"/>
      <c r="Q23" s="1976"/>
      <c r="R23" s="1976"/>
      <c r="S23" s="2033"/>
      <c r="T23" s="2033"/>
      <c r="U23" s="2079" t="s">
        <v>1758</v>
      </c>
      <c r="V23" s="1550"/>
      <c r="W23" s="1436" t="str">
        <f t="shared" si="0"/>
        <v/>
      </c>
      <c r="AA23" s="2033"/>
      <c r="AB23" s="2033"/>
      <c r="AC23" s="2033"/>
      <c r="AD23" s="2033"/>
      <c r="AE23" s="2033"/>
      <c r="AF23" s="2033"/>
      <c r="AG23" s="2033"/>
      <c r="AH23" s="2033"/>
      <c r="AI23" s="2033"/>
      <c r="AJ23" s="2033"/>
      <c r="AK23" s="2033"/>
    </row>
    <row r="24" spans="1:37" ht="9" customHeight="1" x14ac:dyDescent="0.3">
      <c r="A24" s="2033"/>
      <c r="B24" s="1963"/>
      <c r="C24" s="1988"/>
      <c r="D24" s="1983"/>
      <c r="E24" s="1989"/>
      <c r="F24" s="1990"/>
      <c r="G24" s="1990"/>
      <c r="H24" s="1990"/>
      <c r="I24" s="1990"/>
      <c r="J24" s="1990"/>
      <c r="K24" s="1990"/>
      <c r="L24" s="1990"/>
      <c r="M24" s="1990"/>
      <c r="N24" s="1990"/>
      <c r="O24" s="2048"/>
      <c r="P24" s="1990"/>
      <c r="Q24" s="1976"/>
      <c r="R24" s="1976"/>
      <c r="S24" s="2033"/>
      <c r="T24" s="2033"/>
      <c r="U24" s="2079" t="s">
        <v>1759</v>
      </c>
      <c r="V24" s="1550"/>
      <c r="W24" s="1436" t="str">
        <f t="shared" si="0"/>
        <v/>
      </c>
      <c r="AA24" s="2033"/>
      <c r="AB24" s="2033"/>
      <c r="AC24" s="2033"/>
      <c r="AD24" s="2033"/>
      <c r="AE24" s="2033"/>
      <c r="AF24" s="2033"/>
      <c r="AG24" s="2033"/>
      <c r="AH24" s="2033"/>
      <c r="AI24" s="2033"/>
      <c r="AJ24" s="2033"/>
      <c r="AK24" s="2033"/>
    </row>
    <row r="25" spans="1:37" ht="13" x14ac:dyDescent="0.3">
      <c r="A25" s="2049"/>
      <c r="B25" s="1963"/>
      <c r="C25" s="1600" t="s">
        <v>992</v>
      </c>
      <c r="D25" s="1983"/>
      <c r="E25" s="1991" t="s">
        <v>1341</v>
      </c>
      <c r="F25" s="1439"/>
      <c r="G25" s="2050" t="s">
        <v>1740</v>
      </c>
      <c r="H25" s="2051"/>
      <c r="I25" s="2052"/>
      <c r="J25" s="2053"/>
      <c r="K25" s="2054" t="s">
        <v>1741</v>
      </c>
      <c r="L25" s="2051"/>
      <c r="M25" s="2051"/>
      <c r="N25" s="2055"/>
      <c r="O25" s="2056"/>
      <c r="P25" s="2057" t="s">
        <v>1742</v>
      </c>
      <c r="Q25" s="1992" t="s">
        <v>839</v>
      </c>
      <c r="R25" s="1976"/>
      <c r="S25" s="2033"/>
      <c r="T25" s="2033"/>
      <c r="U25" s="2079" t="s">
        <v>1760</v>
      </c>
      <c r="V25" s="1550"/>
      <c r="W25" s="1436" t="str">
        <f t="shared" si="0"/>
        <v/>
      </c>
      <c r="AA25" s="2033"/>
      <c r="AB25" s="2033"/>
      <c r="AC25" s="2033"/>
      <c r="AD25" s="2033"/>
      <c r="AE25" s="2033"/>
      <c r="AF25" s="2033"/>
      <c r="AG25" s="2033"/>
      <c r="AH25" s="2033"/>
      <c r="AI25" s="2033"/>
      <c r="AJ25" s="2033"/>
      <c r="AK25" s="2033"/>
    </row>
    <row r="26" spans="1:37" ht="13" x14ac:dyDescent="0.3">
      <c r="A26" s="2049"/>
      <c r="B26" s="1963"/>
      <c r="C26" s="1993" t="s">
        <v>836</v>
      </c>
      <c r="D26" s="1983"/>
      <c r="E26" s="2075"/>
      <c r="F26" s="1437"/>
      <c r="O26" s="2058" t="s">
        <v>836</v>
      </c>
      <c r="P26" s="2059"/>
      <c r="Q26" s="1994"/>
      <c r="R26" s="1976"/>
      <c r="S26" s="2033"/>
      <c r="T26" s="2033"/>
      <c r="U26" s="2079" t="s">
        <v>1761</v>
      </c>
      <c r="V26" s="1550"/>
      <c r="W26" s="1436" t="str">
        <f t="shared" si="0"/>
        <v/>
      </c>
      <c r="AA26" s="2033"/>
      <c r="AB26" s="2033"/>
      <c r="AC26" s="2033"/>
      <c r="AD26" s="2033"/>
      <c r="AE26" s="2033"/>
      <c r="AF26" s="2033"/>
      <c r="AG26" s="2033"/>
      <c r="AH26" s="2033"/>
      <c r="AI26" s="2033"/>
      <c r="AJ26" s="2033"/>
      <c r="AK26" s="2033"/>
    </row>
    <row r="27" spans="1:37" ht="13" x14ac:dyDescent="0.3">
      <c r="A27" s="2049"/>
      <c r="B27" s="1963"/>
      <c r="D27" s="1995"/>
      <c r="E27" s="2076"/>
      <c r="F27" s="2060"/>
      <c r="G27" s="1996"/>
      <c r="H27" s="1997" t="s">
        <v>1743</v>
      </c>
      <c r="I27" s="1996"/>
      <c r="J27" s="1997" t="s">
        <v>1744</v>
      </c>
      <c r="K27" s="1996"/>
      <c r="L27" s="1997" t="s">
        <v>1745</v>
      </c>
      <c r="M27" s="1996"/>
      <c r="N27" s="1997" t="s">
        <v>1746</v>
      </c>
      <c r="O27" s="2061"/>
      <c r="P27" s="1997" t="s">
        <v>1747</v>
      </c>
      <c r="Q27" s="1998"/>
      <c r="R27" s="1999"/>
      <c r="S27" s="2033"/>
      <c r="T27" s="2033"/>
      <c r="U27" s="2079" t="s">
        <v>1762</v>
      </c>
      <c r="V27" s="1550"/>
      <c r="W27" s="1436" t="str">
        <f t="shared" si="0"/>
        <v/>
      </c>
      <c r="AA27" s="2033"/>
      <c r="AB27" s="2033"/>
      <c r="AC27" s="2033"/>
      <c r="AD27" s="2033"/>
      <c r="AE27" s="2033"/>
      <c r="AF27" s="2033"/>
      <c r="AG27" s="2033"/>
      <c r="AH27" s="2033"/>
      <c r="AI27" s="2033"/>
      <c r="AJ27" s="2033"/>
      <c r="AK27" s="2033"/>
    </row>
    <row r="28" spans="1:37" ht="23.25" customHeight="1" x14ac:dyDescent="0.25">
      <c r="A28" s="2062"/>
      <c r="B28" s="1963"/>
      <c r="C28" s="2000" t="str">
        <f>basic!D15</f>
        <v xml:space="preserve">2023/24 </v>
      </c>
      <c r="D28" s="2001"/>
      <c r="E28" s="2082" t="str">
        <f>W20</f>
        <v/>
      </c>
      <c r="F28" s="2003"/>
      <c r="G28" s="2082" t="str">
        <f>W29</f>
        <v/>
      </c>
      <c r="H28" s="2003"/>
      <c r="I28" s="2082" t="str">
        <f>W36</f>
        <v/>
      </c>
      <c r="J28" s="2003"/>
      <c r="K28" s="2082" t="str">
        <f>W43</f>
        <v/>
      </c>
      <c r="L28" s="2003"/>
      <c r="M28" s="2082" t="str">
        <f>W50</f>
        <v/>
      </c>
      <c r="N28" s="2003"/>
      <c r="O28" s="2083" t="str">
        <f>W57</f>
        <v/>
      </c>
      <c r="P28" s="2004"/>
      <c r="Q28" s="2005">
        <f>Q37</f>
        <v>0</v>
      </c>
      <c r="R28" s="2006"/>
      <c r="S28" s="2033"/>
      <c r="T28" s="2033"/>
      <c r="U28" s="2079" t="s">
        <v>1763</v>
      </c>
      <c r="V28" s="1550"/>
      <c r="W28" s="1436" t="str">
        <f t="shared" si="0"/>
        <v/>
      </c>
      <c r="AA28" s="2033"/>
      <c r="AB28" s="2033"/>
      <c r="AC28" s="2033"/>
      <c r="AD28" s="2033"/>
      <c r="AE28" s="2033"/>
      <c r="AF28" s="2033"/>
      <c r="AG28" s="2033"/>
      <c r="AH28" s="2033"/>
      <c r="AI28" s="2033"/>
      <c r="AJ28" s="2033"/>
      <c r="AK28" s="2033"/>
    </row>
    <row r="29" spans="1:37" ht="15.75" customHeight="1" x14ac:dyDescent="0.25">
      <c r="A29" s="2033"/>
      <c r="B29" s="1963"/>
      <c r="C29" s="2000" t="str">
        <f>basic!D16</f>
        <v xml:space="preserve">2024/25 </v>
      </c>
      <c r="D29" s="2001"/>
      <c r="E29" s="2082" t="str">
        <f>W21</f>
        <v/>
      </c>
      <c r="F29" s="2003"/>
      <c r="G29" s="2082" t="str">
        <f>W30</f>
        <v/>
      </c>
      <c r="H29" s="2003"/>
      <c r="I29" s="2082" t="str">
        <f>W37</f>
        <v/>
      </c>
      <c r="J29" s="2003"/>
      <c r="K29" s="2082" t="str">
        <f>W44</f>
        <v/>
      </c>
      <c r="L29" s="2003"/>
      <c r="M29" s="2082" t="str">
        <f>W51</f>
        <v/>
      </c>
      <c r="N29" s="2003"/>
      <c r="O29" s="2083" t="str">
        <f>W58</f>
        <v/>
      </c>
      <c r="P29" s="2004"/>
      <c r="Q29" s="2005">
        <f>Q38</f>
        <v>0</v>
      </c>
      <c r="R29" s="2006"/>
      <c r="S29" s="2033"/>
      <c r="T29" s="2033"/>
      <c r="U29" s="2079" t="s">
        <v>1764</v>
      </c>
      <c r="V29" s="1550"/>
      <c r="W29" s="1436" t="str">
        <f t="shared" si="0"/>
        <v/>
      </c>
      <c r="AA29" s="2033"/>
      <c r="AB29" s="2033"/>
      <c r="AC29" s="2033"/>
      <c r="AD29" s="2033"/>
      <c r="AE29" s="2033"/>
      <c r="AF29" s="2033"/>
      <c r="AG29" s="2033"/>
      <c r="AH29" s="2033"/>
      <c r="AI29" s="2033"/>
      <c r="AJ29" s="2033"/>
      <c r="AK29" s="2033"/>
    </row>
    <row r="30" spans="1:37" ht="15.75" customHeight="1" x14ac:dyDescent="0.25">
      <c r="A30" s="2063"/>
      <c r="B30" s="1963"/>
      <c r="C30" s="2000" t="str">
        <f>basic!D17</f>
        <v xml:space="preserve">2025/26 </v>
      </c>
      <c r="D30" s="2001"/>
      <c r="E30" s="2082" t="str">
        <f>W22</f>
        <v/>
      </c>
      <c r="F30" s="2003"/>
      <c r="G30" s="2082" t="str">
        <f>W31</f>
        <v/>
      </c>
      <c r="H30" s="2003"/>
      <c r="I30" s="2082" t="str">
        <f>W38</f>
        <v/>
      </c>
      <c r="J30" s="2003"/>
      <c r="K30" s="2082" t="str">
        <f>W45</f>
        <v/>
      </c>
      <c r="L30" s="2003"/>
      <c r="M30" s="2082" t="str">
        <f>W52</f>
        <v/>
      </c>
      <c r="N30" s="2003"/>
      <c r="O30" s="2083" t="str">
        <f>W59</f>
        <v/>
      </c>
      <c r="P30" s="2004"/>
      <c r="Q30" s="2005">
        <f>Q39</f>
        <v>0</v>
      </c>
      <c r="R30" s="2006"/>
      <c r="S30" s="2033"/>
      <c r="T30" s="2033"/>
      <c r="U30" s="2079" t="s">
        <v>1765</v>
      </c>
      <c r="V30" s="1550"/>
      <c r="W30" s="1436" t="str">
        <f t="shared" si="0"/>
        <v/>
      </c>
      <c r="AA30" s="2033"/>
      <c r="AB30" s="2033"/>
      <c r="AC30" s="2033"/>
      <c r="AD30" s="2033"/>
      <c r="AE30" s="2033"/>
      <c r="AF30" s="2033"/>
      <c r="AG30" s="2033"/>
      <c r="AH30" s="2033"/>
      <c r="AI30" s="2033"/>
      <c r="AJ30" s="2033"/>
      <c r="AK30" s="2033"/>
    </row>
    <row r="31" spans="1:37" ht="15.75" hidden="1" customHeight="1" x14ac:dyDescent="0.25">
      <c r="A31" s="2078"/>
      <c r="B31" s="1966"/>
      <c r="C31" s="2000"/>
      <c r="D31" s="2001"/>
      <c r="E31" s="2084"/>
      <c r="F31" s="2003"/>
      <c r="G31" s="2085"/>
      <c r="H31" s="2003"/>
      <c r="I31" s="2085"/>
      <c r="J31" s="2003"/>
      <c r="K31" s="2085"/>
      <c r="L31" s="2003"/>
      <c r="M31" s="2085"/>
      <c r="N31" s="2003"/>
      <c r="O31" s="1966"/>
      <c r="P31" s="2004"/>
      <c r="Q31" s="2005"/>
      <c r="R31" s="2006"/>
      <c r="S31" s="2033"/>
      <c r="T31" s="2033"/>
      <c r="U31" s="2079" t="s">
        <v>1766</v>
      </c>
      <c r="V31" s="1550"/>
      <c r="W31" s="1436" t="str">
        <f t="shared" si="0"/>
        <v/>
      </c>
      <c r="AA31" s="2033"/>
      <c r="AB31" s="2033"/>
      <c r="AC31" s="2033"/>
      <c r="AD31" s="2033"/>
      <c r="AE31" s="2033"/>
      <c r="AF31" s="2033"/>
      <c r="AG31" s="2033"/>
      <c r="AH31" s="2033"/>
      <c r="AI31" s="2033"/>
      <c r="AJ31" s="2033"/>
      <c r="AK31" s="2033"/>
    </row>
    <row r="32" spans="1:37" ht="15.75" hidden="1" customHeight="1" x14ac:dyDescent="0.25">
      <c r="A32" s="2078"/>
      <c r="B32" s="1966"/>
      <c r="C32" s="2000"/>
      <c r="D32" s="2001"/>
      <c r="E32" s="2084"/>
      <c r="F32" s="2003"/>
      <c r="G32" s="2085"/>
      <c r="H32" s="2003"/>
      <c r="I32" s="2085"/>
      <c r="J32" s="2003"/>
      <c r="K32" s="2085"/>
      <c r="L32" s="2003"/>
      <c r="M32" s="2085"/>
      <c r="N32" s="2003"/>
      <c r="O32" s="1966"/>
      <c r="P32" s="2004"/>
      <c r="Q32" s="2005"/>
      <c r="R32" s="2006"/>
      <c r="S32" s="2033"/>
      <c r="T32" s="2033"/>
      <c r="U32" s="2079" t="s">
        <v>1767</v>
      </c>
      <c r="V32" s="1550"/>
      <c r="W32" s="1436" t="str">
        <f t="shared" si="0"/>
        <v/>
      </c>
      <c r="AA32" s="2033"/>
      <c r="AB32" s="2033"/>
      <c r="AC32" s="2033"/>
      <c r="AD32" s="2033"/>
      <c r="AE32" s="2033"/>
      <c r="AF32" s="2033"/>
      <c r="AG32" s="2033"/>
      <c r="AH32" s="2033"/>
      <c r="AI32" s="2033"/>
      <c r="AJ32" s="2033"/>
      <c r="AK32" s="2033"/>
    </row>
    <row r="33" spans="1:37" ht="10.5" customHeight="1" x14ac:dyDescent="0.25">
      <c r="A33" s="2064"/>
      <c r="B33" s="1966"/>
      <c r="C33" s="2000"/>
      <c r="D33" s="2001"/>
      <c r="E33" s="2002"/>
      <c r="F33" s="2003"/>
      <c r="G33" s="2077"/>
      <c r="H33" s="2003"/>
      <c r="I33" s="2077"/>
      <c r="J33" s="2003"/>
      <c r="K33" s="2077"/>
      <c r="L33" s="2003"/>
      <c r="M33" s="2077"/>
      <c r="N33" s="2003"/>
      <c r="O33" s="1492"/>
      <c r="P33" s="2004"/>
      <c r="Q33" s="2005"/>
      <c r="R33" s="2011"/>
      <c r="S33" s="2033"/>
      <c r="T33" s="2033"/>
      <c r="U33" s="2079" t="s">
        <v>1774</v>
      </c>
      <c r="V33" s="1550"/>
      <c r="W33" s="1436" t="str">
        <f t="shared" si="0"/>
        <v/>
      </c>
      <c r="AA33" s="2033"/>
      <c r="AB33" s="2033"/>
      <c r="AC33" s="2033"/>
      <c r="AD33" s="2033"/>
      <c r="AE33" s="2033"/>
      <c r="AF33" s="2033"/>
      <c r="AG33" s="2033"/>
      <c r="AH33" s="2033"/>
      <c r="AI33" s="2033"/>
      <c r="AJ33" s="2033"/>
      <c r="AK33" s="2033"/>
    </row>
    <row r="34" spans="1:37" ht="21" customHeight="1" thickBot="1" x14ac:dyDescent="0.3">
      <c r="A34" s="2033"/>
      <c r="B34" s="1966"/>
      <c r="C34" s="2007" t="s">
        <v>1344</v>
      </c>
      <c r="D34" s="2008"/>
      <c r="E34" s="2008"/>
      <c r="F34" s="2009">
        <f>SUM(F28:F33)</f>
        <v>0</v>
      </c>
      <c r="G34" s="2008"/>
      <c r="H34" s="2009">
        <f>SUM(H28:H33)</f>
        <v>0</v>
      </c>
      <c r="I34" s="2008"/>
      <c r="J34" s="2009">
        <f>SUM(J28:J33)</f>
        <v>0</v>
      </c>
      <c r="K34" s="2008"/>
      <c r="L34" s="2009">
        <f>SUM(L28:L33)</f>
        <v>0</v>
      </c>
      <c r="M34" s="2008"/>
      <c r="N34" s="2009">
        <f>SUM(N28:N33)</f>
        <v>0</v>
      </c>
      <c r="O34" s="2008"/>
      <c r="P34" s="2009">
        <f>SUM(P28:P33)</f>
        <v>0</v>
      </c>
      <c r="Q34" s="2065">
        <f>SUM(Q28:Q33)</f>
        <v>0</v>
      </c>
      <c r="R34" s="2010"/>
      <c r="S34" s="2033"/>
      <c r="T34" s="2033"/>
      <c r="U34" s="2079" t="s">
        <v>1768</v>
      </c>
      <c r="V34" s="1550"/>
      <c r="W34" s="1436" t="str">
        <f t="shared" si="0"/>
        <v/>
      </c>
      <c r="AA34" s="2033"/>
      <c r="AB34" s="2033"/>
      <c r="AC34" s="2033"/>
      <c r="AD34" s="2033"/>
      <c r="AE34" s="2033"/>
      <c r="AF34" s="2033"/>
      <c r="AG34" s="2033"/>
      <c r="AH34" s="2033"/>
      <c r="AI34" s="2033"/>
      <c r="AJ34" s="2033"/>
      <c r="AK34" s="2033"/>
    </row>
    <row r="35" spans="1:37" ht="13.5" customHeight="1" thickTop="1" x14ac:dyDescent="0.3">
      <c r="A35" s="2033"/>
      <c r="B35" s="1966"/>
      <c r="C35" s="1963"/>
      <c r="D35" s="2011"/>
      <c r="E35" s="1969"/>
      <c r="F35" s="2011"/>
      <c r="G35" s="2011"/>
      <c r="H35" s="2011"/>
      <c r="I35" s="2011"/>
      <c r="J35" s="2011"/>
      <c r="K35" s="2011"/>
      <c r="L35" s="2011"/>
      <c r="M35" s="2011"/>
      <c r="N35" s="2011"/>
      <c r="O35" s="2012" t="s">
        <v>836</v>
      </c>
      <c r="P35" s="2011"/>
      <c r="Q35" s="2013" t="s">
        <v>836</v>
      </c>
      <c r="R35" s="2011"/>
      <c r="S35" s="2033"/>
      <c r="T35" s="2033"/>
      <c r="U35" s="2079" t="s">
        <v>1769</v>
      </c>
      <c r="V35" s="1550"/>
      <c r="W35" s="1436" t="str">
        <f t="shared" si="0"/>
        <v/>
      </c>
      <c r="AA35" s="2033"/>
      <c r="AB35" s="2033"/>
      <c r="AC35" s="2033"/>
      <c r="AD35" s="2033"/>
      <c r="AE35" s="2033"/>
      <c r="AF35" s="2033"/>
      <c r="AG35" s="2033"/>
      <c r="AH35" s="2033"/>
      <c r="AI35" s="2033"/>
      <c r="AJ35" s="2033"/>
      <c r="AK35" s="2033"/>
    </row>
    <row r="36" spans="1:37" ht="13" x14ac:dyDescent="0.3">
      <c r="A36" s="2033"/>
      <c r="B36" s="1966"/>
      <c r="C36" s="2014" t="str">
        <f>'advanced report'!C62</f>
        <v xml:space="preserve"> </v>
      </c>
      <c r="E36" s="2015"/>
      <c r="F36" s="1966"/>
      <c r="G36" s="1966"/>
      <c r="H36" s="1966"/>
      <c r="I36" s="1966"/>
      <c r="J36" s="1966"/>
      <c r="K36" s="1966"/>
      <c r="L36" s="1966"/>
      <c r="M36" s="2016"/>
      <c r="N36" s="2017" t="s">
        <v>1106</v>
      </c>
      <c r="O36" s="2018"/>
      <c r="P36" s="2016" t="s">
        <v>1748</v>
      </c>
      <c r="Q36" s="2019" t="s">
        <v>1749</v>
      </c>
      <c r="R36" s="1966"/>
      <c r="S36" s="2033"/>
      <c r="T36" s="2033"/>
      <c r="U36" s="2079" t="s">
        <v>1770</v>
      </c>
      <c r="V36" s="1550"/>
      <c r="W36" s="1436" t="str">
        <f t="shared" si="0"/>
        <v/>
      </c>
      <c r="AA36" s="2033"/>
      <c r="AB36" s="2033"/>
      <c r="AC36" s="2033"/>
      <c r="AD36" s="2033"/>
      <c r="AE36" s="2033"/>
      <c r="AF36" s="2033"/>
      <c r="AG36" s="2033"/>
      <c r="AH36" s="2033"/>
      <c r="AI36" s="2033"/>
      <c r="AJ36" s="2033"/>
      <c r="AK36" s="2033"/>
    </row>
    <row r="37" spans="1:37" ht="13" x14ac:dyDescent="0.3">
      <c r="A37" s="2033"/>
      <c r="B37" s="1966"/>
      <c r="C37" s="2020" t="s">
        <v>836</v>
      </c>
      <c r="D37" s="1969"/>
      <c r="E37" s="1969"/>
      <c r="F37" s="1969"/>
      <c r="G37" s="1969"/>
      <c r="H37" s="1969"/>
      <c r="I37" s="1969"/>
      <c r="J37" s="1969"/>
      <c r="K37" s="1969"/>
      <c r="L37" s="1969"/>
      <c r="M37" s="2066" t="str">
        <f>C28</f>
        <v xml:space="preserve">2023/24 </v>
      </c>
      <c r="N37" s="2021">
        <f>F28</f>
        <v>0</v>
      </c>
      <c r="O37" s="2022" t="s">
        <v>836</v>
      </c>
      <c r="P37" s="2023">
        <f>H28+J28+L28+N28+P28</f>
        <v>0</v>
      </c>
      <c r="Q37" s="2024">
        <f>N37-P37</f>
        <v>0</v>
      </c>
      <c r="R37" s="1969"/>
      <c r="S37" s="2033"/>
      <c r="T37" s="2033"/>
      <c r="U37" s="2079" t="s">
        <v>1771</v>
      </c>
      <c r="V37" s="1550"/>
      <c r="W37" s="1436" t="str">
        <f t="shared" si="0"/>
        <v/>
      </c>
      <c r="AA37" s="2033"/>
      <c r="AB37" s="2033"/>
      <c r="AC37" s="2033"/>
      <c r="AD37" s="2033"/>
      <c r="AE37" s="2033"/>
      <c r="AF37" s="2033"/>
      <c r="AG37" s="2033"/>
      <c r="AH37" s="2033"/>
      <c r="AI37" s="2033"/>
      <c r="AJ37" s="2033"/>
      <c r="AK37" s="2033"/>
    </row>
    <row r="38" spans="1:37" ht="13" x14ac:dyDescent="0.3">
      <c r="A38" s="2033"/>
      <c r="B38" s="1966"/>
      <c r="C38" s="2020"/>
      <c r="D38" s="1969"/>
      <c r="E38" s="1969"/>
      <c r="F38" s="1969"/>
      <c r="G38" s="1969"/>
      <c r="H38" s="1969"/>
      <c r="I38" s="1969"/>
      <c r="J38" s="1969"/>
      <c r="K38" s="1969"/>
      <c r="L38" s="1969"/>
      <c r="M38" s="2066" t="str">
        <f>C29</f>
        <v xml:space="preserve">2024/25 </v>
      </c>
      <c r="N38" s="2021">
        <f>F29</f>
        <v>0</v>
      </c>
      <c r="O38" s="2022"/>
      <c r="P38" s="2023">
        <f>H29+J29+L29+N29+P29</f>
        <v>0</v>
      </c>
      <c r="Q38" s="2024">
        <f>N38-P38</f>
        <v>0</v>
      </c>
      <c r="R38" s="1969"/>
      <c r="S38" s="2033"/>
      <c r="T38" s="2033"/>
      <c r="U38" s="2079" t="s">
        <v>1772</v>
      </c>
      <c r="V38" s="1550"/>
      <c r="W38" s="1436" t="str">
        <f t="shared" si="0"/>
        <v/>
      </c>
      <c r="AA38" s="2033"/>
      <c r="AB38" s="2033"/>
      <c r="AC38" s="2033"/>
      <c r="AD38" s="2033"/>
      <c r="AE38" s="2033"/>
      <c r="AF38" s="2033"/>
      <c r="AG38" s="2033"/>
      <c r="AH38" s="2033"/>
      <c r="AI38" s="2033"/>
      <c r="AJ38" s="2033"/>
      <c r="AK38" s="2033"/>
    </row>
    <row r="39" spans="1:37" ht="13" x14ac:dyDescent="0.3">
      <c r="A39" s="2033"/>
      <c r="B39" s="1966"/>
      <c r="C39" s="2020"/>
      <c r="D39" s="1969"/>
      <c r="E39" s="1969"/>
      <c r="F39" s="1969"/>
      <c r="G39" s="1969"/>
      <c r="H39" s="1969"/>
      <c r="I39" s="1969"/>
      <c r="J39" s="1969"/>
      <c r="K39" s="1969"/>
      <c r="L39" s="1969"/>
      <c r="M39" s="2066" t="str">
        <f>C30</f>
        <v xml:space="preserve">2025/26 </v>
      </c>
      <c r="N39" s="2021">
        <f>F30</f>
        <v>0</v>
      </c>
      <c r="O39" s="2022"/>
      <c r="P39" s="2023">
        <f>H30+J30+L30+N30+P30</f>
        <v>0</v>
      </c>
      <c r="Q39" s="2024">
        <f>N39-P39</f>
        <v>0</v>
      </c>
      <c r="R39" s="1969"/>
      <c r="S39" s="2033"/>
      <c r="T39" s="2033"/>
      <c r="U39" s="2079" t="s">
        <v>1773</v>
      </c>
      <c r="V39" s="1550"/>
      <c r="W39" s="1436" t="str">
        <f t="shared" si="0"/>
        <v/>
      </c>
      <c r="AA39" s="2033"/>
      <c r="AB39" s="2033"/>
      <c r="AC39" s="2033"/>
      <c r="AD39" s="2033"/>
      <c r="AE39" s="2033"/>
      <c r="AF39" s="2033"/>
      <c r="AG39" s="2033"/>
      <c r="AH39" s="2033"/>
      <c r="AI39" s="2033"/>
      <c r="AJ39" s="2033"/>
      <c r="AK39" s="2033"/>
    </row>
    <row r="40" spans="1:37" ht="17.25" customHeight="1" x14ac:dyDescent="0.3">
      <c r="A40" s="2033"/>
      <c r="B40" s="1966"/>
      <c r="C40" s="1966"/>
      <c r="D40" s="1966"/>
      <c r="E40" s="2067"/>
      <c r="F40" s="2067"/>
      <c r="G40" s="2067"/>
      <c r="H40" s="2067"/>
      <c r="I40" s="2067"/>
      <c r="J40" s="2067"/>
      <c r="K40" s="2067"/>
      <c r="L40" s="2067"/>
      <c r="M40" s="2068" t="s">
        <v>2409</v>
      </c>
      <c r="N40" s="2096">
        <f>SUM(N37:N39)</f>
        <v>0</v>
      </c>
      <c r="O40" s="2097"/>
      <c r="P40" s="2096">
        <f>SUM(P37:P39)</f>
        <v>0</v>
      </c>
      <c r="Q40" s="2098">
        <f>SUM(Q37:Q39)</f>
        <v>0</v>
      </c>
      <c r="R40" s="1969"/>
      <c r="S40" s="2033"/>
      <c r="T40" s="2033"/>
      <c r="U40" s="2079" t="s">
        <v>1781</v>
      </c>
      <c r="V40" s="1550"/>
      <c r="W40" s="1436" t="str">
        <f t="shared" si="0"/>
        <v/>
      </c>
      <c r="AA40" s="2033"/>
      <c r="AB40" s="2033"/>
      <c r="AC40" s="2033"/>
      <c r="AD40" s="2033"/>
      <c r="AE40" s="2033"/>
      <c r="AF40" s="2033"/>
      <c r="AG40" s="2033"/>
      <c r="AH40" s="2033"/>
      <c r="AI40" s="2033"/>
      <c r="AJ40" s="2033"/>
      <c r="AK40" s="2033"/>
    </row>
    <row r="41" spans="1:37" ht="19.5" customHeight="1" x14ac:dyDescent="0.35">
      <c r="A41" s="2033"/>
      <c r="B41" s="1966"/>
      <c r="C41" s="2015" t="s">
        <v>1345</v>
      </c>
      <c r="D41" s="1988"/>
      <c r="E41" s="2025" t="str">
        <f>codes!F4</f>
        <v>CBRE</v>
      </c>
      <c r="F41" s="1969"/>
      <c r="G41" s="1969"/>
      <c r="H41" s="1969"/>
      <c r="I41" s="1969"/>
      <c r="J41" s="1969"/>
      <c r="K41" s="1969"/>
      <c r="L41" s="1969"/>
      <c r="M41" s="1969"/>
      <c r="N41" s="1969"/>
      <c r="O41" s="1969"/>
      <c r="P41" s="1969"/>
      <c r="Q41" s="1969"/>
      <c r="R41" s="1969"/>
      <c r="S41" s="2033"/>
      <c r="T41" s="2033"/>
      <c r="U41" s="2079" t="s">
        <v>1775</v>
      </c>
      <c r="V41" s="1550"/>
      <c r="W41" s="1436" t="str">
        <f t="shared" si="0"/>
        <v/>
      </c>
      <c r="AA41" s="2033"/>
      <c r="AB41" s="2033"/>
      <c r="AC41" s="2033"/>
      <c r="AD41" s="2033"/>
      <c r="AE41" s="2033"/>
      <c r="AF41" s="2033"/>
      <c r="AG41" s="2033"/>
      <c r="AH41" s="2033"/>
      <c r="AI41" s="2033"/>
      <c r="AJ41" s="2033"/>
      <c r="AK41" s="2033"/>
    </row>
    <row r="42" spans="1:37" ht="12" customHeight="1" x14ac:dyDescent="0.3">
      <c r="A42" s="2033"/>
      <c r="B42" s="2033"/>
      <c r="C42" s="2069"/>
      <c r="D42" s="2070"/>
      <c r="E42" s="2071"/>
      <c r="F42" s="2071"/>
      <c r="G42" s="2071"/>
      <c r="H42" s="2071"/>
      <c r="I42" s="2071"/>
      <c r="J42" s="2071"/>
      <c r="K42" s="2071"/>
      <c r="L42" s="2071"/>
      <c r="M42" s="2071"/>
      <c r="N42" s="2071"/>
      <c r="O42" s="2071"/>
      <c r="P42" s="2071"/>
      <c r="Q42" s="2071"/>
      <c r="R42" s="2071"/>
      <c r="S42" s="2071"/>
      <c r="T42" s="2033"/>
      <c r="U42" s="2079" t="s">
        <v>1776</v>
      </c>
      <c r="V42" s="1550"/>
      <c r="W42" s="1436" t="str">
        <f t="shared" si="0"/>
        <v/>
      </c>
      <c r="AA42" s="2033"/>
      <c r="AB42" s="2033"/>
      <c r="AC42" s="2033"/>
      <c r="AD42" s="2033"/>
      <c r="AE42" s="2033"/>
      <c r="AF42" s="2033"/>
      <c r="AG42" s="2033"/>
      <c r="AH42" s="2033"/>
      <c r="AI42" s="2033"/>
      <c r="AJ42" s="2033"/>
      <c r="AK42" s="2033"/>
    </row>
    <row r="43" spans="1:37" ht="14.25" customHeight="1" x14ac:dyDescent="0.3">
      <c r="A43" s="2033"/>
      <c r="B43" s="2033"/>
      <c r="C43" s="2069"/>
      <c r="D43" s="2070"/>
      <c r="E43" s="2071"/>
      <c r="F43" s="2071"/>
      <c r="G43" s="2071"/>
      <c r="H43" s="2071"/>
      <c r="I43" s="2071"/>
      <c r="J43" s="2071"/>
      <c r="K43" s="2071"/>
      <c r="L43" s="2071"/>
      <c r="M43" s="2071"/>
      <c r="N43" s="2071"/>
      <c r="O43" s="2071"/>
      <c r="P43" s="2071"/>
      <c r="Q43" s="2071"/>
      <c r="R43" s="2071"/>
      <c r="S43" s="2071"/>
      <c r="T43" s="2033"/>
      <c r="U43" s="2079" t="s">
        <v>1777</v>
      </c>
      <c r="V43" s="1550"/>
      <c r="W43" s="1436" t="str">
        <f t="shared" si="0"/>
        <v/>
      </c>
      <c r="AA43" s="2033"/>
      <c r="AB43" s="2033"/>
      <c r="AC43" s="2033"/>
      <c r="AD43" s="2033"/>
      <c r="AE43" s="2033"/>
      <c r="AF43" s="2033"/>
      <c r="AG43" s="2033"/>
      <c r="AH43" s="2033"/>
      <c r="AI43" s="2033"/>
      <c r="AJ43" s="2033"/>
      <c r="AK43" s="2033"/>
    </row>
    <row r="44" spans="1:37" ht="13" x14ac:dyDescent="0.3">
      <c r="A44" s="2035"/>
      <c r="B44" s="2033"/>
      <c r="C44" s="2033"/>
      <c r="D44" s="2072"/>
      <c r="E44" s="2073"/>
      <c r="F44" s="2073"/>
      <c r="G44" s="2073"/>
      <c r="H44" s="2073"/>
      <c r="I44" s="2073"/>
      <c r="J44" s="2073"/>
      <c r="K44" s="2073"/>
      <c r="L44" s="2073"/>
      <c r="M44" s="2073"/>
      <c r="N44" s="2073"/>
      <c r="O44" s="2073"/>
      <c r="P44" s="2073"/>
      <c r="Q44" s="2071"/>
      <c r="R44" s="2071"/>
      <c r="S44" s="2071"/>
      <c r="T44" s="2033"/>
      <c r="U44" s="2079" t="s">
        <v>1778</v>
      </c>
      <c r="V44" s="1550"/>
      <c r="W44" s="1436" t="str">
        <f t="shared" si="0"/>
        <v/>
      </c>
      <c r="AA44" s="2033"/>
      <c r="AB44" s="2033"/>
      <c r="AC44" s="2033"/>
      <c r="AD44" s="2033"/>
      <c r="AE44" s="2033"/>
      <c r="AF44" s="2033"/>
      <c r="AG44" s="2033"/>
      <c r="AH44" s="2033"/>
      <c r="AI44" s="2033"/>
      <c r="AJ44" s="2033"/>
      <c r="AK44" s="2033"/>
    </row>
    <row r="45" spans="1:37" x14ac:dyDescent="0.25">
      <c r="A45" s="2033"/>
      <c r="B45" s="2033"/>
      <c r="C45" s="2033"/>
      <c r="D45" s="2071"/>
      <c r="E45" s="2071"/>
      <c r="F45" s="2071"/>
      <c r="G45" s="2071"/>
      <c r="H45" s="2071"/>
      <c r="I45" s="2071"/>
      <c r="J45" s="2071"/>
      <c r="K45" s="2071"/>
      <c r="L45" s="2071"/>
      <c r="M45" s="2071"/>
      <c r="N45" s="2071"/>
      <c r="O45" s="2071"/>
      <c r="P45" s="2071"/>
      <c r="Q45" s="2071"/>
      <c r="R45" s="2071"/>
      <c r="S45" s="2071"/>
      <c r="T45" s="2033"/>
      <c r="U45" s="2079" t="s">
        <v>1779</v>
      </c>
      <c r="V45" s="1550"/>
      <c r="W45" s="1436" t="str">
        <f t="shared" si="0"/>
        <v/>
      </c>
      <c r="AA45" s="2033"/>
      <c r="AB45" s="2033"/>
      <c r="AC45" s="2033"/>
      <c r="AD45" s="2033"/>
      <c r="AE45" s="2033"/>
      <c r="AF45" s="2033"/>
      <c r="AG45" s="2033"/>
      <c r="AH45" s="2033"/>
      <c r="AI45" s="2033"/>
      <c r="AJ45" s="2033"/>
      <c r="AK45" s="2033"/>
    </row>
    <row r="46" spans="1:37" x14ac:dyDescent="0.25">
      <c r="A46" s="2033"/>
      <c r="B46" s="2033"/>
      <c r="C46" s="2033"/>
      <c r="D46" s="2033"/>
      <c r="E46" s="2033"/>
      <c r="F46" s="2033"/>
      <c r="G46" s="2033"/>
      <c r="H46" s="2033"/>
      <c r="I46" s="2033"/>
      <c r="J46" s="2033"/>
      <c r="K46" s="2033"/>
      <c r="L46" s="2033"/>
      <c r="M46" s="2033"/>
      <c r="N46" s="2033"/>
      <c r="O46" s="2033"/>
      <c r="P46" s="2033"/>
      <c r="Q46" s="2033"/>
      <c r="R46" s="2071"/>
      <c r="S46" s="2033"/>
      <c r="T46" s="2033"/>
      <c r="U46" s="2079" t="s">
        <v>1780</v>
      </c>
      <c r="V46" s="1550"/>
      <c r="W46" s="1436" t="str">
        <f t="shared" si="0"/>
        <v/>
      </c>
      <c r="AA46" s="2033"/>
      <c r="AB46" s="2033"/>
      <c r="AC46" s="2033"/>
      <c r="AD46" s="2033"/>
      <c r="AE46" s="2033"/>
      <c r="AF46" s="2033"/>
      <c r="AG46" s="2033"/>
      <c r="AH46" s="2033"/>
      <c r="AI46" s="2033"/>
      <c r="AJ46" s="2033"/>
      <c r="AK46" s="2033"/>
    </row>
    <row r="47" spans="1:37" x14ac:dyDescent="0.25">
      <c r="A47" s="2033"/>
      <c r="B47" s="2033"/>
      <c r="C47" s="2033"/>
      <c r="D47" s="2033"/>
      <c r="E47" s="2033"/>
      <c r="F47" s="2033"/>
      <c r="G47" s="2033"/>
      <c r="H47" s="2033"/>
      <c r="I47" s="2033"/>
      <c r="J47" s="2033"/>
      <c r="K47" s="2033"/>
      <c r="L47" s="2033"/>
      <c r="M47" s="2033"/>
      <c r="N47" s="2033"/>
      <c r="O47" s="2033"/>
      <c r="P47" s="2033"/>
      <c r="Q47" s="2033"/>
      <c r="R47" s="2071"/>
      <c r="S47" s="2033"/>
      <c r="T47" s="2033"/>
      <c r="U47" s="2079" t="s">
        <v>1788</v>
      </c>
      <c r="V47" s="1550"/>
      <c r="W47" s="1436" t="str">
        <f t="shared" si="0"/>
        <v/>
      </c>
      <c r="AA47" s="2033"/>
      <c r="AB47" s="2033"/>
      <c r="AC47" s="2033"/>
      <c r="AD47" s="2033"/>
      <c r="AE47" s="2033"/>
      <c r="AF47" s="2033"/>
      <c r="AG47" s="2033"/>
      <c r="AH47" s="2033"/>
      <c r="AI47" s="2033"/>
      <c r="AJ47" s="2033"/>
      <c r="AK47" s="2033"/>
    </row>
    <row r="48" spans="1:37" x14ac:dyDescent="0.25">
      <c r="A48" s="2033"/>
      <c r="B48" s="2033"/>
      <c r="C48" s="2071"/>
      <c r="D48" s="2033"/>
      <c r="E48" s="2033"/>
      <c r="F48" s="2033"/>
      <c r="G48" s="2033"/>
      <c r="H48" s="2033"/>
      <c r="I48" s="2033"/>
      <c r="J48" s="2033"/>
      <c r="K48" s="2033"/>
      <c r="L48" s="2033"/>
      <c r="M48" s="2033"/>
      <c r="N48" s="2033"/>
      <c r="O48" s="2033"/>
      <c r="P48" s="2033"/>
      <c r="Q48" s="2033"/>
      <c r="R48" s="2071"/>
      <c r="S48" s="2033"/>
      <c r="T48" s="2033"/>
      <c r="U48" s="2079" t="s">
        <v>1782</v>
      </c>
      <c r="V48" s="1550"/>
      <c r="W48" s="1436" t="str">
        <f t="shared" si="0"/>
        <v/>
      </c>
      <c r="AA48" s="2033"/>
      <c r="AB48" s="2033"/>
      <c r="AC48" s="2033"/>
      <c r="AD48" s="2033"/>
      <c r="AE48" s="2033"/>
      <c r="AF48" s="2033"/>
      <c r="AG48" s="2033"/>
      <c r="AH48" s="2033"/>
      <c r="AI48" s="2033"/>
      <c r="AJ48" s="2033"/>
      <c r="AK48" s="2033"/>
    </row>
    <row r="49" spans="1:37" ht="39" customHeight="1" x14ac:dyDescent="0.25">
      <c r="A49" s="2033"/>
      <c r="B49" s="2033"/>
      <c r="C49" s="2027"/>
      <c r="D49" s="2033"/>
      <c r="E49" s="2033"/>
      <c r="F49" s="2033"/>
      <c r="G49" s="2033"/>
      <c r="H49" s="2033"/>
      <c r="I49" s="2033"/>
      <c r="J49" s="2033"/>
      <c r="K49" s="2033"/>
      <c r="L49" s="2033"/>
      <c r="M49" s="2033"/>
      <c r="N49" s="2033"/>
      <c r="O49" s="2033"/>
      <c r="P49" s="2033"/>
      <c r="Q49" s="2033"/>
      <c r="R49" s="2033"/>
      <c r="S49" s="2033"/>
      <c r="T49" s="2033"/>
      <c r="U49" s="2079" t="s">
        <v>1783</v>
      </c>
      <c r="V49" s="1550"/>
      <c r="W49" s="1436" t="str">
        <f t="shared" si="0"/>
        <v/>
      </c>
      <c r="AA49" s="2033"/>
      <c r="AB49" s="2033"/>
      <c r="AC49" s="2033"/>
      <c r="AD49" s="2033"/>
      <c r="AE49" s="2033"/>
      <c r="AF49" s="2033"/>
      <c r="AG49" s="2033"/>
      <c r="AH49" s="2033"/>
      <c r="AI49" s="2033"/>
      <c r="AJ49" s="2033"/>
      <c r="AK49" s="2033"/>
    </row>
    <row r="50" spans="1:37" x14ac:dyDescent="0.25">
      <c r="A50" s="2033"/>
      <c r="B50" s="2033"/>
      <c r="C50" s="2027"/>
      <c r="D50" s="2033"/>
      <c r="E50" s="2033"/>
      <c r="F50" s="2033"/>
      <c r="G50" s="2033"/>
      <c r="H50" s="2033"/>
      <c r="I50" s="2033"/>
      <c r="J50" s="2033"/>
      <c r="K50" s="2033"/>
      <c r="L50" s="2033"/>
      <c r="M50" s="2033"/>
      <c r="N50" s="2033"/>
      <c r="O50" s="2033"/>
      <c r="P50" s="2033"/>
      <c r="Q50" s="2033"/>
      <c r="R50" s="2033"/>
      <c r="S50" s="2033"/>
      <c r="T50" s="2033"/>
      <c r="U50" s="2079" t="s">
        <v>1784</v>
      </c>
      <c r="V50" s="1550"/>
      <c r="W50" s="1436" t="str">
        <f t="shared" si="0"/>
        <v/>
      </c>
      <c r="AA50" s="2033"/>
      <c r="AB50" s="2033"/>
      <c r="AC50" s="2033"/>
      <c r="AD50" s="2033"/>
      <c r="AE50" s="2033"/>
      <c r="AF50" s="2033"/>
      <c r="AG50" s="2033"/>
      <c r="AH50" s="2033"/>
      <c r="AI50" s="2033"/>
      <c r="AJ50" s="2033"/>
      <c r="AK50" s="2033"/>
    </row>
    <row r="51" spans="1:37" x14ac:dyDescent="0.25">
      <c r="A51" s="2033"/>
      <c r="B51" s="2033"/>
      <c r="C51" s="2027"/>
      <c r="D51" s="2033"/>
      <c r="E51" s="2033"/>
      <c r="F51" s="2033"/>
      <c r="G51" s="2033"/>
      <c r="H51" s="2033"/>
      <c r="I51" s="2033"/>
      <c r="J51" s="2033"/>
      <c r="K51" s="2033"/>
      <c r="L51" s="2033"/>
      <c r="M51" s="2033"/>
      <c r="N51" s="2033"/>
      <c r="O51" s="2033"/>
      <c r="P51" s="2033"/>
      <c r="Q51" s="2033"/>
      <c r="R51" s="2033"/>
      <c r="S51" s="2033"/>
      <c r="T51" s="2033"/>
      <c r="U51" s="2079" t="s">
        <v>1785</v>
      </c>
      <c r="V51" s="1550"/>
      <c r="W51" s="1436" t="str">
        <f t="shared" si="0"/>
        <v/>
      </c>
      <c r="AA51" s="2033"/>
      <c r="AB51" s="2033"/>
      <c r="AC51" s="2033"/>
      <c r="AD51" s="2033"/>
      <c r="AE51" s="2033"/>
      <c r="AF51" s="2033"/>
      <c r="AG51" s="2033"/>
      <c r="AH51" s="2033"/>
      <c r="AI51" s="2033"/>
      <c r="AJ51" s="2033"/>
      <c r="AK51" s="2033"/>
    </row>
    <row r="52" spans="1:37" x14ac:dyDescent="0.25">
      <c r="A52" s="2033"/>
      <c r="B52" s="2033"/>
      <c r="C52" s="2027"/>
      <c r="D52" s="2033"/>
      <c r="E52" s="2033"/>
      <c r="F52" s="2033"/>
      <c r="G52" s="2033"/>
      <c r="H52" s="2033"/>
      <c r="I52" s="2033"/>
      <c r="J52" s="2033"/>
      <c r="K52" s="2033"/>
      <c r="L52" s="2033"/>
      <c r="M52" s="2033"/>
      <c r="N52" s="2033"/>
      <c r="O52" s="2033"/>
      <c r="P52" s="2033"/>
      <c r="Q52" s="2033"/>
      <c r="R52" s="2033"/>
      <c r="S52" s="2033"/>
      <c r="T52" s="2033"/>
      <c r="U52" s="2079" t="s">
        <v>1786</v>
      </c>
      <c r="V52" s="1550"/>
      <c r="W52" s="1436" t="str">
        <f t="shared" si="0"/>
        <v/>
      </c>
      <c r="AA52" s="2033"/>
      <c r="AB52" s="2033"/>
      <c r="AC52" s="2033"/>
      <c r="AD52" s="2033"/>
      <c r="AE52" s="2033"/>
      <c r="AF52" s="2033"/>
      <c r="AG52" s="2033"/>
      <c r="AH52" s="2033"/>
      <c r="AI52" s="2033"/>
      <c r="AJ52" s="2033"/>
      <c r="AK52" s="2033"/>
    </row>
    <row r="53" spans="1:37" x14ac:dyDescent="0.25">
      <c r="A53" s="2033"/>
      <c r="B53" s="2033"/>
      <c r="C53" s="2027"/>
      <c r="D53" s="2033"/>
      <c r="E53" s="2033"/>
      <c r="F53" s="2033"/>
      <c r="G53" s="2033"/>
      <c r="H53" s="2033"/>
      <c r="I53" s="2033"/>
      <c r="J53" s="2033"/>
      <c r="K53" s="2033"/>
      <c r="L53" s="2033"/>
      <c r="M53" s="2033"/>
      <c r="N53" s="2033"/>
      <c r="O53" s="2033"/>
      <c r="P53" s="2033"/>
      <c r="Q53" s="2033"/>
      <c r="R53" s="2033"/>
      <c r="S53" s="2033"/>
      <c r="T53" s="2033"/>
      <c r="U53" s="2079" t="s">
        <v>1787</v>
      </c>
      <c r="V53" s="1550"/>
      <c r="W53" s="1436" t="str">
        <f t="shared" si="0"/>
        <v/>
      </c>
      <c r="AA53" s="2033"/>
      <c r="AB53" s="2033"/>
      <c r="AC53" s="2033"/>
      <c r="AD53" s="2033"/>
      <c r="AE53" s="2033"/>
      <c r="AF53" s="2033"/>
      <c r="AG53" s="2033"/>
      <c r="AH53" s="2033"/>
      <c r="AI53" s="2033"/>
      <c r="AJ53" s="2033"/>
      <c r="AK53" s="2033"/>
    </row>
    <row r="54" spans="1:37" x14ac:dyDescent="0.25">
      <c r="A54" s="2033"/>
      <c r="B54" s="2033"/>
      <c r="C54" s="2027" t="str">
        <f>SUBSTITUTE(C53," | ","()")</f>
        <v/>
      </c>
      <c r="D54" s="2033"/>
      <c r="E54" s="2033"/>
      <c r="F54" s="2033"/>
      <c r="G54" s="2033"/>
      <c r="H54" s="2033"/>
      <c r="I54" s="2033"/>
      <c r="J54" s="2033"/>
      <c r="K54" s="2033"/>
      <c r="L54" s="2033"/>
      <c r="M54" s="2033"/>
      <c r="N54" s="2033"/>
      <c r="O54" s="2033"/>
      <c r="P54" s="2033"/>
      <c r="Q54" s="2033"/>
      <c r="R54" s="2033"/>
      <c r="S54" s="2033"/>
      <c r="T54" s="2033"/>
      <c r="U54" s="2079" t="s">
        <v>1795</v>
      </c>
      <c r="V54" s="1550"/>
      <c r="W54" s="1436" t="str">
        <f t="shared" si="0"/>
        <v/>
      </c>
      <c r="AA54" s="2033"/>
      <c r="AB54" s="2033"/>
      <c r="AC54" s="2033"/>
      <c r="AD54" s="2033"/>
      <c r="AE54" s="2033"/>
      <c r="AF54" s="2033"/>
      <c r="AG54" s="2033"/>
      <c r="AH54" s="2033"/>
      <c r="AI54" s="2033"/>
      <c r="AJ54" s="2033"/>
      <c r="AK54" s="2033"/>
    </row>
    <row r="55" spans="1:37" x14ac:dyDescent="0.25">
      <c r="A55" s="2033"/>
      <c r="B55" s="2033"/>
      <c r="C55" s="2027"/>
      <c r="D55" s="2033"/>
      <c r="E55" s="2033"/>
      <c r="F55" s="2033"/>
      <c r="G55" s="2033"/>
      <c r="H55" s="2033"/>
      <c r="I55" s="2033"/>
      <c r="J55" s="2033"/>
      <c r="K55" s="2033"/>
      <c r="L55" s="2033"/>
      <c r="M55" s="2033"/>
      <c r="N55" s="2033"/>
      <c r="O55" s="2033"/>
      <c r="P55" s="2033"/>
      <c r="Q55" s="2033"/>
      <c r="R55" s="2033"/>
      <c r="S55" s="2033"/>
      <c r="T55" s="2033"/>
      <c r="U55" s="2079" t="s">
        <v>1789</v>
      </c>
      <c r="V55" s="1550"/>
      <c r="W55" s="1436" t="str">
        <f t="shared" si="0"/>
        <v/>
      </c>
      <c r="AA55" s="2033"/>
      <c r="AB55" s="2033"/>
      <c r="AC55" s="2033"/>
      <c r="AD55" s="2033"/>
      <c r="AE55" s="2033"/>
      <c r="AF55" s="2033"/>
      <c r="AG55" s="2033"/>
      <c r="AH55" s="2033"/>
      <c r="AI55" s="2033"/>
      <c r="AJ55" s="2033"/>
      <c r="AK55" s="2033"/>
    </row>
    <row r="56" spans="1:37" x14ac:dyDescent="0.25">
      <c r="A56" s="2033"/>
      <c r="B56" s="2033"/>
      <c r="C56" s="2027"/>
      <c r="D56" s="2033"/>
      <c r="E56" s="2033"/>
      <c r="F56" s="2033"/>
      <c r="G56" s="2033"/>
      <c r="H56" s="2033"/>
      <c r="I56" s="2033"/>
      <c r="J56" s="2033"/>
      <c r="K56" s="2033"/>
      <c r="L56" s="2033"/>
      <c r="M56" s="2033"/>
      <c r="N56" s="2033"/>
      <c r="O56" s="2033"/>
      <c r="P56" s="2033"/>
      <c r="Q56" s="2033"/>
      <c r="R56" s="2033"/>
      <c r="S56" s="2033"/>
      <c r="T56" s="2033"/>
      <c r="U56" s="2079" t="s">
        <v>1790</v>
      </c>
      <c r="V56" s="1550"/>
      <c r="W56" s="1436" t="str">
        <f t="shared" si="0"/>
        <v/>
      </c>
      <c r="AA56" s="2033"/>
      <c r="AB56" s="2033"/>
      <c r="AC56" s="2033"/>
      <c r="AD56" s="2033"/>
      <c r="AE56" s="2033"/>
      <c r="AF56" s="2033"/>
      <c r="AG56" s="2033"/>
      <c r="AH56" s="2033"/>
      <c r="AI56" s="2033"/>
      <c r="AJ56" s="2033"/>
      <c r="AK56" s="2033"/>
    </row>
    <row r="57" spans="1:37" x14ac:dyDescent="0.25">
      <c r="A57" s="2033"/>
      <c r="B57" s="2033"/>
      <c r="C57" s="2027"/>
      <c r="D57" s="2033"/>
      <c r="E57" s="2033"/>
      <c r="F57" s="2033"/>
      <c r="G57" s="2033"/>
      <c r="H57" s="2033"/>
      <c r="I57" s="2033"/>
      <c r="J57" s="2033"/>
      <c r="K57" s="2033"/>
      <c r="L57" s="2033"/>
      <c r="M57" s="2033"/>
      <c r="N57" s="2033"/>
      <c r="O57" s="2033"/>
      <c r="P57" s="2033"/>
      <c r="Q57" s="2033"/>
      <c r="R57" s="2033"/>
      <c r="S57" s="2033"/>
      <c r="T57" s="2033"/>
      <c r="U57" s="2079" t="s">
        <v>1791</v>
      </c>
      <c r="V57" s="1550"/>
      <c r="W57" s="1436" t="str">
        <f t="shared" si="0"/>
        <v/>
      </c>
      <c r="AA57" s="2033"/>
      <c r="AB57" s="2033"/>
      <c r="AC57" s="2033"/>
      <c r="AD57" s="2033"/>
      <c r="AE57" s="2033"/>
      <c r="AF57" s="2033"/>
      <c r="AG57" s="2033"/>
      <c r="AH57" s="2033"/>
      <c r="AI57" s="2033"/>
      <c r="AJ57" s="2033"/>
      <c r="AK57" s="2033"/>
    </row>
    <row r="58" spans="1:37" x14ac:dyDescent="0.25">
      <c r="A58" s="2033"/>
      <c r="B58" s="2033"/>
      <c r="C58" s="2033"/>
      <c r="D58" s="2033"/>
      <c r="E58" s="2033"/>
      <c r="F58" s="2033"/>
      <c r="G58" s="2033"/>
      <c r="H58" s="2033"/>
      <c r="I58" s="2033"/>
      <c r="J58" s="2033"/>
      <c r="K58" s="2033"/>
      <c r="L58" s="2033"/>
      <c r="M58" s="2033"/>
      <c r="N58" s="2033"/>
      <c r="O58" s="2033"/>
      <c r="P58" s="2033"/>
      <c r="Q58" s="2033"/>
      <c r="R58" s="2033"/>
      <c r="S58" s="2033"/>
      <c r="T58" s="2033"/>
      <c r="U58" s="2079" t="s">
        <v>1792</v>
      </c>
      <c r="V58" s="1550"/>
      <c r="W58" s="1436" t="str">
        <f t="shared" si="0"/>
        <v/>
      </c>
      <c r="AA58" s="2033"/>
      <c r="AB58" s="2033"/>
      <c r="AC58" s="2033"/>
      <c r="AD58" s="2033"/>
      <c r="AE58" s="2033"/>
      <c r="AF58" s="2033"/>
      <c r="AG58" s="2033"/>
      <c r="AH58" s="2033"/>
      <c r="AI58" s="2033"/>
      <c r="AJ58" s="2033"/>
      <c r="AK58" s="2033"/>
    </row>
    <row r="59" spans="1:37" x14ac:dyDescent="0.25">
      <c r="A59" s="2033"/>
      <c r="B59" s="2033"/>
      <c r="C59" s="2033"/>
      <c r="D59" s="2033"/>
      <c r="E59" s="2033"/>
      <c r="F59" s="2033"/>
      <c r="G59" s="2033"/>
      <c r="H59" s="2033"/>
      <c r="I59" s="2033"/>
      <c r="J59" s="2033"/>
      <c r="K59" s="2033"/>
      <c r="L59" s="2033"/>
      <c r="M59" s="2033"/>
      <c r="N59" s="2033"/>
      <c r="O59" s="2033"/>
      <c r="P59" s="2033"/>
      <c r="Q59" s="2033"/>
      <c r="R59" s="2033"/>
      <c r="S59" s="2033"/>
      <c r="T59" s="2033"/>
      <c r="U59" s="2079" t="s">
        <v>1793</v>
      </c>
      <c r="V59" s="1550"/>
      <c r="W59" s="1436" t="str">
        <f t="shared" si="0"/>
        <v/>
      </c>
      <c r="AA59" s="2033"/>
      <c r="AB59" s="2033"/>
      <c r="AC59" s="2033"/>
      <c r="AD59" s="2033"/>
      <c r="AE59" s="2033"/>
      <c r="AF59" s="2033"/>
      <c r="AG59" s="2033"/>
      <c r="AH59" s="2033"/>
      <c r="AI59" s="2033"/>
      <c r="AJ59" s="2033"/>
      <c r="AK59" s="2033"/>
    </row>
    <row r="60" spans="1:37" x14ac:dyDescent="0.25">
      <c r="A60" s="2033"/>
      <c r="B60" s="2033"/>
      <c r="C60" s="2033"/>
      <c r="D60" s="2033"/>
      <c r="E60" s="2033"/>
      <c r="F60" s="2033"/>
      <c r="G60" s="2033"/>
      <c r="H60" s="2033"/>
      <c r="I60" s="2033"/>
      <c r="J60" s="2033"/>
      <c r="K60" s="2033"/>
      <c r="L60" s="2033"/>
      <c r="M60" s="2033"/>
      <c r="N60" s="2033"/>
      <c r="O60" s="2033"/>
      <c r="P60" s="2033"/>
      <c r="Q60" s="2033"/>
      <c r="R60" s="2033"/>
      <c r="S60" s="2033"/>
      <c r="T60" s="2033"/>
      <c r="U60" s="2079" t="s">
        <v>1794</v>
      </c>
      <c r="V60" s="1550"/>
      <c r="W60" s="1436" t="str">
        <f t="shared" si="0"/>
        <v/>
      </c>
      <c r="AA60" s="2033"/>
      <c r="AB60" s="2033"/>
      <c r="AC60" s="2033"/>
      <c r="AD60" s="2033"/>
      <c r="AE60" s="2033"/>
      <c r="AF60" s="2033"/>
      <c r="AG60" s="2033"/>
      <c r="AH60" s="2033"/>
      <c r="AI60" s="2033"/>
      <c r="AJ60" s="2033"/>
      <c r="AK60" s="2033"/>
    </row>
    <row r="61" spans="1:37" x14ac:dyDescent="0.25">
      <c r="A61" s="2033"/>
      <c r="B61" s="2033"/>
      <c r="C61" s="2033"/>
      <c r="D61" s="2033"/>
      <c r="E61" s="2033"/>
      <c r="F61" s="2033"/>
      <c r="G61" s="2033"/>
      <c r="H61" s="2033"/>
      <c r="I61" s="2033"/>
      <c r="J61" s="2033"/>
      <c r="K61" s="2033"/>
      <c r="L61" s="2033"/>
      <c r="M61" s="2033"/>
      <c r="N61" s="2033"/>
      <c r="O61" s="2033"/>
      <c r="P61" s="2033"/>
      <c r="Q61" s="2033"/>
      <c r="R61" s="2033"/>
      <c r="S61" s="2033"/>
      <c r="T61" s="2033"/>
      <c r="U61" s="2079" t="s">
        <v>1806</v>
      </c>
      <c r="V61" s="1550"/>
      <c r="W61" s="1436" t="str">
        <f t="shared" si="0"/>
        <v/>
      </c>
      <c r="AA61" s="2033"/>
      <c r="AB61" s="2033"/>
      <c r="AC61" s="2033"/>
      <c r="AD61" s="2033"/>
      <c r="AE61" s="2033"/>
      <c r="AF61" s="2033"/>
      <c r="AG61" s="2033"/>
      <c r="AH61" s="2033"/>
      <c r="AI61" s="2033"/>
      <c r="AJ61" s="2033"/>
      <c r="AK61" s="2033"/>
    </row>
    <row r="62" spans="1:37" x14ac:dyDescent="0.25">
      <c r="A62" s="2033"/>
      <c r="B62" s="2033"/>
      <c r="C62" s="2033"/>
      <c r="D62" s="2033"/>
      <c r="E62" s="2033"/>
      <c r="F62" s="2033"/>
      <c r="G62" s="2033"/>
      <c r="H62" s="2033"/>
      <c r="I62" s="2033"/>
      <c r="J62" s="2033"/>
      <c r="K62" s="2033"/>
      <c r="L62" s="2033"/>
      <c r="M62" s="2033"/>
      <c r="N62" s="2033"/>
      <c r="O62" s="2033"/>
      <c r="P62" s="2033"/>
      <c r="Q62" s="2033"/>
      <c r="R62" s="2033"/>
      <c r="S62" s="2033"/>
      <c r="T62" s="2033"/>
      <c r="U62" s="2079" t="s">
        <v>1796</v>
      </c>
      <c r="V62" s="1550"/>
      <c r="W62" s="1436" t="str">
        <f t="shared" si="0"/>
        <v/>
      </c>
      <c r="AA62" s="2033"/>
      <c r="AB62" s="2033"/>
      <c r="AC62" s="2033"/>
      <c r="AD62" s="2033"/>
      <c r="AE62" s="2033"/>
      <c r="AF62" s="2033"/>
      <c r="AG62" s="2033"/>
      <c r="AH62" s="2033"/>
      <c r="AI62" s="2033"/>
      <c r="AJ62" s="2033"/>
      <c r="AK62" s="2033"/>
    </row>
    <row r="63" spans="1:37" x14ac:dyDescent="0.25">
      <c r="A63" s="2033"/>
      <c r="B63" s="2033"/>
      <c r="C63" s="2033"/>
      <c r="D63" s="2033"/>
      <c r="E63" s="2033"/>
      <c r="F63" s="2033"/>
      <c r="G63" s="2033"/>
      <c r="H63" s="2033"/>
      <c r="I63" s="2033"/>
      <c r="J63" s="2033"/>
      <c r="K63" s="2033"/>
      <c r="L63" s="2033"/>
      <c r="M63" s="2033"/>
      <c r="N63" s="2033"/>
      <c r="O63" s="2033"/>
      <c r="P63" s="2033"/>
      <c r="Q63" s="2033"/>
      <c r="R63" s="2033"/>
      <c r="S63" s="2033"/>
      <c r="T63" s="2033"/>
      <c r="U63" s="2079" t="s">
        <v>1798</v>
      </c>
      <c r="V63" s="1550"/>
      <c r="W63" s="1436" t="str">
        <f t="shared" si="0"/>
        <v/>
      </c>
      <c r="AA63" s="2033"/>
      <c r="AB63" s="2033"/>
      <c r="AC63" s="2033"/>
      <c r="AD63" s="2033"/>
      <c r="AE63" s="2033"/>
      <c r="AF63" s="2033"/>
      <c r="AG63" s="2033"/>
      <c r="AH63" s="2033"/>
      <c r="AI63" s="2033"/>
      <c r="AJ63" s="2033"/>
      <c r="AK63" s="2033"/>
    </row>
    <row r="64" spans="1:37" x14ac:dyDescent="0.25">
      <c r="A64" s="2033"/>
      <c r="B64" s="2033"/>
      <c r="C64" s="2033"/>
      <c r="D64" s="2033"/>
      <c r="E64" s="2033"/>
      <c r="F64" s="2033"/>
      <c r="G64" s="2033"/>
      <c r="H64" s="2033"/>
      <c r="I64" s="2033"/>
      <c r="J64" s="2033"/>
      <c r="K64" s="2033"/>
      <c r="L64" s="2033"/>
      <c r="M64" s="2033"/>
      <c r="N64" s="2033"/>
      <c r="O64" s="2033"/>
      <c r="P64" s="2033"/>
      <c r="Q64" s="2033"/>
      <c r="R64" s="2033"/>
      <c r="S64" s="2033"/>
      <c r="T64" s="2033"/>
      <c r="U64" s="2079" t="s">
        <v>1807</v>
      </c>
      <c r="V64" s="1550"/>
      <c r="W64" s="1436" t="str">
        <f t="shared" si="0"/>
        <v/>
      </c>
      <c r="AA64" s="2033"/>
      <c r="AB64" s="2033"/>
      <c r="AC64" s="2033"/>
      <c r="AD64" s="2033"/>
      <c r="AE64" s="2033"/>
      <c r="AF64" s="2033"/>
      <c r="AG64" s="2033"/>
      <c r="AH64" s="2033"/>
      <c r="AI64" s="2033"/>
      <c r="AJ64" s="2033"/>
      <c r="AK64" s="2033"/>
    </row>
    <row r="65" spans="1:37" x14ac:dyDescent="0.25">
      <c r="A65" s="2033"/>
      <c r="B65" s="2033"/>
      <c r="C65" s="2033"/>
      <c r="D65" s="2033"/>
      <c r="E65" s="2033"/>
      <c r="F65" s="2033"/>
      <c r="G65" s="2033"/>
      <c r="H65" s="2033"/>
      <c r="I65" s="2033"/>
      <c r="J65" s="2033"/>
      <c r="K65" s="2033"/>
      <c r="L65" s="2033"/>
      <c r="M65" s="2033"/>
      <c r="N65" s="2033"/>
      <c r="O65" s="2033"/>
      <c r="P65" s="2033"/>
      <c r="Q65" s="2033"/>
      <c r="R65" s="2033"/>
      <c r="S65" s="2033"/>
      <c r="T65" s="2033"/>
      <c r="U65" s="2079" t="s">
        <v>1797</v>
      </c>
      <c r="V65" s="1550"/>
      <c r="W65" s="1436" t="str">
        <f t="shared" si="0"/>
        <v/>
      </c>
      <c r="AA65" s="2033"/>
      <c r="AB65" s="2033"/>
      <c r="AC65" s="2033"/>
      <c r="AD65" s="2033"/>
      <c r="AE65" s="2033"/>
      <c r="AF65" s="2033"/>
      <c r="AG65" s="2033"/>
      <c r="AH65" s="2033"/>
      <c r="AI65" s="2033"/>
      <c r="AJ65" s="2033"/>
      <c r="AK65" s="2033"/>
    </row>
    <row r="66" spans="1:37" x14ac:dyDescent="0.25">
      <c r="A66" s="2033"/>
      <c r="B66" s="2033"/>
      <c r="C66" s="2033"/>
      <c r="D66" s="2033"/>
      <c r="E66" s="2033"/>
      <c r="F66" s="2033"/>
      <c r="G66" s="2033"/>
      <c r="H66" s="2033"/>
      <c r="I66" s="2033"/>
      <c r="J66" s="2033"/>
      <c r="K66" s="2033"/>
      <c r="L66" s="2033"/>
      <c r="M66" s="2033"/>
      <c r="N66" s="2033"/>
      <c r="O66" s="2033"/>
      <c r="P66" s="2033"/>
      <c r="Q66" s="2033"/>
      <c r="R66" s="2033"/>
      <c r="S66" s="2033"/>
      <c r="T66" s="2033"/>
      <c r="U66" s="2079" t="s">
        <v>1799</v>
      </c>
      <c r="V66" s="1550"/>
      <c r="W66" s="1436" t="str">
        <f t="shared" si="0"/>
        <v/>
      </c>
      <c r="AA66" s="2033"/>
      <c r="AB66" s="2033"/>
      <c r="AC66" s="2033"/>
      <c r="AD66" s="2033"/>
      <c r="AE66" s="2033"/>
      <c r="AF66" s="2033"/>
      <c r="AG66" s="2033"/>
      <c r="AH66" s="2033"/>
      <c r="AI66" s="2033"/>
      <c r="AJ66" s="2033"/>
      <c r="AK66" s="2033"/>
    </row>
    <row r="67" spans="1:37" x14ac:dyDescent="0.25">
      <c r="A67" s="2033"/>
      <c r="B67" s="2033"/>
      <c r="C67" s="2033"/>
      <c r="D67" s="2033"/>
      <c r="E67" s="2033"/>
      <c r="F67" s="2033"/>
      <c r="G67" s="2033"/>
      <c r="H67" s="2033"/>
      <c r="I67" s="2033"/>
      <c r="J67" s="2033"/>
      <c r="K67" s="2033"/>
      <c r="L67" s="2033"/>
      <c r="M67" s="2033"/>
      <c r="N67" s="2033"/>
      <c r="O67" s="2033"/>
      <c r="P67" s="2033"/>
      <c r="Q67" s="2033"/>
      <c r="R67" s="2033"/>
      <c r="S67" s="2033"/>
      <c r="T67" s="2033"/>
      <c r="U67" s="2079" t="s">
        <v>1808</v>
      </c>
      <c r="V67" s="1550"/>
      <c r="W67" s="1436" t="str">
        <f t="shared" si="0"/>
        <v/>
      </c>
      <c r="AA67" s="2033"/>
      <c r="AB67" s="2033"/>
      <c r="AC67" s="2033"/>
      <c r="AD67" s="2033"/>
      <c r="AE67" s="2033"/>
      <c r="AF67" s="2033"/>
      <c r="AG67" s="2033"/>
      <c r="AH67" s="2033"/>
      <c r="AI67" s="2033"/>
      <c r="AJ67" s="2033"/>
      <c r="AK67" s="2033"/>
    </row>
    <row r="68" spans="1:37" x14ac:dyDescent="0.25">
      <c r="A68" s="2033"/>
      <c r="B68" s="2033"/>
      <c r="C68" s="2033"/>
      <c r="D68" s="2033"/>
      <c r="E68" s="2033"/>
      <c r="F68" s="2033"/>
      <c r="G68" s="2033"/>
      <c r="H68" s="2033"/>
      <c r="I68" s="2033"/>
      <c r="J68" s="2033"/>
      <c r="K68" s="2033"/>
      <c r="L68" s="2033"/>
      <c r="M68" s="2033"/>
      <c r="N68" s="2033"/>
      <c r="O68" s="2033"/>
      <c r="P68" s="2033"/>
      <c r="Q68" s="2033"/>
      <c r="R68" s="2033"/>
      <c r="S68" s="2033"/>
      <c r="T68" s="2033"/>
      <c r="U68" s="2079" t="s">
        <v>1800</v>
      </c>
      <c r="V68" s="1550"/>
      <c r="W68" s="1436" t="str">
        <f t="shared" si="0"/>
        <v/>
      </c>
      <c r="AA68" s="2033"/>
      <c r="AB68" s="2033"/>
      <c r="AC68" s="2033"/>
      <c r="AD68" s="2033"/>
      <c r="AE68" s="2033"/>
      <c r="AF68" s="2033"/>
      <c r="AG68" s="2033"/>
      <c r="AH68" s="2033"/>
      <c r="AI68" s="2033"/>
      <c r="AJ68" s="2033"/>
      <c r="AK68" s="2033"/>
    </row>
    <row r="69" spans="1:37" x14ac:dyDescent="0.25">
      <c r="A69" s="2033"/>
      <c r="B69" s="2033"/>
      <c r="C69" s="2033"/>
      <c r="D69" s="2033"/>
      <c r="E69" s="2033"/>
      <c r="F69" s="2033"/>
      <c r="G69" s="2033"/>
      <c r="H69" s="2033"/>
      <c r="I69" s="2033"/>
      <c r="J69" s="2033"/>
      <c r="K69" s="2033"/>
      <c r="L69" s="2033"/>
      <c r="M69" s="2033"/>
      <c r="N69" s="2033"/>
      <c r="O69" s="2033"/>
      <c r="P69" s="2033"/>
      <c r="Q69" s="2033"/>
      <c r="R69" s="2033"/>
      <c r="S69" s="2033"/>
      <c r="T69" s="2033"/>
      <c r="U69" s="2079" t="s">
        <v>1801</v>
      </c>
      <c r="V69" s="1550"/>
      <c r="W69" s="1436" t="str">
        <f t="shared" si="0"/>
        <v/>
      </c>
      <c r="AA69" s="2033"/>
      <c r="AB69" s="2033"/>
      <c r="AC69" s="2033"/>
      <c r="AD69" s="2033"/>
      <c r="AE69" s="2033"/>
      <c r="AF69" s="2033"/>
      <c r="AG69" s="2033"/>
      <c r="AH69" s="2033"/>
      <c r="AI69" s="2033"/>
      <c r="AJ69" s="2033"/>
      <c r="AK69" s="2033"/>
    </row>
    <row r="70" spans="1:37" x14ac:dyDescent="0.25">
      <c r="A70" s="2033"/>
      <c r="B70" s="2033"/>
      <c r="C70" s="2033"/>
      <c r="D70" s="2033"/>
      <c r="E70" s="2033"/>
      <c r="F70" s="2033"/>
      <c r="G70" s="2033"/>
      <c r="H70" s="2033"/>
      <c r="I70" s="2033"/>
      <c r="J70" s="2033"/>
      <c r="K70" s="2033"/>
      <c r="L70" s="2033"/>
      <c r="M70" s="2033"/>
      <c r="N70" s="2033"/>
      <c r="O70" s="2033"/>
      <c r="P70" s="2033"/>
      <c r="Q70" s="2033"/>
      <c r="R70" s="2033"/>
      <c r="S70" s="2033"/>
      <c r="T70" s="2033"/>
      <c r="U70" s="2079" t="s">
        <v>1809</v>
      </c>
      <c r="V70" s="1550"/>
      <c r="W70" s="1436" t="str">
        <f t="shared" si="0"/>
        <v/>
      </c>
      <c r="AA70" s="2033"/>
      <c r="AB70" s="2033"/>
      <c r="AC70" s="2033"/>
      <c r="AD70" s="2033"/>
      <c r="AE70" s="2033"/>
      <c r="AF70" s="2033"/>
      <c r="AG70" s="2033"/>
      <c r="AH70" s="2033"/>
      <c r="AI70" s="2033"/>
      <c r="AJ70" s="2033"/>
      <c r="AK70" s="2033"/>
    </row>
    <row r="71" spans="1:37" x14ac:dyDescent="0.25">
      <c r="A71" s="2033"/>
      <c r="B71" s="2033"/>
      <c r="C71" s="2033"/>
      <c r="D71" s="2033"/>
      <c r="E71" s="2033"/>
      <c r="F71" s="2033"/>
      <c r="G71" s="2033"/>
      <c r="H71" s="2033"/>
      <c r="I71" s="2033"/>
      <c r="J71" s="2033"/>
      <c r="K71" s="2033"/>
      <c r="L71" s="2033"/>
      <c r="M71" s="2033"/>
      <c r="N71" s="2033"/>
      <c r="O71" s="2033"/>
      <c r="P71" s="2033"/>
      <c r="Q71" s="2033"/>
      <c r="R71" s="2033"/>
      <c r="S71" s="2033"/>
      <c r="T71" s="2033"/>
      <c r="U71" s="2079" t="s">
        <v>1802</v>
      </c>
      <c r="V71" s="1550"/>
      <c r="W71" s="1436" t="str">
        <f t="shared" si="0"/>
        <v/>
      </c>
      <c r="AA71" s="2033"/>
      <c r="AB71" s="2033"/>
      <c r="AC71" s="2033"/>
      <c r="AD71" s="2033"/>
      <c r="AE71" s="2033"/>
      <c r="AF71" s="2033"/>
      <c r="AG71" s="2033"/>
      <c r="AH71" s="2033"/>
      <c r="AI71" s="2033"/>
      <c r="AJ71" s="2033"/>
      <c r="AK71" s="2033"/>
    </row>
    <row r="72" spans="1:37" x14ac:dyDescent="0.25">
      <c r="A72" s="2033"/>
      <c r="B72" s="2033"/>
      <c r="C72" s="2033"/>
      <c r="D72" s="2033"/>
      <c r="E72" s="2033"/>
      <c r="F72" s="2033"/>
      <c r="G72" s="2033"/>
      <c r="H72" s="2033"/>
      <c r="I72" s="2033"/>
      <c r="J72" s="2033"/>
      <c r="K72" s="2033"/>
      <c r="L72" s="2033"/>
      <c r="M72" s="2033"/>
      <c r="N72" s="2033"/>
      <c r="O72" s="2033"/>
      <c r="P72" s="2033"/>
      <c r="Q72" s="2033"/>
      <c r="R72" s="2033"/>
      <c r="S72" s="2033"/>
      <c r="T72" s="2033"/>
      <c r="U72" s="2079" t="s">
        <v>1803</v>
      </c>
      <c r="V72" s="1550"/>
      <c r="W72" s="1436" t="str">
        <f t="shared" si="0"/>
        <v/>
      </c>
      <c r="AA72" s="2033"/>
      <c r="AB72" s="2033"/>
      <c r="AC72" s="2033"/>
      <c r="AD72" s="2033"/>
      <c r="AE72" s="2033"/>
      <c r="AF72" s="2033"/>
      <c r="AG72" s="2033"/>
      <c r="AH72" s="2033"/>
      <c r="AI72" s="2033"/>
      <c r="AJ72" s="2033"/>
      <c r="AK72" s="2033"/>
    </row>
    <row r="73" spans="1:37" x14ac:dyDescent="0.25">
      <c r="A73" s="2033"/>
      <c r="B73" s="2033"/>
      <c r="C73" s="2033"/>
      <c r="D73" s="2033"/>
      <c r="E73" s="2033"/>
      <c r="F73" s="2033"/>
      <c r="G73" s="2033"/>
      <c r="H73" s="2033"/>
      <c r="I73" s="2033"/>
      <c r="J73" s="2033"/>
      <c r="K73" s="2033"/>
      <c r="L73" s="2033"/>
      <c r="M73" s="2033"/>
      <c r="N73" s="2033"/>
      <c r="O73" s="2033"/>
      <c r="P73" s="2033"/>
      <c r="Q73" s="2033"/>
      <c r="R73" s="2033"/>
      <c r="S73" s="2033"/>
      <c r="T73" s="2033"/>
      <c r="U73" s="2079" t="s">
        <v>1810</v>
      </c>
      <c r="V73" s="1550"/>
      <c r="W73" s="1436" t="str">
        <f t="shared" si="0"/>
        <v/>
      </c>
      <c r="AA73" s="2033"/>
      <c r="AB73" s="2033"/>
      <c r="AC73" s="2033"/>
      <c r="AD73" s="2033"/>
      <c r="AE73" s="2033"/>
      <c r="AF73" s="2033"/>
      <c r="AG73" s="2033"/>
      <c r="AH73" s="2033"/>
      <c r="AI73" s="2033"/>
      <c r="AJ73" s="2033"/>
      <c r="AK73" s="2033"/>
    </row>
    <row r="74" spans="1:37" x14ac:dyDescent="0.25">
      <c r="A74" s="2033"/>
      <c r="B74" s="2033"/>
      <c r="C74" s="2033"/>
      <c r="D74" s="2033"/>
      <c r="E74" s="2033"/>
      <c r="F74" s="2033"/>
      <c r="G74" s="2033"/>
      <c r="H74" s="2033"/>
      <c r="I74" s="2033"/>
      <c r="J74" s="2033"/>
      <c r="K74" s="2033"/>
      <c r="L74" s="2033"/>
      <c r="M74" s="2033"/>
      <c r="N74" s="2033"/>
      <c r="O74" s="2033"/>
      <c r="P74" s="2033"/>
      <c r="Q74" s="2033"/>
      <c r="R74" s="2033"/>
      <c r="S74" s="2033"/>
      <c r="T74" s="2033"/>
      <c r="U74" s="2079" t="s">
        <v>1804</v>
      </c>
      <c r="V74" s="1550"/>
      <c r="W74" s="1436" t="str">
        <f t="shared" si="0"/>
        <v/>
      </c>
      <c r="AA74" s="2033"/>
      <c r="AB74" s="2033"/>
      <c r="AC74" s="2033"/>
      <c r="AD74" s="2033"/>
      <c r="AE74" s="2033"/>
      <c r="AF74" s="2033"/>
      <c r="AG74" s="2033"/>
      <c r="AH74" s="2033"/>
      <c r="AI74" s="2033"/>
      <c r="AJ74" s="2033"/>
      <c r="AK74" s="2033"/>
    </row>
    <row r="75" spans="1:37" x14ac:dyDescent="0.25">
      <c r="A75" s="2033"/>
      <c r="B75" s="2033"/>
      <c r="C75" s="2033"/>
      <c r="D75" s="2033"/>
      <c r="E75" s="2033"/>
      <c r="F75" s="2033"/>
      <c r="G75" s="2033"/>
      <c r="H75" s="2033"/>
      <c r="I75" s="2033"/>
      <c r="J75" s="2033"/>
      <c r="K75" s="2033"/>
      <c r="L75" s="2033"/>
      <c r="M75" s="2033"/>
      <c r="N75" s="2033"/>
      <c r="O75" s="2033"/>
      <c r="P75" s="2033"/>
      <c r="Q75" s="2033"/>
      <c r="R75" s="2033"/>
      <c r="S75" s="2033"/>
      <c r="T75" s="2033"/>
      <c r="U75" s="2079" t="s">
        <v>1805</v>
      </c>
      <c r="V75" s="1550"/>
      <c r="W75" s="1436" t="str">
        <f t="shared" si="0"/>
        <v/>
      </c>
      <c r="AA75" s="2033"/>
      <c r="AB75" s="2033"/>
      <c r="AC75" s="2033"/>
      <c r="AD75" s="2033"/>
      <c r="AE75" s="2033"/>
      <c r="AF75" s="2033"/>
      <c r="AG75" s="2033"/>
      <c r="AH75" s="2033"/>
      <c r="AI75" s="2033"/>
      <c r="AJ75" s="2033"/>
      <c r="AK75" s="2033"/>
    </row>
    <row r="76" spans="1:37" x14ac:dyDescent="0.25">
      <c r="A76" s="2033"/>
      <c r="B76" s="2033"/>
      <c r="C76" s="2033"/>
      <c r="D76" s="2033"/>
      <c r="E76" s="2033"/>
      <c r="F76" s="2033"/>
      <c r="G76" s="2033"/>
      <c r="H76" s="2033"/>
      <c r="I76" s="2033"/>
      <c r="J76" s="2033"/>
      <c r="K76" s="2033"/>
      <c r="L76" s="2033"/>
      <c r="M76" s="2033"/>
      <c r="N76" s="2033"/>
      <c r="O76" s="2033"/>
      <c r="P76" s="2033"/>
      <c r="Q76" s="2033"/>
      <c r="R76" s="2033"/>
      <c r="S76" s="2033"/>
      <c r="T76" s="2033"/>
      <c r="V76" s="1550"/>
      <c r="W76" s="1436" t="str">
        <f t="shared" si="0"/>
        <v/>
      </c>
      <c r="AA76" s="2033"/>
      <c r="AB76" s="2033"/>
      <c r="AC76" s="2033"/>
      <c r="AD76" s="2033"/>
      <c r="AE76" s="2033"/>
      <c r="AF76" s="2033"/>
      <c r="AG76" s="2033"/>
      <c r="AH76" s="2033"/>
      <c r="AI76" s="2033"/>
      <c r="AJ76" s="2033"/>
      <c r="AK76" s="2033"/>
    </row>
    <row r="77" spans="1:37" x14ac:dyDescent="0.25">
      <c r="A77" s="2033"/>
      <c r="B77" s="2033"/>
      <c r="C77" s="2033"/>
      <c r="D77" s="2033"/>
      <c r="E77" s="2033"/>
      <c r="F77" s="2033"/>
      <c r="G77" s="2033"/>
      <c r="H77" s="2033"/>
      <c r="I77" s="2033"/>
      <c r="J77" s="2033"/>
      <c r="K77" s="2033"/>
      <c r="L77" s="2033"/>
      <c r="M77" s="2033"/>
      <c r="N77" s="2033"/>
      <c r="O77" s="2033"/>
      <c r="P77" s="2033"/>
      <c r="Q77" s="2033"/>
      <c r="R77" s="2033"/>
      <c r="S77" s="2033"/>
      <c r="T77" s="2033"/>
      <c r="V77" s="1550"/>
      <c r="W77" s="1436" t="str">
        <f t="shared" si="0"/>
        <v/>
      </c>
      <c r="AA77" s="2033"/>
      <c r="AB77" s="2033"/>
      <c r="AC77" s="2033"/>
      <c r="AD77" s="2033"/>
      <c r="AE77" s="2033"/>
      <c r="AF77" s="2033"/>
      <c r="AG77" s="2033"/>
      <c r="AH77" s="2033"/>
      <c r="AI77" s="2033"/>
      <c r="AJ77" s="2033"/>
      <c r="AK77" s="2033"/>
    </row>
    <row r="78" spans="1:37" x14ac:dyDescent="0.25">
      <c r="A78" s="2033"/>
      <c r="B78" s="2033"/>
      <c r="C78" s="2033"/>
      <c r="D78" s="2033"/>
      <c r="E78" s="2033"/>
      <c r="F78" s="2033"/>
      <c r="G78" s="2033"/>
      <c r="H78" s="2033"/>
      <c r="I78" s="2033"/>
      <c r="J78" s="2033"/>
      <c r="K78" s="2033"/>
      <c r="L78" s="2033"/>
      <c r="M78" s="2033"/>
      <c r="N78" s="2033"/>
      <c r="O78" s="2033"/>
      <c r="P78" s="2033"/>
      <c r="Q78" s="2033"/>
      <c r="R78" s="2033"/>
      <c r="S78" s="2033"/>
      <c r="T78" s="2033"/>
      <c r="V78" s="1550"/>
      <c r="W78" s="1436" t="str">
        <f t="shared" si="0"/>
        <v/>
      </c>
      <c r="AA78" s="2033"/>
      <c r="AB78" s="2033"/>
      <c r="AC78" s="2033"/>
      <c r="AD78" s="2033"/>
      <c r="AE78" s="2033"/>
      <c r="AF78" s="2033"/>
      <c r="AG78" s="2033"/>
      <c r="AH78" s="2033"/>
      <c r="AI78" s="2033"/>
      <c r="AJ78" s="2033"/>
      <c r="AK78" s="2033"/>
    </row>
    <row r="79" spans="1:37" x14ac:dyDescent="0.25">
      <c r="A79" s="2033"/>
      <c r="B79" s="2033"/>
      <c r="C79" s="2033"/>
      <c r="D79" s="2033"/>
      <c r="E79" s="2033"/>
      <c r="F79" s="2033"/>
      <c r="G79" s="2033"/>
      <c r="H79" s="2033"/>
      <c r="I79" s="2033"/>
      <c r="J79" s="2033"/>
      <c r="K79" s="2033"/>
      <c r="L79" s="2033"/>
      <c r="M79" s="2033"/>
      <c r="N79" s="2033"/>
      <c r="O79" s="2033"/>
      <c r="P79" s="2033"/>
      <c r="Q79" s="2033"/>
      <c r="R79" s="2033"/>
      <c r="S79" s="2033"/>
      <c r="T79" s="2033"/>
      <c r="V79" s="1550"/>
      <c r="W79" s="1436" t="str">
        <f t="shared" si="0"/>
        <v/>
      </c>
      <c r="AA79" s="2033"/>
      <c r="AB79" s="2033"/>
      <c r="AC79" s="2033"/>
      <c r="AD79" s="2033"/>
      <c r="AE79" s="2033"/>
      <c r="AF79" s="2033"/>
      <c r="AG79" s="2033"/>
      <c r="AH79" s="2033"/>
      <c r="AI79" s="2033"/>
      <c r="AJ79" s="2033"/>
      <c r="AK79" s="2033"/>
    </row>
    <row r="80" spans="1:37" x14ac:dyDescent="0.25">
      <c r="A80" s="2033"/>
      <c r="B80" s="2033"/>
      <c r="C80" s="2033"/>
      <c r="D80" s="2033"/>
      <c r="E80" s="2033"/>
      <c r="F80" s="2033"/>
      <c r="G80" s="2033"/>
      <c r="H80" s="2033"/>
      <c r="I80" s="2033"/>
      <c r="J80" s="2033"/>
      <c r="K80" s="2033"/>
      <c r="L80" s="2033"/>
      <c r="M80" s="2033"/>
      <c r="N80" s="2033"/>
      <c r="O80" s="2033"/>
      <c r="P80" s="2033"/>
      <c r="Q80" s="2033"/>
      <c r="R80" s="2033"/>
      <c r="S80" s="2033"/>
      <c r="T80" s="2033"/>
      <c r="V80" s="1550"/>
      <c r="W80" s="1436" t="str">
        <f>IF(V80="","",V80)</f>
        <v/>
      </c>
      <c r="AA80" s="2033"/>
      <c r="AB80" s="2033"/>
      <c r="AC80" s="2033"/>
      <c r="AD80" s="2033"/>
      <c r="AE80" s="2033"/>
      <c r="AF80" s="2033"/>
      <c r="AG80" s="2033"/>
      <c r="AH80" s="2033"/>
      <c r="AI80" s="2033"/>
      <c r="AJ80" s="2033"/>
      <c r="AK80" s="2033"/>
    </row>
    <row r="81" spans="1:37" x14ac:dyDescent="0.25">
      <c r="A81" s="2033"/>
      <c r="B81" s="2033"/>
      <c r="C81" s="2033"/>
      <c r="D81" s="2033"/>
      <c r="E81" s="2033"/>
      <c r="F81" s="2033"/>
      <c r="G81" s="2033"/>
      <c r="H81" s="2033"/>
      <c r="I81" s="2033"/>
      <c r="J81" s="2033"/>
      <c r="K81" s="2033"/>
      <c r="L81" s="2033"/>
      <c r="M81" s="2033"/>
      <c r="N81" s="2033"/>
      <c r="O81" s="2033"/>
      <c r="P81" s="2033"/>
      <c r="Q81" s="2033"/>
      <c r="R81" s="2033"/>
      <c r="S81" s="2033"/>
      <c r="T81" s="2033"/>
      <c r="V81" s="1550"/>
      <c r="W81" s="1436" t="str">
        <f>IF(V81="","",V81)</f>
        <v/>
      </c>
      <c r="AA81" s="2033"/>
      <c r="AB81" s="2033"/>
      <c r="AC81" s="2033"/>
      <c r="AD81" s="2033"/>
      <c r="AE81" s="2033"/>
      <c r="AF81" s="2033"/>
      <c r="AG81" s="2033"/>
      <c r="AH81" s="2033"/>
      <c r="AI81" s="2033"/>
      <c r="AJ81" s="2033"/>
      <c r="AK81" s="2033"/>
    </row>
    <row r="82" spans="1:37" x14ac:dyDescent="0.25">
      <c r="A82" s="2033"/>
      <c r="B82" s="2033"/>
      <c r="C82" s="2033"/>
      <c r="D82" s="2033"/>
      <c r="E82" s="2033"/>
      <c r="F82" s="2033"/>
      <c r="G82" s="2033"/>
      <c r="H82" s="2033"/>
      <c r="I82" s="2033"/>
      <c r="J82" s="2033"/>
      <c r="K82" s="2033"/>
      <c r="L82" s="2033"/>
      <c r="M82" s="2033"/>
      <c r="N82" s="2033"/>
      <c r="O82" s="2033"/>
      <c r="P82" s="2033"/>
      <c r="Q82" s="2033"/>
      <c r="R82" s="2033"/>
      <c r="S82" s="2033"/>
      <c r="T82" s="2033"/>
      <c r="V82" s="1550"/>
      <c r="W82" s="1436" t="str">
        <f>IF(V82="","",V82)</f>
        <v/>
      </c>
      <c r="AA82" s="2033"/>
      <c r="AB82" s="2033"/>
      <c r="AC82" s="2033"/>
      <c r="AD82" s="2033"/>
      <c r="AE82" s="2033"/>
      <c r="AF82" s="2033"/>
      <c r="AG82" s="2033"/>
      <c r="AH82" s="2033"/>
      <c r="AI82" s="2033"/>
      <c r="AJ82" s="2033"/>
      <c r="AK82" s="2033"/>
    </row>
  </sheetData>
  <sheetProtection password="BCD8" sheet="1" objects="1" scenarios="1"/>
  <phoneticPr fontId="124" type="noConversion"/>
  <conditionalFormatting sqref="P19 F19:N19">
    <cfRule type="cellIs" dxfId="84" priority="1" stopIfTrue="1" operator="notEqual">
      <formula>""</formula>
    </cfRule>
  </conditionalFormatting>
  <dataValidations disablePrompts="1" count="1">
    <dataValidation type="date" allowBlank="1" showInputMessage="1" showErrorMessage="1" errorTitle="!! Date" error="Date must be between 1/4/05 and 31/3/10" sqref="A28" xr:uid="{E57CBC89-F6D1-4C9D-B480-3C1C48F733CA}">
      <formula1>38443</formula1>
      <formula2>40268</formula2>
    </dataValidation>
  </dataValidations>
  <pageMargins left="0.57999999999999996" right="0.3" top="0.54" bottom="0.69" header="0.25" footer="0.2"/>
  <pageSetup paperSize="9" scale="91" orientation="landscape"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goto_home">
                <anchor moveWithCells="1">
                  <from>
                    <xdr:col>0</xdr:col>
                    <xdr:colOff>76200</xdr:colOff>
                    <xdr:row>0</xdr:row>
                    <xdr:rowOff>76200</xdr:rowOff>
                  </from>
                  <to>
                    <xdr:col>2</xdr:col>
                    <xdr:colOff>114300</xdr:colOff>
                    <xdr:row>0</xdr:row>
                    <xdr:rowOff>311150</xdr:rowOff>
                  </to>
                </anchor>
              </controlPr>
            </control>
          </mc:Choice>
        </mc:AlternateContent>
        <mc:AlternateContent xmlns:mc="http://schemas.openxmlformats.org/markup-compatibility/2006">
          <mc:Choice Requires="x14">
            <control shapeId="86018" r:id="rId5" name="Button 2">
              <controlPr defaultSize="0" print="0" autoFill="0" autoPict="0" macro="[0]!goto_split">
                <anchor moveWithCells="1">
                  <from>
                    <xdr:col>2</xdr:col>
                    <xdr:colOff>298450</xdr:colOff>
                    <xdr:row>0</xdr:row>
                    <xdr:rowOff>76200</xdr:rowOff>
                  </from>
                  <to>
                    <xdr:col>4</xdr:col>
                    <xdr:colOff>482600</xdr:colOff>
                    <xdr:row>0</xdr:row>
                    <xdr:rowOff>311150</xdr:rowOff>
                  </to>
                </anchor>
              </controlPr>
            </control>
          </mc:Choice>
        </mc:AlternateContent>
        <mc:AlternateContent xmlns:mc="http://schemas.openxmlformats.org/markup-compatibility/2006">
          <mc:Choice Requires="x14">
            <control shapeId="86019" r:id="rId6" name="Button 3">
              <controlPr defaultSize="0" print="0" autoFill="0" autoPict="0" macro="[0]!PrintThis">
                <anchor moveWithCells="1">
                  <from>
                    <xdr:col>4</xdr:col>
                    <xdr:colOff>520700</xdr:colOff>
                    <xdr:row>0</xdr:row>
                    <xdr:rowOff>76200</xdr:rowOff>
                  </from>
                  <to>
                    <xdr:col>6</xdr:col>
                    <xdr:colOff>184150</xdr:colOff>
                    <xdr:row>0</xdr:row>
                    <xdr:rowOff>311150</xdr:rowOff>
                  </to>
                </anchor>
              </controlPr>
            </control>
          </mc:Choice>
        </mc:AlternateContent>
        <mc:AlternateContent xmlns:mc="http://schemas.openxmlformats.org/markup-compatibility/2006">
          <mc:Choice Requires="x14">
            <control shapeId="86020" r:id="rId7" name="Button 4">
              <controlPr defaultSize="0" print="0" autoFill="0" autoPict="0" macro="[0]!goto_details">
                <anchor moveWithCells="1">
                  <from>
                    <xdr:col>0</xdr:col>
                    <xdr:colOff>38100</xdr:colOff>
                    <xdr:row>4</xdr:row>
                    <xdr:rowOff>6350</xdr:rowOff>
                  </from>
                  <to>
                    <xdr:col>0</xdr:col>
                    <xdr:colOff>241300</xdr:colOff>
                    <xdr:row>5</xdr:row>
                    <xdr:rowOff>6350</xdr:rowOff>
                  </to>
                </anchor>
              </controlPr>
            </control>
          </mc:Choice>
        </mc:AlternateContent>
        <mc:AlternateContent xmlns:mc="http://schemas.openxmlformats.org/markup-compatibility/2006">
          <mc:Choice Requires="x14">
            <control shapeId="86021" r:id="rId8" name="Button 5">
              <controlPr defaultSize="0" print="0" autoFill="0" autoPict="0" macro="[0]!goto_details">
                <anchor moveWithCells="1">
                  <from>
                    <xdr:col>0</xdr:col>
                    <xdr:colOff>38100</xdr:colOff>
                    <xdr:row>6</xdr:row>
                    <xdr:rowOff>6350</xdr:rowOff>
                  </from>
                  <to>
                    <xdr:col>0</xdr:col>
                    <xdr:colOff>241300</xdr:colOff>
                    <xdr:row>7</xdr:row>
                    <xdr:rowOff>6350</xdr:rowOff>
                  </to>
                </anchor>
              </controlPr>
            </control>
          </mc:Choice>
        </mc:AlternateContent>
        <mc:AlternateContent xmlns:mc="http://schemas.openxmlformats.org/markup-compatibility/2006">
          <mc:Choice Requires="x14">
            <control shapeId="86022" r:id="rId9" name="Button 6">
              <controlPr defaultSize="0" print="0" autoFill="0" autoPict="0" macro="[0]!goto_details">
                <anchor moveWithCells="1">
                  <from>
                    <xdr:col>0</xdr:col>
                    <xdr:colOff>38100</xdr:colOff>
                    <xdr:row>8</xdr:row>
                    <xdr:rowOff>6350</xdr:rowOff>
                  </from>
                  <to>
                    <xdr:col>0</xdr:col>
                    <xdr:colOff>241300</xdr:colOff>
                    <xdr:row>9</xdr:row>
                    <xdr:rowOff>6350</xdr:rowOff>
                  </to>
                </anchor>
              </controlPr>
            </control>
          </mc:Choice>
        </mc:AlternateContent>
        <mc:AlternateContent xmlns:mc="http://schemas.openxmlformats.org/markup-compatibility/2006">
          <mc:Choice Requires="x14">
            <control shapeId="86023" r:id="rId10" name="Button 7">
              <controlPr defaultSize="0" print="0" autoFill="0" autoPict="0" macro="[0]!goto_interest">
                <anchor moveWithCells="1">
                  <from>
                    <xdr:col>6</xdr:col>
                    <xdr:colOff>222250</xdr:colOff>
                    <xdr:row>0</xdr:row>
                    <xdr:rowOff>76200</xdr:rowOff>
                  </from>
                  <to>
                    <xdr:col>7</xdr:col>
                    <xdr:colOff>762000</xdr:colOff>
                    <xdr:row>0</xdr:row>
                    <xdr:rowOff>311150</xdr:rowOff>
                  </to>
                </anchor>
              </controlPr>
            </control>
          </mc:Choice>
        </mc:AlternateContent>
        <mc:AlternateContent xmlns:mc="http://schemas.openxmlformats.org/markup-compatibility/2006">
          <mc:Choice Requires="x14">
            <control shapeId="86024" r:id="rId11" name="Button 8">
              <controlPr defaultSize="0" print="0" autoFill="0" autoPict="0" macro="[0]!goto_interest">
                <anchor moveWithCells="1">
                  <from>
                    <xdr:col>18</xdr:col>
                    <xdr:colOff>38100</xdr:colOff>
                    <xdr:row>33</xdr:row>
                    <xdr:rowOff>76200</xdr:rowOff>
                  </from>
                  <to>
                    <xdr:col>19</xdr:col>
                    <xdr:colOff>0</xdr:colOff>
                    <xdr:row>34</xdr:row>
                    <xdr:rowOff>44450</xdr:rowOff>
                  </to>
                </anchor>
              </controlPr>
            </control>
          </mc:Choice>
        </mc:AlternateContent>
        <mc:AlternateContent xmlns:mc="http://schemas.openxmlformats.org/markup-compatibility/2006">
          <mc:Choice Requires="x14">
            <control shapeId="86025" r:id="rId12" name="Button 9">
              <controlPr defaultSize="0" print="0" autoFill="0" autoPict="0" macro="[0]!copypaste">
                <anchor moveWithCells="1" sizeWithCells="1">
                  <from>
                    <xdr:col>18</xdr:col>
                    <xdr:colOff>38100</xdr:colOff>
                    <xdr:row>35</xdr:row>
                    <xdr:rowOff>158750</xdr:rowOff>
                  </from>
                  <to>
                    <xdr:col>18</xdr:col>
                    <xdr:colOff>882650</xdr:colOff>
                    <xdr:row>37</xdr:row>
                    <xdr:rowOff>127000</xdr:rowOff>
                  </to>
                </anchor>
              </controlPr>
            </control>
          </mc:Choice>
        </mc:AlternateContent>
        <mc:AlternateContent xmlns:mc="http://schemas.openxmlformats.org/markup-compatibility/2006">
          <mc:Choice Requires="x14">
            <control shapeId="86030" r:id="rId13" name="Button 14">
              <controlPr defaultSize="0" print="0" autoFill="0" autoPict="0" macro="[0]!nya">
                <anchor moveWithCells="1" sizeWithCells="1">
                  <from>
                    <xdr:col>6</xdr:col>
                    <xdr:colOff>381000</xdr:colOff>
                    <xdr:row>24</xdr:row>
                    <xdr:rowOff>158750</xdr:rowOff>
                  </from>
                  <to>
                    <xdr:col>7</xdr:col>
                    <xdr:colOff>831850</xdr:colOff>
                    <xdr:row>26</xdr:row>
                    <xdr:rowOff>6350</xdr:rowOff>
                  </to>
                </anchor>
              </controlPr>
            </control>
          </mc:Choice>
        </mc:AlternateContent>
        <mc:AlternateContent xmlns:mc="http://schemas.openxmlformats.org/markup-compatibility/2006">
          <mc:Choice Requires="x14">
            <control shapeId="86031" r:id="rId14" name="Button 15">
              <controlPr defaultSize="0" print="0" autoFill="0" autoPict="0" macro="[0]!nya">
                <anchor moveWithCells="1" sizeWithCells="1">
                  <from>
                    <xdr:col>8</xdr:col>
                    <xdr:colOff>374650</xdr:colOff>
                    <xdr:row>24</xdr:row>
                    <xdr:rowOff>158750</xdr:rowOff>
                  </from>
                  <to>
                    <xdr:col>9</xdr:col>
                    <xdr:colOff>825500</xdr:colOff>
                    <xdr:row>26</xdr:row>
                    <xdr:rowOff>6350</xdr:rowOff>
                  </to>
                </anchor>
              </controlPr>
            </control>
          </mc:Choice>
        </mc:AlternateContent>
        <mc:AlternateContent xmlns:mc="http://schemas.openxmlformats.org/markup-compatibility/2006">
          <mc:Choice Requires="x14">
            <control shapeId="86032" r:id="rId15" name="Button 16">
              <controlPr defaultSize="0" print="0" autoFill="0" autoPict="0" macro="[0]!nya">
                <anchor moveWithCells="1" sizeWithCells="1">
                  <from>
                    <xdr:col>10</xdr:col>
                    <xdr:colOff>349250</xdr:colOff>
                    <xdr:row>24</xdr:row>
                    <xdr:rowOff>158750</xdr:rowOff>
                  </from>
                  <to>
                    <xdr:col>11</xdr:col>
                    <xdr:colOff>800100</xdr:colOff>
                    <xdr:row>26</xdr:row>
                    <xdr:rowOff>6350</xdr:rowOff>
                  </to>
                </anchor>
              </controlPr>
            </control>
          </mc:Choice>
        </mc:AlternateContent>
        <mc:AlternateContent xmlns:mc="http://schemas.openxmlformats.org/markup-compatibility/2006">
          <mc:Choice Requires="x14">
            <control shapeId="86033" r:id="rId16" name="Button 17">
              <controlPr defaultSize="0" print="0" autoFill="0" autoPict="0" macro="[0]!nya">
                <anchor moveWithCells="1" sizeWithCells="1">
                  <from>
                    <xdr:col>12</xdr:col>
                    <xdr:colOff>355600</xdr:colOff>
                    <xdr:row>25</xdr:row>
                    <xdr:rowOff>0</xdr:rowOff>
                  </from>
                  <to>
                    <xdr:col>13</xdr:col>
                    <xdr:colOff>806450</xdr:colOff>
                    <xdr:row>26</xdr:row>
                    <xdr:rowOff>25400</xdr:rowOff>
                  </to>
                </anchor>
              </controlPr>
            </control>
          </mc:Choice>
        </mc:AlternateContent>
        <mc:AlternateContent xmlns:mc="http://schemas.openxmlformats.org/markup-compatibility/2006">
          <mc:Choice Requires="x14">
            <control shapeId="86034" r:id="rId17" name="Button 18">
              <controlPr defaultSize="0" print="0" autoFill="0" autoPict="0" macro="[0]!nya">
                <anchor moveWithCells="1" sizeWithCells="1">
                  <from>
                    <xdr:col>14</xdr:col>
                    <xdr:colOff>381000</xdr:colOff>
                    <xdr:row>24</xdr:row>
                    <xdr:rowOff>158750</xdr:rowOff>
                  </from>
                  <to>
                    <xdr:col>15</xdr:col>
                    <xdr:colOff>831850</xdr:colOff>
                    <xdr:row>26</xdr:row>
                    <xdr:rowOff>6350</xdr:rowOff>
                  </to>
                </anchor>
              </controlPr>
            </control>
          </mc:Choice>
        </mc:AlternateContent>
        <mc:AlternateContent xmlns:mc="http://schemas.openxmlformats.org/markup-compatibility/2006">
          <mc:Choice Requires="x14">
            <control shapeId="86039" r:id="rId18" name="Button 23">
              <controlPr defaultSize="0" print="0" autoFill="0" autoPict="0" macro="[0]!copy_as_excel">
                <anchor moveWithCells="1" sizeWithCells="1">
                  <from>
                    <xdr:col>13</xdr:col>
                    <xdr:colOff>717550</xdr:colOff>
                    <xdr:row>0</xdr:row>
                    <xdr:rowOff>355600</xdr:rowOff>
                  </from>
                  <to>
                    <xdr:col>15</xdr:col>
                    <xdr:colOff>0</xdr:colOff>
                    <xdr:row>3</xdr:row>
                    <xdr:rowOff>12700</xdr:rowOff>
                  </to>
                </anchor>
              </controlPr>
            </control>
          </mc:Choice>
        </mc:AlternateContent>
        <mc:AlternateContent xmlns:mc="http://schemas.openxmlformats.org/markup-compatibility/2006">
          <mc:Choice Requires="x14">
            <control shapeId="86040" r:id="rId19" name="Button 24">
              <controlPr defaultSize="0" print="0" autoFill="0" autoPict="0" macro="[0]!pdflauncher">
                <anchor moveWithCells="1" sizeWithCells="1">
                  <from>
                    <xdr:col>15</xdr:col>
                    <xdr:colOff>6350</xdr:colOff>
                    <xdr:row>0</xdr:row>
                    <xdr:rowOff>355600</xdr:rowOff>
                  </from>
                  <to>
                    <xdr:col>15</xdr:col>
                    <xdr:colOff>692150</xdr:colOff>
                    <xdr:row>3</xdr:row>
                    <xdr:rowOff>12700</xdr:rowOff>
                  </to>
                </anchor>
              </controlPr>
            </control>
          </mc:Choice>
        </mc:AlternateContent>
        <mc:AlternateContent xmlns:mc="http://schemas.openxmlformats.org/markup-compatibility/2006">
          <mc:Choice Requires="x14">
            <control shapeId="86041" r:id="rId20" name="Button 25">
              <controlPr defaultSize="0" print="0" autoFill="0" autoPict="0" macro="[0]!openfolder">
                <anchor moveWithCells="1" sizeWithCells="1">
                  <from>
                    <xdr:col>15</xdr:col>
                    <xdr:colOff>698500</xdr:colOff>
                    <xdr:row>0</xdr:row>
                    <xdr:rowOff>355600</xdr:rowOff>
                  </from>
                  <to>
                    <xdr:col>16</xdr:col>
                    <xdr:colOff>355600</xdr:colOff>
                    <xdr:row>3</xdr:row>
                    <xdr:rowOff>12700</xdr:rowOff>
                  </to>
                </anchor>
              </controlPr>
            </control>
          </mc:Choice>
        </mc:AlternateContent>
        <mc:AlternateContent xmlns:mc="http://schemas.openxmlformats.org/markup-compatibility/2006">
          <mc:Choice Requires="x14">
            <control shapeId="86042" r:id="rId21" name="Button 26">
              <controlPr defaultSize="0" print="0" autoFill="0" autoPict="0" macro="[0]!goto_folder_settings">
                <anchor moveWithCells="1" sizeWithCells="1">
                  <from>
                    <xdr:col>16</xdr:col>
                    <xdr:colOff>374650</xdr:colOff>
                    <xdr:row>0</xdr:row>
                    <xdr:rowOff>355600</xdr:rowOff>
                  </from>
                  <to>
                    <xdr:col>16</xdr:col>
                    <xdr:colOff>901700</xdr:colOff>
                    <xdr:row>3</xdr:row>
                    <xdr:rowOff>12700</xdr:rowOff>
                  </to>
                </anchor>
              </controlPr>
            </control>
          </mc:Choice>
        </mc:AlternateContent>
        <mc:AlternateContent xmlns:mc="http://schemas.openxmlformats.org/markup-compatibility/2006">
          <mc:Choice Requires="x14">
            <control shapeId="86043" r:id="rId22" name="Button 27">
              <controlPr defaultSize="0" print="0" autoFill="0" autoPict="0" macro="[0]!email_pdf_launch">
                <anchor moveWithCells="1" sizeWithCells="1">
                  <from>
                    <xdr:col>15</xdr:col>
                    <xdr:colOff>152400</xdr:colOff>
                    <xdr:row>0</xdr:row>
                    <xdr:rowOff>50800</xdr:rowOff>
                  </from>
                  <to>
                    <xdr:col>15</xdr:col>
                    <xdr:colOff>838200</xdr:colOff>
                    <xdr:row>0</xdr:row>
                    <xdr:rowOff>349250</xdr:rowOff>
                  </to>
                </anchor>
              </controlPr>
            </control>
          </mc:Choice>
        </mc:AlternateContent>
        <mc:AlternateContent xmlns:mc="http://schemas.openxmlformats.org/markup-compatibility/2006">
          <mc:Choice Requires="x14">
            <control shapeId="86044" r:id="rId23" name="Button 28">
              <controlPr defaultSize="0" print="0" autoFill="0" autoPict="0" macro="[0]!email_copy_as_excel">
                <anchor moveWithCells="1" sizeWithCells="1">
                  <from>
                    <xdr:col>13</xdr:col>
                    <xdr:colOff>717550</xdr:colOff>
                    <xdr:row>0</xdr:row>
                    <xdr:rowOff>50800</xdr:rowOff>
                  </from>
                  <to>
                    <xdr:col>15</xdr:col>
                    <xdr:colOff>146050</xdr:colOff>
                    <xdr:row>0</xdr:row>
                    <xdr:rowOff>349250</xdr:rowOff>
                  </to>
                </anchor>
              </controlPr>
            </control>
          </mc:Choice>
        </mc:AlternateContent>
        <mc:AlternateContent xmlns:mc="http://schemas.openxmlformats.org/markup-compatibility/2006">
          <mc:Choice Requires="x14">
            <control shapeId="86045" r:id="rId24" name="Button 29">
              <controlPr defaultSize="0" print="0" autoFill="0" autoPict="0" macro="[0]!emailsettings">
                <anchor moveWithCells="1" sizeWithCells="1">
                  <from>
                    <xdr:col>15</xdr:col>
                    <xdr:colOff>844550</xdr:colOff>
                    <xdr:row>0</xdr:row>
                    <xdr:rowOff>50800</xdr:rowOff>
                  </from>
                  <to>
                    <xdr:col>16</xdr:col>
                    <xdr:colOff>901700</xdr:colOff>
                    <xdr:row>0</xdr:row>
                    <xdr:rowOff>349250</xdr:rowOff>
                  </to>
                </anchor>
              </controlPr>
            </control>
          </mc:Choice>
        </mc:AlternateContent>
        <mc:AlternateContent xmlns:mc="http://schemas.openxmlformats.org/markup-compatibility/2006">
          <mc:Choice Requires="x14">
            <control shapeId="86046" r:id="rId25" name="globalbacktobutton">
              <controlPr defaultSize="0" print="0" autoFill="0" autoPict="0" macro="[0]!backto">
                <anchor moveWithCells="1" sizeWithCells="1">
                  <from>
                    <xdr:col>18</xdr:col>
                    <xdr:colOff>317500</xdr:colOff>
                    <xdr:row>0</xdr:row>
                    <xdr:rowOff>139700</xdr:rowOff>
                  </from>
                  <to>
                    <xdr:col>18</xdr:col>
                    <xdr:colOff>946150</xdr:colOff>
                    <xdr:row>1</xdr:row>
                    <xdr:rowOff>215900</xdr:rowOff>
                  </to>
                </anchor>
              </controlPr>
            </control>
          </mc:Choice>
        </mc:AlternateContent>
        <mc:AlternateContent xmlns:mc="http://schemas.openxmlformats.org/markup-compatibility/2006">
          <mc:Choice Requires="x14">
            <control shapeId="86047" r:id="rId26" name="Button 31">
              <controlPr defaultSize="0" print="0" autoFill="0" autoPict="0" macro="[0]!cancelcopypaste">
                <anchor moveWithCells="1" sizeWithCells="1">
                  <from>
                    <xdr:col>18</xdr:col>
                    <xdr:colOff>901700</xdr:colOff>
                    <xdr:row>35</xdr:row>
                    <xdr:rowOff>158750</xdr:rowOff>
                  </from>
                  <to>
                    <xdr:col>26</xdr:col>
                    <xdr:colOff>234950</xdr:colOff>
                    <xdr:row>37</xdr:row>
                    <xdr:rowOff>127000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D063-493A-4B72-AA38-9A3AE7869196}">
  <sheetPr codeName="Sheet77"/>
  <dimension ref="A1:AZ115"/>
  <sheetViews>
    <sheetView showGridLines="0" workbookViewId="0">
      <selection activeCell="D6" sqref="D6"/>
    </sheetView>
  </sheetViews>
  <sheetFormatPr defaultColWidth="9.08984375" defaultRowHeight="14.5" x14ac:dyDescent="0.35"/>
  <cols>
    <col min="1" max="1" width="13.90625" style="1493" customWidth="1"/>
    <col min="2" max="2" width="4.08984375" style="1493" customWidth="1"/>
    <col min="3" max="3" width="33.08984375" style="1493" customWidth="1"/>
    <col min="4" max="8" width="16.6328125" style="1493" customWidth="1"/>
    <col min="9" max="9" width="10.6328125" style="1493" customWidth="1"/>
    <col min="10" max="10" width="19.08984375" style="1493" customWidth="1"/>
    <col min="11" max="11" width="6" style="1493" hidden="1" customWidth="1"/>
    <col min="12" max="12" width="11.08984375" style="1493" hidden="1" customWidth="1"/>
    <col min="13" max="13" width="0" style="1493" hidden="1" customWidth="1"/>
    <col min="14" max="14" width="10.08984375" style="1493" hidden="1" customWidth="1"/>
    <col min="15" max="15" width="10.6328125" style="1493" hidden="1" customWidth="1"/>
    <col min="16" max="16" width="10.54296875" style="1493" hidden="1" customWidth="1"/>
    <col min="17" max="17" width="0" style="1493" hidden="1" customWidth="1"/>
    <col min="18" max="18" width="12.08984375" style="1493" hidden="1" customWidth="1"/>
    <col min="19" max="19" width="10.90625" style="1493" hidden="1" customWidth="1"/>
    <col min="20" max="20" width="11.08984375" style="1493" hidden="1" customWidth="1"/>
    <col min="21" max="21" width="10.08984375" style="1493" hidden="1" customWidth="1"/>
    <col min="22" max="23" width="11" style="1493" hidden="1" customWidth="1"/>
    <col min="24" max="24" width="15" style="1493" hidden="1" customWidth="1"/>
    <col min="25" max="25" width="14.90625" style="1493" hidden="1" customWidth="1"/>
    <col min="26" max="39" width="9.08984375" style="1493"/>
    <col min="43" max="43" width="9.08984375" style="1493"/>
    <col min="44" max="44" width="106.6328125" style="1493" customWidth="1"/>
    <col min="45" max="16384" width="9.08984375" style="1493"/>
  </cols>
  <sheetData>
    <row r="1" spans="1:52" x14ac:dyDescent="0.35">
      <c r="A1" s="2104"/>
      <c r="B1" s="2104"/>
      <c r="C1" s="2104"/>
      <c r="D1" s="2104"/>
      <c r="E1" s="2104"/>
      <c r="F1" s="2104"/>
      <c r="G1" s="2104"/>
      <c r="H1" s="2104"/>
      <c r="I1" s="2104"/>
      <c r="J1" s="2104"/>
      <c r="N1" s="1493" t="s">
        <v>849</v>
      </c>
      <c r="O1" s="1493" t="s">
        <v>850</v>
      </c>
      <c r="P1" s="1493" t="s">
        <v>1980</v>
      </c>
      <c r="S1" s="1493" t="s">
        <v>1981</v>
      </c>
      <c r="T1" s="1493" t="s">
        <v>2024</v>
      </c>
      <c r="Z1" s="2104"/>
      <c r="AA1" s="2104"/>
      <c r="AB1" s="2104"/>
      <c r="AC1" s="2104"/>
      <c r="AD1" s="2104"/>
      <c r="AE1" s="2104"/>
      <c r="AF1" s="2104"/>
      <c r="AG1" s="2104"/>
      <c r="AH1" s="2104"/>
      <c r="AI1" s="2104"/>
      <c r="AJ1" s="2104"/>
      <c r="AK1" s="2104"/>
      <c r="AL1" s="2104"/>
      <c r="AM1" s="2104"/>
      <c r="AN1" s="2104"/>
      <c r="AO1" s="2104"/>
      <c r="AP1" s="2104"/>
      <c r="AR1"/>
    </row>
    <row r="2" spans="1:52" ht="7.5" customHeight="1" x14ac:dyDescent="0.25">
      <c r="A2" s="2104"/>
      <c r="B2" s="1665"/>
      <c r="C2" s="1666"/>
      <c r="D2" s="1666"/>
      <c r="E2" s="1666"/>
      <c r="F2" s="1666"/>
      <c r="G2" s="1666"/>
      <c r="H2" s="1666"/>
      <c r="I2" s="1667"/>
      <c r="J2" s="2104"/>
      <c r="Z2" s="2104"/>
      <c r="AA2" s="2104"/>
      <c r="AB2" s="2104"/>
      <c r="AC2" s="2104"/>
      <c r="AD2" s="2104"/>
      <c r="AE2" s="2104"/>
      <c r="AF2" s="2104"/>
      <c r="AG2" s="2104"/>
      <c r="AH2" s="2104"/>
      <c r="AI2" s="2104"/>
      <c r="AJ2" s="2104"/>
      <c r="AK2" s="2104"/>
      <c r="AL2" s="2104"/>
      <c r="AM2" s="2104"/>
      <c r="AN2" s="2104"/>
      <c r="AO2" s="2104"/>
      <c r="AP2" s="2104"/>
    </row>
    <row r="3" spans="1:52" x14ac:dyDescent="0.35">
      <c r="A3" s="2104"/>
      <c r="B3" s="2105"/>
      <c r="C3" s="2106" t="str">
        <f>"Merge Calculator -  "&amp;basic!D22</f>
        <v>Merge Calculator -  England</v>
      </c>
      <c r="I3" s="1690"/>
      <c r="J3" s="2104"/>
      <c r="L3" s="1564" t="s">
        <v>12</v>
      </c>
      <c r="M3" s="1564" t="b">
        <f>D7=N3</f>
        <v>0</v>
      </c>
      <c r="N3" s="2107">
        <f>text!B9</f>
        <v>45017</v>
      </c>
      <c r="O3" s="6">
        <f>text!C53</f>
        <v>46112</v>
      </c>
      <c r="P3" s="503" t="b">
        <f>AND(N3&lt;=D7,D7&lt;=O3)</f>
        <v>0</v>
      </c>
      <c r="Q3" s="1564" t="s">
        <v>13</v>
      </c>
      <c r="R3" s="1564" t="b">
        <f ca="1">codes!F3</f>
        <v>1</v>
      </c>
      <c r="S3" s="503" t="b">
        <f>AND(G7&lt;&gt;"",D7&lt;&gt;N3)</f>
        <v>0</v>
      </c>
      <c r="T3" s="2107">
        <f>D7-1</f>
        <v>-1</v>
      </c>
      <c r="U3"/>
      <c r="V3"/>
      <c r="W3"/>
      <c r="X3"/>
      <c r="Y3"/>
      <c r="Z3" s="2104"/>
      <c r="AA3" s="2104"/>
      <c r="AB3" s="2104"/>
      <c r="AC3" s="2104"/>
      <c r="AD3" s="2104"/>
      <c r="AE3" s="2104"/>
      <c r="AF3" s="2104"/>
      <c r="AG3" s="2104"/>
      <c r="AH3" s="2104"/>
      <c r="AI3" s="2104"/>
      <c r="AJ3" s="2104"/>
      <c r="AK3" s="2104"/>
      <c r="AL3" s="2104"/>
      <c r="AM3" s="2104"/>
      <c r="AN3" s="2104"/>
      <c r="AO3" s="2104"/>
      <c r="AP3" s="2104"/>
    </row>
    <row r="4" spans="1:52" ht="21" customHeight="1" x14ac:dyDescent="0.35">
      <c r="A4" s="2104"/>
      <c r="B4" s="2105"/>
      <c r="I4" s="1690"/>
      <c r="J4" s="2104"/>
      <c r="L4" s="2161" t="s">
        <v>21</v>
      </c>
      <c r="M4" s="1493" t="s">
        <v>22</v>
      </c>
      <c r="U4"/>
      <c r="V4"/>
      <c r="W4"/>
      <c r="X4"/>
      <c r="Y4"/>
      <c r="Z4" s="2104"/>
      <c r="AA4" s="2104"/>
      <c r="AB4" s="2104"/>
      <c r="AC4" s="2104"/>
      <c r="AD4" s="2104"/>
      <c r="AE4" s="2104"/>
      <c r="AF4" s="2104"/>
      <c r="AG4" s="2104"/>
      <c r="AH4" s="2104"/>
      <c r="AI4" s="2104"/>
      <c r="AJ4" s="2104"/>
      <c r="AK4" s="2104"/>
      <c r="AL4" s="2104"/>
      <c r="AM4" s="2104"/>
      <c r="AN4" s="2104"/>
      <c r="AO4" s="2104"/>
      <c r="AP4" s="2104"/>
      <c r="AQ4"/>
      <c r="AR4"/>
    </row>
    <row r="5" spans="1:52" x14ac:dyDescent="0.35">
      <c r="A5" s="2104"/>
      <c r="B5" s="2105"/>
      <c r="C5" s="1493" t="s">
        <v>15</v>
      </c>
      <c r="I5" s="1690"/>
      <c r="J5" s="2104"/>
      <c r="U5"/>
      <c r="V5"/>
      <c r="W5"/>
      <c r="X5"/>
      <c r="Y5"/>
      <c r="Z5" s="2104"/>
      <c r="AA5" s="2104"/>
      <c r="AB5" s="2104"/>
      <c r="AC5" s="2104"/>
      <c r="AD5" s="2104"/>
      <c r="AE5" s="2104"/>
      <c r="AF5" s="2104"/>
      <c r="AG5" s="2104"/>
      <c r="AH5" s="2104"/>
      <c r="AI5" s="2104"/>
      <c r="AJ5" s="2104"/>
      <c r="AK5" s="2104"/>
      <c r="AL5" s="2104"/>
      <c r="AM5" s="2104"/>
      <c r="AN5" s="2104"/>
      <c r="AO5" s="2104"/>
      <c r="AP5" s="2104"/>
      <c r="AQ5"/>
      <c r="AR5"/>
    </row>
    <row r="6" spans="1:52" x14ac:dyDescent="0.35">
      <c r="A6" s="2104"/>
      <c r="B6" s="2105"/>
      <c r="C6" s="1493" t="s">
        <v>16</v>
      </c>
      <c r="D6" s="1646"/>
      <c r="E6" s="1493" t="str">
        <f>IF(D6="","&lt; Enter the RV","")</f>
        <v>&lt; Enter the RV</v>
      </c>
      <c r="G6" s="1493" t="str">
        <f>IF(M3=TRUE,"if applicable",IF(S3=TRUE,"Please delete TC",""))</f>
        <v/>
      </c>
      <c r="I6" s="1690"/>
      <c r="J6" s="2104"/>
      <c r="M6" s="1571" t="s">
        <v>1978</v>
      </c>
      <c r="N6" s="1571" t="s">
        <v>1978</v>
      </c>
      <c r="O6" s="1571" t="s">
        <v>1978</v>
      </c>
      <c r="T6" s="1597"/>
      <c r="X6"/>
      <c r="Y6"/>
      <c r="Z6" s="2104"/>
      <c r="AA6" s="2104"/>
      <c r="AB6" s="2104"/>
      <c r="AC6" s="2104"/>
      <c r="AD6" s="2104"/>
      <c r="AE6" s="2104"/>
      <c r="AF6" s="2104"/>
      <c r="AG6" s="2104"/>
      <c r="AH6" s="2104"/>
      <c r="AI6" s="2104"/>
      <c r="AJ6" s="2104"/>
      <c r="AK6" s="2104"/>
      <c r="AL6" s="2104"/>
      <c r="AM6" s="2104"/>
      <c r="AN6" s="2104"/>
      <c r="AO6" s="2104"/>
      <c r="AP6" s="2104"/>
      <c r="AQ6"/>
      <c r="AR6"/>
    </row>
    <row r="7" spans="1:52" x14ac:dyDescent="0.35">
      <c r="A7" s="2104"/>
      <c r="B7" s="2105"/>
      <c r="C7" s="1493" t="str">
        <f>IF(AND(D7&lt;&gt;"",P3=FALSE),"Date must be within this list &gt;&gt;&gt;","with effect from…")</f>
        <v>with effect from…</v>
      </c>
      <c r="D7" s="1632"/>
      <c r="E7" s="1493" t="str">
        <f>IF(AND(D7="",D6&lt;&gt;""),"&lt; Effective date of the merge",IF(M3=TRUE,text!C61&amp;" Certified Value at "&amp;text!E54&amp;" &gt;",""))</f>
        <v/>
      </c>
      <c r="G7" s="1949"/>
      <c r="I7" s="1690"/>
      <c r="J7" s="2104"/>
      <c r="L7" s="1564"/>
      <c r="M7" s="1564" t="s">
        <v>318</v>
      </c>
      <c r="N7" s="1564" t="s">
        <v>317</v>
      </c>
      <c r="O7" s="1564" t="s">
        <v>379</v>
      </c>
      <c r="P7" s="1564" t="s">
        <v>14</v>
      </c>
      <c r="Q7" s="1564" t="s">
        <v>1975</v>
      </c>
      <c r="R7" s="1564" t="s">
        <v>102</v>
      </c>
      <c r="S7" s="1571" t="s">
        <v>1976</v>
      </c>
      <c r="T7" s="1571" t="s">
        <v>308</v>
      </c>
      <c r="U7" s="1571" t="s">
        <v>1977</v>
      </c>
      <c r="V7" s="1571" t="s">
        <v>1979</v>
      </c>
      <c r="W7" s="1597" t="s">
        <v>1993</v>
      </c>
      <c r="X7"/>
      <c r="Y7"/>
      <c r="Z7" s="2104"/>
      <c r="AA7" s="2104"/>
      <c r="AB7" s="2104"/>
      <c r="AC7" s="2104"/>
      <c r="AD7" s="2104"/>
      <c r="AE7" s="2104"/>
      <c r="AF7" s="2104"/>
      <c r="AG7" s="2104"/>
      <c r="AH7" s="2104"/>
      <c r="AI7" s="2104"/>
      <c r="AJ7" s="2104"/>
      <c r="AK7" s="2104"/>
      <c r="AL7" s="2104"/>
      <c r="AM7" s="2104"/>
      <c r="AN7" s="2104"/>
      <c r="AO7" s="2104"/>
      <c r="AP7" s="2104"/>
      <c r="AQ7"/>
      <c r="AR7"/>
      <c r="AS7"/>
    </row>
    <row r="8" spans="1:52" x14ac:dyDescent="0.35">
      <c r="A8" s="2104"/>
      <c r="B8" s="2105"/>
      <c r="C8" s="1493" t="s">
        <v>17</v>
      </c>
      <c r="D8" s="1951" t="s">
        <v>426</v>
      </c>
      <c r="E8" s="1493" t="str">
        <f>IF(D8&lt;&gt;U8,"&lt; RV too high for SBRR",IF(Q8=TRUE,"Can't have SBRR with Charity",IF(V8=TRUE,"Can't have SBRR with Empty","")))</f>
        <v/>
      </c>
      <c r="I8" s="1690"/>
      <c r="J8" s="2104"/>
      <c r="L8" s="2158" t="s">
        <v>1969</v>
      </c>
      <c r="M8" s="2159" t="b">
        <v>0</v>
      </c>
      <c r="N8" s="2159" t="b">
        <v>0</v>
      </c>
      <c r="O8" s="2159" t="b">
        <v>0</v>
      </c>
      <c r="P8" s="1571" t="str">
        <f>D8</f>
        <v>n</v>
      </c>
      <c r="Q8" s="1564" t="b">
        <f t="shared" ref="Q8:Q13" si="0">AND(P8="y",M8=TRUE)</f>
        <v>0</v>
      </c>
      <c r="R8" s="1564" t="b">
        <f t="shared" ref="R8:R13" si="1">AND(N8=TRUE,OR(M8=TRUE,O8=TRUE,P8="y"))</f>
        <v>0</v>
      </c>
      <c r="S8" s="1571">
        <f>data!D33</f>
        <v>15000</v>
      </c>
      <c r="T8" s="2160">
        <f>D6</f>
        <v>0</v>
      </c>
      <c r="U8" s="1571" t="str">
        <f t="shared" ref="U8:U13" si="2">IF(AND(P8="y",T8&lt;=S8),"y","n")</f>
        <v>n</v>
      </c>
      <c r="V8" s="1571" t="b">
        <f t="shared" ref="V8:V13" si="3">AND(P8="y",N8=TRUE)</f>
        <v>0</v>
      </c>
      <c r="W8" s="1597"/>
      <c r="X8"/>
      <c r="Y8"/>
      <c r="Z8" s="2104"/>
      <c r="AA8" s="2104"/>
      <c r="AB8" s="2104"/>
      <c r="AC8" s="2104"/>
      <c r="AD8" s="2104"/>
      <c r="AE8" s="2104"/>
      <c r="AF8" s="2104"/>
      <c r="AG8" s="2104"/>
      <c r="AH8" s="2104"/>
      <c r="AI8" s="2104"/>
      <c r="AJ8" s="2104"/>
      <c r="AK8" s="2104"/>
      <c r="AL8" s="2104"/>
      <c r="AM8" s="2104"/>
      <c r="AN8" s="2104"/>
      <c r="AO8" s="2104"/>
      <c r="AP8" s="2104"/>
      <c r="AQ8"/>
      <c r="AR8"/>
      <c r="AS8"/>
    </row>
    <row r="9" spans="1:52" x14ac:dyDescent="0.35">
      <c r="A9" s="2104"/>
      <c r="B9" s="2105"/>
      <c r="D9" s="1940" t="str">
        <f>IF(Q20=TRUE, "Please enter RV's in the spaces below or leave blank","")</f>
        <v/>
      </c>
      <c r="I9" s="1690"/>
      <c r="J9" s="2104"/>
      <c r="L9" s="2158" t="s">
        <v>1970</v>
      </c>
      <c r="M9" s="2159" t="b">
        <v>0</v>
      </c>
      <c r="N9" s="2159" t="b">
        <v>0</v>
      </c>
      <c r="O9" s="2159" t="b">
        <v>0</v>
      </c>
      <c r="P9" s="1571" t="str">
        <f>D15</f>
        <v>n</v>
      </c>
      <c r="Q9" s="1564" t="b">
        <f t="shared" si="0"/>
        <v>0</v>
      </c>
      <c r="R9" s="1564" t="b">
        <f t="shared" si="1"/>
        <v>0</v>
      </c>
      <c r="S9" s="1571">
        <f>S8</f>
        <v>15000</v>
      </c>
      <c r="T9" s="2160">
        <f>D14</f>
        <v>0</v>
      </c>
      <c r="U9" s="1571" t="str">
        <f t="shared" si="2"/>
        <v>n</v>
      </c>
      <c r="V9" s="1571" t="b">
        <f t="shared" si="3"/>
        <v>0</v>
      </c>
      <c r="W9" s="1962" t="b">
        <f>D14&gt;0</f>
        <v>0</v>
      </c>
      <c r="X9"/>
      <c r="Y9"/>
      <c r="Z9" s="2104"/>
      <c r="AA9" s="2104"/>
      <c r="AB9" s="2104"/>
      <c r="AC9" s="2104"/>
      <c r="AD9" s="2104"/>
      <c r="AE9" s="2104"/>
      <c r="AF9" s="2104"/>
      <c r="AG9" s="2104"/>
      <c r="AH9" s="2104"/>
      <c r="AI9" s="2104"/>
      <c r="AJ9" s="2104"/>
      <c r="AK9" s="2104"/>
      <c r="AL9" s="2104"/>
      <c r="AM9" s="2104"/>
      <c r="AN9" s="2104"/>
      <c r="AO9" s="2104"/>
      <c r="AP9" s="2104"/>
      <c r="AQ9"/>
      <c r="AR9"/>
      <c r="AS9"/>
    </row>
    <row r="10" spans="1:52" x14ac:dyDescent="0.35">
      <c r="A10" s="2104"/>
      <c r="B10" s="2105"/>
      <c r="C10" s="2108" t="s">
        <v>18</v>
      </c>
      <c r="D10" s="2109" t="s">
        <v>1743</v>
      </c>
      <c r="E10" s="2109" t="s">
        <v>1744</v>
      </c>
      <c r="F10" s="2109" t="s">
        <v>1745</v>
      </c>
      <c r="G10" s="2109" t="s">
        <v>1746</v>
      </c>
      <c r="H10" s="2109" t="s">
        <v>1747</v>
      </c>
      <c r="I10" s="1690"/>
      <c r="J10" s="2104"/>
      <c r="L10" s="2158" t="s">
        <v>1971</v>
      </c>
      <c r="M10" s="2159" t="b">
        <v>0</v>
      </c>
      <c r="N10" s="2159" t="b">
        <v>0</v>
      </c>
      <c r="O10" s="2159" t="b">
        <v>0</v>
      </c>
      <c r="P10" s="1571" t="str">
        <f>E15</f>
        <v>n</v>
      </c>
      <c r="Q10" s="1564" t="b">
        <f t="shared" si="0"/>
        <v>0</v>
      </c>
      <c r="R10" s="1564" t="b">
        <f t="shared" si="1"/>
        <v>0</v>
      </c>
      <c r="S10" s="1571">
        <f>S9</f>
        <v>15000</v>
      </c>
      <c r="T10" s="2160">
        <f>E14</f>
        <v>0</v>
      </c>
      <c r="U10" s="1571" t="str">
        <f t="shared" si="2"/>
        <v>n</v>
      </c>
      <c r="V10" s="1571" t="b">
        <f t="shared" si="3"/>
        <v>0</v>
      </c>
      <c r="W10" s="1962" t="b">
        <f>E14&gt;0</f>
        <v>0</v>
      </c>
      <c r="Y10"/>
      <c r="Z10" s="2104"/>
      <c r="AA10" s="2104"/>
      <c r="AB10" s="2104"/>
      <c r="AC10" s="2104"/>
      <c r="AD10" s="2104"/>
      <c r="AE10" s="2104"/>
      <c r="AF10" s="2104"/>
      <c r="AG10" s="2104"/>
      <c r="AH10" s="2104"/>
      <c r="AI10" s="2104"/>
      <c r="AJ10" s="2104"/>
      <c r="AK10" s="2104"/>
      <c r="AL10" s="2104"/>
      <c r="AM10" s="2104"/>
      <c r="AN10" s="2104"/>
      <c r="AO10" s="2104"/>
      <c r="AP10" s="2104"/>
      <c r="AQ10"/>
      <c r="AR10"/>
      <c r="AS10"/>
      <c r="AT10"/>
      <c r="AU10"/>
      <c r="AV10"/>
      <c r="AW10"/>
      <c r="AX10"/>
    </row>
    <row r="11" spans="1:52" x14ac:dyDescent="0.35">
      <c r="A11" s="2104"/>
      <c r="B11" s="2105"/>
      <c r="C11" s="2110" t="str">
        <f>advanced!F9</f>
        <v>Prior List RV or zero if none</v>
      </c>
      <c r="D11" s="2111"/>
      <c r="E11" s="2111"/>
      <c r="F11" s="2111"/>
      <c r="G11" s="2111"/>
      <c r="H11" s="2111"/>
      <c r="I11" s="1690"/>
      <c r="J11" s="2104"/>
      <c r="L11" s="2158" t="s">
        <v>1972</v>
      </c>
      <c r="M11" s="2159" t="b">
        <v>0</v>
      </c>
      <c r="N11" s="2159" t="b">
        <v>0</v>
      </c>
      <c r="O11" s="2159" t="b">
        <v>0</v>
      </c>
      <c r="P11" s="1571" t="str">
        <f>F15</f>
        <v>n</v>
      </c>
      <c r="Q11" s="1564" t="b">
        <f t="shared" si="0"/>
        <v>0</v>
      </c>
      <c r="R11" s="1564" t="b">
        <f t="shared" si="1"/>
        <v>0</v>
      </c>
      <c r="S11" s="1571">
        <f>S10</f>
        <v>15000</v>
      </c>
      <c r="T11" s="2160">
        <f>F14</f>
        <v>0</v>
      </c>
      <c r="U11" s="1571" t="str">
        <f t="shared" si="2"/>
        <v>n</v>
      </c>
      <c r="V11" s="1571" t="b">
        <f t="shared" si="3"/>
        <v>0</v>
      </c>
      <c r="W11" s="1962" t="b">
        <f>F14&gt;0</f>
        <v>0</v>
      </c>
      <c r="X11"/>
      <c r="Y11"/>
      <c r="Z11" s="2104"/>
      <c r="AA11" s="2104"/>
      <c r="AB11" s="2104"/>
      <c r="AC11" s="2104"/>
      <c r="AD11" s="2104"/>
      <c r="AE11" s="2104"/>
      <c r="AF11" s="2104"/>
      <c r="AG11" s="2104"/>
      <c r="AH11" s="2104"/>
      <c r="AI11" s="2104"/>
      <c r="AJ11" s="2104"/>
      <c r="AK11" s="2104"/>
      <c r="AL11" s="2104"/>
      <c r="AM11" s="2104"/>
      <c r="AN11" s="2104"/>
      <c r="AO11" s="2104"/>
      <c r="AP11" s="2104"/>
      <c r="AQ11"/>
      <c r="AR11"/>
      <c r="AS11"/>
      <c r="AT11"/>
      <c r="AU11"/>
      <c r="AV11"/>
      <c r="AW11"/>
      <c r="AX11"/>
      <c r="AY11"/>
    </row>
    <row r="12" spans="1:52" x14ac:dyDescent="0.35">
      <c r="A12" s="2104"/>
      <c r="B12" s="2105"/>
      <c r="C12" s="1966" t="s">
        <v>1340</v>
      </c>
      <c r="D12" s="2112">
        <f>D11*data!$C$52</f>
        <v>0</v>
      </c>
      <c r="E12" s="2112">
        <f>E11*data!$C$52</f>
        <v>0</v>
      </c>
      <c r="F12" s="2112">
        <f>F11*data!$C$52</f>
        <v>0</v>
      </c>
      <c r="G12" s="2112">
        <f>G11*data!$C$52</f>
        <v>0</v>
      </c>
      <c r="H12" s="2112">
        <f>H11*data!$C$52</f>
        <v>0</v>
      </c>
      <c r="I12" s="1690"/>
      <c r="J12" s="2104"/>
      <c r="L12" s="2158" t="s">
        <v>1973</v>
      </c>
      <c r="M12" s="2159" t="b">
        <v>0</v>
      </c>
      <c r="N12" s="2159" t="b">
        <v>0</v>
      </c>
      <c r="O12" s="2159" t="b">
        <v>0</v>
      </c>
      <c r="P12" s="1571" t="str">
        <f>G15</f>
        <v>n</v>
      </c>
      <c r="Q12" s="1564" t="b">
        <f t="shared" si="0"/>
        <v>0</v>
      </c>
      <c r="R12" s="1564" t="b">
        <f t="shared" si="1"/>
        <v>0</v>
      </c>
      <c r="S12" s="1571">
        <f>S11</f>
        <v>15000</v>
      </c>
      <c r="T12" s="2160">
        <f>G14</f>
        <v>0</v>
      </c>
      <c r="U12" s="1571" t="str">
        <f t="shared" si="2"/>
        <v>n</v>
      </c>
      <c r="V12" s="1571" t="b">
        <f t="shared" si="3"/>
        <v>0</v>
      </c>
      <c r="W12" s="1962" t="b">
        <f>G14&gt;0</f>
        <v>0</v>
      </c>
      <c r="X12"/>
      <c r="Y12"/>
      <c r="Z12" s="2104"/>
      <c r="AA12" s="2104"/>
      <c r="AB12" s="2104"/>
      <c r="AC12" s="2104"/>
      <c r="AD12" s="2104"/>
      <c r="AE12" s="2104"/>
      <c r="AF12" s="2104"/>
      <c r="AG12" s="2104"/>
      <c r="AH12" s="2104"/>
      <c r="AI12" s="2104"/>
      <c r="AJ12" s="2104"/>
      <c r="AK12" s="2104"/>
      <c r="AL12" s="2104"/>
      <c r="AM12" s="2104"/>
      <c r="AN12" s="2104"/>
      <c r="AO12" s="2104"/>
      <c r="AP12" s="2104"/>
      <c r="AQ12"/>
      <c r="AR12"/>
      <c r="AS12"/>
      <c r="AT12"/>
      <c r="AU12"/>
      <c r="AV12"/>
      <c r="AW12"/>
      <c r="AX12"/>
      <c r="AY12"/>
      <c r="AZ12"/>
    </row>
    <row r="13" spans="1:52" x14ac:dyDescent="0.35">
      <c r="A13" s="2104"/>
      <c r="B13" s="2105"/>
      <c r="C13" s="2113" t="str">
        <f>IF(AND(M3=TRUE,G7&gt;0),"RV at "&amp;text!E52,IF(M3=TRUE,"RV (or Sch Cert Value) at "&amp;text!E52,"RV at "&amp;text!E52&amp;" (or 0 if new entry)"))</f>
        <v>RV at 01/04/23 (or 0 if new entry)</v>
      </c>
      <c r="D13" s="1646"/>
      <c r="E13" s="1646"/>
      <c r="F13" s="1646"/>
      <c r="G13" s="1646"/>
      <c r="H13" s="1646"/>
      <c r="I13" s="1690"/>
      <c r="J13" s="2104"/>
      <c r="L13" s="2158" t="s">
        <v>1974</v>
      </c>
      <c r="M13" s="2159" t="b">
        <v>0</v>
      </c>
      <c r="N13" s="2159" t="b">
        <v>0</v>
      </c>
      <c r="O13" s="2159" t="b">
        <v>0</v>
      </c>
      <c r="P13" s="1571" t="str">
        <f>H15</f>
        <v>n</v>
      </c>
      <c r="Q13" s="1564" t="b">
        <f t="shared" si="0"/>
        <v>0</v>
      </c>
      <c r="R13" s="1564" t="b">
        <f t="shared" si="1"/>
        <v>0</v>
      </c>
      <c r="S13" s="1571">
        <f>S12</f>
        <v>15000</v>
      </c>
      <c r="T13" s="2160">
        <f>H14</f>
        <v>0</v>
      </c>
      <c r="U13" s="1571" t="str">
        <f t="shared" si="2"/>
        <v>n</v>
      </c>
      <c r="V13" s="1571" t="b">
        <f t="shared" si="3"/>
        <v>0</v>
      </c>
      <c r="W13" s="1962" t="b">
        <f>H14&gt;0</f>
        <v>0</v>
      </c>
      <c r="X13"/>
      <c r="Y13"/>
      <c r="Z13" s="2104"/>
      <c r="AA13" s="2104"/>
      <c r="AB13" s="2104"/>
      <c r="AC13" s="2104"/>
      <c r="AD13" s="2104"/>
      <c r="AE13" s="2104"/>
      <c r="AF13" s="2104"/>
      <c r="AG13" s="2104"/>
      <c r="AH13" s="2104"/>
      <c r="AI13" s="2104"/>
      <c r="AJ13" s="2104"/>
      <c r="AK13" s="2104"/>
      <c r="AL13" s="2104"/>
      <c r="AM13" s="2104"/>
      <c r="AN13" s="2104"/>
      <c r="AO13" s="2104"/>
      <c r="AP13" s="2104"/>
      <c r="AQ13"/>
      <c r="AR13"/>
      <c r="AS13"/>
      <c r="AT13"/>
      <c r="AU13"/>
      <c r="AV13"/>
      <c r="AW13"/>
      <c r="AX13"/>
      <c r="AY13"/>
      <c r="AZ13"/>
    </row>
    <row r="14" spans="1:52" x14ac:dyDescent="0.35">
      <c r="A14" s="2104"/>
      <c r="B14" s="2105"/>
      <c r="C14" s="1966" t="str">
        <f>IF(D7="","RV on ----",IF(M3=FALSE,"RV on "&amp;TEXT(T3,"dd/mm/yy")&amp;" (day before merge)",C13))</f>
        <v>RV on ----</v>
      </c>
      <c r="D14" s="1646">
        <f>D13</f>
        <v>0</v>
      </c>
      <c r="E14" s="1646">
        <f>E13</f>
        <v>0</v>
      </c>
      <c r="F14" s="1646">
        <f>F13</f>
        <v>0</v>
      </c>
      <c r="G14" s="1646">
        <f>G13</f>
        <v>0</v>
      </c>
      <c r="H14" s="1646">
        <f>H13</f>
        <v>0</v>
      </c>
      <c r="I14" s="1690"/>
      <c r="J14" s="2104"/>
      <c r="Q14" s="1597">
        <f>Q9+Q10+Q11+Q12+Q13</f>
        <v>0</v>
      </c>
      <c r="R14" s="1597">
        <f>R9+R10+R11+R12+R13</f>
        <v>0</v>
      </c>
      <c r="T14" s="1597"/>
      <c r="V14" s="1597">
        <f>V9+V10+V11+V12+V13</f>
        <v>0</v>
      </c>
      <c r="W14" s="1962">
        <f>W9+W10+W11+W12+W13</f>
        <v>0</v>
      </c>
      <c r="X14"/>
      <c r="Y14"/>
      <c r="Z14" s="2104"/>
      <c r="AA14" s="2104"/>
      <c r="AB14" s="2104"/>
      <c r="AC14" s="2104"/>
      <c r="AD14" s="2104"/>
      <c r="AE14" s="2104"/>
      <c r="AF14" s="2104"/>
      <c r="AG14" s="2104"/>
      <c r="AH14" s="2104"/>
      <c r="AI14" s="2104"/>
      <c r="AJ14" s="2104"/>
      <c r="AK14" s="2104"/>
      <c r="AL14" s="2104"/>
      <c r="AM14" s="2104"/>
      <c r="AN14" s="2104"/>
      <c r="AO14" s="2104"/>
      <c r="AP14" s="2104"/>
      <c r="AQ14"/>
      <c r="AR14"/>
      <c r="AS14"/>
      <c r="AT14"/>
      <c r="AU14"/>
      <c r="AV14"/>
      <c r="AW14"/>
      <c r="AX14"/>
      <c r="AY14"/>
    </row>
    <row r="15" spans="1:52" x14ac:dyDescent="0.35">
      <c r="A15" s="2104"/>
      <c r="B15" s="2105"/>
      <c r="C15" s="1966" t="str">
        <f>C8</f>
        <v>Small Business Rate Relief?</v>
      </c>
      <c r="D15" s="1951" t="s">
        <v>426</v>
      </c>
      <c r="E15" s="1951" t="s">
        <v>426</v>
      </c>
      <c r="F15" s="1951" t="s">
        <v>426</v>
      </c>
      <c r="G15" s="1951" t="s">
        <v>426</v>
      </c>
      <c r="H15" s="1951" t="s">
        <v>426</v>
      </c>
      <c r="I15" s="1690"/>
      <c r="J15" s="2104"/>
      <c r="M15" s="1493" t="s">
        <v>20</v>
      </c>
      <c r="X15"/>
      <c r="Y15"/>
      <c r="Z15" s="2104"/>
      <c r="AA15" s="2104"/>
      <c r="AB15" s="2104"/>
      <c r="AC15" s="2104"/>
      <c r="AD15" s="2104"/>
      <c r="AE15" s="2104"/>
      <c r="AF15" s="2104"/>
      <c r="AG15" s="2104"/>
      <c r="AH15" s="2104"/>
      <c r="AI15" s="2104"/>
      <c r="AJ15" s="2104"/>
      <c r="AK15" s="2104"/>
      <c r="AL15" s="2104"/>
      <c r="AM15" s="2104"/>
      <c r="AN15" s="2104"/>
      <c r="AO15" s="2104"/>
      <c r="AP15" s="2104"/>
      <c r="AQ15"/>
      <c r="AR15"/>
      <c r="AS15"/>
      <c r="AT15"/>
      <c r="AU15"/>
      <c r="AV15"/>
      <c r="AW15"/>
      <c r="AX15"/>
      <c r="AY15"/>
    </row>
    <row r="16" spans="1:52" x14ac:dyDescent="0.35">
      <c r="A16" s="2104"/>
      <c r="B16" s="2105"/>
      <c r="C16" s="1966" t="s">
        <v>19</v>
      </c>
      <c r="D16" s="1938" t="s">
        <v>1021</v>
      </c>
      <c r="E16" s="1938" t="s">
        <v>1021</v>
      </c>
      <c r="F16" s="1938" t="s">
        <v>1021</v>
      </c>
      <c r="G16" s="1938" t="s">
        <v>1021</v>
      </c>
      <c r="H16" s="1938" t="s">
        <v>1021</v>
      </c>
      <c r="I16" s="1690"/>
      <c r="J16" s="2104"/>
      <c r="M16" s="1945" t="str">
        <f>T(D11)</f>
        <v/>
      </c>
      <c r="N16" s="1945" t="str">
        <f>T(E11)</f>
        <v/>
      </c>
      <c r="O16" s="1945" t="str">
        <f>T(F11)</f>
        <v/>
      </c>
      <c r="P16" s="1945" t="str">
        <f>T(G11)</f>
        <v/>
      </c>
      <c r="Q16" s="1945" t="str">
        <f>T(H11)</f>
        <v/>
      </c>
      <c r="X16"/>
      <c r="Y16"/>
      <c r="Z16" s="2104"/>
      <c r="AA16" s="2104"/>
      <c r="AB16" s="2104"/>
      <c r="AC16" s="2104"/>
      <c r="AD16" s="2104"/>
      <c r="AE16" s="2104"/>
      <c r="AF16" s="2104"/>
      <c r="AG16" s="2104"/>
      <c r="AH16" s="2104"/>
      <c r="AI16" s="2104"/>
      <c r="AJ16" s="2104"/>
      <c r="AK16" s="2104"/>
      <c r="AL16" s="2104"/>
      <c r="AM16" s="2104"/>
      <c r="AN16" s="2104"/>
      <c r="AO16" s="2104"/>
      <c r="AP16" s="2104"/>
      <c r="AQ16"/>
      <c r="AR16"/>
      <c r="AS16"/>
      <c r="AT16"/>
      <c r="AU16"/>
      <c r="AV16"/>
      <c r="AW16"/>
      <c r="AX16"/>
      <c r="AY16"/>
    </row>
    <row r="17" spans="1:51" ht="27.75" customHeight="1" x14ac:dyDescent="0.35">
      <c r="A17" s="2104"/>
      <c r="B17" s="2105"/>
      <c r="C17" s="1501" t="str">
        <f>split!C21</f>
        <v>Enter Address Details</v>
      </c>
      <c r="I17" s="1690"/>
      <c r="J17" s="2104"/>
      <c r="M17" s="1945" t="b">
        <f>M16&lt;&gt;""</f>
        <v>0</v>
      </c>
      <c r="N17" s="1945" t="b">
        <f>N16&lt;&gt;""</f>
        <v>0</v>
      </c>
      <c r="O17" s="1945" t="b">
        <f>O16&lt;&gt;""</f>
        <v>0</v>
      </c>
      <c r="P17" s="1945" t="b">
        <f>P16&lt;&gt;""</f>
        <v>0</v>
      </c>
      <c r="Q17" s="1945" t="b">
        <f>Q16&lt;&gt;""</f>
        <v>0</v>
      </c>
      <c r="X17"/>
      <c r="Y17"/>
      <c r="Z17" s="2104"/>
      <c r="AA17" s="2104"/>
      <c r="AB17" s="2104"/>
      <c r="AC17" s="2104"/>
      <c r="AD17" s="2104"/>
      <c r="AE17" s="2104"/>
      <c r="AF17" s="2104"/>
      <c r="AG17" s="2104"/>
      <c r="AH17" s="2104"/>
      <c r="AI17" s="2104"/>
      <c r="AJ17" s="2104"/>
      <c r="AK17" s="2104"/>
      <c r="AL17" s="2104"/>
      <c r="AM17" s="2104"/>
      <c r="AN17" s="2104"/>
      <c r="AO17" s="2104"/>
      <c r="AP17" s="2104"/>
      <c r="AQ17"/>
      <c r="AR17"/>
      <c r="AS17"/>
      <c r="AT17"/>
      <c r="AU17"/>
      <c r="AV17"/>
      <c r="AW17"/>
      <c r="AX17"/>
      <c r="AY17"/>
    </row>
    <row r="18" spans="1:51" ht="21" customHeight="1" x14ac:dyDescent="0.35">
      <c r="A18" s="2104"/>
      <c r="B18"/>
      <c r="C18" s="2162" t="str">
        <f>IF(Q14&gt;0,"Can't have Charity with SBRR  ","")</f>
        <v/>
      </c>
      <c r="D18" s="2114"/>
      <c r="E18" s="2114"/>
      <c r="F18" s="2114"/>
      <c r="G18" s="2114"/>
      <c r="H18" s="2114"/>
      <c r="J18" s="2104"/>
      <c r="M18" s="1945" t="str">
        <f>T(D13)</f>
        <v/>
      </c>
      <c r="N18" s="1945" t="str">
        <f>T(E13)</f>
        <v/>
      </c>
      <c r="O18" s="1945" t="str">
        <f>T(F13)</f>
        <v/>
      </c>
      <c r="P18" s="1945" t="str">
        <f>T(G13)</f>
        <v/>
      </c>
      <c r="Q18" s="1945" t="str">
        <f>T(H13)</f>
        <v/>
      </c>
      <c r="X18"/>
      <c r="Y18"/>
      <c r="Z18" s="2104"/>
      <c r="AA18" s="2104"/>
      <c r="AB18" s="2104"/>
      <c r="AC18" s="2104"/>
      <c r="AD18" s="2104"/>
      <c r="AE18" s="2104"/>
      <c r="AF18" s="2104"/>
      <c r="AG18" s="2104"/>
      <c r="AH18" s="2104"/>
      <c r="AI18" s="2104"/>
      <c r="AJ18" s="2104"/>
      <c r="AK18" s="2104"/>
      <c r="AL18" s="2104"/>
      <c r="AM18" s="2104"/>
      <c r="AN18" s="2104"/>
      <c r="AO18" s="2104"/>
      <c r="AP18" s="2104"/>
      <c r="AQ18"/>
      <c r="AR18"/>
      <c r="AW18"/>
      <c r="AX18"/>
      <c r="AY18"/>
    </row>
    <row r="19" spans="1:51" ht="21" customHeight="1" x14ac:dyDescent="0.35">
      <c r="A19" s="2104"/>
      <c r="B19" s="2105"/>
      <c r="C19" s="2162" t="str">
        <f>IF(R14&gt;0,"Can't apply with SBRR, Charity or Retail","")</f>
        <v/>
      </c>
      <c r="D19" s="2115"/>
      <c r="E19" s="2115"/>
      <c r="F19" s="2115"/>
      <c r="G19" s="2115"/>
      <c r="H19" s="2115"/>
      <c r="I19" s="1690"/>
      <c r="J19" s="2104"/>
      <c r="M19" s="1945" t="b">
        <f>M18&lt;&gt;""</f>
        <v>0</v>
      </c>
      <c r="N19" s="1945" t="b">
        <f>N18&lt;&gt;""</f>
        <v>0</v>
      </c>
      <c r="O19" s="1945" t="b">
        <f>O18&lt;&gt;""</f>
        <v>0</v>
      </c>
      <c r="P19" s="1945" t="b">
        <f>P18&lt;&gt;""</f>
        <v>0</v>
      </c>
      <c r="Q19" s="1945" t="b">
        <f>Q18&lt;&gt;""</f>
        <v>0</v>
      </c>
      <c r="X19"/>
      <c r="Y19"/>
      <c r="Z19" s="2104"/>
      <c r="AA19" s="2104"/>
      <c r="AB19" s="2104"/>
      <c r="AC19" s="2104"/>
      <c r="AD19" s="2104"/>
      <c r="AE19" s="2104"/>
      <c r="AF19" s="2104"/>
      <c r="AG19" s="2104"/>
      <c r="AH19" s="2104"/>
      <c r="AI19" s="2104"/>
      <c r="AJ19" s="2104"/>
      <c r="AK19" s="2104"/>
      <c r="AL19" s="2104"/>
      <c r="AM19" s="2104"/>
      <c r="AN19" s="2104"/>
      <c r="AO19" s="2104"/>
      <c r="AP19" s="2104"/>
      <c r="AQ19"/>
      <c r="AR19"/>
      <c r="AW19"/>
      <c r="AX19"/>
      <c r="AY19"/>
    </row>
    <row r="20" spans="1:51" ht="21" customHeight="1" x14ac:dyDescent="0.35">
      <c r="A20" s="2104"/>
      <c r="B20" s="2105"/>
      <c r="D20" s="2116"/>
      <c r="E20" s="2116"/>
      <c r="F20" s="2116"/>
      <c r="G20" s="2116"/>
      <c r="H20" s="2116"/>
      <c r="J20" s="2104"/>
      <c r="O20" s="1745" t="s">
        <v>1982</v>
      </c>
      <c r="P20" s="1945">
        <f>M17+N17+O17+P17+Q17+M19+N19+O19+P19+Q19</f>
        <v>0</v>
      </c>
      <c r="Q20" s="1745" t="b">
        <f>P20&gt;0</f>
        <v>0</v>
      </c>
      <c r="X20"/>
      <c r="Y20"/>
      <c r="Z20" s="2104"/>
      <c r="AA20" s="2104"/>
      <c r="AB20" s="2104"/>
      <c r="AC20" s="2104"/>
      <c r="AD20" s="2104"/>
      <c r="AE20" s="2104"/>
      <c r="AF20" s="2104"/>
      <c r="AG20" s="2104"/>
      <c r="AH20" s="2104"/>
      <c r="AI20" s="2104"/>
      <c r="AJ20" s="2104"/>
      <c r="AK20" s="2104"/>
      <c r="AL20" s="2104"/>
      <c r="AM20" s="2104"/>
      <c r="AN20" s="2104"/>
      <c r="AO20" s="2104"/>
      <c r="AP20" s="2104"/>
      <c r="AQ20"/>
      <c r="AR20"/>
      <c r="AW20"/>
      <c r="AX20"/>
      <c r="AY20"/>
    </row>
    <row r="21" spans="1:51" ht="9" customHeight="1" x14ac:dyDescent="0.35">
      <c r="A21" s="2104"/>
      <c r="B21" s="2117"/>
      <c r="C21" s="1924"/>
      <c r="D21" s="1924"/>
      <c r="E21" s="1924"/>
      <c r="F21" s="1924"/>
      <c r="G21" s="1924"/>
      <c r="H21" s="1924"/>
      <c r="I21" s="1924"/>
      <c r="J21" s="2104"/>
      <c r="X21"/>
      <c r="Y21"/>
      <c r="Z21" s="2104"/>
      <c r="AA21" s="2104"/>
      <c r="AB21" s="2104"/>
      <c r="AC21" s="2104"/>
      <c r="AD21" s="2104"/>
      <c r="AE21" s="2104"/>
      <c r="AF21" s="2104"/>
      <c r="AG21" s="2104"/>
      <c r="AH21" s="2104"/>
      <c r="AI21" s="2104"/>
      <c r="AJ21" s="2104"/>
      <c r="AK21" s="2104"/>
      <c r="AL21" s="2104"/>
      <c r="AM21" s="2104"/>
      <c r="AN21" s="2104"/>
      <c r="AO21" s="2104"/>
      <c r="AP21" s="2104"/>
      <c r="AQ21"/>
      <c r="AR21"/>
      <c r="AW21"/>
      <c r="AX21"/>
      <c r="AY21"/>
    </row>
    <row r="22" spans="1:51" ht="24" customHeight="1" x14ac:dyDescent="0.35">
      <c r="A22" s="2104"/>
      <c r="B22" s="2104"/>
      <c r="C22" s="2104"/>
      <c r="D22" s="2104"/>
      <c r="E22" s="2104"/>
      <c r="F22" s="2104"/>
      <c r="G22" s="2104"/>
      <c r="H22" s="2104"/>
      <c r="I22" s="2104"/>
      <c r="J22" s="2104"/>
      <c r="L22" s="1493" t="s">
        <v>1983</v>
      </c>
      <c r="X22"/>
      <c r="Y22"/>
      <c r="Z22" s="2104"/>
      <c r="AA22" s="2104"/>
      <c r="AB22" s="2104"/>
      <c r="AC22" s="2104"/>
      <c r="AD22" s="2104"/>
      <c r="AE22" s="2104"/>
      <c r="AF22" s="2104"/>
      <c r="AG22" s="2104"/>
      <c r="AH22" s="2104"/>
      <c r="AI22" s="2104"/>
      <c r="AJ22" s="2104"/>
      <c r="AK22" s="2104"/>
      <c r="AL22" s="2104"/>
      <c r="AM22" s="2104"/>
      <c r="AN22" s="2104"/>
      <c r="AO22" s="2104"/>
      <c r="AP22" s="2104"/>
      <c r="AQ22"/>
      <c r="AR22"/>
      <c r="AW22"/>
      <c r="AX22"/>
      <c r="AY22"/>
    </row>
    <row r="23" spans="1:51" ht="19.5" customHeight="1" x14ac:dyDescent="0.35">
      <c r="A23" s="2104"/>
      <c r="B23" s="2104"/>
      <c r="C23" s="2104"/>
      <c r="D23" s="2104"/>
      <c r="E23" s="2104"/>
      <c r="F23" s="2104"/>
      <c r="G23" s="2104"/>
      <c r="H23" s="2104"/>
      <c r="I23" s="2104"/>
      <c r="J23" s="2104"/>
      <c r="L23" s="503" t="b">
        <f>D6=""</f>
        <v>1</v>
      </c>
      <c r="M23" s="503" t="s">
        <v>1984</v>
      </c>
      <c r="N23"/>
      <c r="O23"/>
      <c r="P23"/>
      <c r="Q23"/>
      <c r="R23"/>
      <c r="S23"/>
      <c r="T23"/>
      <c r="U23"/>
      <c r="V23"/>
      <c r="W23"/>
      <c r="X23"/>
      <c r="Y23"/>
      <c r="Z23" s="2104"/>
      <c r="AA23" s="2104"/>
      <c r="AB23" s="2104"/>
      <c r="AC23" s="2104"/>
      <c r="AD23" s="2104"/>
      <c r="AE23" s="2104"/>
      <c r="AF23" s="2104"/>
      <c r="AG23" s="2104"/>
      <c r="AH23" s="2104"/>
      <c r="AI23" s="2104"/>
      <c r="AJ23" s="2104"/>
      <c r="AK23" s="2104"/>
      <c r="AL23" s="2104"/>
      <c r="AM23" s="2104"/>
      <c r="AN23" s="2104"/>
      <c r="AO23" s="2104"/>
      <c r="AP23" s="2104"/>
    </row>
    <row r="24" spans="1:51" x14ac:dyDescent="0.35">
      <c r="A24" s="2104"/>
      <c r="B24" s="2104"/>
      <c r="C24" s="2104"/>
      <c r="D24" s="2104"/>
      <c r="E24" s="2104"/>
      <c r="F24" s="2118"/>
      <c r="G24" s="2104"/>
      <c r="H24" s="2104"/>
      <c r="I24" s="2119"/>
      <c r="J24" s="2104"/>
      <c r="K24"/>
      <c r="L24" s="503" t="b">
        <f>D7=""</f>
        <v>1</v>
      </c>
      <c r="M24" s="503" t="s">
        <v>1985</v>
      </c>
      <c r="N24"/>
      <c r="O24"/>
      <c r="P24"/>
      <c r="Q24"/>
      <c r="R24"/>
      <c r="S24"/>
      <c r="T24"/>
      <c r="U24"/>
      <c r="V24"/>
      <c r="W24"/>
      <c r="X24"/>
      <c r="Y24"/>
      <c r="Z24" s="2104"/>
      <c r="AA24" s="2104"/>
      <c r="AB24" s="2104"/>
      <c r="AC24" s="2104"/>
      <c r="AD24" s="2104"/>
      <c r="AE24" s="2104"/>
      <c r="AF24" s="2104"/>
      <c r="AG24" s="2104"/>
      <c r="AH24" s="2104"/>
      <c r="AI24" s="2104"/>
      <c r="AJ24" s="2104"/>
      <c r="AK24" s="2104"/>
      <c r="AL24" s="2104"/>
      <c r="AM24" s="2104"/>
      <c r="AN24" s="2104"/>
      <c r="AO24" s="2104"/>
      <c r="AP24" s="2104"/>
    </row>
    <row r="25" spans="1:51" x14ac:dyDescent="0.35">
      <c r="A25" s="2104"/>
      <c r="B25" s="2104"/>
      <c r="C25" s="2104"/>
      <c r="D25" s="2104"/>
      <c r="E25" s="2104"/>
      <c r="F25" s="2104"/>
      <c r="G25" s="2104"/>
      <c r="H25" s="2104"/>
      <c r="I25" s="2104"/>
      <c r="J25" s="2104"/>
      <c r="K25"/>
      <c r="L25" s="503" t="b">
        <f>OR(D14=0,D14="")</f>
        <v>1</v>
      </c>
      <c r="M25" s="503" t="s">
        <v>1986</v>
      </c>
      <c r="N25"/>
      <c r="O25"/>
      <c r="P25"/>
      <c r="Q25"/>
      <c r="R25"/>
      <c r="S25"/>
      <c r="T25"/>
      <c r="U25"/>
      <c r="V25"/>
      <c r="W25"/>
      <c r="X25"/>
      <c r="Y25"/>
      <c r="Z25" s="2104"/>
      <c r="AA25" s="2104"/>
      <c r="AB25" s="2104"/>
      <c r="AC25" s="2104"/>
      <c r="AD25" s="2104"/>
      <c r="AE25" s="2104"/>
      <c r="AF25" s="2104"/>
      <c r="AG25" s="2104"/>
      <c r="AH25" s="2104"/>
      <c r="AI25" s="2104"/>
      <c r="AJ25" s="2104"/>
      <c r="AK25" s="2104"/>
      <c r="AL25" s="2104"/>
      <c r="AM25" s="2104"/>
      <c r="AN25" s="2104"/>
      <c r="AO25" s="2104"/>
      <c r="AP25" s="2104"/>
    </row>
    <row r="26" spans="1:51" x14ac:dyDescent="0.35">
      <c r="A26" s="2104"/>
      <c r="B26" s="2104"/>
      <c r="C26" s="2104"/>
      <c r="D26" s="2104"/>
      <c r="E26" s="2104"/>
      <c r="F26" s="2104"/>
      <c r="G26" s="2104"/>
      <c r="H26" s="2104"/>
      <c r="I26" s="2104"/>
      <c r="J26" s="2104"/>
      <c r="K26"/>
      <c r="L26" s="503" t="b">
        <f>S3</f>
        <v>0</v>
      </c>
      <c r="M26" s="503" t="s">
        <v>1987</v>
      </c>
      <c r="N26"/>
      <c r="O26"/>
      <c r="P26"/>
      <c r="Q26"/>
      <c r="R26"/>
      <c r="S26"/>
      <c r="T26"/>
      <c r="U26"/>
      <c r="V26"/>
      <c r="W26"/>
      <c r="X26"/>
      <c r="Y26"/>
      <c r="Z26" s="2104"/>
      <c r="AA26" s="2104"/>
      <c r="AB26" s="2104"/>
      <c r="AC26" s="2104"/>
      <c r="AD26" s="2104"/>
      <c r="AE26" s="2104"/>
      <c r="AF26" s="2104"/>
      <c r="AG26" s="2104"/>
      <c r="AH26" s="2104"/>
      <c r="AI26" s="2104"/>
      <c r="AJ26" s="2104"/>
      <c r="AK26" s="2104"/>
      <c r="AL26" s="2104"/>
      <c r="AM26" s="2104"/>
      <c r="AN26" s="2104"/>
      <c r="AO26" s="2104"/>
      <c r="AP26" s="2104"/>
    </row>
    <row r="27" spans="1:51" x14ac:dyDescent="0.35">
      <c r="A27" s="2104"/>
      <c r="B27" s="2104"/>
      <c r="C27" s="2104"/>
      <c r="D27" s="2104"/>
      <c r="E27" s="2104"/>
      <c r="F27" s="2104"/>
      <c r="G27" s="2104"/>
      <c r="H27" s="2104"/>
      <c r="I27" s="2104"/>
      <c r="J27" s="2104"/>
      <c r="K27"/>
      <c r="L27" s="503" t="b">
        <f>P3=FALSE</f>
        <v>1</v>
      </c>
      <c r="M27" s="503" t="s">
        <v>1988</v>
      </c>
      <c r="N27"/>
      <c r="O27"/>
      <c r="P27"/>
      <c r="Q27"/>
      <c r="R27"/>
      <c r="S27"/>
      <c r="T27"/>
      <c r="U27"/>
      <c r="V27"/>
      <c r="W27"/>
      <c r="X27"/>
      <c r="Y27"/>
      <c r="Z27" s="2104"/>
      <c r="AA27" s="2104"/>
      <c r="AB27" s="2104"/>
      <c r="AC27" s="2104"/>
      <c r="AD27" s="2104"/>
      <c r="AE27" s="2104"/>
      <c r="AF27" s="2104"/>
      <c r="AG27" s="2104"/>
      <c r="AH27" s="2104"/>
      <c r="AI27" s="2104"/>
      <c r="AJ27" s="2104"/>
      <c r="AK27" s="2104"/>
      <c r="AL27" s="2104"/>
      <c r="AM27" s="2104"/>
      <c r="AN27" s="2104"/>
      <c r="AO27" s="2104"/>
      <c r="AP27" s="2104"/>
    </row>
    <row r="28" spans="1:51" ht="18.75" customHeight="1" x14ac:dyDescent="0.35">
      <c r="A28" s="2104"/>
      <c r="B28" s="2104"/>
      <c r="C28" s="2104"/>
      <c r="D28" s="2104"/>
      <c r="E28" s="2104"/>
      <c r="F28" s="2104"/>
      <c r="G28" s="2104"/>
      <c r="H28" s="2104"/>
      <c r="I28" s="2104"/>
      <c r="J28" s="2104"/>
      <c r="L28" s="503" t="b">
        <f>Q14&gt;0</f>
        <v>0</v>
      </c>
      <c r="M28" s="503" t="s">
        <v>1989</v>
      </c>
      <c r="N28"/>
      <c r="O28"/>
      <c r="P28"/>
      <c r="Q28"/>
      <c r="T28"/>
      <c r="U28"/>
      <c r="V28"/>
      <c r="Y28"/>
      <c r="Z28" s="2104"/>
      <c r="AA28" s="2104"/>
      <c r="AB28" s="2104"/>
      <c r="AC28" s="2104"/>
      <c r="AD28" s="2104"/>
      <c r="AE28" s="2104"/>
      <c r="AF28" s="2104"/>
      <c r="AG28" s="2104"/>
      <c r="AH28" s="2104"/>
      <c r="AI28" s="2104"/>
      <c r="AJ28" s="2104"/>
      <c r="AK28" s="2104"/>
      <c r="AL28" s="2104"/>
      <c r="AM28" s="2104"/>
      <c r="AN28" s="2104"/>
      <c r="AO28" s="2104"/>
      <c r="AP28" s="2104"/>
    </row>
    <row r="29" spans="1:51" ht="18.75" customHeight="1" x14ac:dyDescent="0.35">
      <c r="A29" s="2104"/>
      <c r="B29" s="2104"/>
      <c r="C29" s="2104"/>
      <c r="D29" s="2104"/>
      <c r="E29" s="2104"/>
      <c r="F29" s="2104"/>
      <c r="G29" s="2104"/>
      <c r="H29" s="2104"/>
      <c r="I29" s="2104"/>
      <c r="J29" s="2104"/>
      <c r="L29" s="503" t="b">
        <f>R14&gt;0</f>
        <v>0</v>
      </c>
      <c r="M29" s="503" t="s">
        <v>1990</v>
      </c>
      <c r="N29"/>
      <c r="O29"/>
      <c r="P29"/>
      <c r="Q29"/>
      <c r="R29"/>
      <c r="S29"/>
      <c r="T29"/>
      <c r="U29"/>
      <c r="V29"/>
      <c r="W29"/>
      <c r="X29"/>
      <c r="Y29"/>
      <c r="Z29" s="2104"/>
      <c r="AA29" s="2104"/>
      <c r="AB29" s="2104"/>
      <c r="AC29" s="2104"/>
      <c r="AD29" s="2104"/>
      <c r="AE29" s="2104"/>
      <c r="AF29" s="2104"/>
      <c r="AG29" s="2104"/>
      <c r="AH29" s="2104"/>
      <c r="AI29" s="2104"/>
      <c r="AJ29" s="2104"/>
      <c r="AK29" s="2104"/>
      <c r="AL29" s="2104"/>
      <c r="AM29" s="2104"/>
      <c r="AN29" s="2104"/>
      <c r="AO29" s="2104"/>
      <c r="AP29" s="2104"/>
    </row>
    <row r="30" spans="1:51" ht="18.75" customHeight="1" x14ac:dyDescent="0.35">
      <c r="A30" s="2104"/>
      <c r="B30" s="2104"/>
      <c r="C30" s="2104"/>
      <c r="D30" s="2104"/>
      <c r="E30" s="2104"/>
      <c r="F30" s="2104"/>
      <c r="G30" s="2104"/>
      <c r="H30" s="2104"/>
      <c r="I30" s="2104"/>
      <c r="J30" s="2104"/>
      <c r="L30" s="503" t="b">
        <f>V14&gt;0</f>
        <v>0</v>
      </c>
      <c r="M30" s="503" t="s">
        <v>1991</v>
      </c>
      <c r="N30"/>
      <c r="O30"/>
      <c r="P30"/>
      <c r="Q30"/>
      <c r="R30"/>
      <c r="S30"/>
      <c r="T30"/>
      <c r="U30"/>
      <c r="V30"/>
      <c r="W30"/>
      <c r="X30"/>
      <c r="Y30"/>
      <c r="Z30" s="2104"/>
      <c r="AA30" s="2104"/>
      <c r="AB30" s="2104"/>
      <c r="AC30" s="2104"/>
      <c r="AD30" s="2104"/>
      <c r="AE30" s="2104"/>
      <c r="AF30" s="2104"/>
      <c r="AG30" s="2104"/>
      <c r="AH30" s="2104"/>
      <c r="AI30" s="2104"/>
      <c r="AJ30" s="2104"/>
      <c r="AK30" s="2104"/>
      <c r="AL30" s="2104"/>
      <c r="AM30" s="2104"/>
      <c r="AN30" s="2104"/>
      <c r="AO30" s="2104"/>
      <c r="AP30" s="2104"/>
    </row>
    <row r="31" spans="1:51" ht="19.5" customHeight="1" x14ac:dyDescent="0.35">
      <c r="A31" s="2104"/>
      <c r="B31" s="2104"/>
      <c r="C31" s="2104"/>
      <c r="D31" s="2104"/>
      <c r="E31" s="2104"/>
      <c r="F31" s="2104"/>
      <c r="G31" s="2104"/>
      <c r="H31" s="2104"/>
      <c r="I31" s="2104"/>
      <c r="J31" s="2104"/>
      <c r="L31" s="503" t="b">
        <v>1</v>
      </c>
      <c r="M31" s="503"/>
      <c r="N31"/>
      <c r="O31"/>
      <c r="P31"/>
      <c r="Q31"/>
      <c r="R31"/>
      <c r="S31"/>
      <c r="T31"/>
      <c r="U31"/>
      <c r="V31"/>
      <c r="W31"/>
      <c r="X31"/>
      <c r="Y31"/>
      <c r="Z31" s="2104"/>
      <c r="AA31" s="2104"/>
      <c r="AB31" s="2104"/>
      <c r="AC31" s="2104"/>
      <c r="AD31" s="2104"/>
      <c r="AE31" s="2104"/>
      <c r="AF31" s="2104"/>
      <c r="AG31" s="2104"/>
      <c r="AH31" s="2104"/>
      <c r="AI31" s="2104"/>
      <c r="AJ31" s="2104"/>
      <c r="AK31" s="2104"/>
      <c r="AL31" s="2104"/>
      <c r="AM31" s="2104"/>
      <c r="AN31" s="2104"/>
      <c r="AO31" s="2104"/>
      <c r="AP31" s="2104"/>
    </row>
    <row r="32" spans="1:51" x14ac:dyDescent="0.35">
      <c r="A32" s="2104"/>
      <c r="B32" s="2104"/>
      <c r="C32" s="2104"/>
      <c r="D32" s="2104"/>
      <c r="E32" s="2104"/>
      <c r="F32" s="2104"/>
      <c r="G32" s="2104"/>
      <c r="H32" s="2104"/>
      <c r="I32" s="2104"/>
      <c r="J32" s="2104"/>
      <c r="L32" s="1564">
        <f>L23+L24+L25+L26+L27+L28+L29+L30</f>
        <v>4</v>
      </c>
      <c r="M32" s="1564" t="s">
        <v>1992</v>
      </c>
      <c r="N32"/>
      <c r="O32"/>
      <c r="P32"/>
      <c r="Q32"/>
      <c r="R32"/>
      <c r="S32"/>
      <c r="T32"/>
      <c r="U32"/>
      <c r="V32"/>
      <c r="W32"/>
      <c r="X32"/>
      <c r="Y32"/>
      <c r="Z32" s="2104"/>
      <c r="AA32" s="2104"/>
      <c r="AB32" s="2104"/>
      <c r="AC32" s="2104"/>
      <c r="AD32" s="2104"/>
      <c r="AE32" s="2104"/>
      <c r="AF32" s="2104"/>
      <c r="AG32" s="2104"/>
      <c r="AH32" s="2104"/>
      <c r="AI32" s="2104"/>
      <c r="AJ32" s="2104"/>
      <c r="AK32" s="2104"/>
      <c r="AL32" s="2104"/>
      <c r="AM32" s="2104"/>
      <c r="AN32" s="2104"/>
      <c r="AO32" s="2104"/>
      <c r="AP32" s="2104"/>
    </row>
    <row r="33" spans="1:42" x14ac:dyDescent="0.35">
      <c r="A33" s="2104"/>
      <c r="B33" s="2104"/>
      <c r="C33" s="2104"/>
      <c r="D33" s="2104"/>
      <c r="E33" s="2104"/>
      <c r="F33" s="2104"/>
      <c r="G33" s="2104"/>
      <c r="H33" s="2104"/>
      <c r="I33" s="2104"/>
      <c r="J33" s="2104"/>
      <c r="L33" s="1018" t="str">
        <f>VLOOKUP(TRUE,L23:M31,2,FALSE)</f>
        <v>Please enter the new RV</v>
      </c>
      <c r="M33"/>
      <c r="N33"/>
      <c r="O33"/>
      <c r="P33"/>
      <c r="Q33"/>
      <c r="R33"/>
      <c r="S33"/>
      <c r="T33"/>
      <c r="U33"/>
      <c r="V33"/>
      <c r="W33"/>
      <c r="X33"/>
      <c r="Y33"/>
      <c r="Z33" s="2104"/>
      <c r="AA33" s="2104"/>
      <c r="AB33" s="2104"/>
      <c r="AC33" s="2104"/>
      <c r="AD33" s="2104"/>
      <c r="AE33" s="2104"/>
      <c r="AF33" s="2104"/>
      <c r="AG33" s="2104"/>
      <c r="AH33" s="2104"/>
      <c r="AI33" s="2104"/>
      <c r="AJ33" s="2104"/>
      <c r="AK33" s="2104"/>
      <c r="AL33" s="2104"/>
      <c r="AM33" s="2104"/>
      <c r="AN33" s="2104"/>
      <c r="AO33" s="2104"/>
      <c r="AP33" s="2104"/>
    </row>
    <row r="34" spans="1:42" x14ac:dyDescent="0.35">
      <c r="A34" s="2104"/>
      <c r="B34" s="2104"/>
      <c r="C34" s="2104"/>
      <c r="D34" s="2104"/>
      <c r="E34" s="2104"/>
      <c r="F34" s="2104"/>
      <c r="G34" s="2104"/>
      <c r="H34" s="2104"/>
      <c r="I34" s="2104"/>
      <c r="J34" s="2104"/>
      <c r="L34"/>
      <c r="M34"/>
      <c r="N34"/>
      <c r="O34"/>
      <c r="P34"/>
      <c r="Q34"/>
      <c r="R34"/>
      <c r="S34"/>
      <c r="T34"/>
      <c r="U34"/>
      <c r="V34"/>
      <c r="W34"/>
      <c r="X34"/>
      <c r="Y34"/>
      <c r="Z34" s="2104"/>
      <c r="AA34" s="2104"/>
      <c r="AB34" s="2104"/>
      <c r="AC34" s="2104"/>
      <c r="AD34" s="2104"/>
      <c r="AE34" s="2104"/>
      <c r="AF34" s="2104"/>
      <c r="AG34" s="2104"/>
      <c r="AH34" s="2104"/>
      <c r="AI34" s="2104"/>
      <c r="AJ34" s="2104"/>
      <c r="AK34" s="2104"/>
      <c r="AL34" s="2104"/>
      <c r="AM34" s="2104"/>
      <c r="AN34" s="2104"/>
      <c r="AO34" s="2104"/>
      <c r="AP34" s="2104"/>
    </row>
    <row r="35" spans="1:42" x14ac:dyDescent="0.35">
      <c r="A35" s="2104"/>
      <c r="B35" s="2104"/>
      <c r="C35" s="2104"/>
      <c r="D35" s="2104"/>
      <c r="E35" s="2104"/>
      <c r="F35" s="2104"/>
      <c r="G35" s="2104"/>
      <c r="H35" s="2104"/>
      <c r="I35" s="2104"/>
      <c r="J35" s="2104"/>
      <c r="L35"/>
      <c r="M35"/>
      <c r="N35"/>
      <c r="O35"/>
      <c r="P35"/>
      <c r="Q35"/>
      <c r="R35"/>
      <c r="S35"/>
      <c r="T35"/>
      <c r="U35"/>
      <c r="V35"/>
      <c r="W35"/>
      <c r="X35"/>
      <c r="Y35"/>
      <c r="Z35" s="2104"/>
      <c r="AA35" s="2104"/>
      <c r="AB35" s="2104"/>
      <c r="AC35" s="2104"/>
      <c r="AD35" s="2104"/>
      <c r="AE35" s="2104"/>
      <c r="AF35" s="2104"/>
      <c r="AG35" s="2104"/>
      <c r="AH35" s="2104"/>
      <c r="AI35" s="2104"/>
      <c r="AJ35" s="2104"/>
      <c r="AK35" s="2104"/>
      <c r="AL35" s="2104"/>
      <c r="AM35" s="2104"/>
      <c r="AN35" s="2104"/>
      <c r="AO35" s="2104"/>
      <c r="AP35" s="2104"/>
    </row>
    <row r="36" spans="1:42" x14ac:dyDescent="0.35">
      <c r="A36" s="2104"/>
      <c r="B36" s="2104"/>
      <c r="C36" s="2104"/>
      <c r="D36" s="2104"/>
      <c r="E36" s="2104"/>
      <c r="F36" s="2104"/>
      <c r="G36" s="2104"/>
      <c r="H36" s="2104"/>
      <c r="I36" s="2104"/>
      <c r="J36" s="2104"/>
      <c r="L36"/>
      <c r="M36"/>
      <c r="N36"/>
      <c r="O36"/>
      <c r="P36"/>
      <c r="Q36"/>
      <c r="R36"/>
      <c r="S36"/>
      <c r="T36"/>
      <c r="U36"/>
      <c r="V36"/>
      <c r="W36"/>
      <c r="X36"/>
      <c r="Y36"/>
      <c r="Z36" s="2104"/>
      <c r="AA36" s="2104"/>
      <c r="AB36" s="2104"/>
      <c r="AC36" s="2104"/>
      <c r="AD36" s="2104"/>
      <c r="AE36" s="2104"/>
      <c r="AF36" s="2104"/>
      <c r="AG36" s="2104"/>
      <c r="AH36" s="2104"/>
      <c r="AI36" s="2104"/>
      <c r="AJ36" s="2104"/>
      <c r="AK36" s="2104"/>
      <c r="AL36" s="2104"/>
      <c r="AM36" s="2104"/>
      <c r="AN36" s="2104"/>
      <c r="AO36" s="2104"/>
      <c r="AP36" s="2104"/>
    </row>
    <row r="37" spans="1:42" x14ac:dyDescent="0.35">
      <c r="A37" s="2104"/>
      <c r="B37" s="2104"/>
      <c r="C37" s="2104"/>
      <c r="D37" s="2104"/>
      <c r="E37" s="2104"/>
      <c r="F37" s="2104"/>
      <c r="G37" s="2104"/>
      <c r="H37" s="2104"/>
      <c r="I37" s="2104"/>
      <c r="J37" s="2104"/>
      <c r="L37"/>
      <c r="M37"/>
      <c r="N37"/>
      <c r="O37"/>
      <c r="P37"/>
      <c r="Q37"/>
      <c r="R37"/>
      <c r="S37"/>
      <c r="T37"/>
      <c r="U37"/>
      <c r="V37"/>
      <c r="W37"/>
      <c r="X37"/>
      <c r="Y37"/>
      <c r="Z37" s="2104"/>
      <c r="AA37" s="2104"/>
      <c r="AB37" s="2104"/>
      <c r="AC37" s="2104"/>
      <c r="AD37" s="2104"/>
      <c r="AE37" s="2104"/>
      <c r="AF37" s="2104"/>
      <c r="AG37" s="2104"/>
      <c r="AH37" s="2104"/>
      <c r="AI37" s="2104"/>
      <c r="AJ37" s="2104"/>
      <c r="AK37" s="2104"/>
      <c r="AL37" s="2104"/>
      <c r="AM37" s="2104"/>
      <c r="AN37" s="2104"/>
      <c r="AO37" s="2104"/>
      <c r="AP37" s="2104"/>
    </row>
    <row r="38" spans="1:42" x14ac:dyDescent="0.35">
      <c r="A38" s="2104"/>
      <c r="B38" s="2104"/>
      <c r="C38" s="2104"/>
      <c r="D38" s="2104"/>
      <c r="E38" s="2104"/>
      <c r="F38" s="2104"/>
      <c r="G38" s="2104"/>
      <c r="H38" s="2104"/>
      <c r="I38" s="2104"/>
      <c r="J38" s="2104"/>
      <c r="L38"/>
      <c r="M38"/>
      <c r="N38"/>
      <c r="O38"/>
      <c r="P38"/>
      <c r="Q38"/>
      <c r="R38"/>
      <c r="S38"/>
      <c r="T38"/>
      <c r="U38"/>
      <c r="V38"/>
      <c r="W38"/>
      <c r="X38"/>
      <c r="Y38"/>
      <c r="Z38" s="2104"/>
      <c r="AA38" s="2104"/>
      <c r="AB38" s="2104"/>
      <c r="AC38" s="2104"/>
      <c r="AD38" s="2104"/>
      <c r="AE38" s="2104"/>
      <c r="AF38" s="2104"/>
      <c r="AG38" s="2104"/>
      <c r="AH38" s="2104"/>
      <c r="AI38" s="2104"/>
      <c r="AJ38" s="2104"/>
      <c r="AK38" s="2104"/>
      <c r="AL38" s="2104"/>
      <c r="AM38" s="2104"/>
      <c r="AN38" s="2104"/>
      <c r="AO38" s="2104"/>
      <c r="AP38" s="2104"/>
    </row>
    <row r="39" spans="1:42" x14ac:dyDescent="0.35">
      <c r="A39" s="2104"/>
      <c r="B39" s="2104"/>
      <c r="C39" s="2104"/>
      <c r="D39" s="2104"/>
      <c r="E39" s="2104"/>
      <c r="F39" s="2104"/>
      <c r="G39" s="2104"/>
      <c r="H39" s="2104"/>
      <c r="I39" s="2104"/>
      <c r="J39" s="2104"/>
      <c r="L39"/>
      <c r="M39"/>
      <c r="N39"/>
      <c r="O39"/>
      <c r="P39"/>
      <c r="Q39"/>
      <c r="R39"/>
      <c r="S39"/>
      <c r="T39"/>
      <c r="U39"/>
      <c r="V39"/>
      <c r="W39"/>
      <c r="X39"/>
      <c r="Y39"/>
      <c r="Z39" s="2104"/>
      <c r="AA39" s="2104"/>
      <c r="AB39" s="2104"/>
      <c r="AC39" s="2104"/>
      <c r="AD39" s="2104"/>
      <c r="AE39" s="2104"/>
      <c r="AF39" s="2104"/>
      <c r="AG39" s="2104"/>
      <c r="AH39" s="2104"/>
      <c r="AI39" s="2104"/>
      <c r="AJ39" s="2104"/>
      <c r="AK39" s="2104"/>
      <c r="AL39" s="2104"/>
      <c r="AM39" s="2104"/>
      <c r="AN39" s="2104"/>
      <c r="AO39" s="2104"/>
      <c r="AP39" s="2104"/>
    </row>
    <row r="40" spans="1:42" x14ac:dyDescent="0.35">
      <c r="A40" s="2104"/>
      <c r="B40" s="2104"/>
      <c r="C40" s="2104"/>
      <c r="D40" s="2104"/>
      <c r="E40" s="2104"/>
      <c r="F40" s="2104"/>
      <c r="G40" s="2104"/>
      <c r="H40" s="2104"/>
      <c r="I40" s="2104"/>
      <c r="J40" s="2104"/>
      <c r="L40"/>
      <c r="M40"/>
      <c r="N40"/>
      <c r="O40"/>
      <c r="P40"/>
      <c r="Q40"/>
      <c r="R40"/>
      <c r="S40"/>
      <c r="T40"/>
      <c r="U40"/>
      <c r="V40"/>
      <c r="W40"/>
      <c r="X40"/>
      <c r="Y40"/>
      <c r="Z40" s="2104"/>
      <c r="AA40" s="2104"/>
      <c r="AB40" s="2104"/>
      <c r="AC40" s="2104"/>
      <c r="AD40" s="2104"/>
      <c r="AE40" s="2104"/>
      <c r="AF40" s="2104"/>
      <c r="AG40" s="2104"/>
      <c r="AH40" s="2104"/>
      <c r="AI40" s="2104"/>
      <c r="AJ40" s="2104"/>
      <c r="AK40" s="2104"/>
      <c r="AL40" s="2104"/>
      <c r="AM40" s="2104"/>
      <c r="AN40" s="2104"/>
      <c r="AO40" s="2104"/>
      <c r="AP40" s="2104"/>
    </row>
    <row r="41" spans="1:42" x14ac:dyDescent="0.35">
      <c r="A41" s="2104"/>
      <c r="B41" s="2104"/>
      <c r="C41" s="2104"/>
      <c r="D41" s="2104"/>
      <c r="E41" s="2104"/>
      <c r="F41" s="2104"/>
      <c r="G41" s="2104"/>
      <c r="H41" s="2104"/>
      <c r="I41" s="2104"/>
      <c r="J41" s="2104"/>
      <c r="L41"/>
      <c r="M41"/>
      <c r="N41"/>
      <c r="O41"/>
      <c r="P41"/>
      <c r="Q41"/>
      <c r="R41"/>
      <c r="S41"/>
      <c r="T41"/>
      <c r="U41"/>
      <c r="V41"/>
      <c r="W41"/>
      <c r="X41"/>
      <c r="Y41"/>
      <c r="Z41" s="2104"/>
      <c r="AA41" s="2104"/>
      <c r="AB41" s="2104"/>
      <c r="AC41" s="2104"/>
      <c r="AD41" s="2104"/>
      <c r="AE41" s="2104"/>
      <c r="AF41" s="2104"/>
      <c r="AG41" s="2104"/>
      <c r="AH41" s="2104"/>
      <c r="AI41" s="2104"/>
      <c r="AJ41" s="2104"/>
      <c r="AK41" s="2104"/>
      <c r="AL41" s="2104"/>
      <c r="AM41" s="2104"/>
      <c r="AN41" s="2104"/>
      <c r="AO41" s="2104"/>
      <c r="AP41" s="2104"/>
    </row>
    <row r="42" spans="1:42" x14ac:dyDescent="0.35">
      <c r="A42" s="2104"/>
      <c r="B42" s="2104"/>
      <c r="C42" s="2104"/>
      <c r="D42" s="2104"/>
      <c r="E42" s="2104"/>
      <c r="F42" s="2104"/>
      <c r="G42" s="2104"/>
      <c r="H42" s="2104"/>
      <c r="I42" s="2104"/>
      <c r="J42" s="2104"/>
      <c r="R42"/>
      <c r="S42"/>
      <c r="T42"/>
      <c r="U42"/>
      <c r="V42"/>
      <c r="W42"/>
      <c r="X42"/>
      <c r="Y42"/>
      <c r="Z42" s="2104"/>
      <c r="AA42" s="2104"/>
      <c r="AB42" s="2104"/>
      <c r="AC42" s="2104"/>
      <c r="AD42" s="2104"/>
      <c r="AE42" s="2104"/>
      <c r="AF42" s="2104"/>
      <c r="AG42" s="2104"/>
      <c r="AH42" s="2104"/>
      <c r="AI42" s="2104"/>
      <c r="AJ42" s="2104"/>
      <c r="AK42" s="2104"/>
      <c r="AL42" s="2104"/>
      <c r="AM42" s="2104"/>
      <c r="AN42" s="2104"/>
      <c r="AO42" s="2104"/>
      <c r="AP42" s="2104"/>
    </row>
    <row r="50" spans="11:17" ht="22.5" customHeight="1" x14ac:dyDescent="0.35"/>
    <row r="51" spans="11:17" x14ac:dyDescent="0.35">
      <c r="O51" s="1594"/>
      <c r="P51" s="1597"/>
      <c r="Q51" s="1597"/>
    </row>
    <row r="52" spans="11:17" x14ac:dyDescent="0.35">
      <c r="P52" s="1597"/>
      <c r="Q52" s="1597"/>
    </row>
    <row r="53" spans="11:17" x14ac:dyDescent="0.35">
      <c r="P53" s="1597"/>
      <c r="Q53" s="1597"/>
    </row>
    <row r="54" spans="11:17" x14ac:dyDescent="0.35">
      <c r="P54" s="1597"/>
      <c r="Q54" s="1597"/>
    </row>
    <row r="55" spans="11:17" x14ac:dyDescent="0.35">
      <c r="P55" s="1597"/>
      <c r="Q55" s="1597"/>
    </row>
    <row r="56" spans="11:17" x14ac:dyDescent="0.35">
      <c r="P56" s="1597"/>
      <c r="Q56" s="1597"/>
    </row>
    <row r="57" spans="11:17" x14ac:dyDescent="0.35">
      <c r="P57" s="2092"/>
      <c r="Q57" s="1597"/>
    </row>
    <row r="58" spans="11:17" x14ac:dyDescent="0.35">
      <c r="P58" s="2092"/>
      <c r="Q58" s="1597"/>
    </row>
    <row r="59" spans="11:17" x14ac:dyDescent="0.35">
      <c r="K59" s="1594"/>
      <c r="L59" s="1597"/>
      <c r="M59" s="1597"/>
      <c r="P59" s="1597"/>
      <c r="Q59" s="1597"/>
    </row>
    <row r="60" spans="11:17" x14ac:dyDescent="0.35">
      <c r="L60" s="1597"/>
      <c r="M60" s="1597"/>
      <c r="P60" s="1597"/>
      <c r="Q60" s="1597"/>
    </row>
    <row r="61" spans="11:17" x14ac:dyDescent="0.35">
      <c r="L61" s="1597"/>
      <c r="M61" s="1597"/>
      <c r="P61" s="1962"/>
      <c r="Q61" s="1597"/>
    </row>
    <row r="62" spans="11:17" x14ac:dyDescent="0.35">
      <c r="L62" s="1597"/>
      <c r="M62" s="1597"/>
      <c r="P62" s="1962"/>
      <c r="Q62" s="1597"/>
    </row>
    <row r="63" spans="11:17" x14ac:dyDescent="0.35">
      <c r="L63" s="1597"/>
      <c r="M63" s="1597"/>
      <c r="P63" s="1962"/>
      <c r="Q63" s="1597"/>
    </row>
    <row r="64" spans="11:17" x14ac:dyDescent="0.35">
      <c r="L64" s="1597"/>
      <c r="M64" s="1597"/>
      <c r="P64" s="1597"/>
      <c r="Q64" s="1597"/>
    </row>
    <row r="65" spans="11:17" x14ac:dyDescent="0.35">
      <c r="L65" s="2092"/>
      <c r="M65" s="1597"/>
      <c r="P65" s="1597"/>
      <c r="Q65" s="1597"/>
    </row>
    <row r="66" spans="11:17" x14ac:dyDescent="0.35">
      <c r="L66" s="2092"/>
      <c r="M66" s="1597"/>
      <c r="P66" s="1597"/>
      <c r="Q66" s="1597"/>
    </row>
    <row r="67" spans="11:17" x14ac:dyDescent="0.35">
      <c r="L67" s="1597"/>
      <c r="M67" s="1597"/>
      <c r="P67" s="1597"/>
      <c r="Q67" s="1597"/>
    </row>
    <row r="68" spans="11:17" x14ac:dyDescent="0.35">
      <c r="L68" s="1597"/>
      <c r="M68" s="1597"/>
      <c r="O68" s="1594"/>
      <c r="P68" s="1617"/>
      <c r="Q68" s="1597"/>
    </row>
    <row r="69" spans="11:17" x14ac:dyDescent="0.35">
      <c r="L69" s="1962"/>
      <c r="M69" s="1597"/>
      <c r="O69" s="1594"/>
      <c r="P69" s="1597"/>
      <c r="Q69" s="1597"/>
    </row>
    <row r="70" spans="11:17" x14ac:dyDescent="0.35">
      <c r="L70" s="1962"/>
      <c r="M70" s="1597"/>
      <c r="P70" s="1597"/>
      <c r="Q70" s="1597"/>
    </row>
    <row r="71" spans="11:17" x14ac:dyDescent="0.35">
      <c r="L71" s="1597"/>
      <c r="M71" s="1597"/>
      <c r="P71" s="1597"/>
      <c r="Q71" s="1597"/>
    </row>
    <row r="72" spans="11:17" x14ac:dyDescent="0.35">
      <c r="L72" s="1597"/>
      <c r="M72" s="1597"/>
      <c r="P72" s="1597"/>
      <c r="Q72" s="1597"/>
    </row>
    <row r="73" spans="11:17" x14ac:dyDescent="0.35">
      <c r="L73" s="1597"/>
      <c r="M73" s="1597"/>
      <c r="P73" s="1597"/>
      <c r="Q73" s="1597"/>
    </row>
    <row r="74" spans="11:17" x14ac:dyDescent="0.35">
      <c r="L74" s="1597"/>
      <c r="M74" s="1597"/>
      <c r="P74" s="1597"/>
      <c r="Q74" s="1597"/>
    </row>
    <row r="75" spans="11:17" x14ac:dyDescent="0.35">
      <c r="K75" s="1594"/>
      <c r="L75" s="1617"/>
      <c r="M75" s="1597"/>
      <c r="O75" s="1594"/>
      <c r="P75" s="1962"/>
      <c r="Q75" s="1597"/>
    </row>
    <row r="76" spans="11:17" x14ac:dyDescent="0.35">
      <c r="L76" s="1597"/>
      <c r="M76" s="1597"/>
      <c r="O76" s="1594"/>
      <c r="P76" s="1962"/>
      <c r="Q76" s="1597"/>
    </row>
    <row r="77" spans="11:17" x14ac:dyDescent="0.35">
      <c r="L77" s="1597"/>
      <c r="M77" s="1597"/>
      <c r="O77" s="1594"/>
      <c r="P77" s="1962"/>
      <c r="Q77" s="1597"/>
    </row>
    <row r="78" spans="11:17" x14ac:dyDescent="0.35">
      <c r="L78" s="1597"/>
      <c r="M78" s="1597"/>
      <c r="O78" s="1594"/>
      <c r="P78" s="1962"/>
      <c r="Q78" s="1597"/>
    </row>
    <row r="79" spans="11:17" x14ac:dyDescent="0.35">
      <c r="L79" s="1597"/>
      <c r="M79" s="1597"/>
      <c r="O79" s="1594"/>
      <c r="P79" s="1962"/>
      <c r="Q79" s="1597"/>
    </row>
    <row r="80" spans="11:17" x14ac:dyDescent="0.35">
      <c r="L80" s="1597"/>
      <c r="M80" s="1597"/>
      <c r="O80" s="1594"/>
      <c r="P80" s="1962"/>
      <c r="Q80" s="1597"/>
    </row>
    <row r="81" spans="11:17" x14ac:dyDescent="0.35">
      <c r="K81" s="1594"/>
      <c r="L81" s="1962"/>
      <c r="M81" s="1597"/>
      <c r="O81" s="1594"/>
      <c r="P81" s="1962"/>
      <c r="Q81" s="1597"/>
    </row>
    <row r="82" spans="11:17" x14ac:dyDescent="0.35">
      <c r="K82" s="1594"/>
      <c r="L82" s="1962"/>
      <c r="M82" s="1597"/>
      <c r="O82" s="1594"/>
      <c r="P82" s="1962"/>
      <c r="Q82" s="1597"/>
    </row>
    <row r="83" spans="11:17" x14ac:dyDescent="0.35">
      <c r="K83" s="1594"/>
      <c r="L83" s="1962"/>
      <c r="M83" s="1597"/>
      <c r="O83" s="1594"/>
      <c r="P83" s="1962"/>
      <c r="Q83" s="1597"/>
    </row>
    <row r="84" spans="11:17" x14ac:dyDescent="0.35">
      <c r="K84" s="1594"/>
      <c r="L84" s="1962"/>
      <c r="M84" s="1597"/>
      <c r="O84" s="1594"/>
      <c r="P84" s="1962"/>
      <c r="Q84" s="1597"/>
    </row>
    <row r="85" spans="11:17" x14ac:dyDescent="0.35">
      <c r="K85" s="1594"/>
      <c r="L85" s="1962"/>
      <c r="M85" s="1597"/>
      <c r="P85" s="1597"/>
      <c r="Q85" s="1597"/>
    </row>
    <row r="86" spans="11:17" x14ac:dyDescent="0.35">
      <c r="K86" s="1594"/>
      <c r="L86" s="1962"/>
      <c r="M86" s="1597"/>
      <c r="P86" s="1597"/>
      <c r="Q86" s="1597"/>
    </row>
    <row r="87" spans="11:17" x14ac:dyDescent="0.35">
      <c r="K87" s="1594"/>
      <c r="L87" s="1962"/>
      <c r="M87" s="1597"/>
      <c r="P87" s="1597"/>
      <c r="Q87" s="1597"/>
    </row>
    <row r="88" spans="11:17" x14ac:dyDescent="0.35">
      <c r="K88" s="1594"/>
      <c r="L88" s="1962"/>
      <c r="M88" s="1597"/>
      <c r="P88" s="1597"/>
      <c r="Q88" s="1597"/>
    </row>
    <row r="89" spans="11:17" x14ac:dyDescent="0.35">
      <c r="K89" s="1594"/>
      <c r="L89" s="1962"/>
      <c r="M89" s="1597"/>
      <c r="P89" s="1597"/>
      <c r="Q89" s="1597"/>
    </row>
    <row r="90" spans="11:17" x14ac:dyDescent="0.35">
      <c r="K90" s="1594"/>
      <c r="L90" s="1962"/>
      <c r="M90" s="1597"/>
      <c r="O90" s="1594"/>
      <c r="P90" s="1597"/>
      <c r="Q90" s="1597"/>
    </row>
    <row r="91" spans="11:17" x14ac:dyDescent="0.35">
      <c r="L91" s="1597"/>
      <c r="M91" s="1597"/>
      <c r="O91" s="1594"/>
      <c r="P91" s="1597"/>
      <c r="Q91" s="1597"/>
    </row>
    <row r="92" spans="11:17" x14ac:dyDescent="0.35">
      <c r="L92" s="1597"/>
      <c r="M92" s="1597"/>
      <c r="O92" s="1594"/>
      <c r="P92" s="1597"/>
      <c r="Q92" s="1597"/>
    </row>
    <row r="93" spans="11:17" x14ac:dyDescent="0.35">
      <c r="L93" s="1597"/>
      <c r="M93" s="1597"/>
      <c r="O93" s="1594"/>
      <c r="P93" s="1597"/>
      <c r="Q93" s="1597"/>
    </row>
    <row r="94" spans="11:17" x14ac:dyDescent="0.35">
      <c r="L94" s="1597"/>
      <c r="M94" s="1597"/>
      <c r="O94" s="1594"/>
      <c r="P94" s="1597"/>
      <c r="Q94" s="1597"/>
    </row>
    <row r="95" spans="11:17" x14ac:dyDescent="0.35">
      <c r="L95" s="1597"/>
      <c r="M95" s="1597"/>
      <c r="O95" s="1594"/>
      <c r="P95" s="1597"/>
      <c r="Q95" s="1597"/>
    </row>
    <row r="96" spans="11:17" x14ac:dyDescent="0.35">
      <c r="K96" s="1594"/>
      <c r="L96" s="1597"/>
      <c r="M96" s="1597"/>
      <c r="O96" s="1594"/>
      <c r="P96" s="1597"/>
      <c r="Q96" s="1597"/>
    </row>
    <row r="97" spans="11:17" x14ac:dyDescent="0.35">
      <c r="K97" s="1594"/>
      <c r="L97" s="1597"/>
      <c r="M97" s="1597"/>
      <c r="O97" s="1594"/>
      <c r="P97" s="1597"/>
      <c r="Q97" s="1597"/>
    </row>
    <row r="98" spans="11:17" x14ac:dyDescent="0.35">
      <c r="K98" s="1594"/>
      <c r="L98" s="1597"/>
      <c r="M98" s="1597"/>
      <c r="O98" s="1594"/>
      <c r="P98" s="1597"/>
      <c r="Q98" s="1597"/>
    </row>
    <row r="99" spans="11:17" x14ac:dyDescent="0.35">
      <c r="K99" s="1594"/>
      <c r="L99" s="1597"/>
      <c r="M99" s="1597"/>
      <c r="O99" s="1594"/>
      <c r="P99" s="1597"/>
      <c r="Q99" s="1597"/>
    </row>
    <row r="100" spans="11:17" x14ac:dyDescent="0.35">
      <c r="K100" s="1594"/>
      <c r="L100" s="1597"/>
      <c r="M100" s="1597"/>
    </row>
    <row r="101" spans="11:17" x14ac:dyDescent="0.35">
      <c r="K101" s="1594"/>
      <c r="L101" s="1597"/>
      <c r="M101" s="1597"/>
    </row>
    <row r="102" spans="11:17" x14ac:dyDescent="0.35">
      <c r="K102" s="1594"/>
      <c r="L102" s="1597"/>
      <c r="M102" s="1597"/>
    </row>
    <row r="103" spans="11:17" x14ac:dyDescent="0.35">
      <c r="K103" s="1594"/>
      <c r="L103" s="1597"/>
      <c r="M103" s="1597"/>
    </row>
    <row r="104" spans="11:17" x14ac:dyDescent="0.35">
      <c r="K104" s="1594"/>
      <c r="L104" s="1597"/>
      <c r="M104" s="1597"/>
    </row>
    <row r="105" spans="11:17" x14ac:dyDescent="0.35">
      <c r="K105" s="1594"/>
      <c r="L105" s="1597"/>
      <c r="M105" s="1597"/>
    </row>
    <row r="106" spans="11:17" x14ac:dyDescent="0.35">
      <c r="K106" s="1594"/>
      <c r="L106" s="1962"/>
      <c r="M106" s="1597"/>
    </row>
    <row r="107" spans="11:17" x14ac:dyDescent="0.35">
      <c r="K107" s="1594"/>
      <c r="L107" s="1962"/>
      <c r="M107" s="1597"/>
    </row>
    <row r="108" spans="11:17" x14ac:dyDescent="0.35">
      <c r="K108" s="1594"/>
      <c r="L108" s="1962"/>
      <c r="M108" s="1597"/>
    </row>
    <row r="109" spans="11:17" x14ac:dyDescent="0.35">
      <c r="K109" s="1594"/>
      <c r="L109" s="1962"/>
      <c r="M109" s="1597"/>
    </row>
    <row r="110" spans="11:17" x14ac:dyDescent="0.35">
      <c r="K110" s="1594"/>
      <c r="L110" s="1962"/>
      <c r="M110" s="1597"/>
    </row>
    <row r="111" spans="11:17" x14ac:dyDescent="0.35">
      <c r="K111" s="1594"/>
      <c r="L111" s="1962"/>
      <c r="M111" s="1597"/>
    </row>
    <row r="112" spans="11:17" x14ac:dyDescent="0.35">
      <c r="K112" s="1594"/>
      <c r="L112" s="1962"/>
      <c r="M112" s="1597"/>
    </row>
    <row r="113" spans="11:13" x14ac:dyDescent="0.35">
      <c r="K113" s="1594"/>
      <c r="L113" s="1962"/>
      <c r="M113" s="1597"/>
    </row>
    <row r="114" spans="11:13" x14ac:dyDescent="0.35">
      <c r="K114" s="1594"/>
      <c r="L114" s="1962"/>
      <c r="M114" s="1597"/>
    </row>
    <row r="115" spans="11:13" x14ac:dyDescent="0.35">
      <c r="K115" s="1594"/>
      <c r="L115" s="1962"/>
      <c r="M115" s="1597"/>
    </row>
  </sheetData>
  <sheetProtection algorithmName="SHA-512" hashValue="cSyXBt7lW74lUS3AiWy3KJUyNqA4B68mkHSqs9co2qGhW+uxNGGViAI/9udRtsuqfX1Npyg0tC0rqInKniORqA==" saltValue="v+AlJcNkgtv2mFi73md+oQ==" spinCount="100000" sheet="1" objects="1" scenarios="1"/>
  <phoneticPr fontId="124" type="noConversion"/>
  <conditionalFormatting sqref="D10">
    <cfRule type="expression" dxfId="83" priority="1" stopIfTrue="1">
      <formula>AND($D$6&lt;&gt;"",$D$7&lt;&gt;"",OR(D11="",D13=""))</formula>
    </cfRule>
  </conditionalFormatting>
  <conditionalFormatting sqref="F10:H10">
    <cfRule type="expression" dxfId="82" priority="2" stopIfTrue="1">
      <formula>AND($Z$20=6,F11="",F13="")</formula>
    </cfRule>
  </conditionalFormatting>
  <conditionalFormatting sqref="E6">
    <cfRule type="expression" dxfId="81" priority="3" stopIfTrue="1">
      <formula>$D$6=""</formula>
    </cfRule>
  </conditionalFormatting>
  <conditionalFormatting sqref="C11">
    <cfRule type="expression" dxfId="80" priority="4" stopIfTrue="1">
      <formula>AND($D$6&lt;&gt;"",$D$7&lt;&gt;"",OR($D$11="",AND($D$13&lt;&gt;"",$D$7&lt;&gt;"",$D$6&lt;&gt;"",$E$11="")))</formula>
    </cfRule>
  </conditionalFormatting>
  <conditionalFormatting sqref="C13">
    <cfRule type="expression" dxfId="79" priority="5" stopIfTrue="1">
      <formula>AND($D$6&lt;&gt;"",$D$7&lt;&gt;"",$D$11&lt;&gt;"",OR($D$13="",AND($D$13&lt;&gt;"",$E$11&lt;&gt;"",$E$13="")))</formula>
    </cfRule>
  </conditionalFormatting>
  <conditionalFormatting sqref="E10">
    <cfRule type="expression" dxfId="78" priority="6" stopIfTrue="1">
      <formula>AND($D$6&lt;&gt;"",$D$7&lt;&gt;"",$D$11&lt;&gt;"",$D$13&lt;&gt;"",OR($E$11="",$E$13=""))</formula>
    </cfRule>
  </conditionalFormatting>
  <conditionalFormatting sqref="G9:H9">
    <cfRule type="expression" dxfId="77" priority="7" stopIfTrue="1">
      <formula>$AF$22=TRUE</formula>
    </cfRule>
  </conditionalFormatting>
  <conditionalFormatting sqref="D19:H19">
    <cfRule type="expression" dxfId="76" priority="8" stopIfTrue="1">
      <formula>$N$33&gt;0</formula>
    </cfRule>
  </conditionalFormatting>
  <conditionalFormatting sqref="I24">
    <cfRule type="cellIs" dxfId="75" priority="9" stopIfTrue="1" operator="notEqual">
      <formula>""</formula>
    </cfRule>
  </conditionalFormatting>
  <conditionalFormatting sqref="J12:K15 L14:U15 V14">
    <cfRule type="expression" dxfId="74" priority="10" stopIfTrue="1">
      <formula>$AP$4&gt;0</formula>
    </cfRule>
  </conditionalFormatting>
  <conditionalFormatting sqref="C14:H14">
    <cfRule type="expression" dxfId="73" priority="11" stopIfTrue="1">
      <formula>V31=TRUE</formula>
    </cfRule>
    <cfRule type="expression" dxfId="72" priority="12" stopIfTrue="1">
      <formula>$M$3=TRUE</formula>
    </cfRule>
  </conditionalFormatting>
  <conditionalFormatting sqref="A5:A9">
    <cfRule type="expression" dxfId="71" priority="13" stopIfTrue="1">
      <formula>$R$8=TRUE</formula>
    </cfRule>
  </conditionalFormatting>
  <conditionalFormatting sqref="E8:F8">
    <cfRule type="expression" dxfId="70" priority="14" stopIfTrue="1">
      <formula>OR($D$8&lt;&gt;$U$8,$Q$8=TRUE,$V$8=TRUE)</formula>
    </cfRule>
  </conditionalFormatting>
  <conditionalFormatting sqref="D8">
    <cfRule type="expression" dxfId="69" priority="15" stopIfTrue="1">
      <formula>OR($D$8&lt;&gt;$U$8,Q8=TRUE,V8=TRUE)</formula>
    </cfRule>
  </conditionalFormatting>
  <conditionalFormatting sqref="E7:F7">
    <cfRule type="expression" dxfId="68" priority="16" stopIfTrue="1">
      <formula>AND($D$7="",$D$6&lt;&gt;"")</formula>
    </cfRule>
    <cfRule type="expression" dxfId="67" priority="17" stopIfTrue="1">
      <formula>$M$3=TRUE</formula>
    </cfRule>
  </conditionalFormatting>
  <conditionalFormatting sqref="G7">
    <cfRule type="expression" dxfId="66" priority="18" stopIfTrue="1">
      <formula>$S$3=TRUE</formula>
    </cfRule>
    <cfRule type="expression" dxfId="65" priority="19" stopIfTrue="1">
      <formula>$M$3=TRUE</formula>
    </cfRule>
  </conditionalFormatting>
  <conditionalFormatting sqref="G6">
    <cfRule type="expression" dxfId="64" priority="20" stopIfTrue="1">
      <formula>$S$3=TRUE</formula>
    </cfRule>
    <cfRule type="expression" dxfId="63" priority="21" stopIfTrue="1">
      <formula>$M$3=TRUE</formula>
    </cfRule>
  </conditionalFormatting>
  <conditionalFormatting sqref="D11:H11 D13:H13">
    <cfRule type="expression" dxfId="62" priority="22" stopIfTrue="1">
      <formula>M17=TRUE</formula>
    </cfRule>
  </conditionalFormatting>
  <conditionalFormatting sqref="D9:F9">
    <cfRule type="expression" dxfId="61" priority="23" stopIfTrue="1">
      <formula>$Q$20=TRUE</formula>
    </cfRule>
  </conditionalFormatting>
  <conditionalFormatting sqref="C7">
    <cfRule type="expression" dxfId="60" priority="24" stopIfTrue="1">
      <formula>AND(D7&lt;&gt;"",$P$3=FALSE)</formula>
    </cfRule>
  </conditionalFormatting>
  <conditionalFormatting sqref="D7">
    <cfRule type="expression" dxfId="59" priority="25" stopIfTrue="1">
      <formula>AND($D$7&lt;&gt;"",$P$3=FALSE)</formula>
    </cfRule>
  </conditionalFormatting>
  <conditionalFormatting sqref="E17:G17">
    <cfRule type="expression" dxfId="58" priority="26" stopIfTrue="1">
      <formula>$L$32=0</formula>
    </cfRule>
  </conditionalFormatting>
  <conditionalFormatting sqref="D15">
    <cfRule type="expression" dxfId="57" priority="27" stopIfTrue="1">
      <formula>OR(D15&lt;&gt;U9,Q9=TRUE,V9=TRUE)</formula>
    </cfRule>
  </conditionalFormatting>
  <conditionalFormatting sqref="B19:C19">
    <cfRule type="expression" dxfId="56" priority="28" stopIfTrue="1">
      <formula>$R$14&gt;0</formula>
    </cfRule>
  </conditionalFormatting>
  <conditionalFormatting sqref="B18:C18">
    <cfRule type="expression" dxfId="55" priority="29" stopIfTrue="1">
      <formula>$Q$14&gt;0</formula>
    </cfRule>
  </conditionalFormatting>
  <conditionalFormatting sqref="E15">
    <cfRule type="expression" dxfId="54" priority="30" stopIfTrue="1">
      <formula>OR(E15&lt;&gt;U10,$Q10=TRUE,$V10=TRUE)</formula>
    </cfRule>
  </conditionalFormatting>
  <conditionalFormatting sqref="F15">
    <cfRule type="expression" dxfId="53" priority="31" stopIfTrue="1">
      <formula>OR(F15&lt;&gt;U11,$Q11=TRUE,$V11=TRUE)</formula>
    </cfRule>
  </conditionalFormatting>
  <conditionalFormatting sqref="G15">
    <cfRule type="expression" dxfId="52" priority="32" stopIfTrue="1">
      <formula>OR(G15&lt;&gt;U12,$Q12=TRUE,$V12=TRUE)</formula>
    </cfRule>
  </conditionalFormatting>
  <conditionalFormatting sqref="H15">
    <cfRule type="expression" dxfId="51" priority="33" stopIfTrue="1">
      <formula>OR(H15&lt;&gt;U13,$Q13=TRUE,$V13=TRUE)</formula>
    </cfRule>
  </conditionalFormatting>
  <dataValidations count="2">
    <dataValidation type="whole" operator="greaterThan" allowBlank="1" showInputMessage="1" showErrorMessage="1" errorTitle="RV of New Property" error="Please enter an RV" sqref="D6" xr:uid="{FB22BE55-8D44-4159-9B9E-85C2A4516827}">
      <formula1>0</formula1>
    </dataValidation>
    <dataValidation type="whole" operator="greaterThan" allowBlank="1" showInputMessage="1" showErrorMessage="1" errorTitle="Certified Value" error="Please enter a value or leave blank" sqref="G7" xr:uid="{84506FBA-A7CB-4BDD-83A1-86783D68C7FD}">
      <formula1>0</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8067" r:id="rId4" name="Button 3">
              <controlPr defaultSize="0" print="0" autoFill="0" autoPict="0" macro="[0]!clear_merge">
                <anchor moveWithCells="1" sizeWithCells="1">
                  <from>
                    <xdr:col>7</xdr:col>
                    <xdr:colOff>304800</xdr:colOff>
                    <xdr:row>2</xdr:row>
                    <xdr:rowOff>127000</xdr:rowOff>
                  </from>
                  <to>
                    <xdr:col>8</xdr:col>
                    <xdr:colOff>546100</xdr:colOff>
                    <xdr:row>4</xdr:row>
                    <xdr:rowOff>50800</xdr:rowOff>
                  </to>
                </anchor>
              </controlPr>
            </control>
          </mc:Choice>
        </mc:AlternateContent>
        <mc:AlternateContent xmlns:mc="http://schemas.openxmlformats.org/markup-compatibility/2006">
          <mc:Choice Requires="x14">
            <control shapeId="88068" r:id="rId5" name="Button 4">
              <controlPr defaultSize="0" print="0" autoFill="0" autoPict="0" macro="[0]!goto_home">
                <anchor moveWithCells="1" sizeWithCells="1">
                  <from>
                    <xdr:col>0</xdr:col>
                    <xdr:colOff>88900</xdr:colOff>
                    <xdr:row>0</xdr:row>
                    <xdr:rowOff>101600</xdr:rowOff>
                  </from>
                  <to>
                    <xdr:col>1</xdr:col>
                    <xdr:colOff>222250</xdr:colOff>
                    <xdr:row>3</xdr:row>
                    <xdr:rowOff>31750</xdr:rowOff>
                  </to>
                </anchor>
              </controlPr>
            </control>
          </mc:Choice>
        </mc:AlternateContent>
        <mc:AlternateContent xmlns:mc="http://schemas.openxmlformats.org/markup-compatibility/2006">
          <mc:Choice Requires="x14">
            <control shapeId="88069" r:id="rId6" name="Button 5">
              <controlPr defaultSize="0" print="0" autoFill="0" autoPict="0" macro="[0]!goto_mergereport">
                <anchor moveWithCells="1" sizeWithCells="1">
                  <from>
                    <xdr:col>7</xdr:col>
                    <xdr:colOff>304800</xdr:colOff>
                    <xdr:row>4</xdr:row>
                    <xdr:rowOff>76200</xdr:rowOff>
                  </from>
                  <to>
                    <xdr:col>8</xdr:col>
                    <xdr:colOff>546100</xdr:colOff>
                    <xdr:row>6</xdr:row>
                    <xdr:rowOff>146050</xdr:rowOff>
                  </to>
                </anchor>
              </controlPr>
            </control>
          </mc:Choice>
        </mc:AlternateContent>
        <mc:AlternateContent xmlns:mc="http://schemas.openxmlformats.org/markup-compatibility/2006">
          <mc:Choice Requires="x14">
            <control shapeId="88073" r:id="rId7" name="Button 9">
              <controlPr defaultSize="0" print="0" autoFill="0" autoPict="0" macro="[0]!goto_details">
                <anchor moveWithCells="1" sizeWithCells="1">
                  <from>
                    <xdr:col>0</xdr:col>
                    <xdr:colOff>44450</xdr:colOff>
                    <xdr:row>16</xdr:row>
                    <xdr:rowOff>120650</xdr:rowOff>
                  </from>
                  <to>
                    <xdr:col>2</xdr:col>
                    <xdr:colOff>6350</xdr:colOff>
                    <xdr:row>17</xdr:row>
                    <xdr:rowOff>44450</xdr:rowOff>
                  </to>
                </anchor>
              </controlPr>
            </control>
          </mc:Choice>
        </mc:AlternateContent>
        <mc:AlternateContent xmlns:mc="http://schemas.openxmlformats.org/markup-compatibility/2006">
          <mc:Choice Requires="x14">
            <control shapeId="88074" r:id="rId8" name="Button 10">
              <controlPr defaultSize="0" print="0" autoFill="0" autoPict="0" macro="[0]!merge_vba">
                <anchor moveWithCells="1" sizeWithCells="1">
                  <from>
                    <xdr:col>4</xdr:col>
                    <xdr:colOff>406400</xdr:colOff>
                    <xdr:row>16</xdr:row>
                    <xdr:rowOff>38100</xdr:rowOff>
                  </from>
                  <to>
                    <xdr:col>6</xdr:col>
                    <xdr:colOff>755650</xdr:colOff>
                    <xdr:row>16</xdr:row>
                    <xdr:rowOff>311150</xdr:rowOff>
                  </to>
                </anchor>
              </controlPr>
            </control>
          </mc:Choice>
        </mc:AlternateContent>
        <mc:AlternateContent xmlns:mc="http://schemas.openxmlformats.org/markup-compatibility/2006">
          <mc:Choice Requires="x14">
            <control shapeId="88075" r:id="rId9" name="Button 11">
              <controlPr defaultSize="0" print="0" autoFill="0" autoPict="0" macro="[0]!goto_gllist">
                <anchor moveWithCells="1" sizeWithCells="1">
                  <from>
                    <xdr:col>2</xdr:col>
                    <xdr:colOff>1752600</xdr:colOff>
                    <xdr:row>3</xdr:row>
                    <xdr:rowOff>38100</xdr:rowOff>
                  </from>
                  <to>
                    <xdr:col>2</xdr:col>
                    <xdr:colOff>2159000</xdr:colOff>
                    <xdr:row>3</xdr:row>
                    <xdr:rowOff>241300</xdr:rowOff>
                  </to>
                </anchor>
              </controlPr>
            </control>
          </mc:Choice>
        </mc:AlternateContent>
        <mc:AlternateContent xmlns:mc="http://schemas.openxmlformats.org/markup-compatibility/2006">
          <mc:Choice Requires="x14">
            <control shapeId="88077" r:id="rId10" name="Check Box 13">
              <controlPr defaultSize="0" autoFill="0" autoLine="0" autoPict="0" macro="[0]!CheckBox13_Click">
                <anchor moveWithCells="1">
                  <from>
                    <xdr:col>0</xdr:col>
                    <xdr:colOff>127000</xdr:colOff>
                    <xdr:row>4</xdr:row>
                    <xdr:rowOff>31750</xdr:rowOff>
                  </from>
                  <to>
                    <xdr:col>0</xdr:col>
                    <xdr:colOff>812800</xdr:colOff>
                    <xdr:row>5</xdr:row>
                    <xdr:rowOff>50800</xdr:rowOff>
                  </to>
                </anchor>
              </controlPr>
            </control>
          </mc:Choice>
        </mc:AlternateContent>
        <mc:AlternateContent xmlns:mc="http://schemas.openxmlformats.org/markup-compatibility/2006">
          <mc:Choice Requires="x14">
            <control shapeId="88078" r:id="rId11" name="Check Box 14">
              <controlPr defaultSize="0" autoFill="0" autoLine="0" autoPict="0">
                <anchor moveWithCells="1">
                  <from>
                    <xdr:col>3</xdr:col>
                    <xdr:colOff>215900</xdr:colOff>
                    <xdr:row>17</xdr:row>
                    <xdr:rowOff>6350</xdr:rowOff>
                  </from>
                  <to>
                    <xdr:col>3</xdr:col>
                    <xdr:colOff>806450</xdr:colOff>
                    <xdr:row>17</xdr:row>
                    <xdr:rowOff>228600</xdr:rowOff>
                  </to>
                </anchor>
              </controlPr>
            </control>
          </mc:Choice>
        </mc:AlternateContent>
        <mc:AlternateContent xmlns:mc="http://schemas.openxmlformats.org/markup-compatibility/2006">
          <mc:Choice Requires="x14">
            <control shapeId="88079" r:id="rId12" name="Check Box 15">
              <controlPr defaultSize="0" autoFill="0" autoLine="0" autoPict="0">
                <anchor moveWithCells="1">
                  <from>
                    <xdr:col>4</xdr:col>
                    <xdr:colOff>139700</xdr:colOff>
                    <xdr:row>17</xdr:row>
                    <xdr:rowOff>12700</xdr:rowOff>
                  </from>
                  <to>
                    <xdr:col>4</xdr:col>
                    <xdr:colOff>730250</xdr:colOff>
                    <xdr:row>17</xdr:row>
                    <xdr:rowOff>234950</xdr:rowOff>
                  </to>
                </anchor>
              </controlPr>
            </control>
          </mc:Choice>
        </mc:AlternateContent>
        <mc:AlternateContent xmlns:mc="http://schemas.openxmlformats.org/markup-compatibility/2006">
          <mc:Choice Requires="x14">
            <control shapeId="88080" r:id="rId13" name="Check Box 16">
              <controlPr defaultSize="0" autoFill="0" autoLine="0" autoPict="0">
                <anchor moveWithCells="1">
                  <from>
                    <xdr:col>5</xdr:col>
                    <xdr:colOff>139700</xdr:colOff>
                    <xdr:row>17</xdr:row>
                    <xdr:rowOff>12700</xdr:rowOff>
                  </from>
                  <to>
                    <xdr:col>5</xdr:col>
                    <xdr:colOff>730250</xdr:colOff>
                    <xdr:row>17</xdr:row>
                    <xdr:rowOff>234950</xdr:rowOff>
                  </to>
                </anchor>
              </controlPr>
            </control>
          </mc:Choice>
        </mc:AlternateContent>
        <mc:AlternateContent xmlns:mc="http://schemas.openxmlformats.org/markup-compatibility/2006">
          <mc:Choice Requires="x14">
            <control shapeId="88081" r:id="rId14" name="Check Box 17">
              <controlPr defaultSize="0" autoFill="0" autoLine="0" autoPict="0">
                <anchor moveWithCells="1">
                  <from>
                    <xdr:col>6</xdr:col>
                    <xdr:colOff>146050</xdr:colOff>
                    <xdr:row>17</xdr:row>
                    <xdr:rowOff>12700</xdr:rowOff>
                  </from>
                  <to>
                    <xdr:col>6</xdr:col>
                    <xdr:colOff>736600</xdr:colOff>
                    <xdr:row>17</xdr:row>
                    <xdr:rowOff>234950</xdr:rowOff>
                  </to>
                </anchor>
              </controlPr>
            </control>
          </mc:Choice>
        </mc:AlternateContent>
        <mc:AlternateContent xmlns:mc="http://schemas.openxmlformats.org/markup-compatibility/2006">
          <mc:Choice Requires="x14">
            <control shapeId="88082" r:id="rId15" name="Check Box 18">
              <controlPr defaultSize="0" autoFill="0" autoLine="0" autoPict="0">
                <anchor moveWithCells="1">
                  <from>
                    <xdr:col>7</xdr:col>
                    <xdr:colOff>184150</xdr:colOff>
                    <xdr:row>17</xdr:row>
                    <xdr:rowOff>12700</xdr:rowOff>
                  </from>
                  <to>
                    <xdr:col>7</xdr:col>
                    <xdr:colOff>774700</xdr:colOff>
                    <xdr:row>17</xdr:row>
                    <xdr:rowOff>234950</xdr:rowOff>
                  </to>
                </anchor>
              </controlPr>
            </control>
          </mc:Choice>
        </mc:AlternateContent>
        <mc:AlternateContent xmlns:mc="http://schemas.openxmlformats.org/markup-compatibility/2006">
          <mc:Choice Requires="x14">
            <control shapeId="88083" r:id="rId16" name="Check Box 19">
              <controlPr defaultSize="0" autoFill="0" autoLine="0" autoPict="0">
                <anchor moveWithCells="1">
                  <from>
                    <xdr:col>0</xdr:col>
                    <xdr:colOff>127000</xdr:colOff>
                    <xdr:row>5</xdr:row>
                    <xdr:rowOff>107950</xdr:rowOff>
                  </from>
                  <to>
                    <xdr:col>0</xdr:col>
                    <xdr:colOff>812800</xdr:colOff>
                    <xdr:row>6</xdr:row>
                    <xdr:rowOff>139700</xdr:rowOff>
                  </to>
                </anchor>
              </controlPr>
            </control>
          </mc:Choice>
        </mc:AlternateContent>
        <mc:AlternateContent xmlns:mc="http://schemas.openxmlformats.org/markup-compatibility/2006">
          <mc:Choice Requires="x14">
            <control shapeId="88089" r:id="rId17" name="mr19">
              <controlPr defaultSize="0" autoFill="0" autoLine="0" autoPict="0">
                <anchor moveWithCells="1">
                  <from>
                    <xdr:col>0</xdr:col>
                    <xdr:colOff>127000</xdr:colOff>
                    <xdr:row>7</xdr:row>
                    <xdr:rowOff>38100</xdr:rowOff>
                  </from>
                  <to>
                    <xdr:col>0</xdr:col>
                    <xdr:colOff>812800</xdr:colOff>
                    <xdr:row>8</xdr:row>
                    <xdr:rowOff>63500</xdr:rowOff>
                  </to>
                </anchor>
              </controlPr>
            </control>
          </mc:Choice>
        </mc:AlternateContent>
        <mc:AlternateContent xmlns:mc="http://schemas.openxmlformats.org/markup-compatibility/2006">
          <mc:Choice Requires="x14">
            <control shapeId="88095" r:id="rId18" name="Button 31">
              <controlPr defaultSize="0" print="0" autoFill="0" autoPict="0" macro="[0]!nya">
                <anchor moveWithCells="1" sizeWithCells="1">
                  <from>
                    <xdr:col>7</xdr:col>
                    <xdr:colOff>234950</xdr:colOff>
                    <xdr:row>21</xdr:row>
                    <xdr:rowOff>69850</xdr:rowOff>
                  </from>
                  <to>
                    <xdr:col>9</xdr:col>
                    <xdr:colOff>6350</xdr:colOff>
                    <xdr:row>22</xdr:row>
                    <xdr:rowOff>107950</xdr:rowOff>
                  </to>
                </anchor>
              </controlPr>
            </control>
          </mc:Choice>
        </mc:AlternateContent>
        <mc:AlternateContent xmlns:mc="http://schemas.openxmlformats.org/markup-compatibility/2006">
          <mc:Choice Requires="x14">
            <control shapeId="88096" r:id="rId19" name="Button 32">
              <controlPr defaultSize="0" print="0" autoFill="0" autoPict="0" macro="[0]!nya">
                <anchor moveWithCells="1" sizeWithCells="1">
                  <from>
                    <xdr:col>5</xdr:col>
                    <xdr:colOff>647700</xdr:colOff>
                    <xdr:row>21</xdr:row>
                    <xdr:rowOff>69850</xdr:rowOff>
                  </from>
                  <to>
                    <xdr:col>7</xdr:col>
                    <xdr:colOff>222250</xdr:colOff>
                    <xdr:row>22</xdr:row>
                    <xdr:rowOff>107950</xdr:rowOff>
                  </to>
                </anchor>
              </controlPr>
            </control>
          </mc:Choice>
        </mc:AlternateContent>
        <mc:AlternateContent xmlns:mc="http://schemas.openxmlformats.org/markup-compatibility/2006">
          <mc:Choice Requires="x14">
            <control shapeId="88097" r:id="rId20" name="Button 33">
              <controlPr defaultSize="0" print="0" autoFill="0" autoPict="0" macro="[0]!nya">
                <anchor moveWithCells="1" sizeWithCells="1">
                  <from>
                    <xdr:col>4</xdr:col>
                    <xdr:colOff>222250</xdr:colOff>
                    <xdr:row>21</xdr:row>
                    <xdr:rowOff>69850</xdr:rowOff>
                  </from>
                  <to>
                    <xdr:col>5</xdr:col>
                    <xdr:colOff>730250</xdr:colOff>
                    <xdr:row>22</xdr:row>
                    <xdr:rowOff>107950</xdr:rowOff>
                  </to>
                </anchor>
              </controlPr>
            </control>
          </mc:Choice>
        </mc:AlternateContent>
        <mc:AlternateContent xmlns:mc="http://schemas.openxmlformats.org/markup-compatibility/2006">
          <mc:Choice Requires="x14">
            <control shapeId="88098" r:id="rId21" name="Button 34">
              <controlPr defaultSize="0" print="0" autoFill="0" autoPict="0" macro="[0]!nya">
                <anchor moveWithCells="1" sizeWithCells="1">
                  <from>
                    <xdr:col>3</xdr:col>
                    <xdr:colOff>717550</xdr:colOff>
                    <xdr:row>21</xdr:row>
                    <xdr:rowOff>69850</xdr:rowOff>
                  </from>
                  <to>
                    <xdr:col>4</xdr:col>
                    <xdr:colOff>203200</xdr:colOff>
                    <xdr:row>22</xdr:row>
                    <xdr:rowOff>107950</xdr:rowOff>
                  </to>
                </anchor>
              </controlPr>
            </control>
          </mc:Choice>
        </mc:AlternateContent>
        <mc:AlternateContent xmlns:mc="http://schemas.openxmlformats.org/markup-compatibility/2006">
          <mc:Choice Requires="x14">
            <control shapeId="88101" r:id="rId22" name="Drop Down 37">
              <controlPr defaultSize="0" print="0" autoLine="0" autoPict="0">
                <anchor moveWithCells="1">
                  <from>
                    <xdr:col>2</xdr:col>
                    <xdr:colOff>2260600</xdr:colOff>
                    <xdr:row>3</xdr:row>
                    <xdr:rowOff>38100</xdr:rowOff>
                  </from>
                  <to>
                    <xdr:col>4</xdr:col>
                    <xdr:colOff>6350</xdr:colOff>
                    <xdr:row>3</xdr:row>
                    <xdr:rowOff>234950</xdr:rowOff>
                  </to>
                </anchor>
              </controlPr>
            </control>
          </mc:Choice>
        </mc:AlternateContent>
        <mc:AlternateContent xmlns:mc="http://schemas.openxmlformats.org/markup-compatibility/2006">
          <mc:Choice Requires="x14">
            <control shapeId="88102" r:id="rId23" name="Drop Down 38">
              <controlPr defaultSize="0" print="0" autoLine="0" autoPict="0" macro="[0]!brsmessage">
                <anchor moveWithCells="1">
                  <from>
                    <xdr:col>4</xdr:col>
                    <xdr:colOff>311150</xdr:colOff>
                    <xdr:row>3</xdr:row>
                    <xdr:rowOff>38100</xdr:rowOff>
                  </from>
                  <to>
                    <xdr:col>5</xdr:col>
                    <xdr:colOff>825500</xdr:colOff>
                    <xdr:row>3</xdr:row>
                    <xdr:rowOff>234950</xdr:rowOff>
                  </to>
                </anchor>
              </controlPr>
            </control>
          </mc:Choice>
        </mc:AlternateContent>
        <mc:AlternateContent xmlns:mc="http://schemas.openxmlformats.org/markup-compatibility/2006">
          <mc:Choice Requires="x14">
            <control shapeId="88104" r:id="rId24" name="Check Box 40">
              <controlPr defaultSize="0" autoFill="0" autoLine="0" autoPict="0">
                <anchor moveWithCells="1">
                  <from>
                    <xdr:col>3</xdr:col>
                    <xdr:colOff>215900</xdr:colOff>
                    <xdr:row>18</xdr:row>
                    <xdr:rowOff>12700</xdr:rowOff>
                  </from>
                  <to>
                    <xdr:col>3</xdr:col>
                    <xdr:colOff>901700</xdr:colOff>
                    <xdr:row>18</xdr:row>
                    <xdr:rowOff>234950</xdr:rowOff>
                  </to>
                </anchor>
              </controlPr>
            </control>
          </mc:Choice>
        </mc:AlternateContent>
        <mc:AlternateContent xmlns:mc="http://schemas.openxmlformats.org/markup-compatibility/2006">
          <mc:Choice Requires="x14">
            <control shapeId="88105" r:id="rId25" name="mr19">
              <controlPr defaultSize="0" autoFill="0" autoLine="0" autoPict="0">
                <anchor moveWithCells="1">
                  <from>
                    <xdr:col>3</xdr:col>
                    <xdr:colOff>215900</xdr:colOff>
                    <xdr:row>19</xdr:row>
                    <xdr:rowOff>31750</xdr:rowOff>
                  </from>
                  <to>
                    <xdr:col>3</xdr:col>
                    <xdr:colOff>901700</xdr:colOff>
                    <xdr:row>19</xdr:row>
                    <xdr:rowOff>254000</xdr:rowOff>
                  </to>
                </anchor>
              </controlPr>
            </control>
          </mc:Choice>
        </mc:AlternateContent>
        <mc:AlternateContent xmlns:mc="http://schemas.openxmlformats.org/markup-compatibility/2006">
          <mc:Choice Requires="x14">
            <control shapeId="88106" r:id="rId26" name="Check Box 42">
              <controlPr defaultSize="0" autoFill="0" autoLine="0" autoPict="0">
                <anchor moveWithCells="1">
                  <from>
                    <xdr:col>4</xdr:col>
                    <xdr:colOff>139700</xdr:colOff>
                    <xdr:row>18</xdr:row>
                    <xdr:rowOff>12700</xdr:rowOff>
                  </from>
                  <to>
                    <xdr:col>4</xdr:col>
                    <xdr:colOff>825500</xdr:colOff>
                    <xdr:row>18</xdr:row>
                    <xdr:rowOff>234950</xdr:rowOff>
                  </to>
                </anchor>
              </controlPr>
            </control>
          </mc:Choice>
        </mc:AlternateContent>
        <mc:AlternateContent xmlns:mc="http://schemas.openxmlformats.org/markup-compatibility/2006">
          <mc:Choice Requires="x14">
            <control shapeId="88107" r:id="rId27" name="mr19">
              <controlPr defaultSize="0" autoFill="0" autoLine="0" autoPict="0">
                <anchor moveWithCells="1">
                  <from>
                    <xdr:col>4</xdr:col>
                    <xdr:colOff>139700</xdr:colOff>
                    <xdr:row>19</xdr:row>
                    <xdr:rowOff>31750</xdr:rowOff>
                  </from>
                  <to>
                    <xdr:col>4</xdr:col>
                    <xdr:colOff>825500</xdr:colOff>
                    <xdr:row>19</xdr:row>
                    <xdr:rowOff>254000</xdr:rowOff>
                  </to>
                </anchor>
              </controlPr>
            </control>
          </mc:Choice>
        </mc:AlternateContent>
        <mc:AlternateContent xmlns:mc="http://schemas.openxmlformats.org/markup-compatibility/2006">
          <mc:Choice Requires="x14">
            <control shapeId="88108" r:id="rId28" name="Check Box 44">
              <controlPr defaultSize="0" autoFill="0" autoLine="0" autoPict="0">
                <anchor moveWithCells="1">
                  <from>
                    <xdr:col>5</xdr:col>
                    <xdr:colOff>139700</xdr:colOff>
                    <xdr:row>18</xdr:row>
                    <xdr:rowOff>12700</xdr:rowOff>
                  </from>
                  <to>
                    <xdr:col>5</xdr:col>
                    <xdr:colOff>825500</xdr:colOff>
                    <xdr:row>18</xdr:row>
                    <xdr:rowOff>234950</xdr:rowOff>
                  </to>
                </anchor>
              </controlPr>
            </control>
          </mc:Choice>
        </mc:AlternateContent>
        <mc:AlternateContent xmlns:mc="http://schemas.openxmlformats.org/markup-compatibility/2006">
          <mc:Choice Requires="x14">
            <control shapeId="88109" r:id="rId29" name="mr19">
              <controlPr defaultSize="0" autoFill="0" autoLine="0" autoPict="0">
                <anchor moveWithCells="1">
                  <from>
                    <xdr:col>5</xdr:col>
                    <xdr:colOff>139700</xdr:colOff>
                    <xdr:row>19</xdr:row>
                    <xdr:rowOff>31750</xdr:rowOff>
                  </from>
                  <to>
                    <xdr:col>5</xdr:col>
                    <xdr:colOff>825500</xdr:colOff>
                    <xdr:row>19</xdr:row>
                    <xdr:rowOff>254000</xdr:rowOff>
                  </to>
                </anchor>
              </controlPr>
            </control>
          </mc:Choice>
        </mc:AlternateContent>
        <mc:AlternateContent xmlns:mc="http://schemas.openxmlformats.org/markup-compatibility/2006">
          <mc:Choice Requires="x14">
            <control shapeId="88110" r:id="rId30" name="Check Box 46">
              <controlPr defaultSize="0" autoFill="0" autoLine="0" autoPict="0">
                <anchor moveWithCells="1">
                  <from>
                    <xdr:col>6</xdr:col>
                    <xdr:colOff>139700</xdr:colOff>
                    <xdr:row>18</xdr:row>
                    <xdr:rowOff>12700</xdr:rowOff>
                  </from>
                  <to>
                    <xdr:col>6</xdr:col>
                    <xdr:colOff>825500</xdr:colOff>
                    <xdr:row>18</xdr:row>
                    <xdr:rowOff>234950</xdr:rowOff>
                  </to>
                </anchor>
              </controlPr>
            </control>
          </mc:Choice>
        </mc:AlternateContent>
        <mc:AlternateContent xmlns:mc="http://schemas.openxmlformats.org/markup-compatibility/2006">
          <mc:Choice Requires="x14">
            <control shapeId="88111" r:id="rId31" name="mr19">
              <controlPr defaultSize="0" autoFill="0" autoLine="0" autoPict="0">
                <anchor moveWithCells="1">
                  <from>
                    <xdr:col>6</xdr:col>
                    <xdr:colOff>139700</xdr:colOff>
                    <xdr:row>19</xdr:row>
                    <xdr:rowOff>31750</xdr:rowOff>
                  </from>
                  <to>
                    <xdr:col>6</xdr:col>
                    <xdr:colOff>825500</xdr:colOff>
                    <xdr:row>19</xdr:row>
                    <xdr:rowOff>254000</xdr:rowOff>
                  </to>
                </anchor>
              </controlPr>
            </control>
          </mc:Choice>
        </mc:AlternateContent>
        <mc:AlternateContent xmlns:mc="http://schemas.openxmlformats.org/markup-compatibility/2006">
          <mc:Choice Requires="x14">
            <control shapeId="88112" r:id="rId32" name="Check Box 48">
              <controlPr defaultSize="0" autoFill="0" autoLine="0" autoPict="0">
                <anchor moveWithCells="1">
                  <from>
                    <xdr:col>7</xdr:col>
                    <xdr:colOff>184150</xdr:colOff>
                    <xdr:row>18</xdr:row>
                    <xdr:rowOff>12700</xdr:rowOff>
                  </from>
                  <to>
                    <xdr:col>7</xdr:col>
                    <xdr:colOff>869950</xdr:colOff>
                    <xdr:row>18</xdr:row>
                    <xdr:rowOff>234950</xdr:rowOff>
                  </to>
                </anchor>
              </controlPr>
            </control>
          </mc:Choice>
        </mc:AlternateContent>
        <mc:AlternateContent xmlns:mc="http://schemas.openxmlformats.org/markup-compatibility/2006">
          <mc:Choice Requires="x14">
            <control shapeId="88113" r:id="rId33" name="mr19">
              <controlPr defaultSize="0" autoFill="0" autoLine="0" autoPict="0">
                <anchor moveWithCells="1">
                  <from>
                    <xdr:col>7</xdr:col>
                    <xdr:colOff>184150</xdr:colOff>
                    <xdr:row>19</xdr:row>
                    <xdr:rowOff>31750</xdr:rowOff>
                  </from>
                  <to>
                    <xdr:col>7</xdr:col>
                    <xdr:colOff>869950</xdr:colOff>
                    <xdr:row>19</xdr:row>
                    <xdr:rowOff>254000</xdr:rowOff>
                  </to>
                </anchor>
              </controlPr>
            </control>
          </mc:Choice>
        </mc:AlternateContent>
        <mc:AlternateContent xmlns:mc="http://schemas.openxmlformats.org/markup-compatibility/2006">
          <mc:Choice Requires="x14">
            <control shapeId="88122" r:id="rId34" name="globalbacktobutton">
              <controlPr defaultSize="0" print="0" autoFill="0" autoPict="0" macro="[0]!backto">
                <anchor moveWithCells="1" sizeWithCells="1">
                  <from>
                    <xdr:col>9</xdr:col>
                    <xdr:colOff>152400</xdr:colOff>
                    <xdr:row>1</xdr:row>
                    <xdr:rowOff>6350</xdr:rowOff>
                  </from>
                  <to>
                    <xdr:col>9</xdr:col>
                    <xdr:colOff>787400</xdr:colOff>
                    <xdr:row>3</xdr:row>
                    <xdr:rowOff>177800</xdr:rowOff>
                  </to>
                </anchor>
              </controlPr>
            </control>
          </mc:Choice>
        </mc:AlternateContent>
        <mc:AlternateContent xmlns:mc="http://schemas.openxmlformats.org/markup-compatibility/2006">
          <mc:Choice Requires="x14">
            <control shapeId="88123" r:id="rId35" name="Button 59">
              <controlPr defaultSize="0" print="0" autoFill="0" autoPict="0" macro="[0]!morethan5_merge">
                <anchor moveWithCells="1" sizeWithCells="1">
                  <from>
                    <xdr:col>8</xdr:col>
                    <xdr:colOff>6350</xdr:colOff>
                    <xdr:row>8</xdr:row>
                    <xdr:rowOff>31750</xdr:rowOff>
                  </from>
                  <to>
                    <xdr:col>9</xdr:col>
                    <xdr:colOff>482600</xdr:colOff>
                    <xdr:row>9</xdr:row>
                    <xdr:rowOff>107950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C76B7-E4C4-4A47-B031-929289F7C412}">
  <sheetPr codeName="Sheet61">
    <pageSetUpPr fitToPage="1"/>
  </sheetPr>
  <dimension ref="A1:AE79"/>
  <sheetViews>
    <sheetView showGridLines="0" workbookViewId="0">
      <selection activeCell="Q6" sqref="Q6"/>
    </sheetView>
  </sheetViews>
  <sheetFormatPr defaultColWidth="9.08984375" defaultRowHeight="12.5" x14ac:dyDescent="0.25"/>
  <cols>
    <col min="1" max="1" width="5.6328125" style="1436" customWidth="1"/>
    <col min="2" max="2" width="2" style="1436" customWidth="1"/>
    <col min="3" max="3" width="9" style="1436" customWidth="1"/>
    <col min="4" max="4" width="3.90625" style="1436" customWidth="1"/>
    <col min="5" max="5" width="7.6328125" style="1436" customWidth="1"/>
    <col min="6" max="6" width="12.6328125" style="1436" customWidth="1"/>
    <col min="7" max="7" width="7.6328125" style="1436" customWidth="1"/>
    <col min="8" max="8" width="12.6328125" style="1436" customWidth="1"/>
    <col min="9" max="9" width="7.6328125" style="1436" customWidth="1"/>
    <col min="10" max="10" width="12.6328125" style="1436" customWidth="1"/>
    <col min="11" max="11" width="7.6328125" style="1436" customWidth="1"/>
    <col min="12" max="12" width="12.6328125" style="1436" customWidth="1"/>
    <col min="13" max="13" width="7.6328125" style="1436" customWidth="1"/>
    <col min="14" max="14" width="12.6328125" style="1436" customWidth="1"/>
    <col min="15" max="15" width="7.6328125" style="1436" customWidth="1"/>
    <col min="16" max="16" width="12.6328125" style="1436" customWidth="1"/>
    <col min="17" max="17" width="13.6328125" style="1436" customWidth="1"/>
    <col min="18" max="18" width="1.36328125" style="1436" customWidth="1"/>
    <col min="19" max="19" width="10.453125" style="1436" customWidth="1"/>
    <col min="20" max="20" width="19.08984375" style="1436" customWidth="1"/>
    <col min="21" max="22" width="0" style="1436" hidden="1" customWidth="1"/>
    <col min="23" max="23" width="0" style="2079" hidden="1" customWidth="1"/>
    <col min="24" max="25" width="0" style="1436" hidden="1" customWidth="1"/>
    <col min="26" max="27" width="9.08984375" style="1436"/>
    <col min="28" max="30" width="15.54296875" style="1436" customWidth="1"/>
    <col min="31" max="34" width="9.08984375" style="1436"/>
    <col min="35" max="35" width="10.08984375" style="1436" customWidth="1"/>
    <col min="36" max="39" width="9.08984375" style="1436"/>
    <col min="40" max="40" width="5" style="1436" customWidth="1"/>
    <col min="41" max="16384" width="9.08984375" style="1436"/>
  </cols>
  <sheetData>
    <row r="1" spans="1:31" ht="30" customHeight="1" x14ac:dyDescent="0.35">
      <c r="A1" s="2120"/>
      <c r="B1" s="2121"/>
      <c r="C1" s="2122"/>
      <c r="D1" s="2121"/>
      <c r="E1" s="2123"/>
      <c r="F1" s="2124"/>
      <c r="G1" s="2124"/>
      <c r="H1" s="2124"/>
      <c r="I1" s="2124"/>
      <c r="J1" s="2124"/>
      <c r="K1" s="2124"/>
      <c r="L1" s="2124"/>
      <c r="M1" s="2124"/>
      <c r="N1" s="2124"/>
      <c r="O1" s="2125"/>
      <c r="P1" s="2126"/>
      <c r="Q1" s="2127"/>
      <c r="R1" s="2127"/>
      <c r="S1" s="2127"/>
      <c r="T1" s="2127"/>
      <c r="Z1" s="2127"/>
      <c r="AA1" s="2127"/>
      <c r="AB1" s="2127"/>
      <c r="AC1" s="2127"/>
      <c r="AD1" s="2127"/>
      <c r="AE1" s="2127"/>
    </row>
    <row r="2" spans="1:31" ht="20" x14ac:dyDescent="0.4">
      <c r="A2" s="2128"/>
      <c r="B2" s="1963"/>
      <c r="C2" s="1964" t="str">
        <f>"Merge - "&amp;text!B45</f>
        <v>Merge - Business Rates Liability and Savings 2023 List</v>
      </c>
      <c r="D2" s="1965"/>
      <c r="E2" s="1966"/>
      <c r="F2" s="1966"/>
      <c r="G2" s="1966"/>
      <c r="H2" s="1966"/>
      <c r="I2" s="1966"/>
      <c r="J2" s="1966"/>
      <c r="K2" s="1966"/>
      <c r="L2" s="1966"/>
      <c r="M2" s="1966"/>
      <c r="N2" s="1966"/>
      <c r="O2" s="1966"/>
      <c r="P2" s="1966"/>
      <c r="Q2" s="1966"/>
      <c r="R2" s="1966"/>
      <c r="S2" s="2127"/>
      <c r="T2" s="2127"/>
      <c r="Z2" s="2127"/>
      <c r="AA2" s="2127"/>
      <c r="AB2" s="2127"/>
      <c r="AC2" s="2127"/>
      <c r="AD2" s="2127"/>
      <c r="AE2" s="2127"/>
    </row>
    <row r="3" spans="1:31" ht="13" x14ac:dyDescent="0.3">
      <c r="A3" s="2129"/>
      <c r="B3" s="1963"/>
      <c r="C3" s="1963"/>
      <c r="D3" s="1966"/>
      <c r="E3" s="1966"/>
      <c r="F3" s="1966"/>
      <c r="G3" s="1966"/>
      <c r="H3" s="1966"/>
      <c r="I3" s="1966"/>
      <c r="J3" s="1966"/>
      <c r="K3" s="1966"/>
      <c r="L3" s="1966"/>
      <c r="M3" s="1966"/>
      <c r="N3" s="1966"/>
      <c r="O3" s="1966"/>
      <c r="P3" s="1966"/>
      <c r="Q3" s="1501"/>
      <c r="R3" s="1501"/>
      <c r="S3" s="2127"/>
      <c r="T3" s="2127"/>
      <c r="Z3" s="2127"/>
      <c r="AA3" s="2127"/>
      <c r="AB3" s="2127"/>
      <c r="AC3" s="2127"/>
      <c r="AD3" s="2127"/>
      <c r="AE3" s="2127"/>
    </row>
    <row r="4" spans="1:31" x14ac:dyDescent="0.25">
      <c r="A4" s="2129"/>
      <c r="B4" s="1963"/>
      <c r="C4" s="1963"/>
      <c r="D4" s="1966"/>
      <c r="E4" s="1966"/>
      <c r="F4" s="1966"/>
      <c r="G4" s="1966"/>
      <c r="H4" s="1966"/>
      <c r="I4" s="1966"/>
      <c r="J4" s="1966"/>
      <c r="K4" s="1966"/>
      <c r="L4" s="1966"/>
      <c r="M4" s="1966"/>
      <c r="N4" s="1966"/>
      <c r="O4" s="1966"/>
      <c r="P4" s="1966"/>
      <c r="Q4" s="1966"/>
      <c r="R4" s="1966"/>
      <c r="S4" s="2127"/>
      <c r="T4" s="2127"/>
      <c r="Z4" s="2127"/>
      <c r="AA4" s="2127"/>
      <c r="AB4" s="2127"/>
      <c r="AC4" s="2127"/>
      <c r="AD4" s="2127"/>
      <c r="AE4" s="2127"/>
    </row>
    <row r="5" spans="1:31" ht="13" x14ac:dyDescent="0.3">
      <c r="A5" s="2127"/>
      <c r="B5" s="1963"/>
      <c r="C5" s="1967" t="s">
        <v>1272</v>
      </c>
      <c r="D5" s="1966"/>
      <c r="E5" s="1966" t="str">
        <f>'split report'!$E$5</f>
        <v>Please Complete the Details Page</v>
      </c>
      <c r="F5" s="1966"/>
      <c r="G5" s="1966"/>
      <c r="H5" s="1966"/>
      <c r="I5" s="1966"/>
      <c r="J5" s="1966"/>
      <c r="K5" s="1966"/>
      <c r="L5" s="1966"/>
      <c r="M5" s="1966"/>
      <c r="N5" s="1966"/>
      <c r="O5" s="1966"/>
      <c r="P5" s="1501" t="s">
        <v>911</v>
      </c>
      <c r="Q5" s="1969" t="str">
        <f>'split report'!Q5</f>
        <v>Complete the Details Page</v>
      </c>
      <c r="R5" s="1968"/>
      <c r="S5" s="2127"/>
      <c r="T5" s="2127"/>
      <c r="Z5" s="2127"/>
      <c r="AA5" s="2127"/>
      <c r="AB5" s="2127"/>
      <c r="AC5" s="2127"/>
      <c r="AD5" s="2127"/>
      <c r="AE5" s="2127"/>
    </row>
    <row r="6" spans="1:31" ht="13" x14ac:dyDescent="0.3">
      <c r="A6" s="2129"/>
      <c r="B6" s="1963"/>
      <c r="D6" s="1969"/>
      <c r="F6" s="1966"/>
      <c r="G6" s="1966"/>
      <c r="H6" s="1966"/>
      <c r="I6" s="1966"/>
      <c r="J6" s="1966"/>
      <c r="K6" s="1966"/>
      <c r="L6" s="1966"/>
      <c r="M6" s="1966"/>
      <c r="N6" s="1966"/>
      <c r="O6" s="1966"/>
      <c r="P6" s="1501" t="s">
        <v>1738</v>
      </c>
      <c r="Q6" s="2036"/>
      <c r="R6" s="1968"/>
      <c r="S6" s="2127"/>
      <c r="T6" s="2127"/>
      <c r="Z6" s="2127"/>
      <c r="AA6" s="2127"/>
      <c r="AB6" s="2127"/>
      <c r="AC6" s="2127"/>
      <c r="AD6" s="2127"/>
      <c r="AE6" s="2127"/>
    </row>
    <row r="7" spans="1:31" ht="13" x14ac:dyDescent="0.3">
      <c r="A7" s="2127"/>
      <c r="B7" s="1963"/>
      <c r="C7" s="1967" t="s">
        <v>1274</v>
      </c>
      <c r="D7" s="1966"/>
      <c r="E7" s="1573" t="str">
        <f>'split report'!$E$7</f>
        <v>Please Complete the Details Page</v>
      </c>
      <c r="F7" s="1966"/>
      <c r="G7" s="1966"/>
      <c r="H7" s="1966"/>
      <c r="I7" s="1966"/>
      <c r="J7" s="1966"/>
      <c r="K7" s="1966"/>
      <c r="L7" s="1966"/>
      <c r="M7" s="1966"/>
      <c r="N7" s="1966"/>
      <c r="O7" s="1966"/>
      <c r="P7" s="1501" t="s">
        <v>1275</v>
      </c>
      <c r="Q7" s="1970">
        <f ca="1">TODAY()</f>
        <v>46155</v>
      </c>
      <c r="R7" s="1970"/>
      <c r="S7" s="2127"/>
      <c r="T7" s="2127"/>
      <c r="Z7" s="2127"/>
      <c r="AA7" s="2127"/>
      <c r="AB7" s="2127"/>
      <c r="AC7" s="2127"/>
      <c r="AD7" s="2127"/>
      <c r="AE7" s="2127"/>
    </row>
    <row r="8" spans="1:31" x14ac:dyDescent="0.25">
      <c r="A8" s="2127"/>
      <c r="B8" s="1963"/>
      <c r="C8" s="1971"/>
      <c r="D8" s="1972"/>
      <c r="E8" s="1972"/>
      <c r="F8" s="1972"/>
      <c r="G8" s="1972"/>
      <c r="H8" s="1972"/>
      <c r="I8" s="1972"/>
      <c r="J8" s="1972"/>
      <c r="K8" s="1972"/>
      <c r="L8" s="1972"/>
      <c r="M8" s="1972"/>
      <c r="N8" s="1972"/>
      <c r="O8" s="1972"/>
      <c r="P8" s="1972"/>
      <c r="Q8" s="1972"/>
      <c r="R8" s="1966"/>
      <c r="S8" s="2127"/>
      <c r="T8" s="2127"/>
      <c r="Z8" s="2127"/>
      <c r="AA8" s="2127"/>
      <c r="AB8" s="2127"/>
      <c r="AC8" s="2127"/>
      <c r="AD8" s="2127"/>
      <c r="AE8" s="2127"/>
    </row>
    <row r="9" spans="1:31" ht="13" x14ac:dyDescent="0.3">
      <c r="A9" s="2129"/>
      <c r="B9" s="1963"/>
      <c r="C9" s="1973" t="str">
        <f>'split report'!C9</f>
        <v>Please Complete the Details Page</v>
      </c>
      <c r="D9" s="2037"/>
      <c r="E9" s="2037"/>
      <c r="F9" s="2037"/>
      <c r="G9" s="2037"/>
      <c r="H9" s="2037"/>
      <c r="I9" s="2037"/>
      <c r="J9" s="2037"/>
      <c r="K9" s="2037"/>
      <c r="L9" s="2037"/>
      <c r="M9" s="2037"/>
      <c r="N9" s="2037"/>
      <c r="O9" s="2037"/>
      <c r="P9" s="2037"/>
      <c r="Q9" s="2037"/>
      <c r="R9" s="1966"/>
      <c r="S9" s="2127"/>
      <c r="T9" s="2127"/>
      <c r="Z9" s="2127"/>
      <c r="AA9" s="2127"/>
      <c r="AB9" s="2127"/>
      <c r="AC9" s="2127"/>
      <c r="AD9" s="2127"/>
      <c r="AE9" s="2127"/>
    </row>
    <row r="10" spans="1:31" ht="13" x14ac:dyDescent="0.3">
      <c r="A10" s="2127"/>
      <c r="B10" s="1963"/>
      <c r="C10" s="1973" t="str">
        <f>'split report'!C10</f>
        <v>Please Complete the Details Page</v>
      </c>
      <c r="D10" s="2038"/>
      <c r="E10" s="2038"/>
      <c r="F10" s="2038"/>
      <c r="G10" s="2038"/>
      <c r="H10" s="2038"/>
      <c r="I10" s="2038"/>
      <c r="J10" s="2038"/>
      <c r="K10" s="2038"/>
      <c r="L10" s="2038"/>
      <c r="M10" s="2038"/>
      <c r="N10" s="2038"/>
      <c r="O10" s="2038"/>
      <c r="P10" s="2038"/>
      <c r="Q10" s="2038"/>
      <c r="R10" s="1974"/>
      <c r="S10" s="2127"/>
      <c r="T10" s="2127"/>
      <c r="Z10" s="2127"/>
      <c r="AA10" s="2127"/>
      <c r="AB10" s="2127"/>
      <c r="AC10" s="2127"/>
      <c r="AD10" s="2127"/>
      <c r="AE10" s="2127"/>
    </row>
    <row r="11" spans="1:31" ht="13" x14ac:dyDescent="0.3">
      <c r="A11" s="2127"/>
      <c r="B11" s="1963"/>
      <c r="C11" s="1973" t="str">
        <f>'split report'!C11</f>
        <v>Please Complete the Details Page</v>
      </c>
      <c r="D11" s="2038"/>
      <c r="E11" s="2038"/>
      <c r="F11" s="2038"/>
      <c r="G11" s="2038"/>
      <c r="H11" s="2038"/>
      <c r="I11" s="2038"/>
      <c r="J11" s="2038"/>
      <c r="K11" s="2038"/>
      <c r="L11" s="2038"/>
      <c r="M11" s="2038"/>
      <c r="N11" s="2038"/>
      <c r="O11" s="2038"/>
      <c r="P11" s="2038"/>
      <c r="Q11" s="2038"/>
      <c r="R11" s="1974"/>
      <c r="S11" s="2127"/>
      <c r="T11" s="2127"/>
      <c r="Z11" s="2127"/>
      <c r="AA11" s="2127"/>
      <c r="AB11" s="2127"/>
      <c r="AC11" s="2127"/>
      <c r="AD11" s="2127"/>
      <c r="AE11" s="2127"/>
    </row>
    <row r="12" spans="1:31" ht="13" x14ac:dyDescent="0.3">
      <c r="A12" s="2127"/>
      <c r="B12" s="1963"/>
      <c r="C12" s="1973" t="s">
        <v>836</v>
      </c>
      <c r="D12" s="2038"/>
      <c r="E12" s="2038"/>
      <c r="F12" s="2038"/>
      <c r="G12" s="2038"/>
      <c r="H12" s="2038"/>
      <c r="I12" s="2038"/>
      <c r="J12" s="2038"/>
      <c r="K12" s="2038"/>
      <c r="L12" s="2038"/>
      <c r="M12" s="2038"/>
      <c r="N12" s="2038"/>
      <c r="O12" s="2038"/>
      <c r="P12" s="2038"/>
      <c r="Q12" s="2038"/>
      <c r="R12" s="1974"/>
      <c r="S12" s="2127"/>
      <c r="T12" s="2127"/>
      <c r="Z12" s="2127"/>
      <c r="AA12" s="2127"/>
      <c r="AB12" s="2127"/>
      <c r="AC12" s="2127"/>
      <c r="AD12" s="2127"/>
      <c r="AE12" s="2127"/>
    </row>
    <row r="13" spans="1:31" ht="13" x14ac:dyDescent="0.3">
      <c r="A13" s="2127"/>
      <c r="B13" s="1963"/>
      <c r="C13" s="1501" t="s">
        <v>1337</v>
      </c>
      <c r="D13" s="1966"/>
      <c r="E13" s="1966"/>
      <c r="F13" s="1966"/>
      <c r="G13" s="1966"/>
      <c r="H13" s="1966"/>
      <c r="I13" s="1966"/>
      <c r="J13" s="1966"/>
      <c r="K13" s="1966"/>
      <c r="L13" s="1966"/>
      <c r="M13" s="1966"/>
      <c r="N13" s="1966"/>
      <c r="O13" s="1966"/>
      <c r="P13" s="1966"/>
      <c r="Q13" s="1966"/>
      <c r="R13" s="1966"/>
      <c r="S13" s="2127"/>
      <c r="T13" s="2127"/>
      <c r="Z13" s="2127"/>
      <c r="AA13" s="2127"/>
      <c r="AB13" s="2127"/>
      <c r="AC13" s="2127"/>
      <c r="AD13" s="2127"/>
      <c r="AE13" s="2127"/>
    </row>
    <row r="14" spans="1:31" ht="13" x14ac:dyDescent="0.3">
      <c r="A14" s="2127"/>
      <c r="B14" s="1975" t="s">
        <v>836</v>
      </c>
      <c r="C14" s="1966"/>
      <c r="D14" s="1966"/>
      <c r="E14" s="1966"/>
      <c r="F14" s="1966"/>
      <c r="G14" s="1966"/>
      <c r="H14" s="1966"/>
      <c r="I14" s="1966"/>
      <c r="J14" s="1966"/>
      <c r="K14" s="1966"/>
      <c r="L14" s="1966"/>
      <c r="M14" s="1966"/>
      <c r="N14" s="1966"/>
      <c r="O14" s="1966"/>
      <c r="P14" s="1966"/>
      <c r="Q14" s="1966"/>
      <c r="R14" s="1976"/>
      <c r="S14" s="2127"/>
      <c r="T14" s="2127"/>
      <c r="Z14" s="2127"/>
      <c r="AA14" s="2127"/>
      <c r="AB14" s="2127"/>
      <c r="AC14" s="2127"/>
      <c r="AD14" s="2127"/>
      <c r="AE14" s="2127"/>
    </row>
    <row r="15" spans="1:31" ht="12.75" customHeight="1" x14ac:dyDescent="0.25">
      <c r="A15" s="2127"/>
      <c r="B15" s="1975" t="s">
        <v>836</v>
      </c>
      <c r="C15" s="2130">
        <f>text!C54</f>
        <v>45016</v>
      </c>
      <c r="F15" s="2081">
        <f>W50</f>
        <v>0</v>
      </c>
      <c r="H15" s="2081">
        <f>W53</f>
        <v>0</v>
      </c>
      <c r="J15" s="2081">
        <f>W56</f>
        <v>0</v>
      </c>
      <c r="L15" s="2081">
        <f>W59</f>
        <v>0</v>
      </c>
      <c r="N15" s="2081">
        <f>W62</f>
        <v>0</v>
      </c>
      <c r="P15" s="2081" t="str">
        <f>IF(W22="","",W22)</f>
        <v/>
      </c>
      <c r="Q15" s="1966"/>
      <c r="R15" s="1966"/>
      <c r="S15" s="2127"/>
      <c r="T15" s="2127"/>
      <c r="Z15" s="2127"/>
      <c r="AA15" s="2127"/>
      <c r="AB15" s="2127"/>
      <c r="AC15" s="2127"/>
      <c r="AD15" s="2127"/>
      <c r="AE15" s="2127"/>
    </row>
    <row r="16" spans="1:31" ht="12.75" customHeight="1" x14ac:dyDescent="0.3">
      <c r="A16" s="2127"/>
      <c r="B16" s="1975" t="s">
        <v>836</v>
      </c>
      <c r="C16" s="2040" t="s">
        <v>1739</v>
      </c>
      <c r="D16" s="1615"/>
      <c r="E16" s="1615"/>
      <c r="F16" s="1516">
        <f>merge!D12</f>
        <v>0</v>
      </c>
      <c r="G16" s="1516"/>
      <c r="H16" s="1516">
        <f>merge!E12</f>
        <v>0</v>
      </c>
      <c r="I16" s="1516"/>
      <c r="J16" s="1516">
        <f>merge!F12</f>
        <v>0</v>
      </c>
      <c r="K16" s="1516"/>
      <c r="L16" s="1516">
        <f>merge!G12</f>
        <v>0</v>
      </c>
      <c r="M16" s="1516"/>
      <c r="N16" s="1516">
        <f>merge!H12</f>
        <v>0</v>
      </c>
      <c r="O16" s="1615"/>
      <c r="P16" s="1516" t="str">
        <f>IF(W23&gt;0,W23,"")</f>
        <v/>
      </c>
      <c r="Q16" s="1966"/>
      <c r="R16" s="1966"/>
      <c r="S16" s="2127"/>
      <c r="T16" s="2127"/>
      <c r="Z16" s="2127"/>
      <c r="AA16" s="2127"/>
      <c r="AB16" s="2127"/>
      <c r="AC16" s="2127"/>
      <c r="AD16" s="2127"/>
      <c r="AE16" s="2127"/>
    </row>
    <row r="17" spans="1:31" ht="12.75" customHeight="1" x14ac:dyDescent="0.25">
      <c r="A17" s="2127"/>
      <c r="B17" s="1966"/>
      <c r="C17" s="1966"/>
      <c r="D17" s="1966"/>
      <c r="E17" s="1966"/>
      <c r="F17" s="1436" t="s">
        <v>1341</v>
      </c>
      <c r="H17" s="1436" t="s">
        <v>1341</v>
      </c>
      <c r="J17" s="1436" t="s">
        <v>1341</v>
      </c>
      <c r="L17" s="1436" t="s">
        <v>1341</v>
      </c>
      <c r="N17" s="1436" t="s">
        <v>1341</v>
      </c>
      <c r="O17" s="1966"/>
      <c r="P17" s="1436" t="s">
        <v>1342</v>
      </c>
      <c r="R17" s="1966"/>
      <c r="S17" s="2127"/>
      <c r="T17" s="2127"/>
      <c r="Z17" s="2127"/>
      <c r="AA17" s="2127"/>
      <c r="AB17" s="2127"/>
      <c r="AC17" s="2127"/>
      <c r="AD17" s="2127"/>
      <c r="AE17" s="2127"/>
    </row>
    <row r="18" spans="1:31" ht="12.75" customHeight="1" x14ac:dyDescent="0.25">
      <c r="A18" s="2127"/>
      <c r="B18" s="1963"/>
      <c r="C18" s="2130">
        <f>text!C52</f>
        <v>45017</v>
      </c>
      <c r="D18" s="1966"/>
      <c r="E18" s="1966"/>
      <c r="F18" s="2081">
        <f>W52</f>
        <v>0</v>
      </c>
      <c r="G18" s="1496"/>
      <c r="H18" s="2081">
        <f>W55</f>
        <v>0</v>
      </c>
      <c r="I18" s="1496"/>
      <c r="J18" s="2081">
        <f>W58</f>
        <v>0</v>
      </c>
      <c r="K18" s="1496"/>
      <c r="L18" s="2081">
        <f>W61</f>
        <v>0</v>
      </c>
      <c r="M18" s="1496"/>
      <c r="N18" s="2081">
        <f>W64</f>
        <v>0</v>
      </c>
      <c r="O18" s="2043"/>
      <c r="P18" s="2081" t="s">
        <v>365</v>
      </c>
      <c r="Q18" s="1977"/>
      <c r="R18" s="1966"/>
      <c r="S18" s="2127"/>
      <c r="T18" s="2127"/>
      <c r="Z18" s="2127"/>
      <c r="AA18" s="2127"/>
      <c r="AB18" s="2127"/>
      <c r="AC18" s="2127"/>
      <c r="AD18" s="2127"/>
      <c r="AE18" s="2127"/>
    </row>
    <row r="19" spans="1:31" ht="13" x14ac:dyDescent="0.3">
      <c r="A19" s="2127"/>
      <c r="B19" s="1963"/>
      <c r="C19" s="2167"/>
      <c r="D19" s="1983"/>
      <c r="E19" s="1984"/>
      <c r="F19" s="2081">
        <f>W65</f>
        <v>0</v>
      </c>
      <c r="G19" s="1496"/>
      <c r="H19" s="2081">
        <f>W66</f>
        <v>0</v>
      </c>
      <c r="I19" s="1496"/>
      <c r="J19" s="2081">
        <f>W67</f>
        <v>0</v>
      </c>
      <c r="K19" s="1496"/>
      <c r="L19" s="2081">
        <f>W68</f>
        <v>0</v>
      </c>
      <c r="M19" s="1496"/>
      <c r="N19" s="2081">
        <f>W69</f>
        <v>0</v>
      </c>
      <c r="O19" s="1966"/>
      <c r="P19" s="2081">
        <f>W24</f>
        <v>0</v>
      </c>
      <c r="Q19" s="2131"/>
      <c r="R19" s="1976"/>
      <c r="S19" s="2127"/>
      <c r="T19" s="2127"/>
      <c r="Z19" s="2127"/>
      <c r="AA19" s="2127"/>
      <c r="AB19" s="2127"/>
      <c r="AC19" s="2127"/>
      <c r="AD19" s="2127"/>
      <c r="AE19" s="2127"/>
    </row>
    <row r="20" spans="1:31" ht="13" x14ac:dyDescent="0.3">
      <c r="A20" s="2127"/>
      <c r="B20" s="1963"/>
      <c r="C20" s="2132"/>
      <c r="D20" s="1983"/>
      <c r="E20" s="1984"/>
      <c r="F20" s="2133" t="str">
        <f>IF(W33="","",W33)</f>
        <v/>
      </c>
      <c r="G20" s="2133"/>
      <c r="H20" s="2133" t="str">
        <f>IF(W37="","",W37)</f>
        <v/>
      </c>
      <c r="I20" s="2133"/>
      <c r="J20" s="2133" t="str">
        <f>IF(W41="","",W41)</f>
        <v/>
      </c>
      <c r="K20" s="2133"/>
      <c r="L20" s="2133" t="str">
        <f>IF(W45="","",W45)</f>
        <v/>
      </c>
      <c r="M20" s="2133"/>
      <c r="N20" s="2133" t="str">
        <f>IF(W49="","",W49)</f>
        <v/>
      </c>
      <c r="O20" s="2134"/>
      <c r="P20" s="2164" t="str">
        <f>IF(W26="","",W26)</f>
        <v/>
      </c>
      <c r="Q20" s="1976"/>
      <c r="R20" s="1976"/>
      <c r="S20" s="2127"/>
      <c r="T20" s="2127"/>
      <c r="Z20" s="2127"/>
      <c r="AA20" s="2127"/>
      <c r="AB20" s="2127"/>
      <c r="AC20" s="2127"/>
      <c r="AD20" s="2127"/>
      <c r="AE20" s="2127"/>
    </row>
    <row r="21" spans="1:31" ht="6" customHeight="1" x14ac:dyDescent="0.3">
      <c r="A21" s="2127"/>
      <c r="B21" s="1963"/>
      <c r="C21" s="1978"/>
      <c r="D21" s="1979"/>
      <c r="E21" s="1980"/>
      <c r="F21" s="2045"/>
      <c r="G21" s="2045"/>
      <c r="H21" s="2045"/>
      <c r="I21" s="2045"/>
      <c r="J21" s="2045"/>
      <c r="K21" s="2045"/>
      <c r="L21" s="2045"/>
      <c r="M21" s="2045"/>
      <c r="N21" s="2045"/>
      <c r="O21" s="2046"/>
      <c r="P21" s="2135"/>
      <c r="Q21" s="1981"/>
      <c r="R21" s="1976"/>
      <c r="S21" s="2127"/>
      <c r="T21" s="2127"/>
      <c r="Z21" s="2127"/>
      <c r="AA21" s="2127"/>
      <c r="AB21" s="2127"/>
      <c r="AC21" s="2127"/>
      <c r="AD21" s="2127"/>
      <c r="AE21" s="2127"/>
    </row>
    <row r="22" spans="1:31" ht="18" customHeight="1" x14ac:dyDescent="0.3">
      <c r="A22" s="2127"/>
      <c r="B22" s="1963"/>
      <c r="C22" s="1982" t="s">
        <v>1339</v>
      </c>
      <c r="D22" s="1983"/>
      <c r="E22" s="1984"/>
      <c r="F22" s="1985"/>
      <c r="G22" s="1985"/>
      <c r="H22" s="1985"/>
      <c r="I22" s="1985"/>
      <c r="J22" s="1985"/>
      <c r="K22" s="1985"/>
      <c r="L22" s="1985"/>
      <c r="M22" s="1985"/>
      <c r="N22" s="1985"/>
      <c r="P22" s="1611"/>
      <c r="Q22" s="1976"/>
      <c r="R22" s="1976"/>
      <c r="S22" s="2127"/>
      <c r="T22" s="2127"/>
      <c r="V22" s="1436" t="s">
        <v>1994</v>
      </c>
      <c r="W22" s="2163"/>
      <c r="Z22" s="2127"/>
      <c r="AA22" s="2127"/>
      <c r="AB22" s="2127"/>
      <c r="AC22" s="2127"/>
      <c r="AD22" s="2127"/>
      <c r="AE22" s="2127"/>
    </row>
    <row r="23" spans="1:31" ht="14.25" customHeight="1" x14ac:dyDescent="0.3">
      <c r="A23" s="2127"/>
      <c r="B23" s="1963"/>
      <c r="C23" s="1986" t="str">
        <f>'split report'!C22</f>
        <v>England</v>
      </c>
      <c r="D23" s="1983"/>
      <c r="E23" s="1984"/>
      <c r="F23" s="1985"/>
      <c r="G23" s="1985"/>
      <c r="H23" s="1985"/>
      <c r="I23" s="1985"/>
      <c r="J23" s="1985"/>
      <c r="K23" s="1985"/>
      <c r="L23" s="1985"/>
      <c r="M23" s="1985"/>
      <c r="N23" s="1985"/>
      <c r="O23" s="2047"/>
      <c r="P23" s="1611"/>
      <c r="Q23" s="1976"/>
      <c r="R23" s="1976"/>
      <c r="S23" s="2127"/>
      <c r="T23" s="2127"/>
      <c r="V23" s="1436" t="s">
        <v>1995</v>
      </c>
      <c r="W23" s="2163"/>
      <c r="Z23" s="2127"/>
      <c r="AA23" s="2127"/>
      <c r="AB23" s="2127"/>
      <c r="AC23" s="2127"/>
      <c r="AD23" s="2127"/>
      <c r="AE23" s="2127"/>
    </row>
    <row r="24" spans="1:31" ht="14.25" customHeight="1" x14ac:dyDescent="0.3">
      <c r="A24" s="2127"/>
      <c r="B24" s="1963"/>
      <c r="C24" s="1986"/>
      <c r="D24" s="1983"/>
      <c r="E24" s="1984"/>
      <c r="F24" s="1985"/>
      <c r="G24" s="1985"/>
      <c r="H24" s="1985"/>
      <c r="I24" s="1985"/>
      <c r="J24" s="1985"/>
      <c r="K24" s="1985"/>
      <c r="L24" s="1985"/>
      <c r="M24" s="1985"/>
      <c r="N24" s="1985"/>
      <c r="O24" s="2047"/>
      <c r="P24" s="1611"/>
      <c r="Q24" s="1976"/>
      <c r="R24" s="1976"/>
      <c r="S24" s="2127"/>
      <c r="T24" s="2127"/>
      <c r="V24" s="1436" t="s">
        <v>1996</v>
      </c>
      <c r="W24" s="2163"/>
      <c r="Z24" s="2127"/>
      <c r="AA24" s="2127"/>
      <c r="AB24" s="2127"/>
      <c r="AC24" s="2127"/>
      <c r="AD24" s="2127"/>
      <c r="AE24" s="2127"/>
    </row>
    <row r="25" spans="1:31" ht="10.5" customHeight="1" x14ac:dyDescent="0.3">
      <c r="A25" s="2127"/>
      <c r="B25" s="1963"/>
      <c r="C25" s="1988"/>
      <c r="D25" s="1983"/>
      <c r="E25" s="1989"/>
      <c r="F25" s="1990"/>
      <c r="G25" s="1990"/>
      <c r="H25" s="1990"/>
      <c r="I25" s="1990"/>
      <c r="J25" s="1990"/>
      <c r="K25" s="1990"/>
      <c r="L25" s="1990"/>
      <c r="M25" s="1990"/>
      <c r="N25" s="1990"/>
      <c r="O25" s="2048"/>
      <c r="P25" s="1990"/>
      <c r="Q25" s="1976"/>
      <c r="R25" s="1976"/>
      <c r="S25" s="2127"/>
      <c r="T25" s="2127"/>
      <c r="V25" s="1436" t="s">
        <v>1996</v>
      </c>
      <c r="W25" s="2163"/>
      <c r="Z25" s="2127"/>
      <c r="AA25" s="2127"/>
      <c r="AB25" s="2127"/>
      <c r="AC25" s="2127"/>
      <c r="AD25" s="2127"/>
      <c r="AE25" s="2127"/>
    </row>
    <row r="26" spans="1:31" ht="13" x14ac:dyDescent="0.3">
      <c r="A26" s="2136"/>
      <c r="B26" s="1963"/>
      <c r="D26" s="1983"/>
      <c r="E26" s="2100" t="s">
        <v>366</v>
      </c>
      <c r="F26" s="1990"/>
      <c r="G26" s="1990"/>
      <c r="H26" s="1990"/>
      <c r="J26" s="2137" t="s">
        <v>1341</v>
      </c>
      <c r="K26" s="2138" t="s">
        <v>367</v>
      </c>
      <c r="L26" s="1990"/>
      <c r="M26" s="1990"/>
      <c r="N26" s="2139" t="s">
        <v>368</v>
      </c>
      <c r="O26" s="2140" t="s">
        <v>1342</v>
      </c>
      <c r="P26" s="1990"/>
      <c r="Q26" s="2141" t="s">
        <v>839</v>
      </c>
      <c r="R26" s="1976"/>
      <c r="S26" s="2127"/>
      <c r="T26" s="2127"/>
      <c r="V26" s="1436" t="s">
        <v>2000</v>
      </c>
      <c r="W26" s="2163"/>
      <c r="Z26" s="2127"/>
      <c r="AA26" s="2127"/>
      <c r="AB26" s="2127"/>
      <c r="AC26" s="2127"/>
      <c r="AD26" s="2127"/>
      <c r="AE26" s="2127"/>
    </row>
    <row r="27" spans="1:31" ht="13" x14ac:dyDescent="0.3">
      <c r="A27" s="2136"/>
      <c r="B27" s="1963"/>
      <c r="C27" s="1993" t="s">
        <v>836</v>
      </c>
      <c r="D27" s="1983"/>
      <c r="E27" s="2142"/>
      <c r="O27" s="2058" t="s">
        <v>836</v>
      </c>
      <c r="P27" s="2143"/>
      <c r="Q27" s="1976"/>
      <c r="R27" s="1976"/>
      <c r="S27" s="2127"/>
      <c r="T27" s="2127"/>
      <c r="V27" s="1436" t="s">
        <v>1997</v>
      </c>
      <c r="W27" s="2163"/>
      <c r="Z27" s="2127"/>
      <c r="AA27" s="2127"/>
      <c r="AB27" s="2127"/>
      <c r="AC27" s="2127"/>
      <c r="AD27" s="2127"/>
      <c r="AE27" s="2127"/>
    </row>
    <row r="28" spans="1:31" ht="23.25" customHeight="1" x14ac:dyDescent="0.35">
      <c r="A28" s="2144"/>
      <c r="B28" s="1963"/>
      <c r="C28" s="2000" t="str">
        <f>'split report'!C28</f>
        <v xml:space="preserve">2023/24 </v>
      </c>
      <c r="D28"/>
      <c r="E28" s="2170" t="str">
        <f>IF(W30="","",W30)</f>
        <v/>
      </c>
      <c r="F28" s="2145"/>
      <c r="G28" s="2165" t="str">
        <f>IF(W34="","",W34)</f>
        <v/>
      </c>
      <c r="H28" s="2145"/>
      <c r="I28" s="2165" t="str">
        <f>IF(W38="","",W38)</f>
        <v/>
      </c>
      <c r="J28" s="2145"/>
      <c r="K28" s="2165" t="str">
        <f>IF(W42="","",W42)</f>
        <v/>
      </c>
      <c r="L28" s="2145"/>
      <c r="M28" s="2165" t="str">
        <f>IF(W46="","",W46)</f>
        <v/>
      </c>
      <c r="N28" s="2145"/>
      <c r="O28" s="2082" t="str">
        <f>IF(W27="","",W27)</f>
        <v/>
      </c>
      <c r="P28" s="2145"/>
      <c r="Q28" s="2146">
        <f>Q37</f>
        <v>0</v>
      </c>
      <c r="R28" s="2006"/>
      <c r="S28" s="2127"/>
      <c r="T28" s="2127"/>
      <c r="V28" s="1436" t="s">
        <v>1998</v>
      </c>
      <c r="W28" s="2163"/>
      <c r="Z28" s="2127"/>
      <c r="AA28" s="2127"/>
      <c r="AB28" s="2127"/>
      <c r="AC28" s="2127"/>
      <c r="AD28" s="2127"/>
      <c r="AE28" s="2127"/>
    </row>
    <row r="29" spans="1:31" ht="15.75" customHeight="1" x14ac:dyDescent="0.35">
      <c r="A29" s="2127"/>
      <c r="B29" s="1963"/>
      <c r="C29" s="2000" t="str">
        <f>'split report'!C29</f>
        <v xml:space="preserve">2024/25 </v>
      </c>
      <c r="D29"/>
      <c r="E29" s="2165" t="str">
        <f>IF(W31="","",W31)</f>
        <v/>
      </c>
      <c r="F29" s="2145"/>
      <c r="G29" s="2165" t="str">
        <f>IF(W35="","",W35)</f>
        <v/>
      </c>
      <c r="H29" s="2145"/>
      <c r="I29" s="2165" t="str">
        <f>IF(W39="","",W39)</f>
        <v/>
      </c>
      <c r="J29" s="2145"/>
      <c r="K29" s="2165" t="str">
        <f>IF(W43="","",W43)</f>
        <v/>
      </c>
      <c r="L29" s="2145"/>
      <c r="M29" s="2165" t="str">
        <f>IF(W47="","",W47)</f>
        <v/>
      </c>
      <c r="N29" s="2145"/>
      <c r="O29" s="2082" t="str">
        <f>IF(W28="","",W28)</f>
        <v/>
      </c>
      <c r="P29" s="2145"/>
      <c r="Q29" s="2146">
        <f>Q38</f>
        <v>0</v>
      </c>
      <c r="R29" s="2006"/>
      <c r="S29" s="2127"/>
      <c r="T29" s="2127"/>
      <c r="V29" s="1436" t="s">
        <v>1999</v>
      </c>
      <c r="W29" s="2163"/>
      <c r="Z29" s="2127"/>
      <c r="AA29" s="2127"/>
      <c r="AB29" s="2127"/>
      <c r="AC29" s="2127"/>
      <c r="AD29" s="2127"/>
      <c r="AE29" s="2127"/>
    </row>
    <row r="30" spans="1:31" ht="15.75" customHeight="1" x14ac:dyDescent="0.35">
      <c r="A30" s="2147"/>
      <c r="B30" s="1963"/>
      <c r="C30" s="2000" t="str">
        <f>'split report'!C30</f>
        <v xml:space="preserve">2025/26 </v>
      </c>
      <c r="D30"/>
      <c r="E30" s="2165" t="str">
        <f>IF(W32="","",W32)</f>
        <v/>
      </c>
      <c r="F30" s="2145"/>
      <c r="G30" s="2165" t="str">
        <f>IF(W36="","",W36)</f>
        <v/>
      </c>
      <c r="H30" s="2145"/>
      <c r="I30" s="2165" t="str">
        <f>IF(W40="","",W40)</f>
        <v/>
      </c>
      <c r="J30" s="2145"/>
      <c r="K30" s="2165" t="str">
        <f>IF(W44="","",W44)</f>
        <v/>
      </c>
      <c r="L30" s="2145"/>
      <c r="M30" s="2165" t="str">
        <f>IF(W48="","",W48)</f>
        <v/>
      </c>
      <c r="N30" s="2145"/>
      <c r="O30" s="2082" t="str">
        <f>IF(W29="","",W29)</f>
        <v/>
      </c>
      <c r="P30" s="2145"/>
      <c r="Q30" s="2146">
        <f>Q39</f>
        <v>0</v>
      </c>
      <c r="R30" s="2006"/>
      <c r="S30" s="2127"/>
      <c r="T30" s="2127"/>
      <c r="V30" s="1436" t="s">
        <v>2001</v>
      </c>
      <c r="W30" s="2163"/>
      <c r="Z30" s="2127"/>
      <c r="AA30" s="2127"/>
      <c r="AB30" s="2127"/>
      <c r="AC30" s="2127"/>
      <c r="AD30" s="2127"/>
      <c r="AE30" s="2127"/>
    </row>
    <row r="31" spans="1:31" hidden="1" x14ac:dyDescent="0.25">
      <c r="A31" s="2157"/>
      <c r="B31" s="1966"/>
      <c r="C31" s="2000"/>
      <c r="D31" s="2168"/>
      <c r="E31" s="2166"/>
      <c r="F31" s="2145"/>
      <c r="G31" s="2166"/>
      <c r="H31" s="2145"/>
      <c r="I31" s="2166"/>
      <c r="J31" s="2145"/>
      <c r="K31" s="2166"/>
      <c r="L31" s="2145"/>
      <c r="M31" s="2166"/>
      <c r="N31" s="2145"/>
      <c r="O31" s="2085"/>
      <c r="P31" s="2145"/>
      <c r="Q31" s="2146"/>
      <c r="R31" s="2006"/>
      <c r="S31" s="2127"/>
      <c r="T31" s="2127"/>
      <c r="V31" s="1436" t="s">
        <v>2002</v>
      </c>
      <c r="W31" s="2163"/>
      <c r="Z31" s="2127"/>
      <c r="AA31" s="2127"/>
      <c r="AB31" s="2127"/>
      <c r="AC31" s="2127"/>
      <c r="AD31" s="2127"/>
      <c r="AE31" s="2127"/>
    </row>
    <row r="32" spans="1:31" hidden="1" x14ac:dyDescent="0.25">
      <c r="A32" s="2157"/>
      <c r="B32" s="1966"/>
      <c r="C32" s="2000"/>
      <c r="D32" s="2001"/>
      <c r="E32" s="2166"/>
      <c r="F32" s="2145"/>
      <c r="G32" s="2166"/>
      <c r="H32" s="2145"/>
      <c r="I32" s="2166"/>
      <c r="J32" s="2145"/>
      <c r="K32" s="2166"/>
      <c r="L32" s="2145"/>
      <c r="M32" s="2166"/>
      <c r="N32" s="2145"/>
      <c r="O32" s="2085"/>
      <c r="P32" s="2145"/>
      <c r="Q32" s="2146"/>
      <c r="R32" s="2006"/>
      <c r="S32" s="2127"/>
      <c r="T32" s="2127"/>
      <c r="V32" s="1436" t="s">
        <v>2003</v>
      </c>
      <c r="W32" s="2163"/>
      <c r="Z32" s="2127"/>
      <c r="AA32" s="2127"/>
      <c r="AB32" s="2127"/>
      <c r="AC32" s="2127"/>
      <c r="AD32" s="2127"/>
      <c r="AE32" s="2127"/>
    </row>
    <row r="33" spans="1:31" x14ac:dyDescent="0.25">
      <c r="A33" s="2127"/>
      <c r="B33" s="1966"/>
      <c r="C33" s="2000"/>
      <c r="D33" s="2001"/>
      <c r="E33" s="2169"/>
      <c r="F33" s="2145"/>
      <c r="G33" s="2166"/>
      <c r="H33" s="2145"/>
      <c r="I33" s="2166"/>
      <c r="J33" s="2145"/>
      <c r="K33" s="2166"/>
      <c r="L33" s="2145"/>
      <c r="M33" s="2166"/>
      <c r="N33" s="2145"/>
      <c r="O33" s="2085"/>
      <c r="P33" s="2145"/>
      <c r="Q33" s="2146"/>
      <c r="R33" s="2011"/>
      <c r="S33" s="2127"/>
      <c r="T33" s="2127"/>
      <c r="V33" s="1436" t="s">
        <v>2004</v>
      </c>
      <c r="W33" s="2163"/>
      <c r="Z33" s="2127"/>
      <c r="AA33" s="2127"/>
      <c r="AB33" s="2127"/>
      <c r="AC33" s="2127"/>
      <c r="AD33" s="2127"/>
      <c r="AE33" s="2127"/>
    </row>
    <row r="34" spans="1:31" ht="21" customHeight="1" thickBot="1" x14ac:dyDescent="0.3">
      <c r="A34" s="2127"/>
      <c r="B34" s="1966"/>
      <c r="C34" s="2007" t="s">
        <v>1344</v>
      </c>
      <c r="D34" s="2008"/>
      <c r="E34" s="2008"/>
      <c r="F34" s="2009">
        <f>SUM(F28:F33)</f>
        <v>0</v>
      </c>
      <c r="G34" s="2008"/>
      <c r="H34" s="2009">
        <f>SUM(H28:H33)</f>
        <v>0</v>
      </c>
      <c r="I34" s="2008"/>
      <c r="J34" s="2009">
        <f>SUM(J28:J33)</f>
        <v>0</v>
      </c>
      <c r="K34" s="2008"/>
      <c r="L34" s="2009">
        <f>SUM(L28:L33)</f>
        <v>0</v>
      </c>
      <c r="M34" s="2008"/>
      <c r="N34" s="2009">
        <f>SUM(N28:N33)</f>
        <v>0</v>
      </c>
      <c r="O34" s="2008"/>
      <c r="P34" s="2009">
        <f>SUM(P28:P33)</f>
        <v>0</v>
      </c>
      <c r="Q34" s="2148">
        <f>SUM(Q28:Q33)</f>
        <v>0</v>
      </c>
      <c r="R34" s="2010"/>
      <c r="S34" s="2127"/>
      <c r="T34" s="2127"/>
      <c r="V34" s="1436" t="s">
        <v>2005</v>
      </c>
      <c r="W34" s="2163"/>
      <c r="Z34" s="2127"/>
      <c r="AA34" s="2127"/>
      <c r="AB34" s="2127"/>
      <c r="AC34" s="2127"/>
      <c r="AD34" s="2127"/>
      <c r="AE34" s="2127"/>
    </row>
    <row r="35" spans="1:31" ht="13.5" customHeight="1" thickTop="1" x14ac:dyDescent="0.3">
      <c r="A35" s="2127"/>
      <c r="B35" s="1966"/>
      <c r="C35" s="1963"/>
      <c r="D35" s="2011"/>
      <c r="E35" s="1969"/>
      <c r="F35" s="2011"/>
      <c r="G35" s="2011"/>
      <c r="H35" s="2011"/>
      <c r="I35" s="2011"/>
      <c r="J35" s="2011"/>
      <c r="K35" s="2011"/>
      <c r="L35" s="2011"/>
      <c r="M35" s="2011"/>
      <c r="N35" s="2011"/>
      <c r="O35" s="2012" t="s">
        <v>836</v>
      </c>
      <c r="P35" s="2011"/>
      <c r="Q35" s="2013" t="s">
        <v>836</v>
      </c>
      <c r="R35" s="2011"/>
      <c r="S35" s="2127"/>
      <c r="T35" s="2127"/>
      <c r="V35" s="1436" t="s">
        <v>2006</v>
      </c>
      <c r="W35" s="2163"/>
      <c r="Z35" s="2127"/>
      <c r="AA35" s="2127"/>
      <c r="AB35" s="2127"/>
      <c r="AC35" s="2127"/>
      <c r="AD35" s="2127"/>
      <c r="AE35" s="2127"/>
    </row>
    <row r="36" spans="1:31" ht="13" x14ac:dyDescent="0.3">
      <c r="A36" s="2127"/>
      <c r="B36" s="1966"/>
      <c r="C36" s="2014" t="str">
        <f>'split report'!C36</f>
        <v xml:space="preserve"> </v>
      </c>
      <c r="E36" s="2015"/>
      <c r="F36" s="1966"/>
      <c r="G36" s="1966"/>
      <c r="H36" s="1966"/>
      <c r="I36" s="1966"/>
      <c r="J36" s="1966"/>
      <c r="K36" s="1966"/>
      <c r="L36" s="1966"/>
      <c r="M36" s="2016"/>
      <c r="N36" s="2017" t="s">
        <v>369</v>
      </c>
      <c r="O36" s="2018"/>
      <c r="P36" s="2016" t="s">
        <v>929</v>
      </c>
      <c r="Q36" s="2019" t="s">
        <v>1749</v>
      </c>
      <c r="R36" s="1966"/>
      <c r="S36" s="2127"/>
      <c r="T36" s="2127"/>
      <c r="V36" s="1436" t="s">
        <v>2007</v>
      </c>
      <c r="W36" s="2163"/>
      <c r="Z36" s="2127"/>
      <c r="AA36" s="2127"/>
      <c r="AB36" s="2127"/>
      <c r="AC36" s="2127"/>
      <c r="AD36" s="2127"/>
      <c r="AE36" s="2127"/>
    </row>
    <row r="37" spans="1:31" ht="13" x14ac:dyDescent="0.3">
      <c r="A37" s="2127"/>
      <c r="B37" s="1966"/>
      <c r="C37" s="2020" t="s">
        <v>836</v>
      </c>
      <c r="D37" s="1969"/>
      <c r="E37" s="1969"/>
      <c r="F37" s="1969"/>
      <c r="G37" s="1969"/>
      <c r="H37" s="1969"/>
      <c r="I37" s="1969"/>
      <c r="J37" s="1969"/>
      <c r="K37" s="1969"/>
      <c r="L37" s="1969"/>
      <c r="M37" s="2066" t="str">
        <f>C28</f>
        <v xml:space="preserve">2023/24 </v>
      </c>
      <c r="N37" s="2021">
        <f>F28+H28+J28+L28+N28</f>
        <v>0</v>
      </c>
      <c r="O37" s="2022" t="s">
        <v>836</v>
      </c>
      <c r="P37" s="2023">
        <f>P28</f>
        <v>0</v>
      </c>
      <c r="Q37" s="2149">
        <f>N37-P37</f>
        <v>0</v>
      </c>
      <c r="R37" s="1969"/>
      <c r="S37" s="2127"/>
      <c r="T37" s="2127"/>
      <c r="V37" s="1436" t="s">
        <v>2008</v>
      </c>
      <c r="W37" s="2163"/>
      <c r="Z37" s="2127"/>
      <c r="AA37" s="2127"/>
      <c r="AB37" s="2127"/>
      <c r="AC37" s="2127"/>
      <c r="AD37" s="2127"/>
      <c r="AE37" s="2127"/>
    </row>
    <row r="38" spans="1:31" ht="13" x14ac:dyDescent="0.3">
      <c r="A38" s="2127"/>
      <c r="B38" s="1966"/>
      <c r="C38" s="2020"/>
      <c r="D38" s="1969"/>
      <c r="E38" s="1969"/>
      <c r="F38" s="1969"/>
      <c r="G38" s="1969"/>
      <c r="H38" s="1969"/>
      <c r="I38" s="1969"/>
      <c r="J38" s="1969"/>
      <c r="K38" s="1969"/>
      <c r="L38" s="1969"/>
      <c r="M38" s="2066" t="str">
        <f>C29</f>
        <v xml:space="preserve">2024/25 </v>
      </c>
      <c r="N38" s="2021">
        <f>F29+H29+J29+L29+N29</f>
        <v>0</v>
      </c>
      <c r="O38" s="2022"/>
      <c r="P38" s="2023">
        <f>P29</f>
        <v>0</v>
      </c>
      <c r="Q38" s="2149">
        <f>N38-P38</f>
        <v>0</v>
      </c>
      <c r="R38" s="1969"/>
      <c r="S38" s="2127"/>
      <c r="T38" s="2127"/>
      <c r="V38" s="1436" t="s">
        <v>2009</v>
      </c>
      <c r="W38" s="2163"/>
      <c r="Z38" s="2127"/>
      <c r="AA38" s="2127"/>
      <c r="AB38" s="2127"/>
      <c r="AC38" s="2127"/>
      <c r="AD38" s="2127"/>
      <c r="AE38" s="2127"/>
    </row>
    <row r="39" spans="1:31" ht="13" x14ac:dyDescent="0.3">
      <c r="A39" s="2127"/>
      <c r="B39" s="1966"/>
      <c r="C39" s="2020"/>
      <c r="D39" s="1969"/>
      <c r="E39" s="1969"/>
      <c r="F39" s="1969"/>
      <c r="G39" s="1969"/>
      <c r="H39" s="1969"/>
      <c r="I39" s="1969"/>
      <c r="J39" s="1969"/>
      <c r="K39" s="1969"/>
      <c r="L39" s="1969"/>
      <c r="M39" s="2066" t="str">
        <f>C30</f>
        <v xml:space="preserve">2025/26 </v>
      </c>
      <c r="N39" s="2021">
        <f>F30+H30+J30+L30+N30</f>
        <v>0</v>
      </c>
      <c r="O39" s="2022"/>
      <c r="P39" s="2023">
        <f>P30</f>
        <v>0</v>
      </c>
      <c r="Q39" s="2149">
        <f>N39-P39</f>
        <v>0</v>
      </c>
      <c r="R39" s="1969"/>
      <c r="S39" s="2127"/>
      <c r="T39" s="2127"/>
      <c r="V39" s="1436" t="s">
        <v>2010</v>
      </c>
      <c r="W39" s="2163"/>
      <c r="Z39" s="2127"/>
      <c r="AA39" s="2127"/>
      <c r="AB39" s="2127"/>
      <c r="AC39" s="2127"/>
      <c r="AD39" s="2127"/>
      <c r="AE39" s="2127"/>
    </row>
    <row r="40" spans="1:31" ht="18" customHeight="1" x14ac:dyDescent="0.25">
      <c r="A40" s="2127"/>
      <c r="B40" s="1966"/>
      <c r="C40" s="1966"/>
      <c r="D40" s="1966"/>
      <c r="E40" s="2067"/>
      <c r="F40" s="2067"/>
      <c r="G40" s="2067"/>
      <c r="H40" s="2067"/>
      <c r="I40" s="2067"/>
      <c r="J40" s="2067"/>
      <c r="K40" s="2067"/>
      <c r="L40" s="2067"/>
      <c r="M40" s="2068" t="s">
        <v>2409</v>
      </c>
      <c r="N40" s="2150">
        <f>SUM(N37:N39)</f>
        <v>0</v>
      </c>
      <c r="O40" s="2066"/>
      <c r="P40" s="2150">
        <f>SUM(P37:P39)</f>
        <v>0</v>
      </c>
      <c r="Q40" s="2151">
        <f>SUM(Q37:Q39)</f>
        <v>0</v>
      </c>
      <c r="R40" s="1969"/>
      <c r="S40" s="2127"/>
      <c r="T40" s="2127"/>
      <c r="V40" s="1436" t="s">
        <v>2011</v>
      </c>
      <c r="W40" s="2163"/>
      <c r="Z40" s="2127"/>
      <c r="AA40" s="2127"/>
      <c r="AB40" s="2127"/>
      <c r="AC40" s="2127"/>
      <c r="AD40" s="2127"/>
      <c r="AE40" s="2127"/>
    </row>
    <row r="41" spans="1:31" ht="15.5" x14ac:dyDescent="0.35">
      <c r="A41" s="2127"/>
      <c r="B41" s="1966"/>
      <c r="C41" s="2015" t="s">
        <v>1345</v>
      </c>
      <c r="D41" s="1988"/>
      <c r="E41" s="2025" t="str">
        <f>codes!F4</f>
        <v>CBRE</v>
      </c>
      <c r="F41" s="1969"/>
      <c r="G41" s="1969"/>
      <c r="H41" s="1969"/>
      <c r="I41" s="1969"/>
      <c r="J41" s="1969"/>
      <c r="K41" s="1969"/>
      <c r="L41" s="1969"/>
      <c r="M41" s="1969"/>
      <c r="N41" s="1969"/>
      <c r="O41" s="1969"/>
      <c r="P41" s="1969"/>
      <c r="Q41" s="1969"/>
      <c r="R41" s="1969"/>
      <c r="S41" s="2127"/>
      <c r="T41" s="2127"/>
      <c r="V41" s="1436" t="s">
        <v>2012</v>
      </c>
      <c r="W41" s="2163"/>
      <c r="Z41" s="2127"/>
      <c r="AA41" s="2127"/>
      <c r="AB41" s="2127"/>
      <c r="AC41" s="2127"/>
      <c r="AD41" s="2127"/>
      <c r="AE41" s="2127"/>
    </row>
    <row r="42" spans="1:31" ht="13" x14ac:dyDescent="0.3">
      <c r="A42" s="2127"/>
      <c r="B42" s="2127"/>
      <c r="C42" s="2152"/>
      <c r="D42" s="2153"/>
      <c r="E42" s="2154"/>
      <c r="F42" s="2154"/>
      <c r="G42" s="2154"/>
      <c r="H42" s="2154"/>
      <c r="I42" s="2154"/>
      <c r="J42" s="2154"/>
      <c r="K42" s="2154"/>
      <c r="L42" s="2154"/>
      <c r="M42" s="2154"/>
      <c r="N42" s="2154"/>
      <c r="O42" s="2154"/>
      <c r="P42" s="2154"/>
      <c r="Q42" s="2154"/>
      <c r="R42" s="2154"/>
      <c r="S42" s="2127"/>
      <c r="T42" s="2127"/>
      <c r="V42" s="1436" t="s">
        <v>2013</v>
      </c>
      <c r="W42" s="2163"/>
      <c r="Z42" s="2127"/>
      <c r="AA42" s="2127"/>
      <c r="AB42" s="2127"/>
      <c r="AC42" s="2127"/>
      <c r="AD42" s="2127"/>
      <c r="AE42" s="2127"/>
    </row>
    <row r="43" spans="1:31" ht="13" x14ac:dyDescent="0.3">
      <c r="A43" s="2127"/>
      <c r="B43" s="2127"/>
      <c r="C43" s="2152"/>
      <c r="D43" s="2153"/>
      <c r="E43" s="2154"/>
      <c r="F43" s="2154"/>
      <c r="G43" s="2154"/>
      <c r="H43" s="2154"/>
      <c r="I43" s="2154"/>
      <c r="J43" s="2154"/>
      <c r="K43" s="2154"/>
      <c r="L43" s="2154"/>
      <c r="M43" s="2154"/>
      <c r="N43" s="2154"/>
      <c r="O43" s="2154"/>
      <c r="P43" s="2154"/>
      <c r="Q43" s="2154"/>
      <c r="R43" s="2154"/>
      <c r="S43" s="2127"/>
      <c r="T43" s="2127"/>
      <c r="V43" s="1436" t="s">
        <v>2014</v>
      </c>
      <c r="W43" s="2163"/>
      <c r="Z43" s="2127"/>
      <c r="AA43" s="2127"/>
      <c r="AB43" s="2127"/>
      <c r="AC43" s="2127"/>
      <c r="AD43" s="2127"/>
      <c r="AE43" s="2127"/>
    </row>
    <row r="44" spans="1:31" ht="13" x14ac:dyDescent="0.3">
      <c r="A44" s="2129"/>
      <c r="B44" s="2127"/>
      <c r="C44" s="2127"/>
      <c r="D44" s="2155"/>
      <c r="E44" s="2156"/>
      <c r="F44" s="2156"/>
      <c r="G44" s="2156"/>
      <c r="H44" s="2156"/>
      <c r="I44" s="2156"/>
      <c r="J44" s="2156"/>
      <c r="K44" s="2156"/>
      <c r="L44" s="2156"/>
      <c r="M44" s="2156"/>
      <c r="N44" s="2156"/>
      <c r="O44" s="2156"/>
      <c r="P44" s="2156"/>
      <c r="Q44" s="2154"/>
      <c r="R44" s="2154"/>
      <c r="S44" s="2127"/>
      <c r="T44" s="2127"/>
      <c r="V44" s="1436" t="s">
        <v>2015</v>
      </c>
      <c r="W44" s="2163"/>
      <c r="Z44" s="2127"/>
      <c r="AA44" s="2127"/>
      <c r="AB44" s="2127"/>
      <c r="AC44" s="2127"/>
      <c r="AD44" s="2127"/>
      <c r="AE44" s="2127"/>
    </row>
    <row r="45" spans="1:31" x14ac:dyDescent="0.25">
      <c r="A45" s="2127"/>
      <c r="B45" s="2127"/>
      <c r="C45" s="2127"/>
      <c r="D45" s="2154"/>
      <c r="E45" s="2154"/>
      <c r="F45" s="2154"/>
      <c r="G45" s="2154"/>
      <c r="H45" s="2154"/>
      <c r="I45" s="2154"/>
      <c r="J45" s="2154"/>
      <c r="K45" s="2154"/>
      <c r="L45" s="2154"/>
      <c r="M45" s="2154"/>
      <c r="N45" s="2154"/>
      <c r="O45" s="2154"/>
      <c r="P45" s="2154"/>
      <c r="Q45" s="2154"/>
      <c r="R45" s="2154"/>
      <c r="S45" s="2127"/>
      <c r="T45" s="2127"/>
      <c r="V45" s="1436" t="s">
        <v>2016</v>
      </c>
      <c r="W45" s="2163"/>
      <c r="Z45" s="2127"/>
      <c r="AA45" s="2127"/>
      <c r="AB45" s="2127"/>
      <c r="AC45" s="2127"/>
      <c r="AD45" s="2127"/>
      <c r="AE45" s="2127"/>
    </row>
    <row r="46" spans="1:31" ht="12.75" customHeight="1" x14ac:dyDescent="0.25">
      <c r="A46" s="2127"/>
      <c r="B46" s="2127"/>
      <c r="C46" s="2127"/>
      <c r="D46" s="2127"/>
      <c r="E46" s="2127"/>
      <c r="F46" s="2127"/>
      <c r="G46" s="2127"/>
      <c r="H46" s="2127"/>
      <c r="I46" s="2127"/>
      <c r="J46" s="2127"/>
      <c r="K46" s="2127"/>
      <c r="L46" s="2127"/>
      <c r="M46" s="2127"/>
      <c r="N46" s="2127"/>
      <c r="O46" s="2127"/>
      <c r="P46" s="2127"/>
      <c r="Q46" s="2127"/>
      <c r="R46" s="2127"/>
      <c r="S46" s="2127"/>
      <c r="T46" s="2127"/>
      <c r="V46" s="1436" t="s">
        <v>2017</v>
      </c>
      <c r="W46" s="2163"/>
      <c r="Z46" s="2127"/>
      <c r="AA46" s="2127"/>
      <c r="AB46" s="2127"/>
      <c r="AC46" s="2127"/>
      <c r="AD46" s="2127"/>
      <c r="AE46" s="2127"/>
    </row>
    <row r="47" spans="1:31" x14ac:dyDescent="0.25">
      <c r="A47" s="2127"/>
      <c r="B47" s="2127"/>
      <c r="C47" s="2127"/>
      <c r="D47" s="2127"/>
      <c r="E47" s="2127"/>
      <c r="F47" s="2127"/>
      <c r="G47" s="2127"/>
      <c r="H47" s="2127"/>
      <c r="I47" s="2127"/>
      <c r="J47" s="2127"/>
      <c r="K47" s="2127"/>
      <c r="L47" s="2127"/>
      <c r="M47" s="2127"/>
      <c r="N47" s="2127"/>
      <c r="O47" s="2127"/>
      <c r="P47" s="2127"/>
      <c r="Q47" s="2127"/>
      <c r="R47" s="2127"/>
      <c r="S47" s="2127"/>
      <c r="T47" s="2127"/>
      <c r="V47" s="1436" t="s">
        <v>2018</v>
      </c>
      <c r="W47" s="2163"/>
      <c r="Z47" s="2127"/>
      <c r="AA47" s="2127"/>
      <c r="AB47" s="2127"/>
      <c r="AC47" s="2127"/>
      <c r="AD47" s="2127"/>
      <c r="AE47" s="2127"/>
    </row>
    <row r="48" spans="1:31" x14ac:dyDescent="0.25">
      <c r="A48" s="2127"/>
      <c r="B48" s="2127"/>
      <c r="C48" s="2154"/>
      <c r="D48" s="2127"/>
      <c r="E48" s="2127"/>
      <c r="F48" s="2127"/>
      <c r="G48" s="2127"/>
      <c r="H48" s="2127"/>
      <c r="I48" s="2127"/>
      <c r="J48" s="2127"/>
      <c r="K48" s="2127"/>
      <c r="L48" s="2127"/>
      <c r="M48" s="2127"/>
      <c r="N48" s="2127"/>
      <c r="O48" s="2127"/>
      <c r="P48" s="2127"/>
      <c r="Q48" s="2127"/>
      <c r="R48" s="2127"/>
      <c r="S48" s="2127"/>
      <c r="T48" s="2127"/>
      <c r="V48" s="1436" t="s">
        <v>2019</v>
      </c>
      <c r="W48" s="2163"/>
      <c r="Z48" s="2127"/>
      <c r="AA48" s="2127"/>
      <c r="AB48" s="2127"/>
      <c r="AC48" s="2127"/>
      <c r="AD48" s="2127"/>
      <c r="AE48" s="2127"/>
    </row>
    <row r="49" spans="1:31" x14ac:dyDescent="0.25">
      <c r="A49" s="2127"/>
      <c r="B49" s="2127"/>
      <c r="C49" s="2121"/>
      <c r="D49" s="2127"/>
      <c r="E49" s="2127"/>
      <c r="F49" s="2127"/>
      <c r="G49" s="2127"/>
      <c r="H49" s="2127"/>
      <c r="I49" s="2127"/>
      <c r="J49" s="2127"/>
      <c r="K49" s="2127"/>
      <c r="L49" s="2127"/>
      <c r="M49" s="2127"/>
      <c r="N49" s="2127"/>
      <c r="O49" s="2127"/>
      <c r="P49" s="2127"/>
      <c r="Q49" s="2127"/>
      <c r="R49" s="2127"/>
      <c r="S49" s="2127"/>
      <c r="T49" s="2127"/>
      <c r="V49" s="1436" t="s">
        <v>2020</v>
      </c>
      <c r="W49" s="2163"/>
      <c r="Z49" s="2127"/>
      <c r="AA49" s="2127"/>
      <c r="AB49" s="2127"/>
      <c r="AC49" s="2127"/>
      <c r="AD49" s="2127"/>
      <c r="AE49" s="2127"/>
    </row>
    <row r="50" spans="1:31" x14ac:dyDescent="0.25">
      <c r="A50" s="2127"/>
      <c r="B50" s="2127"/>
      <c r="C50" s="2121"/>
      <c r="D50" s="2127"/>
      <c r="E50" s="2127"/>
      <c r="F50" s="2127"/>
      <c r="G50" s="2127"/>
      <c r="H50" s="2127"/>
      <c r="I50" s="2127"/>
      <c r="J50" s="2127"/>
      <c r="K50" s="2127"/>
      <c r="L50" s="2127"/>
      <c r="M50" s="2127"/>
      <c r="N50" s="2127"/>
      <c r="O50" s="2127"/>
      <c r="P50" s="2127"/>
      <c r="Q50" s="2127"/>
      <c r="R50" s="2127"/>
      <c r="S50" s="2127"/>
      <c r="T50" s="2127"/>
      <c r="V50" s="1436" t="s">
        <v>2021</v>
      </c>
      <c r="W50" s="2163"/>
      <c r="Z50" s="2127"/>
      <c r="AA50" s="2127"/>
      <c r="AB50" s="2127"/>
      <c r="AC50" s="2127"/>
      <c r="AD50" s="2127"/>
      <c r="AE50" s="2127"/>
    </row>
    <row r="51" spans="1:31" x14ac:dyDescent="0.25">
      <c r="A51" s="2127"/>
      <c r="B51" s="2127"/>
      <c r="C51" s="2121"/>
      <c r="D51" s="2127"/>
      <c r="E51" s="2127"/>
      <c r="F51" s="2127"/>
      <c r="G51" s="2127"/>
      <c r="H51" s="2127"/>
      <c r="I51" s="2127"/>
      <c r="J51" s="2127"/>
      <c r="K51" s="2127"/>
      <c r="L51" s="2127"/>
      <c r="M51" s="2127"/>
      <c r="N51" s="2127"/>
      <c r="O51" s="2127"/>
      <c r="P51" s="2127"/>
      <c r="Q51" s="2127"/>
      <c r="R51" s="2127"/>
      <c r="S51" s="2127"/>
      <c r="T51" s="2127"/>
      <c r="V51" s="1436" t="s">
        <v>308</v>
      </c>
      <c r="W51" s="2163"/>
      <c r="Z51" s="2127"/>
      <c r="AA51" s="2127"/>
      <c r="AB51" s="2127"/>
      <c r="AC51" s="2127"/>
      <c r="AD51" s="2127"/>
      <c r="AE51" s="2127"/>
    </row>
    <row r="52" spans="1:31" x14ac:dyDescent="0.25">
      <c r="A52" s="2127"/>
      <c r="B52" s="2127"/>
      <c r="C52" s="2121"/>
      <c r="D52" s="2127"/>
      <c r="E52" s="2127"/>
      <c r="F52" s="2127"/>
      <c r="G52" s="2127"/>
      <c r="H52" s="2127"/>
      <c r="I52" s="2127"/>
      <c r="J52" s="2127"/>
      <c r="K52" s="2127"/>
      <c r="L52" s="2127"/>
      <c r="M52" s="2127"/>
      <c r="N52" s="2127"/>
      <c r="O52" s="2127"/>
      <c r="P52" s="2127"/>
      <c r="Q52" s="2127"/>
      <c r="R52" s="2127"/>
      <c r="S52" s="2127"/>
      <c r="T52" s="2127"/>
      <c r="V52" s="1436" t="s">
        <v>308</v>
      </c>
      <c r="W52" s="2163"/>
      <c r="Z52" s="2127"/>
      <c r="AA52" s="2127"/>
      <c r="AB52" s="2127"/>
      <c r="AC52" s="2127"/>
      <c r="AD52" s="2127"/>
      <c r="AE52" s="2127"/>
    </row>
    <row r="53" spans="1:31" x14ac:dyDescent="0.25">
      <c r="A53" s="2127"/>
      <c r="B53" s="2127"/>
      <c r="C53" s="2121"/>
      <c r="D53" s="2127"/>
      <c r="E53" s="2127"/>
      <c r="F53" s="2127"/>
      <c r="G53" s="2127"/>
      <c r="H53" s="2127"/>
      <c r="I53" s="2127"/>
      <c r="J53" s="2127"/>
      <c r="K53" s="2127"/>
      <c r="L53" s="2127"/>
      <c r="M53" s="2127"/>
      <c r="N53" s="2127"/>
      <c r="O53" s="2127"/>
      <c r="P53" s="2127"/>
      <c r="Q53" s="2127"/>
      <c r="R53" s="2127"/>
      <c r="S53" s="2127"/>
      <c r="T53" s="2127"/>
      <c r="V53" s="1436" t="s">
        <v>2022</v>
      </c>
      <c r="W53" s="2163"/>
      <c r="Z53" s="2127"/>
      <c r="AA53" s="2127"/>
      <c r="AB53" s="2127"/>
      <c r="AC53" s="2127"/>
      <c r="AD53" s="2127"/>
      <c r="AE53" s="2127"/>
    </row>
    <row r="54" spans="1:31" x14ac:dyDescent="0.25">
      <c r="A54" s="2127"/>
      <c r="B54" s="2127"/>
      <c r="C54" s="2121" t="str">
        <f>SUBSTITUTE(C53," | ","()")</f>
        <v/>
      </c>
      <c r="D54" s="2127"/>
      <c r="E54" s="2127"/>
      <c r="F54" s="2127"/>
      <c r="G54" s="2127"/>
      <c r="H54" s="2127"/>
      <c r="I54" s="2127"/>
      <c r="J54" s="2127"/>
      <c r="K54" s="2127"/>
      <c r="L54" s="2127"/>
      <c r="M54" s="2127"/>
      <c r="N54" s="2127"/>
      <c r="O54" s="2127"/>
      <c r="P54" s="2127"/>
      <c r="Q54" s="2127"/>
      <c r="R54" s="2127"/>
      <c r="S54" s="2127"/>
      <c r="T54" s="2127"/>
      <c r="V54" s="1436" t="s">
        <v>308</v>
      </c>
      <c r="W54" s="2163"/>
      <c r="Z54" s="2127"/>
      <c r="AA54" s="2127"/>
      <c r="AB54" s="2127"/>
      <c r="AC54" s="2127"/>
      <c r="AD54" s="2127"/>
      <c r="AE54" s="2127"/>
    </row>
    <row r="55" spans="1:31" x14ac:dyDescent="0.25">
      <c r="A55" s="2127"/>
      <c r="B55" s="2127"/>
      <c r="C55" s="2121"/>
      <c r="D55" s="2127"/>
      <c r="E55" s="2127"/>
      <c r="F55" s="2127"/>
      <c r="G55" s="2127"/>
      <c r="H55" s="2127"/>
      <c r="I55" s="2127"/>
      <c r="J55" s="2127"/>
      <c r="K55" s="2127"/>
      <c r="L55" s="2127"/>
      <c r="M55" s="2127"/>
      <c r="N55" s="2127"/>
      <c r="O55" s="2127"/>
      <c r="P55" s="2127"/>
      <c r="Q55" s="2127"/>
      <c r="R55" s="2127"/>
      <c r="S55" s="2127"/>
      <c r="T55" s="2127"/>
      <c r="V55" s="1436" t="s">
        <v>308</v>
      </c>
      <c r="W55" s="2163"/>
      <c r="Z55" s="2127"/>
      <c r="AA55" s="2127"/>
      <c r="AB55" s="2127"/>
      <c r="AC55" s="2127"/>
      <c r="AD55" s="2127"/>
      <c r="AE55" s="2127"/>
    </row>
    <row r="56" spans="1:31" x14ac:dyDescent="0.25">
      <c r="A56" s="2127"/>
      <c r="B56" s="2127"/>
      <c r="C56" s="2121"/>
      <c r="D56" s="2127"/>
      <c r="E56" s="2127"/>
      <c r="F56" s="2127"/>
      <c r="G56" s="2127"/>
      <c r="H56" s="2127"/>
      <c r="I56" s="2127"/>
      <c r="J56" s="2127"/>
      <c r="K56" s="2127"/>
      <c r="L56" s="2127"/>
      <c r="M56" s="2127"/>
      <c r="N56" s="2127"/>
      <c r="O56" s="2127"/>
      <c r="P56" s="2127"/>
      <c r="Q56" s="2127"/>
      <c r="R56" s="2127"/>
      <c r="S56" s="2127"/>
      <c r="T56" s="2127"/>
      <c r="V56" s="1436" t="s">
        <v>2023</v>
      </c>
      <c r="W56" s="2163"/>
      <c r="Z56" s="2127"/>
      <c r="AA56" s="2127"/>
      <c r="AB56" s="2127"/>
      <c r="AC56" s="2127"/>
      <c r="AD56" s="2127"/>
      <c r="AE56" s="2127"/>
    </row>
    <row r="57" spans="1:31" x14ac:dyDescent="0.25">
      <c r="A57" s="2127"/>
      <c r="B57" s="2127"/>
      <c r="C57" s="2121"/>
      <c r="D57" s="2127"/>
      <c r="E57" s="2127"/>
      <c r="F57" s="2127"/>
      <c r="G57" s="2127"/>
      <c r="H57" s="2127"/>
      <c r="I57" s="2127"/>
      <c r="J57" s="2127"/>
      <c r="K57" s="2127"/>
      <c r="L57" s="2127"/>
      <c r="M57" s="2127"/>
      <c r="N57" s="2127"/>
      <c r="O57" s="2127"/>
      <c r="P57" s="2127"/>
      <c r="Q57" s="2127"/>
      <c r="R57" s="2127"/>
      <c r="S57" s="2127"/>
      <c r="T57" s="2127"/>
      <c r="V57" s="1436" t="s">
        <v>308</v>
      </c>
      <c r="W57" s="2163"/>
      <c r="Z57" s="2127"/>
      <c r="AA57" s="2127"/>
      <c r="AB57" s="2127"/>
      <c r="AC57" s="2127"/>
      <c r="AD57" s="2127"/>
      <c r="AE57" s="2127"/>
    </row>
    <row r="58" spans="1:31" x14ac:dyDescent="0.25">
      <c r="A58" s="2127"/>
      <c r="B58" s="2127"/>
      <c r="C58" s="2127"/>
      <c r="D58" s="2127"/>
      <c r="E58" s="2127"/>
      <c r="F58" s="2127"/>
      <c r="G58" s="2127"/>
      <c r="H58" s="2127"/>
      <c r="I58" s="2127"/>
      <c r="J58" s="2127"/>
      <c r="K58" s="2127"/>
      <c r="L58" s="2127"/>
      <c r="M58" s="2127"/>
      <c r="N58" s="2127"/>
      <c r="O58" s="2127"/>
      <c r="P58" s="2127"/>
      <c r="Q58" s="2127"/>
      <c r="R58" s="2127"/>
      <c r="S58" s="2127"/>
      <c r="T58" s="2127"/>
      <c r="V58" s="1436" t="s">
        <v>308</v>
      </c>
      <c r="W58" s="2163"/>
      <c r="Z58" s="2127"/>
      <c r="AA58" s="2127"/>
      <c r="AB58" s="2127"/>
      <c r="AC58" s="2127"/>
      <c r="AD58" s="2127"/>
      <c r="AE58" s="2127"/>
    </row>
    <row r="59" spans="1:31" x14ac:dyDescent="0.25">
      <c r="A59" s="2127"/>
      <c r="B59" s="2127"/>
      <c r="C59" s="2127"/>
      <c r="D59" s="2127"/>
      <c r="E59" s="2127"/>
      <c r="F59" s="2127"/>
      <c r="G59" s="2127"/>
      <c r="H59" s="2127"/>
      <c r="I59" s="2127"/>
      <c r="J59" s="2127"/>
      <c r="K59" s="2127"/>
      <c r="L59" s="2127"/>
      <c r="M59" s="2127"/>
      <c r="N59" s="2127"/>
      <c r="O59" s="2127"/>
      <c r="P59" s="2127"/>
      <c r="Q59" s="2127"/>
      <c r="R59" s="2127"/>
      <c r="S59" s="2127"/>
      <c r="T59" s="2127"/>
      <c r="V59" s="1436" t="s">
        <v>2023</v>
      </c>
      <c r="W59" s="2163"/>
      <c r="Z59" s="2127"/>
      <c r="AA59" s="2127"/>
      <c r="AB59" s="2127"/>
      <c r="AC59" s="2127"/>
      <c r="AD59" s="2127"/>
      <c r="AE59" s="2127"/>
    </row>
    <row r="60" spans="1:31" x14ac:dyDescent="0.25">
      <c r="A60" s="2127"/>
      <c r="B60" s="2127"/>
      <c r="C60" s="2127"/>
      <c r="D60" s="2127"/>
      <c r="E60" s="2127"/>
      <c r="F60" s="2127"/>
      <c r="G60" s="2127"/>
      <c r="H60" s="2127"/>
      <c r="I60" s="2127"/>
      <c r="J60" s="2127"/>
      <c r="K60" s="2127"/>
      <c r="L60" s="2127"/>
      <c r="M60" s="2127"/>
      <c r="N60" s="2127"/>
      <c r="O60" s="2127"/>
      <c r="P60" s="2127"/>
      <c r="Q60" s="2127"/>
      <c r="R60" s="2127"/>
      <c r="S60" s="2127"/>
      <c r="T60" s="2127"/>
      <c r="V60" s="1436" t="s">
        <v>308</v>
      </c>
      <c r="W60" s="2163"/>
      <c r="Z60" s="2127"/>
      <c r="AA60" s="2127"/>
      <c r="AB60" s="2127"/>
      <c r="AC60" s="2127"/>
      <c r="AD60" s="2127"/>
      <c r="AE60" s="2127"/>
    </row>
    <row r="61" spans="1:31" x14ac:dyDescent="0.25">
      <c r="A61" s="2127"/>
      <c r="B61" s="2127"/>
      <c r="C61" s="2127"/>
      <c r="D61" s="2127"/>
      <c r="E61" s="2127"/>
      <c r="F61" s="2127"/>
      <c r="G61" s="2127"/>
      <c r="H61" s="2127"/>
      <c r="I61" s="2127"/>
      <c r="J61" s="2127"/>
      <c r="K61" s="2127"/>
      <c r="L61" s="2127"/>
      <c r="M61" s="2127"/>
      <c r="N61" s="2127"/>
      <c r="O61" s="2127"/>
      <c r="P61" s="2127"/>
      <c r="Q61" s="2127"/>
      <c r="R61" s="2127"/>
      <c r="S61" s="2127"/>
      <c r="T61" s="2127"/>
      <c r="V61" s="1436" t="s">
        <v>308</v>
      </c>
      <c r="W61" s="2163"/>
      <c r="Z61" s="2127"/>
      <c r="AA61" s="2127"/>
      <c r="AB61" s="2127"/>
      <c r="AC61" s="2127"/>
      <c r="AD61" s="2127"/>
      <c r="AE61" s="2127"/>
    </row>
    <row r="62" spans="1:31" x14ac:dyDescent="0.25">
      <c r="A62" s="2127"/>
      <c r="B62" s="2127"/>
      <c r="C62" s="2127"/>
      <c r="D62" s="2127"/>
      <c r="E62" s="2127"/>
      <c r="F62" s="2127"/>
      <c r="G62" s="2127"/>
      <c r="H62" s="2127"/>
      <c r="I62" s="2127"/>
      <c r="J62" s="2127"/>
      <c r="K62" s="2127"/>
      <c r="L62" s="2127"/>
      <c r="M62" s="2127"/>
      <c r="N62" s="2127"/>
      <c r="O62" s="2127"/>
      <c r="P62" s="2127"/>
      <c r="Q62" s="2127"/>
      <c r="R62" s="2127"/>
      <c r="S62" s="2127"/>
      <c r="T62" s="2127"/>
      <c r="V62" s="1436" t="s">
        <v>2023</v>
      </c>
      <c r="W62" s="2163"/>
      <c r="Z62" s="2127"/>
      <c r="AA62" s="2127"/>
      <c r="AB62" s="2127"/>
      <c r="AC62" s="2127"/>
      <c r="AD62" s="2127"/>
      <c r="AE62" s="2127"/>
    </row>
    <row r="63" spans="1:31" x14ac:dyDescent="0.25">
      <c r="A63" s="2127"/>
      <c r="B63" s="2127"/>
      <c r="C63" s="2127"/>
      <c r="D63" s="2127"/>
      <c r="E63" s="2127"/>
      <c r="F63" s="2127"/>
      <c r="G63" s="2127"/>
      <c r="H63" s="2127"/>
      <c r="I63" s="2127"/>
      <c r="J63" s="2127"/>
      <c r="K63" s="2127"/>
      <c r="L63" s="2127"/>
      <c r="M63" s="2127"/>
      <c r="N63" s="2127"/>
      <c r="O63" s="2127"/>
      <c r="P63" s="2127"/>
      <c r="Q63" s="2127"/>
      <c r="R63" s="2127"/>
      <c r="S63" s="2127"/>
      <c r="T63" s="2127"/>
      <c r="V63" s="1436" t="s">
        <v>308</v>
      </c>
      <c r="W63" s="2163"/>
      <c r="Z63" s="2127"/>
      <c r="AA63" s="2127"/>
      <c r="AB63" s="2127"/>
      <c r="AC63" s="2127"/>
      <c r="AD63" s="2127"/>
      <c r="AE63" s="2127"/>
    </row>
    <row r="64" spans="1:31" x14ac:dyDescent="0.25">
      <c r="A64" s="2127"/>
      <c r="B64" s="2127"/>
      <c r="C64" s="2127"/>
      <c r="D64" s="2127"/>
      <c r="E64" s="2127"/>
      <c r="F64" s="2127"/>
      <c r="G64" s="2127"/>
      <c r="H64" s="2127"/>
      <c r="I64" s="2127"/>
      <c r="J64" s="2127"/>
      <c r="K64" s="2127"/>
      <c r="L64" s="2127"/>
      <c r="M64" s="2127"/>
      <c r="N64" s="2127"/>
      <c r="O64" s="2127"/>
      <c r="P64" s="2127"/>
      <c r="Q64" s="2127"/>
      <c r="R64" s="2127"/>
      <c r="S64" s="2127"/>
      <c r="T64" s="2127"/>
      <c r="V64" s="1436" t="s">
        <v>308</v>
      </c>
      <c r="W64" s="2163"/>
      <c r="Z64" s="2127"/>
      <c r="AA64" s="2127"/>
      <c r="AB64" s="2127"/>
      <c r="AC64" s="2127"/>
      <c r="AD64" s="2127"/>
      <c r="AE64" s="2127"/>
    </row>
    <row r="65" spans="1:31" x14ac:dyDescent="0.25">
      <c r="A65" s="2127"/>
      <c r="B65" s="2127"/>
      <c r="C65" s="2127"/>
      <c r="D65" s="2127"/>
      <c r="E65" s="2127"/>
      <c r="F65" s="2127"/>
      <c r="G65" s="2127"/>
      <c r="H65" s="2127"/>
      <c r="I65" s="2127"/>
      <c r="J65" s="2127"/>
      <c r="K65" s="2127"/>
      <c r="L65" s="2127"/>
      <c r="M65" s="2127"/>
      <c r="N65" s="2127"/>
      <c r="O65" s="2127"/>
      <c r="P65" s="2127"/>
      <c r="Q65" s="2127"/>
      <c r="R65" s="2127"/>
      <c r="S65" s="2127"/>
      <c r="T65" s="2127"/>
      <c r="V65" s="1436" t="s">
        <v>2025</v>
      </c>
      <c r="W65" s="2163"/>
      <c r="Z65" s="2127"/>
      <c r="AA65" s="2127"/>
      <c r="AB65" s="2127"/>
      <c r="AC65" s="2127"/>
      <c r="AD65" s="2127"/>
      <c r="AE65" s="2127"/>
    </row>
    <row r="66" spans="1:31" x14ac:dyDescent="0.25">
      <c r="A66" s="2127"/>
      <c r="B66" s="2127"/>
      <c r="C66" s="2127"/>
      <c r="D66" s="2127"/>
      <c r="E66" s="2127"/>
      <c r="F66" s="2127"/>
      <c r="G66" s="2127"/>
      <c r="H66" s="2127"/>
      <c r="I66" s="2127"/>
      <c r="J66" s="2127"/>
      <c r="K66" s="2127"/>
      <c r="L66" s="2127"/>
      <c r="M66" s="2127"/>
      <c r="N66" s="2127"/>
      <c r="O66" s="2127"/>
      <c r="P66" s="2127"/>
      <c r="Q66" s="2127"/>
      <c r="R66" s="2127"/>
      <c r="S66" s="2127"/>
      <c r="T66" s="2127"/>
      <c r="V66" s="1436" t="s">
        <v>2026</v>
      </c>
      <c r="W66" s="2163"/>
      <c r="Z66" s="2127"/>
      <c r="AA66" s="2127"/>
      <c r="AB66" s="2127"/>
      <c r="AC66" s="2127"/>
      <c r="AD66" s="2127"/>
      <c r="AE66" s="2127"/>
    </row>
    <row r="67" spans="1:31" x14ac:dyDescent="0.25">
      <c r="A67" s="2127"/>
      <c r="B67" s="2127"/>
      <c r="C67" s="2127"/>
      <c r="D67" s="2127"/>
      <c r="E67" s="2127"/>
      <c r="F67" s="2127"/>
      <c r="G67" s="2127"/>
      <c r="H67" s="2127"/>
      <c r="I67" s="2127"/>
      <c r="J67" s="2127"/>
      <c r="K67" s="2127"/>
      <c r="L67" s="2127"/>
      <c r="M67" s="2127"/>
      <c r="N67" s="2127"/>
      <c r="O67" s="2127"/>
      <c r="P67" s="2127"/>
      <c r="Q67" s="2127"/>
      <c r="R67" s="2127"/>
      <c r="S67" s="2127"/>
      <c r="T67" s="2127"/>
      <c r="V67" s="1436" t="s">
        <v>2027</v>
      </c>
      <c r="W67" s="2163"/>
      <c r="Z67" s="2127"/>
      <c r="AA67" s="2127"/>
      <c r="AB67" s="2127"/>
      <c r="AC67" s="2127"/>
      <c r="AD67" s="2127"/>
      <c r="AE67" s="2127"/>
    </row>
    <row r="68" spans="1:31" x14ac:dyDescent="0.25">
      <c r="A68" s="2127"/>
      <c r="B68" s="2127"/>
      <c r="C68" s="2127"/>
      <c r="D68" s="2127"/>
      <c r="E68" s="2127"/>
      <c r="F68" s="2127"/>
      <c r="G68" s="2127"/>
      <c r="H68" s="2127"/>
      <c r="I68" s="2127"/>
      <c r="J68" s="2127"/>
      <c r="K68" s="2127"/>
      <c r="L68" s="2127"/>
      <c r="M68" s="2127"/>
      <c r="N68" s="2127"/>
      <c r="O68" s="2127"/>
      <c r="P68" s="2127"/>
      <c r="Q68" s="2127"/>
      <c r="R68" s="2127"/>
      <c r="S68" s="2127"/>
      <c r="T68" s="2127"/>
      <c r="V68" s="1436" t="s">
        <v>2028</v>
      </c>
      <c r="W68" s="2163"/>
      <c r="Z68" s="2127"/>
      <c r="AA68" s="2127"/>
      <c r="AB68" s="2127"/>
      <c r="AC68" s="2127"/>
      <c r="AD68" s="2127"/>
      <c r="AE68" s="2127"/>
    </row>
    <row r="69" spans="1:31" x14ac:dyDescent="0.25">
      <c r="A69" s="2127"/>
      <c r="B69" s="2127"/>
      <c r="C69" s="2127"/>
      <c r="D69" s="2127"/>
      <c r="E69" s="2127"/>
      <c r="F69" s="2127"/>
      <c r="G69" s="2127"/>
      <c r="H69" s="2127"/>
      <c r="I69" s="2127"/>
      <c r="J69" s="2127"/>
      <c r="K69" s="2127"/>
      <c r="L69" s="2127"/>
      <c r="M69" s="2127"/>
      <c r="N69" s="2127"/>
      <c r="O69" s="2127"/>
      <c r="P69" s="2127"/>
      <c r="Q69" s="2127"/>
      <c r="R69" s="2127"/>
      <c r="S69" s="2127"/>
      <c r="T69" s="2127"/>
      <c r="V69" s="1436" t="s">
        <v>2029</v>
      </c>
      <c r="W69" s="2163"/>
      <c r="Z69" s="2127"/>
      <c r="AA69" s="2127"/>
      <c r="AB69" s="2127"/>
      <c r="AC69" s="2127"/>
      <c r="AD69" s="2127"/>
      <c r="AE69" s="2127"/>
    </row>
    <row r="70" spans="1:31" x14ac:dyDescent="0.25">
      <c r="A70" s="2127"/>
      <c r="B70" s="2127"/>
      <c r="C70" s="2127"/>
      <c r="D70" s="2127"/>
      <c r="E70" s="2127"/>
      <c r="F70" s="2127"/>
      <c r="G70" s="2127"/>
      <c r="H70" s="2127"/>
      <c r="I70" s="2127"/>
      <c r="J70" s="2127"/>
      <c r="K70" s="2127"/>
      <c r="L70" s="2127"/>
      <c r="M70" s="2127"/>
      <c r="N70" s="2127"/>
      <c r="O70" s="2127"/>
      <c r="P70" s="2127"/>
      <c r="Q70" s="2127"/>
      <c r="R70" s="2127"/>
      <c r="S70" s="2127"/>
      <c r="T70" s="2127"/>
      <c r="Z70" s="2127"/>
      <c r="AA70" s="2127"/>
      <c r="AB70" s="2127"/>
      <c r="AC70" s="2127"/>
      <c r="AD70" s="2127"/>
      <c r="AE70" s="2127"/>
    </row>
    <row r="71" spans="1:31" x14ac:dyDescent="0.25">
      <c r="A71" s="2127"/>
      <c r="B71" s="2127"/>
      <c r="C71" s="2127"/>
      <c r="D71" s="2127"/>
      <c r="E71" s="2127"/>
      <c r="F71" s="2127"/>
      <c r="G71" s="2127"/>
      <c r="H71" s="2127"/>
      <c r="I71" s="2127"/>
      <c r="J71" s="2127"/>
      <c r="K71" s="2127"/>
      <c r="L71" s="2127"/>
      <c r="M71" s="2127"/>
      <c r="N71" s="2127"/>
      <c r="O71" s="2127"/>
      <c r="P71" s="2127"/>
      <c r="Q71" s="2127"/>
      <c r="R71" s="2127"/>
      <c r="S71" s="2127"/>
      <c r="T71" s="2127"/>
      <c r="Z71" s="2127"/>
      <c r="AA71" s="2127"/>
      <c r="AB71" s="2127"/>
      <c r="AC71" s="2127"/>
      <c r="AD71" s="2127"/>
      <c r="AE71" s="2127"/>
    </row>
    <row r="72" spans="1:31" x14ac:dyDescent="0.25">
      <c r="A72" s="2127"/>
      <c r="B72" s="2127"/>
      <c r="C72" s="2127"/>
      <c r="D72" s="2127"/>
      <c r="E72" s="2127"/>
      <c r="F72" s="2127"/>
      <c r="G72" s="2127"/>
      <c r="H72" s="2127"/>
      <c r="I72" s="2127"/>
      <c r="J72" s="2127"/>
      <c r="K72" s="2127"/>
      <c r="L72" s="2127"/>
      <c r="M72" s="2127"/>
      <c r="N72" s="2127"/>
      <c r="O72" s="2127"/>
      <c r="P72" s="2127"/>
      <c r="Q72" s="2127"/>
      <c r="R72" s="2127"/>
      <c r="S72" s="2127"/>
      <c r="T72" s="2127"/>
      <c r="Z72" s="2127"/>
      <c r="AA72" s="2127"/>
      <c r="AB72" s="2127"/>
      <c r="AC72" s="2127"/>
      <c r="AD72" s="2127"/>
      <c r="AE72" s="2127"/>
    </row>
    <row r="73" spans="1:31" x14ac:dyDescent="0.25">
      <c r="A73" s="2127"/>
      <c r="B73" s="2127"/>
      <c r="C73" s="2127"/>
      <c r="D73" s="2127"/>
      <c r="E73" s="2127"/>
      <c r="F73" s="2127"/>
      <c r="G73" s="2127"/>
      <c r="H73" s="2127"/>
      <c r="I73" s="2127"/>
      <c r="J73" s="2127"/>
      <c r="K73" s="2127"/>
      <c r="L73" s="2127"/>
      <c r="M73" s="2127"/>
      <c r="N73" s="2127"/>
      <c r="O73" s="2127"/>
      <c r="P73" s="2127"/>
      <c r="Q73" s="2127"/>
      <c r="R73" s="2127"/>
      <c r="S73" s="2127"/>
      <c r="T73" s="2127"/>
      <c r="Z73" s="2127"/>
      <c r="AA73" s="2127"/>
      <c r="AB73" s="2127"/>
      <c r="AC73" s="2127"/>
      <c r="AD73" s="2127"/>
      <c r="AE73" s="2127"/>
    </row>
    <row r="74" spans="1:31" x14ac:dyDescent="0.25">
      <c r="A74" s="2127"/>
      <c r="B74" s="2127"/>
      <c r="C74" s="2127"/>
      <c r="D74" s="2127"/>
      <c r="E74" s="2127"/>
      <c r="F74" s="2127"/>
      <c r="G74" s="2127"/>
      <c r="H74" s="2127"/>
      <c r="I74" s="2127"/>
      <c r="J74" s="2127"/>
      <c r="K74" s="2127"/>
      <c r="L74" s="2127"/>
      <c r="M74" s="2127"/>
      <c r="N74" s="2127"/>
      <c r="O74" s="2127"/>
      <c r="P74" s="2127"/>
      <c r="Q74" s="2127"/>
      <c r="R74" s="2127"/>
      <c r="S74" s="2127"/>
      <c r="T74" s="2127"/>
      <c r="Z74" s="2127"/>
      <c r="AA74" s="2127"/>
      <c r="AB74" s="2127"/>
      <c r="AC74" s="2127"/>
      <c r="AD74" s="2127"/>
      <c r="AE74" s="2127"/>
    </row>
    <row r="75" spans="1:31" x14ac:dyDescent="0.25">
      <c r="A75" s="2127"/>
      <c r="B75" s="2127"/>
      <c r="C75" s="2127"/>
      <c r="D75" s="2127"/>
      <c r="E75" s="2127"/>
      <c r="F75" s="2127"/>
      <c r="G75" s="2127"/>
      <c r="H75" s="2127"/>
      <c r="I75" s="2127"/>
      <c r="J75" s="2127"/>
      <c r="K75" s="2127"/>
      <c r="L75" s="2127"/>
      <c r="M75" s="2127"/>
      <c r="N75" s="2127"/>
      <c r="O75" s="2127"/>
      <c r="P75" s="2127"/>
      <c r="Q75" s="2127"/>
      <c r="R75" s="2127"/>
      <c r="S75" s="2127"/>
      <c r="T75" s="2127"/>
      <c r="Z75" s="2127"/>
      <c r="AA75" s="2127"/>
      <c r="AB75" s="2127"/>
      <c r="AC75" s="2127"/>
      <c r="AD75" s="2127"/>
      <c r="AE75" s="2127"/>
    </row>
    <row r="76" spans="1:31" x14ac:dyDescent="0.25">
      <c r="A76" s="2127"/>
      <c r="B76" s="2127"/>
      <c r="C76" s="2127"/>
      <c r="D76" s="2127"/>
      <c r="E76" s="2127"/>
      <c r="F76" s="2127"/>
      <c r="G76" s="2127"/>
      <c r="H76" s="2127"/>
      <c r="I76" s="2127"/>
      <c r="J76" s="2127"/>
      <c r="K76" s="2127"/>
      <c r="L76" s="2127"/>
      <c r="M76" s="2127"/>
      <c r="N76" s="2127"/>
      <c r="O76" s="2127"/>
      <c r="P76" s="2127"/>
      <c r="Q76" s="2127"/>
      <c r="R76" s="2127"/>
      <c r="S76" s="2127"/>
      <c r="T76" s="2127"/>
      <c r="Z76" s="2127"/>
      <c r="AA76" s="2127"/>
      <c r="AB76" s="2127"/>
      <c r="AC76" s="2127"/>
      <c r="AD76" s="2127"/>
      <c r="AE76" s="2127"/>
    </row>
    <row r="77" spans="1:31" x14ac:dyDescent="0.25">
      <c r="A77" s="2127"/>
      <c r="B77" s="2127"/>
      <c r="C77" s="2127"/>
      <c r="D77" s="2127"/>
      <c r="E77" s="2127"/>
      <c r="F77" s="2127"/>
      <c r="G77" s="2127"/>
      <c r="H77" s="2127"/>
      <c r="I77" s="2127"/>
      <c r="J77" s="2127"/>
      <c r="K77" s="2127"/>
      <c r="L77" s="2127"/>
      <c r="M77" s="2127"/>
      <c r="N77" s="2127"/>
      <c r="O77" s="2127"/>
      <c r="P77" s="2127"/>
      <c r="Q77" s="2127"/>
      <c r="R77" s="2127"/>
      <c r="S77" s="2127"/>
      <c r="T77" s="2127"/>
      <c r="Z77" s="2127"/>
      <c r="AA77" s="2127"/>
      <c r="AB77" s="2127"/>
      <c r="AC77" s="2127"/>
      <c r="AD77" s="2127"/>
      <c r="AE77" s="2127"/>
    </row>
    <row r="78" spans="1:31" x14ac:dyDescent="0.25">
      <c r="A78" s="2127"/>
      <c r="B78" s="2127"/>
      <c r="C78" s="2127"/>
      <c r="D78" s="2127"/>
      <c r="E78" s="2127"/>
      <c r="F78" s="2127"/>
      <c r="G78" s="2127"/>
      <c r="H78" s="2127"/>
      <c r="I78" s="2127"/>
      <c r="J78" s="2127"/>
      <c r="K78" s="2127"/>
      <c r="L78" s="2127"/>
      <c r="M78" s="2127"/>
      <c r="N78" s="2127"/>
      <c r="O78" s="2127"/>
      <c r="P78" s="2127"/>
      <c r="Q78" s="2127"/>
      <c r="R78" s="2127"/>
      <c r="S78" s="2127"/>
      <c r="T78" s="2127"/>
      <c r="Z78" s="2127"/>
      <c r="AA78" s="2127"/>
      <c r="AB78" s="2127"/>
      <c r="AC78" s="2127"/>
      <c r="AD78" s="2127"/>
      <c r="AE78" s="2127"/>
    </row>
    <row r="79" spans="1:31" x14ac:dyDescent="0.25">
      <c r="A79" s="2127"/>
      <c r="B79" s="2127"/>
      <c r="C79" s="2127"/>
      <c r="D79" s="2127"/>
      <c r="E79" s="2127"/>
      <c r="F79" s="2127"/>
      <c r="G79" s="2127"/>
      <c r="H79" s="2127"/>
      <c r="I79" s="2127"/>
      <c r="J79" s="2127"/>
      <c r="K79" s="2127"/>
      <c r="L79" s="2127"/>
      <c r="M79" s="2127"/>
      <c r="N79" s="2127"/>
      <c r="O79" s="2127"/>
      <c r="P79" s="2127"/>
      <c r="Q79" s="2127"/>
      <c r="R79" s="2127"/>
      <c r="S79" s="2127"/>
      <c r="T79" s="2127"/>
      <c r="Z79" s="2127"/>
      <c r="AA79" s="2127"/>
      <c r="AB79" s="2127"/>
      <c r="AC79" s="2127"/>
      <c r="AD79" s="2127"/>
      <c r="AE79" s="2127"/>
    </row>
  </sheetData>
  <sheetProtection password="BCD8" sheet="1" objects="1" scenarios="1"/>
  <phoneticPr fontId="124" type="noConversion"/>
  <dataValidations disablePrompts="1" count="1">
    <dataValidation type="date" allowBlank="1" showInputMessage="1" showErrorMessage="1" errorTitle="!! Date" error="Date must be between 1/4/05 and 31/3/10" sqref="A28" xr:uid="{E87A9590-1BA0-4023-B484-C3C193F9153D}">
      <formula1>38443</formula1>
      <formula2>40268</formula2>
    </dataValidation>
  </dataValidations>
  <pageMargins left="0.57999999999999996" right="0.3" top="0.54" bottom="0.69" header="0.25" footer="0.2"/>
  <pageSetup paperSize="9" scale="92" orientation="landscape"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goto_home">
                <anchor moveWithCells="1">
                  <from>
                    <xdr:col>0</xdr:col>
                    <xdr:colOff>139700</xdr:colOff>
                    <xdr:row>0</xdr:row>
                    <xdr:rowOff>76200</xdr:rowOff>
                  </from>
                  <to>
                    <xdr:col>2</xdr:col>
                    <xdr:colOff>203200</xdr:colOff>
                    <xdr:row>0</xdr:row>
                    <xdr:rowOff>311150</xdr:rowOff>
                  </to>
                </anchor>
              </controlPr>
            </control>
          </mc:Choice>
        </mc:AlternateContent>
        <mc:AlternateContent xmlns:mc="http://schemas.openxmlformats.org/markup-compatibility/2006">
          <mc:Choice Requires="x14">
            <control shapeId="89090" r:id="rId5" name="Button 2">
              <controlPr defaultSize="0" print="0" autoFill="0" autoPict="0" macro="[0]!goto_merge">
                <anchor moveWithCells="1">
                  <from>
                    <xdr:col>2</xdr:col>
                    <xdr:colOff>419100</xdr:colOff>
                    <xdr:row>0</xdr:row>
                    <xdr:rowOff>76200</xdr:rowOff>
                  </from>
                  <to>
                    <xdr:col>5</xdr:col>
                    <xdr:colOff>76200</xdr:colOff>
                    <xdr:row>0</xdr:row>
                    <xdr:rowOff>311150</xdr:rowOff>
                  </to>
                </anchor>
              </controlPr>
            </control>
          </mc:Choice>
        </mc:AlternateContent>
        <mc:AlternateContent xmlns:mc="http://schemas.openxmlformats.org/markup-compatibility/2006">
          <mc:Choice Requires="x14">
            <control shapeId="89091" r:id="rId6" name="Button 3">
              <controlPr defaultSize="0" print="0" autoFill="0" autoPict="0" macro="[0]!PrintThis">
                <anchor moveWithCells="1">
                  <from>
                    <xdr:col>5</xdr:col>
                    <xdr:colOff>139700</xdr:colOff>
                    <xdr:row>0</xdr:row>
                    <xdr:rowOff>76200</xdr:rowOff>
                  </from>
                  <to>
                    <xdr:col>6</xdr:col>
                    <xdr:colOff>330200</xdr:colOff>
                    <xdr:row>0</xdr:row>
                    <xdr:rowOff>311150</xdr:rowOff>
                  </to>
                </anchor>
              </controlPr>
            </control>
          </mc:Choice>
        </mc:AlternateContent>
        <mc:AlternateContent xmlns:mc="http://schemas.openxmlformats.org/markup-compatibility/2006">
          <mc:Choice Requires="x14">
            <control shapeId="89092" r:id="rId7" name="Button 4">
              <controlPr defaultSize="0" print="0" autoFill="0" autoPict="0" macro="[0]!goto_details">
                <anchor moveWithCells="1">
                  <from>
                    <xdr:col>0</xdr:col>
                    <xdr:colOff>114300</xdr:colOff>
                    <xdr:row>4</xdr:row>
                    <xdr:rowOff>0</xdr:rowOff>
                  </from>
                  <to>
                    <xdr:col>0</xdr:col>
                    <xdr:colOff>317500</xdr:colOff>
                    <xdr:row>5</xdr:row>
                    <xdr:rowOff>0</xdr:rowOff>
                  </to>
                </anchor>
              </controlPr>
            </control>
          </mc:Choice>
        </mc:AlternateContent>
        <mc:AlternateContent xmlns:mc="http://schemas.openxmlformats.org/markup-compatibility/2006">
          <mc:Choice Requires="x14">
            <control shapeId="89093" r:id="rId8" name="Button 5">
              <controlPr defaultSize="0" print="0" autoFill="0" autoPict="0" macro="[0]!goto_details">
                <anchor moveWithCells="1">
                  <from>
                    <xdr:col>0</xdr:col>
                    <xdr:colOff>114300</xdr:colOff>
                    <xdr:row>6</xdr:row>
                    <xdr:rowOff>0</xdr:rowOff>
                  </from>
                  <to>
                    <xdr:col>0</xdr:col>
                    <xdr:colOff>317500</xdr:colOff>
                    <xdr:row>7</xdr:row>
                    <xdr:rowOff>0</xdr:rowOff>
                  </to>
                </anchor>
              </controlPr>
            </control>
          </mc:Choice>
        </mc:AlternateContent>
        <mc:AlternateContent xmlns:mc="http://schemas.openxmlformats.org/markup-compatibility/2006">
          <mc:Choice Requires="x14">
            <control shapeId="89094" r:id="rId9" name="Button 6">
              <controlPr defaultSize="0" print="0" autoFill="0" autoPict="0" macro="[0]!goto_details">
                <anchor moveWithCells="1">
                  <from>
                    <xdr:col>0</xdr:col>
                    <xdr:colOff>114300</xdr:colOff>
                    <xdr:row>8</xdr:row>
                    <xdr:rowOff>0</xdr:rowOff>
                  </from>
                  <to>
                    <xdr:col>0</xdr:col>
                    <xdr:colOff>317500</xdr:colOff>
                    <xdr:row>9</xdr:row>
                    <xdr:rowOff>0</xdr:rowOff>
                  </to>
                </anchor>
              </controlPr>
            </control>
          </mc:Choice>
        </mc:AlternateContent>
        <mc:AlternateContent xmlns:mc="http://schemas.openxmlformats.org/markup-compatibility/2006">
          <mc:Choice Requires="x14">
            <control shapeId="89095" r:id="rId10" name="Button 7">
              <controlPr defaultSize="0" print="0" autoFill="0" autoPict="0" macro="[0]!goto_interest">
                <anchor moveWithCells="1">
                  <from>
                    <xdr:col>6</xdr:col>
                    <xdr:colOff>381000</xdr:colOff>
                    <xdr:row>0</xdr:row>
                    <xdr:rowOff>76200</xdr:rowOff>
                  </from>
                  <to>
                    <xdr:col>8</xdr:col>
                    <xdr:colOff>44450</xdr:colOff>
                    <xdr:row>0</xdr:row>
                    <xdr:rowOff>311150</xdr:rowOff>
                  </to>
                </anchor>
              </controlPr>
            </control>
          </mc:Choice>
        </mc:AlternateContent>
        <mc:AlternateContent xmlns:mc="http://schemas.openxmlformats.org/markup-compatibility/2006">
          <mc:Choice Requires="x14">
            <control shapeId="89096" r:id="rId11" name="Button 8">
              <controlPr defaultSize="0" print="0" autoFill="0" autoPict="0" macro="[0]!goto_interest">
                <anchor moveWithCells="1">
                  <from>
                    <xdr:col>18</xdr:col>
                    <xdr:colOff>44450</xdr:colOff>
                    <xdr:row>33</xdr:row>
                    <xdr:rowOff>12700</xdr:rowOff>
                  </from>
                  <to>
                    <xdr:col>19</xdr:col>
                    <xdr:colOff>406400</xdr:colOff>
                    <xdr:row>33</xdr:row>
                    <xdr:rowOff>260350</xdr:rowOff>
                  </to>
                </anchor>
              </controlPr>
            </control>
          </mc:Choice>
        </mc:AlternateContent>
        <mc:AlternateContent xmlns:mc="http://schemas.openxmlformats.org/markup-compatibility/2006">
          <mc:Choice Requires="x14">
            <control shapeId="89097" r:id="rId12" name="Button 9">
              <controlPr defaultSize="0" print="0" autoFill="0" autoPict="0" macro="[0]!copypaste">
                <anchor moveWithCells="1" sizeWithCells="1">
                  <from>
                    <xdr:col>18</xdr:col>
                    <xdr:colOff>44450</xdr:colOff>
                    <xdr:row>36</xdr:row>
                    <xdr:rowOff>25400</xdr:rowOff>
                  </from>
                  <to>
                    <xdr:col>19</xdr:col>
                    <xdr:colOff>228600</xdr:colOff>
                    <xdr:row>38</xdr:row>
                    <xdr:rowOff>31750</xdr:rowOff>
                  </to>
                </anchor>
              </controlPr>
            </control>
          </mc:Choice>
        </mc:AlternateContent>
        <mc:AlternateContent xmlns:mc="http://schemas.openxmlformats.org/markup-compatibility/2006">
          <mc:Choice Requires="x14">
            <control shapeId="89105" r:id="rId13" name="Button 17">
              <controlPr defaultSize="0" print="0" autoFill="0" autoPict="0" macro="[0]!copy_as_excel">
                <anchor moveWithCells="1" sizeWithCells="1">
                  <from>
                    <xdr:col>13</xdr:col>
                    <xdr:colOff>546100</xdr:colOff>
                    <xdr:row>0</xdr:row>
                    <xdr:rowOff>355600</xdr:rowOff>
                  </from>
                  <to>
                    <xdr:col>14</xdr:col>
                    <xdr:colOff>355600</xdr:colOff>
                    <xdr:row>2</xdr:row>
                    <xdr:rowOff>120650</xdr:rowOff>
                  </to>
                </anchor>
              </controlPr>
            </control>
          </mc:Choice>
        </mc:AlternateContent>
        <mc:AlternateContent xmlns:mc="http://schemas.openxmlformats.org/markup-compatibility/2006">
          <mc:Choice Requires="x14">
            <control shapeId="89106" r:id="rId14" name="Button 18">
              <controlPr defaultSize="0" print="0" autoFill="0" autoPict="0" macro="[0]!pdflauncher">
                <anchor moveWithCells="1" sizeWithCells="1">
                  <from>
                    <xdr:col>14</xdr:col>
                    <xdr:colOff>374650</xdr:colOff>
                    <xdr:row>0</xdr:row>
                    <xdr:rowOff>355600</xdr:rowOff>
                  </from>
                  <to>
                    <xdr:col>15</xdr:col>
                    <xdr:colOff>527050</xdr:colOff>
                    <xdr:row>2</xdr:row>
                    <xdr:rowOff>120650</xdr:rowOff>
                  </to>
                </anchor>
              </controlPr>
            </control>
          </mc:Choice>
        </mc:AlternateContent>
        <mc:AlternateContent xmlns:mc="http://schemas.openxmlformats.org/markup-compatibility/2006">
          <mc:Choice Requires="x14">
            <control shapeId="89107" r:id="rId15" name="Button 19">
              <controlPr defaultSize="0" print="0" autoFill="0" autoPict="0" macro="[0]!openfolder">
                <anchor moveWithCells="1" sizeWithCells="1">
                  <from>
                    <xdr:col>15</xdr:col>
                    <xdr:colOff>533400</xdr:colOff>
                    <xdr:row>0</xdr:row>
                    <xdr:rowOff>355600</xdr:rowOff>
                  </from>
                  <to>
                    <xdr:col>16</xdr:col>
                    <xdr:colOff>196850</xdr:colOff>
                    <xdr:row>2</xdr:row>
                    <xdr:rowOff>120650</xdr:rowOff>
                  </to>
                </anchor>
              </controlPr>
            </control>
          </mc:Choice>
        </mc:AlternateContent>
        <mc:AlternateContent xmlns:mc="http://schemas.openxmlformats.org/markup-compatibility/2006">
          <mc:Choice Requires="x14">
            <control shapeId="89108" r:id="rId16" name="Button 20">
              <controlPr defaultSize="0" print="0" autoFill="0" autoPict="0" macro="[0]!goto_folder_settings">
                <anchor moveWithCells="1" sizeWithCells="1">
                  <from>
                    <xdr:col>16</xdr:col>
                    <xdr:colOff>203200</xdr:colOff>
                    <xdr:row>0</xdr:row>
                    <xdr:rowOff>355600</xdr:rowOff>
                  </from>
                  <to>
                    <xdr:col>16</xdr:col>
                    <xdr:colOff>730250</xdr:colOff>
                    <xdr:row>2</xdr:row>
                    <xdr:rowOff>120650</xdr:rowOff>
                  </to>
                </anchor>
              </controlPr>
            </control>
          </mc:Choice>
        </mc:AlternateContent>
        <mc:AlternateContent xmlns:mc="http://schemas.openxmlformats.org/markup-compatibility/2006">
          <mc:Choice Requires="x14">
            <control shapeId="89109" r:id="rId17" name="Button 21">
              <controlPr defaultSize="0" print="0" autoFill="0" autoPict="0" macro="[0]!email_pdf_launch">
                <anchor moveWithCells="1" sizeWithCells="1">
                  <from>
                    <xdr:col>14</xdr:col>
                    <xdr:colOff>520700</xdr:colOff>
                    <xdr:row>0</xdr:row>
                    <xdr:rowOff>50800</xdr:rowOff>
                  </from>
                  <to>
                    <xdr:col>15</xdr:col>
                    <xdr:colOff>673100</xdr:colOff>
                    <xdr:row>0</xdr:row>
                    <xdr:rowOff>349250</xdr:rowOff>
                  </to>
                </anchor>
              </controlPr>
            </control>
          </mc:Choice>
        </mc:AlternateContent>
        <mc:AlternateContent xmlns:mc="http://schemas.openxmlformats.org/markup-compatibility/2006">
          <mc:Choice Requires="x14">
            <control shapeId="89110" r:id="rId18" name="Button 22">
              <controlPr defaultSize="0" print="0" autoFill="0" autoPict="0" macro="[0]!email_copy_as_excel">
                <anchor moveWithCells="1" sizeWithCells="1">
                  <from>
                    <xdr:col>13</xdr:col>
                    <xdr:colOff>546100</xdr:colOff>
                    <xdr:row>0</xdr:row>
                    <xdr:rowOff>50800</xdr:rowOff>
                  </from>
                  <to>
                    <xdr:col>14</xdr:col>
                    <xdr:colOff>501650</xdr:colOff>
                    <xdr:row>0</xdr:row>
                    <xdr:rowOff>349250</xdr:rowOff>
                  </to>
                </anchor>
              </controlPr>
            </control>
          </mc:Choice>
        </mc:AlternateContent>
        <mc:AlternateContent xmlns:mc="http://schemas.openxmlformats.org/markup-compatibility/2006">
          <mc:Choice Requires="x14">
            <control shapeId="89111" r:id="rId19" name="Button 23">
              <controlPr defaultSize="0" print="0" autoFill="0" autoPict="0" macro="[0]!emailsettings">
                <anchor moveWithCells="1" sizeWithCells="1">
                  <from>
                    <xdr:col>15</xdr:col>
                    <xdr:colOff>685800</xdr:colOff>
                    <xdr:row>0</xdr:row>
                    <xdr:rowOff>50800</xdr:rowOff>
                  </from>
                  <to>
                    <xdr:col>16</xdr:col>
                    <xdr:colOff>730250</xdr:colOff>
                    <xdr:row>0</xdr:row>
                    <xdr:rowOff>349250</xdr:rowOff>
                  </to>
                </anchor>
              </controlPr>
            </control>
          </mc:Choice>
        </mc:AlternateContent>
        <mc:AlternateContent xmlns:mc="http://schemas.openxmlformats.org/markup-compatibility/2006">
          <mc:Choice Requires="x14">
            <control shapeId="89112" r:id="rId20" name="globalbacktobutton">
              <controlPr defaultSize="0" print="0" autoFill="0" autoPict="0" macro="[0]!backto">
                <anchor moveWithCells="1" sizeWithCells="1">
                  <from>
                    <xdr:col>18</xdr:col>
                    <xdr:colOff>234950</xdr:colOff>
                    <xdr:row>0</xdr:row>
                    <xdr:rowOff>139700</xdr:rowOff>
                  </from>
                  <to>
                    <xdr:col>19</xdr:col>
                    <xdr:colOff>146050</xdr:colOff>
                    <xdr:row>1</xdr:row>
                    <xdr:rowOff>196850</xdr:rowOff>
                  </to>
                </anchor>
              </controlPr>
            </control>
          </mc:Choice>
        </mc:AlternateContent>
        <mc:AlternateContent xmlns:mc="http://schemas.openxmlformats.org/markup-compatibility/2006">
          <mc:Choice Requires="x14">
            <control shapeId="89113" r:id="rId21" name="Button 25">
              <controlPr defaultSize="0" print="0" autoFill="0" autoPict="0" macro="[0]!cancelcopypaste">
                <anchor moveWithCells="1" sizeWithCells="1">
                  <from>
                    <xdr:col>19</xdr:col>
                    <xdr:colOff>241300</xdr:colOff>
                    <xdr:row>36</xdr:row>
                    <xdr:rowOff>25400</xdr:rowOff>
                  </from>
                  <to>
                    <xdr:col>19</xdr:col>
                    <xdr:colOff>1028700</xdr:colOff>
                    <xdr:row>38</xdr:row>
                    <xdr:rowOff>31750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5B4A3-142C-4803-A2EE-FA4E1629055E}">
  <sheetPr codeName="Sheet55"/>
  <dimension ref="A1:BH73"/>
  <sheetViews>
    <sheetView showGridLines="0" workbookViewId="0">
      <selection activeCell="G18" sqref="G18"/>
    </sheetView>
  </sheetViews>
  <sheetFormatPr defaultColWidth="9.08984375" defaultRowHeight="12.5" x14ac:dyDescent="0.25"/>
  <cols>
    <col min="1" max="1" width="13.36328125" style="1407" customWidth="1"/>
    <col min="2" max="2" width="7.36328125" style="1407" customWidth="1"/>
    <col min="3" max="3" width="3.08984375" style="1407" customWidth="1"/>
    <col min="4" max="4" width="10" style="1407" customWidth="1"/>
    <col min="5" max="5" width="3.453125" style="1407" customWidth="1"/>
    <col min="6" max="6" width="13.36328125" style="1407" customWidth="1"/>
    <col min="7" max="7" width="13.6328125" style="1407" customWidth="1"/>
    <col min="8" max="8" width="2.36328125" style="1407" customWidth="1"/>
    <col min="9" max="9" width="10.36328125" style="1407" customWidth="1"/>
    <col min="10" max="10" width="13.6328125" style="1407" customWidth="1"/>
    <col min="11" max="11" width="15.54296875" style="1407" customWidth="1"/>
    <col min="12" max="12" width="2.08984375" style="1407" customWidth="1"/>
    <col min="13" max="13" width="25" style="1407" customWidth="1"/>
    <col min="14" max="14" width="18.54296875" style="1493" hidden="1" customWidth="1"/>
    <col min="15" max="15" width="10.36328125" style="1493" hidden="1" customWidth="1"/>
    <col min="16" max="16" width="14.08984375" style="1493" hidden="1" customWidth="1"/>
    <col min="17" max="17" width="10.54296875" style="1493" hidden="1" customWidth="1"/>
    <col min="18" max="18" width="9.08984375" style="1493" hidden="1" customWidth="1"/>
    <col min="19" max="19" width="13.6328125" style="1493" hidden="1" customWidth="1"/>
    <col min="20" max="20" width="11.08984375" style="1493" hidden="1" customWidth="1"/>
    <col min="21" max="23" width="10.08984375" style="1493" hidden="1" customWidth="1"/>
    <col min="24" max="29" width="9.08984375" style="1493" hidden="1" customWidth="1"/>
    <col min="30" max="35" width="9.08984375" style="1493"/>
    <col min="36" max="36" width="13.08984375" style="1493" customWidth="1"/>
    <col min="37" max="37" width="12.08984375" style="1493" customWidth="1"/>
    <col min="38" max="38" width="10.08984375" style="1493" customWidth="1"/>
    <col min="39" max="39" width="11.54296875" style="1493" customWidth="1"/>
    <col min="40" max="44" width="9.08984375" style="1493"/>
    <col min="45" max="45" width="10.6328125" style="1493" customWidth="1"/>
    <col min="46" max="49" width="9.08984375" style="1493"/>
    <col min="50" max="50" width="13" style="1493" customWidth="1"/>
    <col min="51" max="53" width="9.08984375" style="1493"/>
    <col min="54" max="16384" width="9.08984375" style="1407"/>
  </cols>
  <sheetData>
    <row r="1" spans="1:60" ht="43.5" customHeight="1" x14ac:dyDescent="0.35">
      <c r="A1" s="1560"/>
      <c r="B1" s="1560"/>
      <c r="C1" s="1561"/>
      <c r="D1" s="1561"/>
      <c r="E1" s="1561"/>
      <c r="F1" s="1561"/>
      <c r="G1" s="1561"/>
      <c r="H1" s="1561"/>
      <c r="I1" s="1561"/>
      <c r="J1" s="1561"/>
      <c r="K1" s="1561"/>
      <c r="L1" s="1561"/>
      <c r="M1" s="1561"/>
      <c r="N1"/>
      <c r="O1"/>
      <c r="P1"/>
      <c r="Q1"/>
      <c r="R1"/>
      <c r="S1"/>
      <c r="T1"/>
      <c r="U1"/>
      <c r="V1"/>
      <c r="W1"/>
      <c r="Y1" s="1745" t="s">
        <v>681</v>
      </c>
      <c r="Z1" s="1745" t="b">
        <f ca="1">codes!F3</f>
        <v>1</v>
      </c>
      <c r="AD1" s="1562"/>
      <c r="AE1" s="1562"/>
      <c r="AF1" s="1562"/>
      <c r="AG1" s="1562"/>
      <c r="AH1" s="1562"/>
      <c r="AI1" s="1562"/>
      <c r="AJ1" s="1562"/>
      <c r="AK1" s="1562"/>
      <c r="AL1" s="1562"/>
      <c r="AM1" s="1562"/>
      <c r="AN1" s="1562"/>
      <c r="AO1" s="1562"/>
      <c r="AP1" s="1562"/>
      <c r="AQ1" s="1562"/>
      <c r="AR1" s="1562"/>
      <c r="AS1" s="1562"/>
      <c r="AT1" s="1562"/>
      <c r="AU1" s="1562"/>
      <c r="AV1" s="1562"/>
      <c r="AW1" s="1562"/>
      <c r="AX1" s="1562"/>
      <c r="AY1" s="1562"/>
      <c r="AZ1" s="1562"/>
      <c r="BA1" s="1562"/>
      <c r="BB1" s="1561"/>
      <c r="BC1" s="1561"/>
      <c r="BD1" s="1561"/>
      <c r="BE1" s="1561"/>
      <c r="BF1" s="1561"/>
      <c r="BG1" s="1561"/>
      <c r="BH1" s="1561"/>
    </row>
    <row r="2" spans="1:60" ht="20" x14ac:dyDescent="0.4">
      <c r="A2" s="1560"/>
      <c r="B2" s="1560"/>
      <c r="D2" s="1563" t="s">
        <v>92</v>
      </c>
      <c r="M2" s="1561"/>
      <c r="N2"/>
      <c r="O2" s="1564" t="s">
        <v>93</v>
      </c>
      <c r="P2" s="1566">
        <f>IF(G18="",O4,VLOOKUP(G18,O4:P11,1,TRUE))</f>
        <v>45017</v>
      </c>
      <c r="Q2" s="1564" t="s">
        <v>94</v>
      </c>
      <c r="R2" s="1567">
        <f>G18</f>
        <v>0</v>
      </c>
      <c r="S2" s="1564" t="s">
        <v>93</v>
      </c>
      <c r="T2" s="1566">
        <f>IF(J18=0,S4,VLOOKUP(J18,S4:T11,1,TRUE))</f>
        <v>45017</v>
      </c>
      <c r="U2" s="1564" t="s">
        <v>94</v>
      </c>
      <c r="V2" s="1567">
        <f>J18</f>
        <v>0</v>
      </c>
      <c r="W2"/>
      <c r="AD2" s="1562"/>
      <c r="AE2" s="1562"/>
      <c r="AF2" s="1562"/>
      <c r="AG2" s="1562"/>
      <c r="AH2" s="1562"/>
      <c r="AI2" s="1562"/>
      <c r="AJ2" s="1562"/>
      <c r="AK2" s="1562"/>
      <c r="AL2" s="1562"/>
      <c r="AM2" s="1562"/>
      <c r="AN2" s="1562"/>
      <c r="AO2" s="1562"/>
      <c r="AP2" s="1562"/>
      <c r="AQ2" s="1562"/>
      <c r="AR2" s="1562"/>
      <c r="AS2" s="1562"/>
      <c r="AT2" s="1562"/>
      <c r="AU2" s="1562"/>
      <c r="AV2" s="1562"/>
      <c r="AW2" s="1562"/>
      <c r="AX2" s="1562"/>
      <c r="AY2" s="1562"/>
      <c r="AZ2" s="1562"/>
      <c r="BA2" s="1562"/>
      <c r="BB2" s="1561"/>
      <c r="BC2" s="1561"/>
      <c r="BD2" s="1561"/>
      <c r="BE2" s="1561"/>
      <c r="BF2" s="1561"/>
      <c r="BG2" s="1561"/>
      <c r="BH2" s="1561"/>
    </row>
    <row r="3" spans="1:60" ht="12.75" customHeight="1" x14ac:dyDescent="0.35">
      <c r="A3" s="1560"/>
      <c r="B3" s="1560"/>
      <c r="M3" s="1561"/>
      <c r="N3"/>
      <c r="O3" s="1564" t="s">
        <v>96</v>
      </c>
      <c r="P3" s="1571">
        <f>VLOOKUP(P2,O4:P11,2)</f>
        <v>1</v>
      </c>
      <c r="Q3" s="1564" t="s">
        <v>267</v>
      </c>
      <c r="R3" s="1572">
        <f>VLOOKUP(P3,P4:Q11,2,FALSE)</f>
        <v>45016</v>
      </c>
      <c r="S3" s="1564" t="s">
        <v>96</v>
      </c>
      <c r="T3" s="1571">
        <f>VLOOKUP(T2,S4:T11,2)</f>
        <v>1</v>
      </c>
      <c r="U3" s="1564" t="s">
        <v>267</v>
      </c>
      <c r="V3" s="1572">
        <f>VLOOKUP(T3,T4:U11,2,FALSE)</f>
        <v>45016</v>
      </c>
      <c r="W3"/>
      <c r="AD3" s="1562"/>
      <c r="AE3" s="1562"/>
      <c r="AF3" s="1562"/>
      <c r="AG3" s="1562"/>
      <c r="AH3" s="1562"/>
      <c r="AI3" s="1562"/>
      <c r="AJ3" s="1562"/>
      <c r="AK3" s="1562"/>
      <c r="AL3" s="1562"/>
      <c r="AM3" s="1562"/>
      <c r="AN3" s="1562"/>
      <c r="AO3" s="1562"/>
      <c r="AP3" s="1562"/>
      <c r="AQ3" s="1562"/>
      <c r="AR3" s="1562"/>
      <c r="AS3" s="1562"/>
      <c r="AT3" s="1562"/>
      <c r="AU3" s="1562"/>
      <c r="AV3" s="1562"/>
      <c r="AW3" s="1562"/>
      <c r="AX3" s="1562"/>
      <c r="AY3" s="1562"/>
      <c r="AZ3" s="1562"/>
      <c r="BA3" s="1562"/>
      <c r="BB3" s="1561"/>
      <c r="BC3" s="1561"/>
      <c r="BD3" s="1561"/>
      <c r="BE3" s="1561"/>
      <c r="BF3" s="1561"/>
      <c r="BG3" s="1561"/>
      <c r="BH3" s="1561"/>
    </row>
    <row r="4" spans="1:60" x14ac:dyDescent="0.25">
      <c r="A4" s="1560"/>
      <c r="B4" s="1560"/>
      <c r="M4" s="1561"/>
      <c r="O4" s="1574">
        <f>text!B9</f>
        <v>45017</v>
      </c>
      <c r="P4" s="1493">
        <v>1</v>
      </c>
      <c r="Q4" s="1574">
        <f>text!C8</f>
        <v>45016</v>
      </c>
      <c r="S4" s="1574">
        <f t="shared" ref="S4:S11" si="0">O4</f>
        <v>45017</v>
      </c>
      <c r="T4" s="1493">
        <v>1</v>
      </c>
      <c r="U4" s="1574">
        <f t="shared" ref="U4:U11" si="1">Q4</f>
        <v>45016</v>
      </c>
      <c r="AD4" s="1562"/>
      <c r="AE4" s="1562"/>
      <c r="AF4" s="1562"/>
      <c r="AG4" s="1562"/>
      <c r="AH4" s="1562"/>
      <c r="AI4" s="1562"/>
      <c r="AJ4" s="1562"/>
      <c r="AK4" s="1562"/>
      <c r="AL4" s="1562"/>
      <c r="AM4" s="1562"/>
      <c r="AN4" s="1562"/>
      <c r="AO4" s="1562"/>
      <c r="AP4" s="1562"/>
      <c r="AQ4" s="1562"/>
      <c r="AR4" s="1562"/>
      <c r="AS4" s="1562"/>
      <c r="AT4" s="1562"/>
      <c r="AU4" s="1562"/>
      <c r="AV4" s="1562"/>
      <c r="AW4" s="1562"/>
      <c r="AX4" s="1562"/>
      <c r="AY4" s="1562"/>
      <c r="AZ4" s="1562"/>
      <c r="BA4" s="1562"/>
      <c r="BB4" s="1561"/>
      <c r="BC4" s="1561"/>
      <c r="BD4" s="1561"/>
      <c r="BE4" s="1561"/>
      <c r="BF4" s="1561"/>
      <c r="BG4" s="1561"/>
      <c r="BH4" s="1561"/>
    </row>
    <row r="5" spans="1:60" ht="13" x14ac:dyDescent="0.3">
      <c r="A5" s="1561"/>
      <c r="B5" s="1561"/>
      <c r="D5" s="1568" t="s">
        <v>1272</v>
      </c>
      <c r="E5" s="1492"/>
      <c r="F5" s="1493" t="str">
        <f>IF(details!D5="","please complete the details page",details!D5)</f>
        <v>please complete the details page</v>
      </c>
      <c r="G5" s="1492"/>
      <c r="H5" s="1492"/>
      <c r="J5" s="1569" t="s">
        <v>95</v>
      </c>
      <c r="K5" s="1570" t="str">
        <f>IF(details!D6=0,"see details page",details!D6)</f>
        <v>see details page</v>
      </c>
      <c r="M5" s="1561"/>
      <c r="O5" s="1574">
        <f>text!B10</f>
        <v>45383</v>
      </c>
      <c r="P5" s="1493">
        <v>2</v>
      </c>
      <c r="Q5" s="1574">
        <f>text!C9</f>
        <v>45382</v>
      </c>
      <c r="S5" s="1574">
        <f t="shared" si="0"/>
        <v>45383</v>
      </c>
      <c r="T5" s="1493">
        <v>2</v>
      </c>
      <c r="U5" s="1574">
        <f t="shared" si="1"/>
        <v>45382</v>
      </c>
      <c r="AD5" s="1562"/>
      <c r="AE5" s="1562"/>
      <c r="AF5" s="1562"/>
      <c r="AG5" s="1562"/>
      <c r="AH5" s="1562"/>
      <c r="AI5" s="1562"/>
      <c r="AJ5" s="1562"/>
      <c r="AK5" s="1562"/>
      <c r="AL5" s="1562"/>
      <c r="AM5" s="1562"/>
      <c r="AN5" s="1562"/>
      <c r="AO5" s="1562"/>
      <c r="AP5" s="1562"/>
      <c r="AQ5" s="1562"/>
      <c r="AR5" s="1562"/>
      <c r="AS5" s="1562"/>
      <c r="AT5" s="1562"/>
      <c r="AU5" s="1562"/>
      <c r="AV5" s="1562"/>
      <c r="AW5" s="1562"/>
      <c r="AX5" s="1562"/>
      <c r="AY5" s="1562"/>
      <c r="AZ5" s="1562"/>
      <c r="BA5" s="1562"/>
      <c r="BB5" s="1561"/>
      <c r="BC5" s="1561"/>
      <c r="BD5" s="1561"/>
      <c r="BE5" s="1561"/>
      <c r="BF5" s="1561"/>
      <c r="BG5" s="1561"/>
      <c r="BH5" s="1561"/>
    </row>
    <row r="6" spans="1:60" ht="13.5" customHeight="1" x14ac:dyDescent="0.3">
      <c r="A6" s="1560"/>
      <c r="B6" s="1560"/>
      <c r="D6" s="1436"/>
      <c r="E6" s="1573"/>
      <c r="F6" s="1436"/>
      <c r="G6" s="1492"/>
      <c r="H6" s="1492"/>
      <c r="J6" s="1569"/>
      <c r="K6" s="1570"/>
      <c r="M6" s="1561"/>
      <c r="O6" s="1574">
        <f>text!B11</f>
        <v>45748</v>
      </c>
      <c r="P6" s="1493">
        <v>3</v>
      </c>
      <c r="Q6" s="1574">
        <f>text!C10</f>
        <v>45747</v>
      </c>
      <c r="S6" s="1574">
        <f t="shared" si="0"/>
        <v>45748</v>
      </c>
      <c r="T6" s="1493">
        <v>3</v>
      </c>
      <c r="U6" s="1574">
        <f t="shared" si="1"/>
        <v>45747</v>
      </c>
      <c r="AD6" s="1562"/>
      <c r="AE6" s="1562"/>
      <c r="AF6" s="1562"/>
      <c r="AG6" s="1562"/>
      <c r="AH6" s="1562"/>
      <c r="AI6" s="1562"/>
      <c r="AJ6" s="1562"/>
      <c r="AK6" s="1562"/>
      <c r="AL6" s="1562"/>
      <c r="AM6" s="1562"/>
      <c r="AN6" s="1562"/>
      <c r="AO6" s="1562"/>
      <c r="AP6" s="1562"/>
      <c r="AQ6" s="1562"/>
      <c r="AR6" s="1562"/>
      <c r="AS6" s="1562"/>
      <c r="AT6" s="1562"/>
      <c r="AU6" s="1562"/>
      <c r="AV6" s="1562"/>
      <c r="AW6" s="1562"/>
      <c r="AX6" s="1562"/>
      <c r="AY6" s="1562"/>
      <c r="AZ6" s="1562"/>
      <c r="BA6" s="1562"/>
      <c r="BB6" s="1561"/>
      <c r="BC6" s="1561"/>
      <c r="BD6" s="1561"/>
      <c r="BE6" s="1561"/>
      <c r="BF6" s="1561"/>
      <c r="BG6" s="1561"/>
      <c r="BH6" s="1561"/>
    </row>
    <row r="7" spans="1:60" ht="13" x14ac:dyDescent="0.3">
      <c r="A7" s="1560"/>
      <c r="B7" s="1560"/>
      <c r="D7" s="1568" t="s">
        <v>1274</v>
      </c>
      <c r="E7" s="1492"/>
      <c r="F7" s="1493" t="str">
        <f>IF(details!D4="","please complete the details page",details!D4)</f>
        <v>please complete the details page</v>
      </c>
      <c r="G7" s="1492"/>
      <c r="H7" s="1492"/>
      <c r="J7" s="1569" t="s">
        <v>1275</v>
      </c>
      <c r="K7" s="1575">
        <f ca="1">TODAY()</f>
        <v>46155</v>
      </c>
      <c r="M7" s="1561"/>
      <c r="O7" s="1574">
        <f>text!B12</f>
        <v>46113</v>
      </c>
      <c r="P7" s="1493">
        <v>4</v>
      </c>
      <c r="Q7" s="1574">
        <f>text!C11</f>
        <v>46112</v>
      </c>
      <c r="S7" s="1574">
        <f t="shared" si="0"/>
        <v>46113</v>
      </c>
      <c r="T7" s="1493">
        <v>4</v>
      </c>
      <c r="U7" s="1574">
        <f t="shared" si="1"/>
        <v>46112</v>
      </c>
      <c r="AD7" s="1562"/>
      <c r="AE7" s="1562"/>
      <c r="AF7" s="1562"/>
      <c r="AG7" s="1562"/>
      <c r="AH7" s="1562"/>
      <c r="AI7" s="1562"/>
      <c r="AJ7" s="1562"/>
      <c r="AK7" s="1562"/>
      <c r="AL7" s="1562"/>
      <c r="AM7" s="1562"/>
      <c r="AN7" s="1562"/>
      <c r="AO7" s="1562"/>
      <c r="AP7" s="1562"/>
      <c r="AQ7" s="1562"/>
      <c r="AR7" s="1562"/>
      <c r="AS7" s="1562"/>
      <c r="AT7" s="1562"/>
      <c r="AU7" s="1562"/>
      <c r="AV7" s="1562"/>
      <c r="AW7" s="1562"/>
      <c r="AX7" s="1562"/>
      <c r="AY7" s="1562"/>
      <c r="AZ7" s="1562"/>
      <c r="BA7" s="1562"/>
      <c r="BB7" s="1561"/>
      <c r="BC7" s="1561"/>
      <c r="BD7" s="1561"/>
      <c r="BE7" s="1561"/>
      <c r="BF7" s="1561"/>
      <c r="BG7" s="1561"/>
      <c r="BH7" s="1561"/>
    </row>
    <row r="8" spans="1:60" x14ac:dyDescent="0.25">
      <c r="A8" s="1560"/>
      <c r="B8" s="1560"/>
      <c r="D8" s="1425"/>
      <c r="E8" s="1425"/>
      <c r="F8" s="1425"/>
      <c r="G8" s="1425"/>
      <c r="H8" s="1425"/>
      <c r="I8" s="1425"/>
      <c r="J8" s="1425"/>
      <c r="K8" s="1425"/>
      <c r="M8" s="1561"/>
      <c r="O8" s="1574">
        <f>text!B13</f>
        <v>46478</v>
      </c>
      <c r="P8" s="1493">
        <v>5</v>
      </c>
      <c r="Q8" s="1574">
        <f>text!C12</f>
        <v>46477</v>
      </c>
      <c r="S8" s="1574">
        <f t="shared" si="0"/>
        <v>46478</v>
      </c>
      <c r="T8" s="1493">
        <v>5</v>
      </c>
      <c r="U8" s="1574">
        <f t="shared" si="1"/>
        <v>46477</v>
      </c>
      <c r="Z8" s="1715" t="s">
        <v>562</v>
      </c>
      <c r="AA8" s="1715"/>
      <c r="AD8" s="1562"/>
      <c r="AE8" s="1562"/>
      <c r="AF8" s="1562"/>
      <c r="AG8" s="1562"/>
      <c r="AH8" s="1562"/>
      <c r="AI8" s="1562"/>
      <c r="AJ8" s="1562"/>
      <c r="AK8" s="1562"/>
      <c r="AL8" s="1562"/>
      <c r="AM8" s="1562"/>
      <c r="AN8" s="1562"/>
      <c r="AO8" s="1562"/>
      <c r="AP8" s="1562"/>
      <c r="AQ8" s="1562"/>
      <c r="AR8" s="1562"/>
      <c r="AS8" s="1562"/>
      <c r="AT8" s="1562"/>
      <c r="AU8" s="1562"/>
      <c r="AV8" s="1562"/>
      <c r="AW8" s="1562"/>
      <c r="AX8" s="1562"/>
      <c r="AY8" s="1562"/>
      <c r="AZ8" s="1562"/>
      <c r="BA8" s="1562"/>
      <c r="BB8" s="1561"/>
      <c r="BC8" s="1561"/>
      <c r="BD8" s="1561"/>
      <c r="BE8" s="1561"/>
      <c r="BF8" s="1561"/>
      <c r="BG8" s="1561"/>
      <c r="BH8" s="1561"/>
    </row>
    <row r="9" spans="1:60" ht="13" x14ac:dyDescent="0.3">
      <c r="A9" s="1561"/>
      <c r="B9" s="1561"/>
      <c r="D9" s="1576" t="str">
        <f>IF(details!D7&lt;&gt;"",details!D7,"&lt; click the button to enter address details")</f>
        <v>&lt; click the button to enter address details</v>
      </c>
      <c r="M9" s="1561"/>
      <c r="O9" s="1574">
        <f>text!B14</f>
        <v>46844</v>
      </c>
      <c r="P9" s="1493">
        <v>6</v>
      </c>
      <c r="Q9" s="1574">
        <f>text!C13</f>
        <v>46843</v>
      </c>
      <c r="S9" s="1574">
        <f t="shared" si="0"/>
        <v>46844</v>
      </c>
      <c r="T9" s="1493">
        <v>6</v>
      </c>
      <c r="U9" s="1574">
        <f t="shared" si="1"/>
        <v>46843</v>
      </c>
      <c r="Z9" s="1715" t="b">
        <f>D9="&lt; click the button to enter address details"</f>
        <v>1</v>
      </c>
      <c r="AA9" s="1715">
        <f>Z9+Z10+Z11+Z12</f>
        <v>4</v>
      </c>
      <c r="AD9" s="1562"/>
      <c r="AE9" s="1562"/>
      <c r="AF9" s="1562"/>
      <c r="AG9" s="1562"/>
      <c r="AH9" s="1562"/>
      <c r="AI9" s="1562"/>
      <c r="AJ9" s="1562"/>
      <c r="AK9" s="1562"/>
      <c r="AL9" s="1562"/>
      <c r="AM9" s="1562"/>
      <c r="AN9" s="1562"/>
      <c r="AO9" s="1562"/>
      <c r="AP9" s="1562"/>
      <c r="AQ9" s="1562"/>
      <c r="AR9" s="1562"/>
      <c r="AS9" s="1562"/>
      <c r="AT9" s="1562"/>
      <c r="AU9" s="1562"/>
      <c r="AV9" s="1562"/>
      <c r="AW9" s="1562"/>
      <c r="AX9" s="1562"/>
      <c r="AY9" s="1562"/>
      <c r="AZ9" s="1562"/>
      <c r="BA9" s="1562"/>
      <c r="BB9" s="1561"/>
      <c r="BC9" s="1561"/>
      <c r="BD9" s="1561"/>
      <c r="BE9" s="1561"/>
      <c r="BF9" s="1561"/>
      <c r="BG9" s="1561"/>
      <c r="BH9" s="1561"/>
    </row>
    <row r="10" spans="1:60" ht="12.75" customHeight="1" x14ac:dyDescent="0.3">
      <c r="A10" s="1561"/>
      <c r="B10" s="1561"/>
      <c r="D10" s="1576" t="str">
        <f>IF(details!D8&lt;&gt;"",details!D8,"")</f>
        <v/>
      </c>
      <c r="M10" s="1561"/>
      <c r="O10" s="1574">
        <f>text!B15</f>
        <v>47209</v>
      </c>
      <c r="P10" s="1493">
        <v>7</v>
      </c>
      <c r="Q10" s="1574">
        <f>text!C14</f>
        <v>47208</v>
      </c>
      <c r="S10" s="1574">
        <f t="shared" si="0"/>
        <v>47209</v>
      </c>
      <c r="T10" s="1493">
        <v>7</v>
      </c>
      <c r="U10" s="1574">
        <f t="shared" si="1"/>
        <v>47208</v>
      </c>
      <c r="Z10" s="1715" t="b">
        <f>D10=""</f>
        <v>1</v>
      </c>
      <c r="AA10" s="1715"/>
      <c r="AD10" s="1562"/>
      <c r="AE10" s="1562"/>
      <c r="AF10" s="1562"/>
      <c r="AG10" s="1562"/>
      <c r="AH10" s="1562"/>
      <c r="AI10" s="1562"/>
      <c r="AJ10" s="1562"/>
      <c r="AK10" s="1562"/>
      <c r="AL10" s="1562"/>
      <c r="AM10" s="1562"/>
      <c r="AN10" s="1562"/>
      <c r="AO10" s="1562"/>
      <c r="AP10" s="1562"/>
      <c r="AQ10" s="1562"/>
      <c r="AR10" s="1562"/>
      <c r="AS10" s="1562"/>
      <c r="AT10" s="1562"/>
      <c r="AU10" s="1562"/>
      <c r="AV10" s="1562"/>
      <c r="AW10" s="1562"/>
      <c r="AX10" s="1562"/>
      <c r="AY10" s="1562"/>
      <c r="AZ10" s="1562"/>
      <c r="BA10" s="1562"/>
      <c r="BB10" s="1561"/>
      <c r="BC10" s="1561"/>
      <c r="BD10" s="1561"/>
      <c r="BE10" s="1561"/>
      <c r="BF10" s="1561"/>
      <c r="BG10" s="1561"/>
      <c r="BH10" s="1561"/>
    </row>
    <row r="11" spans="1:60" ht="12.75" customHeight="1" x14ac:dyDescent="0.3">
      <c r="A11" s="1561"/>
      <c r="B11" s="1561"/>
      <c r="D11" s="1576" t="str">
        <f>IF(details!D9&lt;&gt;"",details!D9,"")</f>
        <v/>
      </c>
      <c r="M11" s="1561"/>
      <c r="O11" s="1574">
        <f>text!B16</f>
        <v>47574</v>
      </c>
      <c r="P11" s="1493">
        <v>8</v>
      </c>
      <c r="Q11" s="1574">
        <f>text!C15</f>
        <v>47573</v>
      </c>
      <c r="S11" s="1574">
        <f t="shared" si="0"/>
        <v>47574</v>
      </c>
      <c r="T11" s="1493">
        <v>8</v>
      </c>
      <c r="U11" s="1574">
        <f t="shared" si="1"/>
        <v>47573</v>
      </c>
      <c r="Z11" s="1715" t="b">
        <f>D11=""</f>
        <v>1</v>
      </c>
      <c r="AA11" s="1715"/>
      <c r="AD11" s="1562"/>
      <c r="AE11" s="1562"/>
      <c r="AF11" s="1562"/>
      <c r="AG11" s="1562"/>
      <c r="AH11" s="1562"/>
      <c r="AI11" s="1562"/>
      <c r="AJ11" s="1562"/>
      <c r="AK11" s="1562"/>
      <c r="AL11" s="1562"/>
      <c r="AM11" s="1562"/>
      <c r="AN11" s="1562"/>
      <c r="AO11" s="1562"/>
      <c r="AP11" s="1562"/>
      <c r="AQ11" s="1562"/>
      <c r="AR11" s="1562"/>
      <c r="AS11" s="1562"/>
      <c r="AT11" s="1562"/>
      <c r="AU11" s="1562"/>
      <c r="AV11" s="1562"/>
      <c r="AW11" s="1562"/>
      <c r="AX11" s="1562"/>
      <c r="AY11" s="1562"/>
      <c r="AZ11" s="1562"/>
      <c r="BA11" s="1562"/>
      <c r="BB11" s="1561"/>
      <c r="BC11" s="1561"/>
      <c r="BD11" s="1561"/>
      <c r="BE11" s="1561"/>
      <c r="BF11" s="1561"/>
      <c r="BG11" s="1561"/>
      <c r="BH11" s="1561"/>
    </row>
    <row r="12" spans="1:60" ht="12.75" customHeight="1" x14ac:dyDescent="0.3">
      <c r="A12" s="1561"/>
      <c r="B12" s="1561"/>
      <c r="D12" s="1576" t="str">
        <f>IF(details!D10&lt;&gt;"",details!D10,"")</f>
        <v/>
      </c>
      <c r="M12" s="1561"/>
      <c r="Z12" s="1715" t="b">
        <f>D12=""</f>
        <v>1</v>
      </c>
      <c r="AA12" s="1715"/>
      <c r="AD12" s="1562"/>
      <c r="AE12" s="1562"/>
      <c r="AF12" s="1562"/>
      <c r="AG12" s="1562"/>
      <c r="AH12" s="1562"/>
      <c r="AI12" s="1562"/>
      <c r="AJ12" s="1562"/>
      <c r="AK12" s="1562"/>
      <c r="AL12" s="1562"/>
      <c r="AM12" s="1562"/>
      <c r="AN12" s="1562"/>
      <c r="AO12" s="1562"/>
      <c r="AP12" s="1562"/>
      <c r="AQ12" s="1562"/>
      <c r="AR12" s="1562"/>
      <c r="AS12" s="1562"/>
      <c r="AT12" s="1562"/>
      <c r="AU12" s="1562"/>
      <c r="AV12" s="1562"/>
      <c r="AW12" s="1562"/>
      <c r="AX12" s="1562"/>
      <c r="AY12" s="1562"/>
      <c r="AZ12" s="1562"/>
      <c r="BA12" s="1562"/>
      <c r="BB12" s="1561"/>
      <c r="BC12" s="1561"/>
      <c r="BD12" s="1561"/>
      <c r="BE12" s="1561"/>
      <c r="BF12" s="1561"/>
      <c r="BG12" s="1561"/>
      <c r="BH12" s="1561"/>
    </row>
    <row r="13" spans="1:60" ht="8.25" customHeight="1" x14ac:dyDescent="0.35">
      <c r="A13" s="1561"/>
      <c r="B13" s="1561"/>
      <c r="D13" s="1425"/>
      <c r="E13" s="1425"/>
      <c r="F13" s="1425"/>
      <c r="G13" s="1425"/>
      <c r="H13" s="1425"/>
      <c r="I13" s="1425"/>
      <c r="J13" s="1425"/>
      <c r="K13" s="1425"/>
      <c r="M13" s="1561"/>
      <c r="N13"/>
      <c r="O13"/>
      <c r="P13"/>
      <c r="Q13"/>
      <c r="R13"/>
      <c r="S13"/>
      <c r="T13"/>
      <c r="U13"/>
      <c r="V13"/>
      <c r="W13"/>
      <c r="X13"/>
      <c r="Y13"/>
      <c r="Z13"/>
      <c r="AD13" s="1562"/>
      <c r="AE13" s="1562"/>
      <c r="AF13" s="1562"/>
      <c r="AG13" s="1562"/>
      <c r="AH13" s="1562"/>
      <c r="AI13" s="1562"/>
      <c r="AJ13" s="1562"/>
      <c r="AK13" s="1562"/>
      <c r="AL13" s="1562"/>
      <c r="AM13" s="1562"/>
      <c r="AN13" s="1562"/>
      <c r="AO13" s="1562"/>
      <c r="AP13" s="1562"/>
      <c r="AQ13" s="1562"/>
      <c r="AR13" s="1562"/>
      <c r="AS13" s="1562"/>
      <c r="AT13" s="1562"/>
      <c r="AU13" s="1562"/>
      <c r="AV13" s="1562"/>
      <c r="AW13" s="1562"/>
      <c r="AX13" s="1562"/>
      <c r="AY13" s="1562"/>
      <c r="AZ13" s="1562"/>
      <c r="BA13" s="1562"/>
      <c r="BB13" s="1561"/>
      <c r="BC13" s="1561"/>
      <c r="BD13" s="1561"/>
      <c r="BE13" s="1561"/>
      <c r="BF13" s="1561"/>
      <c r="BG13" s="1561"/>
      <c r="BH13" s="1561"/>
    </row>
    <row r="14" spans="1:60" ht="8.25" customHeight="1" x14ac:dyDescent="0.35">
      <c r="A14" s="1561"/>
      <c r="B14" s="1561"/>
      <c r="M14" s="1561"/>
      <c r="N14"/>
      <c r="O14"/>
      <c r="P14"/>
      <c r="Q14"/>
      <c r="R14"/>
      <c r="S14"/>
      <c r="T14"/>
      <c r="U14"/>
      <c r="V14"/>
      <c r="W14"/>
      <c r="X14"/>
      <c r="Y14"/>
      <c r="Z14"/>
      <c r="AD14" s="1562"/>
      <c r="AE14" s="1562"/>
      <c r="AF14" s="1562"/>
      <c r="AG14" s="1562"/>
      <c r="AH14" s="1562"/>
      <c r="AI14" s="1562"/>
      <c r="AJ14" s="1562"/>
      <c r="AK14" s="1562"/>
      <c r="AL14" s="1562"/>
      <c r="AM14" s="1562"/>
      <c r="AN14" s="1562"/>
      <c r="AO14" s="1562"/>
      <c r="AP14" s="1562"/>
      <c r="AQ14" s="1562"/>
      <c r="AR14" s="1562"/>
      <c r="AS14" s="1562"/>
      <c r="AT14" s="1562"/>
      <c r="AU14" s="1562"/>
      <c r="AV14" s="1562"/>
      <c r="AW14" s="1562"/>
      <c r="AX14" s="1562"/>
      <c r="AY14" s="1562"/>
      <c r="AZ14" s="1562"/>
      <c r="BA14" s="1562"/>
      <c r="BB14" s="1561"/>
      <c r="BC14" s="1561"/>
      <c r="BD14" s="1561"/>
      <c r="BE14" s="1561"/>
      <c r="BF14" s="1561"/>
      <c r="BG14" s="1561"/>
      <c r="BH14" s="1561"/>
    </row>
    <row r="15" spans="1:60" ht="12.75" customHeight="1" x14ac:dyDescent="0.35">
      <c r="A15" s="1561"/>
      <c r="B15" s="1561"/>
      <c r="D15" s="1472" t="s">
        <v>97</v>
      </c>
      <c r="F15" s="1578"/>
      <c r="G15" s="1407" t="str">
        <f>J15</f>
        <v>e</v>
      </c>
      <c r="J15" s="1579" t="str">
        <f>global!E8</f>
        <v>e</v>
      </c>
      <c r="M15" s="1561"/>
      <c r="N15"/>
      <c r="O15" t="str">
        <f>D9&amp;", "&amp;D10&amp;","&amp;D11&amp;", "&amp;D12</f>
        <v xml:space="preserve">&lt; click the button to enter address details, ,, </v>
      </c>
      <c r="P15"/>
      <c r="Q15"/>
      <c r="R15"/>
      <c r="S15"/>
      <c r="T15"/>
      <c r="U15"/>
      <c r="V15"/>
      <c r="W15"/>
      <c r="X15"/>
      <c r="Y15"/>
      <c r="Z15"/>
      <c r="AD15" s="1562"/>
      <c r="AE15" s="1562"/>
      <c r="AF15" s="1562"/>
      <c r="AG15" s="1562"/>
      <c r="AH15" s="1562"/>
      <c r="AI15" s="1562"/>
      <c r="AJ15" s="1562"/>
      <c r="AK15" s="1562"/>
      <c r="AL15" s="1562"/>
      <c r="AM15" s="1562"/>
      <c r="AN15" s="1562"/>
      <c r="AO15" s="1562"/>
      <c r="AP15" s="1562"/>
      <c r="AQ15" s="1562"/>
      <c r="AR15" s="1562"/>
      <c r="AS15" s="1562"/>
      <c r="AT15" s="1562"/>
      <c r="AU15" s="1562"/>
      <c r="AV15" s="1562"/>
      <c r="AW15" s="1562"/>
      <c r="AX15" s="1562"/>
      <c r="AY15" s="1562"/>
      <c r="AZ15" s="1562"/>
      <c r="BA15" s="1562"/>
      <c r="BB15" s="1561"/>
      <c r="BC15" s="1561"/>
      <c r="BD15" s="1561"/>
      <c r="BE15" s="1561"/>
      <c r="BF15" s="1561"/>
      <c r="BG15" s="1561"/>
      <c r="BH15" s="1561"/>
    </row>
    <row r="16" spans="1:60" ht="18" customHeight="1" x14ac:dyDescent="0.35">
      <c r="A16" s="1561"/>
      <c r="B16" s="1561"/>
      <c r="F16" s="1578" t="s">
        <v>840</v>
      </c>
      <c r="G16" s="1407">
        <f>J16</f>
        <v>0</v>
      </c>
      <c r="J16" s="1579">
        <f>global!H30</f>
        <v>0</v>
      </c>
      <c r="M16" s="1561"/>
      <c r="N16"/>
      <c r="O16"/>
      <c r="P16"/>
      <c r="Q16"/>
      <c r="R16"/>
      <c r="S16"/>
      <c r="T16"/>
      <c r="U16"/>
      <c r="V16"/>
      <c r="W16"/>
      <c r="X16"/>
      <c r="Y16"/>
      <c r="Z16"/>
      <c r="AD16" s="1562"/>
      <c r="AE16" s="1562"/>
      <c r="AF16" s="1562"/>
      <c r="AG16" s="1562"/>
      <c r="AH16" s="1562"/>
      <c r="AI16" s="1562"/>
      <c r="AJ16" s="1562"/>
      <c r="AK16" s="1562"/>
      <c r="AL16" s="1562"/>
      <c r="AM16" s="1562"/>
      <c r="AN16" s="1562"/>
      <c r="AO16" s="1562"/>
      <c r="AP16" s="1562"/>
      <c r="AQ16" s="1562"/>
      <c r="AR16" s="1562"/>
      <c r="AS16" s="1562"/>
      <c r="AT16" s="1562"/>
      <c r="AU16" s="1562"/>
      <c r="AV16" s="1562"/>
      <c r="AW16" s="1562"/>
      <c r="AX16" s="1562"/>
      <c r="AY16" s="1562"/>
      <c r="AZ16" s="1562"/>
      <c r="BA16" s="1562"/>
      <c r="BB16" s="1561"/>
      <c r="BC16" s="1561"/>
      <c r="BD16" s="1561"/>
      <c r="BE16" s="1561"/>
      <c r="BF16" s="1561"/>
      <c r="BG16" s="1561"/>
      <c r="BH16" s="1561"/>
    </row>
    <row r="17" spans="1:60" ht="12.75" customHeight="1" x14ac:dyDescent="0.35">
      <c r="A17" s="1561"/>
      <c r="B17" s="1561"/>
      <c r="M17" s="1561"/>
      <c r="N17"/>
      <c r="O17"/>
      <c r="P17"/>
      <c r="Q17"/>
      <c r="R17"/>
      <c r="S17"/>
      <c r="T17"/>
      <c r="U17"/>
      <c r="V17"/>
      <c r="W17"/>
      <c r="X17"/>
      <c r="Y17"/>
      <c r="Z17"/>
      <c r="AD17" s="1562"/>
      <c r="AE17" s="1562"/>
      <c r="AF17" s="1562"/>
      <c r="AG17" s="1562"/>
      <c r="AH17" s="1562"/>
      <c r="AI17" s="1562"/>
      <c r="AJ17" s="1562"/>
      <c r="AK17" s="1562"/>
      <c r="AL17" s="1562"/>
      <c r="AM17" s="1562"/>
      <c r="AN17" s="1562"/>
      <c r="AO17" s="1562"/>
      <c r="AP17" s="1562"/>
      <c r="AQ17" s="1562"/>
      <c r="AR17" s="1562"/>
      <c r="AS17" s="1562"/>
      <c r="AT17" s="1562"/>
      <c r="AU17" s="1562"/>
      <c r="AV17" s="1562"/>
      <c r="AW17" s="1562"/>
      <c r="AX17" s="1562"/>
      <c r="AY17" s="1562"/>
      <c r="AZ17" s="1562"/>
      <c r="BA17" s="1562"/>
      <c r="BB17" s="1561"/>
      <c r="BC17" s="1561"/>
      <c r="BD17" s="1561"/>
      <c r="BE17" s="1561"/>
      <c r="BF17" s="1561"/>
      <c r="BG17" s="1561"/>
      <c r="BH17" s="1561"/>
    </row>
    <row r="18" spans="1:60" ht="12.75" customHeight="1" x14ac:dyDescent="0.35">
      <c r="A18" s="1561"/>
      <c r="B18" s="1561"/>
      <c r="F18" s="1578" t="str">
        <f>IF(G18="","Effective Date &gt;","Effective Date ")</f>
        <v>Effective Date &gt;</v>
      </c>
      <c r="G18" s="1580"/>
      <c r="J18" s="1581">
        <f>G18</f>
        <v>0</v>
      </c>
      <c r="M18" s="1561"/>
      <c r="N18"/>
      <c r="O18" t="s">
        <v>554</v>
      </c>
      <c r="P18" t="s">
        <v>555</v>
      </c>
      <c r="Q18"/>
      <c r="R18"/>
      <c r="S18"/>
      <c r="T18"/>
      <c r="U18"/>
      <c r="V18"/>
      <c r="W18"/>
      <c r="X18"/>
      <c r="Y18"/>
      <c r="Z18"/>
      <c r="AD18" s="1562"/>
      <c r="AE18" s="1562"/>
      <c r="AF18" s="1562"/>
      <c r="AG18" s="1562"/>
      <c r="AH18" s="1562"/>
      <c r="AI18" s="1562"/>
      <c r="AJ18" s="1562"/>
      <c r="AK18" s="1562"/>
      <c r="AL18" s="1562"/>
      <c r="AM18" s="1562"/>
      <c r="AN18" s="1562"/>
      <c r="AO18" s="1562"/>
      <c r="AP18" s="1562"/>
      <c r="AQ18" s="1562"/>
      <c r="AR18" s="1562"/>
      <c r="AS18" s="1562"/>
      <c r="AT18" s="1562"/>
      <c r="AU18" s="1562"/>
      <c r="AV18" s="1562"/>
      <c r="AW18" s="1562"/>
      <c r="AX18" s="1562"/>
      <c r="AY18" s="1562"/>
      <c r="AZ18" s="1562"/>
      <c r="BA18" s="1562"/>
      <c r="BB18" s="1561"/>
      <c r="BC18" s="1561"/>
      <c r="BD18" s="1561"/>
      <c r="BE18" s="1561"/>
      <c r="BF18" s="1561"/>
      <c r="BG18" s="1561"/>
      <c r="BH18" s="1561"/>
    </row>
    <row r="19" spans="1:60" ht="12.75" customHeight="1" x14ac:dyDescent="0.35">
      <c r="A19" s="1561"/>
      <c r="B19" s="1561"/>
      <c r="D19" s="1582"/>
      <c r="M19" s="1561"/>
      <c r="N19" s="28" t="s">
        <v>556</v>
      </c>
      <c r="O19" s="1700" t="b">
        <v>0</v>
      </c>
      <c r="P19" s="1700" t="b">
        <v>0</v>
      </c>
      <c r="Q19"/>
      <c r="R19"/>
      <c r="S19"/>
      <c r="T19"/>
      <c r="U19"/>
      <c r="V19"/>
      <c r="W19"/>
      <c r="X19"/>
      <c r="Y19"/>
      <c r="Z19"/>
      <c r="AA19"/>
      <c r="AB19"/>
      <c r="AC19"/>
      <c r="AD19" s="1562"/>
      <c r="AE19" s="1562"/>
      <c r="AF19" s="1562"/>
      <c r="AG19" s="1562"/>
      <c r="AH19" s="1562"/>
      <c r="AI19" s="1562"/>
      <c r="AJ19" s="1562"/>
      <c r="AK19" s="1562"/>
      <c r="AL19" s="1562"/>
      <c r="AM19" s="1562"/>
      <c r="AN19" s="1562"/>
      <c r="AO19" s="1562"/>
      <c r="AP19" s="1562"/>
      <c r="AQ19" s="1562"/>
      <c r="AR19" s="1562"/>
      <c r="AS19" s="1562"/>
      <c r="AT19" s="1562"/>
      <c r="AU19" s="1562"/>
      <c r="AV19" s="1562"/>
      <c r="AW19" s="1562"/>
      <c r="AX19" s="1562"/>
      <c r="AY19" s="1562"/>
      <c r="AZ19" s="1562"/>
      <c r="BA19" s="1562"/>
      <c r="BB19" s="1561"/>
      <c r="BC19" s="1561"/>
      <c r="BD19" s="1561"/>
      <c r="BE19" s="1561"/>
      <c r="BF19" s="1561"/>
      <c r="BG19" s="1561"/>
      <c r="BH19" s="1561"/>
    </row>
    <row r="20" spans="1:60" ht="12.75" customHeight="1" x14ac:dyDescent="0.35">
      <c r="A20" s="1561"/>
      <c r="B20" s="1561"/>
      <c r="D20" s="1493"/>
      <c r="E20" s="1493"/>
      <c r="F20" s="1493"/>
      <c r="G20" s="1493"/>
      <c r="H20" s="1493"/>
      <c r="I20" s="1493"/>
      <c r="J20" s="1493"/>
      <c r="K20" s="1493"/>
      <c r="M20" s="1561"/>
      <c r="N20" s="28" t="s">
        <v>317</v>
      </c>
      <c r="O20" s="1701" t="b">
        <v>0</v>
      </c>
      <c r="P20" s="1701" t="b">
        <v>0</v>
      </c>
      <c r="Q20"/>
      <c r="R20"/>
      <c r="S20"/>
      <c r="T20"/>
      <c r="U20"/>
      <c r="V20"/>
      <c r="W20"/>
      <c r="X20"/>
      <c r="Y20"/>
      <c r="Z20"/>
      <c r="AA20"/>
      <c r="AB20"/>
      <c r="AC20"/>
      <c r="AD20" s="1562"/>
      <c r="AE20" s="1562"/>
      <c r="AF20" s="1562"/>
      <c r="AG20" s="1562"/>
      <c r="AH20" s="1562"/>
      <c r="AI20" s="1562"/>
      <c r="AJ20" s="1562"/>
      <c r="AK20" s="1562"/>
      <c r="AL20" s="1562"/>
      <c r="AM20" s="1562"/>
      <c r="AN20" s="1562"/>
      <c r="AO20" s="1562"/>
      <c r="AP20" s="1562"/>
      <c r="AQ20" s="1562"/>
      <c r="AR20" s="1562"/>
      <c r="AS20" s="1562"/>
      <c r="AT20" s="1562"/>
      <c r="AU20" s="1562"/>
      <c r="AV20" s="1562"/>
      <c r="AW20" s="1562"/>
      <c r="AX20" s="1562"/>
      <c r="AY20" s="1562"/>
      <c r="AZ20" s="1562"/>
      <c r="BA20" s="1562"/>
      <c r="BB20" s="1561"/>
      <c r="BC20" s="1561"/>
      <c r="BD20" s="1561"/>
      <c r="BE20" s="1561"/>
      <c r="BF20" s="1561"/>
      <c r="BG20" s="1561"/>
      <c r="BH20" s="1561"/>
    </row>
    <row r="21" spans="1:60" ht="12.75" customHeight="1" x14ac:dyDescent="0.35">
      <c r="A21" s="1560"/>
      <c r="B21" s="1560"/>
      <c r="D21" s="1493"/>
      <c r="E21" s="1493"/>
      <c r="F21" s="1493"/>
      <c r="G21" s="1493"/>
      <c r="H21" s="1493"/>
      <c r="I21" s="1493"/>
      <c r="J21" s="1493"/>
      <c r="K21" s="1493"/>
      <c r="M21" s="1561"/>
      <c r="N21" s="1699" t="s">
        <v>557</v>
      </c>
      <c r="O21" s="1565" t="b">
        <v>0</v>
      </c>
      <c r="P21" s="1565" t="b">
        <v>0</v>
      </c>
      <c r="Q21" s="1492"/>
      <c r="T21"/>
      <c r="U21"/>
      <c r="V21"/>
      <c r="W21"/>
      <c r="AA21"/>
      <c r="AB21"/>
      <c r="AC21"/>
      <c r="AD21" s="1562"/>
      <c r="AE21" s="1562"/>
      <c r="AF21" s="1562"/>
      <c r="AG21" s="1562"/>
      <c r="AH21" s="1562"/>
      <c r="AI21" s="1562"/>
      <c r="AJ21" s="1562"/>
      <c r="AK21" s="1562"/>
      <c r="AL21" s="1562"/>
      <c r="AM21" s="1562"/>
      <c r="AN21" s="1562"/>
      <c r="AO21" s="1562"/>
      <c r="AP21" s="1562"/>
      <c r="AQ21" s="1562"/>
      <c r="AR21" s="1562"/>
      <c r="AS21" s="1562"/>
      <c r="AT21" s="1562"/>
      <c r="AU21" s="1562"/>
      <c r="AV21" s="1562"/>
      <c r="AW21" s="1562"/>
      <c r="AX21" s="1562"/>
      <c r="AY21" s="1562"/>
      <c r="AZ21" s="1562"/>
      <c r="BA21" s="1562"/>
      <c r="BB21" s="1561"/>
      <c r="BC21" s="1561"/>
      <c r="BD21" s="1561"/>
      <c r="BE21" s="1561"/>
      <c r="BF21" s="1561"/>
      <c r="BG21" s="1561"/>
      <c r="BH21" s="1561"/>
    </row>
    <row r="22" spans="1:60" ht="12.75" customHeight="1" x14ac:dyDescent="0.35">
      <c r="A22" s="1561"/>
      <c r="B22" s="1561"/>
      <c r="D22" s="1493"/>
      <c r="E22" s="1493"/>
      <c r="F22" s="1493"/>
      <c r="G22" s="1493"/>
      <c r="H22" s="1493"/>
      <c r="I22" s="1493"/>
      <c r="J22" s="1493"/>
      <c r="K22" s="1493"/>
      <c r="M22" s="1561"/>
      <c r="N22"/>
      <c r="O22"/>
      <c r="P22" s="2094">
        <v>1</v>
      </c>
      <c r="Q22" t="s">
        <v>2329</v>
      </c>
      <c r="T22"/>
      <c r="U22"/>
      <c r="V22"/>
      <c r="W22"/>
      <c r="AA22"/>
      <c r="AB22"/>
      <c r="AC22"/>
      <c r="AD22" s="1562"/>
      <c r="AE22" s="1562"/>
      <c r="AF22" s="1562"/>
      <c r="AG22" s="1562"/>
      <c r="AH22" s="1562"/>
      <c r="AI22" s="1562"/>
      <c r="AJ22" s="1562"/>
      <c r="AK22" s="1562"/>
      <c r="AL22" s="1562"/>
      <c r="AM22" s="1562"/>
      <c r="AN22" s="1562"/>
      <c r="AO22" s="1562"/>
      <c r="AP22" s="1562"/>
      <c r="AQ22" s="1562"/>
      <c r="AR22" s="1562"/>
      <c r="AS22" s="1562"/>
      <c r="AT22" s="1562"/>
      <c r="AU22" s="1562"/>
      <c r="AV22" s="1562"/>
      <c r="AW22" s="1562"/>
      <c r="AX22" s="1562"/>
      <c r="AY22" s="1562"/>
      <c r="AZ22" s="1562"/>
      <c r="BA22" s="1562"/>
      <c r="BB22" s="1561"/>
      <c r="BC22" s="1561"/>
      <c r="BD22" s="1561"/>
      <c r="BE22" s="1561"/>
      <c r="BF22" s="1561"/>
      <c r="BG22" s="1561"/>
      <c r="BH22" s="1561"/>
    </row>
    <row r="23" spans="1:60" ht="12.75" customHeight="1" x14ac:dyDescent="0.35">
      <c r="A23" s="1561"/>
      <c r="B23" s="1561"/>
      <c r="D23" s="1493"/>
      <c r="E23" s="1493"/>
      <c r="F23" s="1493"/>
      <c r="G23" s="1493"/>
      <c r="H23" s="1493"/>
      <c r="I23" s="1493"/>
      <c r="J23" s="1493"/>
      <c r="K23" s="1493"/>
      <c r="M23" s="1561"/>
      <c r="N23"/>
      <c r="O23"/>
      <c r="P23"/>
      <c r="Q23"/>
      <c r="T23"/>
      <c r="U23"/>
      <c r="V23"/>
      <c r="W23"/>
      <c r="AA23"/>
      <c r="AB23"/>
      <c r="AC23"/>
      <c r="AD23" s="1562"/>
      <c r="AE23" s="1562"/>
      <c r="AF23" s="1562"/>
      <c r="AG23" s="1562"/>
      <c r="AH23" s="1562"/>
      <c r="AI23" s="1562"/>
      <c r="AJ23" s="1562"/>
      <c r="AK23" s="1562"/>
      <c r="AL23" s="1562"/>
      <c r="AM23" s="1562"/>
      <c r="AN23" s="1562"/>
      <c r="AO23" s="1562"/>
      <c r="AP23" s="1562"/>
      <c r="AQ23" s="1562"/>
      <c r="AR23" s="1562"/>
      <c r="AS23" s="1562"/>
      <c r="AT23" s="1562"/>
      <c r="AU23" s="1562"/>
      <c r="AV23" s="1562"/>
      <c r="AW23" s="1562"/>
      <c r="AX23" s="1562"/>
      <c r="AY23" s="1562"/>
      <c r="AZ23" s="1562"/>
      <c r="BA23" s="1562"/>
      <c r="BB23" s="1561"/>
      <c r="BC23" s="1561"/>
      <c r="BD23" s="1561"/>
      <c r="BE23" s="1561"/>
      <c r="BF23" s="1561"/>
      <c r="BG23" s="1561"/>
      <c r="BH23" s="1561"/>
    </row>
    <row r="24" spans="1:60" ht="12.75" customHeight="1" x14ac:dyDescent="0.35">
      <c r="A24" s="1561"/>
      <c r="B24" s="1561"/>
      <c r="D24" s="1425"/>
      <c r="E24" s="1425"/>
      <c r="F24" s="1583"/>
      <c r="G24" s="1425"/>
      <c r="H24" s="1584"/>
      <c r="I24" s="1585"/>
      <c r="J24" s="1425"/>
      <c r="K24" s="1425"/>
      <c r="M24" s="1561"/>
      <c r="AA24"/>
      <c r="AB24"/>
      <c r="AC24"/>
      <c r="AD24" s="1562"/>
      <c r="AE24" s="1562"/>
      <c r="AF24" s="1562"/>
      <c r="AG24" s="1562"/>
      <c r="AH24" s="1562"/>
      <c r="AI24" s="1562"/>
      <c r="AJ24" s="1562"/>
      <c r="AK24" s="1562"/>
      <c r="AL24" s="1562"/>
      <c r="AM24" s="1562"/>
      <c r="AN24" s="1562"/>
      <c r="AO24" s="1562"/>
      <c r="AP24" s="1562"/>
      <c r="AQ24" s="1562"/>
      <c r="AR24" s="1562"/>
      <c r="AS24" s="1562"/>
      <c r="AT24" s="1562"/>
      <c r="AU24" s="1562"/>
      <c r="AV24" s="1562"/>
      <c r="AW24" s="1562"/>
      <c r="AX24" s="1562"/>
      <c r="AY24" s="1562"/>
      <c r="AZ24" s="1562"/>
      <c r="BA24" s="1562"/>
      <c r="BB24" s="1561"/>
      <c r="BC24" s="1561"/>
      <c r="BD24" s="1561"/>
      <c r="BE24" s="1561"/>
      <c r="BF24" s="1561"/>
      <c r="BG24" s="1561"/>
      <c r="BH24" s="1561"/>
    </row>
    <row r="25" spans="1:60" ht="16.5" customHeight="1" x14ac:dyDescent="0.35">
      <c r="A25" s="1561"/>
      <c r="B25" s="1561"/>
      <c r="D25"/>
      <c r="E25"/>
      <c r="F25" s="1586"/>
      <c r="G25" s="1712"/>
      <c r="H25" s="1712" t="str">
        <f>V29</f>
        <v/>
      </c>
      <c r="M25" s="1561"/>
      <c r="N25" s="1564" t="s">
        <v>552</v>
      </c>
      <c r="O25" s="1564" t="s">
        <v>553</v>
      </c>
      <c r="AA25"/>
      <c r="AB25"/>
      <c r="AC25"/>
      <c r="AD25" s="1562"/>
      <c r="AE25" s="1562"/>
      <c r="AF25" s="1562"/>
      <c r="AG25" s="1562"/>
      <c r="AH25" s="1562"/>
      <c r="AI25" s="1562"/>
      <c r="AJ25" s="1562"/>
      <c r="AK25" s="1562"/>
      <c r="AL25" s="1562"/>
      <c r="AM25" s="1562"/>
      <c r="AN25" s="1562"/>
      <c r="AO25" s="1562"/>
      <c r="AP25" s="1562"/>
      <c r="AQ25" s="1562"/>
      <c r="AR25" s="1562"/>
      <c r="AS25" s="1562"/>
      <c r="AT25" s="1562"/>
      <c r="AU25" s="1562"/>
      <c r="AV25" s="1562"/>
      <c r="AW25" s="1562"/>
      <c r="AX25" s="1562"/>
      <c r="AY25" s="1562"/>
      <c r="AZ25" s="1562"/>
      <c r="BA25" s="1562"/>
      <c r="BB25" s="1561"/>
      <c r="BC25" s="1561"/>
      <c r="BD25" s="1561"/>
      <c r="BE25" s="1561"/>
      <c r="BF25" s="1561"/>
      <c r="BG25" s="1561"/>
      <c r="BH25" s="1561"/>
    </row>
    <row r="26" spans="1:60" ht="12.75" customHeight="1" x14ac:dyDescent="0.35">
      <c r="A26" s="1561"/>
      <c r="B26" s="1561"/>
      <c r="D26"/>
      <c r="E26"/>
      <c r="F26" s="1407" t="s">
        <v>98</v>
      </c>
      <c r="G26" s="1587" t="str">
        <f>IF(G18="","",G18)</f>
        <v/>
      </c>
      <c r="H26" s="1588"/>
      <c r="J26" s="1587">
        <f>IF(J18="","",J18)</f>
        <v>0</v>
      </c>
      <c r="K26" s="1589"/>
      <c r="M26" s="1561"/>
      <c r="N26" s="1564"/>
      <c r="O26" s="1564"/>
      <c r="P26" s="1702" t="s">
        <v>99</v>
      </c>
      <c r="Q26" s="1703">
        <f>rjscalc1!D11</f>
        <v>15000</v>
      </c>
      <c r="R26" s="1704"/>
      <c r="S26" s="1705">
        <f>Q26</f>
        <v>15000</v>
      </c>
      <c r="AA26"/>
      <c r="AB26"/>
      <c r="AC26"/>
      <c r="AD26" s="1562"/>
      <c r="AE26" s="1562"/>
      <c r="AF26" s="1562"/>
      <c r="AG26" s="1562"/>
      <c r="AH26" s="1562"/>
      <c r="AI26" s="1562"/>
      <c r="AJ26" s="1562"/>
      <c r="AK26" s="1562"/>
      <c r="AL26" s="1562"/>
      <c r="AM26" s="1562"/>
      <c r="AN26" s="1562"/>
      <c r="AO26" s="1562"/>
      <c r="AP26" s="1562"/>
      <c r="AQ26" s="1562"/>
      <c r="AR26" s="1562"/>
      <c r="AS26" s="1562"/>
      <c r="AT26" s="1562"/>
      <c r="AU26" s="1562"/>
      <c r="AV26" s="1562"/>
      <c r="AW26" s="1562"/>
      <c r="AX26" s="1562"/>
      <c r="AY26" s="1562"/>
      <c r="AZ26" s="1562"/>
      <c r="BA26" s="1562"/>
      <c r="BB26" s="1561"/>
      <c r="BC26" s="1561"/>
      <c r="BD26" s="1561"/>
      <c r="BE26" s="1561"/>
      <c r="BF26" s="1561"/>
      <c r="BG26" s="1561"/>
      <c r="BH26" s="1561"/>
    </row>
    <row r="27" spans="1:60" ht="12.75" customHeight="1" x14ac:dyDescent="0.35">
      <c r="A27" s="1561"/>
      <c r="B27" s="1561"/>
      <c r="C27" s="1588"/>
      <c r="D27"/>
      <c r="E27"/>
      <c r="F27" s="1407" t="s">
        <v>100</v>
      </c>
      <c r="G27" s="1590"/>
      <c r="I27" s="1407" t="str">
        <f t="shared" ref="I27:J29" si="2">F27</f>
        <v>R</v>
      </c>
      <c r="J27" s="1590">
        <f t="shared" si="2"/>
        <v>0</v>
      </c>
      <c r="M27" s="1561"/>
      <c r="N27" s="1564" t="b">
        <f>G27&gt;0</f>
        <v>0</v>
      </c>
      <c r="O27" s="1564" t="b">
        <f>J27&gt;0</f>
        <v>0</v>
      </c>
      <c r="P27" s="1706" t="s">
        <v>558</v>
      </c>
      <c r="Q27" s="1707" t="b">
        <v>0</v>
      </c>
      <c r="R27" s="1699" t="str">
        <f>P27</f>
        <v>small tic</v>
      </c>
      <c r="S27" s="1708" t="b">
        <v>0</v>
      </c>
      <c r="U27" s="1591" t="s">
        <v>101</v>
      </c>
      <c r="V27" s="1564" t="b">
        <f>AND(O20=TRUE,OR(Q28=TRUE,O19=TRUE,O21=TRUE))</f>
        <v>0</v>
      </c>
      <c r="W27" s="1591" t="s">
        <v>102</v>
      </c>
      <c r="X27" s="1564" t="b">
        <f>AND(P20=TRUE,OR(P19=TRUE,S28=TRUE,P21=TRUE))</f>
        <v>0</v>
      </c>
      <c r="AA27"/>
      <c r="AB27"/>
      <c r="AC27"/>
      <c r="AD27" s="1562"/>
      <c r="AE27" s="1562"/>
      <c r="AF27" s="1562"/>
      <c r="AG27" s="1562"/>
      <c r="AH27" s="1562"/>
      <c r="AI27" s="1562"/>
      <c r="AJ27" s="1562"/>
      <c r="AK27" s="1562"/>
      <c r="AL27" s="1562"/>
      <c r="AM27" s="1562"/>
      <c r="AN27" s="1562"/>
      <c r="AO27" s="1562"/>
      <c r="AP27" s="1562"/>
      <c r="AQ27" s="1562"/>
      <c r="AR27" s="1562"/>
      <c r="AS27" s="1562"/>
      <c r="AT27" s="1562"/>
      <c r="AU27" s="1562"/>
      <c r="AV27" s="1562"/>
      <c r="AW27" s="1562"/>
      <c r="AX27" s="1562"/>
      <c r="AY27" s="1562"/>
      <c r="AZ27" s="1562"/>
      <c r="BA27" s="1562"/>
      <c r="BB27" s="1561"/>
      <c r="BC27" s="1561"/>
      <c r="BD27" s="1561"/>
      <c r="BE27" s="1561"/>
      <c r="BF27" s="1561"/>
      <c r="BG27" s="1561"/>
      <c r="BH27" s="1561"/>
    </row>
    <row r="28" spans="1:60" ht="12.75" customHeight="1" x14ac:dyDescent="0.35">
      <c r="A28" s="1561"/>
      <c r="B28" s="1561"/>
      <c r="C28" s="1588"/>
      <c r="D28"/>
      <c r="E28"/>
      <c r="F28" s="1407" t="str">
        <f>IF(G28=""," enter J &gt;","J")</f>
        <v xml:space="preserve"> enter J &gt;</v>
      </c>
      <c r="G28" s="1592"/>
      <c r="I28" s="1407" t="str">
        <f t="shared" si="2"/>
        <v xml:space="preserve"> enter J &gt;</v>
      </c>
      <c r="J28" s="1592">
        <f t="shared" si="2"/>
        <v>0</v>
      </c>
      <c r="M28" s="1561"/>
      <c r="N28" s="1564" t="b">
        <f>G28&gt;0</f>
        <v>0</v>
      </c>
      <c r="O28" s="1564" t="b">
        <f>J28&gt;0</f>
        <v>0</v>
      </c>
      <c r="P28" s="1709" t="s">
        <v>319</v>
      </c>
      <c r="Q28" s="1710" t="b">
        <f>AND(Q27=TRUE,G28&lt;Q26)</f>
        <v>0</v>
      </c>
      <c r="R28" s="1710" t="str">
        <f>P28</f>
        <v>small</v>
      </c>
      <c r="S28" s="1711" t="b">
        <f>AND(S27=TRUE,J28&lt;S26)</f>
        <v>0</v>
      </c>
      <c r="U28" s="1591" t="s">
        <v>103</v>
      </c>
      <c r="V28" s="1564" t="b">
        <f>AND(O19=TRUE,Q28=TRUE)</f>
        <v>0</v>
      </c>
      <c r="W28" s="1564" t="str">
        <f>U28</f>
        <v>ch an sm</v>
      </c>
      <c r="X28" s="1564" t="b">
        <f>AND(P19=TRUE,S28=TRUE)</f>
        <v>0</v>
      </c>
      <c r="AA28"/>
      <c r="AB28"/>
      <c r="AC28"/>
      <c r="AD28" s="1562"/>
      <c r="AE28" s="1562"/>
      <c r="AF28" s="1562"/>
      <c r="AG28" s="1562"/>
      <c r="AH28" s="1562"/>
      <c r="AI28" s="1562"/>
      <c r="AJ28" s="1562"/>
      <c r="AK28" s="1562"/>
      <c r="AL28" s="1562"/>
      <c r="AM28" s="1562"/>
      <c r="AN28" s="1562"/>
      <c r="AO28" s="1562"/>
      <c r="AP28" s="1562"/>
      <c r="AQ28" s="1562"/>
      <c r="AR28" s="1562"/>
      <c r="AS28" s="1562"/>
      <c r="AT28" s="1562"/>
      <c r="AU28" s="1562"/>
      <c r="AV28" s="1562"/>
      <c r="AW28" s="1562"/>
      <c r="AX28" s="1562"/>
      <c r="AY28" s="1562"/>
      <c r="AZ28" s="1562"/>
      <c r="BA28" s="1562"/>
      <c r="BB28" s="1561"/>
      <c r="BC28" s="1561"/>
      <c r="BD28" s="1561"/>
      <c r="BE28" s="1561"/>
      <c r="BF28" s="1561"/>
      <c r="BG28" s="1561"/>
      <c r="BH28" s="1561"/>
    </row>
    <row r="29" spans="1:60" ht="12.75" customHeight="1" x14ac:dyDescent="0.35">
      <c r="A29" s="1561"/>
      <c r="B29" s="1561"/>
      <c r="C29" s="1588"/>
      <c r="D29"/>
      <c r="E29"/>
      <c r="F29" s="1407" t="s">
        <v>104</v>
      </c>
      <c r="G29" s="1592"/>
      <c r="I29" s="1407" t="str">
        <f t="shared" si="2"/>
        <v>S</v>
      </c>
      <c r="J29" s="1592">
        <f t="shared" si="2"/>
        <v>0</v>
      </c>
      <c r="M29" s="1561"/>
      <c r="N29" s="1564" t="b">
        <f>G29&gt;0</f>
        <v>0</v>
      </c>
      <c r="O29" s="1564" t="b">
        <f>J29&gt;0</f>
        <v>0</v>
      </c>
      <c r="P29"/>
      <c r="Q29"/>
      <c r="R29"/>
      <c r="S29"/>
      <c r="U29" s="1591" t="s">
        <v>105</v>
      </c>
      <c r="V29" s="1564" t="str">
        <f>IF(OR(V27=TRUE,X27=TRUE),"Empty can't apply with Charity, Retail, or SBRR",IF(OR(V28=TRUE,X28=TRUE),"Charity can't apply with SBRR",""))</f>
        <v/>
      </c>
      <c r="W29" s="1564"/>
      <c r="X29" s="1564"/>
      <c r="AA29"/>
      <c r="AB29"/>
      <c r="AC29"/>
      <c r="AD29" s="1562"/>
      <c r="AE29" s="1562"/>
      <c r="AF29" s="1562"/>
      <c r="AG29" s="1562"/>
      <c r="AH29" s="1562"/>
      <c r="AI29" s="1562"/>
      <c r="AJ29" s="1562"/>
      <c r="AK29" s="1562"/>
      <c r="AL29" s="1562"/>
      <c r="AM29" s="1562"/>
      <c r="AN29" s="1562"/>
      <c r="AO29" s="1562"/>
      <c r="AP29" s="1562"/>
      <c r="AQ29" s="1562"/>
      <c r="AR29" s="1562"/>
      <c r="AS29" s="1562"/>
      <c r="AT29" s="1562"/>
      <c r="AU29" s="1562"/>
      <c r="AV29" s="1562"/>
      <c r="AW29" s="1562"/>
      <c r="AX29" s="1562"/>
      <c r="AY29" s="1562"/>
      <c r="AZ29" s="1562"/>
      <c r="BA29" s="1562"/>
      <c r="BB29" s="1561"/>
      <c r="BC29" s="1561"/>
      <c r="BD29" s="1561"/>
      <c r="BE29" s="1561"/>
      <c r="BF29" s="1561"/>
      <c r="BG29" s="1561"/>
      <c r="BH29" s="1561"/>
    </row>
    <row r="30" spans="1:60" ht="12.75" customHeight="1" x14ac:dyDescent="0.35">
      <c r="A30" s="1561"/>
      <c r="B30" s="1561"/>
      <c r="C30" s="1588"/>
      <c r="D30"/>
      <c r="E30"/>
      <c r="F30" s="1407" t="s">
        <v>106</v>
      </c>
      <c r="G30" s="1593">
        <f>IF(OR(G27="",G27=0,G28="",G28=0),0,G27*G28/G29)</f>
        <v>0</v>
      </c>
      <c r="I30" s="1407" t="str">
        <f>F30</f>
        <v>R x J / S</v>
      </c>
      <c r="J30" s="1593">
        <f>IF(OR(J27="",J27=0,J28="",J28=0),0,J27*J28/J29)</f>
        <v>0</v>
      </c>
      <c r="M30" s="1561"/>
      <c r="N30" s="1571">
        <f>N27+N28+N29</f>
        <v>0</v>
      </c>
      <c r="O30" s="1571">
        <f>(O27+O28+O29)*X30</f>
        <v>0</v>
      </c>
      <c r="P30"/>
      <c r="Q30"/>
      <c r="R30"/>
      <c r="S30"/>
      <c r="U30" s="1594" t="s">
        <v>337</v>
      </c>
      <c r="V30" s="1493" t="b">
        <f>V27+V28=0</f>
        <v>1</v>
      </c>
      <c r="X30" s="1493" t="b">
        <f>X27+X28=0</f>
        <v>1</v>
      </c>
      <c r="AA30"/>
      <c r="AB30"/>
      <c r="AC30"/>
      <c r="AD30" s="1562"/>
      <c r="AE30" s="1562"/>
      <c r="AF30" s="1562"/>
      <c r="AG30" s="1562"/>
      <c r="AH30" s="1562"/>
      <c r="AI30" s="1562"/>
      <c r="AJ30" s="1562"/>
      <c r="AK30" s="1562"/>
      <c r="AL30" s="1562"/>
      <c r="AM30" s="1562"/>
      <c r="AN30" s="1562"/>
      <c r="AO30" s="1562"/>
      <c r="AP30" s="1562"/>
      <c r="AQ30" s="1562"/>
      <c r="AR30" s="1562"/>
      <c r="AS30" s="1562"/>
      <c r="AT30" s="1562"/>
      <c r="AU30" s="1562"/>
      <c r="AV30" s="1562"/>
      <c r="AW30" s="1562"/>
      <c r="AX30" s="1562"/>
      <c r="AY30" s="1562"/>
      <c r="AZ30" s="1562"/>
      <c r="BA30" s="1562"/>
      <c r="BB30" s="1561"/>
      <c r="BC30" s="1561"/>
      <c r="BD30" s="1561"/>
      <c r="BE30" s="1561"/>
      <c r="BF30" s="1561"/>
      <c r="BG30" s="1561"/>
      <c r="BH30" s="1561"/>
    </row>
    <row r="31" spans="1:60" ht="14.5" x14ac:dyDescent="0.35">
      <c r="A31" s="1561"/>
      <c r="B31" s="1561"/>
      <c r="C31" s="1588"/>
      <c r="D31"/>
      <c r="E31"/>
      <c r="G31" s="1712" t="str">
        <f>IF(AND(Q27=TRUE,Q28=FALSE),"*RV too High for SBRR","")</f>
        <v/>
      </c>
      <c r="J31" s="1712" t="str">
        <f>IF(AND(S27=TRUE,S28=FALSE),"*RV too High for SBRR","")</f>
        <v/>
      </c>
      <c r="M31" s="1561"/>
      <c r="N31" s="1564" t="b">
        <f>N30=3</f>
        <v>0</v>
      </c>
      <c r="O31" s="1564" t="b">
        <f>O30=3</f>
        <v>0</v>
      </c>
      <c r="P31"/>
      <c r="Q31"/>
      <c r="R31"/>
      <c r="S31"/>
      <c r="AA31"/>
      <c r="AB31"/>
      <c r="AC31"/>
      <c r="AD31" s="1562"/>
      <c r="AE31" s="1562"/>
      <c r="AF31" s="1562"/>
      <c r="AG31" s="1562"/>
      <c r="AH31" s="1562"/>
      <c r="AI31" s="1562"/>
      <c r="AJ31" s="1562"/>
      <c r="AK31" s="1562"/>
      <c r="AL31" s="1562"/>
      <c r="AM31" s="1562"/>
      <c r="AN31" s="1562"/>
      <c r="AO31" s="1562"/>
      <c r="AP31" s="1562"/>
      <c r="AQ31" s="1562"/>
      <c r="AR31" s="1562"/>
      <c r="AS31" s="1562"/>
      <c r="AT31" s="1562"/>
      <c r="AU31" s="1562"/>
      <c r="AV31" s="1562"/>
      <c r="AW31" s="1562"/>
      <c r="AX31" s="1562"/>
      <c r="AY31" s="1562"/>
      <c r="AZ31" s="1562"/>
      <c r="BA31" s="1562"/>
      <c r="BB31" s="1561"/>
      <c r="BC31" s="1561"/>
      <c r="BD31" s="1561"/>
      <c r="BE31" s="1561"/>
      <c r="BF31" s="1561"/>
      <c r="BG31" s="1561"/>
      <c r="BH31" s="1561"/>
    </row>
    <row r="32" spans="1:60" ht="12.75" customHeight="1" x14ac:dyDescent="0.35">
      <c r="A32" s="1561"/>
      <c r="B32" s="1561"/>
      <c r="D32" s="1425"/>
      <c r="E32" s="1425"/>
      <c r="F32" s="1595"/>
      <c r="G32" s="1585" t="str">
        <f>IF(N30&lt;&gt;3,"Please enter R, J and S","")</f>
        <v>Please enter R, J and S</v>
      </c>
      <c r="H32" s="1425"/>
      <c r="I32" s="1425"/>
      <c r="J32" s="1585" t="str">
        <f>IF(O27+O28+O29&lt;&gt;3,"Please enter R, J and S","")</f>
        <v>Please enter R, J and S</v>
      </c>
      <c r="K32" s="1425"/>
      <c r="M32" s="1561"/>
      <c r="N32" s="503" t="s">
        <v>560</v>
      </c>
      <c r="O32" s="1577" t="b">
        <v>1</v>
      </c>
      <c r="AA32"/>
      <c r="AB32"/>
      <c r="AC32"/>
      <c r="AD32" s="1562"/>
      <c r="AE32" s="1562"/>
      <c r="AF32" s="1562"/>
      <c r="AG32" s="1562"/>
      <c r="AH32" s="1562"/>
      <c r="AI32" s="1562"/>
      <c r="AJ32" s="1562"/>
      <c r="AK32" s="1562"/>
      <c r="AL32" s="1562"/>
      <c r="AM32" s="1562"/>
      <c r="AN32" s="1562"/>
      <c r="AO32" s="1562"/>
      <c r="AP32" s="1562"/>
      <c r="AQ32" s="1562"/>
      <c r="AR32" s="1562"/>
      <c r="AS32" s="1562"/>
      <c r="AT32" s="1562"/>
      <c r="AU32" s="1562"/>
      <c r="AV32" s="1562"/>
      <c r="AW32" s="1562"/>
      <c r="AX32" s="1562"/>
      <c r="AY32" s="1562"/>
      <c r="AZ32" s="1562"/>
      <c r="BA32" s="1562"/>
      <c r="BB32" s="1561"/>
      <c r="BC32" s="1561"/>
      <c r="BD32" s="1561"/>
      <c r="BE32" s="1561"/>
      <c r="BF32" s="1561"/>
      <c r="BG32" s="1561"/>
      <c r="BH32" s="1561"/>
    </row>
    <row r="33" spans="1:60" ht="14.5" x14ac:dyDescent="0.35">
      <c r="A33" s="1561"/>
      <c r="B33" s="1561"/>
      <c r="D33" s="1596" t="str">
        <f>basic!D22</f>
        <v>England</v>
      </c>
      <c r="E33" s="1436"/>
      <c r="F33" s="1436"/>
      <c r="G33" s="1436"/>
      <c r="H33" s="1436"/>
      <c r="I33" s="1436"/>
      <c r="J33" s="1436"/>
      <c r="K33" s="1436"/>
      <c r="M33" s="1561"/>
      <c r="AA33"/>
      <c r="AB33"/>
      <c r="AC33"/>
      <c r="AD33" s="1562"/>
      <c r="AE33" s="1562"/>
      <c r="AF33" s="1562"/>
      <c r="AG33" s="1562"/>
      <c r="AH33" s="1562"/>
      <c r="AI33" s="1562"/>
      <c r="AJ33" s="1562"/>
      <c r="AK33" s="1562"/>
      <c r="AL33" s="1562"/>
      <c r="AM33" s="1562"/>
      <c r="AN33" s="1562"/>
      <c r="AO33" s="1562"/>
      <c r="AP33" s="1562"/>
      <c r="AQ33" s="1562"/>
      <c r="AR33" s="1562"/>
      <c r="AS33" s="1562"/>
      <c r="AT33" s="1562"/>
      <c r="AU33" s="1562"/>
      <c r="AV33" s="1562"/>
      <c r="AW33" s="1562"/>
      <c r="AX33" s="1562"/>
      <c r="AY33" s="1562"/>
      <c r="AZ33" s="1562"/>
      <c r="BA33" s="1562"/>
      <c r="BB33" s="1561"/>
      <c r="BC33" s="1561"/>
      <c r="BD33" s="1561"/>
      <c r="BE33" s="1561"/>
      <c r="BF33" s="1561"/>
      <c r="BG33" s="1561"/>
      <c r="BH33" s="1561"/>
    </row>
    <row r="34" spans="1:60" ht="24" customHeight="1" x14ac:dyDescent="0.35">
      <c r="A34" s="1561"/>
      <c r="B34" s="1561"/>
      <c r="D34" s="1713" t="str">
        <f>IF(Q28=TRUE,"SBRR Applies","")</f>
        <v/>
      </c>
      <c r="E34" s="1436"/>
      <c r="F34" s="1436"/>
      <c r="G34" s="1598"/>
      <c r="H34" s="1436"/>
      <c r="I34" s="1713" t="str">
        <f>IF(S28=TRUE,"SBRR Applies","")</f>
        <v/>
      </c>
      <c r="J34" s="1436"/>
      <c r="K34" s="1436"/>
      <c r="M34" s="1561"/>
      <c r="O34" s="503" t="b">
        <f>OR(G27="",G28="",G29="",(N31+O31+V30+X30)=4)</f>
        <v>1</v>
      </c>
      <c r="P34"/>
      <c r="Q34"/>
      <c r="R34"/>
      <c r="S34"/>
      <c r="T34"/>
      <c r="U34"/>
      <c r="V34"/>
      <c r="W34"/>
      <c r="X34"/>
      <c r="Y34"/>
      <c r="Z34"/>
      <c r="AA34"/>
      <c r="AB34"/>
      <c r="AC34"/>
      <c r="AD34" s="1562"/>
      <c r="AE34" s="1562"/>
      <c r="AF34" s="1562"/>
      <c r="AG34" s="1562"/>
      <c r="AH34" s="1562"/>
      <c r="AI34" s="1562"/>
      <c r="AJ34" s="1562"/>
      <c r="AK34" s="1562"/>
      <c r="AL34" s="1562"/>
      <c r="AM34" s="1562"/>
      <c r="AN34" s="1562"/>
      <c r="AO34" s="1562"/>
      <c r="AP34" s="1562"/>
      <c r="AQ34" s="1562"/>
      <c r="AR34" s="1562"/>
      <c r="AS34" s="1562"/>
      <c r="AT34" s="1562"/>
      <c r="AU34" s="1562"/>
      <c r="AV34" s="1562"/>
      <c r="AW34" s="1562"/>
      <c r="AX34" s="1562"/>
      <c r="AY34" s="1562"/>
      <c r="AZ34" s="1562"/>
      <c r="BA34" s="1562"/>
      <c r="BB34" s="1561"/>
      <c r="BC34" s="1561"/>
      <c r="BD34" s="1561"/>
      <c r="BE34" s="1561"/>
      <c r="BF34" s="1561"/>
      <c r="BG34" s="1561"/>
      <c r="BH34" s="1561"/>
    </row>
    <row r="35" spans="1:60" ht="14.5" x14ac:dyDescent="0.35">
      <c r="A35" s="1561"/>
      <c r="B35" s="1561"/>
      <c r="D35" s="1599" t="s">
        <v>992</v>
      </c>
      <c r="E35" s="1436"/>
      <c r="F35" s="1600"/>
      <c r="G35" s="1600" t="s">
        <v>2415</v>
      </c>
      <c r="H35" s="1436"/>
      <c r="I35" s="1601"/>
      <c r="J35" s="1602" t="s">
        <v>2415</v>
      </c>
      <c r="K35" s="1603" t="str">
        <f>IF(O32=TRUE,"Saving","")</f>
        <v>Saving</v>
      </c>
      <c r="M35" s="1561"/>
      <c r="O35"/>
      <c r="P35"/>
      <c r="Q35"/>
      <c r="R35"/>
      <c r="S35"/>
      <c r="T35"/>
      <c r="U35"/>
      <c r="V35"/>
      <c r="W35"/>
      <c r="X35"/>
      <c r="Y35"/>
      <c r="Z35"/>
      <c r="AA35"/>
      <c r="AB35"/>
      <c r="AC35"/>
      <c r="AD35" s="1562"/>
      <c r="AE35" s="1562"/>
      <c r="AF35" s="1562"/>
      <c r="AG35" s="1562"/>
      <c r="AH35" s="1562"/>
      <c r="AI35" s="1562"/>
      <c r="AJ35" s="1562"/>
      <c r="AK35" s="1562"/>
      <c r="AL35" s="1562"/>
      <c r="AM35" s="1562"/>
      <c r="AN35" s="1562"/>
      <c r="AO35" s="1562"/>
      <c r="AP35" s="1562"/>
      <c r="AQ35" s="1562"/>
      <c r="AR35" s="1562"/>
      <c r="AS35" s="1562"/>
      <c r="AT35" s="1562"/>
      <c r="AU35" s="1562"/>
      <c r="AV35" s="1562"/>
      <c r="AW35" s="1562"/>
      <c r="AX35" s="1562"/>
      <c r="AY35" s="1562"/>
      <c r="AZ35" s="1562"/>
      <c r="BA35" s="1562"/>
      <c r="BB35" s="1561"/>
      <c r="BC35" s="1561"/>
      <c r="BD35" s="1561"/>
      <c r="BE35" s="1561"/>
      <c r="BF35" s="1561"/>
      <c r="BG35" s="1561"/>
      <c r="BH35" s="1561"/>
    </row>
    <row r="36" spans="1:60" ht="18" customHeight="1" x14ac:dyDescent="0.35">
      <c r="A36" s="1561"/>
      <c r="B36" s="1561"/>
      <c r="D36" s="1604" t="str">
        <f>basic!D15</f>
        <v xml:space="preserve">2023/24 </v>
      </c>
      <c r="E36" s="1436"/>
      <c r="F36" s="1436" t="str">
        <f>rjscalc1!D17</f>
        <v>R x J/S</v>
      </c>
      <c r="G36" s="1453">
        <f ca="1">rjscalc1!D94*Z1</f>
        <v>0</v>
      </c>
      <c r="H36" s="1436"/>
      <c r="I36" s="1601" t="str">
        <f>rjscalc2!D17</f>
        <v>R x J/S</v>
      </c>
      <c r="J36" s="1605">
        <f ca="1">rjscalc2!D94*Z1</f>
        <v>0</v>
      </c>
      <c r="K36" s="1606">
        <f ca="1">IF($O$32=TRUE,G36-J36,"")</f>
        <v>0</v>
      </c>
      <c r="M36" s="1561"/>
      <c r="N36" s="1493" t="b">
        <f ca="1">K36&lt;0</f>
        <v>0</v>
      </c>
      <c r="O36"/>
      <c r="P36"/>
      <c r="Q36"/>
      <c r="R36"/>
      <c r="S36"/>
      <c r="T36"/>
      <c r="U36"/>
      <c r="V36"/>
      <c r="W36"/>
      <c r="X36"/>
      <c r="Y36"/>
      <c r="Z36"/>
      <c r="AA36"/>
      <c r="AB36"/>
      <c r="AC36"/>
      <c r="AD36" s="1562"/>
      <c r="AE36" s="1562"/>
      <c r="AF36" s="1562"/>
      <c r="AG36" s="1562"/>
      <c r="AH36" s="1562"/>
      <c r="AI36" s="1562"/>
      <c r="AJ36" s="1562"/>
      <c r="AK36" s="1562"/>
      <c r="AL36" s="1562"/>
      <c r="AM36" s="1562"/>
      <c r="AN36" s="1562"/>
      <c r="AO36" s="1562"/>
      <c r="AP36" s="1562"/>
      <c r="AQ36" s="1562"/>
      <c r="AR36" s="1562"/>
      <c r="AS36" s="1562"/>
      <c r="AT36" s="1562"/>
      <c r="AU36" s="1562"/>
      <c r="AV36" s="1562"/>
      <c r="AW36" s="1562"/>
      <c r="AX36" s="1562"/>
      <c r="AY36" s="1562"/>
      <c r="AZ36" s="1562"/>
      <c r="BA36" s="1562"/>
      <c r="BB36" s="1561"/>
      <c r="BC36" s="1561"/>
      <c r="BD36" s="1561"/>
      <c r="BE36" s="1561"/>
      <c r="BF36" s="1561"/>
      <c r="BG36" s="1561"/>
      <c r="BH36" s="1561"/>
    </row>
    <row r="37" spans="1:60" ht="18" customHeight="1" x14ac:dyDescent="0.35">
      <c r="A37" s="1561"/>
      <c r="B37" s="1561"/>
      <c r="D37" s="1604" t="str">
        <f>basic!D16</f>
        <v xml:space="preserve">2024/25 </v>
      </c>
      <c r="E37" s="1436"/>
      <c r="F37" s="1436" t="str">
        <f>rjscalc1!E17</f>
        <v>True</v>
      </c>
      <c r="G37" s="1453">
        <f ca="1">rjscalc1!E94*Z1</f>
        <v>0</v>
      </c>
      <c r="H37" s="1436"/>
      <c r="I37" s="1601" t="str">
        <f>rjscalc2!E17</f>
        <v>True</v>
      </c>
      <c r="J37" s="1605">
        <f ca="1">rjscalc2!E94*Z1</f>
        <v>0</v>
      </c>
      <c r="K37" s="1606">
        <f ca="1">IF($O$32=TRUE,G37-J37,"")</f>
        <v>0</v>
      </c>
      <c r="M37" s="1561"/>
      <c r="N37" s="1493" t="b">
        <f ca="1">K37&lt;0</f>
        <v>0</v>
      </c>
      <c r="O37"/>
      <c r="P37"/>
      <c r="Q37"/>
      <c r="R37"/>
      <c r="S37"/>
      <c r="T37"/>
      <c r="U37"/>
      <c r="V37"/>
      <c r="W37"/>
      <c r="X37"/>
      <c r="Y37"/>
      <c r="Z37"/>
      <c r="AA37"/>
      <c r="AB37"/>
      <c r="AC37"/>
      <c r="AD37" s="1562"/>
      <c r="AE37" s="1562"/>
      <c r="AF37" s="1562"/>
      <c r="AG37" s="1562"/>
      <c r="AH37" s="1562"/>
      <c r="AI37" s="1562"/>
      <c r="AJ37" s="1562"/>
      <c r="AK37" s="1562"/>
      <c r="AL37" s="1562"/>
      <c r="AM37" s="1562"/>
      <c r="AN37" s="1562"/>
      <c r="AO37" s="1562"/>
      <c r="AP37" s="1562"/>
      <c r="AQ37" s="1562"/>
      <c r="AR37" s="1562"/>
      <c r="AS37" s="1562"/>
      <c r="AT37" s="1562"/>
      <c r="AU37" s="1562"/>
      <c r="AV37" s="1562"/>
      <c r="AW37" s="1562"/>
      <c r="AX37" s="1562"/>
      <c r="AY37" s="1562"/>
      <c r="AZ37" s="1562"/>
      <c r="BA37" s="1562"/>
      <c r="BB37" s="1561"/>
      <c r="BC37" s="1561"/>
      <c r="BD37" s="1561"/>
      <c r="BE37" s="1561"/>
      <c r="BF37" s="1561"/>
      <c r="BG37" s="1561"/>
      <c r="BH37" s="1561"/>
    </row>
    <row r="38" spans="1:60" ht="18" customHeight="1" x14ac:dyDescent="0.35">
      <c r="A38" s="1561"/>
      <c r="B38" s="1561"/>
      <c r="D38" s="1604" t="str">
        <f>basic!D17</f>
        <v xml:space="preserve">2025/26 </v>
      </c>
      <c r="E38" s="1436"/>
      <c r="F38" s="1436" t="str">
        <f>rjscalc1!F17</f>
        <v>True</v>
      </c>
      <c r="G38" s="1453">
        <f ca="1">rjscalc1!F94*Z1</f>
        <v>0</v>
      </c>
      <c r="H38" s="1436"/>
      <c r="I38" s="1601" t="str">
        <f>rjscalc2!F17</f>
        <v>True</v>
      </c>
      <c r="J38" s="1605">
        <f ca="1">rjscalc2!F94*Z1</f>
        <v>0</v>
      </c>
      <c r="K38" s="1606">
        <f ca="1">IF($O$32=TRUE,G38-J38,"")</f>
        <v>0</v>
      </c>
      <c r="M38" s="1561"/>
      <c r="N38" s="1493" t="b">
        <f ca="1">K38&lt;0</f>
        <v>0</v>
      </c>
      <c r="O38"/>
      <c r="P38"/>
      <c r="Q38"/>
      <c r="R38"/>
      <c r="S38"/>
      <c r="T38"/>
      <c r="U38"/>
      <c r="V38"/>
      <c r="W38"/>
      <c r="X38"/>
      <c r="Y38"/>
      <c r="Z38"/>
      <c r="AA38"/>
      <c r="AB38"/>
      <c r="AC38"/>
      <c r="AD38" s="1562"/>
      <c r="AE38" s="1562"/>
      <c r="AF38" s="1562"/>
      <c r="AG38" s="1562"/>
      <c r="AH38" s="1562"/>
      <c r="AI38" s="1562"/>
      <c r="AJ38" s="1562"/>
      <c r="AK38" s="1562"/>
      <c r="AL38" s="1562"/>
      <c r="AM38" s="1562"/>
      <c r="AN38" s="1562"/>
      <c r="AO38" s="1562"/>
      <c r="AP38" s="1562"/>
      <c r="AQ38" s="1562"/>
      <c r="AR38" s="1562"/>
      <c r="AS38" s="1562"/>
      <c r="AT38" s="1562"/>
      <c r="AU38" s="1562"/>
      <c r="AV38" s="1562"/>
      <c r="AW38" s="1562"/>
      <c r="AX38" s="1562"/>
      <c r="AY38" s="1562"/>
      <c r="AZ38" s="1562"/>
      <c r="BA38" s="1562"/>
      <c r="BB38" s="1561"/>
      <c r="BC38" s="1561"/>
      <c r="BD38" s="1561"/>
      <c r="BE38" s="1561"/>
      <c r="BF38" s="1561"/>
      <c r="BG38" s="1561"/>
      <c r="BH38" s="1561"/>
    </row>
    <row r="39" spans="1:60" ht="15" customHeight="1" x14ac:dyDescent="0.35">
      <c r="A39" s="1561"/>
      <c r="B39" s="1561"/>
      <c r="D39" s="1442"/>
      <c r="E39" s="1442"/>
      <c r="F39" s="1442"/>
      <c r="G39" s="1442"/>
      <c r="H39" s="2095" t="str">
        <f>V29</f>
        <v/>
      </c>
      <c r="I39" s="1607"/>
      <c r="J39" s="1607"/>
      <c r="K39" s="1442"/>
      <c r="M39" s="1561"/>
      <c r="O39"/>
      <c r="P39"/>
      <c r="Q39"/>
      <c r="R39"/>
      <c r="S39"/>
      <c r="T39"/>
      <c r="U39"/>
      <c r="V39"/>
      <c r="W39"/>
      <c r="X39"/>
      <c r="Y39"/>
      <c r="Z39"/>
      <c r="AA39"/>
      <c r="AB39"/>
      <c r="AC39"/>
      <c r="AD39" s="1562"/>
      <c r="AE39" s="1562"/>
      <c r="AF39" s="1562"/>
      <c r="AG39" s="1562"/>
      <c r="AH39" s="1562"/>
      <c r="AI39" s="1562"/>
      <c r="AJ39" s="1562"/>
      <c r="AK39" s="1562"/>
      <c r="AL39" s="1562"/>
      <c r="AM39" s="1562"/>
      <c r="AN39" s="1562"/>
      <c r="AO39" s="1562"/>
      <c r="AP39" s="1562"/>
      <c r="AQ39" s="1562"/>
      <c r="AR39" s="1562"/>
      <c r="AS39" s="1562"/>
      <c r="AT39" s="1562"/>
      <c r="AU39" s="1562"/>
      <c r="AV39" s="1562"/>
      <c r="AW39" s="1562"/>
      <c r="AX39" s="1562"/>
      <c r="AY39" s="1562"/>
      <c r="AZ39" s="1562"/>
      <c r="BA39" s="1562"/>
      <c r="BB39" s="1561"/>
      <c r="BC39" s="1561"/>
      <c r="BD39" s="1561"/>
      <c r="BE39" s="1561"/>
      <c r="BF39" s="1561"/>
      <c r="BG39" s="1561"/>
      <c r="BH39" s="1561"/>
    </row>
    <row r="40" spans="1:60" ht="19.5" customHeight="1" x14ac:dyDescent="0.35">
      <c r="A40" s="1561"/>
      <c r="B40" s="1561"/>
      <c r="D40" s="1600" t="s">
        <v>1344</v>
      </c>
      <c r="E40" s="1436"/>
      <c r="F40" s="1436"/>
      <c r="G40" s="1608">
        <f ca="1">SUM(G36:G39)</f>
        <v>0</v>
      </c>
      <c r="H40" s="1436"/>
      <c r="I40" s="1601"/>
      <c r="J40" s="1609">
        <f ca="1">SUM(J36:J39)</f>
        <v>0</v>
      </c>
      <c r="K40" s="1610">
        <f ca="1">IF(O32=TRUE,SUM(K36:K39),"")</f>
        <v>0</v>
      </c>
      <c r="M40" s="1561"/>
      <c r="N40" s="1493">
        <f ca="1">N36+N37+N38</f>
        <v>0</v>
      </c>
      <c r="O40"/>
      <c r="P40"/>
      <c r="Q40"/>
      <c r="R40"/>
      <c r="S40"/>
      <c r="T40"/>
      <c r="U40"/>
      <c r="V40"/>
      <c r="W40"/>
      <c r="X40"/>
      <c r="Y40"/>
      <c r="Z40"/>
      <c r="AA40"/>
      <c r="AB40"/>
      <c r="AC40"/>
      <c r="AD40" s="1562"/>
      <c r="AE40" s="1562"/>
      <c r="AF40" s="1562"/>
      <c r="AG40" s="1562"/>
      <c r="AH40" s="1562"/>
      <c r="AI40" s="1562"/>
      <c r="AJ40" s="1562"/>
      <c r="AK40" s="1562"/>
      <c r="AL40" s="1562"/>
      <c r="AM40" s="1562"/>
      <c r="AN40" s="1562"/>
      <c r="AO40" s="1562"/>
      <c r="AP40" s="1562"/>
      <c r="AQ40" s="1562"/>
      <c r="AR40" s="1562"/>
      <c r="AS40" s="1562"/>
      <c r="AT40" s="1562"/>
      <c r="AU40" s="1562"/>
      <c r="AV40" s="1562"/>
      <c r="AW40" s="1562"/>
      <c r="AX40" s="1562"/>
      <c r="AY40" s="1562"/>
      <c r="AZ40" s="1562"/>
      <c r="BA40" s="1562"/>
      <c r="BB40" s="1561"/>
      <c r="BC40" s="1561"/>
      <c r="BD40" s="1561"/>
      <c r="BE40" s="1561"/>
      <c r="BF40" s="1561"/>
      <c r="BG40" s="1561"/>
      <c r="BH40" s="1561"/>
    </row>
    <row r="41" spans="1:60" ht="14.5" x14ac:dyDescent="0.35">
      <c r="A41" s="1561"/>
      <c r="B41" s="1561"/>
      <c r="D41" s="1436"/>
      <c r="E41" s="1436"/>
      <c r="F41" s="1436"/>
      <c r="G41" s="1436"/>
      <c r="H41" s="1436"/>
      <c r="I41" s="1436"/>
      <c r="J41" s="1436"/>
      <c r="K41" s="1611" t="str">
        <f ca="1">IF(N40&gt;0,"Increase shown in ( )","")</f>
        <v/>
      </c>
      <c r="M41" s="1561"/>
      <c r="O41"/>
      <c r="P41"/>
      <c r="Q41"/>
      <c r="R41"/>
      <c r="S41"/>
      <c r="T41"/>
      <c r="U41"/>
      <c r="V41"/>
      <c r="W41"/>
      <c r="X41"/>
      <c r="Y41"/>
      <c r="Z41"/>
      <c r="AA41"/>
      <c r="AB41"/>
      <c r="AC41"/>
      <c r="AD41" s="1562"/>
      <c r="AE41" s="1562"/>
      <c r="AF41" s="1562"/>
      <c r="AG41" s="1562"/>
      <c r="AH41" s="1562"/>
      <c r="AI41" s="1562"/>
      <c r="AJ41" s="1562"/>
      <c r="AK41" s="1562"/>
      <c r="AL41" s="1562"/>
      <c r="AM41" s="1562"/>
      <c r="AN41" s="1562"/>
      <c r="AO41" s="1562"/>
      <c r="AP41" s="1562"/>
      <c r="AQ41" s="1562"/>
      <c r="AR41" s="1562"/>
      <c r="AS41" s="1562"/>
      <c r="AT41" s="1562"/>
      <c r="AU41" s="1562"/>
      <c r="AV41" s="1562"/>
      <c r="AW41" s="1562"/>
      <c r="AX41" s="1562"/>
      <c r="AY41" s="1562"/>
      <c r="AZ41" s="1562"/>
      <c r="BA41" s="1562"/>
      <c r="BB41" s="1561"/>
      <c r="BC41" s="1561"/>
      <c r="BD41" s="1561"/>
      <c r="BE41" s="1561"/>
      <c r="BF41" s="1561"/>
      <c r="BG41" s="1561"/>
      <c r="BH41" s="1561"/>
    </row>
    <row r="42" spans="1:60" ht="14.5" x14ac:dyDescent="0.35">
      <c r="A42" s="1561"/>
      <c r="B42" s="1561"/>
      <c r="D42" s="1614" t="str">
        <f>text!B39</f>
        <v xml:space="preserve"> </v>
      </c>
      <c r="E42" s="1612"/>
      <c r="F42" s="1436"/>
      <c r="G42" s="1436"/>
      <c r="H42" s="1436"/>
      <c r="I42" s="1613"/>
      <c r="J42" s="1436"/>
      <c r="K42" s="1436"/>
      <c r="M42" s="1561"/>
      <c r="O42"/>
      <c r="P42"/>
      <c r="Q42"/>
      <c r="R42"/>
      <c r="S42"/>
      <c r="T42"/>
      <c r="U42"/>
      <c r="V42"/>
      <c r="W42"/>
      <c r="X42"/>
      <c r="Y42"/>
      <c r="Z42"/>
      <c r="AA42"/>
      <c r="AB42"/>
      <c r="AC42"/>
      <c r="AD42" s="1562"/>
      <c r="AE42" s="1562"/>
      <c r="AF42" s="1562"/>
      <c r="AG42" s="1562"/>
      <c r="AH42" s="1562"/>
      <c r="AI42" s="1562"/>
      <c r="AJ42" s="1562"/>
      <c r="AK42" s="1562"/>
      <c r="AL42" s="1562"/>
      <c r="AM42" s="1562"/>
      <c r="AN42" s="1562"/>
      <c r="AO42" s="1562"/>
      <c r="AP42" s="1562"/>
      <c r="AQ42" s="1562"/>
      <c r="AR42" s="1562"/>
      <c r="AS42" s="1562"/>
      <c r="AT42" s="1562"/>
      <c r="AU42" s="1562"/>
      <c r="AV42" s="1562"/>
      <c r="AW42" s="1562"/>
      <c r="AX42" s="1562"/>
      <c r="AY42" s="1562"/>
      <c r="AZ42" s="1562"/>
      <c r="BA42" s="1562"/>
      <c r="BB42" s="1561"/>
      <c r="BC42" s="1561"/>
      <c r="BD42" s="1561"/>
      <c r="BE42" s="1561"/>
      <c r="BF42" s="1561"/>
      <c r="BG42" s="1561"/>
      <c r="BH42" s="1561"/>
    </row>
    <row r="43" spans="1:60" ht="14.5" x14ac:dyDescent="0.35">
      <c r="A43" s="1561"/>
      <c r="B43" s="1561"/>
      <c r="E43" s="1436"/>
      <c r="F43" s="1436"/>
      <c r="G43" s="1436"/>
      <c r="H43" s="1436"/>
      <c r="I43" s="1436"/>
      <c r="J43" s="1436"/>
      <c r="K43" s="1436"/>
      <c r="M43" s="1561"/>
      <c r="O43"/>
      <c r="P43"/>
      <c r="Q43"/>
      <c r="R43"/>
      <c r="S43"/>
      <c r="T43"/>
      <c r="U43"/>
      <c r="V43"/>
      <c r="W43"/>
      <c r="X43"/>
      <c r="Y43"/>
      <c r="Z43"/>
      <c r="AA43"/>
      <c r="AB43"/>
      <c r="AC43"/>
      <c r="AD43" s="1562"/>
      <c r="AE43" s="1562"/>
      <c r="AF43" s="1562"/>
      <c r="AG43" s="1562"/>
      <c r="AH43" s="1562"/>
      <c r="AI43" s="1562"/>
      <c r="AJ43" s="1562"/>
      <c r="AK43" s="1562"/>
      <c r="AL43" s="1562"/>
      <c r="AM43" s="1562"/>
      <c r="AN43" s="1562"/>
      <c r="AO43" s="1562"/>
      <c r="AP43" s="1562"/>
      <c r="AQ43" s="1562"/>
      <c r="AR43" s="1562"/>
      <c r="AS43" s="1562"/>
      <c r="AT43" s="1562"/>
      <c r="AU43" s="1562"/>
      <c r="AV43" s="1562"/>
      <c r="AW43" s="1562"/>
      <c r="AX43" s="1562"/>
      <c r="AY43" s="1562"/>
      <c r="AZ43" s="1562"/>
      <c r="BA43" s="1562"/>
      <c r="BB43" s="1561"/>
      <c r="BC43" s="1561"/>
      <c r="BD43" s="1561"/>
      <c r="BE43" s="1561"/>
      <c r="BF43" s="1561"/>
      <c r="BG43" s="1561"/>
      <c r="BH43" s="1561"/>
    </row>
    <row r="44" spans="1:60" ht="14.5" x14ac:dyDescent="0.35">
      <c r="A44" s="1561"/>
      <c r="B44" s="1561"/>
      <c r="D44" s="1436"/>
      <c r="E44" s="1436"/>
      <c r="F44" s="1436"/>
      <c r="G44" s="1436"/>
      <c r="H44" s="1436"/>
      <c r="I44" s="1436"/>
      <c r="J44" s="1436"/>
      <c r="K44" s="1436"/>
      <c r="M44" s="1561"/>
      <c r="O44"/>
      <c r="P44"/>
      <c r="Q44"/>
      <c r="R44"/>
      <c r="S44"/>
      <c r="T44"/>
      <c r="U44"/>
      <c r="V44"/>
      <c r="W44"/>
      <c r="X44"/>
      <c r="Y44"/>
      <c r="Z44"/>
      <c r="AA44"/>
      <c r="AB44"/>
      <c r="AC44"/>
      <c r="AD44" s="1562"/>
      <c r="AE44" s="1562"/>
      <c r="AF44" s="1562"/>
      <c r="AG44" s="1562"/>
      <c r="AH44" s="1562"/>
      <c r="AI44" s="1562"/>
      <c r="AJ44" s="1562"/>
      <c r="AK44" s="1562"/>
      <c r="AL44" s="1562"/>
      <c r="AM44" s="1562"/>
      <c r="AN44" s="1562"/>
      <c r="AO44" s="1562"/>
      <c r="AP44" s="1562"/>
      <c r="AQ44" s="1562"/>
      <c r="AR44" s="1562"/>
      <c r="AS44" s="1562"/>
      <c r="AT44" s="1562"/>
      <c r="AU44" s="1562"/>
      <c r="AV44" s="1562"/>
      <c r="AW44" s="1562"/>
      <c r="AX44" s="1562"/>
      <c r="AY44" s="1562"/>
      <c r="AZ44" s="1562"/>
      <c r="BA44" s="1562"/>
      <c r="BB44" s="1561"/>
      <c r="BC44" s="1561"/>
      <c r="BD44" s="1561"/>
      <c r="BE44" s="1561"/>
      <c r="BF44" s="1561"/>
      <c r="BG44" s="1561"/>
      <c r="BH44" s="1561"/>
    </row>
    <row r="45" spans="1:60" ht="14.5" x14ac:dyDescent="0.35">
      <c r="A45" s="1561"/>
      <c r="B45" s="1561"/>
      <c r="M45" s="1561"/>
      <c r="O45"/>
      <c r="P45"/>
      <c r="Q45"/>
      <c r="R45"/>
      <c r="S45"/>
      <c r="T45"/>
      <c r="U45"/>
      <c r="V45"/>
      <c r="W45"/>
      <c r="X45"/>
      <c r="Y45"/>
      <c r="Z45"/>
      <c r="AA45"/>
      <c r="AB45"/>
      <c r="AC45"/>
      <c r="AD45" s="1562"/>
      <c r="AE45" s="1562"/>
      <c r="AF45" s="1562"/>
      <c r="AG45" s="1562"/>
      <c r="AH45" s="1562"/>
      <c r="AI45" s="1562"/>
      <c r="AJ45" s="1562"/>
      <c r="AK45" s="1562"/>
      <c r="AL45" s="1562"/>
      <c r="AM45" s="1562"/>
      <c r="AN45" s="1562"/>
      <c r="AO45" s="1562"/>
      <c r="AP45" s="1562"/>
      <c r="AQ45" s="1562"/>
      <c r="AR45" s="1562"/>
      <c r="AS45" s="1562"/>
      <c r="AT45" s="1562"/>
      <c r="AU45" s="1562"/>
      <c r="AV45" s="1562"/>
      <c r="AW45" s="1562"/>
      <c r="AX45" s="1562"/>
      <c r="AY45" s="1562"/>
      <c r="AZ45" s="1562"/>
      <c r="BA45" s="1562"/>
      <c r="BB45" s="1561"/>
      <c r="BC45" s="1561"/>
      <c r="BD45" s="1561"/>
      <c r="BE45" s="1561"/>
      <c r="BF45" s="1561"/>
      <c r="BG45" s="1561"/>
      <c r="BH45" s="1561"/>
    </row>
    <row r="46" spans="1:60" ht="15.5" x14ac:dyDescent="0.35">
      <c r="A46" s="1561"/>
      <c r="B46" s="1561"/>
      <c r="D46" s="1615" t="s">
        <v>1345</v>
      </c>
      <c r="F46" s="1616" t="str">
        <f>codes!F4</f>
        <v>CBRE</v>
      </c>
      <c r="M46" s="1561"/>
      <c r="O46"/>
      <c r="P46"/>
      <c r="Q46"/>
      <c r="R46"/>
      <c r="S46"/>
      <c r="T46"/>
      <c r="U46"/>
      <c r="V46"/>
      <c r="W46"/>
      <c r="X46"/>
      <c r="Y46"/>
      <c r="Z46"/>
      <c r="AA46"/>
      <c r="AB46"/>
      <c r="AC46"/>
      <c r="AD46" s="1562"/>
      <c r="AE46" s="1562"/>
      <c r="AF46" s="1562"/>
      <c r="AG46" s="1562"/>
      <c r="AH46" s="1562"/>
      <c r="AI46" s="1562"/>
      <c r="AJ46" s="1562"/>
      <c r="AK46" s="1562"/>
      <c r="AL46" s="1562"/>
      <c r="AM46" s="1562"/>
      <c r="AN46" s="1562"/>
      <c r="AO46" s="1562"/>
      <c r="AP46" s="1562"/>
      <c r="AQ46" s="1562"/>
      <c r="AR46" s="1562"/>
      <c r="AS46" s="1562"/>
      <c r="AT46" s="1562"/>
      <c r="AU46" s="1562"/>
      <c r="AV46" s="1562"/>
      <c r="AW46" s="1562"/>
      <c r="AX46" s="1562"/>
      <c r="AY46" s="1562"/>
      <c r="AZ46" s="1562"/>
      <c r="BA46" s="1562"/>
      <c r="BB46" s="1561"/>
      <c r="BC46" s="1561"/>
      <c r="BD46" s="1561"/>
      <c r="BE46" s="1561"/>
      <c r="BF46" s="1561"/>
      <c r="BG46" s="1561"/>
      <c r="BH46" s="1561"/>
    </row>
    <row r="47" spans="1:60" ht="15" customHeight="1" x14ac:dyDescent="0.35">
      <c r="A47" s="1561"/>
      <c r="B47" s="1561"/>
      <c r="M47" s="1561"/>
      <c r="AB47"/>
      <c r="AC47"/>
      <c r="AD47" s="1562"/>
      <c r="AE47" s="1562"/>
      <c r="AF47" s="1562"/>
      <c r="AG47" s="1562"/>
      <c r="AH47" s="1562"/>
      <c r="AI47" s="1562"/>
      <c r="AJ47" s="1562"/>
      <c r="AK47" s="1562"/>
      <c r="AL47" s="1562"/>
      <c r="AM47" s="1562"/>
      <c r="AN47" s="1562"/>
      <c r="AO47" s="1562"/>
      <c r="AP47" s="1562"/>
      <c r="AQ47" s="1562"/>
      <c r="AR47" s="1562"/>
      <c r="AS47" s="1562"/>
      <c r="AT47" s="1562"/>
      <c r="AU47" s="1562"/>
      <c r="AV47" s="1562"/>
      <c r="AW47" s="1562"/>
      <c r="AX47" s="1562"/>
      <c r="AY47" s="1562"/>
      <c r="AZ47" s="1562"/>
      <c r="BA47" s="1562"/>
      <c r="BB47" s="1561"/>
      <c r="BC47" s="1561"/>
      <c r="BD47" s="1561"/>
      <c r="BE47" s="1561"/>
      <c r="BF47" s="1561"/>
      <c r="BG47" s="1561"/>
      <c r="BH47" s="1561"/>
    </row>
    <row r="48" spans="1:60" ht="14.5" x14ac:dyDescent="0.35">
      <c r="A48" s="1561"/>
      <c r="B48" s="1561"/>
      <c r="M48" s="1561"/>
      <c r="AB48"/>
      <c r="AC48"/>
      <c r="AD48" s="1562"/>
      <c r="AE48" s="1562"/>
      <c r="AF48" s="1562"/>
      <c r="AG48" s="1562"/>
      <c r="AH48" s="1562"/>
      <c r="AI48" s="1562"/>
      <c r="AJ48" s="1562"/>
      <c r="AK48" s="1562"/>
      <c r="AL48" s="1562"/>
      <c r="AM48" s="1562"/>
      <c r="AN48" s="1562"/>
      <c r="AO48" s="1562"/>
      <c r="AP48" s="1562"/>
      <c r="AQ48" s="1562"/>
      <c r="AR48" s="1562"/>
      <c r="AS48" s="1562"/>
      <c r="AT48" s="1562"/>
      <c r="AU48" s="1562"/>
      <c r="AV48" s="1562"/>
      <c r="AW48" s="1562"/>
      <c r="AX48" s="1562"/>
      <c r="AY48" s="1562"/>
      <c r="AZ48" s="1562"/>
      <c r="BA48" s="1562"/>
      <c r="BB48" s="1561"/>
      <c r="BC48" s="1561"/>
      <c r="BD48" s="1561"/>
      <c r="BE48" s="1561"/>
      <c r="BF48" s="1561"/>
      <c r="BG48" s="1561"/>
      <c r="BH48" s="1561"/>
    </row>
    <row r="49" spans="1:60" ht="14.5" x14ac:dyDescent="0.35">
      <c r="A49" s="1561"/>
      <c r="B49" s="1561"/>
      <c r="C49" s="1561"/>
      <c r="D49" s="1561"/>
      <c r="E49" s="1561"/>
      <c r="F49" s="1561"/>
      <c r="G49" s="1561"/>
      <c r="H49" s="1561"/>
      <c r="I49" s="1561"/>
      <c r="J49" s="1561"/>
      <c r="K49" s="1561"/>
      <c r="L49" s="1561"/>
      <c r="M49" s="1561"/>
      <c r="AB49"/>
      <c r="AC49"/>
      <c r="AD49" s="1562"/>
      <c r="AE49" s="1562"/>
      <c r="AF49" s="1562"/>
      <c r="AG49" s="1562"/>
      <c r="AH49" s="1562"/>
      <c r="AI49" s="1562"/>
      <c r="AJ49" s="1562"/>
      <c r="AK49" s="1562"/>
      <c r="AL49" s="1562"/>
      <c r="AM49" s="1562"/>
      <c r="AN49" s="1562"/>
      <c r="AO49" s="1562"/>
      <c r="AP49" s="1562"/>
      <c r="AQ49" s="1562"/>
      <c r="AR49" s="1562"/>
      <c r="AS49" s="1562"/>
      <c r="AT49" s="1562"/>
      <c r="AU49" s="1562"/>
      <c r="AV49" s="1562"/>
      <c r="AW49" s="1562"/>
      <c r="AX49" s="1562"/>
      <c r="AY49" s="1562"/>
      <c r="AZ49" s="1562"/>
      <c r="BA49" s="1562"/>
      <c r="BB49" s="1561"/>
      <c r="BC49" s="1561"/>
      <c r="BD49" s="1561"/>
      <c r="BE49" s="1561"/>
      <c r="BF49" s="1561"/>
      <c r="BG49" s="1561"/>
      <c r="BH49" s="1561"/>
    </row>
    <row r="50" spans="1:60" ht="14.5" x14ac:dyDescent="0.35">
      <c r="A50" s="1561"/>
      <c r="B50" s="1561"/>
      <c r="C50" s="1561"/>
      <c r="D50" s="1561"/>
      <c r="E50" s="1561"/>
      <c r="F50" s="1561"/>
      <c r="G50" s="1561"/>
      <c r="H50" s="1561"/>
      <c r="I50" s="1561"/>
      <c r="J50" s="1561"/>
      <c r="K50" s="1561"/>
      <c r="L50" s="1561"/>
      <c r="M50" s="1561"/>
      <c r="AB50"/>
      <c r="AC50"/>
      <c r="AD50" s="1562"/>
      <c r="AE50" s="1562"/>
      <c r="AF50" s="1562"/>
      <c r="AG50" s="1562"/>
      <c r="AH50" s="1562"/>
      <c r="AI50" s="1562"/>
      <c r="AJ50" s="1562"/>
      <c r="AK50" s="1562"/>
      <c r="AL50" s="1562"/>
      <c r="AM50" s="1562"/>
      <c r="AN50" s="1562"/>
      <c r="AO50" s="1562"/>
      <c r="AP50" s="1562"/>
      <c r="AQ50" s="1562"/>
      <c r="AR50" s="1562"/>
      <c r="AS50" s="1562"/>
      <c r="AT50" s="1562"/>
      <c r="AU50" s="1562"/>
      <c r="AV50" s="1562"/>
      <c r="AW50" s="1562"/>
      <c r="AX50" s="1562"/>
      <c r="AY50" s="1562"/>
      <c r="AZ50" s="1562"/>
      <c r="BA50" s="1562"/>
      <c r="BB50" s="1561"/>
      <c r="BC50" s="1561"/>
      <c r="BD50" s="1561"/>
      <c r="BE50" s="1561"/>
      <c r="BF50" s="1561"/>
      <c r="BG50" s="1561"/>
      <c r="BH50" s="1561"/>
    </row>
    <row r="51" spans="1:60" ht="14.5" x14ac:dyDescent="0.35">
      <c r="A51" s="1561"/>
      <c r="B51" s="1561"/>
      <c r="C51" s="1561"/>
      <c r="D51" s="1561"/>
      <c r="E51" s="1561"/>
      <c r="F51" s="1561"/>
      <c r="G51" s="1561"/>
      <c r="H51" s="1561"/>
      <c r="I51" s="1561"/>
      <c r="J51" s="1561"/>
      <c r="K51" s="1561"/>
      <c r="L51" s="1561"/>
      <c r="M51" s="1561"/>
      <c r="AB51"/>
      <c r="AC51"/>
      <c r="AD51" s="1562"/>
      <c r="AE51" s="1562"/>
      <c r="AF51" s="1562"/>
      <c r="AG51" s="1562"/>
      <c r="AH51" s="1562"/>
      <c r="AI51" s="1562"/>
      <c r="AJ51" s="1562"/>
      <c r="AK51" s="1562"/>
      <c r="AL51" s="1562"/>
      <c r="AM51" s="1562"/>
      <c r="AN51" s="1562"/>
      <c r="AO51" s="1562"/>
      <c r="AP51" s="1562"/>
      <c r="AQ51" s="1562"/>
      <c r="AR51" s="1562"/>
      <c r="AS51" s="1562"/>
      <c r="AT51" s="1562"/>
      <c r="AU51" s="1562"/>
      <c r="AV51" s="1562"/>
      <c r="AW51" s="1562"/>
      <c r="AX51" s="1562"/>
      <c r="AY51" s="1562"/>
      <c r="AZ51" s="1562"/>
      <c r="BA51" s="1562"/>
      <c r="BB51" s="1561"/>
      <c r="BC51" s="1561"/>
      <c r="BD51" s="1561"/>
      <c r="BE51" s="1561"/>
      <c r="BF51" s="1561"/>
      <c r="BG51" s="1561"/>
      <c r="BH51" s="1561"/>
    </row>
    <row r="52" spans="1:60" ht="14.5" x14ac:dyDescent="0.35">
      <c r="A52" s="1561"/>
      <c r="B52" s="1561"/>
      <c r="C52" s="1561"/>
      <c r="D52" s="1561"/>
      <c r="E52" s="1561"/>
      <c r="F52" s="1561"/>
      <c r="G52" s="1561"/>
      <c r="H52" s="1561"/>
      <c r="I52" s="1561"/>
      <c r="J52" s="1561"/>
      <c r="K52" s="1561"/>
      <c r="L52" s="1561"/>
      <c r="M52" s="1561"/>
      <c r="AB52"/>
      <c r="AC52"/>
      <c r="AD52" s="1562"/>
      <c r="AE52" s="1562"/>
      <c r="AF52" s="1562"/>
      <c r="AG52" s="1562"/>
      <c r="AH52" s="1562"/>
      <c r="AI52" s="1562"/>
      <c r="AJ52" s="1562"/>
      <c r="AK52" s="1562"/>
      <c r="AL52" s="1562"/>
      <c r="AM52" s="1562"/>
      <c r="AN52" s="1562"/>
      <c r="AO52" s="1562"/>
      <c r="AP52" s="1562"/>
      <c r="AQ52" s="1562"/>
      <c r="AR52" s="1562"/>
      <c r="AS52" s="1562"/>
      <c r="AT52" s="1562"/>
      <c r="AU52" s="1562"/>
      <c r="AV52" s="1562"/>
      <c r="AW52" s="1562"/>
      <c r="AX52" s="1562"/>
      <c r="AY52" s="1562"/>
      <c r="AZ52" s="1562"/>
      <c r="BA52" s="1562"/>
      <c r="BB52" s="1561"/>
      <c r="BC52" s="1561"/>
      <c r="BD52" s="1561"/>
      <c r="BE52" s="1561"/>
      <c r="BF52" s="1561"/>
      <c r="BG52" s="1561"/>
      <c r="BH52" s="1561"/>
    </row>
    <row r="53" spans="1:60" ht="14.5" x14ac:dyDescent="0.35">
      <c r="A53" s="1561"/>
      <c r="B53" s="1561"/>
      <c r="C53" s="1561"/>
      <c r="D53" s="1561"/>
      <c r="E53" s="1561"/>
      <c r="F53" s="1561"/>
      <c r="G53" s="1561"/>
      <c r="H53" s="1561"/>
      <c r="I53" s="1561"/>
      <c r="J53" s="1561"/>
      <c r="K53" s="1561"/>
      <c r="L53" s="1561"/>
      <c r="M53" s="1561"/>
      <c r="AB53"/>
      <c r="AC53"/>
      <c r="AD53" s="1562"/>
      <c r="AE53" s="1562"/>
      <c r="AF53" s="1562"/>
      <c r="AG53" s="1562"/>
      <c r="AH53" s="1562"/>
      <c r="AI53" s="1562"/>
      <c r="AJ53" s="1562"/>
      <c r="AK53" s="1562"/>
      <c r="AL53" s="1562"/>
      <c r="AM53" s="1562"/>
      <c r="AN53" s="1562"/>
      <c r="AO53" s="1562"/>
      <c r="AP53" s="1562"/>
      <c r="AQ53" s="1562"/>
      <c r="AR53" s="1562"/>
      <c r="AS53" s="1562"/>
      <c r="AT53" s="1562"/>
      <c r="AU53" s="1562"/>
      <c r="AV53" s="1562"/>
      <c r="AW53" s="1562"/>
      <c r="AX53" s="1562"/>
      <c r="AY53" s="1562"/>
      <c r="AZ53" s="1562"/>
      <c r="BA53" s="1562"/>
      <c r="BB53" s="1561"/>
      <c r="BC53" s="1561"/>
      <c r="BD53" s="1561"/>
      <c r="BE53" s="1561"/>
      <c r="BF53" s="1561"/>
      <c r="BG53" s="1561"/>
      <c r="BH53" s="1561"/>
    </row>
    <row r="54" spans="1:60" ht="14.5" x14ac:dyDescent="0.35">
      <c r="A54" s="1561"/>
      <c r="B54" s="1561"/>
      <c r="C54" s="1561"/>
      <c r="D54" s="1561"/>
      <c r="E54" s="1561"/>
      <c r="F54" s="1561"/>
      <c r="G54" s="1561"/>
      <c r="H54" s="1561"/>
      <c r="I54" s="1561"/>
      <c r="J54" s="1561"/>
      <c r="K54" s="1561"/>
      <c r="L54" s="1561"/>
      <c r="M54" s="1561"/>
      <c r="AB54"/>
      <c r="AC54"/>
      <c r="AD54" s="1562"/>
      <c r="AE54" s="1562"/>
      <c r="AF54" s="1562"/>
      <c r="AG54" s="1562"/>
      <c r="AH54" s="1562"/>
      <c r="AI54" s="1562"/>
      <c r="AJ54" s="1562"/>
      <c r="AK54" s="1562"/>
      <c r="AL54" s="1562"/>
      <c r="AM54" s="1562"/>
      <c r="AN54" s="1562"/>
      <c r="AO54" s="1562"/>
      <c r="AP54" s="1562"/>
      <c r="AQ54" s="1562"/>
      <c r="AR54" s="1562"/>
      <c r="AS54" s="1562"/>
      <c r="AT54" s="1562"/>
      <c r="AU54" s="1562"/>
      <c r="AV54" s="1562"/>
      <c r="AW54" s="1562"/>
      <c r="AX54" s="1562"/>
      <c r="AY54" s="1562"/>
      <c r="AZ54" s="1562"/>
      <c r="BA54" s="1562"/>
      <c r="BB54" s="1561"/>
      <c r="BC54" s="1561"/>
      <c r="BD54" s="1561"/>
      <c r="BE54" s="1561"/>
      <c r="BF54" s="1561"/>
      <c r="BG54" s="1561"/>
      <c r="BH54" s="1561"/>
    </row>
    <row r="55" spans="1:60" ht="14.5" x14ac:dyDescent="0.35">
      <c r="A55" s="1561"/>
      <c r="B55" s="1561"/>
      <c r="C55" s="1561"/>
      <c r="D55" s="1561"/>
      <c r="E55" s="1561"/>
      <c r="F55" s="1561"/>
      <c r="G55" s="1561"/>
      <c r="H55" s="1561"/>
      <c r="I55" s="1561"/>
      <c r="J55" s="1561"/>
      <c r="K55" s="1561"/>
      <c r="L55" s="1561"/>
      <c r="M55" s="1561"/>
      <c r="AB55"/>
      <c r="AC55"/>
      <c r="AD55" s="1562"/>
      <c r="AE55" s="1562"/>
      <c r="AF55" s="1562"/>
      <c r="AG55" s="1562"/>
      <c r="AH55" s="1562"/>
      <c r="AI55" s="1562"/>
      <c r="AJ55" s="1562"/>
      <c r="AK55" s="1562"/>
      <c r="AL55" s="1562"/>
      <c r="AM55" s="1562"/>
      <c r="AN55" s="1562"/>
      <c r="AO55" s="1562"/>
      <c r="AP55" s="1562"/>
      <c r="AQ55" s="1562"/>
      <c r="AR55" s="1562"/>
      <c r="AS55" s="1562"/>
      <c r="AT55" s="1562"/>
      <c r="AU55" s="1562"/>
      <c r="AV55" s="1562"/>
      <c r="AW55" s="1562"/>
      <c r="AX55" s="1562"/>
      <c r="AY55" s="1562"/>
      <c r="AZ55" s="1562"/>
      <c r="BA55" s="1562"/>
      <c r="BB55" s="1561"/>
      <c r="BC55" s="1561"/>
      <c r="BD55" s="1561"/>
      <c r="BE55" s="1561"/>
      <c r="BF55" s="1561"/>
      <c r="BG55" s="1561"/>
      <c r="BH55" s="1561"/>
    </row>
    <row r="56" spans="1:60" ht="14.5" x14ac:dyDescent="0.35">
      <c r="A56" s="1561"/>
      <c r="B56" s="1561"/>
      <c r="C56" s="1561"/>
      <c r="D56" s="1561"/>
      <c r="E56" s="1561"/>
      <c r="F56" s="1561"/>
      <c r="G56" s="1561"/>
      <c r="H56" s="1561"/>
      <c r="I56" s="1561"/>
      <c r="J56" s="1561"/>
      <c r="K56" s="1561"/>
      <c r="L56" s="1561"/>
      <c r="M56" s="1561"/>
      <c r="AB56"/>
      <c r="AC56"/>
      <c r="AD56" s="1562"/>
      <c r="AE56" s="1562"/>
      <c r="AF56" s="1562"/>
      <c r="AG56" s="1562"/>
      <c r="AH56" s="1562"/>
      <c r="AI56" s="1562"/>
      <c r="AJ56" s="1562"/>
      <c r="AK56" s="1562"/>
      <c r="AL56" s="1562"/>
      <c r="AM56" s="1562"/>
      <c r="AN56" s="1562"/>
      <c r="AO56" s="1562"/>
      <c r="AP56" s="1562"/>
      <c r="AQ56" s="1562"/>
      <c r="AR56" s="1562"/>
      <c r="AS56" s="1562"/>
      <c r="AT56" s="1562"/>
      <c r="AU56" s="1562"/>
      <c r="AV56" s="1562"/>
      <c r="AW56" s="1562"/>
      <c r="AX56" s="1562"/>
      <c r="AY56" s="1562"/>
      <c r="AZ56" s="1562"/>
      <c r="BA56" s="1562"/>
      <c r="BB56" s="1561"/>
      <c r="BC56" s="1561"/>
      <c r="BD56" s="1561"/>
      <c r="BE56" s="1561"/>
      <c r="BF56" s="1561"/>
      <c r="BG56" s="1561"/>
      <c r="BH56" s="1561"/>
    </row>
    <row r="57" spans="1:60" ht="14.5" x14ac:dyDescent="0.35">
      <c r="A57" s="1561"/>
      <c r="B57" s="1561"/>
      <c r="C57" s="1561"/>
      <c r="D57" s="1561"/>
      <c r="E57" s="1561"/>
      <c r="F57" s="1561"/>
      <c r="G57" s="1561"/>
      <c r="H57" s="1561"/>
      <c r="I57" s="1561"/>
      <c r="J57" s="1561"/>
      <c r="K57" s="1561"/>
      <c r="L57" s="1561"/>
      <c r="M57" s="1561"/>
      <c r="AB57"/>
      <c r="AC57"/>
      <c r="AD57" s="1562"/>
      <c r="AE57" s="1562"/>
      <c r="AF57" s="1562"/>
      <c r="AG57" s="1562"/>
      <c r="AH57" s="1562"/>
      <c r="AI57" s="1562"/>
      <c r="AJ57" s="1562"/>
      <c r="AK57" s="1562"/>
      <c r="AL57" s="1562"/>
      <c r="AM57" s="1562"/>
      <c r="AN57" s="1562"/>
      <c r="AO57" s="1562"/>
      <c r="AP57" s="1562"/>
      <c r="AQ57" s="1562"/>
      <c r="AR57" s="1562"/>
      <c r="AS57" s="1562"/>
      <c r="AT57" s="1562"/>
      <c r="AU57" s="1562"/>
      <c r="AV57" s="1562"/>
      <c r="AW57" s="1562"/>
      <c r="AX57" s="1562"/>
      <c r="AY57" s="1562"/>
      <c r="AZ57" s="1562"/>
      <c r="BA57" s="1562"/>
      <c r="BB57" s="1561"/>
      <c r="BC57" s="1561"/>
      <c r="BD57" s="1561"/>
      <c r="BE57" s="1561"/>
      <c r="BF57" s="1561"/>
      <c r="BG57" s="1561"/>
      <c r="BH57" s="1561"/>
    </row>
    <row r="58" spans="1:60" ht="14.5" x14ac:dyDescent="0.35">
      <c r="A58" s="1561"/>
      <c r="B58" s="1561"/>
      <c r="C58" s="1561"/>
      <c r="D58" s="1561"/>
      <c r="E58" s="1561"/>
      <c r="F58" s="1561"/>
      <c r="G58" s="1561"/>
      <c r="H58" s="1561"/>
      <c r="I58" s="1561"/>
      <c r="J58" s="1561"/>
      <c r="K58" s="1561"/>
      <c r="L58" s="1561"/>
      <c r="M58" s="1561"/>
      <c r="AB58"/>
      <c r="AC58"/>
      <c r="AD58" s="1562"/>
      <c r="AE58" s="1562"/>
      <c r="AF58" s="1562"/>
      <c r="AG58" s="1562"/>
      <c r="AH58" s="1562"/>
      <c r="AI58" s="1562"/>
      <c r="AJ58" s="1562"/>
      <c r="AK58" s="1562"/>
      <c r="AL58" s="1562"/>
      <c r="AM58" s="1562"/>
      <c r="AN58" s="1562"/>
      <c r="AO58" s="1562"/>
      <c r="AP58" s="1562"/>
      <c r="AQ58" s="1562"/>
      <c r="AR58" s="1562"/>
      <c r="AS58" s="1562"/>
      <c r="AT58" s="1562"/>
      <c r="AU58" s="1562"/>
      <c r="AV58" s="1562"/>
      <c r="AW58" s="1562"/>
      <c r="AX58" s="1562"/>
      <c r="AY58" s="1562"/>
      <c r="AZ58" s="1562"/>
      <c r="BA58" s="1562"/>
      <c r="BB58" s="1561"/>
      <c r="BC58" s="1561"/>
      <c r="BD58" s="1561"/>
      <c r="BE58" s="1561"/>
      <c r="BF58" s="1561"/>
      <c r="BG58" s="1561"/>
      <c r="BH58" s="1561"/>
    </row>
    <row r="59" spans="1:60" ht="14.5" x14ac:dyDescent="0.35">
      <c r="A59" s="1561"/>
      <c r="B59" s="1561"/>
      <c r="C59" s="1561"/>
      <c r="D59" s="1561"/>
      <c r="E59" s="1561"/>
      <c r="F59" s="1561"/>
      <c r="G59" s="1561"/>
      <c r="H59" s="1561"/>
      <c r="I59" s="1561"/>
      <c r="J59" s="1561"/>
      <c r="K59" s="1561"/>
      <c r="L59" s="1561"/>
      <c r="M59" s="1561"/>
      <c r="AB59"/>
      <c r="AC59"/>
      <c r="AD59" s="1562"/>
      <c r="AE59" s="1562"/>
      <c r="AF59" s="1562"/>
      <c r="AG59" s="1562"/>
      <c r="AH59" s="1562"/>
      <c r="AI59" s="1562"/>
      <c r="AJ59" s="1562"/>
      <c r="AK59" s="1562"/>
      <c r="AL59" s="1562"/>
      <c r="AM59" s="1562"/>
      <c r="AN59" s="1562"/>
      <c r="AO59" s="1562"/>
      <c r="AP59" s="1562"/>
      <c r="AQ59" s="1562"/>
      <c r="AR59" s="1562"/>
      <c r="AS59" s="1562"/>
      <c r="AT59" s="1562"/>
      <c r="AU59" s="1562"/>
      <c r="AV59" s="1562"/>
      <c r="AW59" s="1562"/>
      <c r="AX59" s="1562"/>
      <c r="AY59" s="1562"/>
      <c r="AZ59" s="1562"/>
      <c r="BA59" s="1562"/>
      <c r="BB59" s="1561"/>
      <c r="BC59" s="1561"/>
      <c r="BD59" s="1561"/>
      <c r="BE59" s="1561"/>
      <c r="BF59" s="1561"/>
      <c r="BG59" s="1561"/>
      <c r="BH59" s="1561"/>
    </row>
    <row r="60" spans="1:60" ht="14.5" x14ac:dyDescent="0.35">
      <c r="A60" s="1561"/>
      <c r="B60" s="1561"/>
      <c r="C60" s="1561"/>
      <c r="D60" s="1561"/>
      <c r="E60" s="1561"/>
      <c r="F60" s="1561"/>
      <c r="G60" s="1561"/>
      <c r="H60" s="1561"/>
      <c r="I60" s="1561"/>
      <c r="J60" s="1561"/>
      <c r="K60" s="1561"/>
      <c r="L60" s="1561"/>
      <c r="M60" s="1561"/>
      <c r="AB60"/>
      <c r="AC60"/>
      <c r="AD60" s="1562"/>
      <c r="AE60" s="1562"/>
      <c r="AF60" s="1562"/>
      <c r="AG60" s="1562"/>
      <c r="AH60" s="1562"/>
      <c r="AI60" s="1562"/>
      <c r="AJ60" s="1562"/>
      <c r="AK60" s="1562"/>
      <c r="AL60" s="1562"/>
      <c r="AM60" s="1562"/>
      <c r="AN60" s="1562"/>
      <c r="AO60" s="1562"/>
      <c r="AP60" s="1562"/>
      <c r="AQ60" s="1562"/>
      <c r="AR60" s="1562"/>
      <c r="AS60" s="1562"/>
      <c r="AT60" s="1562"/>
      <c r="AU60" s="1562"/>
      <c r="AV60" s="1562"/>
      <c r="AW60" s="1562"/>
      <c r="AX60" s="1562"/>
      <c r="AY60" s="1562"/>
      <c r="AZ60" s="1562"/>
      <c r="BA60" s="1562"/>
      <c r="BB60" s="1561"/>
      <c r="BC60" s="1561"/>
      <c r="BD60" s="1561"/>
      <c r="BE60" s="1561"/>
      <c r="BF60" s="1561"/>
      <c r="BG60" s="1561"/>
      <c r="BH60" s="1561"/>
    </row>
    <row r="61" spans="1:60" ht="14.5" x14ac:dyDescent="0.35">
      <c r="A61" s="1561"/>
      <c r="B61" s="1561"/>
      <c r="C61" s="1561"/>
      <c r="D61" s="1561"/>
      <c r="E61" s="1561"/>
      <c r="F61" s="1561"/>
      <c r="G61" s="1561"/>
      <c r="H61" s="1561"/>
      <c r="I61" s="1561"/>
      <c r="J61" s="1561"/>
      <c r="K61" s="1561"/>
      <c r="L61" s="1561"/>
      <c r="M61" s="1561"/>
      <c r="AB61"/>
      <c r="AC61"/>
      <c r="AD61" s="1562"/>
      <c r="AE61" s="1562"/>
      <c r="AF61" s="1562"/>
      <c r="AG61" s="1562"/>
      <c r="AH61" s="1562"/>
      <c r="AI61" s="1562"/>
      <c r="AJ61" s="1562"/>
      <c r="AK61" s="1562"/>
      <c r="AL61" s="1562"/>
      <c r="AM61" s="1562"/>
      <c r="AN61" s="1562"/>
      <c r="AO61" s="1562"/>
      <c r="AP61" s="1562"/>
      <c r="AQ61" s="1562"/>
      <c r="AR61" s="1562"/>
      <c r="AS61" s="1562"/>
      <c r="AT61" s="1562"/>
      <c r="AU61" s="1562"/>
      <c r="AV61" s="1562"/>
      <c r="AW61" s="1562"/>
      <c r="AX61" s="1562"/>
      <c r="AY61" s="1562"/>
      <c r="AZ61" s="1562"/>
      <c r="BA61" s="1562"/>
      <c r="BB61" s="1561"/>
      <c r="BC61" s="1561"/>
      <c r="BD61" s="1561"/>
      <c r="BE61" s="1561"/>
      <c r="BF61" s="1561"/>
      <c r="BG61" s="1561"/>
      <c r="BH61" s="1561"/>
    </row>
    <row r="62" spans="1:60" ht="14.5" x14ac:dyDescent="0.35">
      <c r="A62" s="1561"/>
      <c r="B62" s="1561"/>
      <c r="C62" s="1561"/>
      <c r="D62" s="1561"/>
      <c r="E62" s="1561"/>
      <c r="F62" s="1561"/>
      <c r="G62" s="1561"/>
      <c r="H62" s="1561"/>
      <c r="I62" s="1561"/>
      <c r="J62" s="1561"/>
      <c r="K62" s="1561"/>
      <c r="L62" s="1561"/>
      <c r="M62" s="1561"/>
      <c r="AB62"/>
      <c r="AC62"/>
      <c r="AD62" s="1562"/>
      <c r="AE62" s="1562"/>
      <c r="AF62" s="1562"/>
      <c r="AG62" s="1562"/>
      <c r="AH62" s="1562"/>
      <c r="AI62" s="1562"/>
      <c r="AJ62" s="1562"/>
      <c r="AK62" s="1562"/>
      <c r="AL62" s="1562"/>
      <c r="AM62" s="1562"/>
      <c r="AN62" s="1562"/>
      <c r="AO62" s="1562"/>
      <c r="AP62" s="1562"/>
      <c r="AQ62" s="1562"/>
      <c r="AR62" s="1562"/>
      <c r="AS62" s="1562"/>
      <c r="AT62" s="1562"/>
      <c r="AU62" s="1562"/>
      <c r="AV62" s="1562"/>
      <c r="AW62" s="1562"/>
      <c r="AX62" s="1562"/>
      <c r="AY62" s="1562"/>
      <c r="AZ62" s="1562"/>
      <c r="BA62" s="1562"/>
      <c r="BB62" s="1561"/>
      <c r="BC62" s="1561"/>
      <c r="BD62" s="1561"/>
      <c r="BE62" s="1561"/>
      <c r="BF62" s="1561"/>
      <c r="BG62" s="1561"/>
      <c r="BH62" s="1561"/>
    </row>
    <row r="63" spans="1:60" ht="14.5" x14ac:dyDescent="0.35">
      <c r="A63" s="1561"/>
      <c r="B63" s="1561"/>
      <c r="C63" s="1561"/>
      <c r="D63" s="1561"/>
      <c r="E63" s="1561"/>
      <c r="F63" s="1561"/>
      <c r="G63" s="1561"/>
      <c r="H63" s="1561"/>
      <c r="I63" s="1561"/>
      <c r="J63" s="1561"/>
      <c r="K63" s="1561"/>
      <c r="L63" s="1561"/>
      <c r="M63" s="1561"/>
      <c r="AB63"/>
      <c r="AC63"/>
      <c r="AD63" s="1562"/>
      <c r="AE63" s="1562"/>
      <c r="AF63" s="1562"/>
      <c r="AG63" s="1562"/>
      <c r="AH63" s="1562"/>
      <c r="AI63" s="1562"/>
      <c r="AJ63" s="1562"/>
      <c r="AK63" s="1562"/>
      <c r="AL63" s="1562"/>
      <c r="AM63" s="1562"/>
      <c r="AN63" s="1562"/>
      <c r="AO63" s="1562"/>
      <c r="AP63" s="1562"/>
      <c r="AQ63" s="1562"/>
      <c r="AR63" s="1562"/>
      <c r="AS63" s="1562"/>
      <c r="AT63" s="1562"/>
      <c r="AU63" s="1562"/>
      <c r="AV63" s="1562"/>
      <c r="AW63" s="1562"/>
      <c r="AX63" s="1562"/>
      <c r="AY63" s="1562"/>
      <c r="AZ63" s="1562"/>
      <c r="BA63" s="1562"/>
      <c r="BB63" s="1561"/>
      <c r="BC63" s="1561"/>
      <c r="BD63" s="1561"/>
      <c r="BE63" s="1561"/>
      <c r="BF63" s="1561"/>
      <c r="BG63" s="1561"/>
      <c r="BH63" s="1561"/>
    </row>
    <row r="64" spans="1:60" ht="14.5" x14ac:dyDescent="0.35">
      <c r="A64" s="1561"/>
      <c r="B64" s="1561"/>
      <c r="C64" s="1561"/>
      <c r="D64" s="1561"/>
      <c r="E64" s="1561"/>
      <c r="F64" s="1561"/>
      <c r="G64" s="1561"/>
      <c r="H64" s="1561"/>
      <c r="I64" s="1561"/>
      <c r="J64" s="1561"/>
      <c r="K64" s="1561"/>
      <c r="L64" s="1561"/>
      <c r="M64" s="1561"/>
      <c r="AB64"/>
      <c r="AC64"/>
      <c r="AD64" s="1562"/>
      <c r="AE64" s="1562"/>
      <c r="AF64" s="1562"/>
      <c r="AG64" s="1562"/>
      <c r="AH64" s="1562"/>
      <c r="AI64" s="1562"/>
      <c r="AJ64" s="1562"/>
      <c r="AK64" s="1562"/>
      <c r="AL64" s="1562"/>
      <c r="AM64" s="1562"/>
      <c r="AN64" s="1562"/>
      <c r="AO64" s="1562"/>
      <c r="AP64" s="1562"/>
      <c r="AQ64" s="1562"/>
      <c r="AR64" s="1562"/>
      <c r="AS64" s="1562"/>
      <c r="AT64" s="1562"/>
      <c r="AU64" s="1562"/>
      <c r="AV64" s="1562"/>
      <c r="AW64" s="1562"/>
      <c r="AX64" s="1562"/>
      <c r="AY64" s="1562"/>
      <c r="AZ64" s="1562"/>
      <c r="BA64" s="1562"/>
      <c r="BB64" s="1561"/>
      <c r="BC64" s="1561"/>
      <c r="BD64" s="1561"/>
      <c r="BE64" s="1561"/>
      <c r="BF64" s="1561"/>
      <c r="BG64" s="1561"/>
      <c r="BH64" s="1561"/>
    </row>
    <row r="65" spans="1:60" ht="14.5" x14ac:dyDescent="0.35">
      <c r="A65" s="1561"/>
      <c r="B65" s="1561"/>
      <c r="C65" s="1561"/>
      <c r="D65" s="1561"/>
      <c r="E65" s="1561"/>
      <c r="F65" s="1561"/>
      <c r="G65" s="1561"/>
      <c r="H65" s="1561"/>
      <c r="I65" s="1561"/>
      <c r="J65" s="1561"/>
      <c r="K65" s="1561"/>
      <c r="L65" s="1561"/>
      <c r="M65" s="1561"/>
      <c r="AB65"/>
      <c r="AC65"/>
      <c r="AD65" s="1562"/>
      <c r="AE65" s="1562"/>
      <c r="AF65" s="1562"/>
      <c r="AG65" s="1562"/>
      <c r="AH65" s="1562"/>
      <c r="AI65" s="1562"/>
      <c r="AJ65" s="1562"/>
      <c r="AK65" s="1562"/>
      <c r="AL65" s="1562"/>
      <c r="AM65" s="1562"/>
      <c r="AN65" s="1562"/>
      <c r="AO65" s="1562"/>
      <c r="AP65" s="1562"/>
      <c r="AQ65" s="1562"/>
      <c r="AR65" s="1562"/>
      <c r="AS65" s="1562"/>
      <c r="AT65" s="1562"/>
      <c r="AU65" s="1562"/>
      <c r="AV65" s="1562"/>
      <c r="AW65" s="1562"/>
      <c r="AX65" s="1562"/>
      <c r="AY65" s="1562"/>
      <c r="AZ65" s="1562"/>
      <c r="BA65" s="1562"/>
      <c r="BB65" s="1561"/>
      <c r="BC65" s="1561"/>
      <c r="BD65" s="1561"/>
      <c r="BE65" s="1561"/>
      <c r="BF65" s="1561"/>
      <c r="BG65" s="1561"/>
      <c r="BH65" s="1561"/>
    </row>
    <row r="66" spans="1:60" ht="14.5" x14ac:dyDescent="0.35">
      <c r="A66" s="1561"/>
      <c r="B66" s="1561"/>
      <c r="C66" s="1561"/>
      <c r="D66" s="1561"/>
      <c r="E66" s="1561"/>
      <c r="F66" s="1561"/>
      <c r="G66" s="1561"/>
      <c r="H66" s="1561"/>
      <c r="I66" s="1561"/>
      <c r="J66" s="1561"/>
      <c r="K66" s="1561"/>
      <c r="L66" s="1561"/>
      <c r="M66" s="1561"/>
      <c r="AB66"/>
      <c r="AC66"/>
      <c r="AD66" s="1562"/>
      <c r="AE66" s="1562"/>
      <c r="AF66" s="1562"/>
      <c r="AG66" s="1562"/>
      <c r="AH66" s="1562"/>
      <c r="AI66" s="1562"/>
      <c r="AJ66" s="1562"/>
      <c r="AK66" s="1562"/>
      <c r="AL66" s="1562"/>
      <c r="AM66" s="1562"/>
      <c r="AN66" s="1562"/>
      <c r="AO66" s="1562"/>
      <c r="AP66" s="1562"/>
      <c r="AQ66" s="1562"/>
      <c r="AR66" s="1562"/>
      <c r="AS66" s="1562"/>
      <c r="AT66" s="1562"/>
      <c r="AU66" s="1562"/>
      <c r="AV66" s="1562"/>
      <c r="AW66" s="1562"/>
      <c r="AX66" s="1562"/>
      <c r="AY66" s="1562"/>
      <c r="AZ66" s="1562"/>
      <c r="BA66" s="1562"/>
      <c r="BB66" s="1561"/>
      <c r="BC66" s="1561"/>
      <c r="BD66" s="1561"/>
      <c r="BE66" s="1561"/>
      <c r="BF66" s="1561"/>
      <c r="BG66" s="1561"/>
      <c r="BH66" s="1561"/>
    </row>
    <row r="67" spans="1:60" ht="14.5" x14ac:dyDescent="0.35">
      <c r="A67" s="1561"/>
      <c r="B67" s="1561"/>
      <c r="C67" s="1561"/>
      <c r="D67" s="1561"/>
      <c r="E67" s="1561"/>
      <c r="F67" s="1561"/>
      <c r="G67" s="1561"/>
      <c r="H67" s="1561"/>
      <c r="I67" s="1561"/>
      <c r="J67" s="1561"/>
      <c r="K67" s="1561"/>
      <c r="L67" s="1561"/>
      <c r="M67" s="1561"/>
      <c r="AB67"/>
      <c r="AC67"/>
      <c r="AD67" s="1562"/>
      <c r="AE67" s="1562"/>
      <c r="AF67" s="1562"/>
      <c r="AG67" s="1562"/>
      <c r="AH67" s="1562"/>
      <c r="AI67" s="1562"/>
      <c r="AJ67" s="1562"/>
      <c r="AK67" s="1562"/>
      <c r="AL67" s="1562"/>
      <c r="AM67" s="1562"/>
      <c r="AN67" s="1562"/>
      <c r="AO67" s="1562"/>
      <c r="AP67" s="1562"/>
      <c r="AQ67" s="1562"/>
      <c r="AR67" s="1562"/>
      <c r="AS67" s="1562"/>
      <c r="AT67" s="1562"/>
      <c r="AU67" s="1562"/>
      <c r="AV67" s="1562"/>
      <c r="AW67" s="1562"/>
      <c r="AX67" s="1562"/>
      <c r="AY67" s="1562"/>
      <c r="AZ67" s="1562"/>
      <c r="BA67" s="1562"/>
      <c r="BB67" s="1561"/>
      <c r="BC67" s="1561"/>
      <c r="BD67" s="1561"/>
      <c r="BE67" s="1561"/>
      <c r="BF67" s="1561"/>
      <c r="BG67" s="1561"/>
      <c r="BH67" s="1561"/>
    </row>
    <row r="68" spans="1:60" ht="14.5" x14ac:dyDescent="0.35">
      <c r="A68" s="1561"/>
      <c r="B68" s="1561"/>
      <c r="C68" s="1561"/>
      <c r="D68" s="1561"/>
      <c r="E68" s="1561"/>
      <c r="F68" s="1561"/>
      <c r="G68" s="1561"/>
      <c r="H68" s="1561"/>
      <c r="I68" s="1561"/>
      <c r="J68" s="1561"/>
      <c r="K68" s="1561"/>
      <c r="L68" s="1561"/>
      <c r="M68" s="1561"/>
      <c r="AB68"/>
      <c r="AC68"/>
      <c r="AD68" s="1562"/>
      <c r="AE68" s="1562"/>
      <c r="AF68" s="1562"/>
      <c r="AG68" s="1562"/>
      <c r="AH68" s="1562"/>
      <c r="AI68" s="1562"/>
      <c r="AJ68" s="1562"/>
      <c r="AK68" s="1562"/>
      <c r="AL68" s="1562"/>
      <c r="AM68" s="1562"/>
      <c r="AN68" s="1562"/>
      <c r="AO68" s="1562"/>
      <c r="AP68" s="1562"/>
      <c r="AQ68" s="1562"/>
      <c r="AR68" s="1562"/>
      <c r="AS68" s="1562"/>
      <c r="AT68" s="1562"/>
      <c r="AU68" s="1562"/>
      <c r="AV68" s="1562"/>
      <c r="AW68" s="1562"/>
      <c r="AX68" s="1562"/>
      <c r="AY68" s="1562"/>
      <c r="AZ68" s="1562"/>
      <c r="BA68" s="1562"/>
      <c r="BB68" s="1561"/>
      <c r="BC68" s="1561"/>
      <c r="BD68" s="1561"/>
      <c r="BE68" s="1561"/>
      <c r="BF68" s="1561"/>
      <c r="BG68" s="1561"/>
      <c r="BH68" s="1561"/>
    </row>
    <row r="69" spans="1:60" x14ac:dyDescent="0.25">
      <c r="A69" s="1561"/>
      <c r="B69" s="1561"/>
      <c r="C69" s="1561"/>
      <c r="D69" s="1561"/>
      <c r="E69" s="1561"/>
      <c r="F69" s="1561"/>
      <c r="G69" s="1561"/>
      <c r="H69" s="1561"/>
      <c r="I69" s="1561"/>
      <c r="J69" s="1561"/>
      <c r="K69" s="1561"/>
      <c r="L69" s="1561"/>
      <c r="M69" s="1561"/>
      <c r="AD69" s="1562"/>
      <c r="AE69" s="1562"/>
      <c r="AF69" s="1562"/>
      <c r="AG69" s="1562"/>
      <c r="AH69" s="1562"/>
      <c r="AI69" s="1562"/>
      <c r="AJ69" s="1562"/>
      <c r="AK69" s="1562"/>
      <c r="AL69" s="1562"/>
      <c r="AM69" s="1562"/>
      <c r="AN69" s="1562"/>
      <c r="AO69" s="1562"/>
      <c r="AP69" s="1562"/>
      <c r="AQ69" s="1562"/>
      <c r="AR69" s="1562"/>
      <c r="AS69" s="1562"/>
      <c r="AT69" s="1562"/>
      <c r="AU69" s="1562"/>
      <c r="AV69" s="1562"/>
      <c r="AW69" s="1562"/>
      <c r="AX69" s="1562"/>
      <c r="AY69" s="1562"/>
      <c r="AZ69" s="1562"/>
      <c r="BA69" s="1562"/>
      <c r="BB69" s="1561"/>
      <c r="BC69" s="1561"/>
      <c r="BD69" s="1561"/>
      <c r="BE69" s="1561"/>
      <c r="BF69" s="1561"/>
      <c r="BG69" s="1561"/>
      <c r="BH69" s="1561"/>
    </row>
    <row r="70" spans="1:60" x14ac:dyDescent="0.25">
      <c r="A70" s="1561"/>
      <c r="B70" s="1561"/>
      <c r="C70" s="1561"/>
      <c r="D70" s="1561"/>
      <c r="E70" s="1561"/>
      <c r="F70" s="1561"/>
      <c r="G70" s="1561"/>
      <c r="H70" s="1561"/>
      <c r="I70" s="1561"/>
      <c r="J70" s="1561"/>
      <c r="K70" s="1561"/>
      <c r="L70" s="1561"/>
      <c r="M70" s="1561"/>
      <c r="AD70" s="1562"/>
      <c r="AE70" s="1562"/>
      <c r="AF70" s="1562"/>
      <c r="AG70" s="1562"/>
      <c r="AH70" s="1562"/>
      <c r="AI70" s="1562"/>
      <c r="AJ70" s="1562"/>
      <c r="AK70" s="1562"/>
      <c r="AL70" s="1562"/>
      <c r="AM70" s="1562"/>
      <c r="AN70" s="1562"/>
      <c r="AO70" s="1562"/>
      <c r="AP70" s="1562"/>
      <c r="AQ70" s="1562"/>
      <c r="AR70" s="1562"/>
      <c r="AS70" s="1562"/>
      <c r="AT70" s="1562"/>
      <c r="AU70" s="1562"/>
      <c r="AV70" s="1562"/>
      <c r="AW70" s="1562"/>
      <c r="AX70" s="1562"/>
      <c r="AY70" s="1562"/>
      <c r="AZ70" s="1562"/>
      <c r="BA70" s="1562"/>
      <c r="BB70" s="1561"/>
      <c r="BC70" s="1561"/>
      <c r="BD70" s="1561"/>
      <c r="BE70" s="1561"/>
      <c r="BF70" s="1561"/>
      <c r="BG70" s="1561"/>
      <c r="BH70" s="1561"/>
    </row>
    <row r="71" spans="1:60" x14ac:dyDescent="0.25">
      <c r="A71" s="1561"/>
      <c r="B71" s="1561"/>
      <c r="C71" s="1561"/>
      <c r="D71" s="1561"/>
      <c r="E71" s="1561"/>
      <c r="F71" s="1561"/>
      <c r="G71" s="1561"/>
      <c r="H71" s="1561"/>
      <c r="I71" s="1561"/>
      <c r="J71" s="1561"/>
      <c r="K71" s="1561"/>
      <c r="L71" s="1561"/>
      <c r="M71" s="1561"/>
      <c r="N71" s="1562"/>
      <c r="O71" s="1562"/>
      <c r="P71" s="1562"/>
      <c r="Q71" s="1562"/>
      <c r="R71" s="1562"/>
      <c r="S71" s="1562"/>
      <c r="T71" s="1562"/>
      <c r="U71" s="1562"/>
      <c r="V71" s="1562"/>
      <c r="W71" s="1562"/>
      <c r="X71" s="1562"/>
      <c r="Y71" s="1562"/>
      <c r="Z71" s="1562"/>
      <c r="AA71" s="1562"/>
      <c r="AB71" s="1562"/>
      <c r="AC71" s="1562"/>
      <c r="AD71" s="1562"/>
      <c r="AE71" s="1562"/>
      <c r="AF71" s="1562"/>
      <c r="AG71" s="1562"/>
      <c r="AH71" s="1562"/>
      <c r="AI71" s="1562"/>
      <c r="AJ71" s="1562"/>
      <c r="AK71" s="1562"/>
      <c r="AL71" s="1562"/>
      <c r="AM71" s="1562"/>
      <c r="AN71" s="1562"/>
      <c r="AO71" s="1562"/>
      <c r="AP71" s="1562"/>
      <c r="AQ71" s="1562"/>
      <c r="AR71" s="1562"/>
      <c r="AS71" s="1562"/>
      <c r="AT71" s="1562"/>
      <c r="AU71" s="1562"/>
      <c r="AV71" s="1562"/>
      <c r="AW71" s="1562"/>
      <c r="AX71" s="1562"/>
      <c r="AY71" s="1562"/>
      <c r="AZ71" s="1562"/>
      <c r="BA71" s="1562"/>
      <c r="BB71" s="1561"/>
      <c r="BC71" s="1561"/>
      <c r="BD71" s="1561"/>
      <c r="BE71" s="1561"/>
      <c r="BF71" s="1561"/>
      <c r="BG71" s="1561"/>
      <c r="BH71" s="1561"/>
    </row>
    <row r="72" spans="1:60" x14ac:dyDescent="0.25">
      <c r="A72" s="1561"/>
      <c r="B72" s="1561"/>
      <c r="C72" s="1561"/>
      <c r="D72" s="1561"/>
      <c r="E72" s="1561"/>
      <c r="F72" s="1561"/>
      <c r="G72" s="1561"/>
      <c r="H72" s="1561"/>
      <c r="I72" s="1561"/>
      <c r="J72" s="1561"/>
      <c r="K72" s="1561"/>
      <c r="L72" s="1561"/>
      <c r="M72" s="1561"/>
      <c r="N72" s="1562"/>
      <c r="O72" s="1562"/>
      <c r="P72" s="1562"/>
      <c r="Q72" s="1562"/>
      <c r="R72" s="1562"/>
      <c r="S72" s="1562"/>
      <c r="T72" s="1562"/>
      <c r="U72" s="1562"/>
      <c r="V72" s="1562"/>
      <c r="W72" s="1562"/>
      <c r="X72" s="1562"/>
      <c r="Y72" s="1562"/>
      <c r="Z72" s="1562"/>
      <c r="AA72" s="1562"/>
      <c r="AB72" s="1562"/>
      <c r="AC72" s="1562"/>
      <c r="AD72" s="1562"/>
      <c r="AE72" s="1562"/>
      <c r="AF72" s="1562"/>
      <c r="AG72" s="1562"/>
      <c r="AH72" s="1562"/>
      <c r="AI72" s="1562"/>
      <c r="AJ72" s="1562"/>
      <c r="AK72" s="1562"/>
      <c r="AL72" s="1562"/>
      <c r="AM72" s="1562"/>
      <c r="AN72" s="1562"/>
      <c r="AO72" s="1562"/>
      <c r="AP72" s="1562"/>
      <c r="AQ72" s="1562"/>
      <c r="AR72" s="1562"/>
      <c r="AS72" s="1562"/>
      <c r="AT72" s="1562"/>
      <c r="AU72" s="1562"/>
      <c r="AV72" s="1562"/>
      <c r="AW72" s="1562"/>
      <c r="AX72" s="1562"/>
      <c r="AY72" s="1562"/>
      <c r="AZ72" s="1562"/>
      <c r="BA72" s="1562"/>
      <c r="BB72" s="1561"/>
      <c r="BC72" s="1561"/>
      <c r="BD72" s="1561"/>
      <c r="BE72" s="1561"/>
      <c r="BF72" s="1561"/>
      <c r="BG72" s="1561"/>
      <c r="BH72" s="1561"/>
    </row>
    <row r="73" spans="1:60" ht="14.5" x14ac:dyDescent="0.35">
      <c r="AJ73"/>
      <c r="AK73"/>
      <c r="AL73"/>
      <c r="AM73"/>
      <c r="AN73"/>
      <c r="AO73"/>
    </row>
  </sheetData>
  <sheetProtection password="BCD8" sheet="1" objects="1" scenarios="1"/>
  <phoneticPr fontId="124" type="noConversion"/>
  <conditionalFormatting sqref="F26">
    <cfRule type="expression" dxfId="50" priority="1" stopIfTrue="1">
      <formula>$G$26=""</formula>
    </cfRule>
  </conditionalFormatting>
  <conditionalFormatting sqref="F28">
    <cfRule type="expression" dxfId="49" priority="2" stopIfTrue="1">
      <formula>$G$28=""</formula>
    </cfRule>
  </conditionalFormatting>
  <conditionalFormatting sqref="F27">
    <cfRule type="expression" dxfId="48" priority="3" stopIfTrue="1">
      <formula>$G$27=0</formula>
    </cfRule>
  </conditionalFormatting>
  <conditionalFormatting sqref="M20">
    <cfRule type="expression" dxfId="47" priority="4" stopIfTrue="1">
      <formula>$O$25="yes"</formula>
    </cfRule>
  </conditionalFormatting>
  <conditionalFormatting sqref="E18:F18">
    <cfRule type="expression" dxfId="46" priority="5" stopIfTrue="1">
      <formula>OR($G$18="",$G$18=0)</formula>
    </cfRule>
  </conditionalFormatting>
  <conditionalFormatting sqref="A10:B15">
    <cfRule type="expression" dxfId="45" priority="6" stopIfTrue="1">
      <formula>$AR$32=TRUE</formula>
    </cfRule>
  </conditionalFormatting>
  <conditionalFormatting sqref="M26:M30">
    <cfRule type="expression" dxfId="44" priority="7" stopIfTrue="1">
      <formula>$AR$48=TRUE</formula>
    </cfRule>
  </conditionalFormatting>
  <conditionalFormatting sqref="D35:K35 D40:K40">
    <cfRule type="expression" dxfId="43" priority="8" stopIfTrue="1">
      <formula>$O$34=FALSE</formula>
    </cfRule>
  </conditionalFormatting>
  <conditionalFormatting sqref="D39:K39 D25:K25">
    <cfRule type="expression" dxfId="42" priority="9" stopIfTrue="1">
      <formula>$O$34=FALSE</formula>
    </cfRule>
  </conditionalFormatting>
  <dataValidations count="2">
    <dataValidation type="date" allowBlank="1" showInputMessage="1" showErrorMessage="1" errorTitle="Effective Date" error="Date must be within this list" sqref="G18" xr:uid="{B51BBEB1-B0C3-4029-B609-0F38EA04AB88}">
      <formula1>O4</formula1>
      <formula2>Q6</formula2>
    </dataValidation>
    <dataValidation type="date" allowBlank="1" showInputMessage="1" showErrorMessage="1" errorTitle="Effective Date" error="Date must be within this list" sqref="J18" xr:uid="{22277E61-3945-407B-8374-E50397B41BAC}">
      <formula1>O4</formula1>
      <formula2>Q6</formula2>
    </dataValidation>
  </dataValidations>
  <pageMargins left="0.75" right="0.75" top="0.44" bottom="1" header="0.3" footer="0.5"/>
  <pageSetup paperSize="9" orientation="portrait" blackAndWhite="1" horizont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0" r:id="rId4" name="Button 2">
              <controlPr defaultSize="0" print="0" autoFill="0" autoLine="0" autoPict="0" macro="[0]!goto_details">
                <anchor moveWithCells="1" sizeWithCells="1">
                  <from>
                    <xdr:col>2</xdr:col>
                    <xdr:colOff>82550</xdr:colOff>
                    <xdr:row>0</xdr:row>
                    <xdr:rowOff>50800</xdr:rowOff>
                  </from>
                  <to>
                    <xdr:col>5</xdr:col>
                    <xdr:colOff>215900</xdr:colOff>
                    <xdr:row>0</xdr:row>
                    <xdr:rowOff>317500</xdr:rowOff>
                  </to>
                </anchor>
              </controlPr>
            </control>
          </mc:Choice>
        </mc:AlternateContent>
        <mc:AlternateContent xmlns:mc="http://schemas.openxmlformats.org/markup-compatibility/2006">
          <mc:Choice Requires="x14">
            <control shapeId="78851" r:id="rId5" name="Button 3">
              <controlPr defaultSize="0" print="0" autoFill="0" autoLine="0" autoPict="0" macro="[0]!PrintThis">
                <anchor moveWithCells="1" sizeWithCells="1">
                  <from>
                    <xdr:col>6</xdr:col>
                    <xdr:colOff>546100</xdr:colOff>
                    <xdr:row>0</xdr:row>
                    <xdr:rowOff>50800</xdr:rowOff>
                  </from>
                  <to>
                    <xdr:col>8</xdr:col>
                    <xdr:colOff>469900</xdr:colOff>
                    <xdr:row>0</xdr:row>
                    <xdr:rowOff>317500</xdr:rowOff>
                  </to>
                </anchor>
              </controlPr>
            </control>
          </mc:Choice>
        </mc:AlternateContent>
        <mc:AlternateContent xmlns:mc="http://schemas.openxmlformats.org/markup-compatibility/2006">
          <mc:Choice Requires="x14">
            <control shapeId="78852" r:id="rId6" name="Button 4">
              <controlPr defaultSize="0" print="0" autoFill="0" autoLine="0" autoPict="0" macro="[0]!clear_rjsinput">
                <anchor moveWithCells="1" sizeWithCells="1">
                  <from>
                    <xdr:col>5</xdr:col>
                    <xdr:colOff>215900</xdr:colOff>
                    <xdr:row>0</xdr:row>
                    <xdr:rowOff>50800</xdr:rowOff>
                  </from>
                  <to>
                    <xdr:col>6</xdr:col>
                    <xdr:colOff>546100</xdr:colOff>
                    <xdr:row>0</xdr:row>
                    <xdr:rowOff>317500</xdr:rowOff>
                  </to>
                </anchor>
              </controlPr>
            </control>
          </mc:Choice>
        </mc:AlternateContent>
        <mc:AlternateContent xmlns:mc="http://schemas.openxmlformats.org/markup-compatibility/2006">
          <mc:Choice Requires="x14">
            <control shapeId="78853" r:id="rId7" name="Check Box 5">
              <controlPr defaultSize="0" autoFill="0" autoLine="0" autoPict="0">
                <anchor moveWithCells="1">
                  <from>
                    <xdr:col>12</xdr:col>
                    <xdr:colOff>69850</xdr:colOff>
                    <xdr:row>35</xdr:row>
                    <xdr:rowOff>44450</xdr:rowOff>
                  </from>
                  <to>
                    <xdr:col>12</xdr:col>
                    <xdr:colOff>914400</xdr:colOff>
                    <xdr:row>36</xdr:row>
                    <xdr:rowOff>38100</xdr:rowOff>
                  </to>
                </anchor>
              </controlPr>
            </control>
          </mc:Choice>
        </mc:AlternateContent>
        <mc:AlternateContent xmlns:mc="http://schemas.openxmlformats.org/markup-compatibility/2006">
          <mc:Choice Requires="x14">
            <control shapeId="78854" r:id="rId8" name="Button 6">
              <controlPr defaultSize="0" print="0" autoFill="0" autoPict="0" macro="[0]!goto_home">
                <anchor moveWithCells="1" sizeWithCells="1">
                  <from>
                    <xdr:col>0</xdr:col>
                    <xdr:colOff>139700</xdr:colOff>
                    <xdr:row>0</xdr:row>
                    <xdr:rowOff>50800</xdr:rowOff>
                  </from>
                  <to>
                    <xdr:col>0</xdr:col>
                    <xdr:colOff>717550</xdr:colOff>
                    <xdr:row>0</xdr:row>
                    <xdr:rowOff>304800</xdr:rowOff>
                  </to>
                </anchor>
              </controlPr>
            </control>
          </mc:Choice>
        </mc:AlternateContent>
        <mc:AlternateContent xmlns:mc="http://schemas.openxmlformats.org/markup-compatibility/2006">
          <mc:Choice Requires="x14">
            <control shapeId="78855" r:id="rId9" name="Button 7">
              <controlPr defaultSize="0" print="0" autoFill="0" autoPict="0" macro="[0]!nya">
                <anchor moveWithCells="1" sizeWithCells="1">
                  <from>
                    <xdr:col>12</xdr:col>
                    <xdr:colOff>69850</xdr:colOff>
                    <xdr:row>6</xdr:row>
                    <xdr:rowOff>69850</xdr:rowOff>
                  </from>
                  <to>
                    <xdr:col>12</xdr:col>
                    <xdr:colOff>1117600</xdr:colOff>
                    <xdr:row>7</xdr:row>
                    <xdr:rowOff>158750</xdr:rowOff>
                  </to>
                </anchor>
              </controlPr>
            </control>
          </mc:Choice>
        </mc:AlternateContent>
        <mc:AlternateContent xmlns:mc="http://schemas.openxmlformats.org/markup-compatibility/2006">
          <mc:Choice Requires="x14">
            <control shapeId="78856" r:id="rId10" name="Button 8">
              <controlPr defaultSize="0" print="0" autoFill="0" autoPict="0" macro="[0]!goto_top">
                <anchor moveWithCells="1" sizeWithCells="1">
                  <from>
                    <xdr:col>6</xdr:col>
                    <xdr:colOff>692150</xdr:colOff>
                    <xdr:row>49</xdr:row>
                    <xdr:rowOff>38100</xdr:rowOff>
                  </from>
                  <to>
                    <xdr:col>8</xdr:col>
                    <xdr:colOff>368300</xdr:colOff>
                    <xdr:row>51</xdr:row>
                    <xdr:rowOff>76200</xdr:rowOff>
                  </to>
                </anchor>
              </controlPr>
            </control>
          </mc:Choice>
        </mc:AlternateContent>
        <mc:AlternateContent xmlns:mc="http://schemas.openxmlformats.org/markup-compatibility/2006">
          <mc:Choice Requires="x14">
            <control shapeId="78857" r:id="rId11" name="Button 9">
              <controlPr defaultSize="0" print="0" autoFill="0" autoPict="0" macro="[0]!goto_basic">
                <anchor moveWithCells="1" sizeWithCells="1">
                  <from>
                    <xdr:col>12</xdr:col>
                    <xdr:colOff>69850</xdr:colOff>
                    <xdr:row>7</xdr:row>
                    <xdr:rowOff>158750</xdr:rowOff>
                  </from>
                  <to>
                    <xdr:col>12</xdr:col>
                    <xdr:colOff>1117600</xdr:colOff>
                    <xdr:row>9</xdr:row>
                    <xdr:rowOff>50800</xdr:rowOff>
                  </to>
                </anchor>
              </controlPr>
            </control>
          </mc:Choice>
        </mc:AlternateContent>
        <mc:AlternateContent xmlns:mc="http://schemas.openxmlformats.org/markup-compatibility/2006">
          <mc:Choice Requires="x14">
            <control shapeId="78858" r:id="rId12" name="Button 10">
              <controlPr defaultSize="0" print="0" autoFill="0" autoPict="0" macro="[0]!goto_advanced">
                <anchor moveWithCells="1" sizeWithCells="1">
                  <from>
                    <xdr:col>12</xdr:col>
                    <xdr:colOff>69850</xdr:colOff>
                    <xdr:row>9</xdr:row>
                    <xdr:rowOff>50800</xdr:rowOff>
                  </from>
                  <to>
                    <xdr:col>12</xdr:col>
                    <xdr:colOff>1117600</xdr:colOff>
                    <xdr:row>10</xdr:row>
                    <xdr:rowOff>120650</xdr:rowOff>
                  </to>
                </anchor>
              </controlPr>
            </control>
          </mc:Choice>
        </mc:AlternateContent>
        <mc:AlternateContent xmlns:mc="http://schemas.openxmlformats.org/markup-compatibility/2006">
          <mc:Choice Requires="x14">
            <control shapeId="78859" r:id="rId13" name="Button 11">
              <controlPr defaultSize="0" print="0" autoFill="0" autoLine="0" autoPict="0" macro="[0]!goto_details">
                <anchor moveWithCells="1" sizeWithCells="1">
                  <from>
                    <xdr:col>1</xdr:col>
                    <xdr:colOff>165100</xdr:colOff>
                    <xdr:row>7</xdr:row>
                    <xdr:rowOff>158750</xdr:rowOff>
                  </from>
                  <to>
                    <xdr:col>1</xdr:col>
                    <xdr:colOff>444500</xdr:colOff>
                    <xdr:row>9</xdr:row>
                    <xdr:rowOff>6350</xdr:rowOff>
                  </to>
                </anchor>
              </controlPr>
            </control>
          </mc:Choice>
        </mc:AlternateContent>
        <mc:AlternateContent xmlns:mc="http://schemas.openxmlformats.org/markup-compatibility/2006">
          <mc:Choice Requires="x14">
            <control shapeId="78860" r:id="rId14" name="Drop Down 12">
              <controlPr defaultSize="0" print="0" autoLine="0" autoPict="0">
                <anchor moveWithCells="1">
                  <from>
                    <xdr:col>5</xdr:col>
                    <xdr:colOff>635000</xdr:colOff>
                    <xdr:row>13</xdr:row>
                    <xdr:rowOff>63500</xdr:rowOff>
                  </from>
                  <to>
                    <xdr:col>6</xdr:col>
                    <xdr:colOff>876300</xdr:colOff>
                    <xdr:row>14</xdr:row>
                    <xdr:rowOff>152400</xdr:rowOff>
                  </to>
                </anchor>
              </controlPr>
            </control>
          </mc:Choice>
        </mc:AlternateContent>
        <mc:AlternateContent xmlns:mc="http://schemas.openxmlformats.org/markup-compatibility/2006">
          <mc:Choice Requires="x14">
            <control shapeId="78861" r:id="rId15" name="Drop Down 13">
              <controlPr defaultSize="0" print="0" autoLine="0" autoPict="0" macro="[0]!brsmessage">
                <anchor moveWithCells="1">
                  <from>
                    <xdr:col>5</xdr:col>
                    <xdr:colOff>635000</xdr:colOff>
                    <xdr:row>15</xdr:row>
                    <xdr:rowOff>31750</xdr:rowOff>
                  </from>
                  <to>
                    <xdr:col>8</xdr:col>
                    <xdr:colOff>273050</xdr:colOff>
                    <xdr:row>16</xdr:row>
                    <xdr:rowOff>0</xdr:rowOff>
                  </to>
                </anchor>
              </controlPr>
            </control>
          </mc:Choice>
        </mc:AlternateContent>
        <mc:AlternateContent xmlns:mc="http://schemas.openxmlformats.org/markup-compatibility/2006">
          <mc:Choice Requires="x14">
            <control shapeId="78863" r:id="rId16" name="Button 15">
              <controlPr defaultSize="0" print="0" autoFill="0" autoLine="0" autoPict="0" macro="[0]!clear_rjsRVsection">
                <anchor moveWithCells="1" sizeWithCells="1">
                  <from>
                    <xdr:col>10</xdr:col>
                    <xdr:colOff>165100</xdr:colOff>
                    <xdr:row>26</xdr:row>
                    <xdr:rowOff>44450</xdr:rowOff>
                  </from>
                  <to>
                    <xdr:col>10</xdr:col>
                    <xdr:colOff>1060450</xdr:colOff>
                    <xdr:row>28</xdr:row>
                    <xdr:rowOff>82550</xdr:rowOff>
                  </to>
                </anchor>
              </controlPr>
            </control>
          </mc:Choice>
        </mc:AlternateContent>
        <mc:AlternateContent xmlns:mc="http://schemas.openxmlformats.org/markup-compatibility/2006">
          <mc:Choice Requires="x14">
            <control shapeId="78864" r:id="rId17" name="Button 16">
              <controlPr defaultSize="0" print="0" autoFill="0" autoPict="0" macro="[0]!helpnewrjs">
                <anchor moveWithCells="1" sizeWithCells="1">
                  <from>
                    <xdr:col>0</xdr:col>
                    <xdr:colOff>114300</xdr:colOff>
                    <xdr:row>25</xdr:row>
                    <xdr:rowOff>44450</xdr:rowOff>
                  </from>
                  <to>
                    <xdr:col>0</xdr:col>
                    <xdr:colOff>711200</xdr:colOff>
                    <xdr:row>27</xdr:row>
                    <xdr:rowOff>114300</xdr:rowOff>
                  </to>
                </anchor>
              </controlPr>
            </control>
          </mc:Choice>
        </mc:AlternateContent>
        <mc:AlternateContent xmlns:mc="http://schemas.openxmlformats.org/markup-compatibility/2006">
          <mc:Choice Requires="x14">
            <control shapeId="78865" r:id="rId18" name="Button 17">
              <controlPr defaultSize="0" print="0" autoFill="0" autoLine="0" autoPict="0" macro="[0]!reset_rjs_date">
                <anchor moveWithCells="1" sizeWithCells="1">
                  <from>
                    <xdr:col>10</xdr:col>
                    <xdr:colOff>88900</xdr:colOff>
                    <xdr:row>16</xdr:row>
                    <xdr:rowOff>152400</xdr:rowOff>
                  </from>
                  <to>
                    <xdr:col>10</xdr:col>
                    <xdr:colOff>812800</xdr:colOff>
                    <xdr:row>18</xdr:row>
                    <xdr:rowOff>6350</xdr:rowOff>
                  </to>
                </anchor>
              </controlPr>
            </control>
          </mc:Choice>
        </mc:AlternateContent>
        <mc:AlternateContent xmlns:mc="http://schemas.openxmlformats.org/markup-compatibility/2006">
          <mc:Choice Requires="x14">
            <control shapeId="78866" r:id="rId19" name="Button 18">
              <controlPr defaultSize="0" print="0" autoFill="0" autoPict="0" macro="[0]!copypaste">
                <anchor moveWithCells="1" sizeWithCells="1">
                  <from>
                    <xdr:col>12</xdr:col>
                    <xdr:colOff>31750</xdr:colOff>
                    <xdr:row>38</xdr:row>
                    <xdr:rowOff>152400</xdr:rowOff>
                  </from>
                  <to>
                    <xdr:col>12</xdr:col>
                    <xdr:colOff>812800</xdr:colOff>
                    <xdr:row>40</xdr:row>
                    <xdr:rowOff>31750</xdr:rowOff>
                  </to>
                </anchor>
              </controlPr>
            </control>
          </mc:Choice>
        </mc:AlternateContent>
        <mc:AlternateContent xmlns:mc="http://schemas.openxmlformats.org/markup-compatibility/2006">
          <mc:Choice Requires="x14">
            <control shapeId="78867" r:id="rId20" name="Button 19">
              <controlPr defaultSize="0" print="0" autoFill="0" autoPict="0" macro="[0]!goto_gllist">
                <anchor moveWithCells="1" sizeWithCells="1">
                  <from>
                    <xdr:col>5</xdr:col>
                    <xdr:colOff>76200</xdr:colOff>
                    <xdr:row>13</xdr:row>
                    <xdr:rowOff>38100</xdr:rowOff>
                  </from>
                  <to>
                    <xdr:col>5</xdr:col>
                    <xdr:colOff>482600</xdr:colOff>
                    <xdr:row>14</xdr:row>
                    <xdr:rowOff>146050</xdr:rowOff>
                  </to>
                </anchor>
              </controlPr>
            </control>
          </mc:Choice>
        </mc:AlternateContent>
        <mc:AlternateContent xmlns:mc="http://schemas.openxmlformats.org/markup-compatibility/2006">
          <mc:Choice Requires="x14">
            <control shapeId="78868" r:id="rId21" name="Button 20">
              <controlPr defaultSize="0" print="0" autoFill="0" autoPict="0" macro="[0]!goto_rcalc">
                <anchor moveWithCells="1" sizeWithCells="1">
                  <from>
                    <xdr:col>12</xdr:col>
                    <xdr:colOff>69850</xdr:colOff>
                    <xdr:row>11</xdr:row>
                    <xdr:rowOff>146050</xdr:rowOff>
                  </from>
                  <to>
                    <xdr:col>12</xdr:col>
                    <xdr:colOff>1270000</xdr:colOff>
                    <xdr:row>15</xdr:row>
                    <xdr:rowOff>6350</xdr:rowOff>
                  </to>
                </anchor>
              </controlPr>
            </control>
          </mc:Choice>
        </mc:AlternateContent>
        <mc:AlternateContent xmlns:mc="http://schemas.openxmlformats.org/markup-compatibility/2006">
          <mc:Choice Requires="x14">
            <control shapeId="78869" r:id="rId22" name="Check Box 21">
              <controlPr defaultSize="0" autoFill="0" autoLine="0" autoPict="0">
                <anchor moveWithCells="1">
                  <from>
                    <xdr:col>6</xdr:col>
                    <xdr:colOff>127000</xdr:colOff>
                    <xdr:row>18</xdr:row>
                    <xdr:rowOff>12700</xdr:rowOff>
                  </from>
                  <to>
                    <xdr:col>6</xdr:col>
                    <xdr:colOff>793750</xdr:colOff>
                    <xdr:row>19</xdr:row>
                    <xdr:rowOff>76200</xdr:rowOff>
                  </to>
                </anchor>
              </controlPr>
            </control>
          </mc:Choice>
        </mc:AlternateContent>
        <mc:AlternateContent xmlns:mc="http://schemas.openxmlformats.org/markup-compatibility/2006">
          <mc:Choice Requires="x14">
            <control shapeId="78874" r:id="rId23" name="Button 26">
              <controlPr defaultSize="0" print="0" autoFill="0" autoPict="0" macro="[0]!goto_rcalc">
                <anchor moveWithCells="1" sizeWithCells="1">
                  <from>
                    <xdr:col>12</xdr:col>
                    <xdr:colOff>107950</xdr:colOff>
                    <xdr:row>25</xdr:row>
                    <xdr:rowOff>31750</xdr:rowOff>
                  </from>
                  <to>
                    <xdr:col>12</xdr:col>
                    <xdr:colOff>1308100</xdr:colOff>
                    <xdr:row>29</xdr:row>
                    <xdr:rowOff>44450</xdr:rowOff>
                  </to>
                </anchor>
              </controlPr>
            </control>
          </mc:Choice>
        </mc:AlternateContent>
        <mc:AlternateContent xmlns:mc="http://schemas.openxmlformats.org/markup-compatibility/2006">
          <mc:Choice Requires="x14">
            <control shapeId="78875" r:id="rId24" name="Check Box 27">
              <controlPr defaultSize="0" autoFill="0" autoLine="0" autoPict="0">
                <anchor moveWithCells="1">
                  <from>
                    <xdr:col>6</xdr:col>
                    <xdr:colOff>127000</xdr:colOff>
                    <xdr:row>19</xdr:row>
                    <xdr:rowOff>76200</xdr:rowOff>
                  </from>
                  <to>
                    <xdr:col>6</xdr:col>
                    <xdr:colOff>793750</xdr:colOff>
                    <xdr:row>20</xdr:row>
                    <xdr:rowOff>139700</xdr:rowOff>
                  </to>
                </anchor>
              </controlPr>
            </control>
          </mc:Choice>
        </mc:AlternateContent>
        <mc:AlternateContent xmlns:mc="http://schemas.openxmlformats.org/markup-compatibility/2006">
          <mc:Choice Requires="x14">
            <control shapeId="78876" r:id="rId25" name="Check Box 28">
              <controlPr defaultSize="0" autoFill="0" autoLine="0" autoPict="0">
                <anchor moveWithCells="1">
                  <from>
                    <xdr:col>6</xdr:col>
                    <xdr:colOff>127000</xdr:colOff>
                    <xdr:row>20</xdr:row>
                    <xdr:rowOff>139700</xdr:rowOff>
                  </from>
                  <to>
                    <xdr:col>6</xdr:col>
                    <xdr:colOff>793750</xdr:colOff>
                    <xdr:row>22</xdr:row>
                    <xdr:rowOff>31750</xdr:rowOff>
                  </to>
                </anchor>
              </controlPr>
            </control>
          </mc:Choice>
        </mc:AlternateContent>
        <mc:AlternateContent xmlns:mc="http://schemas.openxmlformats.org/markup-compatibility/2006">
          <mc:Choice Requires="x14">
            <control shapeId="78877" r:id="rId26" name="Check Box 29">
              <controlPr defaultSize="0" autoFill="0" autoLine="0" autoPict="0">
                <anchor moveWithCells="1">
                  <from>
                    <xdr:col>9</xdr:col>
                    <xdr:colOff>177800</xdr:colOff>
                    <xdr:row>18</xdr:row>
                    <xdr:rowOff>12700</xdr:rowOff>
                  </from>
                  <to>
                    <xdr:col>9</xdr:col>
                    <xdr:colOff>838200</xdr:colOff>
                    <xdr:row>19</xdr:row>
                    <xdr:rowOff>76200</xdr:rowOff>
                  </to>
                </anchor>
              </controlPr>
            </control>
          </mc:Choice>
        </mc:AlternateContent>
        <mc:AlternateContent xmlns:mc="http://schemas.openxmlformats.org/markup-compatibility/2006">
          <mc:Choice Requires="x14">
            <control shapeId="78878" r:id="rId27" name="Check Box 30">
              <controlPr defaultSize="0" autoFill="0" autoLine="0" autoPict="0">
                <anchor moveWithCells="1">
                  <from>
                    <xdr:col>9</xdr:col>
                    <xdr:colOff>177800</xdr:colOff>
                    <xdr:row>19</xdr:row>
                    <xdr:rowOff>76200</xdr:rowOff>
                  </from>
                  <to>
                    <xdr:col>9</xdr:col>
                    <xdr:colOff>838200</xdr:colOff>
                    <xdr:row>20</xdr:row>
                    <xdr:rowOff>139700</xdr:rowOff>
                  </to>
                </anchor>
              </controlPr>
            </control>
          </mc:Choice>
        </mc:AlternateContent>
        <mc:AlternateContent xmlns:mc="http://schemas.openxmlformats.org/markup-compatibility/2006">
          <mc:Choice Requires="x14">
            <control shapeId="78879" r:id="rId28" name="Check Box 31">
              <controlPr defaultSize="0" autoFill="0" autoLine="0" autoPict="0">
                <anchor moveWithCells="1">
                  <from>
                    <xdr:col>9</xdr:col>
                    <xdr:colOff>177800</xdr:colOff>
                    <xdr:row>20</xdr:row>
                    <xdr:rowOff>139700</xdr:rowOff>
                  </from>
                  <to>
                    <xdr:col>9</xdr:col>
                    <xdr:colOff>838200</xdr:colOff>
                    <xdr:row>22</xdr:row>
                    <xdr:rowOff>31750</xdr:rowOff>
                  </to>
                </anchor>
              </controlPr>
            </control>
          </mc:Choice>
        </mc:AlternateContent>
        <mc:AlternateContent xmlns:mc="http://schemas.openxmlformats.org/markup-compatibility/2006">
          <mc:Choice Requires="x14">
            <control shapeId="78913" r:id="rId29" name="Button 65">
              <controlPr defaultSize="0" print="0" autoFill="0" autoPict="0" macro="[0]!copy_as_excel">
                <anchor moveWithCells="1" sizeWithCells="1">
                  <from>
                    <xdr:col>9</xdr:col>
                    <xdr:colOff>800100</xdr:colOff>
                    <xdr:row>0</xdr:row>
                    <xdr:rowOff>368300</xdr:rowOff>
                  </from>
                  <to>
                    <xdr:col>10</xdr:col>
                    <xdr:colOff>546100</xdr:colOff>
                    <xdr:row>1</xdr:row>
                    <xdr:rowOff>196850</xdr:rowOff>
                  </to>
                </anchor>
              </controlPr>
            </control>
          </mc:Choice>
        </mc:AlternateContent>
        <mc:AlternateContent xmlns:mc="http://schemas.openxmlformats.org/markup-compatibility/2006">
          <mc:Choice Requires="x14">
            <control shapeId="78914" r:id="rId30" name="Button 66">
              <controlPr defaultSize="0" print="0" autoFill="0" autoPict="0" macro="[0]!pdflauncher">
                <anchor moveWithCells="1" sizeWithCells="1">
                  <from>
                    <xdr:col>10</xdr:col>
                    <xdr:colOff>558800</xdr:colOff>
                    <xdr:row>0</xdr:row>
                    <xdr:rowOff>368300</xdr:rowOff>
                  </from>
                  <to>
                    <xdr:col>12</xdr:col>
                    <xdr:colOff>31750</xdr:colOff>
                    <xdr:row>1</xdr:row>
                    <xdr:rowOff>196850</xdr:rowOff>
                  </to>
                </anchor>
              </controlPr>
            </control>
          </mc:Choice>
        </mc:AlternateContent>
        <mc:AlternateContent xmlns:mc="http://schemas.openxmlformats.org/markup-compatibility/2006">
          <mc:Choice Requires="x14">
            <control shapeId="78915" r:id="rId31" name="Button 67">
              <controlPr defaultSize="0" print="0" autoFill="0" autoPict="0" macro="[0]!openfolder">
                <anchor moveWithCells="1" sizeWithCells="1">
                  <from>
                    <xdr:col>12</xdr:col>
                    <xdr:colOff>38100</xdr:colOff>
                    <xdr:row>0</xdr:row>
                    <xdr:rowOff>368300</xdr:rowOff>
                  </from>
                  <to>
                    <xdr:col>12</xdr:col>
                    <xdr:colOff>565150</xdr:colOff>
                    <xdr:row>1</xdr:row>
                    <xdr:rowOff>196850</xdr:rowOff>
                  </to>
                </anchor>
              </controlPr>
            </control>
          </mc:Choice>
        </mc:AlternateContent>
        <mc:AlternateContent xmlns:mc="http://schemas.openxmlformats.org/markup-compatibility/2006">
          <mc:Choice Requires="x14">
            <control shapeId="78916" r:id="rId32" name="Button 68">
              <controlPr defaultSize="0" print="0" autoFill="0" autoPict="0" macro="[0]!goto_folder_settings">
                <anchor moveWithCells="1" sizeWithCells="1">
                  <from>
                    <xdr:col>12</xdr:col>
                    <xdr:colOff>577850</xdr:colOff>
                    <xdr:row>0</xdr:row>
                    <xdr:rowOff>368300</xdr:rowOff>
                  </from>
                  <to>
                    <xdr:col>12</xdr:col>
                    <xdr:colOff>1104900</xdr:colOff>
                    <xdr:row>1</xdr:row>
                    <xdr:rowOff>196850</xdr:rowOff>
                  </to>
                </anchor>
              </controlPr>
            </control>
          </mc:Choice>
        </mc:AlternateContent>
        <mc:AlternateContent xmlns:mc="http://schemas.openxmlformats.org/markup-compatibility/2006">
          <mc:Choice Requires="x14">
            <control shapeId="78917" r:id="rId33" name="Button 69">
              <controlPr defaultSize="0" print="0" autoFill="0" autoPict="0" macro="[0]!email_pdf_launch">
                <anchor moveWithCells="1" sizeWithCells="1">
                  <from>
                    <xdr:col>10</xdr:col>
                    <xdr:colOff>698500</xdr:colOff>
                    <xdr:row>0</xdr:row>
                    <xdr:rowOff>50800</xdr:rowOff>
                  </from>
                  <to>
                    <xdr:col>12</xdr:col>
                    <xdr:colOff>177800</xdr:colOff>
                    <xdr:row>0</xdr:row>
                    <xdr:rowOff>349250</xdr:rowOff>
                  </to>
                </anchor>
              </controlPr>
            </control>
          </mc:Choice>
        </mc:AlternateContent>
        <mc:AlternateContent xmlns:mc="http://schemas.openxmlformats.org/markup-compatibility/2006">
          <mc:Choice Requires="x14">
            <control shapeId="78918" r:id="rId34" name="Button 70">
              <controlPr defaultSize="0" print="0" autoFill="0" autoPict="0" macro="[0]!email_copy_as_excel">
                <anchor moveWithCells="1" sizeWithCells="1">
                  <from>
                    <xdr:col>9</xdr:col>
                    <xdr:colOff>800100</xdr:colOff>
                    <xdr:row>0</xdr:row>
                    <xdr:rowOff>50800</xdr:rowOff>
                  </from>
                  <to>
                    <xdr:col>10</xdr:col>
                    <xdr:colOff>692150</xdr:colOff>
                    <xdr:row>0</xdr:row>
                    <xdr:rowOff>349250</xdr:rowOff>
                  </to>
                </anchor>
              </controlPr>
            </control>
          </mc:Choice>
        </mc:AlternateContent>
        <mc:AlternateContent xmlns:mc="http://schemas.openxmlformats.org/markup-compatibility/2006">
          <mc:Choice Requires="x14">
            <control shapeId="78919" r:id="rId35" name="Button 71">
              <controlPr defaultSize="0" print="0" autoFill="0" autoPict="0" macro="[0]!emailsettings">
                <anchor moveWithCells="1" sizeWithCells="1">
                  <from>
                    <xdr:col>12</xdr:col>
                    <xdr:colOff>184150</xdr:colOff>
                    <xdr:row>0</xdr:row>
                    <xdr:rowOff>50800</xdr:rowOff>
                  </from>
                  <to>
                    <xdr:col>12</xdr:col>
                    <xdr:colOff>1104900</xdr:colOff>
                    <xdr:row>0</xdr:row>
                    <xdr:rowOff>349250</xdr:rowOff>
                  </to>
                </anchor>
              </controlPr>
            </control>
          </mc:Choice>
        </mc:AlternateContent>
        <mc:AlternateContent xmlns:mc="http://schemas.openxmlformats.org/markup-compatibility/2006">
          <mc:Choice Requires="x14">
            <control shapeId="78920" r:id="rId36" name="Button 72">
              <controlPr defaultSize="0" print="0" autoFill="0" autoPict="0" macro="[0]!cancelcopypaste">
                <anchor moveWithCells="1" sizeWithCells="1">
                  <from>
                    <xdr:col>12</xdr:col>
                    <xdr:colOff>831850</xdr:colOff>
                    <xdr:row>38</xdr:row>
                    <xdr:rowOff>152400</xdr:rowOff>
                  </from>
                  <to>
                    <xdr:col>12</xdr:col>
                    <xdr:colOff>1612900</xdr:colOff>
                    <xdr:row>40</xdr:row>
                    <xdr:rowOff>31750</xdr:rowOff>
                  </to>
                </anchor>
              </controlPr>
            </control>
          </mc:Choice>
        </mc:AlternateContent>
        <mc:AlternateContent xmlns:mc="http://schemas.openxmlformats.org/markup-compatibility/2006">
          <mc:Choice Requires="x14">
            <control shapeId="78921" r:id="rId37" name="Check Box 73">
              <controlPr defaultSize="0" autoFill="0" autoLine="0" autoPict="0">
                <anchor moveWithCells="1">
                  <from>
                    <xdr:col>6</xdr:col>
                    <xdr:colOff>127000</xdr:colOff>
                    <xdr:row>22</xdr:row>
                    <xdr:rowOff>38100</xdr:rowOff>
                  </from>
                  <to>
                    <xdr:col>6</xdr:col>
                    <xdr:colOff>793750</xdr:colOff>
                    <xdr:row>23</xdr:row>
                    <xdr:rowOff>101600</xdr:rowOff>
                  </to>
                </anchor>
              </controlPr>
            </control>
          </mc:Choice>
        </mc:AlternateContent>
        <mc:AlternateContent xmlns:mc="http://schemas.openxmlformats.org/markup-compatibility/2006">
          <mc:Choice Requires="x14">
            <control shapeId="78922" r:id="rId38" name="Check Box 74">
              <controlPr defaultSize="0" autoFill="0" autoLine="0" autoPict="0">
                <anchor moveWithCells="1">
                  <from>
                    <xdr:col>9</xdr:col>
                    <xdr:colOff>177800</xdr:colOff>
                    <xdr:row>22</xdr:row>
                    <xdr:rowOff>38100</xdr:rowOff>
                  </from>
                  <to>
                    <xdr:col>9</xdr:col>
                    <xdr:colOff>838200</xdr:colOff>
                    <xdr:row>23</xdr:row>
                    <xdr:rowOff>101600</xdr:rowOff>
                  </to>
                </anchor>
              </controlPr>
            </control>
          </mc:Choice>
        </mc:AlternateContent>
        <mc:AlternateContent xmlns:mc="http://schemas.openxmlformats.org/markup-compatibility/2006">
          <mc:Choice Requires="x14">
            <control shapeId="78926" r:id="rId39" name="globalbacktobutton">
              <controlPr defaultSize="0" print="0" autoFill="0" autoPict="0" macro="[0]!backto">
                <anchor moveWithCells="1" sizeWithCells="1">
                  <from>
                    <xdr:col>12</xdr:col>
                    <xdr:colOff>228600</xdr:colOff>
                    <xdr:row>2</xdr:row>
                    <xdr:rowOff>101600</xdr:rowOff>
                  </from>
                  <to>
                    <xdr:col>12</xdr:col>
                    <xdr:colOff>1104900</xdr:colOff>
                    <xdr:row>5</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1B440-B92C-4A33-8196-76FDBD9085A4}">
  <sheetPr codeName="Sheet102"/>
  <dimension ref="A1:AN109"/>
  <sheetViews>
    <sheetView showGridLines="0" workbookViewId="0">
      <selection activeCell="C5" sqref="C5"/>
    </sheetView>
  </sheetViews>
  <sheetFormatPr defaultColWidth="9.08984375" defaultRowHeight="12.5" x14ac:dyDescent="0.25"/>
  <cols>
    <col min="1" max="1" width="12" style="1493" customWidth="1"/>
    <col min="2" max="2" width="1.453125" style="1493" customWidth="1"/>
    <col min="3" max="3" width="18" style="1493" customWidth="1"/>
    <col min="4" max="4" width="18.08984375" style="1493" customWidth="1"/>
    <col min="5" max="5" width="23" style="1493" customWidth="1"/>
    <col min="6" max="6" width="1.08984375" style="1493" customWidth="1"/>
    <col min="7" max="7" width="14.08984375" style="1493" customWidth="1"/>
    <col min="8" max="8" width="13.453125" style="1493" customWidth="1"/>
    <col min="9" max="9" width="2.453125" style="1493" customWidth="1"/>
    <col min="10" max="10" width="1.453125" style="1493" customWidth="1"/>
    <col min="11" max="11" width="7.6328125" style="1493" customWidth="1"/>
    <col min="12" max="12" width="16.90625" style="1493" customWidth="1"/>
    <col min="13" max="13" width="2" style="1493" customWidth="1"/>
    <col min="14" max="14" width="15.453125" style="1493" customWidth="1"/>
    <col min="15" max="15" width="12.6328125" style="1597" hidden="1" customWidth="1"/>
    <col min="16" max="16" width="12" style="1597" hidden="1" customWidth="1"/>
    <col min="17" max="17" width="12.54296875" style="1597" hidden="1" customWidth="1"/>
    <col min="18" max="18" width="9.08984375" style="1493" hidden="1" customWidth="1"/>
    <col min="19" max="19" width="13" style="1493" hidden="1" customWidth="1"/>
    <col min="20" max="20" width="11.54296875" style="1493" hidden="1" customWidth="1"/>
    <col min="21" max="21" width="9.08984375" style="1493" hidden="1" customWidth="1"/>
    <col min="22" max="22" width="12.6328125" style="1493" hidden="1" customWidth="1"/>
    <col min="23" max="27" width="9.08984375" style="1493" hidden="1" customWidth="1"/>
    <col min="28" max="28" width="12.54296875" style="1493" hidden="1" customWidth="1"/>
    <col min="29" max="32" width="9.08984375" style="1493" hidden="1" customWidth="1"/>
    <col min="33" max="33" width="12" style="1493" hidden="1" customWidth="1"/>
    <col min="34" max="34" width="13" style="1493" hidden="1" customWidth="1"/>
    <col min="35" max="37" width="9.08984375" style="1493" hidden="1" customWidth="1"/>
    <col min="38" max="39" width="9.08984375" style="1493"/>
    <col min="40" max="40" width="106" style="1493" customWidth="1"/>
    <col min="41" max="16384" width="9.08984375" style="1493"/>
  </cols>
  <sheetData>
    <row r="1" spans="1:40" ht="54" customHeight="1" x14ac:dyDescent="0.35">
      <c r="A1" s="1560"/>
      <c r="B1" s="1618" t="s">
        <v>157</v>
      </c>
      <c r="C1" s="1619"/>
      <c r="D1" s="1619"/>
      <c r="E1" s="1620"/>
      <c r="F1" s="1560"/>
      <c r="G1" s="1618" t="s">
        <v>107</v>
      </c>
      <c r="H1" s="1619"/>
      <c r="I1" s="1619"/>
      <c r="J1" s="1619"/>
      <c r="K1" s="1619"/>
      <c r="L1" s="1620"/>
      <c r="M1" s="1560"/>
      <c r="N1" s="1560"/>
      <c r="O1" s="1623"/>
      <c r="P1" s="1623"/>
      <c r="Q1" s="1623"/>
      <c r="R1" s="1623"/>
      <c r="S1" s="1564" t="s">
        <v>2685</v>
      </c>
      <c r="T1" s="1653"/>
      <c r="U1" s="1623"/>
      <c r="V1" s="1623"/>
      <c r="W1" s="1623"/>
      <c r="X1" s="1623"/>
      <c r="Y1" s="1623"/>
      <c r="Z1" s="1623"/>
      <c r="AA1" s="1623" t="s">
        <v>164</v>
      </c>
      <c r="AB1" s="1623"/>
      <c r="AC1" s="1623"/>
      <c r="AD1" s="1623"/>
      <c r="AE1" s="1623"/>
      <c r="AF1" s="1623"/>
      <c r="AG1" s="1623"/>
      <c r="AH1" s="1623"/>
      <c r="AI1" s="1623"/>
      <c r="AJ1" s="1623"/>
      <c r="AK1" s="1623"/>
      <c r="AL1" s="1560"/>
      <c r="AM1" s="1560"/>
      <c r="AN1" s="1560"/>
    </row>
    <row r="2" spans="1:40" ht="18" customHeight="1" x14ac:dyDescent="0.3">
      <c r="A2" s="1560"/>
      <c r="B2" s="1562"/>
      <c r="C2" s="1621"/>
      <c r="D2" s="1621"/>
      <c r="E2" s="1621"/>
      <c r="F2" s="1621"/>
      <c r="G2" s="1562"/>
      <c r="H2" s="1562"/>
      <c r="I2" s="1622"/>
      <c r="J2" s="1622"/>
      <c r="K2" s="1562"/>
      <c r="L2" s="1562"/>
      <c r="M2" s="1560"/>
      <c r="N2" s="1560"/>
      <c r="T2" s="1577">
        <v>0</v>
      </c>
      <c r="AG2" s="1623"/>
      <c r="AH2" s="1623"/>
      <c r="AI2" s="1623"/>
      <c r="AJ2" s="1623"/>
      <c r="AK2" s="1623"/>
      <c r="AL2" s="1560"/>
      <c r="AM2" s="1560"/>
      <c r="AN2" s="1560"/>
    </row>
    <row r="3" spans="1:40" ht="21" customHeight="1" x14ac:dyDescent="0.35">
      <c r="A3" s="1560"/>
      <c r="B3" s="1562"/>
      <c r="C3" s="1624" t="s">
        <v>833</v>
      </c>
      <c r="D3" s="1625"/>
      <c r="E3" s="1626"/>
      <c r="F3" s="1626"/>
      <c r="G3" s="1627" t="str">
        <f>IF($X$4=0,"input has changed, please recalculate","")</f>
        <v>input has changed, please recalculate</v>
      </c>
      <c r="H3" s="1628"/>
      <c r="I3" s="1629"/>
      <c r="J3" s="1629"/>
      <c r="K3" s="1630"/>
      <c r="L3" s="1630"/>
      <c r="M3" s="1631"/>
      <c r="N3" s="1560"/>
      <c r="O3" s="1597" t="b">
        <f>AND(O6&lt;=D3,D3&lt;O12)</f>
        <v>0</v>
      </c>
      <c r="V3" s="1632">
        <v>45017</v>
      </c>
      <c r="W3" s="1493" t="b">
        <f>V3=D3</f>
        <v>0</v>
      </c>
      <c r="Z3" s="1633">
        <v>0</v>
      </c>
      <c r="AA3" s="1492"/>
      <c r="AB3" s="1634">
        <v>45017</v>
      </c>
      <c r="AC3" s="1492"/>
      <c r="AD3" s="1492"/>
      <c r="AE3" s="1492"/>
      <c r="AG3" s="1623"/>
      <c r="AH3" s="1623"/>
      <c r="AI3" s="1623"/>
      <c r="AJ3" s="1623"/>
      <c r="AK3" s="1623"/>
      <c r="AL3" s="1560"/>
      <c r="AM3" s="1560"/>
      <c r="AN3" s="1560"/>
    </row>
    <row r="4" spans="1:40" ht="54" customHeight="1" x14ac:dyDescent="0.35">
      <c r="A4" s="1560"/>
      <c r="B4" s="1562"/>
      <c r="C4" s="1635" t="str">
        <f>IF($Z$4=1,"Please Wait " &amp; $Z$3,AA4)</f>
        <v>Prior List RV or 0 if none</v>
      </c>
      <c r="D4" s="1635" t="str">
        <f>IF($Z$4=1,"Please Wait " &amp; $Z$3,AB4)</f>
        <v>RV at Start of List or 0 if none</v>
      </c>
      <c r="E4" s="1635" t="str">
        <f>IF($Z$4=1,"Please Wait " &amp; $Z$3,AC4)</f>
        <v>RV on Day Before Recon (MUST be entered and greater than 0)</v>
      </c>
      <c r="F4" s="1562"/>
      <c r="G4" s="1636" t="s">
        <v>100</v>
      </c>
      <c r="H4" s="1636" t="s">
        <v>104</v>
      </c>
      <c r="I4" s="1560"/>
      <c r="J4" s="1637"/>
      <c r="K4" s="1638" t="str">
        <f>rjs!D33</f>
        <v>England</v>
      </c>
      <c r="L4" s="1639"/>
      <c r="M4" s="1640"/>
      <c r="N4" s="1560"/>
      <c r="S4" s="1641" t="s">
        <v>797</v>
      </c>
      <c r="T4" s="1492" t="b">
        <f>S4=K4</f>
        <v>1</v>
      </c>
      <c r="U4" s="1642"/>
      <c r="V4" s="1642"/>
      <c r="W4" s="1642"/>
      <c r="X4" s="1493">
        <f>IF(OR(W3=FALSE,T4=FALSE),0,MIN(Y:Y))</f>
        <v>0</v>
      </c>
      <c r="Z4" s="1633">
        <v>0</v>
      </c>
      <c r="AA4" s="1643" t="s">
        <v>165</v>
      </c>
      <c r="AB4" s="1643" t="s">
        <v>166</v>
      </c>
      <c r="AC4" s="1643" t="s">
        <v>167</v>
      </c>
      <c r="AD4" s="1644" t="s">
        <v>437</v>
      </c>
      <c r="AE4" s="1644" t="s">
        <v>53</v>
      </c>
      <c r="AF4" s="1492" t="s">
        <v>797</v>
      </c>
      <c r="AG4" s="1645" t="s">
        <v>100</v>
      </c>
      <c r="AH4" s="1645" t="s">
        <v>104</v>
      </c>
      <c r="AI4" s="1623"/>
      <c r="AJ4" s="1623"/>
      <c r="AK4" s="1623"/>
      <c r="AL4" s="1560"/>
      <c r="AM4" s="1560"/>
      <c r="AN4" s="1560"/>
    </row>
    <row r="5" spans="1:40" ht="15.75" customHeight="1" x14ac:dyDescent="0.35">
      <c r="A5" s="1560"/>
      <c r="B5" s="1562"/>
      <c r="C5" s="1646"/>
      <c r="D5" s="1646"/>
      <c r="E5" s="1647">
        <f t="shared" ref="E5:E36" si="0">D5</f>
        <v>0</v>
      </c>
      <c r="F5" s="1562"/>
      <c r="G5" s="1648" t="str">
        <f>IF(T2=1,"Please Wait",IF($X$4=0,"click the button",IF(AG5&gt;0,AG5*$X$4,"")))</f>
        <v>click the button</v>
      </c>
      <c r="H5" s="1649">
        <f t="shared" ref="H5:H36" si="1">IF(AH5&gt;0,AH5*$X$4,"")</f>
        <v>0</v>
      </c>
      <c r="I5" s="1560"/>
      <c r="J5" s="1637"/>
      <c r="K5" s="1650" t="s">
        <v>168</v>
      </c>
      <c r="L5" s="1651">
        <f>S5*X4</f>
        <v>0</v>
      </c>
      <c r="M5" s="1640"/>
      <c r="N5" s="1560"/>
      <c r="O5" s="1571" t="s">
        <v>96</v>
      </c>
      <c r="P5" s="1571" t="e">
        <f>VLOOKUP(D3,O6:P13,2)</f>
        <v>#N/A</v>
      </c>
      <c r="Q5" s="1571" t="s">
        <v>267</v>
      </c>
      <c r="S5" s="1652"/>
      <c r="T5" s="1492"/>
      <c r="U5" s="1492"/>
      <c r="V5" s="1492"/>
      <c r="W5" s="1492"/>
      <c r="X5" s="1493" t="b">
        <f t="shared" ref="X5:X36" si="2">AND(C5=U5,D5=V5,E5=W5)</f>
        <v>1</v>
      </c>
      <c r="Y5" s="1493">
        <f t="shared" ref="Y5:Y36" si="3">X5*1</f>
        <v>1</v>
      </c>
      <c r="Z5" s="1492"/>
      <c r="AA5" s="1492"/>
      <c r="AB5" s="1492"/>
      <c r="AC5" s="1492"/>
      <c r="AD5" s="1492"/>
      <c r="AE5" s="1492"/>
      <c r="AG5" s="1653">
        <v>358400</v>
      </c>
      <c r="AH5" s="1653">
        <v>700000</v>
      </c>
      <c r="AI5" s="1652">
        <v>358400</v>
      </c>
      <c r="AJ5" s="1623"/>
      <c r="AK5" s="1623"/>
      <c r="AL5" s="1560"/>
      <c r="AM5" s="1560"/>
      <c r="AN5" s="1560"/>
    </row>
    <row r="6" spans="1:40" ht="15.75" customHeight="1" x14ac:dyDescent="0.35">
      <c r="A6" s="1560"/>
      <c r="B6" s="1562"/>
      <c r="C6" s="1646"/>
      <c r="D6" s="1646"/>
      <c r="E6" s="1647">
        <f t="shared" si="0"/>
        <v>0</v>
      </c>
      <c r="F6" s="1562"/>
      <c r="G6" s="1648" t="str">
        <f t="shared" ref="G6:G37" si="4">IF(AG6&gt;0,AG6*$X$4,"")</f>
        <v/>
      </c>
      <c r="H6" s="1649" t="str">
        <f t="shared" si="1"/>
        <v/>
      </c>
      <c r="I6" s="1560"/>
      <c r="J6" s="1637"/>
      <c r="K6" s="1650" t="s">
        <v>169</v>
      </c>
      <c r="L6" s="1654">
        <f>S6*X4</f>
        <v>0</v>
      </c>
      <c r="M6" s="1640"/>
      <c r="N6" s="1560"/>
      <c r="O6" s="1617">
        <f>text!B9</f>
        <v>45017</v>
      </c>
      <c r="P6" s="1597">
        <v>1</v>
      </c>
      <c r="Q6" s="1617">
        <f>text!C9</f>
        <v>45382</v>
      </c>
      <c r="S6" s="1652"/>
      <c r="T6" s="1492"/>
      <c r="U6" s="1492"/>
      <c r="V6" s="1492"/>
      <c r="W6" s="1492"/>
      <c r="X6" s="1493" t="b">
        <f t="shared" si="2"/>
        <v>1</v>
      </c>
      <c r="Y6" s="1493">
        <f t="shared" si="3"/>
        <v>1</v>
      </c>
      <c r="Z6" s="1492"/>
      <c r="AA6" s="1492"/>
      <c r="AB6" s="1492"/>
      <c r="AC6" s="1492"/>
      <c r="AD6" s="1492"/>
      <c r="AE6" s="1492"/>
      <c r="AG6" s="1653"/>
      <c r="AH6" s="1653"/>
      <c r="AI6" s="1652">
        <v>700000</v>
      </c>
      <c r="AJ6" s="1623"/>
      <c r="AK6" s="1623"/>
      <c r="AL6" s="1560"/>
      <c r="AM6" s="1560"/>
      <c r="AN6" s="1560"/>
    </row>
    <row r="7" spans="1:40" ht="15.75" customHeight="1" x14ac:dyDescent="0.35">
      <c r="A7" s="1560"/>
      <c r="B7" s="1562"/>
      <c r="C7" s="1646"/>
      <c r="D7" s="1646"/>
      <c r="E7" s="1647">
        <f t="shared" si="0"/>
        <v>0</v>
      </c>
      <c r="F7" s="1562"/>
      <c r="G7" s="1648" t="str">
        <f t="shared" si="4"/>
        <v/>
      </c>
      <c r="H7" s="1649" t="str">
        <f t="shared" si="1"/>
        <v/>
      </c>
      <c r="I7" s="1560"/>
      <c r="J7" s="1637"/>
      <c r="K7" s="1655" t="str">
        <f>"Eff Date "&amp;TEXT(D3,"dd/mm/yy")</f>
        <v>Eff Date 00/01/00</v>
      </c>
      <c r="L7" s="1639"/>
      <c r="M7" s="1640"/>
      <c r="N7" s="1560"/>
      <c r="O7" s="1617">
        <f>text!B10</f>
        <v>45383</v>
      </c>
      <c r="P7" s="1597">
        <v>2</v>
      </c>
      <c r="Q7" s="1617">
        <f>text!C10</f>
        <v>45747</v>
      </c>
      <c r="S7" s="1492"/>
      <c r="T7" s="1492"/>
      <c r="U7" s="1492"/>
      <c r="V7" s="1492"/>
      <c r="W7" s="1492"/>
      <c r="X7" s="1493" t="b">
        <f t="shared" si="2"/>
        <v>1</v>
      </c>
      <c r="Y7" s="1493">
        <f t="shared" si="3"/>
        <v>1</v>
      </c>
      <c r="Z7" s="1492"/>
      <c r="AA7" s="1492"/>
      <c r="AB7" s="1492"/>
      <c r="AC7" s="1492"/>
      <c r="AD7" s="1492"/>
      <c r="AE7" s="1492"/>
      <c r="AG7" s="1653"/>
      <c r="AH7" s="1653"/>
      <c r="AI7" s="1623"/>
      <c r="AJ7" s="1623"/>
      <c r="AK7" s="1623"/>
      <c r="AL7" s="1560"/>
      <c r="AM7" s="1560"/>
      <c r="AN7" s="1560"/>
    </row>
    <row r="8" spans="1:40" ht="15.75" customHeight="1" x14ac:dyDescent="0.25">
      <c r="A8" s="1560"/>
      <c r="B8" s="1562"/>
      <c r="C8" s="1646"/>
      <c r="D8" s="1646"/>
      <c r="E8" s="1647">
        <f t="shared" si="0"/>
        <v>0</v>
      </c>
      <c r="F8" s="1562"/>
      <c r="G8" s="1648" t="str">
        <f t="shared" si="4"/>
        <v/>
      </c>
      <c r="H8" s="1649" t="str">
        <f t="shared" si="1"/>
        <v/>
      </c>
      <c r="I8" s="1560"/>
      <c r="J8" s="1637"/>
      <c r="K8" s="1639"/>
      <c r="L8" s="1639"/>
      <c r="M8" s="1640"/>
      <c r="N8" s="1560"/>
      <c r="O8" s="1617">
        <f>text!B11</f>
        <v>45748</v>
      </c>
      <c r="P8" s="1597">
        <v>3</v>
      </c>
      <c r="Q8" s="1617">
        <f>text!C11</f>
        <v>46112</v>
      </c>
      <c r="S8" s="1492"/>
      <c r="T8" s="1492"/>
      <c r="U8" s="1492"/>
      <c r="V8" s="1492"/>
      <c r="W8" s="1492"/>
      <c r="X8" s="1493" t="b">
        <f t="shared" si="2"/>
        <v>1</v>
      </c>
      <c r="Y8" s="1493">
        <f t="shared" si="3"/>
        <v>1</v>
      </c>
      <c r="Z8" s="1492"/>
      <c r="AA8" s="1492"/>
      <c r="AB8" s="1492"/>
      <c r="AC8" s="1492"/>
      <c r="AD8" s="1492"/>
      <c r="AE8" s="1492"/>
      <c r="AG8" s="1653"/>
      <c r="AH8" s="1653"/>
      <c r="AI8" s="1623"/>
      <c r="AJ8" s="1623"/>
      <c r="AK8" s="1623"/>
      <c r="AL8" s="1560"/>
      <c r="AM8" s="1560"/>
      <c r="AN8" s="1560"/>
    </row>
    <row r="9" spans="1:40" ht="15.75" customHeight="1" x14ac:dyDescent="0.25">
      <c r="A9" s="1560"/>
      <c r="B9" s="1562"/>
      <c r="C9" s="1646"/>
      <c r="D9" s="1646"/>
      <c r="E9" s="1647">
        <f t="shared" si="0"/>
        <v>0</v>
      </c>
      <c r="F9" s="1562"/>
      <c r="G9" s="1648" t="str">
        <f t="shared" si="4"/>
        <v/>
      </c>
      <c r="H9" s="1649" t="str">
        <f t="shared" si="1"/>
        <v/>
      </c>
      <c r="I9" s="1560"/>
      <c r="J9" s="1637"/>
      <c r="K9" s="1639"/>
      <c r="L9" s="1639"/>
      <c r="M9" s="1640"/>
      <c r="N9" s="1560"/>
      <c r="O9" s="1617">
        <f>text!B12</f>
        <v>46113</v>
      </c>
      <c r="P9" s="1597">
        <v>4</v>
      </c>
      <c r="Q9" s="1617">
        <f>text!C12</f>
        <v>46477</v>
      </c>
      <c r="S9" s="1492"/>
      <c r="T9" s="1492"/>
      <c r="U9" s="1492"/>
      <c r="V9" s="1492"/>
      <c r="W9" s="1492"/>
      <c r="X9" s="1493" t="b">
        <f t="shared" si="2"/>
        <v>1</v>
      </c>
      <c r="Y9" s="1493">
        <f t="shared" si="3"/>
        <v>1</v>
      </c>
      <c r="Z9" s="1492"/>
      <c r="AA9" s="1492"/>
      <c r="AB9" s="1492"/>
      <c r="AC9" s="1492"/>
      <c r="AD9" s="1492"/>
      <c r="AE9" s="1492"/>
      <c r="AG9" s="1653"/>
      <c r="AH9" s="1653"/>
      <c r="AI9" s="1623"/>
      <c r="AJ9" s="1623"/>
      <c r="AK9" s="1623"/>
      <c r="AL9" s="1560"/>
      <c r="AM9" s="1560"/>
      <c r="AN9" s="1560"/>
    </row>
    <row r="10" spans="1:40" ht="15.75" customHeight="1" x14ac:dyDescent="0.25">
      <c r="A10" s="1560"/>
      <c r="B10" s="1562"/>
      <c r="C10" s="1646"/>
      <c r="D10" s="1646"/>
      <c r="E10" s="1647">
        <f t="shared" si="0"/>
        <v>0</v>
      </c>
      <c r="F10" s="1562"/>
      <c r="G10" s="1648" t="str">
        <f t="shared" si="4"/>
        <v/>
      </c>
      <c r="H10" s="1649" t="str">
        <f t="shared" si="1"/>
        <v/>
      </c>
      <c r="I10" s="1560"/>
      <c r="J10" s="1637"/>
      <c r="K10" s="1639"/>
      <c r="L10" s="1639"/>
      <c r="M10" s="1640"/>
      <c r="N10" s="1560"/>
      <c r="O10" s="1617">
        <f>text!B13</f>
        <v>46478</v>
      </c>
      <c r="P10" s="1597">
        <v>5</v>
      </c>
      <c r="Q10" s="1617">
        <f>text!C13</f>
        <v>46843</v>
      </c>
      <c r="S10" s="1492"/>
      <c r="T10" s="1492"/>
      <c r="U10" s="1492"/>
      <c r="V10" s="1492"/>
      <c r="W10" s="1492"/>
      <c r="X10" s="1493" t="b">
        <f t="shared" si="2"/>
        <v>1</v>
      </c>
      <c r="Y10" s="1493">
        <f t="shared" si="3"/>
        <v>1</v>
      </c>
      <c r="Z10" s="1492"/>
      <c r="AA10" s="1492"/>
      <c r="AB10" s="1492"/>
      <c r="AC10" s="1492"/>
      <c r="AD10" s="1492"/>
      <c r="AE10" s="1492"/>
      <c r="AG10" s="1653"/>
      <c r="AH10" s="1653"/>
      <c r="AI10" s="1623"/>
      <c r="AJ10" s="1623"/>
      <c r="AK10" s="1623"/>
      <c r="AL10" s="1560"/>
      <c r="AM10" s="1560"/>
      <c r="AN10" s="1560"/>
    </row>
    <row r="11" spans="1:40" ht="15.75" customHeight="1" x14ac:dyDescent="0.25">
      <c r="A11" s="1560"/>
      <c r="B11" s="1562"/>
      <c r="C11" s="1646"/>
      <c r="D11" s="1646"/>
      <c r="E11" s="1647">
        <f t="shared" si="0"/>
        <v>0</v>
      </c>
      <c r="F11" s="1562"/>
      <c r="G11" s="1648" t="str">
        <f t="shared" si="4"/>
        <v/>
      </c>
      <c r="H11" s="1649" t="str">
        <f t="shared" si="1"/>
        <v/>
      </c>
      <c r="I11" s="1560"/>
      <c r="J11" s="1637"/>
      <c r="K11" s="1639"/>
      <c r="L11" s="1639"/>
      <c r="M11" s="1640"/>
      <c r="N11" s="1560"/>
      <c r="O11" s="1617">
        <f>text!B14</f>
        <v>46844</v>
      </c>
      <c r="P11" s="1597">
        <v>6</v>
      </c>
      <c r="Q11" s="1617">
        <f>text!C14</f>
        <v>47208</v>
      </c>
      <c r="S11" s="1492"/>
      <c r="T11" s="1492"/>
      <c r="U11" s="1492"/>
      <c r="V11" s="1492"/>
      <c r="W11" s="1492"/>
      <c r="X11" s="1493" t="b">
        <f t="shared" si="2"/>
        <v>1</v>
      </c>
      <c r="Y11" s="1493">
        <f t="shared" si="3"/>
        <v>1</v>
      </c>
      <c r="Z11" s="1492"/>
      <c r="AA11" s="1492"/>
      <c r="AB11" s="1492"/>
      <c r="AC11" s="1492"/>
      <c r="AD11" s="1492"/>
      <c r="AE11" s="1492"/>
      <c r="AG11" s="1653"/>
      <c r="AH11" s="1653"/>
      <c r="AI11" s="1623"/>
      <c r="AJ11" s="1623"/>
      <c r="AK11" s="1623"/>
      <c r="AL11" s="1560"/>
      <c r="AM11" s="1560"/>
      <c r="AN11" s="1560"/>
    </row>
    <row r="12" spans="1:40" ht="15.75" customHeight="1" x14ac:dyDescent="0.25">
      <c r="A12" s="1560"/>
      <c r="B12" s="1562"/>
      <c r="C12" s="1646"/>
      <c r="D12" s="1646"/>
      <c r="E12" s="1647">
        <f t="shared" si="0"/>
        <v>0</v>
      </c>
      <c r="F12" s="1562"/>
      <c r="G12" s="1648" t="str">
        <f t="shared" si="4"/>
        <v/>
      </c>
      <c r="H12" s="1649" t="str">
        <f t="shared" si="1"/>
        <v/>
      </c>
      <c r="I12" s="1560"/>
      <c r="J12" s="1637"/>
      <c r="K12" s="1639"/>
      <c r="L12" s="1639"/>
      <c r="M12" s="1640"/>
      <c r="N12" s="1560"/>
      <c r="O12" s="1617">
        <f>text!B15</f>
        <v>47209</v>
      </c>
      <c r="S12" s="1492"/>
      <c r="T12" s="1492"/>
      <c r="U12" s="1492"/>
      <c r="V12" s="1492"/>
      <c r="W12" s="1492"/>
      <c r="X12" s="1493" t="b">
        <f t="shared" si="2"/>
        <v>1</v>
      </c>
      <c r="Y12" s="1493">
        <f t="shared" si="3"/>
        <v>1</v>
      </c>
      <c r="Z12" s="1492"/>
      <c r="AA12" s="1492"/>
      <c r="AB12" s="1492"/>
      <c r="AC12" s="1492"/>
      <c r="AD12" s="1492"/>
      <c r="AE12" s="1492"/>
      <c r="AG12" s="1653"/>
      <c r="AH12" s="1653"/>
      <c r="AI12" s="1623"/>
      <c r="AJ12" s="1623"/>
      <c r="AK12" s="1623"/>
      <c r="AL12" s="1560"/>
      <c r="AM12" s="1560"/>
      <c r="AN12" s="1560"/>
    </row>
    <row r="13" spans="1:40" ht="15.75" customHeight="1" x14ac:dyDescent="0.25">
      <c r="A13" s="1560"/>
      <c r="B13" s="1562"/>
      <c r="C13" s="1646"/>
      <c r="D13" s="1646"/>
      <c r="E13" s="1647">
        <f t="shared" si="0"/>
        <v>0</v>
      </c>
      <c r="F13" s="1562"/>
      <c r="G13" s="1648" t="str">
        <f t="shared" si="4"/>
        <v/>
      </c>
      <c r="H13" s="1649" t="str">
        <f t="shared" si="1"/>
        <v/>
      </c>
      <c r="I13" s="1560"/>
      <c r="J13" s="1637"/>
      <c r="K13" s="1639"/>
      <c r="L13" s="1639"/>
      <c r="M13" s="1640"/>
      <c r="N13" s="1560"/>
      <c r="S13" s="1492"/>
      <c r="T13" s="1492"/>
      <c r="U13" s="1492"/>
      <c r="V13" s="1492"/>
      <c r="W13" s="1492"/>
      <c r="X13" s="1493" t="b">
        <f t="shared" si="2"/>
        <v>1</v>
      </c>
      <c r="Y13" s="1493">
        <f t="shared" si="3"/>
        <v>1</v>
      </c>
      <c r="Z13" s="1492"/>
      <c r="AA13" s="1492"/>
      <c r="AB13" s="1492"/>
      <c r="AC13" s="1492"/>
      <c r="AD13" s="1492"/>
      <c r="AE13" s="1492"/>
      <c r="AG13" s="1653"/>
      <c r="AH13" s="1653"/>
      <c r="AI13" s="1623"/>
      <c r="AJ13" s="1623"/>
      <c r="AK13" s="1623"/>
      <c r="AL13" s="1560"/>
      <c r="AM13" s="1560"/>
      <c r="AN13" s="1560"/>
    </row>
    <row r="14" spans="1:40" ht="15.75" customHeight="1" x14ac:dyDescent="0.25">
      <c r="A14" s="1560"/>
      <c r="B14" s="1562"/>
      <c r="C14" s="1646"/>
      <c r="D14" s="1646"/>
      <c r="E14" s="1647">
        <f t="shared" si="0"/>
        <v>0</v>
      </c>
      <c r="F14" s="1562"/>
      <c r="G14" s="1648" t="str">
        <f t="shared" si="4"/>
        <v/>
      </c>
      <c r="H14" s="1649" t="str">
        <f t="shared" si="1"/>
        <v/>
      </c>
      <c r="I14" s="1560"/>
      <c r="J14" s="1637"/>
      <c r="K14" s="1639"/>
      <c r="L14" s="1639"/>
      <c r="M14" s="1640"/>
      <c r="N14" s="1560"/>
      <c r="S14" s="1492"/>
      <c r="T14" s="1492"/>
      <c r="U14" s="1492"/>
      <c r="V14" s="1492"/>
      <c r="W14" s="1492"/>
      <c r="X14" s="1493" t="b">
        <f t="shared" si="2"/>
        <v>1</v>
      </c>
      <c r="Y14" s="1493">
        <f t="shared" si="3"/>
        <v>1</v>
      </c>
      <c r="Z14" s="1492"/>
      <c r="AA14" s="1492"/>
      <c r="AB14" s="1492"/>
      <c r="AC14" s="1492"/>
      <c r="AD14" s="1492"/>
      <c r="AE14" s="1492"/>
      <c r="AG14" s="1653"/>
      <c r="AH14" s="1653"/>
      <c r="AI14" s="1623"/>
      <c r="AJ14" s="1623"/>
      <c r="AK14" s="1623"/>
      <c r="AL14" s="1560"/>
      <c r="AM14" s="1560"/>
      <c r="AN14" s="1560"/>
    </row>
    <row r="15" spans="1:40" ht="15.75" customHeight="1" x14ac:dyDescent="0.25">
      <c r="A15" s="1560"/>
      <c r="B15" s="1562"/>
      <c r="C15" s="1646"/>
      <c r="D15" s="1646"/>
      <c r="E15" s="1647">
        <f t="shared" si="0"/>
        <v>0</v>
      </c>
      <c r="F15" s="1562"/>
      <c r="G15" s="1648" t="str">
        <f t="shared" si="4"/>
        <v/>
      </c>
      <c r="H15" s="1649" t="str">
        <f t="shared" si="1"/>
        <v/>
      </c>
      <c r="I15" s="1560"/>
      <c r="J15" s="1637"/>
      <c r="K15" s="1639"/>
      <c r="L15" s="1639"/>
      <c r="M15" s="1640"/>
      <c r="N15" s="1560"/>
      <c r="S15" s="1492"/>
      <c r="T15" s="1492"/>
      <c r="U15" s="1492"/>
      <c r="V15" s="1492"/>
      <c r="W15" s="1492"/>
      <c r="X15" s="1493" t="b">
        <f t="shared" si="2"/>
        <v>1</v>
      </c>
      <c r="Y15" s="1493">
        <f t="shared" si="3"/>
        <v>1</v>
      </c>
      <c r="Z15" s="1492"/>
      <c r="AA15" s="1492"/>
      <c r="AB15" s="1492"/>
      <c r="AC15" s="1492"/>
      <c r="AD15" s="1492"/>
      <c r="AE15" s="1492"/>
      <c r="AG15" s="1653"/>
      <c r="AH15" s="1653"/>
      <c r="AI15" s="1623"/>
      <c r="AJ15" s="1623"/>
      <c r="AK15" s="1623"/>
      <c r="AL15" s="1560"/>
      <c r="AM15" s="1560"/>
      <c r="AN15" s="1560"/>
    </row>
    <row r="16" spans="1:40" ht="15.75" customHeight="1" x14ac:dyDescent="0.25">
      <c r="A16" s="1560"/>
      <c r="B16" s="1562"/>
      <c r="C16" s="1646"/>
      <c r="D16" s="1646"/>
      <c r="E16" s="1647">
        <f t="shared" si="0"/>
        <v>0</v>
      </c>
      <c r="F16" s="1562"/>
      <c r="G16" s="1648" t="str">
        <f t="shared" si="4"/>
        <v/>
      </c>
      <c r="H16" s="1649" t="str">
        <f t="shared" si="1"/>
        <v/>
      </c>
      <c r="I16" s="1560"/>
      <c r="J16" s="1637"/>
      <c r="K16" s="1656"/>
      <c r="L16" s="1657"/>
      <c r="M16" s="1640"/>
      <c r="N16" s="1560"/>
      <c r="S16" s="1492"/>
      <c r="T16" s="1492"/>
      <c r="U16" s="1492"/>
      <c r="V16" s="1492"/>
      <c r="W16" s="1492"/>
      <c r="X16" s="1493" t="b">
        <f t="shared" si="2"/>
        <v>1</v>
      </c>
      <c r="Y16" s="1493">
        <f t="shared" si="3"/>
        <v>1</v>
      </c>
      <c r="Z16" s="1492"/>
      <c r="AA16" s="1492"/>
      <c r="AB16" s="1492"/>
      <c r="AC16" s="1492"/>
      <c r="AD16" s="1492"/>
      <c r="AE16" s="1492"/>
      <c r="AG16" s="1653"/>
      <c r="AH16" s="1653"/>
      <c r="AI16" s="1623"/>
      <c r="AJ16" s="1623"/>
      <c r="AK16" s="1623"/>
      <c r="AL16" s="1560"/>
      <c r="AM16" s="1560"/>
      <c r="AN16" s="1560"/>
    </row>
    <row r="17" spans="1:40" ht="15.75" customHeight="1" x14ac:dyDescent="0.35">
      <c r="A17" s="1560"/>
      <c r="B17" s="1562"/>
      <c r="C17" s="1646"/>
      <c r="D17" s="1646"/>
      <c r="E17" s="1647">
        <f t="shared" si="0"/>
        <v>0</v>
      </c>
      <c r="F17" s="1562"/>
      <c r="G17" s="1648" t="str">
        <f t="shared" si="4"/>
        <v/>
      </c>
      <c r="H17" s="1649" t="str">
        <f t="shared" si="1"/>
        <v/>
      </c>
      <c r="I17" s="1560"/>
      <c r="J17" s="1637"/>
      <c r="K17" s="1658"/>
      <c r="L17" s="1659"/>
      <c r="M17" s="1640"/>
      <c r="N17" s="1560"/>
      <c r="S17" s="1492"/>
      <c r="T17" s="1492"/>
      <c r="U17" s="1492"/>
      <c r="V17" s="1492"/>
      <c r="W17" s="1492"/>
      <c r="X17" s="1493" t="b">
        <f t="shared" si="2"/>
        <v>1</v>
      </c>
      <c r="Y17" s="1493">
        <f t="shared" si="3"/>
        <v>1</v>
      </c>
      <c r="Z17" s="1492"/>
      <c r="AA17" s="1492"/>
      <c r="AB17" s="1492"/>
      <c r="AC17" s="1492"/>
      <c r="AD17" s="1492"/>
      <c r="AE17" s="1492"/>
      <c r="AG17" s="1653"/>
      <c r="AH17" s="1653"/>
      <c r="AI17" s="1623"/>
      <c r="AJ17" s="1623"/>
      <c r="AK17" s="1623"/>
      <c r="AL17" s="1560"/>
      <c r="AM17" s="1560"/>
      <c r="AN17" s="1560"/>
    </row>
    <row r="18" spans="1:40" ht="15.75" customHeight="1" x14ac:dyDescent="0.35">
      <c r="A18" s="1560"/>
      <c r="B18" s="1562"/>
      <c r="C18" s="1646"/>
      <c r="D18" s="1646"/>
      <c r="E18" s="1647">
        <f t="shared" si="0"/>
        <v>0</v>
      </c>
      <c r="F18" s="1562"/>
      <c r="G18" s="1648" t="str">
        <f t="shared" si="4"/>
        <v/>
      </c>
      <c r="H18" s="1649" t="str">
        <f t="shared" si="1"/>
        <v/>
      </c>
      <c r="I18" s="1560"/>
      <c r="J18" s="1637"/>
      <c r="K18" s="1658" t="s">
        <v>170</v>
      </c>
      <c r="L18" s="1659"/>
      <c r="M18" s="1640"/>
      <c r="N18" s="1560"/>
      <c r="S18" s="1492"/>
      <c r="T18" s="1492"/>
      <c r="U18" s="1492"/>
      <c r="V18" s="1492"/>
      <c r="W18" s="1492"/>
      <c r="X18" s="1493" t="b">
        <f t="shared" si="2"/>
        <v>1</v>
      </c>
      <c r="Y18" s="1493">
        <f t="shared" si="3"/>
        <v>1</v>
      </c>
      <c r="Z18" s="1492"/>
      <c r="AA18" s="1492"/>
      <c r="AB18" s="1492"/>
      <c r="AC18" s="1492"/>
      <c r="AD18" s="1492"/>
      <c r="AE18" s="1492"/>
      <c r="AG18" s="1653"/>
      <c r="AH18" s="1653"/>
      <c r="AI18" s="1623"/>
      <c r="AJ18" s="1623"/>
      <c r="AK18" s="1623"/>
      <c r="AL18" s="1560"/>
      <c r="AM18" s="1560"/>
      <c r="AN18" s="1560"/>
    </row>
    <row r="19" spans="1:40" ht="15.75" customHeight="1" x14ac:dyDescent="0.35">
      <c r="A19" s="1560"/>
      <c r="B19" s="1562"/>
      <c r="C19" s="1646"/>
      <c r="D19" s="1646"/>
      <c r="E19" s="1647">
        <f t="shared" si="0"/>
        <v>0</v>
      </c>
      <c r="F19" s="1562"/>
      <c r="G19" s="1648" t="str">
        <f t="shared" si="4"/>
        <v/>
      </c>
      <c r="H19" s="1649" t="str">
        <f t="shared" si="1"/>
        <v/>
      </c>
      <c r="I19" s="1560"/>
      <c r="J19" s="1637"/>
      <c r="K19" s="1658" t="s">
        <v>173</v>
      </c>
      <c r="L19" s="1659"/>
      <c r="M19" s="1640"/>
      <c r="N19" s="1560"/>
      <c r="S19" s="1492"/>
      <c r="T19" s="1492"/>
      <c r="U19" s="1492"/>
      <c r="V19" s="1492"/>
      <c r="W19" s="1492"/>
      <c r="X19" s="1493" t="b">
        <f t="shared" si="2"/>
        <v>1</v>
      </c>
      <c r="Y19" s="1493">
        <f t="shared" si="3"/>
        <v>1</v>
      </c>
      <c r="Z19" s="1492"/>
      <c r="AA19" s="1492"/>
      <c r="AB19" s="1492"/>
      <c r="AC19" s="1492"/>
      <c r="AD19" s="1492"/>
      <c r="AE19" s="1492"/>
      <c r="AG19" s="1653"/>
      <c r="AH19" s="1653"/>
      <c r="AI19" s="1623"/>
      <c r="AJ19" s="1623"/>
      <c r="AK19" s="1623"/>
      <c r="AL19" s="1560"/>
      <c r="AM19" s="1560"/>
      <c r="AN19" s="1560"/>
    </row>
    <row r="20" spans="1:40" ht="15.75" customHeight="1" x14ac:dyDescent="0.35">
      <c r="A20" s="1560"/>
      <c r="B20" s="1562"/>
      <c r="C20" s="1646"/>
      <c r="D20" s="1646"/>
      <c r="E20" s="1647">
        <f t="shared" si="0"/>
        <v>0</v>
      </c>
      <c r="F20" s="1562"/>
      <c r="G20" s="1648" t="str">
        <f t="shared" si="4"/>
        <v/>
      </c>
      <c r="H20" s="1649" t="str">
        <f t="shared" si="1"/>
        <v/>
      </c>
      <c r="I20" s="1560"/>
      <c r="J20" s="1637"/>
      <c r="K20" s="1658" t="s">
        <v>174</v>
      </c>
      <c r="L20" s="1659"/>
      <c r="M20" s="1640"/>
      <c r="N20" s="1560"/>
      <c r="S20" s="1492"/>
      <c r="T20" s="1492"/>
      <c r="U20" s="1492"/>
      <c r="V20" s="1492"/>
      <c r="W20" s="1492"/>
      <c r="X20" s="1493" t="b">
        <f t="shared" si="2"/>
        <v>1</v>
      </c>
      <c r="Y20" s="1493">
        <f t="shared" si="3"/>
        <v>1</v>
      </c>
      <c r="Z20" s="1492"/>
      <c r="AA20" s="1492"/>
      <c r="AB20" s="1492"/>
      <c r="AC20" s="1492"/>
      <c r="AD20" s="1492"/>
      <c r="AE20" s="1492"/>
      <c r="AG20" s="1653"/>
      <c r="AH20" s="1653"/>
      <c r="AI20" s="1623"/>
      <c r="AJ20" s="1623"/>
      <c r="AK20" s="1623"/>
      <c r="AL20" s="1560"/>
      <c r="AM20" s="1560"/>
      <c r="AN20" s="1560"/>
    </row>
    <row r="21" spans="1:40" ht="15.75" customHeight="1" x14ac:dyDescent="0.25">
      <c r="A21" s="1560"/>
      <c r="B21" s="1562"/>
      <c r="C21" s="1646"/>
      <c r="D21" s="1646"/>
      <c r="E21" s="1647">
        <f t="shared" si="0"/>
        <v>0</v>
      </c>
      <c r="F21" s="1562"/>
      <c r="G21" s="1648" t="str">
        <f t="shared" si="4"/>
        <v/>
      </c>
      <c r="H21" s="1649" t="str">
        <f t="shared" si="1"/>
        <v/>
      </c>
      <c r="I21" s="1560"/>
      <c r="J21" s="1637"/>
      <c r="K21" s="1660"/>
      <c r="L21" s="1661"/>
      <c r="M21" s="1640"/>
      <c r="N21" s="1560"/>
      <c r="S21" s="1492"/>
      <c r="T21" s="1492"/>
      <c r="U21" s="1492"/>
      <c r="V21" s="1492"/>
      <c r="W21" s="1492"/>
      <c r="X21" s="1493" t="b">
        <f t="shared" si="2"/>
        <v>1</v>
      </c>
      <c r="Y21" s="1493">
        <f t="shared" si="3"/>
        <v>1</v>
      </c>
      <c r="Z21" s="1492"/>
      <c r="AA21" s="1492"/>
      <c r="AB21" s="1492"/>
      <c r="AC21" s="1492"/>
      <c r="AD21" s="1492"/>
      <c r="AE21" s="1492"/>
      <c r="AG21" s="1653"/>
      <c r="AH21" s="1653"/>
      <c r="AI21" s="1623"/>
      <c r="AJ21" s="1623"/>
      <c r="AK21" s="1623"/>
      <c r="AL21" s="1560"/>
      <c r="AM21" s="1560"/>
      <c r="AN21" s="1560"/>
    </row>
    <row r="22" spans="1:40" ht="15.75" customHeight="1" thickBot="1" x14ac:dyDescent="0.3">
      <c r="A22" s="1560"/>
      <c r="B22" s="1562"/>
      <c r="C22" s="1646"/>
      <c r="D22" s="1646"/>
      <c r="E22" s="1647">
        <f t="shared" si="0"/>
        <v>0</v>
      </c>
      <c r="F22" s="1562"/>
      <c r="G22" s="1648" t="str">
        <f t="shared" si="4"/>
        <v/>
      </c>
      <c r="H22" s="1649" t="str">
        <f t="shared" si="1"/>
        <v/>
      </c>
      <c r="I22" s="1560"/>
      <c r="J22" s="1662"/>
      <c r="K22" s="1663"/>
      <c r="L22" s="1663"/>
      <c r="M22" s="1664"/>
      <c r="N22" s="1560"/>
      <c r="S22" s="1492"/>
      <c r="T22" s="1492"/>
      <c r="U22" s="1492"/>
      <c r="V22" s="1492"/>
      <c r="W22" s="1492"/>
      <c r="X22" s="1493" t="b">
        <f t="shared" si="2"/>
        <v>1</v>
      </c>
      <c r="Y22" s="1493">
        <f t="shared" si="3"/>
        <v>1</v>
      </c>
      <c r="Z22" s="1492"/>
      <c r="AA22" s="1492"/>
      <c r="AB22" s="1492"/>
      <c r="AC22" s="1492"/>
      <c r="AD22" s="1492"/>
      <c r="AE22" s="1492"/>
      <c r="AG22" s="1653"/>
      <c r="AH22" s="1653"/>
      <c r="AI22" s="1623"/>
      <c r="AJ22" s="1623"/>
      <c r="AK22" s="1623"/>
      <c r="AL22" s="1560"/>
      <c r="AM22" s="1560"/>
      <c r="AN22" s="1560"/>
    </row>
    <row r="23" spans="1:40" ht="15.75" customHeight="1" x14ac:dyDescent="0.25">
      <c r="A23" s="1560"/>
      <c r="B23" s="1562"/>
      <c r="C23" s="1646"/>
      <c r="D23" s="1646"/>
      <c r="E23" s="1647">
        <f t="shared" si="0"/>
        <v>0</v>
      </c>
      <c r="F23" s="1562"/>
      <c r="G23" s="1648" t="str">
        <f t="shared" si="4"/>
        <v/>
      </c>
      <c r="H23" s="1649" t="str">
        <f t="shared" si="1"/>
        <v/>
      </c>
      <c r="I23" s="1560"/>
      <c r="J23" s="1560"/>
      <c r="K23" s="1562"/>
      <c r="L23" s="1562"/>
      <c r="M23" s="1560"/>
      <c r="N23" s="1560"/>
      <c r="S23" s="1492"/>
      <c r="T23" s="1492"/>
      <c r="U23" s="1492"/>
      <c r="V23" s="1492"/>
      <c r="W23" s="1492"/>
      <c r="X23" s="1493" t="b">
        <f t="shared" si="2"/>
        <v>1</v>
      </c>
      <c r="Y23" s="1493">
        <f t="shared" si="3"/>
        <v>1</v>
      </c>
      <c r="Z23" s="1492"/>
      <c r="AA23" s="1492"/>
      <c r="AB23" s="1492"/>
      <c r="AC23" s="1492"/>
      <c r="AD23" s="1492"/>
      <c r="AE23" s="1492"/>
      <c r="AG23" s="1653"/>
      <c r="AH23" s="1653"/>
      <c r="AI23" s="1623"/>
      <c r="AJ23" s="1623"/>
      <c r="AK23" s="1623"/>
      <c r="AL23" s="1560"/>
      <c r="AM23" s="1560"/>
      <c r="AN23" s="1560"/>
    </row>
    <row r="24" spans="1:40" ht="15.75" customHeight="1" x14ac:dyDescent="0.25">
      <c r="A24" s="1560"/>
      <c r="B24" s="1562"/>
      <c r="C24" s="1646"/>
      <c r="D24" s="1646"/>
      <c r="E24" s="1647">
        <f t="shared" si="0"/>
        <v>0</v>
      </c>
      <c r="F24" s="1562"/>
      <c r="G24" s="1648" t="str">
        <f t="shared" si="4"/>
        <v/>
      </c>
      <c r="H24" s="1649" t="str">
        <f t="shared" si="1"/>
        <v/>
      </c>
      <c r="I24" s="1560"/>
      <c r="J24" s="1560"/>
      <c r="K24" s="1562"/>
      <c r="L24" s="1562"/>
      <c r="M24" s="1560"/>
      <c r="N24" s="1560"/>
      <c r="S24" s="1492"/>
      <c r="T24" s="1492"/>
      <c r="U24" s="1492"/>
      <c r="V24" s="1492"/>
      <c r="W24" s="1492"/>
      <c r="X24" s="1493" t="b">
        <f t="shared" si="2"/>
        <v>1</v>
      </c>
      <c r="Y24" s="1493">
        <f t="shared" si="3"/>
        <v>1</v>
      </c>
      <c r="Z24" s="1492"/>
      <c r="AA24" s="1492"/>
      <c r="AB24" s="1492"/>
      <c r="AC24" s="1492"/>
      <c r="AD24" s="1492"/>
      <c r="AE24" s="1492"/>
      <c r="AG24" s="1653"/>
      <c r="AH24" s="1653"/>
      <c r="AI24" s="1623"/>
      <c r="AJ24" s="1623"/>
      <c r="AK24" s="1623"/>
      <c r="AL24" s="1560"/>
      <c r="AM24" s="1560"/>
      <c r="AN24" s="1560"/>
    </row>
    <row r="25" spans="1:40" ht="15.75" customHeight="1" x14ac:dyDescent="0.25">
      <c r="A25" s="1560"/>
      <c r="B25" s="1562"/>
      <c r="C25" s="1646"/>
      <c r="D25" s="1646"/>
      <c r="E25" s="1647">
        <f t="shared" si="0"/>
        <v>0</v>
      </c>
      <c r="F25" s="1562"/>
      <c r="G25" s="1648" t="str">
        <f t="shared" si="4"/>
        <v/>
      </c>
      <c r="H25" s="1649" t="str">
        <f t="shared" si="1"/>
        <v/>
      </c>
      <c r="I25" s="1560"/>
      <c r="J25" s="1560"/>
      <c r="K25" s="1562"/>
      <c r="L25" s="1562"/>
      <c r="M25" s="1560"/>
      <c r="N25" s="1560"/>
      <c r="S25" s="1492"/>
      <c r="T25" s="1492"/>
      <c r="U25" s="1492"/>
      <c r="V25" s="1492"/>
      <c r="W25" s="1492"/>
      <c r="X25" s="1493" t="b">
        <f t="shared" si="2"/>
        <v>1</v>
      </c>
      <c r="Y25" s="1493">
        <f t="shared" si="3"/>
        <v>1</v>
      </c>
      <c r="Z25" s="1492"/>
      <c r="AA25" s="1492"/>
      <c r="AB25" s="1492"/>
      <c r="AC25" s="1492"/>
      <c r="AD25" s="1492"/>
      <c r="AE25" s="1492"/>
      <c r="AG25" s="1653"/>
      <c r="AH25" s="1653"/>
      <c r="AI25" s="1623"/>
      <c r="AJ25" s="1623"/>
      <c r="AK25" s="1623"/>
      <c r="AL25" s="1560"/>
      <c r="AM25" s="1560"/>
      <c r="AN25" s="1560"/>
    </row>
    <row r="26" spans="1:40" ht="15.75" customHeight="1" x14ac:dyDescent="0.25">
      <c r="A26" s="1560"/>
      <c r="B26" s="1562"/>
      <c r="C26" s="1646"/>
      <c r="D26" s="1646"/>
      <c r="E26" s="1647">
        <f t="shared" si="0"/>
        <v>0</v>
      </c>
      <c r="F26" s="1562"/>
      <c r="G26" s="1648" t="str">
        <f t="shared" si="4"/>
        <v/>
      </c>
      <c r="H26" s="1649" t="str">
        <f t="shared" si="1"/>
        <v/>
      </c>
      <c r="I26" s="1560"/>
      <c r="J26" s="1560"/>
      <c r="K26" s="1562"/>
      <c r="L26" s="1562"/>
      <c r="M26" s="1560"/>
      <c r="N26" s="1560"/>
      <c r="S26" s="1492"/>
      <c r="T26" s="1492"/>
      <c r="U26" s="1492"/>
      <c r="V26" s="1492"/>
      <c r="W26" s="1492"/>
      <c r="X26" s="1493" t="b">
        <f t="shared" si="2"/>
        <v>1</v>
      </c>
      <c r="Y26" s="1493">
        <f t="shared" si="3"/>
        <v>1</v>
      </c>
      <c r="Z26" s="1492"/>
      <c r="AA26" s="1492"/>
      <c r="AB26" s="1492"/>
      <c r="AC26" s="1492"/>
      <c r="AD26" s="1492"/>
      <c r="AE26" s="1492"/>
      <c r="AG26" s="1653"/>
      <c r="AH26" s="1653"/>
      <c r="AI26" s="1623"/>
      <c r="AJ26" s="1623"/>
      <c r="AK26" s="1623"/>
      <c r="AL26" s="1560"/>
      <c r="AM26" s="1560"/>
      <c r="AN26" s="1560"/>
    </row>
    <row r="27" spans="1:40" ht="15.75" customHeight="1" x14ac:dyDescent="0.25">
      <c r="A27" s="1560"/>
      <c r="B27" s="1562"/>
      <c r="C27" s="1646"/>
      <c r="D27" s="1646"/>
      <c r="E27" s="1647">
        <f t="shared" si="0"/>
        <v>0</v>
      </c>
      <c r="F27" s="1562"/>
      <c r="G27" s="1648" t="str">
        <f t="shared" si="4"/>
        <v/>
      </c>
      <c r="H27" s="1649" t="str">
        <f t="shared" si="1"/>
        <v/>
      </c>
      <c r="I27" s="1560"/>
      <c r="J27" s="1560"/>
      <c r="K27" s="1562"/>
      <c r="L27" s="1562"/>
      <c r="M27" s="1560"/>
      <c r="N27" s="1560"/>
      <c r="S27" s="1492"/>
      <c r="T27" s="1492"/>
      <c r="U27" s="1492"/>
      <c r="V27" s="1492"/>
      <c r="W27" s="1492"/>
      <c r="X27" s="1493" t="b">
        <f t="shared" si="2"/>
        <v>1</v>
      </c>
      <c r="Y27" s="1493">
        <f t="shared" si="3"/>
        <v>1</v>
      </c>
      <c r="Z27" s="1492"/>
      <c r="AA27" s="1492"/>
      <c r="AB27" s="1492"/>
      <c r="AC27" s="1492"/>
      <c r="AD27" s="1492"/>
      <c r="AE27" s="1492"/>
      <c r="AG27" s="1653"/>
      <c r="AH27" s="1653"/>
      <c r="AI27" s="1623"/>
      <c r="AJ27" s="1623"/>
      <c r="AK27" s="1623"/>
      <c r="AL27" s="1560"/>
      <c r="AM27" s="1560"/>
      <c r="AN27" s="1560"/>
    </row>
    <row r="28" spans="1:40" ht="15.75" customHeight="1" x14ac:dyDescent="0.25">
      <c r="A28" s="1560"/>
      <c r="B28" s="1562"/>
      <c r="C28" s="1646"/>
      <c r="D28" s="1646"/>
      <c r="E28" s="1647">
        <f t="shared" si="0"/>
        <v>0</v>
      </c>
      <c r="F28" s="1562"/>
      <c r="G28" s="1648" t="str">
        <f t="shared" si="4"/>
        <v/>
      </c>
      <c r="H28" s="1649" t="str">
        <f t="shared" si="1"/>
        <v/>
      </c>
      <c r="I28" s="1560"/>
      <c r="J28" s="1560"/>
      <c r="K28" s="1562"/>
      <c r="L28" s="1562"/>
      <c r="M28" s="1560"/>
      <c r="N28" s="1560"/>
      <c r="S28" s="1492"/>
      <c r="T28" s="1492"/>
      <c r="U28" s="1492"/>
      <c r="V28" s="1492"/>
      <c r="W28" s="1492"/>
      <c r="X28" s="1493" t="b">
        <f t="shared" si="2"/>
        <v>1</v>
      </c>
      <c r="Y28" s="1493">
        <f t="shared" si="3"/>
        <v>1</v>
      </c>
      <c r="Z28" s="1492"/>
      <c r="AA28" s="1492"/>
      <c r="AB28" s="1492"/>
      <c r="AC28" s="1492"/>
      <c r="AD28" s="1492"/>
      <c r="AE28" s="1492"/>
      <c r="AG28" s="1653"/>
      <c r="AH28" s="1653"/>
      <c r="AI28" s="1623"/>
      <c r="AJ28" s="1623"/>
      <c r="AK28" s="1623"/>
      <c r="AL28" s="1560"/>
      <c r="AM28" s="1560"/>
      <c r="AN28" s="1560"/>
    </row>
    <row r="29" spans="1:40" ht="15.75" customHeight="1" x14ac:dyDescent="0.25">
      <c r="A29" s="1560"/>
      <c r="B29" s="1562"/>
      <c r="C29" s="1646"/>
      <c r="D29" s="1646"/>
      <c r="E29" s="1647">
        <f t="shared" si="0"/>
        <v>0</v>
      </c>
      <c r="F29" s="1562"/>
      <c r="G29" s="1648" t="str">
        <f t="shared" si="4"/>
        <v/>
      </c>
      <c r="H29" s="1649" t="str">
        <f t="shared" si="1"/>
        <v/>
      </c>
      <c r="I29" s="1560"/>
      <c r="J29" s="1560"/>
      <c r="K29" s="1562"/>
      <c r="L29" s="1562"/>
      <c r="M29" s="1560"/>
      <c r="N29" s="1560"/>
      <c r="S29" s="1492"/>
      <c r="T29" s="1492"/>
      <c r="U29" s="1492"/>
      <c r="V29" s="1492"/>
      <c r="W29" s="1492"/>
      <c r="X29" s="1493" t="b">
        <f t="shared" si="2"/>
        <v>1</v>
      </c>
      <c r="Y29" s="1493">
        <f t="shared" si="3"/>
        <v>1</v>
      </c>
      <c r="Z29" s="1492"/>
      <c r="AA29" s="1492"/>
      <c r="AB29" s="1492"/>
      <c r="AC29" s="1492"/>
      <c r="AD29" s="1492"/>
      <c r="AE29" s="1492"/>
      <c r="AG29" s="1653"/>
      <c r="AH29" s="1653"/>
      <c r="AI29" s="1623"/>
      <c r="AJ29" s="1623"/>
      <c r="AK29" s="1623"/>
      <c r="AL29" s="1560"/>
      <c r="AM29" s="1560"/>
      <c r="AN29" s="1560"/>
    </row>
    <row r="30" spans="1:40" ht="15.75" customHeight="1" x14ac:dyDescent="0.25">
      <c r="A30" s="1560"/>
      <c r="B30" s="1562"/>
      <c r="C30" s="1646"/>
      <c r="D30" s="1646"/>
      <c r="E30" s="1647">
        <f t="shared" si="0"/>
        <v>0</v>
      </c>
      <c r="F30" s="1562"/>
      <c r="G30" s="1648" t="str">
        <f t="shared" si="4"/>
        <v/>
      </c>
      <c r="H30" s="1649" t="str">
        <f t="shared" si="1"/>
        <v/>
      </c>
      <c r="I30" s="1560"/>
      <c r="J30" s="1560"/>
      <c r="K30" s="1562"/>
      <c r="L30" s="1562"/>
      <c r="M30" s="1560"/>
      <c r="N30" s="1560"/>
      <c r="S30" s="1492"/>
      <c r="T30" s="1492"/>
      <c r="U30" s="1492"/>
      <c r="V30" s="1492"/>
      <c r="W30" s="1492"/>
      <c r="X30" s="1493" t="b">
        <f t="shared" si="2"/>
        <v>1</v>
      </c>
      <c r="Y30" s="1493">
        <f t="shared" si="3"/>
        <v>1</v>
      </c>
      <c r="Z30" s="1492"/>
      <c r="AA30" s="1492"/>
      <c r="AB30" s="1492"/>
      <c r="AC30" s="1492"/>
      <c r="AD30" s="1492"/>
      <c r="AE30" s="1492"/>
      <c r="AG30" s="1653"/>
      <c r="AH30" s="1653"/>
      <c r="AI30" s="1623"/>
      <c r="AJ30" s="1623"/>
      <c r="AK30" s="1623"/>
      <c r="AL30" s="1560"/>
      <c r="AM30" s="1560"/>
      <c r="AN30" s="1560"/>
    </row>
    <row r="31" spans="1:40" ht="15.75" customHeight="1" x14ac:dyDescent="0.25">
      <c r="A31" s="1560"/>
      <c r="B31" s="1562"/>
      <c r="C31" s="1646"/>
      <c r="D31" s="1646"/>
      <c r="E31" s="1647">
        <f t="shared" si="0"/>
        <v>0</v>
      </c>
      <c r="F31" s="1562"/>
      <c r="G31" s="1648" t="str">
        <f t="shared" si="4"/>
        <v/>
      </c>
      <c r="H31" s="1649" t="str">
        <f t="shared" si="1"/>
        <v/>
      </c>
      <c r="I31" s="1560"/>
      <c r="J31" s="1560"/>
      <c r="K31" s="1562"/>
      <c r="L31" s="1562"/>
      <c r="M31" s="1560"/>
      <c r="N31" s="1560"/>
      <c r="S31" s="1492"/>
      <c r="T31" s="1492"/>
      <c r="U31" s="1492"/>
      <c r="V31" s="1492"/>
      <c r="W31" s="1492"/>
      <c r="X31" s="1493" t="b">
        <f t="shared" si="2"/>
        <v>1</v>
      </c>
      <c r="Y31" s="1493">
        <f t="shared" si="3"/>
        <v>1</v>
      </c>
      <c r="Z31" s="1492"/>
      <c r="AA31" s="1492"/>
      <c r="AB31" s="1492"/>
      <c r="AC31" s="1492"/>
      <c r="AD31" s="1492"/>
      <c r="AE31" s="1492"/>
      <c r="AG31" s="1653"/>
      <c r="AH31" s="1653"/>
      <c r="AI31" s="1623"/>
      <c r="AJ31" s="1623"/>
      <c r="AK31" s="1623"/>
      <c r="AL31" s="1560"/>
      <c r="AM31" s="1560"/>
      <c r="AN31" s="1560"/>
    </row>
    <row r="32" spans="1:40" ht="15.75" customHeight="1" x14ac:dyDescent="0.25">
      <c r="A32" s="1560"/>
      <c r="B32" s="1562"/>
      <c r="C32" s="1646"/>
      <c r="D32" s="1646"/>
      <c r="E32" s="1647">
        <f t="shared" si="0"/>
        <v>0</v>
      </c>
      <c r="F32" s="1562"/>
      <c r="G32" s="1648" t="str">
        <f t="shared" si="4"/>
        <v/>
      </c>
      <c r="H32" s="1649" t="str">
        <f t="shared" si="1"/>
        <v/>
      </c>
      <c r="I32" s="1560"/>
      <c r="J32" s="1560"/>
      <c r="K32" s="1562"/>
      <c r="L32" s="1562"/>
      <c r="M32" s="1560"/>
      <c r="N32" s="1560"/>
      <c r="S32" s="1492"/>
      <c r="T32" s="1492"/>
      <c r="U32" s="1492"/>
      <c r="V32" s="1492"/>
      <c r="W32" s="1492"/>
      <c r="X32" s="1493" t="b">
        <f t="shared" si="2"/>
        <v>1</v>
      </c>
      <c r="Y32" s="1493">
        <f t="shared" si="3"/>
        <v>1</v>
      </c>
      <c r="Z32" s="1492"/>
      <c r="AA32" s="1492"/>
      <c r="AB32" s="1492"/>
      <c r="AC32" s="1492"/>
      <c r="AD32" s="1492"/>
      <c r="AE32" s="1492"/>
      <c r="AG32" s="1653"/>
      <c r="AH32" s="1653"/>
      <c r="AI32" s="1623"/>
      <c r="AJ32" s="1623"/>
      <c r="AK32" s="1623"/>
      <c r="AL32" s="1560"/>
      <c r="AM32" s="1560"/>
      <c r="AN32" s="1560"/>
    </row>
    <row r="33" spans="1:40" ht="15.75" customHeight="1" x14ac:dyDescent="0.25">
      <c r="A33" s="1560"/>
      <c r="B33" s="1562"/>
      <c r="C33" s="1646"/>
      <c r="D33" s="1646"/>
      <c r="E33" s="1647">
        <f t="shared" si="0"/>
        <v>0</v>
      </c>
      <c r="F33" s="1562"/>
      <c r="G33" s="1648" t="str">
        <f t="shared" si="4"/>
        <v/>
      </c>
      <c r="H33" s="1649" t="str">
        <f t="shared" si="1"/>
        <v/>
      </c>
      <c r="I33" s="1560"/>
      <c r="J33" s="1560"/>
      <c r="K33" s="1562"/>
      <c r="L33" s="1562"/>
      <c r="M33" s="1560"/>
      <c r="N33" s="1560"/>
      <c r="S33" s="1492"/>
      <c r="T33" s="1492"/>
      <c r="U33" s="1492"/>
      <c r="V33" s="1492"/>
      <c r="W33" s="1492"/>
      <c r="X33" s="1493" t="b">
        <f t="shared" si="2"/>
        <v>1</v>
      </c>
      <c r="Y33" s="1493">
        <f t="shared" si="3"/>
        <v>1</v>
      </c>
      <c r="Z33" s="1492"/>
      <c r="AA33" s="1492"/>
      <c r="AB33" s="1492"/>
      <c r="AC33" s="1492"/>
      <c r="AD33" s="1492"/>
      <c r="AE33" s="1492"/>
      <c r="AG33" s="1653"/>
      <c r="AH33" s="1653"/>
      <c r="AI33" s="1623"/>
      <c r="AJ33" s="1623"/>
      <c r="AK33" s="1623"/>
      <c r="AL33" s="1560"/>
      <c r="AM33" s="1560"/>
      <c r="AN33" s="1560"/>
    </row>
    <row r="34" spans="1:40" ht="15.75" customHeight="1" x14ac:dyDescent="0.25">
      <c r="A34" s="1560"/>
      <c r="B34" s="1562"/>
      <c r="C34" s="1646"/>
      <c r="D34" s="1646"/>
      <c r="E34" s="1647">
        <f t="shared" si="0"/>
        <v>0</v>
      </c>
      <c r="F34" s="1562"/>
      <c r="G34" s="1648" t="str">
        <f t="shared" si="4"/>
        <v/>
      </c>
      <c r="H34" s="1649" t="str">
        <f t="shared" si="1"/>
        <v/>
      </c>
      <c r="I34" s="1560"/>
      <c r="J34" s="1560"/>
      <c r="K34" s="1562"/>
      <c r="L34" s="1562"/>
      <c r="M34" s="1560"/>
      <c r="N34" s="1560"/>
      <c r="S34" s="1492"/>
      <c r="T34" s="1492"/>
      <c r="U34" s="1492"/>
      <c r="V34" s="1492"/>
      <c r="W34" s="1492"/>
      <c r="X34" s="1493" t="b">
        <f t="shared" si="2"/>
        <v>1</v>
      </c>
      <c r="Y34" s="1493">
        <f t="shared" si="3"/>
        <v>1</v>
      </c>
      <c r="Z34" s="1492"/>
      <c r="AA34" s="1492"/>
      <c r="AB34" s="1492"/>
      <c r="AC34" s="1492"/>
      <c r="AD34" s="1492"/>
      <c r="AE34" s="1492"/>
      <c r="AG34" s="1653"/>
      <c r="AH34" s="1653"/>
      <c r="AI34" s="1623"/>
      <c r="AJ34" s="1623"/>
      <c r="AK34" s="1623"/>
      <c r="AL34" s="1560"/>
      <c r="AM34" s="1560"/>
      <c r="AN34" s="1560"/>
    </row>
    <row r="35" spans="1:40" ht="15.75" customHeight="1" x14ac:dyDescent="0.25">
      <c r="A35" s="1560"/>
      <c r="B35" s="1562"/>
      <c r="C35" s="1646"/>
      <c r="D35" s="1646"/>
      <c r="E35" s="1647">
        <f t="shared" si="0"/>
        <v>0</v>
      </c>
      <c r="F35" s="1562"/>
      <c r="G35" s="1648" t="str">
        <f t="shared" si="4"/>
        <v/>
      </c>
      <c r="H35" s="1649" t="str">
        <f t="shared" si="1"/>
        <v/>
      </c>
      <c r="I35" s="1560"/>
      <c r="J35" s="1560"/>
      <c r="K35" s="1562"/>
      <c r="L35" s="1562"/>
      <c r="M35" s="1560"/>
      <c r="N35" s="1560"/>
      <c r="S35" s="1492"/>
      <c r="T35" s="1492"/>
      <c r="U35" s="1492"/>
      <c r="V35" s="1492"/>
      <c r="W35" s="1492"/>
      <c r="X35" s="1493" t="b">
        <f t="shared" si="2"/>
        <v>1</v>
      </c>
      <c r="Y35" s="1493">
        <f t="shared" si="3"/>
        <v>1</v>
      </c>
      <c r="Z35" s="1492"/>
      <c r="AA35" s="1492"/>
      <c r="AB35" s="1492"/>
      <c r="AC35" s="1492"/>
      <c r="AD35" s="1492"/>
      <c r="AE35" s="1492"/>
      <c r="AG35" s="1653"/>
      <c r="AH35" s="1653"/>
      <c r="AI35" s="1623"/>
      <c r="AJ35" s="1623"/>
      <c r="AK35" s="1623"/>
      <c r="AL35" s="1560"/>
      <c r="AM35" s="1560"/>
      <c r="AN35" s="1560"/>
    </row>
    <row r="36" spans="1:40" ht="15.75" customHeight="1" x14ac:dyDescent="0.25">
      <c r="A36" s="1560"/>
      <c r="B36" s="1562"/>
      <c r="C36" s="1646"/>
      <c r="D36" s="1646"/>
      <c r="E36" s="1647">
        <f t="shared" si="0"/>
        <v>0</v>
      </c>
      <c r="F36" s="1562"/>
      <c r="G36" s="1648" t="str">
        <f t="shared" si="4"/>
        <v/>
      </c>
      <c r="H36" s="1649" t="str">
        <f t="shared" si="1"/>
        <v/>
      </c>
      <c r="I36" s="1560"/>
      <c r="J36" s="1560"/>
      <c r="K36" s="1562"/>
      <c r="L36" s="1562"/>
      <c r="M36" s="1560"/>
      <c r="N36" s="1560"/>
      <c r="S36" s="1492"/>
      <c r="T36" s="1492"/>
      <c r="U36" s="1492"/>
      <c r="V36" s="1492"/>
      <c r="W36" s="1492"/>
      <c r="X36" s="1493" t="b">
        <f t="shared" si="2"/>
        <v>1</v>
      </c>
      <c r="Y36" s="1493">
        <f t="shared" si="3"/>
        <v>1</v>
      </c>
      <c r="Z36" s="1492"/>
      <c r="AA36" s="1492"/>
      <c r="AB36" s="1492"/>
      <c r="AC36" s="1492"/>
      <c r="AD36" s="1492"/>
      <c r="AE36" s="1492"/>
      <c r="AG36" s="1653"/>
      <c r="AH36" s="1653"/>
      <c r="AI36" s="1623"/>
      <c r="AJ36" s="1623"/>
      <c r="AK36" s="1623"/>
      <c r="AL36" s="1560"/>
      <c r="AM36" s="1560"/>
      <c r="AN36" s="1560"/>
    </row>
    <row r="37" spans="1:40" ht="15.75" customHeight="1" x14ac:dyDescent="0.25">
      <c r="A37" s="1560"/>
      <c r="B37" s="1562"/>
      <c r="C37" s="1646"/>
      <c r="D37" s="1646"/>
      <c r="E37" s="1647">
        <f t="shared" ref="E37:E68" si="5">D37</f>
        <v>0</v>
      </c>
      <c r="F37" s="1562"/>
      <c r="G37" s="1648" t="str">
        <f t="shared" si="4"/>
        <v/>
      </c>
      <c r="H37" s="1649" t="str">
        <f t="shared" ref="H37:H68" si="6">IF(AH37&gt;0,AH37*$X$4,"")</f>
        <v/>
      </c>
      <c r="I37" s="1560"/>
      <c r="J37" s="1560"/>
      <c r="K37" s="1562"/>
      <c r="L37" s="1562"/>
      <c r="M37" s="1560"/>
      <c r="N37" s="1560"/>
      <c r="S37" s="1492"/>
      <c r="T37" s="1492"/>
      <c r="U37" s="1492"/>
      <c r="V37" s="1492"/>
      <c r="W37" s="1492"/>
      <c r="X37" s="1493" t="b">
        <f t="shared" ref="X37:X68" si="7">AND(C37=U37,D37=V37,E37=W37)</f>
        <v>1</v>
      </c>
      <c r="Y37" s="1493">
        <f t="shared" ref="Y37:Y68" si="8">X37*1</f>
        <v>1</v>
      </c>
      <c r="Z37" s="1492"/>
      <c r="AA37" s="1492"/>
      <c r="AB37" s="1492"/>
      <c r="AC37" s="1492"/>
      <c r="AD37" s="1492"/>
      <c r="AE37" s="1492"/>
      <c r="AG37" s="1653"/>
      <c r="AH37" s="1653"/>
      <c r="AI37" s="1623"/>
      <c r="AJ37" s="1623"/>
      <c r="AK37" s="1623"/>
      <c r="AL37" s="1560"/>
      <c r="AM37" s="1560"/>
      <c r="AN37" s="1560"/>
    </row>
    <row r="38" spans="1:40" ht="15.75" customHeight="1" x14ac:dyDescent="0.25">
      <c r="A38" s="1560"/>
      <c r="B38" s="1562"/>
      <c r="C38" s="1646"/>
      <c r="D38" s="1646"/>
      <c r="E38" s="1647">
        <f t="shared" si="5"/>
        <v>0</v>
      </c>
      <c r="F38" s="1562"/>
      <c r="G38" s="1648" t="str">
        <f t="shared" ref="G38:G69" si="9">IF(AG38&gt;0,AG38*$X$4,"")</f>
        <v/>
      </c>
      <c r="H38" s="1649" t="str">
        <f t="shared" si="6"/>
        <v/>
      </c>
      <c r="I38" s="1560"/>
      <c r="J38" s="1560"/>
      <c r="K38" s="1562"/>
      <c r="L38" s="1562"/>
      <c r="M38" s="1560"/>
      <c r="N38" s="1560"/>
      <c r="S38" s="1492"/>
      <c r="T38" s="1492"/>
      <c r="U38" s="1492"/>
      <c r="V38" s="1492"/>
      <c r="W38" s="1492"/>
      <c r="X38" s="1493" t="b">
        <f t="shared" si="7"/>
        <v>1</v>
      </c>
      <c r="Y38" s="1493">
        <f t="shared" si="8"/>
        <v>1</v>
      </c>
      <c r="Z38" s="1492"/>
      <c r="AA38" s="1492"/>
      <c r="AB38" s="1492"/>
      <c r="AC38" s="1492"/>
      <c r="AD38" s="1492"/>
      <c r="AE38" s="1492"/>
      <c r="AG38" s="1653"/>
      <c r="AH38" s="1653"/>
      <c r="AI38" s="1623"/>
      <c r="AJ38" s="1623"/>
      <c r="AK38" s="1623"/>
      <c r="AL38" s="1560"/>
      <c r="AM38" s="1560"/>
      <c r="AN38" s="1560"/>
    </row>
    <row r="39" spans="1:40" ht="15.75" customHeight="1" x14ac:dyDescent="0.25">
      <c r="A39" s="1560"/>
      <c r="B39" s="1562"/>
      <c r="C39" s="1646"/>
      <c r="D39" s="1646"/>
      <c r="E39" s="1647">
        <f t="shared" si="5"/>
        <v>0</v>
      </c>
      <c r="F39" s="1562"/>
      <c r="G39" s="1648" t="str">
        <f t="shared" si="9"/>
        <v/>
      </c>
      <c r="H39" s="1649" t="str">
        <f t="shared" si="6"/>
        <v/>
      </c>
      <c r="I39" s="1560"/>
      <c r="J39" s="1560"/>
      <c r="K39" s="1562"/>
      <c r="L39" s="1562"/>
      <c r="M39" s="1560"/>
      <c r="N39" s="1560"/>
      <c r="S39" s="1492"/>
      <c r="T39" s="1492"/>
      <c r="U39" s="1492"/>
      <c r="V39" s="1492"/>
      <c r="W39" s="1492"/>
      <c r="X39" s="1493" t="b">
        <f t="shared" si="7"/>
        <v>1</v>
      </c>
      <c r="Y39" s="1493">
        <f t="shared" si="8"/>
        <v>1</v>
      </c>
      <c r="Z39" s="1492"/>
      <c r="AA39" s="1492"/>
      <c r="AB39" s="1492"/>
      <c r="AC39" s="1492"/>
      <c r="AD39" s="1492"/>
      <c r="AE39" s="1492"/>
      <c r="AG39" s="1653"/>
      <c r="AH39" s="1653"/>
      <c r="AI39" s="1623"/>
      <c r="AJ39" s="1623"/>
      <c r="AK39" s="1623"/>
      <c r="AL39" s="1560"/>
      <c r="AM39" s="1560"/>
      <c r="AN39" s="1560"/>
    </row>
    <row r="40" spans="1:40" ht="15.75" customHeight="1" x14ac:dyDescent="0.25">
      <c r="A40" s="1560"/>
      <c r="B40" s="1562"/>
      <c r="C40" s="1646"/>
      <c r="D40" s="1646"/>
      <c r="E40" s="1647">
        <f t="shared" si="5"/>
        <v>0</v>
      </c>
      <c r="F40" s="1562"/>
      <c r="G40" s="1648" t="str">
        <f t="shared" si="9"/>
        <v/>
      </c>
      <c r="H40" s="1649" t="str">
        <f t="shared" si="6"/>
        <v/>
      </c>
      <c r="I40" s="1560"/>
      <c r="J40" s="1560"/>
      <c r="K40" s="1562"/>
      <c r="L40" s="1562"/>
      <c r="M40" s="1560"/>
      <c r="N40" s="1560"/>
      <c r="S40" s="1492"/>
      <c r="T40" s="1492"/>
      <c r="U40" s="1492"/>
      <c r="V40" s="1492"/>
      <c r="W40" s="1492"/>
      <c r="X40" s="1493" t="b">
        <f t="shared" si="7"/>
        <v>1</v>
      </c>
      <c r="Y40" s="1493">
        <f t="shared" si="8"/>
        <v>1</v>
      </c>
      <c r="Z40" s="1492"/>
      <c r="AA40" s="1492"/>
      <c r="AB40" s="1492"/>
      <c r="AC40" s="1492"/>
      <c r="AD40" s="1492"/>
      <c r="AE40" s="1492"/>
      <c r="AG40" s="1653"/>
      <c r="AH40" s="1653"/>
      <c r="AI40" s="1623"/>
      <c r="AJ40" s="1623"/>
      <c r="AK40" s="1623"/>
      <c r="AL40" s="1560"/>
      <c r="AM40" s="1560"/>
      <c r="AN40" s="1560"/>
    </row>
    <row r="41" spans="1:40" ht="15.75" customHeight="1" x14ac:dyDescent="0.25">
      <c r="A41" s="1560"/>
      <c r="B41" s="1562"/>
      <c r="C41" s="1646"/>
      <c r="D41" s="1646"/>
      <c r="E41" s="1647">
        <f t="shared" si="5"/>
        <v>0</v>
      </c>
      <c r="F41" s="1562"/>
      <c r="G41" s="1648" t="str">
        <f t="shared" si="9"/>
        <v/>
      </c>
      <c r="H41" s="1649" t="str">
        <f t="shared" si="6"/>
        <v/>
      </c>
      <c r="I41" s="1560"/>
      <c r="J41" s="1560"/>
      <c r="K41" s="1562"/>
      <c r="L41" s="1562"/>
      <c r="M41" s="1560"/>
      <c r="N41" s="1560"/>
      <c r="S41" s="1492"/>
      <c r="T41" s="1492"/>
      <c r="U41" s="1492"/>
      <c r="V41" s="1492"/>
      <c r="W41" s="1492"/>
      <c r="X41" s="1493" t="b">
        <f t="shared" si="7"/>
        <v>1</v>
      </c>
      <c r="Y41" s="1493">
        <f t="shared" si="8"/>
        <v>1</v>
      </c>
      <c r="Z41" s="1492"/>
      <c r="AA41" s="1492"/>
      <c r="AB41" s="1492"/>
      <c r="AC41" s="1492"/>
      <c r="AD41" s="1492"/>
      <c r="AE41" s="1492"/>
      <c r="AG41" s="1653"/>
      <c r="AH41" s="1653"/>
      <c r="AI41" s="1623"/>
      <c r="AJ41" s="1623"/>
      <c r="AK41" s="1623"/>
      <c r="AL41" s="1560"/>
      <c r="AM41" s="1560"/>
      <c r="AN41" s="1560"/>
    </row>
    <row r="42" spans="1:40" ht="15.75" customHeight="1" x14ac:dyDescent="0.25">
      <c r="A42" s="1560"/>
      <c r="B42" s="1562"/>
      <c r="C42" s="1646"/>
      <c r="D42" s="1646"/>
      <c r="E42" s="1647">
        <f t="shared" si="5"/>
        <v>0</v>
      </c>
      <c r="F42" s="1562"/>
      <c r="G42" s="1648" t="str">
        <f t="shared" si="9"/>
        <v/>
      </c>
      <c r="H42" s="1649" t="str">
        <f t="shared" si="6"/>
        <v/>
      </c>
      <c r="I42" s="1560"/>
      <c r="J42" s="1560"/>
      <c r="K42" s="1562"/>
      <c r="L42" s="1562"/>
      <c r="M42" s="1560"/>
      <c r="N42" s="1560"/>
      <c r="S42" s="1492"/>
      <c r="T42" s="1492"/>
      <c r="U42" s="1492"/>
      <c r="V42" s="1492"/>
      <c r="W42" s="1492"/>
      <c r="X42" s="1493" t="b">
        <f t="shared" si="7"/>
        <v>1</v>
      </c>
      <c r="Y42" s="1493">
        <f t="shared" si="8"/>
        <v>1</v>
      </c>
      <c r="Z42" s="1492"/>
      <c r="AA42" s="1492"/>
      <c r="AB42" s="1492"/>
      <c r="AC42" s="1492"/>
      <c r="AD42" s="1492"/>
      <c r="AE42" s="1492"/>
      <c r="AG42" s="1653"/>
      <c r="AH42" s="1653"/>
      <c r="AI42" s="1623"/>
      <c r="AJ42" s="1623"/>
      <c r="AK42" s="1623"/>
      <c r="AL42" s="1560"/>
      <c r="AM42" s="1560"/>
      <c r="AN42" s="1560"/>
    </row>
    <row r="43" spans="1:40" ht="15.75" customHeight="1" x14ac:dyDescent="0.25">
      <c r="A43" s="1560"/>
      <c r="B43" s="1562"/>
      <c r="C43" s="1646"/>
      <c r="D43" s="1646"/>
      <c r="E43" s="1647">
        <f t="shared" si="5"/>
        <v>0</v>
      </c>
      <c r="F43" s="1562"/>
      <c r="G43" s="1648" t="str">
        <f t="shared" si="9"/>
        <v/>
      </c>
      <c r="H43" s="1649" t="str">
        <f t="shared" si="6"/>
        <v/>
      </c>
      <c r="I43" s="1560"/>
      <c r="J43" s="1560"/>
      <c r="K43" s="1562"/>
      <c r="L43" s="1562"/>
      <c r="M43" s="1560"/>
      <c r="N43" s="1560"/>
      <c r="S43" s="1492"/>
      <c r="T43" s="1492"/>
      <c r="U43" s="1492"/>
      <c r="V43" s="1492"/>
      <c r="W43" s="1492"/>
      <c r="X43" s="1493" t="b">
        <f t="shared" si="7"/>
        <v>1</v>
      </c>
      <c r="Y43" s="1493">
        <f t="shared" si="8"/>
        <v>1</v>
      </c>
      <c r="Z43" s="1492"/>
      <c r="AA43" s="1492"/>
      <c r="AB43" s="1492"/>
      <c r="AC43" s="1492"/>
      <c r="AD43" s="1492"/>
      <c r="AE43" s="1492"/>
      <c r="AG43" s="1653"/>
      <c r="AH43" s="1653"/>
      <c r="AI43" s="1623"/>
      <c r="AJ43" s="1623"/>
      <c r="AK43" s="1623"/>
      <c r="AL43" s="1560"/>
      <c r="AM43" s="1560"/>
      <c r="AN43" s="1560"/>
    </row>
    <row r="44" spans="1:40" ht="15.75" customHeight="1" x14ac:dyDescent="0.25">
      <c r="A44" s="1560"/>
      <c r="B44" s="1562"/>
      <c r="C44" s="1646"/>
      <c r="D44" s="1646"/>
      <c r="E44" s="1647">
        <f t="shared" si="5"/>
        <v>0</v>
      </c>
      <c r="F44" s="1562"/>
      <c r="G44" s="1648" t="str">
        <f t="shared" si="9"/>
        <v/>
      </c>
      <c r="H44" s="1649" t="str">
        <f t="shared" si="6"/>
        <v/>
      </c>
      <c r="I44" s="1560"/>
      <c r="J44" s="1560"/>
      <c r="K44" s="1562"/>
      <c r="L44" s="1562"/>
      <c r="M44" s="1560"/>
      <c r="N44" s="1560"/>
      <c r="S44" s="1492"/>
      <c r="T44" s="1492"/>
      <c r="U44" s="1492"/>
      <c r="V44" s="1492"/>
      <c r="W44" s="1492"/>
      <c r="X44" s="1493" t="b">
        <f t="shared" si="7"/>
        <v>1</v>
      </c>
      <c r="Y44" s="1493">
        <f t="shared" si="8"/>
        <v>1</v>
      </c>
      <c r="Z44" s="1492"/>
      <c r="AA44" s="1492"/>
      <c r="AB44" s="1492"/>
      <c r="AC44" s="1492"/>
      <c r="AD44" s="1492"/>
      <c r="AE44" s="1492"/>
      <c r="AG44" s="1653"/>
      <c r="AH44" s="1653"/>
      <c r="AI44" s="1623"/>
      <c r="AJ44" s="1623"/>
      <c r="AK44" s="1623"/>
      <c r="AL44" s="1560"/>
      <c r="AM44" s="1560"/>
      <c r="AN44" s="1560"/>
    </row>
    <row r="45" spans="1:40" ht="15.75" customHeight="1" x14ac:dyDescent="0.25">
      <c r="A45" s="1560"/>
      <c r="B45" s="1562"/>
      <c r="C45" s="1646"/>
      <c r="D45" s="1646"/>
      <c r="E45" s="1647">
        <f t="shared" si="5"/>
        <v>0</v>
      </c>
      <c r="F45" s="1562"/>
      <c r="G45" s="1648" t="str">
        <f t="shared" si="9"/>
        <v/>
      </c>
      <c r="H45" s="1649" t="str">
        <f t="shared" si="6"/>
        <v/>
      </c>
      <c r="I45" s="1560"/>
      <c r="J45" s="1560"/>
      <c r="K45" s="1562"/>
      <c r="L45" s="1562"/>
      <c r="M45" s="1560"/>
      <c r="N45" s="1560"/>
      <c r="S45" s="1492"/>
      <c r="T45" s="1492"/>
      <c r="U45" s="1492"/>
      <c r="V45" s="1492"/>
      <c r="W45" s="1492"/>
      <c r="X45" s="1493" t="b">
        <f t="shared" si="7"/>
        <v>1</v>
      </c>
      <c r="Y45" s="1493">
        <f t="shared" si="8"/>
        <v>1</v>
      </c>
      <c r="Z45" s="1492"/>
      <c r="AA45" s="1492"/>
      <c r="AB45" s="1492"/>
      <c r="AC45" s="1492"/>
      <c r="AD45" s="1492"/>
      <c r="AE45" s="1492"/>
      <c r="AG45" s="1653"/>
      <c r="AH45" s="1653"/>
      <c r="AI45" s="1623"/>
      <c r="AJ45" s="1623"/>
      <c r="AK45" s="1623"/>
      <c r="AL45" s="1560"/>
      <c r="AM45" s="1560"/>
      <c r="AN45" s="1560"/>
    </row>
    <row r="46" spans="1:40" ht="15.75" customHeight="1" x14ac:dyDescent="0.25">
      <c r="A46" s="1560"/>
      <c r="B46" s="1562"/>
      <c r="C46" s="1646"/>
      <c r="D46" s="1646"/>
      <c r="E46" s="1647">
        <f t="shared" si="5"/>
        <v>0</v>
      </c>
      <c r="F46" s="1562"/>
      <c r="G46" s="1648" t="str">
        <f t="shared" si="9"/>
        <v/>
      </c>
      <c r="H46" s="1649" t="str">
        <f t="shared" si="6"/>
        <v/>
      </c>
      <c r="I46" s="1560"/>
      <c r="J46" s="1560"/>
      <c r="K46" s="1562"/>
      <c r="L46" s="1562"/>
      <c r="M46" s="1560"/>
      <c r="N46" s="1560"/>
      <c r="S46" s="1492"/>
      <c r="T46" s="1492"/>
      <c r="U46" s="1492"/>
      <c r="V46" s="1492"/>
      <c r="W46" s="1492"/>
      <c r="X46" s="1493" t="b">
        <f t="shared" si="7"/>
        <v>1</v>
      </c>
      <c r="Y46" s="1493">
        <f t="shared" si="8"/>
        <v>1</v>
      </c>
      <c r="Z46" s="1492"/>
      <c r="AA46" s="1492"/>
      <c r="AB46" s="1492"/>
      <c r="AC46" s="1492"/>
      <c r="AD46" s="1492"/>
      <c r="AE46" s="1492"/>
      <c r="AG46" s="1653"/>
      <c r="AH46" s="1653"/>
      <c r="AI46" s="1623"/>
      <c r="AJ46" s="1623"/>
      <c r="AK46" s="1623"/>
      <c r="AL46" s="1560"/>
      <c r="AM46" s="1560"/>
      <c r="AN46" s="1560"/>
    </row>
    <row r="47" spans="1:40" ht="15.75" customHeight="1" x14ac:dyDescent="0.25">
      <c r="A47" s="1560"/>
      <c r="B47" s="1562"/>
      <c r="C47" s="1646"/>
      <c r="D47" s="1646"/>
      <c r="E47" s="1647">
        <f t="shared" si="5"/>
        <v>0</v>
      </c>
      <c r="F47" s="1562"/>
      <c r="G47" s="1648" t="str">
        <f t="shared" si="9"/>
        <v/>
      </c>
      <c r="H47" s="1649" t="str">
        <f t="shared" si="6"/>
        <v/>
      </c>
      <c r="I47" s="1560"/>
      <c r="J47" s="1560"/>
      <c r="K47" s="1562"/>
      <c r="L47" s="1562"/>
      <c r="M47" s="1560"/>
      <c r="N47" s="1560"/>
      <c r="S47" s="1492"/>
      <c r="T47" s="1492"/>
      <c r="U47" s="1492"/>
      <c r="V47" s="1492"/>
      <c r="W47" s="1492"/>
      <c r="X47" s="1493" t="b">
        <f t="shared" si="7"/>
        <v>1</v>
      </c>
      <c r="Y47" s="1493">
        <f t="shared" si="8"/>
        <v>1</v>
      </c>
      <c r="Z47" s="1492"/>
      <c r="AA47" s="1492"/>
      <c r="AB47" s="1492"/>
      <c r="AC47" s="1492"/>
      <c r="AD47" s="1492"/>
      <c r="AE47" s="1492"/>
      <c r="AG47" s="1653"/>
      <c r="AH47" s="1653"/>
      <c r="AI47" s="1623"/>
      <c r="AJ47" s="1623"/>
      <c r="AK47" s="1623"/>
      <c r="AL47" s="1560"/>
      <c r="AM47" s="1560"/>
      <c r="AN47" s="1560"/>
    </row>
    <row r="48" spans="1:40" ht="15.75" customHeight="1" x14ac:dyDescent="0.25">
      <c r="A48" s="1560"/>
      <c r="B48" s="1562"/>
      <c r="C48" s="1646"/>
      <c r="D48" s="1646"/>
      <c r="E48" s="1647">
        <f t="shared" si="5"/>
        <v>0</v>
      </c>
      <c r="F48" s="1562"/>
      <c r="G48" s="1648" t="str">
        <f t="shared" si="9"/>
        <v/>
      </c>
      <c r="H48" s="1649" t="str">
        <f t="shared" si="6"/>
        <v/>
      </c>
      <c r="I48" s="1560"/>
      <c r="J48" s="1560"/>
      <c r="K48" s="1562"/>
      <c r="L48" s="1562"/>
      <c r="M48" s="1560"/>
      <c r="N48" s="1560"/>
      <c r="S48" s="1492"/>
      <c r="T48" s="1492"/>
      <c r="U48" s="1492"/>
      <c r="V48" s="1492"/>
      <c r="W48" s="1492"/>
      <c r="X48" s="1493" t="b">
        <f t="shared" si="7"/>
        <v>1</v>
      </c>
      <c r="Y48" s="1493">
        <f t="shared" si="8"/>
        <v>1</v>
      </c>
      <c r="Z48" s="1492"/>
      <c r="AA48" s="1492"/>
      <c r="AB48" s="1492"/>
      <c r="AC48" s="1492"/>
      <c r="AD48" s="1492"/>
      <c r="AE48" s="1492"/>
      <c r="AG48" s="1653"/>
      <c r="AH48" s="1653"/>
      <c r="AI48" s="1623"/>
      <c r="AJ48" s="1623"/>
      <c r="AK48" s="1623"/>
      <c r="AL48" s="1560"/>
      <c r="AM48" s="1560"/>
      <c r="AN48" s="1560"/>
    </row>
    <row r="49" spans="1:40" ht="15.75" customHeight="1" x14ac:dyDescent="0.25">
      <c r="A49" s="1560"/>
      <c r="B49" s="1562"/>
      <c r="C49" s="1646"/>
      <c r="D49" s="1646"/>
      <c r="E49" s="1647">
        <f t="shared" si="5"/>
        <v>0</v>
      </c>
      <c r="F49" s="1562"/>
      <c r="G49" s="1648" t="str">
        <f t="shared" si="9"/>
        <v/>
      </c>
      <c r="H49" s="1649" t="str">
        <f t="shared" si="6"/>
        <v/>
      </c>
      <c r="I49" s="1560"/>
      <c r="J49" s="1560"/>
      <c r="K49" s="1562"/>
      <c r="L49" s="1562"/>
      <c r="M49" s="1560"/>
      <c r="N49" s="1560"/>
      <c r="S49" s="1492"/>
      <c r="T49" s="1492"/>
      <c r="U49" s="1492"/>
      <c r="V49" s="1492"/>
      <c r="W49" s="1492"/>
      <c r="X49" s="1493" t="b">
        <f t="shared" si="7"/>
        <v>1</v>
      </c>
      <c r="Y49" s="1493">
        <f t="shared" si="8"/>
        <v>1</v>
      </c>
      <c r="Z49" s="1492"/>
      <c r="AA49" s="1492"/>
      <c r="AB49" s="1492"/>
      <c r="AC49" s="1492"/>
      <c r="AD49" s="1492"/>
      <c r="AE49" s="1492"/>
      <c r="AG49" s="1653"/>
      <c r="AH49" s="1653"/>
      <c r="AI49" s="1623"/>
      <c r="AJ49" s="1623"/>
      <c r="AK49" s="1623"/>
      <c r="AL49" s="1560"/>
      <c r="AM49" s="1560"/>
      <c r="AN49" s="1560"/>
    </row>
    <row r="50" spans="1:40" ht="15.75" customHeight="1" x14ac:dyDescent="0.25">
      <c r="A50" s="1560"/>
      <c r="B50" s="1562"/>
      <c r="C50" s="1646"/>
      <c r="D50" s="1646"/>
      <c r="E50" s="1647">
        <f t="shared" si="5"/>
        <v>0</v>
      </c>
      <c r="F50" s="1562"/>
      <c r="G50" s="1648" t="str">
        <f t="shared" si="9"/>
        <v/>
      </c>
      <c r="H50" s="1649" t="str">
        <f t="shared" si="6"/>
        <v/>
      </c>
      <c r="I50" s="1560"/>
      <c r="J50" s="1560"/>
      <c r="K50" s="1562"/>
      <c r="L50" s="1562"/>
      <c r="M50" s="1560"/>
      <c r="N50" s="1560"/>
      <c r="S50" s="1492"/>
      <c r="T50" s="1492"/>
      <c r="U50" s="1492"/>
      <c r="V50" s="1492"/>
      <c r="W50" s="1492"/>
      <c r="X50" s="1493" t="b">
        <f t="shared" si="7"/>
        <v>1</v>
      </c>
      <c r="Y50" s="1493">
        <f t="shared" si="8"/>
        <v>1</v>
      </c>
      <c r="Z50" s="1492"/>
      <c r="AA50" s="1492"/>
      <c r="AB50" s="1492"/>
      <c r="AC50" s="1492"/>
      <c r="AD50" s="1492"/>
      <c r="AE50" s="1492"/>
      <c r="AG50" s="1653"/>
      <c r="AH50" s="1653"/>
      <c r="AI50" s="1623"/>
      <c r="AJ50" s="1623"/>
      <c r="AK50" s="1623"/>
      <c r="AL50" s="1560"/>
      <c r="AM50" s="1560"/>
      <c r="AN50" s="1560"/>
    </row>
    <row r="51" spans="1:40" ht="15.75" customHeight="1" x14ac:dyDescent="0.25">
      <c r="A51" s="1560"/>
      <c r="B51" s="1562"/>
      <c r="C51" s="1646"/>
      <c r="D51" s="1646"/>
      <c r="E51" s="1647">
        <f t="shared" si="5"/>
        <v>0</v>
      </c>
      <c r="F51" s="1562"/>
      <c r="G51" s="1648" t="str">
        <f t="shared" si="9"/>
        <v/>
      </c>
      <c r="H51" s="1649" t="str">
        <f t="shared" si="6"/>
        <v/>
      </c>
      <c r="I51" s="1560"/>
      <c r="J51" s="1560"/>
      <c r="K51" s="1562"/>
      <c r="L51" s="1562"/>
      <c r="M51" s="1560"/>
      <c r="N51" s="1560"/>
      <c r="S51" s="1492"/>
      <c r="T51" s="1492"/>
      <c r="U51" s="1492"/>
      <c r="V51" s="1492"/>
      <c r="W51" s="1492"/>
      <c r="X51" s="1493" t="b">
        <f t="shared" si="7"/>
        <v>1</v>
      </c>
      <c r="Y51" s="1493">
        <f t="shared" si="8"/>
        <v>1</v>
      </c>
      <c r="Z51" s="1492"/>
      <c r="AA51" s="1492"/>
      <c r="AB51" s="1492"/>
      <c r="AC51" s="1492"/>
      <c r="AD51" s="1492"/>
      <c r="AE51" s="1492"/>
      <c r="AG51" s="1653"/>
      <c r="AH51" s="1653"/>
      <c r="AI51" s="1623"/>
      <c r="AJ51" s="1623"/>
      <c r="AK51" s="1623"/>
      <c r="AL51" s="1560"/>
      <c r="AM51" s="1560"/>
      <c r="AN51" s="1560"/>
    </row>
    <row r="52" spans="1:40" ht="15.75" customHeight="1" x14ac:dyDescent="0.25">
      <c r="A52" s="1560"/>
      <c r="B52" s="1562"/>
      <c r="C52" s="1646"/>
      <c r="D52" s="1646"/>
      <c r="E52" s="1647">
        <f t="shared" si="5"/>
        <v>0</v>
      </c>
      <c r="F52" s="1562"/>
      <c r="G52" s="1648" t="str">
        <f t="shared" si="9"/>
        <v/>
      </c>
      <c r="H52" s="1649" t="str">
        <f t="shared" si="6"/>
        <v/>
      </c>
      <c r="I52" s="1560"/>
      <c r="J52" s="1560"/>
      <c r="K52" s="1562"/>
      <c r="L52" s="1562"/>
      <c r="M52" s="1560"/>
      <c r="N52" s="1560"/>
      <c r="S52" s="1492"/>
      <c r="T52" s="1492"/>
      <c r="U52" s="1492"/>
      <c r="V52" s="1492"/>
      <c r="W52" s="1492"/>
      <c r="X52" s="1493" t="b">
        <f t="shared" si="7"/>
        <v>1</v>
      </c>
      <c r="Y52" s="1493">
        <f t="shared" si="8"/>
        <v>1</v>
      </c>
      <c r="Z52" s="1492"/>
      <c r="AA52" s="1492"/>
      <c r="AB52" s="1492"/>
      <c r="AC52" s="1492"/>
      <c r="AD52" s="1492"/>
      <c r="AE52" s="1492"/>
      <c r="AG52" s="1653"/>
      <c r="AH52" s="1653"/>
      <c r="AI52" s="1623"/>
      <c r="AJ52" s="1623"/>
      <c r="AK52" s="1623"/>
      <c r="AL52" s="1560"/>
      <c r="AM52" s="1560"/>
      <c r="AN52" s="1560"/>
    </row>
    <row r="53" spans="1:40" ht="15.75" customHeight="1" x14ac:dyDescent="0.25">
      <c r="A53" s="1560"/>
      <c r="B53" s="1562"/>
      <c r="C53" s="1646"/>
      <c r="D53" s="1646"/>
      <c r="E53" s="1647">
        <f t="shared" si="5"/>
        <v>0</v>
      </c>
      <c r="F53" s="1562"/>
      <c r="G53" s="1648" t="str">
        <f t="shared" si="9"/>
        <v/>
      </c>
      <c r="H53" s="1649" t="str">
        <f t="shared" si="6"/>
        <v/>
      </c>
      <c r="I53" s="1560"/>
      <c r="J53" s="1560"/>
      <c r="K53" s="1562"/>
      <c r="L53" s="1562"/>
      <c r="M53" s="1560"/>
      <c r="N53" s="1560"/>
      <c r="S53" s="1492"/>
      <c r="T53" s="1492"/>
      <c r="U53" s="1492"/>
      <c r="V53" s="1492"/>
      <c r="W53" s="1492"/>
      <c r="X53" s="1493" t="b">
        <f t="shared" si="7"/>
        <v>1</v>
      </c>
      <c r="Y53" s="1493">
        <f t="shared" si="8"/>
        <v>1</v>
      </c>
      <c r="Z53" s="1492"/>
      <c r="AA53" s="1492"/>
      <c r="AB53" s="1492"/>
      <c r="AC53" s="1492"/>
      <c r="AD53" s="1492"/>
      <c r="AE53" s="1492"/>
      <c r="AG53" s="1653"/>
      <c r="AH53" s="1653"/>
      <c r="AI53" s="1623"/>
      <c r="AJ53" s="1623"/>
      <c r="AK53" s="1623"/>
      <c r="AL53" s="1560"/>
      <c r="AM53" s="1560"/>
      <c r="AN53" s="1560"/>
    </row>
    <row r="54" spans="1:40" ht="15.75" customHeight="1" x14ac:dyDescent="0.25">
      <c r="A54" s="1560"/>
      <c r="B54" s="1562"/>
      <c r="C54" s="1646"/>
      <c r="D54" s="1646"/>
      <c r="E54" s="1647">
        <f t="shared" si="5"/>
        <v>0</v>
      </c>
      <c r="F54" s="1562"/>
      <c r="G54" s="1648" t="str">
        <f t="shared" si="9"/>
        <v/>
      </c>
      <c r="H54" s="1649" t="str">
        <f t="shared" si="6"/>
        <v/>
      </c>
      <c r="I54" s="1560"/>
      <c r="J54" s="1560"/>
      <c r="K54" s="1562"/>
      <c r="L54" s="1562"/>
      <c r="M54" s="1560"/>
      <c r="N54" s="1560"/>
      <c r="S54" s="1492"/>
      <c r="T54" s="1492"/>
      <c r="U54" s="1492"/>
      <c r="V54" s="1492"/>
      <c r="W54" s="1492"/>
      <c r="X54" s="1493" t="b">
        <f t="shared" si="7"/>
        <v>1</v>
      </c>
      <c r="Y54" s="1493">
        <f t="shared" si="8"/>
        <v>1</v>
      </c>
      <c r="Z54" s="1492"/>
      <c r="AA54" s="1492"/>
      <c r="AB54" s="1492"/>
      <c r="AC54" s="1492"/>
      <c r="AD54" s="1492"/>
      <c r="AE54" s="1492"/>
      <c r="AG54" s="1653"/>
      <c r="AH54" s="1653"/>
      <c r="AI54" s="1623"/>
      <c r="AJ54" s="1623"/>
      <c r="AK54" s="1623"/>
      <c r="AL54" s="1560"/>
      <c r="AM54" s="1560"/>
      <c r="AN54" s="1560"/>
    </row>
    <row r="55" spans="1:40" ht="15.75" customHeight="1" x14ac:dyDescent="0.25">
      <c r="A55" s="1560"/>
      <c r="B55" s="1562"/>
      <c r="C55" s="1646"/>
      <c r="D55" s="1646"/>
      <c r="E55" s="1647">
        <f t="shared" si="5"/>
        <v>0</v>
      </c>
      <c r="F55" s="1562"/>
      <c r="G55" s="1648" t="str">
        <f t="shared" si="9"/>
        <v/>
      </c>
      <c r="H55" s="1649" t="str">
        <f t="shared" si="6"/>
        <v/>
      </c>
      <c r="I55" s="1560"/>
      <c r="J55" s="1560"/>
      <c r="K55" s="1562"/>
      <c r="L55" s="1562"/>
      <c r="M55" s="1560"/>
      <c r="N55" s="1560"/>
      <c r="S55" s="1492"/>
      <c r="T55" s="1492"/>
      <c r="U55" s="1492"/>
      <c r="V55" s="1492"/>
      <c r="W55" s="1492"/>
      <c r="X55" s="1493" t="b">
        <f t="shared" si="7"/>
        <v>1</v>
      </c>
      <c r="Y55" s="1493">
        <f t="shared" si="8"/>
        <v>1</v>
      </c>
      <c r="Z55" s="1492"/>
      <c r="AA55" s="1492"/>
      <c r="AB55" s="1492"/>
      <c r="AC55" s="1492"/>
      <c r="AD55" s="1492"/>
      <c r="AE55" s="1492"/>
      <c r="AG55" s="1653"/>
      <c r="AH55" s="1653"/>
      <c r="AI55" s="1623"/>
      <c r="AJ55" s="1623"/>
      <c r="AK55" s="1623"/>
      <c r="AL55" s="1560"/>
      <c r="AM55" s="1560"/>
      <c r="AN55" s="1560"/>
    </row>
    <row r="56" spans="1:40" ht="15.75" customHeight="1" x14ac:dyDescent="0.25">
      <c r="A56" s="1560"/>
      <c r="B56" s="1562"/>
      <c r="C56" s="1646"/>
      <c r="D56" s="1646"/>
      <c r="E56" s="1647">
        <f t="shared" si="5"/>
        <v>0</v>
      </c>
      <c r="F56" s="1562"/>
      <c r="G56" s="1648" t="str">
        <f t="shared" si="9"/>
        <v/>
      </c>
      <c r="H56" s="1649" t="str">
        <f t="shared" si="6"/>
        <v/>
      </c>
      <c r="I56" s="1560"/>
      <c r="J56" s="1560"/>
      <c r="K56" s="1562"/>
      <c r="L56" s="1562"/>
      <c r="M56" s="1560"/>
      <c r="N56" s="1560"/>
      <c r="S56" s="1492"/>
      <c r="T56" s="1492"/>
      <c r="U56" s="1492"/>
      <c r="V56" s="1492"/>
      <c r="W56" s="1492"/>
      <c r="X56" s="1493" t="b">
        <f t="shared" si="7"/>
        <v>1</v>
      </c>
      <c r="Y56" s="1493">
        <f t="shared" si="8"/>
        <v>1</v>
      </c>
      <c r="Z56" s="1492"/>
      <c r="AA56" s="1492"/>
      <c r="AB56" s="1492"/>
      <c r="AC56" s="1492"/>
      <c r="AD56" s="1492"/>
      <c r="AE56" s="1492"/>
      <c r="AG56" s="1653"/>
      <c r="AH56" s="1653"/>
      <c r="AI56" s="1623"/>
      <c r="AJ56" s="1623"/>
      <c r="AK56" s="1623"/>
      <c r="AL56" s="1560"/>
      <c r="AM56" s="1560"/>
      <c r="AN56" s="1560"/>
    </row>
    <row r="57" spans="1:40" ht="15.75" customHeight="1" x14ac:dyDescent="0.25">
      <c r="A57" s="1560"/>
      <c r="B57" s="1562"/>
      <c r="C57" s="1646"/>
      <c r="D57" s="1646"/>
      <c r="E57" s="1647">
        <f t="shared" si="5"/>
        <v>0</v>
      </c>
      <c r="F57" s="1562"/>
      <c r="G57" s="1648" t="str">
        <f t="shared" si="9"/>
        <v/>
      </c>
      <c r="H57" s="1649" t="str">
        <f t="shared" si="6"/>
        <v/>
      </c>
      <c r="I57" s="1560"/>
      <c r="J57" s="1560"/>
      <c r="K57" s="1562"/>
      <c r="L57" s="1562"/>
      <c r="M57" s="1560"/>
      <c r="N57" s="1560"/>
      <c r="S57" s="1492"/>
      <c r="T57" s="1492"/>
      <c r="U57" s="1492"/>
      <c r="V57" s="1492"/>
      <c r="W57" s="1492"/>
      <c r="X57" s="1493" t="b">
        <f t="shared" si="7"/>
        <v>1</v>
      </c>
      <c r="Y57" s="1493">
        <f t="shared" si="8"/>
        <v>1</v>
      </c>
      <c r="Z57" s="1492"/>
      <c r="AA57" s="1492"/>
      <c r="AB57" s="1492"/>
      <c r="AC57" s="1492"/>
      <c r="AD57" s="1492"/>
      <c r="AE57" s="1492"/>
      <c r="AG57" s="1653"/>
      <c r="AH57" s="1653"/>
      <c r="AI57" s="1623"/>
      <c r="AJ57" s="1623"/>
      <c r="AK57" s="1623"/>
      <c r="AL57" s="1560"/>
      <c r="AM57" s="1560"/>
      <c r="AN57" s="1560"/>
    </row>
    <row r="58" spans="1:40" ht="15.75" customHeight="1" x14ac:dyDescent="0.25">
      <c r="A58" s="1560"/>
      <c r="B58" s="1562"/>
      <c r="C58" s="1646"/>
      <c r="D58" s="1646"/>
      <c r="E58" s="1647">
        <f t="shared" si="5"/>
        <v>0</v>
      </c>
      <c r="F58" s="1562"/>
      <c r="G58" s="1648" t="str">
        <f t="shared" si="9"/>
        <v/>
      </c>
      <c r="H58" s="1649" t="str">
        <f t="shared" si="6"/>
        <v/>
      </c>
      <c r="I58" s="1560"/>
      <c r="J58" s="1560"/>
      <c r="K58" s="1562"/>
      <c r="L58" s="1562"/>
      <c r="M58" s="1560"/>
      <c r="N58" s="1560"/>
      <c r="S58" s="1492"/>
      <c r="T58" s="1492"/>
      <c r="U58" s="1492"/>
      <c r="V58" s="1492"/>
      <c r="W58" s="1492"/>
      <c r="X58" s="1493" t="b">
        <f t="shared" si="7"/>
        <v>1</v>
      </c>
      <c r="Y58" s="1493">
        <f t="shared" si="8"/>
        <v>1</v>
      </c>
      <c r="Z58" s="1492"/>
      <c r="AA58" s="1492"/>
      <c r="AB58" s="1492"/>
      <c r="AC58" s="1492"/>
      <c r="AD58" s="1492"/>
      <c r="AE58" s="1492"/>
      <c r="AG58" s="1653"/>
      <c r="AH58" s="1653"/>
      <c r="AI58" s="1623"/>
      <c r="AJ58" s="1623"/>
      <c r="AK58" s="1623"/>
      <c r="AL58" s="1560"/>
      <c r="AM58" s="1560"/>
      <c r="AN58" s="1560"/>
    </row>
    <row r="59" spans="1:40" ht="15.75" customHeight="1" x14ac:dyDescent="0.25">
      <c r="A59" s="1560"/>
      <c r="B59" s="1562"/>
      <c r="C59" s="1646"/>
      <c r="D59" s="1646"/>
      <c r="E59" s="1647">
        <f t="shared" si="5"/>
        <v>0</v>
      </c>
      <c r="F59" s="1562"/>
      <c r="G59" s="1648" t="str">
        <f t="shared" si="9"/>
        <v/>
      </c>
      <c r="H59" s="1649" t="str">
        <f t="shared" si="6"/>
        <v/>
      </c>
      <c r="I59" s="1560"/>
      <c r="J59" s="1560"/>
      <c r="K59" s="1562"/>
      <c r="L59" s="1562"/>
      <c r="M59" s="1560"/>
      <c r="N59" s="1560"/>
      <c r="S59" s="1492"/>
      <c r="T59" s="1492"/>
      <c r="U59" s="1492"/>
      <c r="V59" s="1492"/>
      <c r="W59" s="1492"/>
      <c r="X59" s="1493" t="b">
        <f t="shared" si="7"/>
        <v>1</v>
      </c>
      <c r="Y59" s="1493">
        <f t="shared" si="8"/>
        <v>1</v>
      </c>
      <c r="Z59" s="1492"/>
      <c r="AA59" s="1492"/>
      <c r="AB59" s="1492"/>
      <c r="AC59" s="1492"/>
      <c r="AD59" s="1492"/>
      <c r="AE59" s="1492"/>
      <c r="AG59" s="1653"/>
      <c r="AH59" s="1653"/>
      <c r="AI59" s="1623"/>
      <c r="AJ59" s="1623"/>
      <c r="AK59" s="1623"/>
      <c r="AL59" s="1560"/>
      <c r="AM59" s="1560"/>
      <c r="AN59" s="1560"/>
    </row>
    <row r="60" spans="1:40" ht="15.75" customHeight="1" x14ac:dyDescent="0.25">
      <c r="A60" s="1560"/>
      <c r="B60" s="1562"/>
      <c r="C60" s="1646"/>
      <c r="D60" s="1646"/>
      <c r="E60" s="1647">
        <f t="shared" si="5"/>
        <v>0</v>
      </c>
      <c r="F60" s="1562"/>
      <c r="G60" s="1648" t="str">
        <f t="shared" si="9"/>
        <v/>
      </c>
      <c r="H60" s="1649" t="str">
        <f t="shared" si="6"/>
        <v/>
      </c>
      <c r="I60" s="1560"/>
      <c r="J60" s="1560"/>
      <c r="K60" s="1562"/>
      <c r="L60" s="1562"/>
      <c r="M60" s="1560"/>
      <c r="N60" s="1560"/>
      <c r="S60" s="1492"/>
      <c r="T60" s="1492"/>
      <c r="U60" s="1492"/>
      <c r="V60" s="1492"/>
      <c r="W60" s="1492"/>
      <c r="X60" s="1493" t="b">
        <f t="shared" si="7"/>
        <v>1</v>
      </c>
      <c r="Y60" s="1493">
        <f t="shared" si="8"/>
        <v>1</v>
      </c>
      <c r="Z60" s="1492"/>
      <c r="AA60" s="1492"/>
      <c r="AB60" s="1492"/>
      <c r="AC60" s="1492"/>
      <c r="AD60" s="1492"/>
      <c r="AE60" s="1492"/>
      <c r="AG60" s="1653"/>
      <c r="AH60" s="1653"/>
      <c r="AI60" s="1623"/>
      <c r="AJ60" s="1623"/>
      <c r="AK60" s="1623"/>
      <c r="AL60" s="1560"/>
      <c r="AM60" s="1560"/>
      <c r="AN60" s="1560"/>
    </row>
    <row r="61" spans="1:40" ht="15.75" customHeight="1" x14ac:dyDescent="0.25">
      <c r="A61" s="1560"/>
      <c r="B61" s="1562"/>
      <c r="C61" s="1646"/>
      <c r="D61" s="1646"/>
      <c r="E61" s="1647">
        <f t="shared" si="5"/>
        <v>0</v>
      </c>
      <c r="F61" s="1562"/>
      <c r="G61" s="1648" t="str">
        <f t="shared" si="9"/>
        <v/>
      </c>
      <c r="H61" s="1649" t="str">
        <f t="shared" si="6"/>
        <v/>
      </c>
      <c r="I61" s="1560"/>
      <c r="J61" s="1560"/>
      <c r="K61" s="1562"/>
      <c r="L61" s="1562"/>
      <c r="M61" s="1560"/>
      <c r="N61" s="1560"/>
      <c r="S61" s="1492"/>
      <c r="T61" s="1492"/>
      <c r="U61" s="1492"/>
      <c r="V61" s="1492"/>
      <c r="W61" s="1492"/>
      <c r="X61" s="1493" t="b">
        <f t="shared" si="7"/>
        <v>1</v>
      </c>
      <c r="Y61" s="1493">
        <f t="shared" si="8"/>
        <v>1</v>
      </c>
      <c r="Z61" s="1492"/>
      <c r="AA61" s="1492"/>
      <c r="AB61" s="1492"/>
      <c r="AC61" s="1492"/>
      <c r="AD61" s="1492"/>
      <c r="AE61" s="1492"/>
      <c r="AG61" s="1653"/>
      <c r="AH61" s="1653"/>
      <c r="AI61" s="1623"/>
      <c r="AJ61" s="1623"/>
      <c r="AK61" s="1623"/>
      <c r="AL61" s="1560"/>
      <c r="AM61" s="1560"/>
      <c r="AN61" s="1560"/>
    </row>
    <row r="62" spans="1:40" ht="15.75" customHeight="1" x14ac:dyDescent="0.25">
      <c r="A62" s="1560"/>
      <c r="B62" s="1562"/>
      <c r="C62" s="1646"/>
      <c r="D62" s="1646"/>
      <c r="E62" s="1647">
        <f t="shared" si="5"/>
        <v>0</v>
      </c>
      <c r="F62" s="1562"/>
      <c r="G62" s="1648" t="str">
        <f t="shared" si="9"/>
        <v/>
      </c>
      <c r="H62" s="1649" t="str">
        <f t="shared" si="6"/>
        <v/>
      </c>
      <c r="I62" s="1560"/>
      <c r="J62" s="1560"/>
      <c r="K62" s="1562"/>
      <c r="L62" s="1562"/>
      <c r="M62" s="1560"/>
      <c r="N62" s="1560"/>
      <c r="S62" s="1492"/>
      <c r="T62" s="1492"/>
      <c r="U62" s="1492"/>
      <c r="V62" s="1492"/>
      <c r="W62" s="1492"/>
      <c r="X62" s="1493" t="b">
        <f t="shared" si="7"/>
        <v>1</v>
      </c>
      <c r="Y62" s="1493">
        <f t="shared" si="8"/>
        <v>1</v>
      </c>
      <c r="Z62" s="1492"/>
      <c r="AA62" s="1492"/>
      <c r="AB62" s="1492"/>
      <c r="AC62" s="1492"/>
      <c r="AD62" s="1492"/>
      <c r="AE62" s="1492"/>
      <c r="AG62" s="1653"/>
      <c r="AH62" s="1653"/>
      <c r="AI62" s="1623"/>
      <c r="AJ62" s="1623"/>
      <c r="AK62" s="1623"/>
      <c r="AL62" s="1560"/>
      <c r="AM62" s="1560"/>
      <c r="AN62" s="1560"/>
    </row>
    <row r="63" spans="1:40" ht="15.75" customHeight="1" x14ac:dyDescent="0.25">
      <c r="A63" s="1560"/>
      <c r="B63" s="1562"/>
      <c r="C63" s="1646"/>
      <c r="D63" s="1646"/>
      <c r="E63" s="1647">
        <f t="shared" si="5"/>
        <v>0</v>
      </c>
      <c r="F63" s="1562"/>
      <c r="G63" s="1648" t="str">
        <f t="shared" si="9"/>
        <v/>
      </c>
      <c r="H63" s="1649" t="str">
        <f t="shared" si="6"/>
        <v/>
      </c>
      <c r="I63" s="1560"/>
      <c r="J63" s="1560"/>
      <c r="K63" s="1562"/>
      <c r="L63" s="1562"/>
      <c r="M63" s="1560"/>
      <c r="N63" s="1560"/>
      <c r="S63" s="1492"/>
      <c r="T63" s="1492"/>
      <c r="U63" s="1492"/>
      <c r="V63" s="1492"/>
      <c r="W63" s="1492"/>
      <c r="X63" s="1493" t="b">
        <f t="shared" si="7"/>
        <v>1</v>
      </c>
      <c r="Y63" s="1493">
        <f t="shared" si="8"/>
        <v>1</v>
      </c>
      <c r="Z63" s="1492"/>
      <c r="AA63" s="1492"/>
      <c r="AB63" s="1492"/>
      <c r="AC63" s="1492"/>
      <c r="AD63" s="1492"/>
      <c r="AE63" s="1492"/>
      <c r="AG63" s="1653"/>
      <c r="AH63" s="1653"/>
      <c r="AI63" s="1623"/>
      <c r="AJ63" s="1623"/>
      <c r="AK63" s="1623"/>
      <c r="AL63" s="1560"/>
      <c r="AM63" s="1560"/>
      <c r="AN63" s="1560"/>
    </row>
    <row r="64" spans="1:40" ht="15.75" customHeight="1" x14ac:dyDescent="0.25">
      <c r="A64" s="1560"/>
      <c r="B64" s="1562"/>
      <c r="C64" s="1646"/>
      <c r="D64" s="1646"/>
      <c r="E64" s="1647">
        <f t="shared" si="5"/>
        <v>0</v>
      </c>
      <c r="F64" s="1562"/>
      <c r="G64" s="1648" t="str">
        <f t="shared" si="9"/>
        <v/>
      </c>
      <c r="H64" s="1649" t="str">
        <f t="shared" si="6"/>
        <v/>
      </c>
      <c r="I64" s="1560"/>
      <c r="J64" s="1560"/>
      <c r="K64" s="1562"/>
      <c r="L64" s="1562"/>
      <c r="M64" s="1560"/>
      <c r="N64" s="1560"/>
      <c r="S64" s="1492"/>
      <c r="T64" s="1492"/>
      <c r="U64" s="1492"/>
      <c r="V64" s="1492"/>
      <c r="W64" s="1492"/>
      <c r="X64" s="1493" t="b">
        <f t="shared" si="7"/>
        <v>1</v>
      </c>
      <c r="Y64" s="1493">
        <f t="shared" si="8"/>
        <v>1</v>
      </c>
      <c r="Z64" s="1492"/>
      <c r="AA64" s="1492"/>
      <c r="AB64" s="1492"/>
      <c r="AC64" s="1492"/>
      <c r="AD64" s="1492"/>
      <c r="AE64" s="1492"/>
      <c r="AG64" s="1653"/>
      <c r="AH64" s="1653"/>
      <c r="AI64" s="1623"/>
      <c r="AJ64" s="1623"/>
      <c r="AK64" s="1623"/>
      <c r="AL64" s="1560"/>
      <c r="AM64" s="1560"/>
      <c r="AN64" s="1560"/>
    </row>
    <row r="65" spans="1:40" ht="15.75" customHeight="1" x14ac:dyDescent="0.25">
      <c r="A65" s="1560"/>
      <c r="B65" s="1562"/>
      <c r="C65" s="1646"/>
      <c r="D65" s="1646"/>
      <c r="E65" s="1647">
        <f t="shared" si="5"/>
        <v>0</v>
      </c>
      <c r="F65" s="1562"/>
      <c r="G65" s="1648" t="str">
        <f t="shared" si="9"/>
        <v/>
      </c>
      <c r="H65" s="1649" t="str">
        <f t="shared" si="6"/>
        <v/>
      </c>
      <c r="I65" s="1560"/>
      <c r="J65" s="1560"/>
      <c r="K65" s="1562"/>
      <c r="L65" s="1562"/>
      <c r="M65" s="1560"/>
      <c r="N65" s="1560"/>
      <c r="S65" s="1492"/>
      <c r="T65" s="1492"/>
      <c r="U65" s="1492"/>
      <c r="V65" s="1492"/>
      <c r="W65" s="1492"/>
      <c r="X65" s="1493" t="b">
        <f t="shared" si="7"/>
        <v>1</v>
      </c>
      <c r="Y65" s="1493">
        <f t="shared" si="8"/>
        <v>1</v>
      </c>
      <c r="Z65" s="1492"/>
      <c r="AA65" s="1492"/>
      <c r="AB65" s="1492"/>
      <c r="AC65" s="1492"/>
      <c r="AD65" s="1492"/>
      <c r="AE65" s="1492"/>
      <c r="AG65" s="1653"/>
      <c r="AH65" s="1653"/>
      <c r="AI65" s="1623"/>
      <c r="AJ65" s="1623"/>
      <c r="AK65" s="1623"/>
      <c r="AL65" s="1560"/>
      <c r="AM65" s="1560"/>
      <c r="AN65" s="1560"/>
    </row>
    <row r="66" spans="1:40" ht="15.75" customHeight="1" x14ac:dyDescent="0.25">
      <c r="A66" s="1560"/>
      <c r="B66" s="1562"/>
      <c r="C66" s="1646"/>
      <c r="D66" s="1646"/>
      <c r="E66" s="1647">
        <f t="shared" si="5"/>
        <v>0</v>
      </c>
      <c r="F66" s="1562"/>
      <c r="G66" s="1648" t="str">
        <f t="shared" si="9"/>
        <v/>
      </c>
      <c r="H66" s="1649" t="str">
        <f t="shared" si="6"/>
        <v/>
      </c>
      <c r="I66" s="1560"/>
      <c r="J66" s="1560"/>
      <c r="K66" s="1562"/>
      <c r="L66" s="1562"/>
      <c r="M66" s="1560"/>
      <c r="N66" s="1560"/>
      <c r="S66" s="1492"/>
      <c r="T66" s="1492"/>
      <c r="U66" s="1492"/>
      <c r="V66" s="1492"/>
      <c r="W66" s="1492"/>
      <c r="X66" s="1493" t="b">
        <f t="shared" si="7"/>
        <v>1</v>
      </c>
      <c r="Y66" s="1493">
        <f t="shared" si="8"/>
        <v>1</v>
      </c>
      <c r="Z66" s="1492"/>
      <c r="AA66" s="1492"/>
      <c r="AB66" s="1492"/>
      <c r="AC66" s="1492"/>
      <c r="AD66" s="1492"/>
      <c r="AE66" s="1492"/>
      <c r="AG66" s="1653"/>
      <c r="AH66" s="1653"/>
      <c r="AI66" s="1623"/>
      <c r="AJ66" s="1623"/>
      <c r="AK66" s="1623"/>
      <c r="AL66" s="1560"/>
      <c r="AM66" s="1560"/>
      <c r="AN66" s="1560"/>
    </row>
    <row r="67" spans="1:40" ht="15.75" customHeight="1" x14ac:dyDescent="0.25">
      <c r="A67" s="1560"/>
      <c r="B67" s="1562"/>
      <c r="C67" s="1646"/>
      <c r="D67" s="1646"/>
      <c r="E67" s="1647">
        <f t="shared" si="5"/>
        <v>0</v>
      </c>
      <c r="F67" s="1562"/>
      <c r="G67" s="1648" t="str">
        <f t="shared" si="9"/>
        <v/>
      </c>
      <c r="H67" s="1649" t="str">
        <f t="shared" si="6"/>
        <v/>
      </c>
      <c r="I67" s="1560"/>
      <c r="J67" s="1560"/>
      <c r="K67" s="1562"/>
      <c r="L67" s="1562"/>
      <c r="M67" s="1560"/>
      <c r="N67" s="1560"/>
      <c r="S67" s="1492"/>
      <c r="T67" s="1492"/>
      <c r="U67" s="1492"/>
      <c r="V67" s="1492"/>
      <c r="W67" s="1492"/>
      <c r="X67" s="1493" t="b">
        <f t="shared" si="7"/>
        <v>1</v>
      </c>
      <c r="Y67" s="1493">
        <f t="shared" si="8"/>
        <v>1</v>
      </c>
      <c r="Z67" s="1492"/>
      <c r="AA67" s="1492"/>
      <c r="AB67" s="1492"/>
      <c r="AC67" s="1492"/>
      <c r="AD67" s="1492"/>
      <c r="AE67" s="1492"/>
      <c r="AG67" s="1653"/>
      <c r="AH67" s="1653"/>
      <c r="AI67" s="1623"/>
      <c r="AJ67" s="1623"/>
      <c r="AK67" s="1623"/>
      <c r="AL67" s="1560"/>
      <c r="AM67" s="1560"/>
      <c r="AN67" s="1560"/>
    </row>
    <row r="68" spans="1:40" ht="15.75" customHeight="1" x14ac:dyDescent="0.25">
      <c r="A68" s="1560"/>
      <c r="B68" s="1562"/>
      <c r="C68" s="1646"/>
      <c r="D68" s="1646"/>
      <c r="E68" s="1647">
        <f t="shared" si="5"/>
        <v>0</v>
      </c>
      <c r="F68" s="1562"/>
      <c r="G68" s="1648" t="str">
        <f t="shared" si="9"/>
        <v/>
      </c>
      <c r="H68" s="1649" t="str">
        <f t="shared" si="6"/>
        <v/>
      </c>
      <c r="I68" s="1560"/>
      <c r="J68" s="1560"/>
      <c r="K68" s="1562"/>
      <c r="L68" s="1562"/>
      <c r="M68" s="1560"/>
      <c r="N68" s="1560"/>
      <c r="S68" s="1492"/>
      <c r="T68" s="1492"/>
      <c r="U68" s="1492"/>
      <c r="V68" s="1492"/>
      <c r="W68" s="1492"/>
      <c r="X68" s="1493" t="b">
        <f t="shared" si="7"/>
        <v>1</v>
      </c>
      <c r="Y68" s="1493">
        <f t="shared" si="8"/>
        <v>1</v>
      </c>
      <c r="Z68" s="1492"/>
      <c r="AA68" s="1492"/>
      <c r="AB68" s="1492"/>
      <c r="AC68" s="1492"/>
      <c r="AD68" s="1492"/>
      <c r="AE68" s="1492"/>
      <c r="AG68" s="1653"/>
      <c r="AH68" s="1653"/>
      <c r="AI68" s="1623"/>
      <c r="AJ68" s="1623"/>
      <c r="AK68" s="1623"/>
      <c r="AL68" s="1560"/>
      <c r="AM68" s="1560"/>
      <c r="AN68" s="1560"/>
    </row>
    <row r="69" spans="1:40" ht="15.75" customHeight="1" x14ac:dyDescent="0.25">
      <c r="A69" s="1560"/>
      <c r="B69" s="1562"/>
      <c r="C69" s="1646"/>
      <c r="D69" s="1646"/>
      <c r="E69" s="1647">
        <f t="shared" ref="E69:E100" si="10">D69</f>
        <v>0</v>
      </c>
      <c r="F69" s="1562"/>
      <c r="G69" s="1648" t="str">
        <f t="shared" si="9"/>
        <v/>
      </c>
      <c r="H69" s="1649" t="str">
        <f t="shared" ref="H69:H105" si="11">IF(AH69&gt;0,AH69*$X$4,"")</f>
        <v/>
      </c>
      <c r="I69" s="1560"/>
      <c r="J69" s="1560"/>
      <c r="K69" s="1562"/>
      <c r="L69" s="1562"/>
      <c r="M69" s="1560"/>
      <c r="N69" s="1560"/>
      <c r="S69" s="1492"/>
      <c r="T69" s="1492"/>
      <c r="U69" s="1492"/>
      <c r="V69" s="1492"/>
      <c r="W69" s="1492"/>
      <c r="X69" s="1493" t="b">
        <f t="shared" ref="X69:X100" si="12">AND(C69=U69,D69=V69,E69=W69)</f>
        <v>1</v>
      </c>
      <c r="Y69" s="1493">
        <f t="shared" ref="Y69:Y100" si="13">X69*1</f>
        <v>1</v>
      </c>
      <c r="Z69" s="1492"/>
      <c r="AA69" s="1492"/>
      <c r="AB69" s="1492"/>
      <c r="AC69" s="1492"/>
      <c r="AD69" s="1492"/>
      <c r="AE69" s="1492"/>
      <c r="AG69" s="1653"/>
      <c r="AH69" s="1653"/>
      <c r="AI69" s="1623"/>
      <c r="AJ69" s="1623"/>
      <c r="AK69" s="1623"/>
      <c r="AL69" s="1560"/>
      <c r="AM69" s="1560"/>
      <c r="AN69" s="1560"/>
    </row>
    <row r="70" spans="1:40" ht="15.75" customHeight="1" x14ac:dyDescent="0.25">
      <c r="A70" s="1560"/>
      <c r="B70" s="1562"/>
      <c r="C70" s="1646"/>
      <c r="D70" s="1646"/>
      <c r="E70" s="1647">
        <f t="shared" si="10"/>
        <v>0</v>
      </c>
      <c r="F70" s="1562"/>
      <c r="G70" s="1648" t="str">
        <f t="shared" ref="G70:G105" si="14">IF(AG70&gt;0,AG70*$X$4,"")</f>
        <v/>
      </c>
      <c r="H70" s="1649" t="str">
        <f t="shared" si="11"/>
        <v/>
      </c>
      <c r="I70" s="1560"/>
      <c r="J70" s="1560"/>
      <c r="K70" s="1562"/>
      <c r="L70" s="1562"/>
      <c r="M70" s="1560"/>
      <c r="N70" s="1560"/>
      <c r="S70" s="1492"/>
      <c r="T70" s="1492"/>
      <c r="U70" s="1492"/>
      <c r="V70" s="1492"/>
      <c r="W70" s="1492"/>
      <c r="X70" s="1493" t="b">
        <f t="shared" si="12"/>
        <v>1</v>
      </c>
      <c r="Y70" s="1493">
        <f t="shared" si="13"/>
        <v>1</v>
      </c>
      <c r="Z70" s="1492"/>
      <c r="AA70" s="1492"/>
      <c r="AB70" s="1492"/>
      <c r="AC70" s="1492"/>
      <c r="AD70" s="1492"/>
      <c r="AE70" s="1492"/>
      <c r="AG70" s="1653"/>
      <c r="AH70" s="1653"/>
      <c r="AI70" s="1623"/>
      <c r="AJ70" s="1623"/>
      <c r="AK70" s="1623"/>
      <c r="AL70" s="1560"/>
      <c r="AM70" s="1560"/>
      <c r="AN70" s="1560"/>
    </row>
    <row r="71" spans="1:40" ht="15.75" customHeight="1" x14ac:dyDescent="0.25">
      <c r="A71" s="1560"/>
      <c r="B71" s="1562"/>
      <c r="C71" s="1646"/>
      <c r="D71" s="1646"/>
      <c r="E71" s="1647">
        <f t="shared" si="10"/>
        <v>0</v>
      </c>
      <c r="F71" s="1562"/>
      <c r="G71" s="1648" t="str">
        <f t="shared" si="14"/>
        <v/>
      </c>
      <c r="H71" s="1649" t="str">
        <f t="shared" si="11"/>
        <v/>
      </c>
      <c r="I71" s="1560"/>
      <c r="J71" s="1560"/>
      <c r="K71" s="1562"/>
      <c r="L71" s="1562"/>
      <c r="M71" s="1560"/>
      <c r="N71" s="1560"/>
      <c r="S71" s="1492"/>
      <c r="T71" s="1492"/>
      <c r="U71" s="1492"/>
      <c r="V71" s="1492"/>
      <c r="W71" s="1492"/>
      <c r="X71" s="1493" t="b">
        <f t="shared" si="12"/>
        <v>1</v>
      </c>
      <c r="Y71" s="1493">
        <f t="shared" si="13"/>
        <v>1</v>
      </c>
      <c r="Z71" s="1492"/>
      <c r="AA71" s="1492"/>
      <c r="AB71" s="1492"/>
      <c r="AC71" s="1492"/>
      <c r="AD71" s="1492"/>
      <c r="AE71" s="1492"/>
      <c r="AG71" s="1653"/>
      <c r="AH71" s="1653"/>
      <c r="AI71" s="1623"/>
      <c r="AJ71" s="1623"/>
      <c r="AK71" s="1623"/>
      <c r="AL71" s="1560"/>
      <c r="AM71" s="1560"/>
      <c r="AN71" s="1560"/>
    </row>
    <row r="72" spans="1:40" ht="15.75" customHeight="1" x14ac:dyDescent="0.25">
      <c r="A72" s="1560"/>
      <c r="B72" s="1562"/>
      <c r="C72" s="1646"/>
      <c r="D72" s="1646"/>
      <c r="E72" s="1647">
        <f t="shared" si="10"/>
        <v>0</v>
      </c>
      <c r="F72" s="1562"/>
      <c r="G72" s="1648" t="str">
        <f t="shared" si="14"/>
        <v/>
      </c>
      <c r="H72" s="1649" t="str">
        <f t="shared" si="11"/>
        <v/>
      </c>
      <c r="I72" s="1560"/>
      <c r="J72" s="1560"/>
      <c r="K72" s="1562"/>
      <c r="L72" s="1562"/>
      <c r="M72" s="1560"/>
      <c r="N72" s="1560"/>
      <c r="S72" s="1492"/>
      <c r="T72" s="1492"/>
      <c r="U72" s="1492"/>
      <c r="V72" s="1492"/>
      <c r="W72" s="1492"/>
      <c r="X72" s="1493" t="b">
        <f t="shared" si="12"/>
        <v>1</v>
      </c>
      <c r="Y72" s="1493">
        <f t="shared" si="13"/>
        <v>1</v>
      </c>
      <c r="Z72" s="1492"/>
      <c r="AA72" s="1492"/>
      <c r="AB72" s="1492"/>
      <c r="AC72" s="1492"/>
      <c r="AD72" s="1492"/>
      <c r="AE72" s="1492"/>
      <c r="AG72" s="1653"/>
      <c r="AH72" s="1653"/>
      <c r="AI72" s="1623"/>
      <c r="AJ72" s="1623"/>
      <c r="AK72" s="1623"/>
      <c r="AL72" s="1560"/>
      <c r="AM72" s="1560"/>
      <c r="AN72" s="1560"/>
    </row>
    <row r="73" spans="1:40" ht="15.75" customHeight="1" x14ac:dyDescent="0.25">
      <c r="A73" s="1560"/>
      <c r="B73" s="1562"/>
      <c r="C73" s="1646"/>
      <c r="D73" s="1646"/>
      <c r="E73" s="1647">
        <f t="shared" si="10"/>
        <v>0</v>
      </c>
      <c r="F73" s="1562"/>
      <c r="G73" s="1648" t="str">
        <f t="shared" si="14"/>
        <v/>
      </c>
      <c r="H73" s="1649" t="str">
        <f t="shared" si="11"/>
        <v/>
      </c>
      <c r="I73" s="1560"/>
      <c r="J73" s="1560"/>
      <c r="K73" s="1562"/>
      <c r="L73" s="1562"/>
      <c r="M73" s="1560"/>
      <c r="N73" s="1560"/>
      <c r="S73" s="1492"/>
      <c r="T73" s="1492"/>
      <c r="U73" s="1492"/>
      <c r="V73" s="1492"/>
      <c r="W73" s="1492"/>
      <c r="X73" s="1493" t="b">
        <f t="shared" si="12"/>
        <v>1</v>
      </c>
      <c r="Y73" s="1493">
        <f t="shared" si="13"/>
        <v>1</v>
      </c>
      <c r="Z73" s="1492"/>
      <c r="AA73" s="1492"/>
      <c r="AB73" s="1492"/>
      <c r="AC73" s="1492"/>
      <c r="AD73" s="1492"/>
      <c r="AE73" s="1492"/>
      <c r="AG73" s="1653"/>
      <c r="AH73" s="1653"/>
      <c r="AI73" s="1623"/>
      <c r="AJ73" s="1623"/>
      <c r="AK73" s="1623"/>
      <c r="AL73" s="1560"/>
      <c r="AM73" s="1560"/>
      <c r="AN73" s="1560"/>
    </row>
    <row r="74" spans="1:40" ht="15.75" customHeight="1" x14ac:dyDescent="0.25">
      <c r="A74" s="1560"/>
      <c r="B74" s="1562"/>
      <c r="C74" s="1646"/>
      <c r="D74" s="1646"/>
      <c r="E74" s="1647">
        <f t="shared" si="10"/>
        <v>0</v>
      </c>
      <c r="F74" s="1562"/>
      <c r="G74" s="1648" t="str">
        <f t="shared" si="14"/>
        <v/>
      </c>
      <c r="H74" s="1649" t="str">
        <f t="shared" si="11"/>
        <v/>
      </c>
      <c r="I74" s="1560"/>
      <c r="J74" s="1560"/>
      <c r="K74" s="1562"/>
      <c r="L74" s="1562"/>
      <c r="M74" s="1560"/>
      <c r="N74" s="1560"/>
      <c r="S74" s="1492"/>
      <c r="T74" s="1492"/>
      <c r="U74" s="1492"/>
      <c r="V74" s="1492"/>
      <c r="W74" s="1492"/>
      <c r="X74" s="1493" t="b">
        <f t="shared" si="12"/>
        <v>1</v>
      </c>
      <c r="Y74" s="1493">
        <f t="shared" si="13"/>
        <v>1</v>
      </c>
      <c r="Z74" s="1492"/>
      <c r="AA74" s="1492"/>
      <c r="AB74" s="1492"/>
      <c r="AC74" s="1492"/>
      <c r="AD74" s="1492"/>
      <c r="AE74" s="1492"/>
      <c r="AG74" s="1653"/>
      <c r="AH74" s="1653"/>
      <c r="AI74" s="1623"/>
      <c r="AJ74" s="1623"/>
      <c r="AK74" s="1623"/>
      <c r="AL74" s="1560"/>
      <c r="AM74" s="1560"/>
      <c r="AN74" s="1560"/>
    </row>
    <row r="75" spans="1:40" ht="15.75" customHeight="1" x14ac:dyDescent="0.25">
      <c r="A75" s="1560"/>
      <c r="B75" s="1562"/>
      <c r="C75" s="1646"/>
      <c r="D75" s="1646"/>
      <c r="E75" s="1647">
        <f t="shared" si="10"/>
        <v>0</v>
      </c>
      <c r="F75" s="1562"/>
      <c r="G75" s="1648" t="str">
        <f t="shared" si="14"/>
        <v/>
      </c>
      <c r="H75" s="1649" t="str">
        <f t="shared" si="11"/>
        <v/>
      </c>
      <c r="I75" s="1560"/>
      <c r="J75" s="1560"/>
      <c r="K75" s="1562"/>
      <c r="L75" s="1562"/>
      <c r="M75" s="1560"/>
      <c r="N75" s="1560"/>
      <c r="S75" s="1492"/>
      <c r="T75" s="1492"/>
      <c r="U75" s="1492"/>
      <c r="V75" s="1492"/>
      <c r="W75" s="1492"/>
      <c r="X75" s="1493" t="b">
        <f t="shared" si="12"/>
        <v>1</v>
      </c>
      <c r="Y75" s="1493">
        <f t="shared" si="13"/>
        <v>1</v>
      </c>
      <c r="Z75" s="1492"/>
      <c r="AA75" s="1492"/>
      <c r="AB75" s="1492"/>
      <c r="AC75" s="1492"/>
      <c r="AD75" s="1492"/>
      <c r="AE75" s="1492"/>
      <c r="AG75" s="1653"/>
      <c r="AH75" s="1653"/>
      <c r="AI75" s="1623"/>
      <c r="AJ75" s="1623"/>
      <c r="AK75" s="1623"/>
      <c r="AL75" s="1560"/>
      <c r="AM75" s="1560"/>
      <c r="AN75" s="1560"/>
    </row>
    <row r="76" spans="1:40" ht="15.75" customHeight="1" x14ac:dyDescent="0.25">
      <c r="A76" s="1560"/>
      <c r="B76" s="1562"/>
      <c r="C76" s="1646"/>
      <c r="D76" s="1646"/>
      <c r="E76" s="1647">
        <f t="shared" si="10"/>
        <v>0</v>
      </c>
      <c r="F76" s="1562"/>
      <c r="G76" s="1648" t="str">
        <f t="shared" si="14"/>
        <v/>
      </c>
      <c r="H76" s="1649" t="str">
        <f t="shared" si="11"/>
        <v/>
      </c>
      <c r="I76" s="1560"/>
      <c r="J76" s="1560"/>
      <c r="K76" s="1562"/>
      <c r="L76" s="1562"/>
      <c r="M76" s="1560"/>
      <c r="N76" s="1560"/>
      <c r="S76" s="1492"/>
      <c r="T76" s="1492"/>
      <c r="U76" s="1492"/>
      <c r="V76" s="1492"/>
      <c r="W76" s="1492"/>
      <c r="X76" s="1493" t="b">
        <f t="shared" si="12"/>
        <v>1</v>
      </c>
      <c r="Y76" s="1493">
        <f t="shared" si="13"/>
        <v>1</v>
      </c>
      <c r="Z76" s="1492"/>
      <c r="AA76" s="1492"/>
      <c r="AB76" s="1492"/>
      <c r="AC76" s="1492"/>
      <c r="AD76" s="1492"/>
      <c r="AE76" s="1492"/>
      <c r="AG76" s="1653"/>
      <c r="AH76" s="1653"/>
      <c r="AI76" s="1623"/>
      <c r="AJ76" s="1623"/>
      <c r="AK76" s="1623"/>
      <c r="AL76" s="1560"/>
      <c r="AM76" s="1560"/>
      <c r="AN76" s="1560"/>
    </row>
    <row r="77" spans="1:40" ht="15.75" customHeight="1" x14ac:dyDescent="0.25">
      <c r="A77" s="1560"/>
      <c r="B77" s="1562"/>
      <c r="C77" s="1646"/>
      <c r="D77" s="1646"/>
      <c r="E77" s="1647">
        <f t="shared" si="10"/>
        <v>0</v>
      </c>
      <c r="F77" s="1562"/>
      <c r="G77" s="1648" t="str">
        <f t="shared" si="14"/>
        <v/>
      </c>
      <c r="H77" s="1649" t="str">
        <f t="shared" si="11"/>
        <v/>
      </c>
      <c r="I77" s="1560"/>
      <c r="J77" s="1560"/>
      <c r="K77" s="1562"/>
      <c r="L77" s="1562"/>
      <c r="M77" s="1560"/>
      <c r="N77" s="1560"/>
      <c r="S77" s="1492"/>
      <c r="T77" s="1492"/>
      <c r="U77" s="1492"/>
      <c r="V77" s="1492"/>
      <c r="W77" s="1492"/>
      <c r="X77" s="1493" t="b">
        <f t="shared" si="12"/>
        <v>1</v>
      </c>
      <c r="Y77" s="1493">
        <f t="shared" si="13"/>
        <v>1</v>
      </c>
      <c r="Z77" s="1492"/>
      <c r="AA77" s="1492"/>
      <c r="AB77" s="1492"/>
      <c r="AC77" s="1492"/>
      <c r="AD77" s="1492"/>
      <c r="AE77" s="1492"/>
      <c r="AG77" s="1653"/>
      <c r="AH77" s="1653"/>
      <c r="AI77" s="1623"/>
      <c r="AJ77" s="1623"/>
      <c r="AK77" s="1623"/>
      <c r="AL77" s="1560"/>
      <c r="AM77" s="1560"/>
      <c r="AN77" s="1560"/>
    </row>
    <row r="78" spans="1:40" ht="15.75" customHeight="1" x14ac:dyDescent="0.25">
      <c r="A78" s="1560"/>
      <c r="B78" s="1562"/>
      <c r="C78" s="1646"/>
      <c r="D78" s="1646"/>
      <c r="E78" s="1647">
        <f t="shared" si="10"/>
        <v>0</v>
      </c>
      <c r="F78" s="1562"/>
      <c r="G78" s="1648" t="str">
        <f t="shared" si="14"/>
        <v/>
      </c>
      <c r="H78" s="1649" t="str">
        <f t="shared" si="11"/>
        <v/>
      </c>
      <c r="I78" s="1560"/>
      <c r="J78" s="1560"/>
      <c r="K78" s="1562"/>
      <c r="L78" s="1562"/>
      <c r="M78" s="1560"/>
      <c r="N78" s="1560"/>
      <c r="S78" s="1492"/>
      <c r="T78" s="1492"/>
      <c r="U78" s="1492"/>
      <c r="V78" s="1492"/>
      <c r="W78" s="1492"/>
      <c r="X78" s="1493" t="b">
        <f t="shared" si="12"/>
        <v>1</v>
      </c>
      <c r="Y78" s="1493">
        <f t="shared" si="13"/>
        <v>1</v>
      </c>
      <c r="Z78" s="1492"/>
      <c r="AA78" s="1492"/>
      <c r="AB78" s="1492"/>
      <c r="AC78" s="1492"/>
      <c r="AD78" s="1492"/>
      <c r="AE78" s="1492"/>
      <c r="AG78" s="1653"/>
      <c r="AH78" s="1653"/>
      <c r="AI78" s="1623"/>
      <c r="AJ78" s="1623"/>
      <c r="AK78" s="1623"/>
      <c r="AL78" s="1560"/>
      <c r="AM78" s="1560"/>
      <c r="AN78" s="1560"/>
    </row>
    <row r="79" spans="1:40" ht="15.75" customHeight="1" x14ac:dyDescent="0.25">
      <c r="A79" s="1560"/>
      <c r="B79" s="1562"/>
      <c r="C79" s="1646"/>
      <c r="D79" s="1646"/>
      <c r="E79" s="1647">
        <f t="shared" si="10"/>
        <v>0</v>
      </c>
      <c r="F79" s="1562"/>
      <c r="G79" s="1648" t="str">
        <f t="shared" si="14"/>
        <v/>
      </c>
      <c r="H79" s="1649" t="str">
        <f t="shared" si="11"/>
        <v/>
      </c>
      <c r="I79" s="1560"/>
      <c r="J79" s="1560"/>
      <c r="K79" s="1562"/>
      <c r="L79" s="1562"/>
      <c r="M79" s="1560"/>
      <c r="N79" s="1560"/>
      <c r="S79" s="1492"/>
      <c r="T79" s="1492"/>
      <c r="U79" s="1492"/>
      <c r="V79" s="1492"/>
      <c r="W79" s="1492"/>
      <c r="X79" s="1493" t="b">
        <f t="shared" si="12"/>
        <v>1</v>
      </c>
      <c r="Y79" s="1493">
        <f t="shared" si="13"/>
        <v>1</v>
      </c>
      <c r="Z79" s="1492"/>
      <c r="AA79" s="1492"/>
      <c r="AB79" s="1492"/>
      <c r="AC79" s="1492"/>
      <c r="AD79" s="1492"/>
      <c r="AE79" s="1492"/>
      <c r="AG79" s="1653"/>
      <c r="AH79" s="1653"/>
      <c r="AI79" s="1623"/>
      <c r="AJ79" s="1623"/>
      <c r="AK79" s="1623"/>
      <c r="AL79" s="1560"/>
      <c r="AM79" s="1560"/>
      <c r="AN79" s="1560"/>
    </row>
    <row r="80" spans="1:40" ht="15.75" customHeight="1" x14ac:dyDescent="0.25">
      <c r="A80" s="1560"/>
      <c r="B80" s="1562"/>
      <c r="C80" s="1646"/>
      <c r="D80" s="1646"/>
      <c r="E80" s="1647">
        <f t="shared" si="10"/>
        <v>0</v>
      </c>
      <c r="F80" s="1562"/>
      <c r="G80" s="1648" t="str">
        <f t="shared" si="14"/>
        <v/>
      </c>
      <c r="H80" s="1649" t="str">
        <f t="shared" si="11"/>
        <v/>
      </c>
      <c r="I80" s="1560"/>
      <c r="J80" s="1560"/>
      <c r="K80" s="1562"/>
      <c r="L80" s="1562"/>
      <c r="M80" s="1560"/>
      <c r="N80" s="1560"/>
      <c r="S80" s="1492"/>
      <c r="T80" s="1492"/>
      <c r="U80" s="1492"/>
      <c r="V80" s="1492"/>
      <c r="W80" s="1492"/>
      <c r="X80" s="1493" t="b">
        <f t="shared" si="12"/>
        <v>1</v>
      </c>
      <c r="Y80" s="1493">
        <f t="shared" si="13"/>
        <v>1</v>
      </c>
      <c r="Z80" s="1492"/>
      <c r="AA80" s="1492"/>
      <c r="AB80" s="1492"/>
      <c r="AC80" s="1492"/>
      <c r="AD80" s="1492"/>
      <c r="AE80" s="1492"/>
      <c r="AG80" s="1653"/>
      <c r="AH80" s="1653"/>
      <c r="AI80" s="1623"/>
      <c r="AJ80" s="1623"/>
      <c r="AK80" s="1623"/>
      <c r="AL80" s="1560"/>
      <c r="AM80" s="1560"/>
      <c r="AN80" s="1560"/>
    </row>
    <row r="81" spans="1:40" ht="15.75" customHeight="1" x14ac:dyDescent="0.25">
      <c r="A81" s="1560"/>
      <c r="B81" s="1562"/>
      <c r="C81" s="1646"/>
      <c r="D81" s="1646"/>
      <c r="E81" s="1647">
        <f t="shared" si="10"/>
        <v>0</v>
      </c>
      <c r="F81" s="1562"/>
      <c r="G81" s="1648" t="str">
        <f t="shared" si="14"/>
        <v/>
      </c>
      <c r="H81" s="1649" t="str">
        <f t="shared" si="11"/>
        <v/>
      </c>
      <c r="I81" s="1560"/>
      <c r="J81" s="1560"/>
      <c r="K81" s="1562"/>
      <c r="L81" s="1562"/>
      <c r="M81" s="1560"/>
      <c r="N81" s="1560"/>
      <c r="S81" s="1492"/>
      <c r="T81" s="1492"/>
      <c r="U81" s="1492"/>
      <c r="V81" s="1492"/>
      <c r="W81" s="1492"/>
      <c r="X81" s="1493" t="b">
        <f t="shared" si="12"/>
        <v>1</v>
      </c>
      <c r="Y81" s="1493">
        <f t="shared" si="13"/>
        <v>1</v>
      </c>
      <c r="Z81" s="1492"/>
      <c r="AA81" s="1492"/>
      <c r="AB81" s="1492"/>
      <c r="AC81" s="1492"/>
      <c r="AD81" s="1492"/>
      <c r="AE81" s="1492"/>
      <c r="AG81" s="1653"/>
      <c r="AH81" s="1653"/>
      <c r="AI81" s="1623"/>
      <c r="AJ81" s="1623"/>
      <c r="AK81" s="1623"/>
      <c r="AL81" s="1560"/>
      <c r="AM81" s="1560"/>
      <c r="AN81" s="1560"/>
    </row>
    <row r="82" spans="1:40" ht="15.75" customHeight="1" x14ac:dyDescent="0.25">
      <c r="A82" s="1560"/>
      <c r="B82" s="1562"/>
      <c r="C82" s="1646"/>
      <c r="D82" s="1646"/>
      <c r="E82" s="1647">
        <f t="shared" si="10"/>
        <v>0</v>
      </c>
      <c r="F82" s="1562"/>
      <c r="G82" s="1648" t="str">
        <f t="shared" si="14"/>
        <v/>
      </c>
      <c r="H82" s="1649" t="str">
        <f t="shared" si="11"/>
        <v/>
      </c>
      <c r="I82" s="1560"/>
      <c r="J82" s="1560"/>
      <c r="K82" s="1562"/>
      <c r="L82" s="1562"/>
      <c r="M82" s="1560"/>
      <c r="N82" s="1560"/>
      <c r="S82" s="1492"/>
      <c r="T82" s="1492"/>
      <c r="U82" s="1492"/>
      <c r="V82" s="1492"/>
      <c r="W82" s="1492"/>
      <c r="X82" s="1493" t="b">
        <f t="shared" si="12"/>
        <v>1</v>
      </c>
      <c r="Y82" s="1493">
        <f t="shared" si="13"/>
        <v>1</v>
      </c>
      <c r="Z82" s="1492"/>
      <c r="AA82" s="1492"/>
      <c r="AB82" s="1492"/>
      <c r="AC82" s="1492"/>
      <c r="AD82" s="1492"/>
      <c r="AE82" s="1492"/>
      <c r="AG82" s="1653"/>
      <c r="AH82" s="1653"/>
      <c r="AI82" s="1623"/>
      <c r="AJ82" s="1623"/>
      <c r="AK82" s="1623"/>
      <c r="AL82" s="1560"/>
      <c r="AM82" s="1560"/>
      <c r="AN82" s="1560"/>
    </row>
    <row r="83" spans="1:40" ht="15.75" customHeight="1" x14ac:dyDescent="0.25">
      <c r="A83" s="1560"/>
      <c r="B83" s="1562"/>
      <c r="C83" s="1646"/>
      <c r="D83" s="1646"/>
      <c r="E83" s="1647">
        <f t="shared" si="10"/>
        <v>0</v>
      </c>
      <c r="F83" s="1562"/>
      <c r="G83" s="1648" t="str">
        <f t="shared" si="14"/>
        <v/>
      </c>
      <c r="H83" s="1649" t="str">
        <f t="shared" si="11"/>
        <v/>
      </c>
      <c r="I83" s="1560"/>
      <c r="J83" s="1560"/>
      <c r="K83" s="1562"/>
      <c r="L83" s="1562"/>
      <c r="M83" s="1560"/>
      <c r="N83" s="1560"/>
      <c r="S83" s="1492"/>
      <c r="T83" s="1492"/>
      <c r="U83" s="1492"/>
      <c r="V83" s="1492"/>
      <c r="W83" s="1492"/>
      <c r="X83" s="1493" t="b">
        <f t="shared" si="12"/>
        <v>1</v>
      </c>
      <c r="Y83" s="1493">
        <f t="shared" si="13"/>
        <v>1</v>
      </c>
      <c r="Z83" s="1492"/>
      <c r="AA83" s="1492"/>
      <c r="AB83" s="1492"/>
      <c r="AC83" s="1492"/>
      <c r="AD83" s="1492"/>
      <c r="AE83" s="1492"/>
      <c r="AG83" s="1653"/>
      <c r="AH83" s="1653"/>
      <c r="AI83" s="1623"/>
      <c r="AJ83" s="1623"/>
      <c r="AK83" s="1623"/>
      <c r="AL83" s="1560"/>
      <c r="AM83" s="1560"/>
      <c r="AN83" s="1560"/>
    </row>
    <row r="84" spans="1:40" ht="15.75" customHeight="1" x14ac:dyDescent="0.25">
      <c r="A84" s="1560"/>
      <c r="B84" s="1562"/>
      <c r="C84" s="1646"/>
      <c r="D84" s="1646"/>
      <c r="E84" s="1647">
        <f t="shared" si="10"/>
        <v>0</v>
      </c>
      <c r="F84" s="1562"/>
      <c r="G84" s="1648" t="str">
        <f t="shared" si="14"/>
        <v/>
      </c>
      <c r="H84" s="1649" t="str">
        <f t="shared" si="11"/>
        <v/>
      </c>
      <c r="I84" s="1560"/>
      <c r="J84" s="1560"/>
      <c r="K84" s="1562"/>
      <c r="L84" s="1562"/>
      <c r="M84" s="1560"/>
      <c r="N84" s="1560"/>
      <c r="S84" s="1492"/>
      <c r="T84" s="1492"/>
      <c r="U84" s="1492"/>
      <c r="V84" s="1492"/>
      <c r="W84" s="1492"/>
      <c r="X84" s="1493" t="b">
        <f t="shared" si="12"/>
        <v>1</v>
      </c>
      <c r="Y84" s="1493">
        <f t="shared" si="13"/>
        <v>1</v>
      </c>
      <c r="Z84" s="1492"/>
      <c r="AA84" s="1492"/>
      <c r="AB84" s="1492"/>
      <c r="AC84" s="1492"/>
      <c r="AD84" s="1492"/>
      <c r="AE84" s="1492"/>
      <c r="AG84" s="1653"/>
      <c r="AH84" s="1653"/>
      <c r="AI84" s="1623"/>
      <c r="AJ84" s="1623"/>
      <c r="AK84" s="1623"/>
      <c r="AL84" s="1560"/>
      <c r="AM84" s="1560"/>
      <c r="AN84" s="1560"/>
    </row>
    <row r="85" spans="1:40" ht="15.75" customHeight="1" x14ac:dyDescent="0.25">
      <c r="A85" s="1560"/>
      <c r="B85" s="1562"/>
      <c r="C85" s="1646"/>
      <c r="D85" s="1646"/>
      <c r="E85" s="1647">
        <f t="shared" si="10"/>
        <v>0</v>
      </c>
      <c r="F85" s="1562"/>
      <c r="G85" s="1648" t="str">
        <f t="shared" si="14"/>
        <v/>
      </c>
      <c r="H85" s="1649" t="str">
        <f t="shared" si="11"/>
        <v/>
      </c>
      <c r="I85" s="1560"/>
      <c r="J85" s="1560"/>
      <c r="K85" s="1562"/>
      <c r="L85" s="1562"/>
      <c r="M85" s="1560"/>
      <c r="N85" s="1560"/>
      <c r="S85" s="1492"/>
      <c r="T85" s="1492"/>
      <c r="U85" s="1492"/>
      <c r="V85" s="1492"/>
      <c r="W85" s="1492"/>
      <c r="X85" s="1493" t="b">
        <f t="shared" si="12"/>
        <v>1</v>
      </c>
      <c r="Y85" s="1493">
        <f t="shared" si="13"/>
        <v>1</v>
      </c>
      <c r="Z85" s="1492"/>
      <c r="AA85" s="1492"/>
      <c r="AB85" s="1492"/>
      <c r="AC85" s="1492"/>
      <c r="AD85" s="1492"/>
      <c r="AE85" s="1492"/>
      <c r="AG85" s="1653"/>
      <c r="AH85" s="1653"/>
      <c r="AI85" s="1623"/>
      <c r="AJ85" s="1623"/>
      <c r="AK85" s="1623"/>
      <c r="AL85" s="1560"/>
      <c r="AM85" s="1560"/>
      <c r="AN85" s="1560"/>
    </row>
    <row r="86" spans="1:40" ht="15.75" customHeight="1" x14ac:dyDescent="0.25">
      <c r="A86" s="1560"/>
      <c r="B86" s="1562"/>
      <c r="C86" s="1646"/>
      <c r="D86" s="1646"/>
      <c r="E86" s="1647">
        <f t="shared" si="10"/>
        <v>0</v>
      </c>
      <c r="F86" s="1562"/>
      <c r="G86" s="1648" t="str">
        <f t="shared" si="14"/>
        <v/>
      </c>
      <c r="H86" s="1649" t="str">
        <f t="shared" si="11"/>
        <v/>
      </c>
      <c r="I86" s="1560"/>
      <c r="J86" s="1560"/>
      <c r="K86" s="1562"/>
      <c r="L86" s="1562"/>
      <c r="M86" s="1560"/>
      <c r="N86" s="1560"/>
      <c r="S86" s="1492"/>
      <c r="T86" s="1492"/>
      <c r="U86" s="1492"/>
      <c r="V86" s="1492"/>
      <c r="W86" s="1492"/>
      <c r="X86" s="1493" t="b">
        <f t="shared" si="12"/>
        <v>1</v>
      </c>
      <c r="Y86" s="1493">
        <f t="shared" si="13"/>
        <v>1</v>
      </c>
      <c r="Z86" s="1492"/>
      <c r="AA86" s="1492"/>
      <c r="AB86" s="1492"/>
      <c r="AC86" s="1492"/>
      <c r="AD86" s="1492"/>
      <c r="AE86" s="1492"/>
      <c r="AG86" s="1653"/>
      <c r="AH86" s="1653"/>
      <c r="AI86" s="1623"/>
      <c r="AJ86" s="1623"/>
      <c r="AK86" s="1623"/>
      <c r="AL86" s="1560"/>
      <c r="AM86" s="1560"/>
      <c r="AN86" s="1560"/>
    </row>
    <row r="87" spans="1:40" ht="15.75" customHeight="1" x14ac:dyDescent="0.25">
      <c r="A87" s="1560"/>
      <c r="B87" s="1562"/>
      <c r="C87" s="1646"/>
      <c r="D87" s="1646"/>
      <c r="E87" s="1647">
        <f t="shared" si="10"/>
        <v>0</v>
      </c>
      <c r="F87" s="1562"/>
      <c r="G87" s="1648" t="str">
        <f t="shared" si="14"/>
        <v/>
      </c>
      <c r="H87" s="1649" t="str">
        <f t="shared" si="11"/>
        <v/>
      </c>
      <c r="I87" s="1560"/>
      <c r="J87" s="1560"/>
      <c r="K87" s="1562"/>
      <c r="L87" s="1562"/>
      <c r="M87" s="1560"/>
      <c r="N87" s="1560"/>
      <c r="S87" s="1492"/>
      <c r="T87" s="1492"/>
      <c r="U87" s="1492"/>
      <c r="V87" s="1492"/>
      <c r="W87" s="1492"/>
      <c r="X87" s="1493" t="b">
        <f t="shared" si="12"/>
        <v>1</v>
      </c>
      <c r="Y87" s="1493">
        <f t="shared" si="13"/>
        <v>1</v>
      </c>
      <c r="Z87" s="1492"/>
      <c r="AA87" s="1492"/>
      <c r="AB87" s="1492"/>
      <c r="AC87" s="1492"/>
      <c r="AD87" s="1492"/>
      <c r="AE87" s="1492"/>
      <c r="AG87" s="1653"/>
      <c r="AH87" s="1653"/>
      <c r="AI87" s="1623"/>
      <c r="AJ87" s="1623"/>
      <c r="AK87" s="1623"/>
      <c r="AL87" s="1560"/>
      <c r="AM87" s="1560"/>
      <c r="AN87" s="1560"/>
    </row>
    <row r="88" spans="1:40" ht="15.75" customHeight="1" x14ac:dyDescent="0.25">
      <c r="A88" s="1560"/>
      <c r="B88" s="1562"/>
      <c r="C88" s="1646"/>
      <c r="D88" s="1646"/>
      <c r="E88" s="1647">
        <f t="shared" si="10"/>
        <v>0</v>
      </c>
      <c r="F88" s="1562"/>
      <c r="G88" s="1648" t="str">
        <f t="shared" si="14"/>
        <v/>
      </c>
      <c r="H88" s="1649" t="str">
        <f t="shared" si="11"/>
        <v/>
      </c>
      <c r="I88" s="1560"/>
      <c r="J88" s="1560"/>
      <c r="K88" s="1562"/>
      <c r="L88" s="1562"/>
      <c r="M88" s="1560"/>
      <c r="N88" s="1560"/>
      <c r="S88" s="1492"/>
      <c r="T88" s="1492"/>
      <c r="U88" s="1492"/>
      <c r="V88" s="1492"/>
      <c r="W88" s="1492"/>
      <c r="X88" s="1493" t="b">
        <f t="shared" si="12"/>
        <v>1</v>
      </c>
      <c r="Y88" s="1493">
        <f t="shared" si="13"/>
        <v>1</v>
      </c>
      <c r="Z88" s="1492"/>
      <c r="AA88" s="1492"/>
      <c r="AB88" s="1492"/>
      <c r="AC88" s="1492"/>
      <c r="AD88" s="1492"/>
      <c r="AE88" s="1492"/>
      <c r="AG88" s="1653"/>
      <c r="AH88" s="1653"/>
      <c r="AI88" s="1623"/>
      <c r="AJ88" s="1623"/>
      <c r="AK88" s="1623"/>
      <c r="AL88" s="1560"/>
      <c r="AM88" s="1560"/>
      <c r="AN88" s="1560"/>
    </row>
    <row r="89" spans="1:40" ht="15.75" customHeight="1" x14ac:dyDescent="0.25">
      <c r="A89" s="1560"/>
      <c r="B89" s="1562"/>
      <c r="C89" s="1646"/>
      <c r="D89" s="1646"/>
      <c r="E89" s="1647">
        <f t="shared" si="10"/>
        <v>0</v>
      </c>
      <c r="F89" s="1562"/>
      <c r="G89" s="1648" t="str">
        <f t="shared" si="14"/>
        <v/>
      </c>
      <c r="H89" s="1649" t="str">
        <f t="shared" si="11"/>
        <v/>
      </c>
      <c r="I89" s="1560"/>
      <c r="J89" s="1560"/>
      <c r="K89" s="1562"/>
      <c r="L89" s="1562"/>
      <c r="M89" s="1560"/>
      <c r="N89" s="1560"/>
      <c r="S89" s="1492"/>
      <c r="T89" s="1492"/>
      <c r="U89" s="1492"/>
      <c r="V89" s="1492"/>
      <c r="W89" s="1492"/>
      <c r="X89" s="1493" t="b">
        <f t="shared" si="12"/>
        <v>1</v>
      </c>
      <c r="Y89" s="1493">
        <f t="shared" si="13"/>
        <v>1</v>
      </c>
      <c r="Z89" s="1492"/>
      <c r="AA89" s="1492"/>
      <c r="AB89" s="1492"/>
      <c r="AC89" s="1492"/>
      <c r="AD89" s="1492"/>
      <c r="AE89" s="1492"/>
      <c r="AG89" s="1653"/>
      <c r="AH89" s="1653"/>
      <c r="AI89" s="1623"/>
      <c r="AJ89" s="1623"/>
      <c r="AK89" s="1623"/>
      <c r="AL89" s="1560"/>
      <c r="AM89" s="1560"/>
      <c r="AN89" s="1560"/>
    </row>
    <row r="90" spans="1:40" ht="15.75" customHeight="1" x14ac:dyDescent="0.25">
      <c r="A90" s="1560"/>
      <c r="B90" s="1562"/>
      <c r="C90" s="1646"/>
      <c r="D90" s="1646"/>
      <c r="E90" s="1647">
        <f t="shared" si="10"/>
        <v>0</v>
      </c>
      <c r="F90" s="1562"/>
      <c r="G90" s="1648" t="str">
        <f t="shared" si="14"/>
        <v/>
      </c>
      <c r="H90" s="1649" t="str">
        <f t="shared" si="11"/>
        <v/>
      </c>
      <c r="I90" s="1560"/>
      <c r="J90" s="1560"/>
      <c r="K90" s="1562"/>
      <c r="L90" s="1562"/>
      <c r="M90" s="1560"/>
      <c r="N90" s="1560"/>
      <c r="S90" s="1492"/>
      <c r="T90" s="1492"/>
      <c r="U90" s="1492"/>
      <c r="V90" s="1492"/>
      <c r="W90" s="1492"/>
      <c r="X90" s="1493" t="b">
        <f t="shared" si="12"/>
        <v>1</v>
      </c>
      <c r="Y90" s="1493">
        <f t="shared" si="13"/>
        <v>1</v>
      </c>
      <c r="Z90" s="1492"/>
      <c r="AA90" s="1492"/>
      <c r="AB90" s="1492"/>
      <c r="AC90" s="1492"/>
      <c r="AD90" s="1492"/>
      <c r="AE90" s="1492"/>
      <c r="AG90" s="1653"/>
      <c r="AH90" s="1653"/>
      <c r="AI90" s="1623"/>
      <c r="AJ90" s="1623"/>
      <c r="AK90" s="1623"/>
      <c r="AL90" s="1560"/>
      <c r="AM90" s="1560"/>
      <c r="AN90" s="1560"/>
    </row>
    <row r="91" spans="1:40" ht="15.75" customHeight="1" x14ac:dyDescent="0.25">
      <c r="A91" s="1560"/>
      <c r="B91" s="1562"/>
      <c r="C91" s="1646"/>
      <c r="D91" s="1646"/>
      <c r="E91" s="1647">
        <f t="shared" si="10"/>
        <v>0</v>
      </c>
      <c r="F91" s="1562"/>
      <c r="G91" s="1648" t="str">
        <f t="shared" si="14"/>
        <v/>
      </c>
      <c r="H91" s="1649" t="str">
        <f t="shared" si="11"/>
        <v/>
      </c>
      <c r="I91" s="1560"/>
      <c r="J91" s="1560"/>
      <c r="K91" s="1562"/>
      <c r="L91" s="1562"/>
      <c r="M91" s="1560"/>
      <c r="N91" s="1560"/>
      <c r="S91" s="1492"/>
      <c r="T91" s="1492"/>
      <c r="U91" s="1492"/>
      <c r="V91" s="1492"/>
      <c r="W91" s="1492"/>
      <c r="X91" s="1493" t="b">
        <f t="shared" si="12"/>
        <v>1</v>
      </c>
      <c r="Y91" s="1493">
        <f t="shared" si="13"/>
        <v>1</v>
      </c>
      <c r="Z91" s="1492"/>
      <c r="AA91" s="1492"/>
      <c r="AB91" s="1492"/>
      <c r="AC91" s="1492"/>
      <c r="AD91" s="1492"/>
      <c r="AE91" s="1492"/>
      <c r="AG91" s="1653"/>
      <c r="AH91" s="1653"/>
      <c r="AI91" s="1623"/>
      <c r="AJ91" s="1623"/>
      <c r="AK91" s="1623"/>
      <c r="AL91" s="1560"/>
      <c r="AM91" s="1560"/>
      <c r="AN91" s="1560"/>
    </row>
    <row r="92" spans="1:40" ht="15.75" customHeight="1" x14ac:dyDescent="0.25">
      <c r="A92" s="1560"/>
      <c r="B92" s="1562"/>
      <c r="C92" s="1646"/>
      <c r="D92" s="1646"/>
      <c r="E92" s="1647">
        <f t="shared" si="10"/>
        <v>0</v>
      </c>
      <c r="F92" s="1562"/>
      <c r="G92" s="1648" t="str">
        <f t="shared" si="14"/>
        <v/>
      </c>
      <c r="H92" s="1649" t="str">
        <f t="shared" si="11"/>
        <v/>
      </c>
      <c r="I92" s="1560"/>
      <c r="J92" s="1560"/>
      <c r="K92" s="1562"/>
      <c r="L92" s="1562"/>
      <c r="M92" s="1560"/>
      <c r="N92" s="1560"/>
      <c r="S92" s="1492"/>
      <c r="T92" s="1492"/>
      <c r="U92" s="1492"/>
      <c r="V92" s="1492"/>
      <c r="W92" s="1492"/>
      <c r="X92" s="1493" t="b">
        <f t="shared" si="12"/>
        <v>1</v>
      </c>
      <c r="Y92" s="1493">
        <f t="shared" si="13"/>
        <v>1</v>
      </c>
      <c r="Z92" s="1492"/>
      <c r="AA92" s="1492"/>
      <c r="AB92" s="1492"/>
      <c r="AC92" s="1492"/>
      <c r="AD92" s="1492"/>
      <c r="AE92" s="1492"/>
      <c r="AG92" s="1653"/>
      <c r="AH92" s="1653"/>
      <c r="AI92" s="1623"/>
      <c r="AJ92" s="1623"/>
      <c r="AK92" s="1623"/>
      <c r="AL92" s="1560"/>
      <c r="AM92" s="1560"/>
      <c r="AN92" s="1560"/>
    </row>
    <row r="93" spans="1:40" ht="15.75" customHeight="1" x14ac:dyDescent="0.25">
      <c r="A93" s="1560"/>
      <c r="B93" s="1562"/>
      <c r="C93" s="1646"/>
      <c r="D93" s="1646"/>
      <c r="E93" s="1647">
        <f t="shared" si="10"/>
        <v>0</v>
      </c>
      <c r="F93" s="1562"/>
      <c r="G93" s="1648" t="str">
        <f t="shared" si="14"/>
        <v/>
      </c>
      <c r="H93" s="1649" t="str">
        <f t="shared" si="11"/>
        <v/>
      </c>
      <c r="I93" s="1560"/>
      <c r="J93" s="1560"/>
      <c r="K93" s="1562"/>
      <c r="L93" s="1562"/>
      <c r="M93" s="1560"/>
      <c r="N93" s="1560"/>
      <c r="S93" s="1492"/>
      <c r="T93" s="1492"/>
      <c r="U93" s="1492"/>
      <c r="V93" s="1492"/>
      <c r="W93" s="1492"/>
      <c r="X93" s="1493" t="b">
        <f t="shared" si="12"/>
        <v>1</v>
      </c>
      <c r="Y93" s="1493">
        <f t="shared" si="13"/>
        <v>1</v>
      </c>
      <c r="Z93" s="1492"/>
      <c r="AA93" s="1492"/>
      <c r="AB93" s="1492"/>
      <c r="AC93" s="1492"/>
      <c r="AD93" s="1492"/>
      <c r="AE93" s="1492"/>
      <c r="AG93" s="1653"/>
      <c r="AH93" s="1653"/>
      <c r="AI93" s="1623"/>
      <c r="AJ93" s="1623"/>
      <c r="AK93" s="1623"/>
      <c r="AL93" s="1560"/>
      <c r="AM93" s="1560"/>
      <c r="AN93" s="1560"/>
    </row>
    <row r="94" spans="1:40" ht="15.75" customHeight="1" x14ac:dyDescent="0.25">
      <c r="A94" s="1560"/>
      <c r="B94" s="1562"/>
      <c r="C94" s="1646"/>
      <c r="D94" s="1646"/>
      <c r="E94" s="1647">
        <f t="shared" si="10"/>
        <v>0</v>
      </c>
      <c r="F94" s="1562"/>
      <c r="G94" s="1648" t="str">
        <f t="shared" si="14"/>
        <v/>
      </c>
      <c r="H94" s="1649" t="str">
        <f t="shared" si="11"/>
        <v/>
      </c>
      <c r="I94" s="1560"/>
      <c r="J94" s="1560"/>
      <c r="K94" s="1562"/>
      <c r="L94" s="1562"/>
      <c r="M94" s="1560"/>
      <c r="N94" s="1560"/>
      <c r="S94" s="1492"/>
      <c r="T94" s="1492"/>
      <c r="U94" s="1492"/>
      <c r="V94" s="1492"/>
      <c r="W94" s="1492"/>
      <c r="X94" s="1493" t="b">
        <f t="shared" si="12"/>
        <v>1</v>
      </c>
      <c r="Y94" s="1493">
        <f t="shared" si="13"/>
        <v>1</v>
      </c>
      <c r="Z94" s="1492"/>
      <c r="AA94" s="1492"/>
      <c r="AB94" s="1492"/>
      <c r="AC94" s="1492"/>
      <c r="AD94" s="1492"/>
      <c r="AE94" s="1492"/>
      <c r="AG94" s="1653"/>
      <c r="AH94" s="1653"/>
      <c r="AI94" s="1623"/>
      <c r="AJ94" s="1623"/>
      <c r="AK94" s="1623"/>
      <c r="AL94" s="1560"/>
      <c r="AM94" s="1560"/>
      <c r="AN94" s="1560"/>
    </row>
    <row r="95" spans="1:40" ht="15.75" customHeight="1" x14ac:dyDescent="0.25">
      <c r="A95" s="1560"/>
      <c r="B95" s="1562"/>
      <c r="C95" s="1646"/>
      <c r="D95" s="1646"/>
      <c r="E95" s="1647">
        <f t="shared" si="10"/>
        <v>0</v>
      </c>
      <c r="F95" s="1562"/>
      <c r="G95" s="1648" t="str">
        <f t="shared" si="14"/>
        <v/>
      </c>
      <c r="H95" s="1649" t="str">
        <f t="shared" si="11"/>
        <v/>
      </c>
      <c r="I95" s="1560"/>
      <c r="J95" s="1560"/>
      <c r="K95" s="1562"/>
      <c r="L95" s="1562"/>
      <c r="M95" s="1560"/>
      <c r="N95" s="1560"/>
      <c r="S95" s="1492"/>
      <c r="T95" s="1492"/>
      <c r="U95" s="1492"/>
      <c r="V95" s="1492"/>
      <c r="W95" s="1492"/>
      <c r="X95" s="1493" t="b">
        <f t="shared" si="12"/>
        <v>1</v>
      </c>
      <c r="Y95" s="1493">
        <f t="shared" si="13"/>
        <v>1</v>
      </c>
      <c r="Z95" s="1492"/>
      <c r="AA95" s="1492"/>
      <c r="AB95" s="1492"/>
      <c r="AC95" s="1492"/>
      <c r="AD95" s="1492"/>
      <c r="AE95" s="1492"/>
      <c r="AG95" s="1653"/>
      <c r="AH95" s="1653"/>
      <c r="AI95" s="1623"/>
      <c r="AJ95" s="1623"/>
      <c r="AK95" s="1623"/>
      <c r="AL95" s="1560"/>
      <c r="AM95" s="1560"/>
      <c r="AN95" s="1560"/>
    </row>
    <row r="96" spans="1:40" ht="15.75" customHeight="1" x14ac:dyDescent="0.25">
      <c r="A96" s="1560"/>
      <c r="B96" s="1562"/>
      <c r="C96" s="1646"/>
      <c r="D96" s="1646"/>
      <c r="E96" s="1647">
        <f t="shared" si="10"/>
        <v>0</v>
      </c>
      <c r="F96" s="1562"/>
      <c r="G96" s="1648" t="str">
        <f t="shared" si="14"/>
        <v/>
      </c>
      <c r="H96" s="1649" t="str">
        <f t="shared" si="11"/>
        <v/>
      </c>
      <c r="I96" s="1560"/>
      <c r="J96" s="1560"/>
      <c r="K96" s="1562"/>
      <c r="L96" s="1562"/>
      <c r="M96" s="1560"/>
      <c r="N96" s="1560"/>
      <c r="S96" s="1492"/>
      <c r="T96" s="1492"/>
      <c r="U96" s="1492"/>
      <c r="V96" s="1492"/>
      <c r="W96" s="1492"/>
      <c r="X96" s="1493" t="b">
        <f t="shared" si="12"/>
        <v>1</v>
      </c>
      <c r="Y96" s="1493">
        <f t="shared" si="13"/>
        <v>1</v>
      </c>
      <c r="Z96" s="1492"/>
      <c r="AA96" s="1492"/>
      <c r="AB96" s="1492"/>
      <c r="AC96" s="1492"/>
      <c r="AD96" s="1492"/>
      <c r="AE96" s="1492"/>
      <c r="AG96" s="1653"/>
      <c r="AH96" s="1653"/>
      <c r="AI96" s="1623"/>
      <c r="AJ96" s="1623"/>
      <c r="AK96" s="1623"/>
      <c r="AL96" s="1560"/>
      <c r="AM96" s="1560"/>
      <c r="AN96" s="1560"/>
    </row>
    <row r="97" spans="1:40" ht="15.75" customHeight="1" x14ac:dyDescent="0.25">
      <c r="A97" s="1560"/>
      <c r="B97" s="1562"/>
      <c r="C97" s="1646"/>
      <c r="D97" s="1646"/>
      <c r="E97" s="1647">
        <f t="shared" si="10"/>
        <v>0</v>
      </c>
      <c r="F97" s="1562"/>
      <c r="G97" s="1648" t="str">
        <f t="shared" si="14"/>
        <v/>
      </c>
      <c r="H97" s="1649" t="str">
        <f t="shared" si="11"/>
        <v/>
      </c>
      <c r="I97" s="1560"/>
      <c r="J97" s="1560"/>
      <c r="K97" s="1562"/>
      <c r="L97" s="1562"/>
      <c r="M97" s="1560"/>
      <c r="N97" s="1560"/>
      <c r="S97" s="1492"/>
      <c r="T97" s="1492"/>
      <c r="U97" s="1492"/>
      <c r="V97" s="1492"/>
      <c r="W97" s="1492"/>
      <c r="X97" s="1493" t="b">
        <f t="shared" si="12"/>
        <v>1</v>
      </c>
      <c r="Y97" s="1493">
        <f t="shared" si="13"/>
        <v>1</v>
      </c>
      <c r="Z97" s="1492"/>
      <c r="AA97" s="1492"/>
      <c r="AB97" s="1492"/>
      <c r="AC97" s="1492"/>
      <c r="AD97" s="1492"/>
      <c r="AE97" s="1492"/>
      <c r="AG97" s="1653"/>
      <c r="AH97" s="1653"/>
      <c r="AI97" s="1623"/>
      <c r="AJ97" s="1623"/>
      <c r="AK97" s="1623"/>
      <c r="AL97" s="1560"/>
      <c r="AM97" s="1560"/>
      <c r="AN97" s="1560"/>
    </row>
    <row r="98" spans="1:40" ht="15.75" customHeight="1" x14ac:dyDescent="0.25">
      <c r="A98" s="1560"/>
      <c r="B98" s="1562"/>
      <c r="C98" s="1646"/>
      <c r="D98" s="1646"/>
      <c r="E98" s="1647">
        <f t="shared" si="10"/>
        <v>0</v>
      </c>
      <c r="F98" s="1562"/>
      <c r="G98" s="1648" t="str">
        <f t="shared" si="14"/>
        <v/>
      </c>
      <c r="H98" s="1649" t="str">
        <f t="shared" si="11"/>
        <v/>
      </c>
      <c r="I98" s="1560"/>
      <c r="J98" s="1560"/>
      <c r="K98" s="1562"/>
      <c r="L98" s="1562"/>
      <c r="M98" s="1560"/>
      <c r="N98" s="1560"/>
      <c r="S98" s="1492"/>
      <c r="T98" s="1492"/>
      <c r="U98" s="1492"/>
      <c r="V98" s="1492"/>
      <c r="W98" s="1492"/>
      <c r="X98" s="1493" t="b">
        <f t="shared" si="12"/>
        <v>1</v>
      </c>
      <c r="Y98" s="1493">
        <f t="shared" si="13"/>
        <v>1</v>
      </c>
      <c r="Z98" s="1492"/>
      <c r="AA98" s="1492"/>
      <c r="AB98" s="1492"/>
      <c r="AC98" s="1492"/>
      <c r="AD98" s="1492"/>
      <c r="AE98" s="1492"/>
      <c r="AG98" s="1653"/>
      <c r="AH98" s="1653"/>
      <c r="AI98" s="1623"/>
      <c r="AJ98" s="1623"/>
      <c r="AK98" s="1623"/>
      <c r="AL98" s="1560"/>
      <c r="AM98" s="1560"/>
      <c r="AN98" s="1560"/>
    </row>
    <row r="99" spans="1:40" ht="15.75" customHeight="1" x14ac:dyDescent="0.25">
      <c r="A99" s="1560"/>
      <c r="B99" s="1562"/>
      <c r="C99" s="1646"/>
      <c r="D99" s="1646"/>
      <c r="E99" s="1647">
        <f t="shared" si="10"/>
        <v>0</v>
      </c>
      <c r="F99" s="1562"/>
      <c r="G99" s="1648" t="str">
        <f t="shared" si="14"/>
        <v/>
      </c>
      <c r="H99" s="1649" t="str">
        <f t="shared" si="11"/>
        <v/>
      </c>
      <c r="I99" s="1560"/>
      <c r="J99" s="1560"/>
      <c r="K99" s="1562"/>
      <c r="L99" s="1562"/>
      <c r="M99" s="1560"/>
      <c r="N99" s="1560"/>
      <c r="S99" s="1492"/>
      <c r="T99" s="1492"/>
      <c r="U99" s="1492"/>
      <c r="V99" s="1492"/>
      <c r="W99" s="1492"/>
      <c r="X99" s="1493" t="b">
        <f t="shared" si="12"/>
        <v>1</v>
      </c>
      <c r="Y99" s="1493">
        <f t="shared" si="13"/>
        <v>1</v>
      </c>
      <c r="Z99" s="1492"/>
      <c r="AA99" s="1492"/>
      <c r="AB99" s="1492"/>
      <c r="AC99" s="1492"/>
      <c r="AD99" s="1492"/>
      <c r="AE99" s="1492"/>
      <c r="AG99" s="1653"/>
      <c r="AH99" s="1653"/>
      <c r="AI99" s="1623"/>
      <c r="AJ99" s="1623"/>
      <c r="AK99" s="1623"/>
      <c r="AL99" s="1560"/>
      <c r="AM99" s="1560"/>
      <c r="AN99" s="1560"/>
    </row>
    <row r="100" spans="1:40" ht="15.75" customHeight="1" x14ac:dyDescent="0.25">
      <c r="A100" s="1560"/>
      <c r="B100" s="1562"/>
      <c r="C100" s="1646"/>
      <c r="D100" s="1646"/>
      <c r="E100" s="1647">
        <f t="shared" si="10"/>
        <v>0</v>
      </c>
      <c r="F100" s="1562"/>
      <c r="G100" s="1648" t="str">
        <f t="shared" si="14"/>
        <v/>
      </c>
      <c r="H100" s="1649" t="str">
        <f t="shared" si="11"/>
        <v/>
      </c>
      <c r="I100" s="1560"/>
      <c r="J100" s="1560"/>
      <c r="K100" s="1562"/>
      <c r="L100" s="1562"/>
      <c r="M100" s="1560"/>
      <c r="N100" s="1560"/>
      <c r="S100" s="1492"/>
      <c r="T100" s="1492"/>
      <c r="U100" s="1492"/>
      <c r="V100" s="1492"/>
      <c r="W100" s="1492"/>
      <c r="X100" s="1493" t="b">
        <f t="shared" si="12"/>
        <v>1</v>
      </c>
      <c r="Y100" s="1493">
        <f t="shared" si="13"/>
        <v>1</v>
      </c>
      <c r="Z100" s="1492"/>
      <c r="AA100" s="1492"/>
      <c r="AB100" s="1492"/>
      <c r="AC100" s="1492"/>
      <c r="AD100" s="1492"/>
      <c r="AE100" s="1492"/>
      <c r="AG100" s="1653"/>
      <c r="AH100" s="1653"/>
      <c r="AI100" s="1623"/>
      <c r="AJ100" s="1623"/>
      <c r="AK100" s="1623"/>
      <c r="AL100" s="1560"/>
      <c r="AM100" s="1560"/>
      <c r="AN100" s="1560"/>
    </row>
    <row r="101" spans="1:40" ht="15.75" customHeight="1" x14ac:dyDescent="0.25">
      <c r="A101" s="1560"/>
      <c r="B101" s="1562"/>
      <c r="C101" s="1646"/>
      <c r="D101" s="1646"/>
      <c r="E101" s="1647">
        <f>D101</f>
        <v>0</v>
      </c>
      <c r="F101" s="1562"/>
      <c r="G101" s="1648" t="str">
        <f t="shared" si="14"/>
        <v/>
      </c>
      <c r="H101" s="1649" t="str">
        <f t="shared" si="11"/>
        <v/>
      </c>
      <c r="I101" s="1560"/>
      <c r="J101" s="1560"/>
      <c r="K101" s="1562"/>
      <c r="L101" s="1562"/>
      <c r="M101" s="1560"/>
      <c r="N101" s="1560"/>
      <c r="S101" s="1492"/>
      <c r="T101" s="1492"/>
      <c r="U101" s="1492"/>
      <c r="V101" s="1492"/>
      <c r="W101" s="1492"/>
      <c r="X101" s="1493" t="b">
        <f>AND(C101=U101,D101=V101,E101=W101)</f>
        <v>1</v>
      </c>
      <c r="Y101" s="1493">
        <f>X101*1</f>
        <v>1</v>
      </c>
      <c r="Z101" s="1492"/>
      <c r="AA101" s="1492"/>
      <c r="AB101" s="1492"/>
      <c r="AC101" s="1492"/>
      <c r="AD101" s="1492"/>
      <c r="AE101" s="1492"/>
      <c r="AG101" s="1653"/>
      <c r="AH101" s="1653"/>
      <c r="AI101" s="1623"/>
      <c r="AJ101" s="1623"/>
      <c r="AK101" s="1623"/>
      <c r="AL101" s="1560"/>
      <c r="AM101" s="1560"/>
      <c r="AN101" s="1560"/>
    </row>
    <row r="102" spans="1:40" ht="15.75" customHeight="1" x14ac:dyDescent="0.25">
      <c r="A102" s="1560"/>
      <c r="B102" s="1562"/>
      <c r="C102" s="1646"/>
      <c r="D102" s="1646"/>
      <c r="E102" s="1647">
        <f>D102</f>
        <v>0</v>
      </c>
      <c r="F102" s="1562"/>
      <c r="G102" s="1648" t="str">
        <f t="shared" si="14"/>
        <v/>
      </c>
      <c r="H102" s="1649" t="str">
        <f t="shared" si="11"/>
        <v/>
      </c>
      <c r="I102" s="1560"/>
      <c r="J102" s="1560"/>
      <c r="K102" s="1562"/>
      <c r="L102" s="1562"/>
      <c r="M102" s="1560"/>
      <c r="N102" s="1560"/>
      <c r="S102" s="1492"/>
      <c r="T102" s="1492"/>
      <c r="U102" s="1492"/>
      <c r="V102" s="1492"/>
      <c r="W102" s="1492"/>
      <c r="X102" s="1493" t="b">
        <f>AND(C102=U102,D102=V102,E102=W102)</f>
        <v>1</v>
      </c>
      <c r="Y102" s="1493">
        <f>X102*1</f>
        <v>1</v>
      </c>
      <c r="Z102" s="1492"/>
      <c r="AA102" s="1492"/>
      <c r="AB102" s="1492"/>
      <c r="AC102" s="1492"/>
      <c r="AD102" s="1492"/>
      <c r="AE102" s="1492"/>
      <c r="AG102" s="1653"/>
      <c r="AH102" s="1653"/>
      <c r="AI102" s="1623"/>
      <c r="AJ102" s="1623"/>
      <c r="AK102" s="1623"/>
      <c r="AL102" s="1560"/>
      <c r="AM102" s="1560"/>
      <c r="AN102" s="1560"/>
    </row>
    <row r="103" spans="1:40" ht="15.75" customHeight="1" x14ac:dyDescent="0.25">
      <c r="A103" s="1560"/>
      <c r="B103" s="1562"/>
      <c r="C103" s="1646"/>
      <c r="D103" s="1646"/>
      <c r="E103" s="1647">
        <f>D103</f>
        <v>0</v>
      </c>
      <c r="F103" s="1562"/>
      <c r="G103" s="1648" t="str">
        <f t="shared" si="14"/>
        <v/>
      </c>
      <c r="H103" s="1649" t="str">
        <f t="shared" si="11"/>
        <v/>
      </c>
      <c r="I103" s="1560"/>
      <c r="J103" s="1560"/>
      <c r="K103" s="1562"/>
      <c r="L103" s="1562"/>
      <c r="M103" s="1560"/>
      <c r="N103" s="1560"/>
      <c r="S103" s="1492"/>
      <c r="T103" s="1492"/>
      <c r="U103" s="1492"/>
      <c r="V103" s="1492"/>
      <c r="W103" s="1492"/>
      <c r="X103" s="1493" t="b">
        <f>AND(C103=U103,D103=V103,E103=W103)</f>
        <v>1</v>
      </c>
      <c r="Y103" s="1493">
        <f>X103*1</f>
        <v>1</v>
      </c>
      <c r="Z103" s="1492"/>
      <c r="AA103" s="1492"/>
      <c r="AB103" s="1492"/>
      <c r="AC103" s="1492"/>
      <c r="AD103" s="1492"/>
      <c r="AE103" s="1492"/>
      <c r="AG103" s="1653"/>
      <c r="AH103" s="1653"/>
      <c r="AI103" s="1623"/>
      <c r="AJ103" s="1623"/>
      <c r="AK103" s="1623"/>
      <c r="AL103" s="1560"/>
      <c r="AM103" s="1560"/>
      <c r="AN103" s="1560"/>
    </row>
    <row r="104" spans="1:40" ht="15.75" customHeight="1" x14ac:dyDescent="0.25">
      <c r="A104" s="1560"/>
      <c r="B104" s="1562"/>
      <c r="C104" s="1646"/>
      <c r="D104" s="1646"/>
      <c r="E104" s="1647">
        <f>D104</f>
        <v>0</v>
      </c>
      <c r="F104" s="1562"/>
      <c r="G104" s="1648" t="str">
        <f t="shared" si="14"/>
        <v/>
      </c>
      <c r="H104" s="1649" t="str">
        <f t="shared" si="11"/>
        <v/>
      </c>
      <c r="I104" s="1560"/>
      <c r="J104" s="1560"/>
      <c r="K104" s="1562"/>
      <c r="L104" s="1562"/>
      <c r="M104" s="1560"/>
      <c r="N104" s="1560"/>
      <c r="S104" s="1492"/>
      <c r="T104" s="1492"/>
      <c r="U104" s="1492"/>
      <c r="V104" s="1492"/>
      <c r="W104" s="1492"/>
      <c r="X104" s="1493" t="b">
        <f>AND(C104=U104,D104=V104,E104=W104)</f>
        <v>1</v>
      </c>
      <c r="Y104" s="1493">
        <f>X104*1</f>
        <v>1</v>
      </c>
      <c r="Z104" s="1492"/>
      <c r="AA104" s="1492"/>
      <c r="AB104" s="1492"/>
      <c r="AC104" s="1492"/>
      <c r="AD104" s="1492"/>
      <c r="AE104" s="1492"/>
      <c r="AG104" s="1653"/>
      <c r="AH104" s="1653"/>
      <c r="AI104" s="1623"/>
      <c r="AJ104" s="1623"/>
      <c r="AK104" s="1623"/>
      <c r="AL104" s="1560"/>
      <c r="AM104" s="1560"/>
      <c r="AN104" s="1560"/>
    </row>
    <row r="105" spans="1:40" ht="15.75" customHeight="1" x14ac:dyDescent="0.25">
      <c r="A105" s="1560"/>
      <c r="B105" s="1562"/>
      <c r="C105" s="1646"/>
      <c r="D105" s="1646"/>
      <c r="E105" s="1647">
        <f>D105</f>
        <v>0</v>
      </c>
      <c r="F105" s="1562"/>
      <c r="G105" s="1648" t="str">
        <f t="shared" si="14"/>
        <v/>
      </c>
      <c r="H105" s="1649" t="str">
        <f t="shared" si="11"/>
        <v/>
      </c>
      <c r="I105" s="1560"/>
      <c r="J105" s="1560"/>
      <c r="K105" s="1562"/>
      <c r="L105" s="1562"/>
      <c r="M105" s="1560"/>
      <c r="N105" s="1560"/>
      <c r="S105" s="1492"/>
      <c r="T105" s="1492"/>
      <c r="U105" s="1492"/>
      <c r="V105" s="1492"/>
      <c r="W105" s="1492"/>
      <c r="X105" s="1493" t="b">
        <f>AND(C105=U105,D105=V105,E105=W105)</f>
        <v>1</v>
      </c>
      <c r="Y105" s="1493">
        <f>X105*1</f>
        <v>1</v>
      </c>
      <c r="Z105" s="1492"/>
      <c r="AA105" s="1492"/>
      <c r="AB105" s="1492"/>
      <c r="AC105" s="1492"/>
      <c r="AD105" s="1492"/>
      <c r="AE105" s="1492"/>
      <c r="AG105" s="1653"/>
      <c r="AH105" s="1653"/>
      <c r="AI105" s="1623"/>
      <c r="AJ105" s="1623"/>
      <c r="AK105" s="1623"/>
      <c r="AL105" s="1560"/>
      <c r="AM105" s="1560"/>
      <c r="AN105" s="1560"/>
    </row>
    <row r="106" spans="1:40" x14ac:dyDescent="0.25">
      <c r="A106" s="1560"/>
      <c r="B106" s="1562"/>
      <c r="C106" s="1562"/>
      <c r="D106" s="1562"/>
      <c r="E106" s="1562"/>
      <c r="F106" s="1562"/>
      <c r="G106" s="1562"/>
      <c r="H106" s="1562"/>
      <c r="I106" s="1560"/>
      <c r="J106" s="1560"/>
      <c r="K106" s="1562"/>
      <c r="L106" s="1562"/>
      <c r="M106" s="1560"/>
      <c r="N106" s="1560"/>
      <c r="AG106" s="1623"/>
      <c r="AH106" s="1623"/>
      <c r="AI106" s="1623"/>
      <c r="AJ106" s="1623"/>
      <c r="AK106" s="1623"/>
      <c r="AL106" s="1560"/>
      <c r="AM106" s="1560"/>
      <c r="AN106" s="1560"/>
    </row>
    <row r="107" spans="1:40" x14ac:dyDescent="0.25">
      <c r="A107" s="1560"/>
      <c r="B107" s="1562"/>
      <c r="C107" s="1665"/>
      <c r="D107" s="1666"/>
      <c r="E107" s="1666"/>
      <c r="F107" s="1666"/>
      <c r="G107" s="1666"/>
      <c r="H107" s="1667"/>
      <c r="I107" s="1560"/>
      <c r="J107" s="1560"/>
      <c r="K107" s="1562"/>
      <c r="L107" s="1562"/>
      <c r="M107" s="1560"/>
      <c r="N107" s="1560"/>
      <c r="AG107" s="1623"/>
      <c r="AH107" s="1623"/>
      <c r="AI107" s="1623"/>
      <c r="AJ107" s="1623"/>
      <c r="AK107" s="1623"/>
      <c r="AL107" s="1560"/>
      <c r="AM107" s="1560"/>
      <c r="AN107" s="1560"/>
    </row>
    <row r="108" spans="1:40" ht="15.5" x14ac:dyDescent="0.35">
      <c r="A108" s="1560"/>
      <c r="B108" s="1562"/>
      <c r="C108" s="1668" t="str">
        <f>rjs!F46</f>
        <v>CBRE</v>
      </c>
      <c r="D108" s="1669"/>
      <c r="E108" s="1669"/>
      <c r="F108" s="1669"/>
      <c r="G108" s="1669"/>
      <c r="H108" s="1670"/>
      <c r="I108" s="1560"/>
      <c r="J108" s="1560"/>
      <c r="K108" s="1562"/>
      <c r="L108" s="1562"/>
      <c r="M108" s="1560"/>
      <c r="N108" s="1560"/>
      <c r="AG108" s="1623"/>
      <c r="AH108" s="1623"/>
      <c r="AI108" s="1623"/>
      <c r="AJ108" s="1623"/>
      <c r="AK108" s="1623"/>
      <c r="AL108" s="1560"/>
      <c r="AM108" s="1560"/>
      <c r="AN108" s="1560"/>
    </row>
    <row r="109" spans="1:40" x14ac:dyDescent="0.25">
      <c r="A109" s="1560"/>
      <c r="B109" s="1560"/>
      <c r="C109" s="1560"/>
      <c r="D109" s="1560"/>
      <c r="E109" s="1560"/>
      <c r="F109" s="1560"/>
      <c r="G109" s="1560"/>
      <c r="H109" s="1560"/>
      <c r="I109" s="1560"/>
      <c r="J109" s="1560"/>
      <c r="K109" s="1560"/>
      <c r="L109" s="1560"/>
      <c r="M109" s="1560"/>
      <c r="N109" s="1560"/>
      <c r="AG109" s="1623"/>
      <c r="AH109" s="1623"/>
      <c r="AI109" s="1623"/>
      <c r="AJ109" s="1623"/>
      <c r="AK109" s="1623"/>
      <c r="AL109" s="1560"/>
      <c r="AM109" s="1560"/>
      <c r="AN109" s="1560"/>
    </row>
  </sheetData>
  <sheetProtection password="BCD8" sheet="1" objects="1" scenarios="1"/>
  <phoneticPr fontId="124" type="noConversion"/>
  <conditionalFormatting sqref="G3:K3">
    <cfRule type="expression" dxfId="41" priority="1" stopIfTrue="1">
      <formula>$X$4=0</formula>
    </cfRule>
  </conditionalFormatting>
  <dataValidations disablePrompts="1" count="1">
    <dataValidation type="date" allowBlank="1" showInputMessage="1" showErrorMessage="1" errorTitle="Effective Date" error="Effective Date must be within this Rating List" sqref="D3" xr:uid="{743DE87F-9976-4EE1-BD66-EB7EA9AC00D8}">
      <formula1>$O$6</formula1>
      <formula2>Q8</formula2>
    </dataValidation>
  </dataValidations>
  <pageMargins left="0.7" right="0.7" top="0.75" bottom="0.75" header="0.3" footer="0.3"/>
  <pageSetup paperSize="9" orientation="landscape"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caclr">
                <anchor moveWithCells="1" sizeWithCells="1">
                  <from>
                    <xdr:col>6</xdr:col>
                    <xdr:colOff>44450</xdr:colOff>
                    <xdr:row>3</xdr:row>
                    <xdr:rowOff>50800</xdr:rowOff>
                  </from>
                  <to>
                    <xdr:col>7</xdr:col>
                    <xdr:colOff>850900</xdr:colOff>
                    <xdr:row>3</xdr:row>
                    <xdr:rowOff>457200</xdr:rowOff>
                  </to>
                </anchor>
              </controlPr>
            </control>
          </mc:Choice>
        </mc:AlternateContent>
        <mc:AlternateContent xmlns:mc="http://schemas.openxmlformats.org/markup-compatibility/2006">
          <mc:Choice Requires="x14">
            <control shapeId="77826" r:id="rId5" name="Button 2">
              <controlPr defaultSize="0" print="0" autoFill="0" autoPict="0" macro="[0]!getdatefromrjs">
                <anchor moveWithCells="1" sizeWithCells="1">
                  <from>
                    <xdr:col>4</xdr:col>
                    <xdr:colOff>63500</xdr:colOff>
                    <xdr:row>2</xdr:row>
                    <xdr:rowOff>12700</xdr:rowOff>
                  </from>
                  <to>
                    <xdr:col>5</xdr:col>
                    <xdr:colOff>0</xdr:colOff>
                    <xdr:row>2</xdr:row>
                    <xdr:rowOff>254000</xdr:rowOff>
                  </to>
                </anchor>
              </controlPr>
            </control>
          </mc:Choice>
        </mc:AlternateContent>
        <mc:AlternateContent xmlns:mc="http://schemas.openxmlformats.org/markup-compatibility/2006">
          <mc:Choice Requires="x14">
            <control shapeId="77827" r:id="rId6" name="Button 3">
              <controlPr defaultSize="0" print="0" autoFill="0" autoPict="0" macro="[0]!helprcalc">
                <anchor moveWithCells="1" sizeWithCells="1">
                  <from>
                    <xdr:col>0</xdr:col>
                    <xdr:colOff>44450</xdr:colOff>
                    <xdr:row>7</xdr:row>
                    <xdr:rowOff>31750</xdr:rowOff>
                  </from>
                  <to>
                    <xdr:col>0</xdr:col>
                    <xdr:colOff>800100</xdr:colOff>
                    <xdr:row>8</xdr:row>
                    <xdr:rowOff>184150</xdr:rowOff>
                  </to>
                </anchor>
              </controlPr>
            </control>
          </mc:Choice>
        </mc:AlternateContent>
        <mc:AlternateContent xmlns:mc="http://schemas.openxmlformats.org/markup-compatibility/2006">
          <mc:Choice Requires="x14">
            <control shapeId="77828" r:id="rId7" name="Button 4">
              <controlPr defaultSize="0" print="0" autoFill="0" autoPict="0" macro="[0]!clear_rcalc">
                <anchor moveWithCells="1" sizeWithCells="1">
                  <from>
                    <xdr:col>0</xdr:col>
                    <xdr:colOff>44450</xdr:colOff>
                    <xdr:row>2</xdr:row>
                    <xdr:rowOff>88900</xdr:rowOff>
                  </from>
                  <to>
                    <xdr:col>0</xdr:col>
                    <xdr:colOff>800100</xdr:colOff>
                    <xdr:row>3</xdr:row>
                    <xdr:rowOff>349250</xdr:rowOff>
                  </to>
                </anchor>
              </controlPr>
            </control>
          </mc:Choice>
        </mc:AlternateContent>
        <mc:AlternateContent xmlns:mc="http://schemas.openxmlformats.org/markup-compatibility/2006">
          <mc:Choice Requires="x14">
            <control shapeId="77829" r:id="rId8" name="Button 5">
              <controlPr defaultSize="0" print="0" autoFill="0" autoPict="0" macro="[0]!undo_clear_rcalc">
                <anchor moveWithCells="1" sizeWithCells="1">
                  <from>
                    <xdr:col>0</xdr:col>
                    <xdr:colOff>44450</xdr:colOff>
                    <xdr:row>3</xdr:row>
                    <xdr:rowOff>393700</xdr:rowOff>
                  </from>
                  <to>
                    <xdr:col>0</xdr:col>
                    <xdr:colOff>800100</xdr:colOff>
                    <xdr:row>4</xdr:row>
                    <xdr:rowOff>101600</xdr:rowOff>
                  </to>
                </anchor>
              </controlPr>
            </control>
          </mc:Choice>
        </mc:AlternateContent>
        <mc:AlternateContent xmlns:mc="http://schemas.openxmlformats.org/markup-compatibility/2006">
          <mc:Choice Requires="x14">
            <control shapeId="77830" r:id="rId9" name="Button 6">
              <controlPr defaultSize="0" print="0" autoFill="0" autoPict="0" macro="[0]!sento_rjs">
                <anchor moveWithCells="1" sizeWithCells="1">
                  <from>
                    <xdr:col>10</xdr:col>
                    <xdr:colOff>165100</xdr:colOff>
                    <xdr:row>7</xdr:row>
                    <xdr:rowOff>69850</xdr:rowOff>
                  </from>
                  <to>
                    <xdr:col>11</xdr:col>
                    <xdr:colOff>889000</xdr:colOff>
                    <xdr:row>10</xdr:row>
                    <xdr:rowOff>101600</xdr:rowOff>
                  </to>
                </anchor>
              </controlPr>
            </control>
          </mc:Choice>
        </mc:AlternateContent>
        <mc:AlternateContent xmlns:mc="http://schemas.openxmlformats.org/markup-compatibility/2006">
          <mc:Choice Requires="x14">
            <control shapeId="77831" r:id="rId10" name="Button 7">
              <controlPr defaultSize="0" print="0" autoFill="0" autoPict="0" macro="[0]!sento_rjs_revised">
                <anchor moveWithCells="1" sizeWithCells="1">
                  <from>
                    <xdr:col>10</xdr:col>
                    <xdr:colOff>165100</xdr:colOff>
                    <xdr:row>10</xdr:row>
                    <xdr:rowOff>107950</xdr:rowOff>
                  </from>
                  <to>
                    <xdr:col>11</xdr:col>
                    <xdr:colOff>889000</xdr:colOff>
                    <xdr:row>13</xdr:row>
                    <xdr:rowOff>146050</xdr:rowOff>
                  </to>
                </anchor>
              </controlPr>
            </control>
          </mc:Choice>
        </mc:AlternateContent>
        <mc:AlternateContent xmlns:mc="http://schemas.openxmlformats.org/markup-compatibility/2006">
          <mc:Choice Requires="x14">
            <control shapeId="77832" r:id="rId11" name="Button 8">
              <controlPr defaultSize="0" print="0" autoFill="0" autoPict="0" macro="[0]!reset_rcalc">
                <anchor moveWithCells="1" sizeWithCells="1">
                  <from>
                    <xdr:col>0</xdr:col>
                    <xdr:colOff>44450</xdr:colOff>
                    <xdr:row>4</xdr:row>
                    <xdr:rowOff>152400</xdr:rowOff>
                  </from>
                  <to>
                    <xdr:col>0</xdr:col>
                    <xdr:colOff>800100</xdr:colOff>
                    <xdr:row>6</xdr:row>
                    <xdr:rowOff>165100</xdr:rowOff>
                  </to>
                </anchor>
              </controlPr>
            </control>
          </mc:Choice>
        </mc:AlternateContent>
        <mc:AlternateContent xmlns:mc="http://schemas.openxmlformats.org/markup-compatibility/2006">
          <mc:Choice Requires="x14">
            <control shapeId="77833" r:id="rId12" name="Button 9">
              <controlPr defaultSize="0" print="0" autoFill="0" autoPict="0" macro="[0]!goto_rjs">
                <anchor moveWithCells="1" sizeWithCells="1">
                  <from>
                    <xdr:col>10</xdr:col>
                    <xdr:colOff>146050</xdr:colOff>
                    <xdr:row>3</xdr:row>
                    <xdr:rowOff>139700</xdr:rowOff>
                  </from>
                  <to>
                    <xdr:col>11</xdr:col>
                    <xdr:colOff>1054100</xdr:colOff>
                    <xdr:row>3</xdr:row>
                    <xdr:rowOff>393700</xdr:rowOff>
                  </to>
                </anchor>
              </controlPr>
            </control>
          </mc:Choice>
        </mc:AlternateContent>
        <mc:AlternateContent xmlns:mc="http://schemas.openxmlformats.org/markup-compatibility/2006">
          <mc:Choice Requires="x14">
            <control shapeId="77834" r:id="rId13" name="Button 10">
              <controlPr defaultSize="0" print="0" autoFill="0" autoPict="0" macro="[0]!goto_home">
                <anchor moveWithCells="1" sizeWithCells="1">
                  <from>
                    <xdr:col>0</xdr:col>
                    <xdr:colOff>44450</xdr:colOff>
                    <xdr:row>9</xdr:row>
                    <xdr:rowOff>44450</xdr:rowOff>
                  </from>
                  <to>
                    <xdr:col>0</xdr:col>
                    <xdr:colOff>800100</xdr:colOff>
                    <xdr:row>11</xdr:row>
                    <xdr:rowOff>6350</xdr:rowOff>
                  </to>
                </anchor>
              </controlPr>
            </control>
          </mc:Choice>
        </mc:AlternateContent>
        <mc:AlternateContent xmlns:mc="http://schemas.openxmlformats.org/markup-compatibility/2006">
          <mc:Choice Requires="x14">
            <control shapeId="77839" r:id="rId14" name="Button 15">
              <controlPr defaultSize="0" print="0" autoFill="0" autoPict="0" macro="[0]!goto_rjs">
                <anchor moveWithCells="1" sizeWithCells="1">
                  <from>
                    <xdr:col>0</xdr:col>
                    <xdr:colOff>38100</xdr:colOff>
                    <xdr:row>0</xdr:row>
                    <xdr:rowOff>69850</xdr:rowOff>
                  </from>
                  <to>
                    <xdr:col>0</xdr:col>
                    <xdr:colOff>787400</xdr:colOff>
                    <xdr:row>0</xdr:row>
                    <xdr:rowOff>654050</xdr:rowOff>
                  </to>
                </anchor>
              </controlPr>
            </control>
          </mc:Choice>
        </mc:AlternateContent>
        <mc:AlternateContent xmlns:mc="http://schemas.openxmlformats.org/markup-compatibility/2006">
          <mc:Choice Requires="x14">
            <control shapeId="77840" r:id="rId15" name="Button 16">
              <controlPr defaultSize="0" print="0" autoFill="0" autoPict="0" macro="[0]!copy_as_excel">
                <anchor moveWithCells="1" sizeWithCells="1">
                  <from>
                    <xdr:col>13</xdr:col>
                    <xdr:colOff>31750</xdr:colOff>
                    <xdr:row>0</xdr:row>
                    <xdr:rowOff>635000</xdr:rowOff>
                  </from>
                  <to>
                    <xdr:col>13</xdr:col>
                    <xdr:colOff>717550</xdr:colOff>
                    <xdr:row>2</xdr:row>
                    <xdr:rowOff>107950</xdr:rowOff>
                  </to>
                </anchor>
              </controlPr>
            </control>
          </mc:Choice>
        </mc:AlternateContent>
        <mc:AlternateContent xmlns:mc="http://schemas.openxmlformats.org/markup-compatibility/2006">
          <mc:Choice Requires="x14">
            <control shapeId="77841" r:id="rId16" name="Button 17">
              <controlPr defaultSize="0" print="0" autoFill="0" autoPict="0" macro="[0]!pdflauncher">
                <anchor moveWithCells="1" sizeWithCells="1">
                  <from>
                    <xdr:col>13</xdr:col>
                    <xdr:colOff>723900</xdr:colOff>
                    <xdr:row>0</xdr:row>
                    <xdr:rowOff>635000</xdr:rowOff>
                  </from>
                  <to>
                    <xdr:col>37</xdr:col>
                    <xdr:colOff>349250</xdr:colOff>
                    <xdr:row>2</xdr:row>
                    <xdr:rowOff>107950</xdr:rowOff>
                  </to>
                </anchor>
              </controlPr>
            </control>
          </mc:Choice>
        </mc:AlternateContent>
        <mc:AlternateContent xmlns:mc="http://schemas.openxmlformats.org/markup-compatibility/2006">
          <mc:Choice Requires="x14">
            <control shapeId="77842" r:id="rId17" name="Button 18">
              <controlPr defaultSize="0" print="0" autoFill="0" autoPict="0" macro="[0]!openfolder">
                <anchor moveWithCells="1" sizeWithCells="1">
                  <from>
                    <xdr:col>37</xdr:col>
                    <xdr:colOff>355600</xdr:colOff>
                    <xdr:row>0</xdr:row>
                    <xdr:rowOff>635000</xdr:rowOff>
                  </from>
                  <to>
                    <xdr:col>38</xdr:col>
                    <xdr:colOff>266700</xdr:colOff>
                    <xdr:row>2</xdr:row>
                    <xdr:rowOff>107950</xdr:rowOff>
                  </to>
                </anchor>
              </controlPr>
            </control>
          </mc:Choice>
        </mc:AlternateContent>
        <mc:AlternateContent xmlns:mc="http://schemas.openxmlformats.org/markup-compatibility/2006">
          <mc:Choice Requires="x14">
            <control shapeId="77843" r:id="rId18" name="Button 19">
              <controlPr defaultSize="0" print="0" autoFill="0" autoPict="0" macro="[0]!goto_folder_settings">
                <anchor moveWithCells="1" sizeWithCells="1">
                  <from>
                    <xdr:col>38</xdr:col>
                    <xdr:colOff>273050</xdr:colOff>
                    <xdr:row>0</xdr:row>
                    <xdr:rowOff>635000</xdr:rowOff>
                  </from>
                  <to>
                    <xdr:col>39</xdr:col>
                    <xdr:colOff>177800</xdr:colOff>
                    <xdr:row>2</xdr:row>
                    <xdr:rowOff>107950</xdr:rowOff>
                  </to>
                </anchor>
              </controlPr>
            </control>
          </mc:Choice>
        </mc:AlternateContent>
        <mc:AlternateContent xmlns:mc="http://schemas.openxmlformats.org/markup-compatibility/2006">
          <mc:Choice Requires="x14">
            <control shapeId="77846" r:id="rId19" name="globalbacktobutton">
              <controlPr defaultSize="0" print="0" autoFill="0" autoPict="0" macro="[0]!backto">
                <anchor moveWithCells="1" sizeWithCells="1">
                  <from>
                    <xdr:col>13</xdr:col>
                    <xdr:colOff>25400</xdr:colOff>
                    <xdr:row>0</xdr:row>
                    <xdr:rowOff>107950</xdr:rowOff>
                  </from>
                  <to>
                    <xdr:col>13</xdr:col>
                    <xdr:colOff>730250</xdr:colOff>
                    <xdr:row>0</xdr:row>
                    <xdr:rowOff>558800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D1CDF-B8C4-4628-A97E-C52B3B121F8F}">
  <sheetPr codeName="Sheet54"/>
  <dimension ref="A1:J148"/>
  <sheetViews>
    <sheetView workbookViewId="0">
      <selection activeCell="A2" sqref="A2"/>
    </sheetView>
  </sheetViews>
  <sheetFormatPr defaultRowHeight="14.5" x14ac:dyDescent="0.35"/>
  <cols>
    <col min="1" max="1" width="16.453125"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3" max="13" width="12.453125" customWidth="1"/>
    <col min="14" max="14" width="12.08984375" customWidth="1"/>
    <col min="15" max="15" width="11.54296875" customWidth="1"/>
    <col min="16" max="16" width="12.54296875" customWidth="1"/>
  </cols>
  <sheetData>
    <row r="1" spans="1:9" x14ac:dyDescent="0.35">
      <c r="B1" s="5" t="s">
        <v>373</v>
      </c>
      <c r="C1" t="s">
        <v>374</v>
      </c>
      <c r="D1" s="5" t="s">
        <v>361</v>
      </c>
      <c r="E1" s="5" t="s">
        <v>362</v>
      </c>
      <c r="F1" s="5" t="s">
        <v>363</v>
      </c>
      <c r="G1" s="5" t="s">
        <v>364</v>
      </c>
      <c r="H1" s="5" t="s">
        <v>371</v>
      </c>
      <c r="I1" s="5" t="s">
        <v>372</v>
      </c>
    </row>
    <row r="2" spans="1:9" x14ac:dyDescent="0.35">
      <c r="C2" t="s">
        <v>251</v>
      </c>
      <c r="D2" s="13">
        <f>text!D1</f>
        <v>45017</v>
      </c>
      <c r="E2" s="13">
        <f>text!E1</f>
        <v>45383</v>
      </c>
      <c r="F2" s="13">
        <f>text!F1</f>
        <v>45748</v>
      </c>
      <c r="G2" s="13">
        <f>text!G1</f>
        <v>46113</v>
      </c>
      <c r="H2" s="13">
        <f>text!H1</f>
        <v>46478</v>
      </c>
      <c r="I2" s="13">
        <f>text!I1</f>
        <v>46844</v>
      </c>
    </row>
    <row r="3" spans="1:9" x14ac:dyDescent="0.35">
      <c r="C3" t="s">
        <v>268</v>
      </c>
      <c r="D3" s="5" t="str">
        <f>text!D2</f>
        <v>2023/24</v>
      </c>
      <c r="E3" s="5" t="str">
        <f>text!E2</f>
        <v>2024/25</v>
      </c>
      <c r="F3" s="5" t="str">
        <f>text!F2</f>
        <v>2025/26</v>
      </c>
      <c r="G3" s="5" t="str">
        <f>text!G2</f>
        <v>2026/27</v>
      </c>
      <c r="H3" s="5" t="str">
        <f>text!H2</f>
        <v>2027/28</v>
      </c>
      <c r="I3" s="5" t="str">
        <f>text!I2</f>
        <v>2028/29</v>
      </c>
    </row>
    <row r="4" spans="1:9" x14ac:dyDescent="0.35">
      <c r="C4" t="s">
        <v>271</v>
      </c>
      <c r="D4" s="5">
        <f>text!D3</f>
        <v>1</v>
      </c>
      <c r="E4" s="5">
        <f>text!E3</f>
        <v>2</v>
      </c>
      <c r="F4" s="5">
        <f>text!F3</f>
        <v>3</v>
      </c>
      <c r="G4" s="5">
        <f>text!G3</f>
        <v>4</v>
      </c>
      <c r="H4" s="5">
        <f>text!H3</f>
        <v>5</v>
      </c>
      <c r="I4" s="5">
        <f>text!I3</f>
        <v>6</v>
      </c>
    </row>
    <row r="5" spans="1:9" x14ac:dyDescent="0.35">
      <c r="C5" t="s">
        <v>272</v>
      </c>
      <c r="D5" s="27">
        <f>rjs!G28</f>
        <v>0</v>
      </c>
      <c r="E5" s="5">
        <f t="shared" ref="E5:I9" si="0">D5</f>
        <v>0</v>
      </c>
      <c r="F5" s="5">
        <f t="shared" si="0"/>
        <v>0</v>
      </c>
      <c r="G5" s="5">
        <f t="shared" si="0"/>
        <v>0</v>
      </c>
      <c r="H5" s="5">
        <f t="shared" si="0"/>
        <v>0</v>
      </c>
      <c r="I5" s="5">
        <f t="shared" si="0"/>
        <v>0</v>
      </c>
    </row>
    <row r="6" spans="1:9" x14ac:dyDescent="0.35">
      <c r="C6" t="s">
        <v>273</v>
      </c>
      <c r="D6" s="5" t="str">
        <f>basic!W3</f>
        <v>e</v>
      </c>
      <c r="E6" s="5" t="str">
        <f t="shared" si="0"/>
        <v>e</v>
      </c>
      <c r="F6" s="5" t="str">
        <f t="shared" si="0"/>
        <v>e</v>
      </c>
      <c r="G6" s="5" t="str">
        <f t="shared" si="0"/>
        <v>e</v>
      </c>
      <c r="H6" s="5" t="str">
        <f t="shared" si="0"/>
        <v>e</v>
      </c>
      <c r="I6" s="5" t="str">
        <f t="shared" si="0"/>
        <v>e</v>
      </c>
    </row>
    <row r="7" spans="1:9" x14ac:dyDescent="0.35">
      <c r="C7" t="s">
        <v>334</v>
      </c>
      <c r="D7" s="5" t="b">
        <f>rjs!O20</f>
        <v>0</v>
      </c>
      <c r="E7" s="5" t="b">
        <f t="shared" si="0"/>
        <v>0</v>
      </c>
      <c r="F7" s="5" t="b">
        <f t="shared" si="0"/>
        <v>0</v>
      </c>
      <c r="G7" s="5" t="b">
        <f t="shared" si="0"/>
        <v>0</v>
      </c>
      <c r="H7" s="5" t="b">
        <f t="shared" si="0"/>
        <v>0</v>
      </c>
      <c r="I7" s="5" t="b">
        <f t="shared" si="0"/>
        <v>0</v>
      </c>
    </row>
    <row r="8" spans="1:9" x14ac:dyDescent="0.35">
      <c r="C8" t="s">
        <v>335</v>
      </c>
      <c r="D8" s="5" t="b">
        <f>rjs!O19</f>
        <v>0</v>
      </c>
      <c r="E8" s="5" t="b">
        <f t="shared" si="0"/>
        <v>0</v>
      </c>
      <c r="F8" s="5" t="b">
        <f t="shared" si="0"/>
        <v>0</v>
      </c>
      <c r="G8" s="5" t="b">
        <f t="shared" si="0"/>
        <v>0</v>
      </c>
      <c r="H8" s="5" t="b">
        <f t="shared" si="0"/>
        <v>0</v>
      </c>
      <c r="I8" s="5" t="b">
        <f t="shared" si="0"/>
        <v>0</v>
      </c>
    </row>
    <row r="9" spans="1:9" x14ac:dyDescent="0.35">
      <c r="C9" t="s">
        <v>336</v>
      </c>
      <c r="D9" s="5" t="b">
        <f>rjs!Q27</f>
        <v>0</v>
      </c>
      <c r="E9" s="5" t="b">
        <f t="shared" si="0"/>
        <v>0</v>
      </c>
      <c r="F9" s="5" t="b">
        <f t="shared" si="0"/>
        <v>0</v>
      </c>
      <c r="G9" s="5" t="b">
        <f t="shared" si="0"/>
        <v>0</v>
      </c>
      <c r="H9" s="5" t="b">
        <f t="shared" si="0"/>
        <v>0</v>
      </c>
      <c r="I9" s="5" t="b">
        <f t="shared" si="0"/>
        <v>0</v>
      </c>
    </row>
    <row r="10" spans="1:9" x14ac:dyDescent="0.35">
      <c r="B10" s="5">
        <v>3</v>
      </c>
      <c r="C10" t="s">
        <v>300</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9" x14ac:dyDescent="0.35">
      <c r="B11" s="5">
        <v>4</v>
      </c>
      <c r="C11" t="s">
        <v>301</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9" x14ac:dyDescent="0.35">
      <c r="B12" s="5">
        <v>5</v>
      </c>
      <c r="C12" t="s">
        <v>302</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9" x14ac:dyDescent="0.35">
      <c r="A13" t="s">
        <v>306</v>
      </c>
      <c r="B13" s="5">
        <f>IF(D6="e",3,IF(D6="l",4,5))</f>
        <v>3</v>
      </c>
      <c r="C13" t="s">
        <v>304</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9" x14ac:dyDescent="0.35">
      <c r="B14" s="5">
        <v>6</v>
      </c>
      <c r="C14" t="s">
        <v>305</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9" x14ac:dyDescent="0.35">
      <c r="C15" s="24" t="s">
        <v>307</v>
      </c>
      <c r="D15" s="23"/>
      <c r="E15" s="23"/>
      <c r="F15" s="23"/>
      <c r="G15" s="23"/>
      <c r="H15" s="23"/>
      <c r="I15" s="23"/>
    </row>
    <row r="16" spans="1:9" x14ac:dyDescent="0.35">
      <c r="C16" t="s">
        <v>559</v>
      </c>
      <c r="D16" s="5">
        <f>rjs!P3</f>
        <v>1</v>
      </c>
      <c r="E16" s="5">
        <f>D16</f>
        <v>1</v>
      </c>
      <c r="F16" s="5">
        <f>E16</f>
        <v>1</v>
      </c>
      <c r="G16" s="5">
        <f>F16</f>
        <v>1</v>
      </c>
      <c r="H16" s="5">
        <f>G16</f>
        <v>1</v>
      </c>
      <c r="I16" s="5">
        <f>H16</f>
        <v>1</v>
      </c>
    </row>
    <row r="17" spans="2:9" x14ac:dyDescent="0.35">
      <c r="C17" t="s">
        <v>561</v>
      </c>
      <c r="D17" s="5" t="str">
        <f t="shared" ref="D17:I17" si="1">IF(D78=FALSE,"-",IF(D16=D4,"R x J/S",IF(D38=TRUE,"Phased","True")))</f>
        <v>R x J/S</v>
      </c>
      <c r="E17" s="5" t="str">
        <f t="shared" si="1"/>
        <v>True</v>
      </c>
      <c r="F17" s="5" t="str">
        <f t="shared" si="1"/>
        <v>True</v>
      </c>
      <c r="G17" s="5" t="str">
        <f t="shared" si="1"/>
        <v>True</v>
      </c>
      <c r="H17" s="5" t="str">
        <f t="shared" si="1"/>
        <v>True</v>
      </c>
      <c r="I17" s="5" t="str">
        <f t="shared" si="1"/>
        <v>True</v>
      </c>
    </row>
    <row r="18" spans="2:9" x14ac:dyDescent="0.35">
      <c r="C18" t="s">
        <v>360</v>
      </c>
      <c r="D18" s="15"/>
      <c r="E18" s="15">
        <f>D28</f>
        <v>0</v>
      </c>
      <c r="F18" s="15">
        <f>IF(F16=E4,F40,E28)</f>
        <v>0</v>
      </c>
      <c r="G18" s="15">
        <f>IF(G16=F4,G40,F28)</f>
        <v>0</v>
      </c>
      <c r="H18" s="15">
        <f>IF(H16=G4,H40,G28)</f>
        <v>0</v>
      </c>
      <c r="I18" s="15">
        <f>IF(I16=H4,I40,H28)</f>
        <v>0</v>
      </c>
    </row>
    <row r="19" spans="2:9" x14ac:dyDescent="0.35">
      <c r="C19" t="s">
        <v>312</v>
      </c>
      <c r="E19" s="15">
        <f>E18</f>
        <v>0</v>
      </c>
      <c r="F19" s="15">
        <f>F18</f>
        <v>0</v>
      </c>
      <c r="G19" s="15">
        <f>G18</f>
        <v>0</v>
      </c>
      <c r="H19" s="15">
        <f>H18</f>
        <v>0</v>
      </c>
      <c r="I19" s="15">
        <f>I18</f>
        <v>0</v>
      </c>
    </row>
    <row r="20" spans="2:9" x14ac:dyDescent="0.35">
      <c r="B20" s="5">
        <v>3</v>
      </c>
      <c r="C20" t="s">
        <v>275</v>
      </c>
      <c r="D20" s="5">
        <f>VLOOKUP(D$4,data!$A$53:$C$59,$B20,FALSE)</f>
        <v>0.499</v>
      </c>
      <c r="E20" s="5">
        <f>VLOOKUP(E$4,data!$A$53:$C$59,$B20,FALSE)</f>
        <v>0.499</v>
      </c>
      <c r="F20" s="5">
        <f>VLOOKUP(F$4,data!$A$53:$C$59,$B20,FALSE)</f>
        <v>0.499</v>
      </c>
      <c r="G20" s="5">
        <f>VLOOKUP(G$4,data!$A$53:$C$59,$B20,FALSE)</f>
        <v>0.51900000000000002</v>
      </c>
      <c r="H20" s="5">
        <f>VLOOKUP(H$4,data!$A$53:$C$59,$B20,FALSE)</f>
        <v>0.54</v>
      </c>
      <c r="I20" s="5">
        <f>VLOOKUP(I$4,data!$A$53:$C$59,$B20,FALSE)</f>
        <v>0.56200000000000006</v>
      </c>
    </row>
    <row r="21" spans="2:9" x14ac:dyDescent="0.35">
      <c r="C21" t="s">
        <v>276</v>
      </c>
      <c r="D21" s="5">
        <f t="shared" ref="D21:I21" si="2">D5*D20</f>
        <v>0</v>
      </c>
      <c r="E21" s="5">
        <f t="shared" si="2"/>
        <v>0</v>
      </c>
      <c r="F21" s="5">
        <f t="shared" si="2"/>
        <v>0</v>
      </c>
      <c r="G21" s="5">
        <f t="shared" si="2"/>
        <v>0</v>
      </c>
      <c r="H21" s="5">
        <f t="shared" si="2"/>
        <v>0</v>
      </c>
      <c r="I21" s="5">
        <f t="shared" si="2"/>
        <v>0</v>
      </c>
    </row>
    <row r="22" spans="2:9" x14ac:dyDescent="0.35">
      <c r="C22" t="s">
        <v>277</v>
      </c>
      <c r="D22" s="5" t="str">
        <f t="shared" ref="D22:I22" si="3">IF(D21&gt;D19,"l","w")</f>
        <v>w</v>
      </c>
      <c r="E22" s="5" t="str">
        <f t="shared" si="3"/>
        <v>w</v>
      </c>
      <c r="F22" s="5" t="str">
        <f t="shared" si="3"/>
        <v>w</v>
      </c>
      <c r="G22" s="5" t="str">
        <f t="shared" si="3"/>
        <v>w</v>
      </c>
      <c r="H22" s="5" t="str">
        <f t="shared" si="3"/>
        <v>w</v>
      </c>
      <c r="I22" s="5" t="str">
        <f t="shared" si="3"/>
        <v>w</v>
      </c>
    </row>
    <row r="23" spans="2:9" x14ac:dyDescent="0.35">
      <c r="C23" t="s">
        <v>278</v>
      </c>
      <c r="D23" s="5" t="str">
        <f t="shared" ref="D23:I23" si="4">IF(D5&lt;=D13,"s",IF(D5&lt;=D14,"m","l"))</f>
        <v>s</v>
      </c>
      <c r="E23" s="5" t="str">
        <f t="shared" si="4"/>
        <v>s</v>
      </c>
      <c r="F23" s="5" t="str">
        <f t="shared" si="4"/>
        <v>s</v>
      </c>
      <c r="G23" s="5" t="str">
        <f t="shared" si="4"/>
        <v>s</v>
      </c>
      <c r="H23" s="5" t="str">
        <f t="shared" si="4"/>
        <v>s</v>
      </c>
      <c r="I23" s="5" t="str">
        <f t="shared" si="4"/>
        <v>s</v>
      </c>
    </row>
    <row r="24" spans="2:9" x14ac:dyDescent="0.35">
      <c r="C24" t="s">
        <v>279</v>
      </c>
      <c r="D24" s="5" t="str">
        <f t="shared" ref="D24:I24" si="5">D22&amp;D23</f>
        <v>ws</v>
      </c>
      <c r="E24" s="5" t="str">
        <f t="shared" si="5"/>
        <v>ws</v>
      </c>
      <c r="F24" s="5" t="str">
        <f t="shared" si="5"/>
        <v>ws</v>
      </c>
      <c r="G24" s="5" t="str">
        <f t="shared" si="5"/>
        <v>ws</v>
      </c>
      <c r="H24" s="5" t="str">
        <f t="shared" si="5"/>
        <v>ws</v>
      </c>
      <c r="I24" s="5" t="str">
        <f t="shared" si="5"/>
        <v>ws</v>
      </c>
    </row>
    <row r="25" spans="2:9" x14ac:dyDescent="0.35">
      <c r="C25" t="s">
        <v>313</v>
      </c>
      <c r="D25" s="5">
        <f>HLOOKUP(D24,data!$C$2:$H$10,D4+1,FALSE)</f>
        <v>0</v>
      </c>
      <c r="E25" s="5">
        <f>HLOOKUP(E24,data!$C$2:$H$10,E4+1,FALSE)</f>
        <v>0</v>
      </c>
      <c r="F25" s="5">
        <f>HLOOKUP(F24,data!$C$2:$H$10,F4+1,FALSE)</f>
        <v>0</v>
      </c>
      <c r="G25" s="5">
        <f>HLOOKUP(G24,data!$C$2:$H$10,G4+1,FALSE)</f>
        <v>45</v>
      </c>
      <c r="H25" s="5">
        <f>HLOOKUP(H24,data!$C$2:$H$10,H4+1,FALSE)</f>
        <v>45</v>
      </c>
      <c r="I25" s="5">
        <f>HLOOKUP(I24,data!$C$2:$H$10,I4+1,FALSE)</f>
        <v>0</v>
      </c>
    </row>
    <row r="26" spans="2:9" x14ac:dyDescent="0.35">
      <c r="B26" s="5">
        <v>4</v>
      </c>
      <c r="C26" t="s">
        <v>314</v>
      </c>
      <c r="D26" s="5">
        <f>VLOOKUP(D$4,data!$A$53:$D$60,$B26,FALSE)</f>
        <v>1</v>
      </c>
      <c r="E26" s="5">
        <f>VLOOKUP(E$4,data!$A$53:$D$60,$B26,FALSE)</f>
        <v>1</v>
      </c>
      <c r="F26" s="5">
        <f>VLOOKUP(F$4,data!$A$53:$D$60,$B26,FALSE)</f>
        <v>1</v>
      </c>
      <c r="G26" s="5">
        <f>VLOOKUP(G$4,data!$A$53:$D$60,$B26,FALSE)</f>
        <v>1.04</v>
      </c>
      <c r="H26" s="5">
        <f>VLOOKUP(H$4,data!$A$53:$D$60,$B26,FALSE)</f>
        <v>1.04</v>
      </c>
      <c r="I26" s="5">
        <f>VLOOKUP(I$4,data!$A$53:$D$60,$B26,FALSE)</f>
        <v>1.0409999999999999</v>
      </c>
    </row>
    <row r="27" spans="2:9" x14ac:dyDescent="0.35">
      <c r="C27" t="s">
        <v>280</v>
      </c>
      <c r="D27" s="5">
        <f t="shared" ref="D27:I27" si="6">IF(D25=0,1,D25*D26/100)</f>
        <v>1</v>
      </c>
      <c r="E27" s="5">
        <f t="shared" si="6"/>
        <v>1</v>
      </c>
      <c r="F27" s="5">
        <f t="shared" si="6"/>
        <v>1</v>
      </c>
      <c r="G27" s="5">
        <f t="shared" si="6"/>
        <v>0.46800000000000003</v>
      </c>
      <c r="H27" s="5">
        <f t="shared" si="6"/>
        <v>0.46800000000000003</v>
      </c>
      <c r="I27" s="5">
        <f t="shared" si="6"/>
        <v>1</v>
      </c>
    </row>
    <row r="28" spans="2:9" x14ac:dyDescent="0.35">
      <c r="C28" t="s">
        <v>281</v>
      </c>
      <c r="D28" s="15">
        <f>D41</f>
        <v>0</v>
      </c>
      <c r="E28" s="5">
        <f>E19*E27</f>
        <v>0</v>
      </c>
      <c r="F28" s="5">
        <f>F19*F27</f>
        <v>0</v>
      </c>
      <c r="G28" s="5">
        <f>G19*G27</f>
        <v>0</v>
      </c>
      <c r="H28" s="5">
        <f>H19*H27</f>
        <v>0</v>
      </c>
      <c r="I28" s="5">
        <f>I19*I27</f>
        <v>0</v>
      </c>
    </row>
    <row r="29" spans="2:9" x14ac:dyDescent="0.35">
      <c r="B29" s="5" t="s">
        <v>1075</v>
      </c>
      <c r="C29" t="s">
        <v>282</v>
      </c>
      <c r="D29" s="1218" t="b">
        <v>0</v>
      </c>
      <c r="E29" s="5" t="b">
        <f>E22&lt;&gt;D22</f>
        <v>0</v>
      </c>
      <c r="F29" s="5" t="b">
        <f>F22&lt;&gt;E22</f>
        <v>0</v>
      </c>
      <c r="G29" s="5" t="b">
        <f>G22&lt;&gt;F22</f>
        <v>0</v>
      </c>
      <c r="H29" s="5" t="b">
        <f>H22&lt;&gt;G22</f>
        <v>0</v>
      </c>
      <c r="I29" s="5" t="b">
        <f>I22&lt;&gt;H22</f>
        <v>0</v>
      </c>
    </row>
    <row r="30" spans="2:9" x14ac:dyDescent="0.35">
      <c r="B30" s="5" t="s">
        <v>1076</v>
      </c>
      <c r="C30" t="s">
        <v>1079</v>
      </c>
      <c r="D30" s="5" t="b">
        <f t="shared" ref="D30:I30" si="7">AND(D21&gt;D19,D21&gt;D28)</f>
        <v>0</v>
      </c>
      <c r="E30" s="5" t="b">
        <f t="shared" si="7"/>
        <v>0</v>
      </c>
      <c r="F30" s="5" t="b">
        <f t="shared" si="7"/>
        <v>0</v>
      </c>
      <c r="G30" s="5" t="b">
        <f t="shared" si="7"/>
        <v>0</v>
      </c>
      <c r="H30" s="5" t="b">
        <f t="shared" si="7"/>
        <v>0</v>
      </c>
      <c r="I30" s="5" t="b">
        <f t="shared" si="7"/>
        <v>0</v>
      </c>
    </row>
    <row r="31" spans="2:9" x14ac:dyDescent="0.35">
      <c r="B31" s="5" t="s">
        <v>1077</v>
      </c>
      <c r="C31" t="s">
        <v>1080</v>
      </c>
      <c r="D31" s="5" t="b">
        <f t="shared" ref="D31:I31" si="8">AND(D21&lt;D19,D21&lt;D28)</f>
        <v>0</v>
      </c>
      <c r="E31" s="5" t="b">
        <f t="shared" si="8"/>
        <v>0</v>
      </c>
      <c r="F31" s="5" t="b">
        <f t="shared" si="8"/>
        <v>0</v>
      </c>
      <c r="G31" s="5" t="b">
        <f t="shared" si="8"/>
        <v>0</v>
      </c>
      <c r="H31" s="5" t="b">
        <f t="shared" si="8"/>
        <v>0</v>
      </c>
      <c r="I31" s="5" t="b">
        <f t="shared" si="8"/>
        <v>0</v>
      </c>
    </row>
    <row r="32" spans="2:9" x14ac:dyDescent="0.35">
      <c r="B32" s="5" t="s">
        <v>252</v>
      </c>
      <c r="C32" t="s">
        <v>253</v>
      </c>
      <c r="D32" s="5" t="b">
        <f t="shared" ref="D32:I32" si="9">OR(D30=TRUE,D31=TRUE)</f>
        <v>0</v>
      </c>
      <c r="E32" s="5" t="b">
        <f t="shared" si="9"/>
        <v>0</v>
      </c>
      <c r="F32" s="5" t="b">
        <f t="shared" si="9"/>
        <v>0</v>
      </c>
      <c r="G32" s="5" t="b">
        <f t="shared" si="9"/>
        <v>0</v>
      </c>
      <c r="H32" s="5" t="b">
        <f t="shared" si="9"/>
        <v>0</v>
      </c>
      <c r="I32" s="5" t="b">
        <f t="shared" si="9"/>
        <v>0</v>
      </c>
    </row>
    <row r="33" spans="2:9" x14ac:dyDescent="0.35">
      <c r="B33" s="5" t="s">
        <v>254</v>
      </c>
      <c r="C33" t="s">
        <v>255</v>
      </c>
      <c r="D33" s="1218" t="b">
        <v>1</v>
      </c>
      <c r="E33" s="5" t="b">
        <f>D38</f>
        <v>0</v>
      </c>
      <c r="F33" s="5" t="b">
        <f>E38</f>
        <v>0</v>
      </c>
      <c r="G33" s="5" t="b">
        <f>F38</f>
        <v>0</v>
      </c>
      <c r="H33" s="5" t="b">
        <f>G38</f>
        <v>0</v>
      </c>
      <c r="I33" s="5" t="b">
        <f>H38</f>
        <v>0</v>
      </c>
    </row>
    <row r="34" spans="2:9" x14ac:dyDescent="0.35">
      <c r="B34" s="5" t="s">
        <v>256</v>
      </c>
      <c r="C34" t="s">
        <v>259</v>
      </c>
      <c r="D34" s="5" t="b">
        <f t="shared" ref="D34:I34" si="10">D25&lt;&gt;0</f>
        <v>0</v>
      </c>
      <c r="E34" s="5" t="b">
        <f t="shared" si="10"/>
        <v>0</v>
      </c>
      <c r="F34" s="5" t="b">
        <f t="shared" si="10"/>
        <v>0</v>
      </c>
      <c r="G34" s="5" t="b">
        <f t="shared" si="10"/>
        <v>1</v>
      </c>
      <c r="H34" s="5" t="b">
        <f t="shared" si="10"/>
        <v>1</v>
      </c>
      <c r="I34" s="5" t="b">
        <f t="shared" si="10"/>
        <v>0</v>
      </c>
    </row>
    <row r="35" spans="2:9" x14ac:dyDescent="0.35">
      <c r="B35" s="5" t="s">
        <v>257</v>
      </c>
      <c r="C35" t="s">
        <v>1099</v>
      </c>
      <c r="D35" s="1022" t="b">
        <v>1</v>
      </c>
      <c r="E35" s="1022" t="b">
        <f>D35</f>
        <v>1</v>
      </c>
      <c r="F35" s="1022" t="b">
        <f>E35</f>
        <v>1</v>
      </c>
      <c r="G35" s="1022" t="b">
        <f>F35</f>
        <v>1</v>
      </c>
      <c r="H35" s="1022" t="b">
        <f>G35</f>
        <v>1</v>
      </c>
      <c r="I35" s="1022" t="b">
        <f>H35</f>
        <v>1</v>
      </c>
    </row>
    <row r="36" spans="2:9" x14ac:dyDescent="0.35">
      <c r="B36" s="5" t="s">
        <v>258</v>
      </c>
      <c r="C36" t="s">
        <v>261</v>
      </c>
      <c r="D36" s="5" t="b">
        <f t="shared" ref="D36:I36" si="11">D5&gt;0</f>
        <v>0</v>
      </c>
      <c r="E36" s="5" t="b">
        <f t="shared" si="11"/>
        <v>0</v>
      </c>
      <c r="F36" s="5" t="b">
        <f t="shared" si="11"/>
        <v>0</v>
      </c>
      <c r="G36" s="5" t="b">
        <f t="shared" si="11"/>
        <v>0</v>
      </c>
      <c r="H36" s="5" t="b">
        <f t="shared" si="11"/>
        <v>0</v>
      </c>
      <c r="I36" s="5" t="b">
        <f t="shared" si="11"/>
        <v>0</v>
      </c>
    </row>
    <row r="37" spans="2:9" x14ac:dyDescent="0.35">
      <c r="B37" s="5" t="s">
        <v>2162</v>
      </c>
      <c r="C37" t="s">
        <v>1100</v>
      </c>
      <c r="D37" s="5" t="b">
        <v>0</v>
      </c>
      <c r="E37" s="5" t="b">
        <v>0</v>
      </c>
      <c r="F37" s="5" t="b">
        <v>0</v>
      </c>
      <c r="G37" s="5" t="b">
        <v>0</v>
      </c>
      <c r="H37" s="5" t="b">
        <v>0</v>
      </c>
      <c r="I37" s="5" t="b">
        <v>0</v>
      </c>
    </row>
    <row r="38" spans="2:9" x14ac:dyDescent="0.35">
      <c r="C38" t="s">
        <v>283</v>
      </c>
      <c r="D38" s="5" t="b">
        <f>D41&lt;&gt;D21</f>
        <v>0</v>
      </c>
      <c r="E38" s="5" t="b">
        <f>AND(E29=FALSE,E32=TRUE,E33=TRUE,E34=TRUE,E35=TRUE,E36=TRUE,E37=FALSE)</f>
        <v>0</v>
      </c>
      <c r="F38" s="5" t="b">
        <f>AND(F29=FALSE,F32=TRUE,F33=TRUE,F34=TRUE,F35=TRUE,F36=TRUE,F37=FALSE)</f>
        <v>0</v>
      </c>
      <c r="G38" s="5" t="b">
        <f>AND(G29=FALSE,G32=TRUE,G33=TRUE,G34=TRUE,G35=TRUE,G36=TRUE,G37=FALSE)</f>
        <v>0</v>
      </c>
      <c r="H38" s="5" t="b">
        <f>AND(H29=FALSE,H32=TRUE,H33=TRUE,H34=TRUE,H35=TRUE,H36=TRUE,H37=FALSE)</f>
        <v>0</v>
      </c>
      <c r="I38" s="5" t="b">
        <f>AND(I29=FALSE,I32=TRUE,I33=TRUE,I34=TRUE,I35=TRUE,I36=TRUE,I37=FALSE)</f>
        <v>0</v>
      </c>
    </row>
    <row r="39" spans="2:9" x14ac:dyDescent="0.35">
      <c r="C39" t="s">
        <v>1098</v>
      </c>
      <c r="D39" s="15">
        <f t="shared" ref="D39:I39" si="12">IF(D38=TRUE,D28,D21)</f>
        <v>0</v>
      </c>
      <c r="E39" s="15">
        <f t="shared" si="12"/>
        <v>0</v>
      </c>
      <c r="F39" s="15">
        <f t="shared" si="12"/>
        <v>0</v>
      </c>
      <c r="G39" s="15">
        <f t="shared" si="12"/>
        <v>0</v>
      </c>
      <c r="H39" s="15">
        <f t="shared" si="12"/>
        <v>0</v>
      </c>
      <c r="I39" s="15">
        <f t="shared" si="12"/>
        <v>0</v>
      </c>
    </row>
    <row r="40" spans="2:9" x14ac:dyDescent="0.35">
      <c r="C40" t="s">
        <v>1097</v>
      </c>
      <c r="D40" s="15">
        <f>rjs!G30</f>
        <v>0</v>
      </c>
      <c r="E40" s="15">
        <f>D40</f>
        <v>0</v>
      </c>
      <c r="F40" s="15">
        <f>E40</f>
        <v>0</v>
      </c>
      <c r="G40" s="15">
        <f>F40</f>
        <v>0</v>
      </c>
      <c r="H40" s="15">
        <f>G40</f>
        <v>0</v>
      </c>
      <c r="I40" s="15">
        <f>H40</f>
        <v>0</v>
      </c>
    </row>
    <row r="41" spans="2:9" x14ac:dyDescent="0.35">
      <c r="B41" s="5" t="s">
        <v>421</v>
      </c>
      <c r="C41" t="s">
        <v>316</v>
      </c>
      <c r="D41" s="1198">
        <f t="shared" ref="D41:I41" si="13">IF(D16&gt;D4,0,IF(D16=D4,D40-(D5*D43),D39))</f>
        <v>0</v>
      </c>
      <c r="E41" s="1198">
        <f t="shared" si="13"/>
        <v>0</v>
      </c>
      <c r="F41" s="1198">
        <f t="shared" si="13"/>
        <v>0</v>
      </c>
      <c r="G41" s="1198">
        <f t="shared" si="13"/>
        <v>0</v>
      </c>
      <c r="H41" s="1198">
        <f t="shared" si="13"/>
        <v>0</v>
      </c>
      <c r="I41" s="1198">
        <f t="shared" si="13"/>
        <v>0</v>
      </c>
    </row>
    <row r="42" spans="2:9" x14ac:dyDescent="0.35">
      <c r="C42" t="s">
        <v>2156</v>
      </c>
      <c r="D42" s="5" t="str">
        <f>IF(D38=FALSE,"ta",IF(D22="w","tp","tr"))</f>
        <v>ta</v>
      </c>
    </row>
    <row r="43" spans="2:9" x14ac:dyDescent="0.35">
      <c r="B43" s="5">
        <v>6</v>
      </c>
      <c r="C43" t="s">
        <v>638</v>
      </c>
      <c r="D43" s="5">
        <f>VLOOKUP(D$4,data!$A$33:$F$40,$B43,FALSE)</f>
        <v>1.2999999999999999E-2</v>
      </c>
      <c r="E43" s="5">
        <f>VLOOKUP(E$4,data!$A$33:$F$40,$B43,FALSE)</f>
        <v>4.7000000000000042E-2</v>
      </c>
      <c r="F43" s="5">
        <f>VLOOKUP(F$4,data!$A$33:$F$40,$B43,FALSE)</f>
        <v>5.600000000000005E-2</v>
      </c>
      <c r="G43" s="5">
        <f>VLOOKUP(G$4,data!$A$33:$F$40,$B43,FALSE)</f>
        <v>5.600000000000005E-2</v>
      </c>
      <c r="H43" s="5">
        <f>VLOOKUP(H$4,data!$A$33:$F$40,$B43,FALSE)</f>
        <v>5.600000000000005E-2</v>
      </c>
      <c r="I43" s="5">
        <f>VLOOKUP(I$4,data!$A$33:$F$40,$B43,FALSE)</f>
        <v>5.600000000000005E-2</v>
      </c>
    </row>
    <row r="44" spans="2:9" x14ac:dyDescent="0.35">
      <c r="C44" t="s">
        <v>640</v>
      </c>
      <c r="D44" s="5" t="b">
        <f>IF(OR(D7=TRUE,D8=TRUE),TRUE,IF(D5&lt;D12,FALSE,TRUE))</f>
        <v>0</v>
      </c>
      <c r="E44" s="5" t="b">
        <f>IF(E5&lt;E12,FALSE,TRUE)</f>
        <v>0</v>
      </c>
      <c r="F44" s="5" t="b">
        <f>IF(F5&lt;F12,FALSE,TRUE)</f>
        <v>0</v>
      </c>
      <c r="G44" s="5" t="b">
        <f>IF(G5&lt;G12,FALSE,TRUE)</f>
        <v>0</v>
      </c>
      <c r="H44" s="5" t="b">
        <f>IF(H5&lt;H12,FALSE,TRUE)</f>
        <v>0</v>
      </c>
      <c r="I44" s="5" t="b">
        <f>IF(I5&lt;I12,FALSE,TRUE)</f>
        <v>0</v>
      </c>
    </row>
    <row r="45" spans="2:9" x14ac:dyDescent="0.35">
      <c r="C45" t="s">
        <v>641</v>
      </c>
      <c r="D45" s="5">
        <f t="shared" ref="D45:I45" si="14">D5*D43*D44</f>
        <v>0</v>
      </c>
      <c r="E45" s="5">
        <f t="shared" si="14"/>
        <v>0</v>
      </c>
      <c r="F45" s="5">
        <f t="shared" si="14"/>
        <v>0</v>
      </c>
      <c r="G45" s="5">
        <f t="shared" si="14"/>
        <v>0</v>
      </c>
      <c r="H45" s="5">
        <f t="shared" si="14"/>
        <v>0</v>
      </c>
      <c r="I45" s="5">
        <f t="shared" si="14"/>
        <v>0</v>
      </c>
    </row>
    <row r="46" spans="2:9" x14ac:dyDescent="0.35">
      <c r="B46" s="2291">
        <f>IF(D5&lt;D12,11,5)</f>
        <v>11</v>
      </c>
      <c r="C46" t="s">
        <v>642</v>
      </c>
      <c r="D46" s="5">
        <f>VLOOKUP(D$4,data!$A$53:$K$59,$B46,FALSE)</f>
        <v>1.4E-2</v>
      </c>
      <c r="E46" s="5">
        <f>VLOOKUP(E$4,data!$A$53:$K$59,$B46,FALSE)</f>
        <v>1.6E-2</v>
      </c>
      <c r="F46" s="5">
        <f>VLOOKUP(F$4,data!$A$53:$K$59,$B46,FALSE)</f>
        <v>0.02</v>
      </c>
      <c r="G46" s="5">
        <f>VLOOKUP(G$4,data!$A$53:$K$59,$B46,FALSE)</f>
        <v>0</v>
      </c>
      <c r="H46" s="5">
        <f>VLOOKUP(H$4,data!$A$53:$K$59,$B46,FALSE)</f>
        <v>0</v>
      </c>
      <c r="I46" s="5">
        <f>VLOOKUP(I$4,data!$A$53:$K$59,$B46,FALSE)</f>
        <v>0</v>
      </c>
    </row>
    <row r="47" spans="2:9" x14ac:dyDescent="0.35">
      <c r="C47" t="s">
        <v>643</v>
      </c>
      <c r="D47" s="5" t="b">
        <f t="shared" ref="D47:I47" si="15">D6="c"</f>
        <v>0</v>
      </c>
      <c r="E47" s="5" t="b">
        <f t="shared" si="15"/>
        <v>0</v>
      </c>
      <c r="F47" s="5" t="b">
        <f t="shared" si="15"/>
        <v>0</v>
      </c>
      <c r="G47" s="5" t="b">
        <f t="shared" si="15"/>
        <v>0</v>
      </c>
      <c r="H47" s="5" t="b">
        <f t="shared" si="15"/>
        <v>0</v>
      </c>
      <c r="I47" s="5" t="b">
        <f t="shared" si="15"/>
        <v>0</v>
      </c>
    </row>
    <row r="48" spans="2:9" x14ac:dyDescent="0.35">
      <c r="C48" t="s">
        <v>644</v>
      </c>
      <c r="D48" s="5">
        <f t="shared" ref="D48:I48" si="16">D5*D46*D47</f>
        <v>0</v>
      </c>
      <c r="E48" s="5">
        <f t="shared" si="16"/>
        <v>0</v>
      </c>
      <c r="F48" s="5">
        <f t="shared" si="16"/>
        <v>0</v>
      </c>
      <c r="G48" s="5">
        <f t="shared" si="16"/>
        <v>0</v>
      </c>
      <c r="H48" s="5">
        <f t="shared" si="16"/>
        <v>0</v>
      </c>
      <c r="I48" s="5">
        <f t="shared" si="16"/>
        <v>0</v>
      </c>
    </row>
    <row r="49" spans="1:9" x14ac:dyDescent="0.35">
      <c r="B49" s="5">
        <v>6</v>
      </c>
      <c r="C49" t="s">
        <v>645</v>
      </c>
      <c r="D49" s="5">
        <f>VLOOKUP(D$4,data!$A$53:$G$59,$B49,FALSE)</f>
        <v>0.02</v>
      </c>
      <c r="E49" s="5">
        <f>VLOOKUP(E$4,data!$A$53:$G$59,$B49,FALSE)</f>
        <v>0.02</v>
      </c>
      <c r="F49" s="5">
        <f>VLOOKUP(F$4,data!$A$53:$G$59,$B49,FALSE)</f>
        <v>0.02</v>
      </c>
      <c r="G49" s="5">
        <f>VLOOKUP(G$4,data!$A$53:$G$59,$B49,FALSE)</f>
        <v>0.02</v>
      </c>
      <c r="H49" s="5">
        <f>VLOOKUP(H$4,data!$A$53:$G$59,$B49,FALSE)</f>
        <v>0.02</v>
      </c>
      <c r="I49" s="5">
        <f>VLOOKUP(I$4,data!$A$53:$G$59,$B49,FALSE)</f>
        <v>0.02</v>
      </c>
    </row>
    <row r="50" spans="1:9" x14ac:dyDescent="0.35">
      <c r="B50" s="5">
        <v>7</v>
      </c>
      <c r="C50" t="s">
        <v>322</v>
      </c>
      <c r="D50" s="5">
        <f>VLOOKUP(D$4,data!$A$53:$G$59,$B50,FALSE)</f>
        <v>75000</v>
      </c>
      <c r="E50" s="5">
        <f>VLOOKUP(E$4,data!$A$53:$G$59,$B50,FALSE)</f>
        <v>75000</v>
      </c>
      <c r="F50" s="5">
        <f>VLOOKUP(F$4,data!$A$53:$G$59,$B50,FALSE)</f>
        <v>75000</v>
      </c>
      <c r="G50" s="5">
        <f>VLOOKUP(G$4,data!$A$53:$G$59,$B50,FALSE)</f>
        <v>75000</v>
      </c>
      <c r="H50" s="5">
        <f>VLOOKUP(H$4,data!$A$53:$G$59,$B50,FALSE)</f>
        <v>75000</v>
      </c>
      <c r="I50" s="5">
        <f>VLOOKUP(I$4,data!$A$53:$G$59,$B50,FALSE)</f>
        <v>75000</v>
      </c>
    </row>
    <row r="51" spans="1:9" x14ac:dyDescent="0.35">
      <c r="A51" t="s">
        <v>2410</v>
      </c>
      <c r="B51" s="12" t="str">
        <f>IF(D51=TRUE,"Crossrail","")</f>
        <v/>
      </c>
      <c r="C51" t="s">
        <v>646</v>
      </c>
      <c r="D51" s="5" t="b">
        <f t="shared" ref="D51:I51" si="17">AND(D6&lt;&gt;"e",D5&gt;D50)</f>
        <v>0</v>
      </c>
      <c r="E51" s="5" t="b">
        <f t="shared" si="17"/>
        <v>0</v>
      </c>
      <c r="F51" s="5" t="b">
        <f t="shared" si="17"/>
        <v>0</v>
      </c>
      <c r="G51" s="5" t="b">
        <f t="shared" si="17"/>
        <v>0</v>
      </c>
      <c r="H51" s="5" t="b">
        <f t="shared" si="17"/>
        <v>0</v>
      </c>
      <c r="I51" s="5" t="b">
        <f t="shared" si="17"/>
        <v>0</v>
      </c>
    </row>
    <row r="52" spans="1:9" x14ac:dyDescent="0.35">
      <c r="C52" t="s">
        <v>652</v>
      </c>
      <c r="D52" s="5">
        <f t="shared" ref="D52:I52" si="18">D5*D49*D51</f>
        <v>0</v>
      </c>
      <c r="E52" s="5">
        <f t="shared" si="18"/>
        <v>0</v>
      </c>
      <c r="F52" s="5">
        <f t="shared" si="18"/>
        <v>0</v>
      </c>
      <c r="G52" s="5">
        <f t="shared" si="18"/>
        <v>0</v>
      </c>
      <c r="H52" s="5">
        <f t="shared" si="18"/>
        <v>0</v>
      </c>
      <c r="I52" s="5">
        <f t="shared" si="18"/>
        <v>0</v>
      </c>
    </row>
    <row r="53" spans="1:9" x14ac:dyDescent="0.35">
      <c r="C53" t="s">
        <v>325</v>
      </c>
      <c r="D53" s="5">
        <f t="shared" ref="D53:I53" si="19">(D11-D10)/(D5-D10)</f>
        <v>-0.25</v>
      </c>
      <c r="E53" s="5">
        <f t="shared" si="19"/>
        <v>-0.25</v>
      </c>
      <c r="F53" s="5">
        <f t="shared" si="19"/>
        <v>-0.25</v>
      </c>
      <c r="G53" s="5">
        <f t="shared" si="19"/>
        <v>-0.25</v>
      </c>
      <c r="H53" s="5">
        <f t="shared" si="19"/>
        <v>-0.25</v>
      </c>
      <c r="I53" s="5">
        <f t="shared" si="19"/>
        <v>-0.25</v>
      </c>
    </row>
    <row r="54" spans="1:9" x14ac:dyDescent="0.35">
      <c r="C54" t="s">
        <v>326</v>
      </c>
      <c r="D54" s="5">
        <f t="shared" ref="D54:I54" si="20">IF(MID(D53,6,1)="5",-0.0001,0)</f>
        <v>0</v>
      </c>
      <c r="E54" s="5">
        <f t="shared" si="20"/>
        <v>0</v>
      </c>
      <c r="F54" s="5">
        <f t="shared" si="20"/>
        <v>0</v>
      </c>
      <c r="G54" s="5">
        <f t="shared" si="20"/>
        <v>0</v>
      </c>
      <c r="H54" s="5">
        <f t="shared" si="20"/>
        <v>0</v>
      </c>
      <c r="I54" s="5">
        <f t="shared" si="20"/>
        <v>0</v>
      </c>
    </row>
    <row r="55" spans="1:9" x14ac:dyDescent="0.35">
      <c r="C55" t="s">
        <v>327</v>
      </c>
      <c r="D55" s="5">
        <f t="shared" ref="D55:I55" si="21">IF(D60=FALSE,1,IF(D5&lt;=D10,5000000,IF(D5&gt;=D11,1,ROUND((D53+D54),3))))</f>
        <v>1</v>
      </c>
      <c r="E55" s="5">
        <f t="shared" si="21"/>
        <v>1</v>
      </c>
      <c r="F55" s="5">
        <f t="shared" si="21"/>
        <v>1</v>
      </c>
      <c r="G55" s="5">
        <f t="shared" si="21"/>
        <v>1</v>
      </c>
      <c r="H55" s="5">
        <f t="shared" si="21"/>
        <v>1</v>
      </c>
      <c r="I55" s="5">
        <f t="shared" si="21"/>
        <v>1</v>
      </c>
    </row>
    <row r="56" spans="1:9" x14ac:dyDescent="0.35">
      <c r="C56" t="s">
        <v>328</v>
      </c>
      <c r="D56" s="5" t="b">
        <f t="shared" ref="D56:I56" si="22">D9</f>
        <v>0</v>
      </c>
      <c r="E56" s="5" t="b">
        <f t="shared" si="22"/>
        <v>0</v>
      </c>
      <c r="F56" s="5" t="b">
        <f t="shared" si="22"/>
        <v>0</v>
      </c>
      <c r="G56" s="5" t="b">
        <f t="shared" si="22"/>
        <v>0</v>
      </c>
      <c r="H56" s="5" t="b">
        <f t="shared" si="22"/>
        <v>0</v>
      </c>
      <c r="I56" s="5" t="b">
        <f t="shared" si="22"/>
        <v>0</v>
      </c>
    </row>
    <row r="57" spans="1:9" x14ac:dyDescent="0.35">
      <c r="C57" t="s">
        <v>329</v>
      </c>
      <c r="D57" s="5" t="b">
        <f t="shared" ref="D57:I57" si="23">D5&lt;D11</f>
        <v>1</v>
      </c>
      <c r="E57" s="5" t="b">
        <f t="shared" si="23"/>
        <v>1</v>
      </c>
      <c r="F57" s="5" t="b">
        <f t="shared" si="23"/>
        <v>1</v>
      </c>
      <c r="G57" s="5" t="b">
        <f t="shared" si="23"/>
        <v>1</v>
      </c>
      <c r="H57" s="5" t="b">
        <f t="shared" si="23"/>
        <v>1</v>
      </c>
      <c r="I57" s="5" t="b">
        <f t="shared" si="23"/>
        <v>1</v>
      </c>
    </row>
    <row r="58" spans="1:9" x14ac:dyDescent="0.35">
      <c r="C58" t="s">
        <v>330</v>
      </c>
      <c r="D58" s="5" t="b">
        <f t="shared" ref="D58:I59" si="24">D7=FALSE</f>
        <v>1</v>
      </c>
      <c r="E58" s="5" t="b">
        <f t="shared" si="24"/>
        <v>1</v>
      </c>
      <c r="F58" s="5" t="b">
        <f t="shared" si="24"/>
        <v>1</v>
      </c>
      <c r="G58" s="5" t="b">
        <f t="shared" si="24"/>
        <v>1</v>
      </c>
      <c r="H58" s="5" t="b">
        <f t="shared" si="24"/>
        <v>1</v>
      </c>
      <c r="I58" s="5" t="b">
        <f t="shared" si="24"/>
        <v>1</v>
      </c>
    </row>
    <row r="59" spans="1:9" x14ac:dyDescent="0.35">
      <c r="C59" t="s">
        <v>331</v>
      </c>
      <c r="D59" s="5" t="b">
        <f t="shared" si="24"/>
        <v>1</v>
      </c>
      <c r="E59" s="5" t="b">
        <f t="shared" si="24"/>
        <v>1</v>
      </c>
      <c r="F59" s="5" t="b">
        <f t="shared" si="24"/>
        <v>1</v>
      </c>
      <c r="G59" s="5" t="b">
        <f t="shared" si="24"/>
        <v>1</v>
      </c>
      <c r="H59" s="5" t="b">
        <f t="shared" si="24"/>
        <v>1</v>
      </c>
      <c r="I59" s="5" t="b">
        <f t="shared" si="24"/>
        <v>1</v>
      </c>
    </row>
    <row r="60" spans="1:9" x14ac:dyDescent="0.35">
      <c r="C60" t="s">
        <v>332</v>
      </c>
      <c r="D60" s="5" t="b">
        <f t="shared" ref="D60:I60" si="25">D56+D57+D58+D59=4</f>
        <v>0</v>
      </c>
      <c r="E60" s="5" t="b">
        <f t="shared" si="25"/>
        <v>0</v>
      </c>
      <c r="F60" s="5" t="b">
        <f t="shared" si="25"/>
        <v>0</v>
      </c>
      <c r="G60" s="5" t="b">
        <f t="shared" si="25"/>
        <v>0</v>
      </c>
      <c r="H60" s="5" t="b">
        <f t="shared" si="25"/>
        <v>0</v>
      </c>
      <c r="I60" s="5" t="b">
        <f t="shared" si="25"/>
        <v>0</v>
      </c>
    </row>
    <row r="61" spans="1:9" x14ac:dyDescent="0.35">
      <c r="B61" s="5">
        <f>basic!W28</f>
        <v>1</v>
      </c>
      <c r="C61" t="s">
        <v>653</v>
      </c>
      <c r="D61" s="5" t="str">
        <f>INDEX(authorities!$A:$A,$B$61)</f>
        <v>Enter Levying Authority</v>
      </c>
      <c r="E61" s="5" t="str">
        <f>INDEX(authorities!$A:$A,$B$61)</f>
        <v>Enter Levying Authority</v>
      </c>
      <c r="F61" s="5" t="str">
        <f>INDEX(authorities!$A:$A,$B$61)</f>
        <v>Enter Levying Authority</v>
      </c>
      <c r="G61" s="5" t="str">
        <f>INDEX(authorities!$A:$A,$B$61)</f>
        <v>Enter Levying Authority</v>
      </c>
      <c r="H61" s="5" t="str">
        <f>INDEX(authorities!$A:$A,$B$61)</f>
        <v>Enter Levying Authority</v>
      </c>
      <c r="I61" s="5" t="str">
        <f>INDEX(authorities!$A:$A,$B$61)</f>
        <v>Enter Levying Authority</v>
      </c>
    </row>
    <row r="62" spans="1:9" x14ac:dyDescent="0.35">
      <c r="C62" t="s">
        <v>648</v>
      </c>
      <c r="D62" s="5">
        <f>IF($B$61&gt;1,VLOOKUP(D61,authorities!$A:$H,D4+1,FALSE),0)</f>
        <v>0</v>
      </c>
      <c r="E62" s="5">
        <f>IF($B$61&gt;1,VLOOKUP(E61,authorities!$A:$H,E4+1,FALSE),0)</f>
        <v>0</v>
      </c>
      <c r="F62" s="5">
        <f>IF($B$61&gt;1,VLOOKUP(F61,authorities!$A:$H,F4+1,FALSE),0)</f>
        <v>0</v>
      </c>
      <c r="G62" s="5">
        <f>IF($B$61&gt;1,VLOOKUP(G61,authorities!$A:$H,G4+1,FALSE),0)</f>
        <v>0</v>
      </c>
      <c r="H62" s="5">
        <f>IF($B$61&gt;1,VLOOKUP(H61,authorities!$A:$H,H4+1,FALSE),0)</f>
        <v>0</v>
      </c>
      <c r="I62" s="5">
        <f>IF($B$61&gt;1,VLOOKUP(I61,authorities!$A:$H,I4+1,FALSE),0)</f>
        <v>0</v>
      </c>
    </row>
    <row r="63" spans="1:9" x14ac:dyDescent="0.35">
      <c r="B63" s="5">
        <f>COLUMN(authorities!I1)</f>
        <v>9</v>
      </c>
      <c r="C63" t="s">
        <v>649</v>
      </c>
      <c r="D63" s="5" t="str">
        <f>VLOOKUP(D61,authorities!$A:$I,$B$63,FALSE)</f>
        <v>RV limit</v>
      </c>
      <c r="E63" s="5" t="str">
        <f>VLOOKUP(E61,authorities!$A:$I,$B$63,FALSE)</f>
        <v>RV limit</v>
      </c>
      <c r="F63" s="5" t="str">
        <f>VLOOKUP(F61,authorities!$A:$I,$B$63,FALSE)</f>
        <v>RV limit</v>
      </c>
      <c r="G63" s="5" t="str">
        <f>VLOOKUP(G61,authorities!$A:$I,$B$63,FALSE)</f>
        <v>RV limit</v>
      </c>
      <c r="H63" s="5" t="str">
        <f>VLOOKUP(H61,authorities!$A:$I,$B$63,FALSE)</f>
        <v>RV limit</v>
      </c>
      <c r="I63" s="5" t="str">
        <f>VLOOKUP(I61,authorities!$A:$I,$B$63,FALSE)</f>
        <v>RV limit</v>
      </c>
    </row>
    <row r="64" spans="1:9" x14ac:dyDescent="0.35">
      <c r="A64" t="s">
        <v>2410</v>
      </c>
      <c r="B64" s="12" t="str">
        <f>IF(D64=TRUE,D61,"")</f>
        <v/>
      </c>
      <c r="C64" t="s">
        <v>650</v>
      </c>
      <c r="D64" s="5" t="b">
        <f t="shared" ref="D64:I64" si="26">D5&gt;D63</f>
        <v>0</v>
      </c>
      <c r="E64" s="5" t="b">
        <f t="shared" si="26"/>
        <v>0</v>
      </c>
      <c r="F64" s="5" t="b">
        <f t="shared" si="26"/>
        <v>0</v>
      </c>
      <c r="G64" s="5" t="b">
        <f t="shared" si="26"/>
        <v>0</v>
      </c>
      <c r="H64" s="5" t="b">
        <f t="shared" si="26"/>
        <v>0</v>
      </c>
      <c r="I64" s="5" t="b">
        <f t="shared" si="26"/>
        <v>0</v>
      </c>
    </row>
    <row r="65" spans="2:9" x14ac:dyDescent="0.35">
      <c r="C65" t="s">
        <v>651</v>
      </c>
      <c r="D65" s="5">
        <f t="shared" ref="D65:I65" si="27">D5*D62*D64</f>
        <v>0</v>
      </c>
      <c r="E65" s="5">
        <f t="shared" si="27"/>
        <v>0</v>
      </c>
      <c r="F65" s="5">
        <f t="shared" si="27"/>
        <v>0</v>
      </c>
      <c r="G65" s="5">
        <f t="shared" si="27"/>
        <v>0</v>
      </c>
      <c r="H65" s="5">
        <f t="shared" si="27"/>
        <v>0</v>
      </c>
      <c r="I65" s="5">
        <f t="shared" si="27"/>
        <v>0</v>
      </c>
    </row>
    <row r="66" spans="2:9" x14ac:dyDescent="0.35">
      <c r="B66" s="5">
        <v>3</v>
      </c>
      <c r="C66" t="s">
        <v>291</v>
      </c>
      <c r="D66" s="5">
        <f>VLOOKUP(D$4,data!$A$13:$C$19,$B66,FALSE)</f>
        <v>366</v>
      </c>
      <c r="E66" s="5">
        <f>VLOOKUP(E$4,data!$A$13:$C$19,$B66,FALSE)</f>
        <v>365</v>
      </c>
      <c r="F66" s="5">
        <f>VLOOKUP(F$4,data!$A$13:$C$19,$B66,FALSE)</f>
        <v>365</v>
      </c>
      <c r="G66" s="5">
        <f>VLOOKUP(G$4,data!$A$13:$C$19,$B66,FALSE)</f>
        <v>365</v>
      </c>
      <c r="H66" s="5">
        <f>VLOOKUP(H$4,data!$A$13:$C$19,$B66,FALSE)</f>
        <v>366</v>
      </c>
      <c r="I66" s="5">
        <f>VLOOKUP(I$4,data!$A$13:$C$19,$B66,FALSE)</f>
        <v>365</v>
      </c>
    </row>
    <row r="67" spans="2:9" x14ac:dyDescent="0.35">
      <c r="C67" t="s">
        <v>324</v>
      </c>
      <c r="D67" s="5">
        <f t="shared" ref="D67:I67" si="28">D81</f>
        <v>366</v>
      </c>
      <c r="E67" s="5">
        <f t="shared" si="28"/>
        <v>365</v>
      </c>
      <c r="F67" s="5">
        <f t="shared" si="28"/>
        <v>365</v>
      </c>
      <c r="G67" s="5">
        <f t="shared" si="28"/>
        <v>365</v>
      </c>
      <c r="H67" s="5">
        <f t="shared" si="28"/>
        <v>366</v>
      </c>
      <c r="I67" s="5">
        <f t="shared" si="28"/>
        <v>365</v>
      </c>
    </row>
    <row r="68" spans="2:9" x14ac:dyDescent="0.35">
      <c r="C68" t="s">
        <v>377</v>
      </c>
      <c r="D68" s="5">
        <f t="shared" ref="D68:I68" ca="1" si="29">(D41+D45+D48+D52+D65)/D55*D70</f>
        <v>0</v>
      </c>
      <c r="E68" s="5">
        <f t="shared" ca="1" si="29"/>
        <v>0</v>
      </c>
      <c r="F68" s="5">
        <f t="shared" ca="1" si="29"/>
        <v>0</v>
      </c>
      <c r="G68" s="5">
        <f t="shared" ca="1" si="29"/>
        <v>0</v>
      </c>
      <c r="H68" s="5">
        <f t="shared" ca="1" si="29"/>
        <v>0</v>
      </c>
      <c r="I68" s="5">
        <f t="shared" ca="1" si="29"/>
        <v>0</v>
      </c>
    </row>
    <row r="69" spans="2:9" x14ac:dyDescent="0.35">
      <c r="C69" t="s">
        <v>375</v>
      </c>
      <c r="D69" s="5">
        <f t="shared" ref="D69:I69" ca="1" si="30">D68/D66</f>
        <v>0</v>
      </c>
      <c r="E69" s="5">
        <f t="shared" ca="1" si="30"/>
        <v>0</v>
      </c>
      <c r="F69" s="5">
        <f t="shared" ca="1" si="30"/>
        <v>0</v>
      </c>
      <c r="G69" s="5">
        <f t="shared" ca="1" si="30"/>
        <v>0</v>
      </c>
      <c r="H69" s="5">
        <f t="shared" ca="1" si="30"/>
        <v>0</v>
      </c>
      <c r="I69" s="5">
        <f t="shared" ca="1" si="30"/>
        <v>0</v>
      </c>
    </row>
    <row r="70" spans="2:9" x14ac:dyDescent="0.35">
      <c r="C70" t="s">
        <v>647</v>
      </c>
      <c r="D70" s="5" t="b">
        <f ca="1">codes!J29</f>
        <v>1</v>
      </c>
      <c r="E70" s="5" t="b">
        <f ca="1">codes!J30</f>
        <v>1</v>
      </c>
      <c r="F70" s="5" t="b">
        <f ca="1">codes!J31</f>
        <v>1</v>
      </c>
      <c r="G70" s="5" t="b">
        <f ca="1">codes!J32</f>
        <v>1</v>
      </c>
      <c r="H70" s="5" t="b">
        <f ca="1">codes!J33</f>
        <v>1</v>
      </c>
      <c r="I70" s="5" t="b">
        <f ca="1">codes!J34</f>
        <v>1</v>
      </c>
    </row>
    <row r="72" spans="2:9" x14ac:dyDescent="0.35">
      <c r="C72" s="9" t="s">
        <v>341</v>
      </c>
    </row>
    <row r="73" spans="2:9" x14ac:dyDescent="0.35">
      <c r="C73" t="s">
        <v>342</v>
      </c>
      <c r="D73" s="13">
        <f>rjs!G18</f>
        <v>0</v>
      </c>
      <c r="E73" s="13">
        <f>D73</f>
        <v>0</v>
      </c>
      <c r="F73" s="13">
        <f>E73</f>
        <v>0</v>
      </c>
      <c r="G73" s="13">
        <f>F73</f>
        <v>0</v>
      </c>
      <c r="H73" s="13">
        <f>G73</f>
        <v>0</v>
      </c>
      <c r="I73" s="13">
        <f>H73</f>
        <v>0</v>
      </c>
    </row>
    <row r="74" spans="2:9" x14ac:dyDescent="0.35">
      <c r="C74" t="s">
        <v>343</v>
      </c>
      <c r="D74" s="13">
        <f t="shared" ref="D74:I74" si="31">D75</f>
        <v>45382</v>
      </c>
      <c r="E74" s="13">
        <f t="shared" si="31"/>
        <v>45747</v>
      </c>
      <c r="F74" s="13">
        <f t="shared" si="31"/>
        <v>46112</v>
      </c>
      <c r="G74" s="13">
        <f t="shared" si="31"/>
        <v>46477</v>
      </c>
      <c r="H74" s="13">
        <f t="shared" si="31"/>
        <v>46843</v>
      </c>
      <c r="I74" s="13">
        <f t="shared" si="31"/>
        <v>47208</v>
      </c>
    </row>
    <row r="75" spans="2:9" x14ac:dyDescent="0.35">
      <c r="C75" t="s">
        <v>267</v>
      </c>
      <c r="D75" s="13">
        <f t="shared" ref="D75:I75" si="32">D2+D66-1</f>
        <v>45382</v>
      </c>
      <c r="E75" s="13">
        <f t="shared" si="32"/>
        <v>45747</v>
      </c>
      <c r="F75" s="13">
        <f t="shared" si="32"/>
        <v>46112</v>
      </c>
      <c r="G75" s="13">
        <f t="shared" si="32"/>
        <v>46477</v>
      </c>
      <c r="H75" s="13">
        <f t="shared" si="32"/>
        <v>46843</v>
      </c>
      <c r="I75" s="13">
        <f t="shared" si="32"/>
        <v>47208</v>
      </c>
    </row>
    <row r="76" spans="2:9" x14ac:dyDescent="0.35">
      <c r="C76" t="s">
        <v>344</v>
      </c>
      <c r="D76" s="5" t="b">
        <f t="shared" ref="D76:I76" si="33">AND(D2&lt;=D73,D73&lt;=D75)</f>
        <v>0</v>
      </c>
      <c r="E76" s="5" t="b">
        <f t="shared" si="33"/>
        <v>0</v>
      </c>
      <c r="F76" s="5" t="b">
        <f t="shared" si="33"/>
        <v>0</v>
      </c>
      <c r="G76" s="5" t="b">
        <f t="shared" si="33"/>
        <v>0</v>
      </c>
      <c r="H76" s="5" t="b">
        <f t="shared" si="33"/>
        <v>0</v>
      </c>
      <c r="I76" s="5" t="b">
        <f t="shared" si="33"/>
        <v>0</v>
      </c>
    </row>
    <row r="77" spans="2:9" x14ac:dyDescent="0.35">
      <c r="C77" t="s">
        <v>345</v>
      </c>
      <c r="D77" s="5" t="b">
        <f t="shared" ref="D77:I77" si="34">AND(D2&lt;=D74,D74&lt;=D75)</f>
        <v>1</v>
      </c>
      <c r="E77" s="5" t="b">
        <f t="shared" si="34"/>
        <v>1</v>
      </c>
      <c r="F77" s="5" t="b">
        <f t="shared" si="34"/>
        <v>1</v>
      </c>
      <c r="G77" s="5" t="b">
        <f t="shared" si="34"/>
        <v>1</v>
      </c>
      <c r="H77" s="5" t="b">
        <f t="shared" si="34"/>
        <v>1</v>
      </c>
      <c r="I77" s="5" t="b">
        <f t="shared" si="34"/>
        <v>1</v>
      </c>
    </row>
    <row r="78" spans="2:9" x14ac:dyDescent="0.35">
      <c r="C78" t="s">
        <v>346</v>
      </c>
      <c r="D78" s="5" t="b">
        <f t="shared" ref="D78:I78" si="35">D4&gt;=D16</f>
        <v>1</v>
      </c>
      <c r="E78" s="5" t="b">
        <f t="shared" si="35"/>
        <v>1</v>
      </c>
      <c r="F78" s="5" t="b">
        <f t="shared" si="35"/>
        <v>1</v>
      </c>
      <c r="G78" s="5" t="b">
        <f t="shared" si="35"/>
        <v>1</v>
      </c>
      <c r="H78" s="5" t="b">
        <f t="shared" si="35"/>
        <v>1</v>
      </c>
      <c r="I78" s="5" t="b">
        <f t="shared" si="35"/>
        <v>1</v>
      </c>
    </row>
    <row r="79" spans="2:9" x14ac:dyDescent="0.35">
      <c r="C79" t="s">
        <v>354</v>
      </c>
      <c r="D79" s="13">
        <f t="shared" ref="D79:I79" si="36">IF(D78=FALSE,0,IF(D76=TRUE,D73,D2))</f>
        <v>45017</v>
      </c>
      <c r="E79" s="13">
        <f t="shared" si="36"/>
        <v>45383</v>
      </c>
      <c r="F79" s="13">
        <f t="shared" si="36"/>
        <v>45748</v>
      </c>
      <c r="G79" s="13">
        <f t="shared" si="36"/>
        <v>46113</v>
      </c>
      <c r="H79" s="13">
        <f t="shared" si="36"/>
        <v>46478</v>
      </c>
      <c r="I79" s="13">
        <f t="shared" si="36"/>
        <v>46844</v>
      </c>
    </row>
    <row r="80" spans="2:9" x14ac:dyDescent="0.35">
      <c r="C80" t="s">
        <v>355</v>
      </c>
      <c r="D80" s="13">
        <f t="shared" ref="D80:I80" si="37">IF(D78=FALSE,0,IF(D77=TRUE,D74,D75))</f>
        <v>45382</v>
      </c>
      <c r="E80" s="13">
        <f t="shared" si="37"/>
        <v>45747</v>
      </c>
      <c r="F80" s="13">
        <f t="shared" si="37"/>
        <v>46112</v>
      </c>
      <c r="G80" s="13">
        <f t="shared" si="37"/>
        <v>46477</v>
      </c>
      <c r="H80" s="13">
        <f t="shared" si="37"/>
        <v>46843</v>
      </c>
      <c r="I80" s="13">
        <f t="shared" si="37"/>
        <v>47208</v>
      </c>
    </row>
    <row r="81" spans="1:9" x14ac:dyDescent="0.35">
      <c r="C81" t="s">
        <v>324</v>
      </c>
      <c r="D81" s="5">
        <f t="shared" ref="D81:I81" si="38">(D80-D79+1)*D78</f>
        <v>366</v>
      </c>
      <c r="E81" s="5">
        <f t="shared" si="38"/>
        <v>365</v>
      </c>
      <c r="F81" s="5">
        <f t="shared" si="38"/>
        <v>365</v>
      </c>
      <c r="G81" s="5">
        <f t="shared" si="38"/>
        <v>365</v>
      </c>
      <c r="H81" s="5">
        <f t="shared" si="38"/>
        <v>366</v>
      </c>
      <c r="I81" s="5">
        <f t="shared" si="38"/>
        <v>365</v>
      </c>
    </row>
    <row r="82" spans="1:9" x14ac:dyDescent="0.35">
      <c r="C82" t="s">
        <v>381</v>
      </c>
      <c r="D82" s="5">
        <f t="shared" ref="D82:I82" ca="1" si="39">D68</f>
        <v>0</v>
      </c>
      <c r="E82" s="5">
        <f t="shared" ca="1" si="39"/>
        <v>0</v>
      </c>
      <c r="F82" s="5">
        <f t="shared" ca="1" si="39"/>
        <v>0</v>
      </c>
      <c r="G82" s="5">
        <f t="shared" ca="1" si="39"/>
        <v>0</v>
      </c>
      <c r="H82" s="5">
        <f t="shared" ca="1" si="39"/>
        <v>0</v>
      </c>
      <c r="I82" s="5">
        <f t="shared" ca="1" si="39"/>
        <v>0</v>
      </c>
    </row>
    <row r="83" spans="1:9" x14ac:dyDescent="0.35">
      <c r="C83" s="1055" t="s">
        <v>401</v>
      </c>
    </row>
    <row r="84" spans="1:9" s="9" customFormat="1" x14ac:dyDescent="0.35">
      <c r="C84" t="s">
        <v>356</v>
      </c>
      <c r="D84" s="5">
        <f t="shared" ref="D84:I84" ca="1" si="40">D108*-1</f>
        <v>0</v>
      </c>
      <c r="E84" s="5">
        <f t="shared" ca="1" si="40"/>
        <v>0</v>
      </c>
      <c r="F84" s="5">
        <f t="shared" ca="1" si="40"/>
        <v>0</v>
      </c>
      <c r="G84" s="5">
        <f t="shared" ca="1" si="40"/>
        <v>0</v>
      </c>
      <c r="H84" s="5">
        <f t="shared" ca="1" si="40"/>
        <v>0</v>
      </c>
      <c r="I84" s="5">
        <f t="shared" ca="1" si="40"/>
        <v>0</v>
      </c>
    </row>
    <row r="85" spans="1:9" x14ac:dyDescent="0.35">
      <c r="A85" t="s">
        <v>909</v>
      </c>
      <c r="B85" s="5" t="b">
        <f ca="1">SUM(D85:I85)&lt;0</f>
        <v>0</v>
      </c>
      <c r="C85" t="s">
        <v>380</v>
      </c>
      <c r="D85" s="5">
        <f t="shared" ref="D85:I85" ca="1" si="41">D98*-1</f>
        <v>0</v>
      </c>
      <c r="E85" s="5">
        <f t="shared" ca="1" si="41"/>
        <v>0</v>
      </c>
      <c r="F85" s="5">
        <f t="shared" ca="1" si="41"/>
        <v>0</v>
      </c>
      <c r="G85" s="5">
        <f t="shared" ca="1" si="41"/>
        <v>0</v>
      </c>
      <c r="H85" s="5">
        <f t="shared" ca="1" si="41"/>
        <v>0</v>
      </c>
      <c r="I85" s="5">
        <f t="shared" ca="1" si="41"/>
        <v>0</v>
      </c>
    </row>
    <row r="86" spans="1:9" x14ac:dyDescent="0.35">
      <c r="C86" t="s">
        <v>403</v>
      </c>
      <c r="D86" s="5">
        <f t="shared" ref="D86:I86" ca="1" si="42">D117*-1</f>
        <v>0</v>
      </c>
      <c r="E86" s="5">
        <f t="shared" ca="1" si="42"/>
        <v>0</v>
      </c>
      <c r="F86" s="5">
        <f t="shared" ca="1" si="42"/>
        <v>0</v>
      </c>
      <c r="G86" s="5">
        <f t="shared" ca="1" si="42"/>
        <v>0</v>
      </c>
      <c r="H86" s="5">
        <f t="shared" ca="1" si="42"/>
        <v>0</v>
      </c>
      <c r="I86" s="5">
        <f t="shared" ca="1" si="42"/>
        <v>0</v>
      </c>
    </row>
    <row r="87" spans="1:9" x14ac:dyDescent="0.35">
      <c r="A87" t="s">
        <v>909</v>
      </c>
      <c r="B87" s="5" t="b">
        <f ca="1">SUM(D87:I87)&lt;0</f>
        <v>0</v>
      </c>
      <c r="C87" t="s">
        <v>1696</v>
      </c>
      <c r="D87" s="5">
        <f t="shared" ref="D87:I87" ca="1" si="43">D134*-1</f>
        <v>0</v>
      </c>
      <c r="E87" s="5">
        <f t="shared" ca="1" si="43"/>
        <v>0</v>
      </c>
      <c r="F87" s="5">
        <f t="shared" ca="1" si="43"/>
        <v>0</v>
      </c>
      <c r="G87" s="5">
        <f t="shared" ca="1" si="43"/>
        <v>0</v>
      </c>
      <c r="H87" s="5">
        <f t="shared" ca="1" si="43"/>
        <v>0</v>
      </c>
      <c r="I87" s="5">
        <f t="shared" ca="1" si="43"/>
        <v>0</v>
      </c>
    </row>
    <row r="88" spans="1:9" x14ac:dyDescent="0.35">
      <c r="A88" t="s">
        <v>909</v>
      </c>
      <c r="B88" s="5" t="b">
        <f>SUM(D88:I88)&lt;0</f>
        <v>0</v>
      </c>
      <c r="C88" t="s">
        <v>1062</v>
      </c>
    </row>
    <row r="89" spans="1:9" x14ac:dyDescent="0.35">
      <c r="A89" t="s">
        <v>909</v>
      </c>
      <c r="B89" s="5" t="b">
        <f>SUM(D89:I89)&lt;0</f>
        <v>0</v>
      </c>
      <c r="C89" t="s">
        <v>357</v>
      </c>
    </row>
    <row r="90" spans="1:9" x14ac:dyDescent="0.35">
      <c r="A90" t="s">
        <v>909</v>
      </c>
      <c r="B90" s="5" t="b">
        <f>SUM(D90:I90)&lt;0</f>
        <v>0</v>
      </c>
      <c r="C90" t="s">
        <v>358</v>
      </c>
    </row>
    <row r="91" spans="1:9" x14ac:dyDescent="0.35">
      <c r="A91" t="s">
        <v>909</v>
      </c>
      <c r="B91" s="5" t="b">
        <f>SUM(D91:I91)&lt;0</f>
        <v>0</v>
      </c>
      <c r="C91" t="s">
        <v>402</v>
      </c>
    </row>
    <row r="92" spans="1:9" x14ac:dyDescent="0.35">
      <c r="C92" t="s">
        <v>378</v>
      </c>
      <c r="D92" s="5">
        <f t="shared" ref="D92:I92" ca="1" si="44">SUM(D82:D91)</f>
        <v>0</v>
      </c>
      <c r="E92" s="5">
        <f t="shared" ca="1" si="44"/>
        <v>0</v>
      </c>
      <c r="F92" s="5">
        <f t="shared" ca="1" si="44"/>
        <v>0</v>
      </c>
      <c r="G92" s="5">
        <f t="shared" ca="1" si="44"/>
        <v>0</v>
      </c>
      <c r="H92" s="5">
        <f t="shared" ca="1" si="44"/>
        <v>0</v>
      </c>
      <c r="I92" s="5">
        <f t="shared" ca="1" si="44"/>
        <v>0</v>
      </c>
    </row>
    <row r="93" spans="1:9" x14ac:dyDescent="0.35">
      <c r="A93" t="s">
        <v>909</v>
      </c>
      <c r="B93" s="5" t="b">
        <f ca="1">SUM(D93:I93)&lt;0</f>
        <v>0</v>
      </c>
      <c r="C93" t="s">
        <v>1063</v>
      </c>
      <c r="D93" s="5">
        <f t="shared" ref="D93:I93" ca="1" si="45">IF(D140&lt;&gt;"",D140*-1,0)</f>
        <v>0</v>
      </c>
      <c r="E93" s="5">
        <f t="shared" ca="1" si="45"/>
        <v>0</v>
      </c>
      <c r="F93" s="5">
        <f t="shared" ca="1" si="45"/>
        <v>0</v>
      </c>
      <c r="G93" s="5">
        <f t="shared" ca="1" si="45"/>
        <v>0</v>
      </c>
      <c r="H93" s="5">
        <f t="shared" ca="1" si="45"/>
        <v>0</v>
      </c>
      <c r="I93" s="5">
        <f t="shared" ca="1" si="45"/>
        <v>0</v>
      </c>
    </row>
    <row r="94" spans="1:9" x14ac:dyDescent="0.35">
      <c r="A94" t="b">
        <f>A101+A109=2</f>
        <v>1</v>
      </c>
      <c r="B94" s="5">
        <v>0</v>
      </c>
      <c r="C94" t="s">
        <v>376</v>
      </c>
      <c r="D94" s="1198">
        <f t="shared" ref="D94:I94" ca="1" si="46">IF($A94=FALSE,$B94,ROUND((D92/D66*D67)+D93,2))*D95</f>
        <v>0</v>
      </c>
      <c r="E94" s="1198">
        <f t="shared" ca="1" si="46"/>
        <v>0</v>
      </c>
      <c r="F94" s="1198">
        <f t="shared" ca="1" si="46"/>
        <v>0</v>
      </c>
      <c r="G94" s="1198">
        <f t="shared" ca="1" si="46"/>
        <v>0</v>
      </c>
      <c r="H94" s="1198">
        <f t="shared" ca="1" si="46"/>
        <v>0</v>
      </c>
      <c r="I94" s="1198">
        <f t="shared" ca="1" si="46"/>
        <v>0</v>
      </c>
    </row>
    <row r="95" spans="1:9" x14ac:dyDescent="0.35">
      <c r="A95" t="s">
        <v>1026</v>
      </c>
      <c r="D95" s="5" t="b">
        <f>data!$G$13</f>
        <v>1</v>
      </c>
      <c r="E95" s="5" t="b">
        <f>data!$G$14</f>
        <v>1</v>
      </c>
      <c r="F95" s="5" t="b">
        <f>data!$G$15</f>
        <v>1</v>
      </c>
      <c r="G95" s="5" t="b">
        <f>data!$G$16</f>
        <v>0</v>
      </c>
      <c r="H95" s="5" t="b">
        <f>data!$G$17</f>
        <v>0</v>
      </c>
      <c r="I95" s="5" t="b">
        <f>data!$G$18</f>
        <v>0</v>
      </c>
    </row>
    <row r="96" spans="1:9" x14ac:dyDescent="0.35">
      <c r="B96" s="5" t="b">
        <f>D100+D101=2</f>
        <v>0</v>
      </c>
      <c r="C96" s="9" t="s">
        <v>408</v>
      </c>
    </row>
    <row r="97" spans="1:9" x14ac:dyDescent="0.35">
      <c r="C97" t="s">
        <v>1695</v>
      </c>
      <c r="D97" s="5">
        <f t="shared" ref="D97:I97" ca="1" si="47">D68+D84</f>
        <v>0</v>
      </c>
      <c r="E97" s="5">
        <f t="shared" ca="1" si="47"/>
        <v>0</v>
      </c>
      <c r="F97" s="5">
        <f t="shared" ca="1" si="47"/>
        <v>0</v>
      </c>
      <c r="G97" s="5">
        <f t="shared" ca="1" si="47"/>
        <v>0</v>
      </c>
      <c r="H97" s="5">
        <f t="shared" ca="1" si="47"/>
        <v>0</v>
      </c>
      <c r="I97" s="5">
        <f t="shared" ca="1" si="47"/>
        <v>0</v>
      </c>
    </row>
    <row r="98" spans="1:9" x14ac:dyDescent="0.35">
      <c r="C98" t="s">
        <v>382</v>
      </c>
      <c r="D98" s="5">
        <f ca="1">D147*D99*D100*D101</f>
        <v>0</v>
      </c>
      <c r="E98" s="5">
        <f ca="1">E147*E99*E100*E101</f>
        <v>0</v>
      </c>
      <c r="F98" s="5">
        <f ca="1">F147*F99*F100*F101</f>
        <v>0</v>
      </c>
      <c r="G98" s="5">
        <f ca="1">G97/reliefs!G7*G99*G100*G101</f>
        <v>0</v>
      </c>
      <c r="H98" s="5">
        <f ca="1">H97/reliefs!H7*H99*H100*H101</f>
        <v>0</v>
      </c>
      <c r="I98" s="5">
        <f ca="1">I97/reliefs!I7*I99*I100*I101</f>
        <v>0</v>
      </c>
    </row>
    <row r="99" spans="1:9" x14ac:dyDescent="0.35">
      <c r="C99" t="s">
        <v>385</v>
      </c>
      <c r="D99" s="5" t="b">
        <f>D5&lt;VLOOKUP(D4,data!$A$63:$C$70,3,FALSE)</f>
        <v>1</v>
      </c>
      <c r="E99" s="5" t="b">
        <f>E5&lt;VLOOKUP(E4,data!$A$63:$C$70,3,FALSE)</f>
        <v>1</v>
      </c>
      <c r="F99" s="5" t="b">
        <f>F5&lt;VLOOKUP(F4,data!$A$63:$C$70,3,FALSE)</f>
        <v>1</v>
      </c>
      <c r="G99" s="5" t="b">
        <f>G5&lt;VLOOKUP(G4,data!$A$63:$C$70,3,FALSE)</f>
        <v>1</v>
      </c>
      <c r="H99" s="5" t="b">
        <f>H5&lt;VLOOKUP(H4,data!$A$63:$C$70,3,FALSE)</f>
        <v>1</v>
      </c>
      <c r="I99" s="5" t="b">
        <f>I5&lt;VLOOKUP(I4,data!$A$63:$C$70,3,FALSE)</f>
        <v>1</v>
      </c>
    </row>
    <row r="100" spans="1:9" x14ac:dyDescent="0.35">
      <c r="C100" t="s">
        <v>386</v>
      </c>
      <c r="D100" s="5" t="b">
        <f>rjs!O21</f>
        <v>0</v>
      </c>
      <c r="E100" s="5" t="b">
        <f>D100</f>
        <v>0</v>
      </c>
      <c r="F100" s="5" t="b">
        <f>E100</f>
        <v>0</v>
      </c>
      <c r="G100" s="5" t="b">
        <f>F100</f>
        <v>0</v>
      </c>
      <c r="H100" s="5" t="b">
        <f>G100</f>
        <v>0</v>
      </c>
      <c r="I100" s="5" t="b">
        <f>H100</f>
        <v>0</v>
      </c>
    </row>
    <row r="101" spans="1:9" x14ac:dyDescent="0.35">
      <c r="A101" t="b">
        <f>D101+E101+F101+G101+H101+I101=6</f>
        <v>1</v>
      </c>
      <c r="C101" t="s">
        <v>407</v>
      </c>
      <c r="D101" s="5" t="b">
        <f t="shared" ref="D101:I101" si="48">IF(AND(D100=TRUE,D7=TRUE)=FALSE,TRUE,FALSE)</f>
        <v>1</v>
      </c>
      <c r="E101" s="5" t="b">
        <f t="shared" si="48"/>
        <v>1</v>
      </c>
      <c r="F101" s="5" t="b">
        <f t="shared" si="48"/>
        <v>1</v>
      </c>
      <c r="G101" s="5" t="b">
        <f t="shared" si="48"/>
        <v>1</v>
      </c>
      <c r="H101" s="5" t="b">
        <f t="shared" si="48"/>
        <v>1</v>
      </c>
      <c r="I101" s="5" t="b">
        <f t="shared" si="48"/>
        <v>1</v>
      </c>
    </row>
    <row r="102" spans="1:9" x14ac:dyDescent="0.35">
      <c r="C102" t="s">
        <v>389</v>
      </c>
      <c r="D102" t="str">
        <f>text!T4</f>
        <v>Retail Relief can't apply on an Empty Property</v>
      </c>
    </row>
    <row r="104" spans="1:9" x14ac:dyDescent="0.35">
      <c r="B104" s="5" t="b">
        <f>D106+D109=2</f>
        <v>0</v>
      </c>
      <c r="C104" s="9" t="s">
        <v>356</v>
      </c>
    </row>
    <row r="105" spans="1:9" x14ac:dyDescent="0.35">
      <c r="C105" t="s">
        <v>387</v>
      </c>
      <c r="D105" s="5">
        <f t="shared" ref="D105:I105" ca="1" si="49">D68</f>
        <v>0</v>
      </c>
      <c r="E105" s="5">
        <f t="shared" ca="1" si="49"/>
        <v>0</v>
      </c>
      <c r="F105" s="5">
        <f t="shared" ca="1" si="49"/>
        <v>0</v>
      </c>
      <c r="G105" s="5">
        <f t="shared" ca="1" si="49"/>
        <v>0</v>
      </c>
      <c r="H105" s="5">
        <f t="shared" ca="1" si="49"/>
        <v>0</v>
      </c>
      <c r="I105" s="5">
        <f t="shared" ca="1" si="49"/>
        <v>0</v>
      </c>
    </row>
    <row r="106" spans="1:9" x14ac:dyDescent="0.35">
      <c r="C106" t="s">
        <v>386</v>
      </c>
      <c r="D106" s="5" t="b">
        <f t="shared" ref="D106:I106" si="50">D8</f>
        <v>0</v>
      </c>
      <c r="E106" s="5" t="b">
        <f t="shared" si="50"/>
        <v>0</v>
      </c>
      <c r="F106" s="5" t="b">
        <f t="shared" si="50"/>
        <v>0</v>
      </c>
      <c r="G106" s="5" t="b">
        <f t="shared" si="50"/>
        <v>0</v>
      </c>
      <c r="H106" s="5" t="b">
        <f t="shared" si="50"/>
        <v>0</v>
      </c>
      <c r="I106" s="5" t="b">
        <f t="shared" si="50"/>
        <v>0</v>
      </c>
    </row>
    <row r="107" spans="1:9" x14ac:dyDescent="0.35">
      <c r="C107" t="s">
        <v>388</v>
      </c>
      <c r="D107" s="5" t="b">
        <f t="shared" ref="D107:I107" si="51">D60</f>
        <v>0</v>
      </c>
      <c r="E107" s="5" t="b">
        <f t="shared" si="51"/>
        <v>0</v>
      </c>
      <c r="F107" s="5" t="b">
        <f t="shared" si="51"/>
        <v>0</v>
      </c>
      <c r="G107" s="5" t="b">
        <f t="shared" si="51"/>
        <v>0</v>
      </c>
      <c r="H107" s="5" t="b">
        <f t="shared" si="51"/>
        <v>0</v>
      </c>
      <c r="I107" s="5" t="b">
        <f t="shared" si="51"/>
        <v>0</v>
      </c>
    </row>
    <row r="108" spans="1:9" x14ac:dyDescent="0.35">
      <c r="C108" t="s">
        <v>382</v>
      </c>
      <c r="D108" s="5">
        <f t="shared" ref="D108:I108" ca="1" si="52">IF(D107=FALSE,D105*0.8*D106*D109,0)</f>
        <v>0</v>
      </c>
      <c r="E108" s="5">
        <f t="shared" ca="1" si="52"/>
        <v>0</v>
      </c>
      <c r="F108" s="5">
        <f t="shared" ca="1" si="52"/>
        <v>0</v>
      </c>
      <c r="G108" s="5">
        <f t="shared" ca="1" si="52"/>
        <v>0</v>
      </c>
      <c r="H108" s="5">
        <f t="shared" ca="1" si="52"/>
        <v>0</v>
      </c>
      <c r="I108" s="5">
        <f t="shared" ca="1" si="52"/>
        <v>0</v>
      </c>
    </row>
    <row r="109" spans="1:9" x14ac:dyDescent="0.35">
      <c r="A109" t="b">
        <f>D109+E109+F109+G109+H109+I109=6</f>
        <v>1</v>
      </c>
      <c r="C109" t="s">
        <v>409</v>
      </c>
      <c r="D109" s="5" t="b">
        <f t="shared" ref="D109:I109" si="53">IF(AND(D106=TRUE,OR(D7=TRUE,D56=TRUE))=FALSE,TRUE,FALSE)</f>
        <v>1</v>
      </c>
      <c r="E109" s="5" t="b">
        <f t="shared" si="53"/>
        <v>1</v>
      </c>
      <c r="F109" s="5" t="b">
        <f t="shared" si="53"/>
        <v>1</v>
      </c>
      <c r="G109" s="5" t="b">
        <f t="shared" si="53"/>
        <v>1</v>
      </c>
      <c r="H109" s="5" t="b">
        <f t="shared" si="53"/>
        <v>1</v>
      </c>
      <c r="I109" s="5" t="b">
        <f t="shared" si="53"/>
        <v>1</v>
      </c>
    </row>
    <row r="110" spans="1:9" x14ac:dyDescent="0.35">
      <c r="C110" t="s">
        <v>389</v>
      </c>
      <c r="D110" t="str">
        <f>text!T3</f>
        <v>Charitable Relief can't apply with SBRR, or on an Empty Property</v>
      </c>
    </row>
    <row r="112" spans="1:9" x14ac:dyDescent="0.35">
      <c r="C112" s="9" t="s">
        <v>410</v>
      </c>
    </row>
    <row r="113" spans="2:9" x14ac:dyDescent="0.35">
      <c r="C113" t="str">
        <f>C105</f>
        <v>calculated annual charge</v>
      </c>
      <c r="D113" s="5">
        <f t="shared" ref="D113:I113" ca="1" si="54">D68</f>
        <v>0</v>
      </c>
      <c r="E113" s="5">
        <f t="shared" ca="1" si="54"/>
        <v>0</v>
      </c>
      <c r="F113" s="5">
        <f t="shared" ca="1" si="54"/>
        <v>0</v>
      </c>
      <c r="G113" s="5">
        <f t="shared" ca="1" si="54"/>
        <v>0</v>
      </c>
      <c r="H113" s="5">
        <f t="shared" ca="1" si="54"/>
        <v>0</v>
      </c>
      <c r="I113" s="5">
        <f t="shared" ca="1" si="54"/>
        <v>0</v>
      </c>
    </row>
    <row r="114" spans="2:9" x14ac:dyDescent="0.35">
      <c r="C114" t="str">
        <f>C106</f>
        <v>ticked</v>
      </c>
      <c r="D114" s="5" t="b">
        <f t="shared" ref="D114:I114" si="55">D7</f>
        <v>0</v>
      </c>
      <c r="E114" s="5" t="b">
        <f t="shared" si="55"/>
        <v>0</v>
      </c>
      <c r="F114" s="5" t="b">
        <f t="shared" si="55"/>
        <v>0</v>
      </c>
      <c r="G114" s="5" t="b">
        <f t="shared" si="55"/>
        <v>0</v>
      </c>
      <c r="H114" s="5" t="b">
        <f t="shared" si="55"/>
        <v>0</v>
      </c>
      <c r="I114" s="5" t="b">
        <f t="shared" si="55"/>
        <v>0</v>
      </c>
    </row>
    <row r="115" spans="2:9" x14ac:dyDescent="0.35">
      <c r="B115" s="5">
        <v>3</v>
      </c>
      <c r="C115" t="s">
        <v>404</v>
      </c>
      <c r="D115" s="5">
        <f>VLOOKUP(D4,data!$A$43:$C$50,$B115,FALSE)</f>
        <v>2900</v>
      </c>
      <c r="E115" s="5">
        <f>VLOOKUP(E4,data!$A$43:$C$50,$B115,FALSE)</f>
        <v>2900</v>
      </c>
      <c r="F115" s="5">
        <f>VLOOKUP(F4,data!$A$43:$C$50,$B115,FALSE)</f>
        <v>2900</v>
      </c>
      <c r="G115" s="5">
        <f>VLOOKUP(G4,data!$A$43:$C$50,$B115,FALSE)</f>
        <v>2900</v>
      </c>
      <c r="H115" s="5">
        <f>VLOOKUP(H4,data!$A$43:$C$50,$B115,FALSE)</f>
        <v>2900</v>
      </c>
      <c r="I115" s="5">
        <f>VLOOKUP(I4,data!$A$43:$C$50,$B115,FALSE)</f>
        <v>2900</v>
      </c>
    </row>
    <row r="116" spans="2:9" x14ac:dyDescent="0.35">
      <c r="C116" t="s">
        <v>405</v>
      </c>
      <c r="D116" s="5" t="b">
        <f t="shared" ref="D116:I116" si="56">D5&lt;D115</f>
        <v>1</v>
      </c>
      <c r="E116" s="5" t="b">
        <f t="shared" si="56"/>
        <v>1</v>
      </c>
      <c r="F116" s="5" t="b">
        <f t="shared" si="56"/>
        <v>1</v>
      </c>
      <c r="G116" s="5" t="b">
        <f t="shared" si="56"/>
        <v>1</v>
      </c>
      <c r="H116" s="5" t="b">
        <f t="shared" si="56"/>
        <v>1</v>
      </c>
      <c r="I116" s="5" t="b">
        <f t="shared" si="56"/>
        <v>1</v>
      </c>
    </row>
    <row r="117" spans="2:9" x14ac:dyDescent="0.35">
      <c r="C117" t="s">
        <v>406</v>
      </c>
      <c r="D117" s="5">
        <f t="shared" ref="D117:I117" ca="1" si="57">D113*D114*D116</f>
        <v>0</v>
      </c>
      <c r="E117" s="5">
        <f t="shared" ca="1" si="57"/>
        <v>0</v>
      </c>
      <c r="F117" s="5">
        <f t="shared" ca="1" si="57"/>
        <v>0</v>
      </c>
      <c r="G117" s="5">
        <f t="shared" ca="1" si="57"/>
        <v>0</v>
      </c>
      <c r="H117" s="5">
        <f t="shared" ca="1" si="57"/>
        <v>0</v>
      </c>
      <c r="I117" s="5">
        <f t="shared" ca="1" si="57"/>
        <v>0</v>
      </c>
    </row>
    <row r="119" spans="2:9" x14ac:dyDescent="0.35">
      <c r="C119" t="s">
        <v>2402</v>
      </c>
      <c r="D119"/>
    </row>
    <row r="120" spans="2:9" x14ac:dyDescent="0.35">
      <c r="C120" t="s">
        <v>2400</v>
      </c>
      <c r="D120" s="14">
        <f t="shared" ref="D120:I120" si="58">(D41+D45+D48+D52+D65)</f>
        <v>0</v>
      </c>
      <c r="E120" s="14">
        <f t="shared" si="58"/>
        <v>0</v>
      </c>
      <c r="F120" s="14">
        <f t="shared" si="58"/>
        <v>0</v>
      </c>
      <c r="G120" s="14">
        <f t="shared" si="58"/>
        <v>0</v>
      </c>
      <c r="H120" s="14">
        <f t="shared" si="58"/>
        <v>0</v>
      </c>
      <c r="I120" s="14">
        <f t="shared" si="58"/>
        <v>0</v>
      </c>
    </row>
    <row r="121" spans="2:9" x14ac:dyDescent="0.35">
      <c r="C121" t="s">
        <v>2401</v>
      </c>
      <c r="D121" s="5">
        <f t="shared" ref="D121:I121" ca="1" si="59">D68</f>
        <v>0</v>
      </c>
      <c r="E121" s="5">
        <f t="shared" ca="1" si="59"/>
        <v>0</v>
      </c>
      <c r="F121" s="5">
        <f t="shared" ca="1" si="59"/>
        <v>0</v>
      </c>
      <c r="G121" s="5">
        <f t="shared" ca="1" si="59"/>
        <v>0</v>
      </c>
      <c r="H121" s="5">
        <f t="shared" ca="1" si="59"/>
        <v>0</v>
      </c>
      <c r="I121" s="5">
        <f t="shared" ca="1" si="59"/>
        <v>0</v>
      </c>
    </row>
    <row r="122" spans="2:9" x14ac:dyDescent="0.35">
      <c r="C122" t="s">
        <v>2403</v>
      </c>
      <c r="D122" s="14">
        <f t="shared" ref="D122:I122" ca="1" si="60">D121-D120</f>
        <v>0</v>
      </c>
      <c r="E122" s="14">
        <f t="shared" ca="1" si="60"/>
        <v>0</v>
      </c>
      <c r="F122" s="14">
        <f t="shared" ca="1" si="60"/>
        <v>0</v>
      </c>
      <c r="G122" s="14">
        <f t="shared" ca="1" si="60"/>
        <v>0</v>
      </c>
      <c r="H122" s="14">
        <f t="shared" ca="1" si="60"/>
        <v>0</v>
      </c>
      <c r="I122" s="14">
        <f t="shared" ca="1" si="60"/>
        <v>0</v>
      </c>
    </row>
    <row r="124" spans="2:9" x14ac:dyDescent="0.35">
      <c r="C124" t="s">
        <v>2405</v>
      </c>
    </row>
    <row r="125" spans="2:9" x14ac:dyDescent="0.35">
      <c r="C125" t="s">
        <v>2406</v>
      </c>
      <c r="D125" s="5">
        <f t="shared" ref="D125:I125" si="61">(D28-D21)*D38</f>
        <v>0</v>
      </c>
      <c r="E125" s="5">
        <f t="shared" si="61"/>
        <v>0</v>
      </c>
      <c r="F125" s="5">
        <f t="shared" si="61"/>
        <v>0</v>
      </c>
      <c r="G125" s="5">
        <f t="shared" si="61"/>
        <v>0</v>
      </c>
      <c r="H125" s="5">
        <f t="shared" si="61"/>
        <v>0</v>
      </c>
      <c r="I125" s="5">
        <f t="shared" si="61"/>
        <v>0</v>
      </c>
    </row>
    <row r="127" spans="2:9" x14ac:dyDescent="0.35">
      <c r="C127" s="9" t="s">
        <v>1938</v>
      </c>
    </row>
    <row r="128" spans="2:9" x14ac:dyDescent="0.35">
      <c r="I128" s="5">
        <f>H128</f>
        <v>0</v>
      </c>
    </row>
    <row r="129" spans="1:10" x14ac:dyDescent="0.35">
      <c r="I129" s="5" t="b">
        <f>I5&lt;reliefs!I12</f>
        <v>0</v>
      </c>
    </row>
    <row r="130" spans="1:10" x14ac:dyDescent="0.35">
      <c r="D130" s="5">
        <v>200</v>
      </c>
      <c r="E130" s="5">
        <v>0</v>
      </c>
      <c r="F130" s="5">
        <v>0</v>
      </c>
      <c r="G130" s="5">
        <v>0</v>
      </c>
      <c r="H130" s="5">
        <v>0</v>
      </c>
      <c r="I130" s="5" t="b">
        <f>I7=FALSE</f>
        <v>1</v>
      </c>
    </row>
    <row r="131" spans="1:10" x14ac:dyDescent="0.35">
      <c r="C131" t="s">
        <v>1690</v>
      </c>
      <c r="D131" s="5" t="b">
        <f t="shared" ref="D131:I131" si="62">D128+D129+D130=3</f>
        <v>0</v>
      </c>
      <c r="E131" s="5" t="b">
        <f t="shared" si="62"/>
        <v>0</v>
      </c>
      <c r="F131" s="5" t="b">
        <f t="shared" si="62"/>
        <v>0</v>
      </c>
      <c r="G131" s="5" t="b">
        <f t="shared" si="62"/>
        <v>0</v>
      </c>
      <c r="H131" s="5" t="b">
        <f t="shared" si="62"/>
        <v>0</v>
      </c>
      <c r="I131" s="5" t="b">
        <f t="shared" si="62"/>
        <v>0</v>
      </c>
    </row>
    <row r="132" spans="1:10" x14ac:dyDescent="0.35">
      <c r="C132" t="s">
        <v>1691</v>
      </c>
      <c r="D132" s="5">
        <f>reliefs!D13</f>
        <v>0</v>
      </c>
      <c r="E132" s="5">
        <f>reliefs!E13</f>
        <v>0</v>
      </c>
      <c r="F132" s="5">
        <f>reliefs!F13</f>
        <v>0</v>
      </c>
      <c r="G132" s="5">
        <f>reliefs!G13</f>
        <v>0</v>
      </c>
      <c r="H132" s="5">
        <f>reliefs!H13</f>
        <v>0</v>
      </c>
      <c r="I132" s="5">
        <f>reliefs!I13</f>
        <v>0</v>
      </c>
    </row>
    <row r="133" spans="1:10" x14ac:dyDescent="0.35">
      <c r="C133" t="s">
        <v>1693</v>
      </c>
      <c r="D133" s="5">
        <f t="shared" ref="D133:I133" ca="1" si="63">D68+D84+D85</f>
        <v>0</v>
      </c>
      <c r="E133" s="5">
        <f t="shared" ca="1" si="63"/>
        <v>0</v>
      </c>
      <c r="F133" s="5">
        <f t="shared" ca="1" si="63"/>
        <v>0</v>
      </c>
      <c r="G133" s="5">
        <f t="shared" ca="1" si="63"/>
        <v>0</v>
      </c>
      <c r="H133" s="5">
        <f t="shared" ca="1" si="63"/>
        <v>0</v>
      </c>
      <c r="I133" s="5">
        <f t="shared" ca="1" si="63"/>
        <v>0</v>
      </c>
    </row>
    <row r="134" spans="1:10" x14ac:dyDescent="0.35">
      <c r="C134" t="s">
        <v>1694</v>
      </c>
      <c r="D134" s="5">
        <f t="shared" ref="D134:I134" ca="1" si="64">IF(D133&gt;D132,D132,D133)*D131</f>
        <v>0</v>
      </c>
      <c r="E134" s="5">
        <f t="shared" ca="1" si="64"/>
        <v>0</v>
      </c>
      <c r="F134" s="5">
        <f t="shared" ca="1" si="64"/>
        <v>0</v>
      </c>
      <c r="G134" s="5">
        <f t="shared" ca="1" si="64"/>
        <v>0</v>
      </c>
      <c r="H134" s="5">
        <f t="shared" ca="1" si="64"/>
        <v>0</v>
      </c>
      <c r="I134" s="5">
        <f t="shared" ca="1" si="64"/>
        <v>0</v>
      </c>
    </row>
    <row r="136" spans="1:10" x14ac:dyDescent="0.35">
      <c r="C136" s="9" t="s">
        <v>923</v>
      </c>
    </row>
    <row r="137" spans="1:10" x14ac:dyDescent="0.35">
      <c r="A137" s="5">
        <f>ROW()</f>
        <v>137</v>
      </c>
      <c r="B137" s="5" t="s">
        <v>924</v>
      </c>
      <c r="C137" s="1199"/>
      <c r="D137" s="440"/>
      <c r="E137" s="440"/>
      <c r="F137" s="440"/>
      <c r="G137" s="440"/>
      <c r="H137" s="440"/>
      <c r="I137" s="440"/>
    </row>
    <row r="138" spans="1:10" x14ac:dyDescent="0.35">
      <c r="C138" t="s">
        <v>926</v>
      </c>
      <c r="D138" s="5">
        <f t="shared" ref="D138:I138" ca="1" si="65">D68+D84+D85+D87</f>
        <v>0</v>
      </c>
      <c r="E138" s="5">
        <f t="shared" ca="1" si="65"/>
        <v>0</v>
      </c>
      <c r="F138" s="5">
        <f t="shared" ca="1" si="65"/>
        <v>0</v>
      </c>
      <c r="G138" s="5">
        <f t="shared" ca="1" si="65"/>
        <v>0</v>
      </c>
      <c r="H138" s="5">
        <f t="shared" ca="1" si="65"/>
        <v>0</v>
      </c>
      <c r="I138" s="5">
        <f t="shared" ca="1" si="65"/>
        <v>0</v>
      </c>
    </row>
    <row r="139" spans="1:10" x14ac:dyDescent="0.35">
      <c r="C139" t="s">
        <v>1691</v>
      </c>
      <c r="D139" s="5">
        <f t="shared" ref="D139:I139" si="66">D137</f>
        <v>0</v>
      </c>
      <c r="E139" s="5">
        <f t="shared" si="66"/>
        <v>0</v>
      </c>
      <c r="F139" s="5">
        <f t="shared" si="66"/>
        <v>0</v>
      </c>
      <c r="G139" s="5">
        <f t="shared" si="66"/>
        <v>0</v>
      </c>
      <c r="H139" s="5">
        <f t="shared" si="66"/>
        <v>0</v>
      </c>
      <c r="I139" s="5">
        <f t="shared" si="66"/>
        <v>0</v>
      </c>
    </row>
    <row r="140" spans="1:10" x14ac:dyDescent="0.35">
      <c r="C140" t="s">
        <v>1694</v>
      </c>
      <c r="D140" s="5">
        <f t="shared" ref="D140:I140" ca="1" si="67">IF(D139&gt;D138,D138,D139)*D141</f>
        <v>0</v>
      </c>
      <c r="E140" s="5">
        <f t="shared" ca="1" si="67"/>
        <v>0</v>
      </c>
      <c r="F140" s="5">
        <f t="shared" ca="1" si="67"/>
        <v>0</v>
      </c>
      <c r="G140" s="5">
        <f t="shared" ca="1" si="67"/>
        <v>0</v>
      </c>
      <c r="H140" s="5">
        <f t="shared" ca="1" si="67"/>
        <v>0</v>
      </c>
      <c r="I140" s="5">
        <f t="shared" ca="1" si="67"/>
        <v>0</v>
      </c>
    </row>
    <row r="141" spans="1:10" x14ac:dyDescent="0.35">
      <c r="C141" t="s">
        <v>1015</v>
      </c>
      <c r="D141" s="5" t="b">
        <f t="shared" ref="D141:I141" si="68">D78</f>
        <v>1</v>
      </c>
      <c r="E141" s="5" t="b">
        <f t="shared" si="68"/>
        <v>1</v>
      </c>
      <c r="F141" s="5" t="b">
        <f t="shared" si="68"/>
        <v>1</v>
      </c>
      <c r="G141" s="5" t="b">
        <f t="shared" si="68"/>
        <v>1</v>
      </c>
      <c r="H141" s="5" t="b">
        <f t="shared" si="68"/>
        <v>1</v>
      </c>
      <c r="I141" s="5" t="b">
        <f t="shared" si="68"/>
        <v>1</v>
      </c>
    </row>
    <row r="143" spans="1:10" x14ac:dyDescent="0.35">
      <c r="B143" s="2291" t="s">
        <v>2920</v>
      </c>
      <c r="C143" s="2386"/>
      <c r="D143" s="2291"/>
      <c r="E143" s="2291"/>
      <c r="F143" s="2291"/>
      <c r="G143" s="2291"/>
      <c r="H143" s="2291"/>
      <c r="I143" s="2291"/>
      <c r="J143" s="2386"/>
    </row>
    <row r="144" spans="1:10" x14ac:dyDescent="0.35">
      <c r="C144" s="28" t="s">
        <v>2890</v>
      </c>
      <c r="D144" s="15">
        <f ca="1">D97/reliefs!D7</f>
        <v>0</v>
      </c>
      <c r="E144" s="15">
        <f ca="1">E97/reliefs!E7</f>
        <v>0</v>
      </c>
      <c r="F144" s="15">
        <f ca="1">F97/reliefs!F7</f>
        <v>0</v>
      </c>
    </row>
    <row r="145" spans="3:7" x14ac:dyDescent="0.35">
      <c r="C145" s="28" t="s">
        <v>456</v>
      </c>
      <c r="D145" s="5">
        <v>110000</v>
      </c>
      <c r="E145" s="15">
        <f ca="1">MIN(E146,E148)</f>
        <v>110000</v>
      </c>
      <c r="F145" s="15">
        <f ca="1">MIN(F146,F148)</f>
        <v>110000</v>
      </c>
      <c r="G145" s="5">
        <v>315000</v>
      </c>
    </row>
    <row r="146" spans="3:7" x14ac:dyDescent="0.35">
      <c r="C146" s="28" t="s">
        <v>2903</v>
      </c>
      <c r="E146" s="15">
        <f ca="1">G145-D147</f>
        <v>315000</v>
      </c>
      <c r="F146" s="15">
        <f ca="1">G145-D147-E147</f>
        <v>315000</v>
      </c>
    </row>
    <row r="147" spans="3:7" x14ac:dyDescent="0.35">
      <c r="C147" s="2387" t="s">
        <v>2921</v>
      </c>
      <c r="D147" s="2373">
        <f ca="1">MIN(D145,D144)</f>
        <v>0</v>
      </c>
      <c r="E147" s="2373">
        <f ca="1">MIN(E145,E144)</f>
        <v>0</v>
      </c>
      <c r="F147" s="2373">
        <f ca="1">MIN(F145,F144)</f>
        <v>0</v>
      </c>
      <c r="G147" s="2291"/>
    </row>
    <row r="148" spans="3:7" x14ac:dyDescent="0.35">
      <c r="E148" s="5">
        <v>110000</v>
      </c>
      <c r="F148" s="5">
        <v>110000</v>
      </c>
    </row>
  </sheetData>
  <sheetProtection password="BCD8" sheet="1" objects="1" scenarios="1"/>
  <phoneticPr fontId="0" type="noConversion"/>
  <pageMargins left="0.75" right="0.75" top="1" bottom="1" header="0.5" footer="0.5"/>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77828-3420-486D-B513-4AE84087F1EA}">
  <sheetPr codeName="Sheet56"/>
  <dimension ref="A1:J148"/>
  <sheetViews>
    <sheetView topLeftCell="A136" workbookViewId="0">
      <selection activeCell="K138" sqref="K138"/>
    </sheetView>
  </sheetViews>
  <sheetFormatPr defaultRowHeight="14.5" x14ac:dyDescent="0.35"/>
  <cols>
    <col min="1" max="1" width="16.453125" customWidth="1"/>
    <col min="2" max="2" width="16.36328125" style="5" hidden="1" customWidth="1"/>
    <col min="3" max="3" width="45.453125" hidden="1" customWidth="1"/>
    <col min="4" max="4" width="12.90625" style="5" hidden="1" customWidth="1"/>
    <col min="5" max="5" width="13.453125" style="5" hidden="1" customWidth="1"/>
    <col min="6" max="7" width="12.6328125" style="5" hidden="1" customWidth="1"/>
    <col min="8" max="8" width="12" style="5" hidden="1" customWidth="1"/>
    <col min="9" max="9" width="11.08984375" style="5" hidden="1" customWidth="1"/>
    <col min="13" max="13" width="12.453125" customWidth="1"/>
    <col min="14" max="14" width="12.08984375" customWidth="1"/>
    <col min="15" max="15" width="11.54296875" customWidth="1"/>
    <col min="16" max="16" width="12.54296875" customWidth="1"/>
  </cols>
  <sheetData>
    <row r="1" spans="1:9" x14ac:dyDescent="0.35">
      <c r="B1" s="5" t="s">
        <v>373</v>
      </c>
      <c r="C1" t="s">
        <v>374</v>
      </c>
      <c r="D1" s="5" t="s">
        <v>361</v>
      </c>
      <c r="E1" s="5" t="s">
        <v>362</v>
      </c>
      <c r="F1" s="5" t="s">
        <v>363</v>
      </c>
      <c r="G1" s="5" t="s">
        <v>364</v>
      </c>
      <c r="H1" s="5" t="s">
        <v>371</v>
      </c>
      <c r="I1" s="5" t="s">
        <v>372</v>
      </c>
    </row>
    <row r="2" spans="1:9" x14ac:dyDescent="0.35">
      <c r="C2" t="s">
        <v>251</v>
      </c>
      <c r="D2" s="13">
        <f>text!D1</f>
        <v>45017</v>
      </c>
      <c r="E2" s="13">
        <f>text!E1</f>
        <v>45383</v>
      </c>
      <c r="F2" s="13">
        <f>text!F1</f>
        <v>45748</v>
      </c>
      <c r="G2" s="13">
        <f>text!G1</f>
        <v>46113</v>
      </c>
      <c r="H2" s="13">
        <f>text!H1</f>
        <v>46478</v>
      </c>
      <c r="I2" s="13">
        <f>text!I1</f>
        <v>46844</v>
      </c>
    </row>
    <row r="3" spans="1:9" x14ac:dyDescent="0.35">
      <c r="C3" t="s">
        <v>268</v>
      </c>
      <c r="D3" s="5" t="str">
        <f>text!D2</f>
        <v>2023/24</v>
      </c>
      <c r="E3" s="5" t="str">
        <f>text!E2</f>
        <v>2024/25</v>
      </c>
      <c r="F3" s="5" t="str">
        <f>text!F2</f>
        <v>2025/26</v>
      </c>
      <c r="G3" s="5" t="str">
        <f>text!G2</f>
        <v>2026/27</v>
      </c>
      <c r="H3" s="5" t="str">
        <f>text!H2</f>
        <v>2027/28</v>
      </c>
      <c r="I3" s="5" t="str">
        <f>text!I2</f>
        <v>2028/29</v>
      </c>
    </row>
    <row r="4" spans="1:9" x14ac:dyDescent="0.35">
      <c r="C4" t="s">
        <v>271</v>
      </c>
      <c r="D4" s="5">
        <f>text!D3</f>
        <v>1</v>
      </c>
      <c r="E4" s="5">
        <f>text!E3</f>
        <v>2</v>
      </c>
      <c r="F4" s="5">
        <f>text!F3</f>
        <v>3</v>
      </c>
      <c r="G4" s="5">
        <f>text!G3</f>
        <v>4</v>
      </c>
      <c r="H4" s="5">
        <f>text!H3</f>
        <v>5</v>
      </c>
      <c r="I4" s="5">
        <f>text!I3</f>
        <v>6</v>
      </c>
    </row>
    <row r="5" spans="1:9" x14ac:dyDescent="0.35">
      <c r="C5" t="s">
        <v>272</v>
      </c>
      <c r="D5" s="27">
        <f>rjs!J28</f>
        <v>0</v>
      </c>
      <c r="E5" s="5">
        <f t="shared" ref="E5:I9" si="0">D5</f>
        <v>0</v>
      </c>
      <c r="F5" s="5">
        <f t="shared" si="0"/>
        <v>0</v>
      </c>
      <c r="G5" s="5">
        <f t="shared" si="0"/>
        <v>0</v>
      </c>
      <c r="H5" s="5">
        <f t="shared" si="0"/>
        <v>0</v>
      </c>
      <c r="I5" s="5">
        <f t="shared" si="0"/>
        <v>0</v>
      </c>
    </row>
    <row r="6" spans="1:9" x14ac:dyDescent="0.35">
      <c r="C6" t="s">
        <v>273</v>
      </c>
      <c r="D6" s="5" t="str">
        <f>basic!W3</f>
        <v>e</v>
      </c>
      <c r="E6" s="5" t="str">
        <f t="shared" si="0"/>
        <v>e</v>
      </c>
      <c r="F6" s="5" t="str">
        <f t="shared" si="0"/>
        <v>e</v>
      </c>
      <c r="G6" s="5" t="str">
        <f t="shared" si="0"/>
        <v>e</v>
      </c>
      <c r="H6" s="5" t="str">
        <f t="shared" si="0"/>
        <v>e</v>
      </c>
      <c r="I6" s="5" t="str">
        <f t="shared" si="0"/>
        <v>e</v>
      </c>
    </row>
    <row r="7" spans="1:9" x14ac:dyDescent="0.35">
      <c r="C7" t="s">
        <v>334</v>
      </c>
      <c r="D7" s="5" t="b">
        <f>rjs!P20</f>
        <v>0</v>
      </c>
      <c r="E7" s="5" t="b">
        <f t="shared" si="0"/>
        <v>0</v>
      </c>
      <c r="F7" s="5" t="b">
        <f t="shared" si="0"/>
        <v>0</v>
      </c>
      <c r="G7" s="5" t="b">
        <f t="shared" si="0"/>
        <v>0</v>
      </c>
      <c r="H7" s="5" t="b">
        <f t="shared" si="0"/>
        <v>0</v>
      </c>
      <c r="I7" s="5" t="b">
        <f t="shared" si="0"/>
        <v>0</v>
      </c>
    </row>
    <row r="8" spans="1:9" x14ac:dyDescent="0.35">
      <c r="C8" t="s">
        <v>335</v>
      </c>
      <c r="D8" s="5" t="b">
        <f>rjs!P19</f>
        <v>0</v>
      </c>
      <c r="E8" s="5" t="b">
        <f t="shared" si="0"/>
        <v>0</v>
      </c>
      <c r="F8" s="5" t="b">
        <f t="shared" si="0"/>
        <v>0</v>
      </c>
      <c r="G8" s="5" t="b">
        <f t="shared" si="0"/>
        <v>0</v>
      </c>
      <c r="H8" s="5" t="b">
        <f t="shared" si="0"/>
        <v>0</v>
      </c>
      <c r="I8" s="5" t="b">
        <f t="shared" si="0"/>
        <v>0</v>
      </c>
    </row>
    <row r="9" spans="1:9" x14ac:dyDescent="0.35">
      <c r="C9" t="s">
        <v>336</v>
      </c>
      <c r="D9" s="5" t="b">
        <f>rjs!S27</f>
        <v>0</v>
      </c>
      <c r="E9" s="5" t="b">
        <f t="shared" si="0"/>
        <v>0</v>
      </c>
      <c r="F9" s="5" t="b">
        <f t="shared" si="0"/>
        <v>0</v>
      </c>
      <c r="G9" s="5" t="b">
        <f t="shared" si="0"/>
        <v>0</v>
      </c>
      <c r="H9" s="5" t="b">
        <f t="shared" si="0"/>
        <v>0</v>
      </c>
      <c r="I9" s="5" t="b">
        <f t="shared" si="0"/>
        <v>0</v>
      </c>
    </row>
    <row r="10" spans="1:9" x14ac:dyDescent="0.35">
      <c r="B10" s="5">
        <v>3</v>
      </c>
      <c r="C10" t="s">
        <v>300</v>
      </c>
      <c r="D10" s="5">
        <f>VLOOKUP(D$4,data!$A$33:$E$40,$B10,FALSE)</f>
        <v>12000</v>
      </c>
      <c r="E10" s="5">
        <f>VLOOKUP(E$4,data!$A$33:$E$40,$B10,FALSE)</f>
        <v>12000</v>
      </c>
      <c r="F10" s="5">
        <f>VLOOKUP(F$4,data!$A$33:$E$40,$B10,FALSE)</f>
        <v>12000</v>
      </c>
      <c r="G10" s="5">
        <f>VLOOKUP(G$4,data!$A$33:$E$40,$B10,FALSE)</f>
        <v>12000</v>
      </c>
      <c r="H10" s="5">
        <f>VLOOKUP(H$4,data!$A$33:$E$40,$B10,FALSE)</f>
        <v>12000</v>
      </c>
      <c r="I10" s="5">
        <f>VLOOKUP(I$4,data!$A$33:$E$40,$B10,FALSE)</f>
        <v>12000</v>
      </c>
    </row>
    <row r="11" spans="1:9" x14ac:dyDescent="0.35">
      <c r="B11" s="5">
        <v>4</v>
      </c>
      <c r="C11" t="s">
        <v>301</v>
      </c>
      <c r="D11" s="5">
        <f>VLOOKUP(D$4,data!$A$33:$E$40,$B11,FALSE)</f>
        <v>15000</v>
      </c>
      <c r="E11" s="5">
        <f>VLOOKUP(E$4,data!$A$33:$E$40,$B11,FALSE)</f>
        <v>15000</v>
      </c>
      <c r="F11" s="5">
        <f>VLOOKUP(F$4,data!$A$33:$E$40,$B11,FALSE)</f>
        <v>15000</v>
      </c>
      <c r="G11" s="5">
        <f>VLOOKUP(G$4,data!$A$33:$E$40,$B11,FALSE)</f>
        <v>15000</v>
      </c>
      <c r="H11" s="5">
        <f>VLOOKUP(H$4,data!$A$33:$E$40,$B11,FALSE)</f>
        <v>15000</v>
      </c>
      <c r="I11" s="5">
        <f>VLOOKUP(I$4,data!$A$33:$E$40,$B11,FALSE)</f>
        <v>15000</v>
      </c>
    </row>
    <row r="12" spans="1:9" x14ac:dyDescent="0.35">
      <c r="B12" s="5">
        <v>5</v>
      </c>
      <c r="C12" t="s">
        <v>302</v>
      </c>
      <c r="D12" s="5">
        <f>VLOOKUP(D$4,data!$A$33:$E$40,$B12,FALSE)</f>
        <v>51000</v>
      </c>
      <c r="E12" s="5">
        <f>VLOOKUP(E$4,data!$A$33:$E$40,$B12,FALSE)</f>
        <v>51000</v>
      </c>
      <c r="F12" s="5">
        <f>VLOOKUP(F$4,data!$A$33:$E$40,$B12,FALSE)</f>
        <v>51000</v>
      </c>
      <c r="G12" s="5">
        <f>VLOOKUP(G$4,data!$A$33:$E$40,$B12,FALSE)</f>
        <v>51000</v>
      </c>
      <c r="H12" s="5">
        <f>VLOOKUP(H$4,data!$A$33:$E$40,$B12,FALSE)</f>
        <v>51000</v>
      </c>
      <c r="I12" s="5">
        <f>VLOOKUP(I$4,data!$A$33:$E$40,$B12,FALSE)</f>
        <v>51000</v>
      </c>
    </row>
    <row r="13" spans="1:9" x14ac:dyDescent="0.35">
      <c r="A13" t="s">
        <v>306</v>
      </c>
      <c r="B13" s="5">
        <f>IF(D6="e",3,IF(D6="l",4,5))</f>
        <v>3</v>
      </c>
      <c r="C13" t="s">
        <v>304</v>
      </c>
      <c r="D13" s="5">
        <f>VLOOKUP(D$4,data!$A$22:$F$30,$B13,FALSE)</f>
        <v>20000</v>
      </c>
      <c r="E13" s="5">
        <f>VLOOKUP(E$4,data!$A$22:$F$30,$B13,FALSE)</f>
        <v>20000</v>
      </c>
      <c r="F13" s="5">
        <f>VLOOKUP(F$4,data!$A$22:$F$30,$B13,FALSE)</f>
        <v>20000</v>
      </c>
      <c r="G13" s="5">
        <f>VLOOKUP(G$4,data!$A$22:$F$30,$B13,FALSE)</f>
        <v>20000</v>
      </c>
      <c r="H13" s="5">
        <f>VLOOKUP(H$4,data!$A$22:$F$30,$B13,FALSE)</f>
        <v>20000</v>
      </c>
      <c r="I13" s="5">
        <f>VLOOKUP(I$4,data!$A$22:$F$30,$B13,FALSE)</f>
        <v>20000</v>
      </c>
    </row>
    <row r="14" spans="1:9" x14ac:dyDescent="0.35">
      <c r="B14" s="5">
        <v>6</v>
      </c>
      <c r="C14" t="s">
        <v>305</v>
      </c>
      <c r="D14" s="5">
        <f>VLOOKUP(D$4,data!$A$22:$F$30,$B14,FALSE)</f>
        <v>100000</v>
      </c>
      <c r="E14" s="5">
        <f>VLOOKUP(E$4,data!$A$22:$F$30,$B14,FALSE)</f>
        <v>100000</v>
      </c>
      <c r="F14" s="5">
        <f>VLOOKUP(F$4,data!$A$22:$F$30,$B14,FALSE)</f>
        <v>100000</v>
      </c>
      <c r="G14" s="5">
        <f>VLOOKUP(G$4,data!$A$22:$F$30,$B14,FALSE)</f>
        <v>100000</v>
      </c>
      <c r="H14" s="5">
        <f>VLOOKUP(H$4,data!$A$22:$F$30,$B14,FALSE)</f>
        <v>100000</v>
      </c>
      <c r="I14" s="5">
        <f>VLOOKUP(I$4,data!$A$22:$F$30,$B14,FALSE)</f>
        <v>100000</v>
      </c>
    </row>
    <row r="15" spans="1:9" x14ac:dyDescent="0.35">
      <c r="C15" s="24" t="s">
        <v>307</v>
      </c>
      <c r="D15" s="23"/>
      <c r="E15" s="23"/>
      <c r="F15" s="23"/>
      <c r="G15" s="23"/>
      <c r="H15" s="23"/>
      <c r="I15" s="23"/>
    </row>
    <row r="16" spans="1:9" x14ac:dyDescent="0.35">
      <c r="C16" t="s">
        <v>559</v>
      </c>
      <c r="D16" s="5">
        <f>rjs!T3</f>
        <v>1</v>
      </c>
      <c r="E16" s="5">
        <f>D16</f>
        <v>1</v>
      </c>
      <c r="F16" s="5">
        <f>E16</f>
        <v>1</v>
      </c>
      <c r="G16" s="5">
        <f>F16</f>
        <v>1</v>
      </c>
      <c r="H16" s="5">
        <f>G16</f>
        <v>1</v>
      </c>
      <c r="I16" s="5">
        <f>H16</f>
        <v>1</v>
      </c>
    </row>
    <row r="17" spans="2:9" x14ac:dyDescent="0.35">
      <c r="C17" t="s">
        <v>561</v>
      </c>
      <c r="D17" s="5" t="str">
        <f t="shared" ref="D17:I17" si="1">IF(D78=FALSE,"-",IF(D16=D4,"R x J/S",IF(D38=TRUE,"Phased","True")))</f>
        <v>R x J/S</v>
      </c>
      <c r="E17" s="5" t="str">
        <f t="shared" si="1"/>
        <v>True</v>
      </c>
      <c r="F17" s="5" t="str">
        <f t="shared" si="1"/>
        <v>True</v>
      </c>
      <c r="G17" s="5" t="str">
        <f t="shared" si="1"/>
        <v>True</v>
      </c>
      <c r="H17" s="5" t="str">
        <f t="shared" si="1"/>
        <v>True</v>
      </c>
      <c r="I17" s="5" t="str">
        <f t="shared" si="1"/>
        <v>True</v>
      </c>
    </row>
    <row r="18" spans="2:9" x14ac:dyDescent="0.35">
      <c r="C18" t="s">
        <v>360</v>
      </c>
      <c r="D18" s="15"/>
      <c r="E18" s="15">
        <f>D28</f>
        <v>0</v>
      </c>
      <c r="F18" s="15">
        <f>IF(F16=E4,F40,E28)</f>
        <v>0</v>
      </c>
      <c r="G18" s="15">
        <f>IF(G16=F4,G40,F28)</f>
        <v>0</v>
      </c>
      <c r="H18" s="15">
        <f>IF(H16=G4,H40,G28)</f>
        <v>0</v>
      </c>
      <c r="I18" s="15">
        <f>IF(I16=H4,I40,H28)</f>
        <v>0</v>
      </c>
    </row>
    <row r="19" spans="2:9" x14ac:dyDescent="0.35">
      <c r="C19" t="s">
        <v>312</v>
      </c>
      <c r="E19" s="15">
        <f>E18</f>
        <v>0</v>
      </c>
      <c r="F19" s="15">
        <f>F18</f>
        <v>0</v>
      </c>
      <c r="G19" s="15">
        <f>G18</f>
        <v>0</v>
      </c>
      <c r="H19" s="15">
        <f>H18</f>
        <v>0</v>
      </c>
      <c r="I19" s="15">
        <f>I18</f>
        <v>0</v>
      </c>
    </row>
    <row r="20" spans="2:9" x14ac:dyDescent="0.35">
      <c r="B20" s="5">
        <v>3</v>
      </c>
      <c r="C20" t="s">
        <v>275</v>
      </c>
      <c r="D20" s="5">
        <f>VLOOKUP(D$4,data!$A$53:$C$59,$B20,FALSE)</f>
        <v>0.499</v>
      </c>
      <c r="E20" s="5">
        <f>VLOOKUP(E$4,data!$A$53:$C$59,$B20,FALSE)</f>
        <v>0.499</v>
      </c>
      <c r="F20" s="5">
        <f>VLOOKUP(F$4,data!$A$53:$C$59,$B20,FALSE)</f>
        <v>0.499</v>
      </c>
      <c r="G20" s="5">
        <f>VLOOKUP(G$4,data!$A$53:$C$59,$B20,FALSE)</f>
        <v>0.51900000000000002</v>
      </c>
      <c r="H20" s="5">
        <f>VLOOKUP(H$4,data!$A$53:$C$59,$B20,FALSE)</f>
        <v>0.54</v>
      </c>
      <c r="I20" s="5">
        <f>VLOOKUP(I$4,data!$A$53:$C$59,$B20,FALSE)</f>
        <v>0.56200000000000006</v>
      </c>
    </row>
    <row r="21" spans="2:9" x14ac:dyDescent="0.35">
      <c r="C21" t="s">
        <v>276</v>
      </c>
      <c r="D21" s="5">
        <f t="shared" ref="D21:I21" si="2">D5*D20</f>
        <v>0</v>
      </c>
      <c r="E21" s="5">
        <f t="shared" si="2"/>
        <v>0</v>
      </c>
      <c r="F21" s="5">
        <f t="shared" si="2"/>
        <v>0</v>
      </c>
      <c r="G21" s="5">
        <f t="shared" si="2"/>
        <v>0</v>
      </c>
      <c r="H21" s="5">
        <f t="shared" si="2"/>
        <v>0</v>
      </c>
      <c r="I21" s="5">
        <f t="shared" si="2"/>
        <v>0</v>
      </c>
    </row>
    <row r="22" spans="2:9" x14ac:dyDescent="0.35">
      <c r="C22" t="s">
        <v>277</v>
      </c>
      <c r="D22" s="5" t="str">
        <f t="shared" ref="D22:I22" si="3">IF(D21&gt;D19,"l","w")</f>
        <v>w</v>
      </c>
      <c r="E22" s="5" t="str">
        <f t="shared" si="3"/>
        <v>w</v>
      </c>
      <c r="F22" s="5" t="str">
        <f t="shared" si="3"/>
        <v>w</v>
      </c>
      <c r="G22" s="5" t="str">
        <f t="shared" si="3"/>
        <v>w</v>
      </c>
      <c r="H22" s="5" t="str">
        <f t="shared" si="3"/>
        <v>w</v>
      </c>
      <c r="I22" s="5" t="str">
        <f t="shared" si="3"/>
        <v>w</v>
      </c>
    </row>
    <row r="23" spans="2:9" x14ac:dyDescent="0.35">
      <c r="C23" t="s">
        <v>278</v>
      </c>
      <c r="D23" s="5" t="str">
        <f t="shared" ref="D23:I23" si="4">IF(D5&lt;=D13,"s",IF(D5&lt;=D14,"m","l"))</f>
        <v>s</v>
      </c>
      <c r="E23" s="5" t="str">
        <f t="shared" si="4"/>
        <v>s</v>
      </c>
      <c r="F23" s="5" t="str">
        <f t="shared" si="4"/>
        <v>s</v>
      </c>
      <c r="G23" s="5" t="str">
        <f t="shared" si="4"/>
        <v>s</v>
      </c>
      <c r="H23" s="5" t="str">
        <f t="shared" si="4"/>
        <v>s</v>
      </c>
      <c r="I23" s="5" t="str">
        <f t="shared" si="4"/>
        <v>s</v>
      </c>
    </row>
    <row r="24" spans="2:9" x14ac:dyDescent="0.35">
      <c r="C24" t="s">
        <v>279</v>
      </c>
      <c r="D24" s="5" t="str">
        <f t="shared" ref="D24:I24" si="5">D22&amp;D23</f>
        <v>ws</v>
      </c>
      <c r="E24" s="5" t="str">
        <f t="shared" si="5"/>
        <v>ws</v>
      </c>
      <c r="F24" s="5" t="str">
        <f t="shared" si="5"/>
        <v>ws</v>
      </c>
      <c r="G24" s="5" t="str">
        <f t="shared" si="5"/>
        <v>ws</v>
      </c>
      <c r="H24" s="5" t="str">
        <f t="shared" si="5"/>
        <v>ws</v>
      </c>
      <c r="I24" s="5" t="str">
        <f t="shared" si="5"/>
        <v>ws</v>
      </c>
    </row>
    <row r="25" spans="2:9" x14ac:dyDescent="0.35">
      <c r="C25" t="s">
        <v>313</v>
      </c>
      <c r="D25" s="5">
        <f>HLOOKUP(D24,data!$C$2:$H$10,D4+1,FALSE)</f>
        <v>0</v>
      </c>
      <c r="E25" s="5">
        <f>HLOOKUP(E24,data!$C$2:$H$10,E4+1,FALSE)</f>
        <v>0</v>
      </c>
      <c r="F25" s="5">
        <f>HLOOKUP(F24,data!$C$2:$H$10,F4+1,FALSE)</f>
        <v>0</v>
      </c>
      <c r="G25" s="5">
        <f>HLOOKUP(G24,data!$C$2:$H$10,G4+1,FALSE)</f>
        <v>45</v>
      </c>
      <c r="H25" s="5">
        <f>HLOOKUP(H24,data!$C$2:$H$10,H4+1,FALSE)</f>
        <v>45</v>
      </c>
      <c r="I25" s="5">
        <f>HLOOKUP(I24,data!$C$2:$H$10,I4+1,FALSE)</f>
        <v>0</v>
      </c>
    </row>
    <row r="26" spans="2:9" x14ac:dyDescent="0.35">
      <c r="B26" s="5">
        <v>4</v>
      </c>
      <c r="C26" t="s">
        <v>314</v>
      </c>
      <c r="D26" s="5">
        <f>VLOOKUP(D$4,data!$A$53:$D$60,$B26,FALSE)</f>
        <v>1</v>
      </c>
      <c r="E26" s="5">
        <f>VLOOKUP(E$4,data!$A$53:$D$60,$B26,FALSE)</f>
        <v>1</v>
      </c>
      <c r="F26" s="5">
        <f>VLOOKUP(F$4,data!$A$53:$D$60,$B26,FALSE)</f>
        <v>1</v>
      </c>
      <c r="G26" s="5">
        <f>VLOOKUP(G$4,data!$A$53:$D$60,$B26,FALSE)</f>
        <v>1.04</v>
      </c>
      <c r="H26" s="5">
        <f>VLOOKUP(H$4,data!$A$53:$D$60,$B26,FALSE)</f>
        <v>1.04</v>
      </c>
      <c r="I26" s="5">
        <f>VLOOKUP(I$4,data!$A$53:$D$60,$B26,FALSE)</f>
        <v>1.0409999999999999</v>
      </c>
    </row>
    <row r="27" spans="2:9" x14ac:dyDescent="0.35">
      <c r="C27" t="s">
        <v>280</v>
      </c>
      <c r="D27" s="5">
        <f t="shared" ref="D27:I27" si="6">IF(D25=0,1,D25*D26/100)</f>
        <v>1</v>
      </c>
      <c r="E27" s="5">
        <f t="shared" si="6"/>
        <v>1</v>
      </c>
      <c r="F27" s="5">
        <f t="shared" si="6"/>
        <v>1</v>
      </c>
      <c r="G27" s="5">
        <f t="shared" si="6"/>
        <v>0.46800000000000003</v>
      </c>
      <c r="H27" s="5">
        <f t="shared" si="6"/>
        <v>0.46800000000000003</v>
      </c>
      <c r="I27" s="5">
        <f t="shared" si="6"/>
        <v>1</v>
      </c>
    </row>
    <row r="28" spans="2:9" x14ac:dyDescent="0.35">
      <c r="C28" t="s">
        <v>281</v>
      </c>
      <c r="D28" s="15">
        <f>D41</f>
        <v>0</v>
      </c>
      <c r="E28" s="5">
        <f>E19*E27</f>
        <v>0</v>
      </c>
      <c r="F28" s="5">
        <f>F19*F27</f>
        <v>0</v>
      </c>
      <c r="G28" s="5">
        <f>G19*G27</f>
        <v>0</v>
      </c>
      <c r="H28" s="5">
        <f>H19*H27</f>
        <v>0</v>
      </c>
      <c r="I28" s="5">
        <f>I19*I27</f>
        <v>0</v>
      </c>
    </row>
    <row r="29" spans="2:9" x14ac:dyDescent="0.35">
      <c r="B29" s="5" t="s">
        <v>1075</v>
      </c>
      <c r="C29" t="s">
        <v>282</v>
      </c>
      <c r="D29" s="1218" t="b">
        <v>0</v>
      </c>
      <c r="E29" s="5" t="b">
        <f>E22&lt;&gt;D22</f>
        <v>0</v>
      </c>
      <c r="F29" s="5" t="b">
        <f>F22&lt;&gt;E22</f>
        <v>0</v>
      </c>
      <c r="G29" s="5" t="b">
        <f>G22&lt;&gt;F22</f>
        <v>0</v>
      </c>
      <c r="H29" s="5" t="b">
        <f>H22&lt;&gt;G22</f>
        <v>0</v>
      </c>
      <c r="I29" s="5" t="b">
        <f>I22&lt;&gt;H22</f>
        <v>0</v>
      </c>
    </row>
    <row r="30" spans="2:9" x14ac:dyDescent="0.35">
      <c r="B30" s="5" t="s">
        <v>1076</v>
      </c>
      <c r="C30" t="s">
        <v>1079</v>
      </c>
      <c r="D30" s="5" t="b">
        <f t="shared" ref="D30:I30" si="7">AND(D21&gt;D19,D21&gt;D28)</f>
        <v>0</v>
      </c>
      <c r="E30" s="5" t="b">
        <f t="shared" si="7"/>
        <v>0</v>
      </c>
      <c r="F30" s="5" t="b">
        <f t="shared" si="7"/>
        <v>0</v>
      </c>
      <c r="G30" s="5" t="b">
        <f t="shared" si="7"/>
        <v>0</v>
      </c>
      <c r="H30" s="5" t="b">
        <f t="shared" si="7"/>
        <v>0</v>
      </c>
      <c r="I30" s="5" t="b">
        <f t="shared" si="7"/>
        <v>0</v>
      </c>
    </row>
    <row r="31" spans="2:9" x14ac:dyDescent="0.35">
      <c r="B31" s="5" t="s">
        <v>1077</v>
      </c>
      <c r="C31" t="s">
        <v>1080</v>
      </c>
      <c r="D31" s="5" t="b">
        <f t="shared" ref="D31:I31" si="8">AND(D21&lt;D19,D21&lt;D28)</f>
        <v>0</v>
      </c>
      <c r="E31" s="5" t="b">
        <f t="shared" si="8"/>
        <v>0</v>
      </c>
      <c r="F31" s="5" t="b">
        <f t="shared" si="8"/>
        <v>0</v>
      </c>
      <c r="G31" s="5" t="b">
        <f t="shared" si="8"/>
        <v>0</v>
      </c>
      <c r="H31" s="5" t="b">
        <f t="shared" si="8"/>
        <v>0</v>
      </c>
      <c r="I31" s="5" t="b">
        <f t="shared" si="8"/>
        <v>0</v>
      </c>
    </row>
    <row r="32" spans="2:9" x14ac:dyDescent="0.35">
      <c r="B32" s="5" t="s">
        <v>252</v>
      </c>
      <c r="C32" t="s">
        <v>253</v>
      </c>
      <c r="D32" s="5" t="b">
        <f t="shared" ref="D32:I32" si="9">OR(D30=TRUE,D31=TRUE)</f>
        <v>0</v>
      </c>
      <c r="E32" s="5" t="b">
        <f t="shared" si="9"/>
        <v>0</v>
      </c>
      <c r="F32" s="5" t="b">
        <f t="shared" si="9"/>
        <v>0</v>
      </c>
      <c r="G32" s="5" t="b">
        <f t="shared" si="9"/>
        <v>0</v>
      </c>
      <c r="H32" s="5" t="b">
        <f t="shared" si="9"/>
        <v>0</v>
      </c>
      <c r="I32" s="5" t="b">
        <f t="shared" si="9"/>
        <v>0</v>
      </c>
    </row>
    <row r="33" spans="2:9" x14ac:dyDescent="0.35">
      <c r="B33" s="5" t="s">
        <v>254</v>
      </c>
      <c r="C33" t="s">
        <v>255</v>
      </c>
      <c r="D33" s="1218" t="b">
        <v>1</v>
      </c>
      <c r="E33" s="5" t="b">
        <f>D38</f>
        <v>0</v>
      </c>
      <c r="F33" s="5" t="b">
        <f>E38</f>
        <v>0</v>
      </c>
      <c r="G33" s="5" t="b">
        <f>F38</f>
        <v>0</v>
      </c>
      <c r="H33" s="5" t="b">
        <f>G38</f>
        <v>0</v>
      </c>
      <c r="I33" s="5" t="b">
        <f>H38</f>
        <v>0</v>
      </c>
    </row>
    <row r="34" spans="2:9" x14ac:dyDescent="0.35">
      <c r="B34" s="5" t="s">
        <v>256</v>
      </c>
      <c r="C34" t="s">
        <v>259</v>
      </c>
      <c r="D34" s="5" t="b">
        <f t="shared" ref="D34:I34" si="10">D25&lt;&gt;0</f>
        <v>0</v>
      </c>
      <c r="E34" s="5" t="b">
        <f t="shared" si="10"/>
        <v>0</v>
      </c>
      <c r="F34" s="5" t="b">
        <f t="shared" si="10"/>
        <v>0</v>
      </c>
      <c r="G34" s="5" t="b">
        <f t="shared" si="10"/>
        <v>1</v>
      </c>
      <c r="H34" s="5" t="b">
        <f t="shared" si="10"/>
        <v>1</v>
      </c>
      <c r="I34" s="5" t="b">
        <f t="shared" si="10"/>
        <v>0</v>
      </c>
    </row>
    <row r="35" spans="2:9" x14ac:dyDescent="0.35">
      <c r="B35" s="5" t="s">
        <v>257</v>
      </c>
      <c r="C35" t="s">
        <v>1099</v>
      </c>
      <c r="D35" s="1022" t="b">
        <v>1</v>
      </c>
      <c r="E35" s="1022" t="b">
        <f>D35</f>
        <v>1</v>
      </c>
      <c r="F35" s="1022" t="b">
        <f>E35</f>
        <v>1</v>
      </c>
      <c r="G35" s="1022" t="b">
        <f>F35</f>
        <v>1</v>
      </c>
      <c r="H35" s="1022" t="b">
        <f>G35</f>
        <v>1</v>
      </c>
      <c r="I35" s="1022" t="b">
        <f>H35</f>
        <v>1</v>
      </c>
    </row>
    <row r="36" spans="2:9" x14ac:dyDescent="0.35">
      <c r="B36" s="5" t="s">
        <v>258</v>
      </c>
      <c r="C36" t="s">
        <v>261</v>
      </c>
      <c r="D36" s="5" t="b">
        <f t="shared" ref="D36:I36" si="11">D5&gt;0</f>
        <v>0</v>
      </c>
      <c r="E36" s="5" t="b">
        <f t="shared" si="11"/>
        <v>0</v>
      </c>
      <c r="F36" s="5" t="b">
        <f t="shared" si="11"/>
        <v>0</v>
      </c>
      <c r="G36" s="5" t="b">
        <f t="shared" si="11"/>
        <v>0</v>
      </c>
      <c r="H36" s="5" t="b">
        <f t="shared" si="11"/>
        <v>0</v>
      </c>
      <c r="I36" s="5" t="b">
        <f t="shared" si="11"/>
        <v>0</v>
      </c>
    </row>
    <row r="37" spans="2:9" x14ac:dyDescent="0.35">
      <c r="B37" s="5" t="s">
        <v>2162</v>
      </c>
      <c r="C37" t="s">
        <v>1100</v>
      </c>
      <c r="D37" s="5" t="b">
        <v>0</v>
      </c>
      <c r="E37" s="5" t="b">
        <v>0</v>
      </c>
      <c r="F37" s="5" t="b">
        <v>0</v>
      </c>
      <c r="G37" s="5" t="b">
        <v>0</v>
      </c>
      <c r="H37" s="5" t="b">
        <v>0</v>
      </c>
      <c r="I37" s="5" t="b">
        <v>0</v>
      </c>
    </row>
    <row r="38" spans="2:9" x14ac:dyDescent="0.35">
      <c r="C38" t="s">
        <v>283</v>
      </c>
      <c r="D38" s="5" t="b">
        <f>D41&lt;&gt;D21</f>
        <v>0</v>
      </c>
      <c r="E38" s="5" t="b">
        <f>AND(E29=FALSE,E32=TRUE,E33=TRUE,E34=TRUE,E35=TRUE,E36=TRUE,E37=FALSE)</f>
        <v>0</v>
      </c>
      <c r="F38" s="5" t="b">
        <f>AND(F29=FALSE,F32=TRUE,F33=TRUE,F34=TRUE,F35=TRUE,F36=TRUE,F37=FALSE)</f>
        <v>0</v>
      </c>
      <c r="G38" s="5" t="b">
        <f>AND(G29=FALSE,G32=TRUE,G33=TRUE,G34=TRUE,G35=TRUE,G36=TRUE,G37=FALSE)</f>
        <v>0</v>
      </c>
      <c r="H38" s="5" t="b">
        <f>AND(H29=FALSE,H32=TRUE,H33=TRUE,H34=TRUE,H35=TRUE,H36=TRUE,H37=FALSE)</f>
        <v>0</v>
      </c>
      <c r="I38" s="5" t="b">
        <f>AND(I29=FALSE,I32=TRUE,I33=TRUE,I34=TRUE,I35=TRUE,I36=TRUE,I37=FALSE)</f>
        <v>0</v>
      </c>
    </row>
    <row r="39" spans="2:9" x14ac:dyDescent="0.35">
      <c r="C39" t="s">
        <v>1098</v>
      </c>
      <c r="D39" s="15">
        <f t="shared" ref="D39:I39" si="12">IF(D38=TRUE,D28,D21)</f>
        <v>0</v>
      </c>
      <c r="E39" s="15">
        <f t="shared" si="12"/>
        <v>0</v>
      </c>
      <c r="F39" s="15">
        <f t="shared" si="12"/>
        <v>0</v>
      </c>
      <c r="G39" s="15">
        <f t="shared" si="12"/>
        <v>0</v>
      </c>
      <c r="H39" s="15">
        <f t="shared" si="12"/>
        <v>0</v>
      </c>
      <c r="I39" s="15">
        <f t="shared" si="12"/>
        <v>0</v>
      </c>
    </row>
    <row r="40" spans="2:9" x14ac:dyDescent="0.35">
      <c r="C40" t="s">
        <v>1097</v>
      </c>
      <c r="D40" s="15">
        <f>rjs!J30</f>
        <v>0</v>
      </c>
      <c r="E40" s="15">
        <f>D40</f>
        <v>0</v>
      </c>
      <c r="F40" s="15">
        <f>E40</f>
        <v>0</v>
      </c>
      <c r="G40" s="15">
        <f>F40</f>
        <v>0</v>
      </c>
      <c r="H40" s="15">
        <f>G40</f>
        <v>0</v>
      </c>
      <c r="I40" s="15">
        <f>H40</f>
        <v>0</v>
      </c>
    </row>
    <row r="41" spans="2:9" x14ac:dyDescent="0.35">
      <c r="B41" s="5" t="s">
        <v>421</v>
      </c>
      <c r="C41" t="s">
        <v>316</v>
      </c>
      <c r="D41" s="1198">
        <f t="shared" ref="D41:I41" si="13">IF(D16&gt;D4,0,IF(D16=D4,D40-(D5*D43),D39))</f>
        <v>0</v>
      </c>
      <c r="E41" s="1198">
        <f t="shared" si="13"/>
        <v>0</v>
      </c>
      <c r="F41" s="1198">
        <f t="shared" si="13"/>
        <v>0</v>
      </c>
      <c r="G41" s="1198">
        <f t="shared" si="13"/>
        <v>0</v>
      </c>
      <c r="H41" s="1198">
        <f t="shared" si="13"/>
        <v>0</v>
      </c>
      <c r="I41" s="1198">
        <f t="shared" si="13"/>
        <v>0</v>
      </c>
    </row>
    <row r="42" spans="2:9" x14ac:dyDescent="0.35">
      <c r="C42" t="s">
        <v>2156</v>
      </c>
      <c r="D42" s="5" t="str">
        <f>IF(D38=FALSE,"ta",IF(D22="w","tp","tr"))</f>
        <v>ta</v>
      </c>
    </row>
    <row r="43" spans="2:9" x14ac:dyDescent="0.35">
      <c r="B43" s="5">
        <v>6</v>
      </c>
      <c r="C43" t="s">
        <v>638</v>
      </c>
      <c r="D43" s="5">
        <f>VLOOKUP(D$4,data!$A$33:$F$40,$B43,FALSE)</f>
        <v>1.2999999999999999E-2</v>
      </c>
      <c r="E43" s="5">
        <f>VLOOKUP(E$4,data!$A$33:$F$40,$B43,FALSE)</f>
        <v>4.7000000000000042E-2</v>
      </c>
      <c r="F43" s="5">
        <f>VLOOKUP(F$4,data!$A$33:$F$40,$B43,FALSE)</f>
        <v>5.600000000000005E-2</v>
      </c>
      <c r="G43" s="5">
        <f>VLOOKUP(G$4,data!$A$33:$F$40,$B43,FALSE)</f>
        <v>5.600000000000005E-2</v>
      </c>
      <c r="H43" s="5">
        <f>VLOOKUP(H$4,data!$A$33:$F$40,$B43,FALSE)</f>
        <v>5.600000000000005E-2</v>
      </c>
      <c r="I43" s="5">
        <f>VLOOKUP(I$4,data!$A$33:$F$40,$B43,FALSE)</f>
        <v>5.600000000000005E-2</v>
      </c>
    </row>
    <row r="44" spans="2:9" x14ac:dyDescent="0.35">
      <c r="C44" t="s">
        <v>640</v>
      </c>
      <c r="D44" s="5" t="b">
        <f>IF(OR(D7=TRUE,D8=TRUE),TRUE,IF(D5&lt;D12,FALSE,TRUE))</f>
        <v>0</v>
      </c>
      <c r="E44" s="5" t="b">
        <f>IF(E5&lt;E12,FALSE,TRUE)</f>
        <v>0</v>
      </c>
      <c r="F44" s="5" t="b">
        <f>IF(F5&lt;F12,FALSE,TRUE)</f>
        <v>0</v>
      </c>
      <c r="G44" s="5" t="b">
        <f>IF(G5&lt;G12,FALSE,TRUE)</f>
        <v>0</v>
      </c>
      <c r="H44" s="5" t="b">
        <f>IF(H5&lt;H12,FALSE,TRUE)</f>
        <v>0</v>
      </c>
      <c r="I44" s="5" t="b">
        <f>IF(I5&lt;I12,FALSE,TRUE)</f>
        <v>0</v>
      </c>
    </row>
    <row r="45" spans="2:9" x14ac:dyDescent="0.35">
      <c r="C45" t="s">
        <v>641</v>
      </c>
      <c r="D45" s="5">
        <f t="shared" ref="D45:I45" si="14">D5*D43*D44</f>
        <v>0</v>
      </c>
      <c r="E45" s="5">
        <f t="shared" si="14"/>
        <v>0</v>
      </c>
      <c r="F45" s="5">
        <f t="shared" si="14"/>
        <v>0</v>
      </c>
      <c r="G45" s="5">
        <f t="shared" si="14"/>
        <v>0</v>
      </c>
      <c r="H45" s="5">
        <f t="shared" si="14"/>
        <v>0</v>
      </c>
      <c r="I45" s="5">
        <f t="shared" si="14"/>
        <v>0</v>
      </c>
    </row>
    <row r="46" spans="2:9" x14ac:dyDescent="0.35">
      <c r="B46" s="2291">
        <f>IF(D5&lt;D12,11,5)</f>
        <v>11</v>
      </c>
      <c r="C46" t="s">
        <v>642</v>
      </c>
      <c r="D46" s="5">
        <f>VLOOKUP(D$4,data!$A$53:$K$59,$B46,FALSE)</f>
        <v>1.4E-2</v>
      </c>
      <c r="E46" s="5">
        <f>VLOOKUP(E$4,data!$A$53:$K$59,$B46,FALSE)</f>
        <v>1.6E-2</v>
      </c>
      <c r="F46" s="5">
        <f>VLOOKUP(F$4,data!$A$53:$K$59,$B46,FALSE)</f>
        <v>0.02</v>
      </c>
      <c r="G46" s="5">
        <f>VLOOKUP(G$4,data!$A$53:$K$59,$B46,FALSE)</f>
        <v>0</v>
      </c>
      <c r="H46" s="5">
        <f>VLOOKUP(H$4,data!$A$53:$K$59,$B46,FALSE)</f>
        <v>0</v>
      </c>
      <c r="I46" s="5">
        <f>VLOOKUP(I$4,data!$A$53:$K$59,$B46,FALSE)</f>
        <v>0</v>
      </c>
    </row>
    <row r="47" spans="2:9" x14ac:dyDescent="0.35">
      <c r="C47" t="s">
        <v>643</v>
      </c>
      <c r="D47" s="5" t="b">
        <f t="shared" ref="D47:I47" si="15">D6="c"</f>
        <v>0</v>
      </c>
      <c r="E47" s="5" t="b">
        <f t="shared" si="15"/>
        <v>0</v>
      </c>
      <c r="F47" s="5" t="b">
        <f t="shared" si="15"/>
        <v>0</v>
      </c>
      <c r="G47" s="5" t="b">
        <f t="shared" si="15"/>
        <v>0</v>
      </c>
      <c r="H47" s="5" t="b">
        <f t="shared" si="15"/>
        <v>0</v>
      </c>
      <c r="I47" s="5" t="b">
        <f t="shared" si="15"/>
        <v>0</v>
      </c>
    </row>
    <row r="48" spans="2:9" x14ac:dyDescent="0.35">
      <c r="C48" t="s">
        <v>644</v>
      </c>
      <c r="D48" s="5">
        <f t="shared" ref="D48:I48" si="16">D5*D46*D47</f>
        <v>0</v>
      </c>
      <c r="E48" s="5">
        <f t="shared" si="16"/>
        <v>0</v>
      </c>
      <c r="F48" s="5">
        <f t="shared" si="16"/>
        <v>0</v>
      </c>
      <c r="G48" s="5">
        <f t="shared" si="16"/>
        <v>0</v>
      </c>
      <c r="H48" s="5">
        <f t="shared" si="16"/>
        <v>0</v>
      </c>
      <c r="I48" s="5">
        <f t="shared" si="16"/>
        <v>0</v>
      </c>
    </row>
    <row r="49" spans="1:9" x14ac:dyDescent="0.35">
      <c r="B49" s="5">
        <v>6</v>
      </c>
      <c r="C49" t="s">
        <v>645</v>
      </c>
      <c r="D49" s="5">
        <f>VLOOKUP(D$4,data!$A$53:$G$59,$B49,FALSE)</f>
        <v>0.02</v>
      </c>
      <c r="E49" s="5">
        <f>VLOOKUP(E$4,data!$A$53:$G$59,$B49,FALSE)</f>
        <v>0.02</v>
      </c>
      <c r="F49" s="5">
        <f>VLOOKUP(F$4,data!$A$53:$G$59,$B49,FALSE)</f>
        <v>0.02</v>
      </c>
      <c r="G49" s="5">
        <f>VLOOKUP(G$4,data!$A$53:$G$59,$B49,FALSE)</f>
        <v>0.02</v>
      </c>
      <c r="H49" s="5">
        <f>VLOOKUP(H$4,data!$A$53:$G$59,$B49,FALSE)</f>
        <v>0.02</v>
      </c>
      <c r="I49" s="5">
        <f>VLOOKUP(I$4,data!$A$53:$G$59,$B49,FALSE)</f>
        <v>0.02</v>
      </c>
    </row>
    <row r="50" spans="1:9" x14ac:dyDescent="0.35">
      <c r="B50" s="5">
        <v>7</v>
      </c>
      <c r="C50" t="s">
        <v>322</v>
      </c>
      <c r="D50" s="5">
        <f>VLOOKUP(D$4,data!$A$53:$G$59,$B50,FALSE)</f>
        <v>75000</v>
      </c>
      <c r="E50" s="5">
        <f>VLOOKUP(E$4,data!$A$53:$G$59,$B50,FALSE)</f>
        <v>75000</v>
      </c>
      <c r="F50" s="5">
        <f>VLOOKUP(F$4,data!$A$53:$G$59,$B50,FALSE)</f>
        <v>75000</v>
      </c>
      <c r="G50" s="5">
        <f>VLOOKUP(G$4,data!$A$53:$G$59,$B50,FALSE)</f>
        <v>75000</v>
      </c>
      <c r="H50" s="5">
        <f>VLOOKUP(H$4,data!$A$53:$G$59,$B50,FALSE)</f>
        <v>75000</v>
      </c>
      <c r="I50" s="5">
        <f>VLOOKUP(I$4,data!$A$53:$G$59,$B50,FALSE)</f>
        <v>75000</v>
      </c>
    </row>
    <row r="51" spans="1:9" x14ac:dyDescent="0.35">
      <c r="A51" t="s">
        <v>2410</v>
      </c>
      <c r="B51" s="12" t="str">
        <f>IF(D51=TRUE,"Crossrail","")</f>
        <v/>
      </c>
      <c r="C51" t="s">
        <v>646</v>
      </c>
      <c r="D51" s="5" t="b">
        <f t="shared" ref="D51:I51" si="17">AND(D6&lt;&gt;"e",D5&gt;D50)</f>
        <v>0</v>
      </c>
      <c r="E51" s="5" t="b">
        <f t="shared" si="17"/>
        <v>0</v>
      </c>
      <c r="F51" s="5" t="b">
        <f t="shared" si="17"/>
        <v>0</v>
      </c>
      <c r="G51" s="5" t="b">
        <f t="shared" si="17"/>
        <v>0</v>
      </c>
      <c r="H51" s="5" t="b">
        <f t="shared" si="17"/>
        <v>0</v>
      </c>
      <c r="I51" s="5" t="b">
        <f t="shared" si="17"/>
        <v>0</v>
      </c>
    </row>
    <row r="52" spans="1:9" x14ac:dyDescent="0.35">
      <c r="C52" t="s">
        <v>652</v>
      </c>
      <c r="D52" s="5">
        <f t="shared" ref="D52:I52" si="18">D5*D49*D51</f>
        <v>0</v>
      </c>
      <c r="E52" s="5">
        <f t="shared" si="18"/>
        <v>0</v>
      </c>
      <c r="F52" s="5">
        <f t="shared" si="18"/>
        <v>0</v>
      </c>
      <c r="G52" s="5">
        <f t="shared" si="18"/>
        <v>0</v>
      </c>
      <c r="H52" s="5">
        <f t="shared" si="18"/>
        <v>0</v>
      </c>
      <c r="I52" s="5">
        <f t="shared" si="18"/>
        <v>0</v>
      </c>
    </row>
    <row r="53" spans="1:9" x14ac:dyDescent="0.35">
      <c r="C53" t="s">
        <v>325</v>
      </c>
      <c r="D53" s="5">
        <f t="shared" ref="D53:I53" si="19">(D11-D10)/(D5-D10)</f>
        <v>-0.25</v>
      </c>
      <c r="E53" s="5">
        <f t="shared" si="19"/>
        <v>-0.25</v>
      </c>
      <c r="F53" s="5">
        <f t="shared" si="19"/>
        <v>-0.25</v>
      </c>
      <c r="G53" s="5">
        <f t="shared" si="19"/>
        <v>-0.25</v>
      </c>
      <c r="H53" s="5">
        <f t="shared" si="19"/>
        <v>-0.25</v>
      </c>
      <c r="I53" s="5">
        <f t="shared" si="19"/>
        <v>-0.25</v>
      </c>
    </row>
    <row r="54" spans="1:9" x14ac:dyDescent="0.35">
      <c r="C54" t="s">
        <v>326</v>
      </c>
      <c r="D54" s="5">
        <f t="shared" ref="D54:I54" si="20">IF(MID(D53,6,1)="5",-0.0001,0)</f>
        <v>0</v>
      </c>
      <c r="E54" s="5">
        <f t="shared" si="20"/>
        <v>0</v>
      </c>
      <c r="F54" s="5">
        <f t="shared" si="20"/>
        <v>0</v>
      </c>
      <c r="G54" s="5">
        <f t="shared" si="20"/>
        <v>0</v>
      </c>
      <c r="H54" s="5">
        <f t="shared" si="20"/>
        <v>0</v>
      </c>
      <c r="I54" s="5">
        <f t="shared" si="20"/>
        <v>0</v>
      </c>
    </row>
    <row r="55" spans="1:9" x14ac:dyDescent="0.35">
      <c r="C55" t="s">
        <v>327</v>
      </c>
      <c r="D55" s="5">
        <f t="shared" ref="D55:I55" si="21">IF(D60=FALSE,1,IF(D5&lt;=D10,5000000,IF(D5&gt;=D11,1,ROUND((D53+D54),3))))</f>
        <v>1</v>
      </c>
      <c r="E55" s="5">
        <f t="shared" si="21"/>
        <v>1</v>
      </c>
      <c r="F55" s="5">
        <f t="shared" si="21"/>
        <v>1</v>
      </c>
      <c r="G55" s="5">
        <f t="shared" si="21"/>
        <v>1</v>
      </c>
      <c r="H55" s="5">
        <f t="shared" si="21"/>
        <v>1</v>
      </c>
      <c r="I55" s="5">
        <f t="shared" si="21"/>
        <v>1</v>
      </c>
    </row>
    <row r="56" spans="1:9" x14ac:dyDescent="0.35">
      <c r="C56" t="s">
        <v>328</v>
      </c>
      <c r="D56" s="5" t="b">
        <f t="shared" ref="D56:I56" si="22">D9</f>
        <v>0</v>
      </c>
      <c r="E56" s="5" t="b">
        <f t="shared" si="22"/>
        <v>0</v>
      </c>
      <c r="F56" s="5" t="b">
        <f t="shared" si="22"/>
        <v>0</v>
      </c>
      <c r="G56" s="5" t="b">
        <f t="shared" si="22"/>
        <v>0</v>
      </c>
      <c r="H56" s="5" t="b">
        <f t="shared" si="22"/>
        <v>0</v>
      </c>
      <c r="I56" s="5" t="b">
        <f t="shared" si="22"/>
        <v>0</v>
      </c>
    </row>
    <row r="57" spans="1:9" x14ac:dyDescent="0.35">
      <c r="C57" t="s">
        <v>329</v>
      </c>
      <c r="D57" s="5" t="b">
        <f t="shared" ref="D57:I57" si="23">D5&lt;D11</f>
        <v>1</v>
      </c>
      <c r="E57" s="5" t="b">
        <f t="shared" si="23"/>
        <v>1</v>
      </c>
      <c r="F57" s="5" t="b">
        <f t="shared" si="23"/>
        <v>1</v>
      </c>
      <c r="G57" s="5" t="b">
        <f t="shared" si="23"/>
        <v>1</v>
      </c>
      <c r="H57" s="5" t="b">
        <f t="shared" si="23"/>
        <v>1</v>
      </c>
      <c r="I57" s="5" t="b">
        <f t="shared" si="23"/>
        <v>1</v>
      </c>
    </row>
    <row r="58" spans="1:9" x14ac:dyDescent="0.35">
      <c r="C58" t="s">
        <v>330</v>
      </c>
      <c r="D58" s="5" t="b">
        <f t="shared" ref="D58:I59" si="24">D7=FALSE</f>
        <v>1</v>
      </c>
      <c r="E58" s="5" t="b">
        <f t="shared" si="24"/>
        <v>1</v>
      </c>
      <c r="F58" s="5" t="b">
        <f t="shared" si="24"/>
        <v>1</v>
      </c>
      <c r="G58" s="5" t="b">
        <f t="shared" si="24"/>
        <v>1</v>
      </c>
      <c r="H58" s="5" t="b">
        <f t="shared" si="24"/>
        <v>1</v>
      </c>
      <c r="I58" s="5" t="b">
        <f t="shared" si="24"/>
        <v>1</v>
      </c>
    </row>
    <row r="59" spans="1:9" x14ac:dyDescent="0.35">
      <c r="C59" t="s">
        <v>331</v>
      </c>
      <c r="D59" s="5" t="b">
        <f t="shared" si="24"/>
        <v>1</v>
      </c>
      <c r="E59" s="5" t="b">
        <f t="shared" si="24"/>
        <v>1</v>
      </c>
      <c r="F59" s="5" t="b">
        <f t="shared" si="24"/>
        <v>1</v>
      </c>
      <c r="G59" s="5" t="b">
        <f t="shared" si="24"/>
        <v>1</v>
      </c>
      <c r="H59" s="5" t="b">
        <f t="shared" si="24"/>
        <v>1</v>
      </c>
      <c r="I59" s="5" t="b">
        <f t="shared" si="24"/>
        <v>1</v>
      </c>
    </row>
    <row r="60" spans="1:9" x14ac:dyDescent="0.35">
      <c r="C60" t="s">
        <v>332</v>
      </c>
      <c r="D60" s="5" t="b">
        <f t="shared" ref="D60:I60" si="25">D56+D57+D58+D59=4</f>
        <v>0</v>
      </c>
      <c r="E60" s="5" t="b">
        <f t="shared" si="25"/>
        <v>0</v>
      </c>
      <c r="F60" s="5" t="b">
        <f t="shared" si="25"/>
        <v>0</v>
      </c>
      <c r="G60" s="5" t="b">
        <f t="shared" si="25"/>
        <v>0</v>
      </c>
      <c r="H60" s="5" t="b">
        <f t="shared" si="25"/>
        <v>0</v>
      </c>
      <c r="I60" s="5" t="b">
        <f t="shared" si="25"/>
        <v>0</v>
      </c>
    </row>
    <row r="61" spans="1:9" x14ac:dyDescent="0.35">
      <c r="B61" s="5">
        <f>basic!W28</f>
        <v>1</v>
      </c>
      <c r="C61" t="s">
        <v>653</v>
      </c>
      <c r="D61" s="5" t="str">
        <f>INDEX(authorities!$A:$A,$B$61)</f>
        <v>Enter Levying Authority</v>
      </c>
      <c r="E61" s="5" t="str">
        <f>INDEX(authorities!$A:$A,$B$61)</f>
        <v>Enter Levying Authority</v>
      </c>
      <c r="F61" s="5" t="str">
        <f>INDEX(authorities!$A:$A,$B$61)</f>
        <v>Enter Levying Authority</v>
      </c>
      <c r="G61" s="5" t="str">
        <f>INDEX(authorities!$A:$A,$B$61)</f>
        <v>Enter Levying Authority</v>
      </c>
      <c r="H61" s="5" t="str">
        <f>INDEX(authorities!$A:$A,$B$61)</f>
        <v>Enter Levying Authority</v>
      </c>
      <c r="I61" s="5" t="str">
        <f>INDEX(authorities!$A:$A,$B$61)</f>
        <v>Enter Levying Authority</v>
      </c>
    </row>
    <row r="62" spans="1:9" x14ac:dyDescent="0.35">
      <c r="C62" t="s">
        <v>648</v>
      </c>
      <c r="D62" s="5">
        <f>IF($B$61&gt;1,VLOOKUP(D61,authorities!$A:$H,D4+1,FALSE),0)</f>
        <v>0</v>
      </c>
      <c r="E62" s="5">
        <f>IF($B$61&gt;1,VLOOKUP(E61,authorities!$A:$H,E4+1,FALSE),0)</f>
        <v>0</v>
      </c>
      <c r="F62" s="5">
        <f>IF($B$61&gt;1,VLOOKUP(F61,authorities!$A:$H,F4+1,FALSE),0)</f>
        <v>0</v>
      </c>
      <c r="G62" s="5">
        <f>IF($B$61&gt;1,VLOOKUP(G61,authorities!$A:$H,G4+1,FALSE),0)</f>
        <v>0</v>
      </c>
      <c r="H62" s="5">
        <f>IF($B$61&gt;1,VLOOKUP(H61,authorities!$A:$H,H4+1,FALSE),0)</f>
        <v>0</v>
      </c>
      <c r="I62" s="5">
        <f>IF($B$61&gt;1,VLOOKUP(I61,authorities!$A:$H,I4+1,FALSE),0)</f>
        <v>0</v>
      </c>
    </row>
    <row r="63" spans="1:9" x14ac:dyDescent="0.35">
      <c r="B63" s="5">
        <f>COLUMN(authorities!I1)</f>
        <v>9</v>
      </c>
      <c r="C63" t="s">
        <v>649</v>
      </c>
      <c r="D63" s="5" t="str">
        <f>VLOOKUP(D61,authorities!$A:$I,$B$63,FALSE)</f>
        <v>RV limit</v>
      </c>
      <c r="E63" s="5" t="str">
        <f>VLOOKUP(E61,authorities!$A:$I,$B$63,FALSE)</f>
        <v>RV limit</v>
      </c>
      <c r="F63" s="5" t="str">
        <f>VLOOKUP(F61,authorities!$A:$I,$B$63,FALSE)</f>
        <v>RV limit</v>
      </c>
      <c r="G63" s="5" t="str">
        <f>VLOOKUP(G61,authorities!$A:$I,$B$63,FALSE)</f>
        <v>RV limit</v>
      </c>
      <c r="H63" s="5" t="str">
        <f>VLOOKUP(H61,authorities!$A:$I,$B$63,FALSE)</f>
        <v>RV limit</v>
      </c>
      <c r="I63" s="5" t="str">
        <f>VLOOKUP(I61,authorities!$A:$I,$B$63,FALSE)</f>
        <v>RV limit</v>
      </c>
    </row>
    <row r="64" spans="1:9" x14ac:dyDescent="0.35">
      <c r="A64" t="s">
        <v>2410</v>
      </c>
      <c r="B64" s="12" t="str">
        <f>IF(D64=TRUE,D61,"")</f>
        <v/>
      </c>
      <c r="C64" t="s">
        <v>650</v>
      </c>
      <c r="D64" s="5" t="b">
        <f t="shared" ref="D64:I64" si="26">D5&gt;D63</f>
        <v>0</v>
      </c>
      <c r="E64" s="5" t="b">
        <f t="shared" si="26"/>
        <v>0</v>
      </c>
      <c r="F64" s="5" t="b">
        <f t="shared" si="26"/>
        <v>0</v>
      </c>
      <c r="G64" s="5" t="b">
        <f t="shared" si="26"/>
        <v>0</v>
      </c>
      <c r="H64" s="5" t="b">
        <f t="shared" si="26"/>
        <v>0</v>
      </c>
      <c r="I64" s="5" t="b">
        <f t="shared" si="26"/>
        <v>0</v>
      </c>
    </row>
    <row r="65" spans="2:9" x14ac:dyDescent="0.35">
      <c r="C65" t="s">
        <v>651</v>
      </c>
      <c r="D65" s="5">
        <f t="shared" ref="D65:I65" si="27">D5*D62*D64</f>
        <v>0</v>
      </c>
      <c r="E65" s="5">
        <f t="shared" si="27"/>
        <v>0</v>
      </c>
      <c r="F65" s="5">
        <f t="shared" si="27"/>
        <v>0</v>
      </c>
      <c r="G65" s="5">
        <f t="shared" si="27"/>
        <v>0</v>
      </c>
      <c r="H65" s="5">
        <f t="shared" si="27"/>
        <v>0</v>
      </c>
      <c r="I65" s="5">
        <f t="shared" si="27"/>
        <v>0</v>
      </c>
    </row>
    <row r="66" spans="2:9" x14ac:dyDescent="0.35">
      <c r="B66" s="5">
        <v>3</v>
      </c>
      <c r="C66" t="s">
        <v>291</v>
      </c>
      <c r="D66" s="5">
        <f>VLOOKUP(D$4,data!$A$13:$C$19,$B66,FALSE)</f>
        <v>366</v>
      </c>
      <c r="E66" s="5">
        <f>VLOOKUP(E$4,data!$A$13:$C$19,$B66,FALSE)</f>
        <v>365</v>
      </c>
      <c r="F66" s="5">
        <f>VLOOKUP(F$4,data!$A$13:$C$19,$B66,FALSE)</f>
        <v>365</v>
      </c>
      <c r="G66" s="5">
        <f>VLOOKUP(G$4,data!$A$13:$C$19,$B66,FALSE)</f>
        <v>365</v>
      </c>
      <c r="H66" s="5">
        <f>VLOOKUP(H$4,data!$A$13:$C$19,$B66,FALSE)</f>
        <v>366</v>
      </c>
      <c r="I66" s="5">
        <f>VLOOKUP(I$4,data!$A$13:$C$19,$B66,FALSE)</f>
        <v>365</v>
      </c>
    </row>
    <row r="67" spans="2:9" x14ac:dyDescent="0.35">
      <c r="C67" t="s">
        <v>324</v>
      </c>
      <c r="D67" s="5">
        <f t="shared" ref="D67:I67" si="28">D81</f>
        <v>366</v>
      </c>
      <c r="E67" s="5">
        <f t="shared" si="28"/>
        <v>365</v>
      </c>
      <c r="F67" s="5">
        <f t="shared" si="28"/>
        <v>365</v>
      </c>
      <c r="G67" s="5">
        <f t="shared" si="28"/>
        <v>365</v>
      </c>
      <c r="H67" s="5">
        <f t="shared" si="28"/>
        <v>366</v>
      </c>
      <c r="I67" s="5">
        <f t="shared" si="28"/>
        <v>365</v>
      </c>
    </row>
    <row r="68" spans="2:9" x14ac:dyDescent="0.35">
      <c r="C68" t="s">
        <v>377</v>
      </c>
      <c r="D68" s="5">
        <f t="shared" ref="D68:I68" ca="1" si="29">(D41+D45+D48+D52+D65)/D55*D70</f>
        <v>0</v>
      </c>
      <c r="E68" s="5">
        <f t="shared" ca="1" si="29"/>
        <v>0</v>
      </c>
      <c r="F68" s="5">
        <f t="shared" ca="1" si="29"/>
        <v>0</v>
      </c>
      <c r="G68" s="5">
        <f t="shared" ca="1" si="29"/>
        <v>0</v>
      </c>
      <c r="H68" s="5">
        <f t="shared" ca="1" si="29"/>
        <v>0</v>
      </c>
      <c r="I68" s="5">
        <f t="shared" ca="1" si="29"/>
        <v>0</v>
      </c>
    </row>
    <row r="69" spans="2:9" x14ac:dyDescent="0.35">
      <c r="C69" t="s">
        <v>375</v>
      </c>
      <c r="D69" s="5">
        <f t="shared" ref="D69:I69" ca="1" si="30">D68/D66</f>
        <v>0</v>
      </c>
      <c r="E69" s="5">
        <f t="shared" ca="1" si="30"/>
        <v>0</v>
      </c>
      <c r="F69" s="5">
        <f t="shared" ca="1" si="30"/>
        <v>0</v>
      </c>
      <c r="G69" s="5">
        <f t="shared" ca="1" si="30"/>
        <v>0</v>
      </c>
      <c r="H69" s="5">
        <f t="shared" ca="1" si="30"/>
        <v>0</v>
      </c>
      <c r="I69" s="5">
        <f t="shared" ca="1" si="30"/>
        <v>0</v>
      </c>
    </row>
    <row r="70" spans="2:9" x14ac:dyDescent="0.35">
      <c r="C70" t="s">
        <v>647</v>
      </c>
      <c r="D70" s="5" t="b">
        <f ca="1">codes!J29</f>
        <v>1</v>
      </c>
      <c r="E70" s="5" t="b">
        <f ca="1">codes!J30</f>
        <v>1</v>
      </c>
      <c r="F70" s="5" t="b">
        <f ca="1">codes!J31</f>
        <v>1</v>
      </c>
      <c r="G70" s="5" t="b">
        <f ca="1">codes!J32</f>
        <v>1</v>
      </c>
      <c r="H70" s="5" t="b">
        <f ca="1">codes!J33</f>
        <v>1</v>
      </c>
      <c r="I70" s="5" t="b">
        <f ca="1">codes!J34</f>
        <v>1</v>
      </c>
    </row>
    <row r="72" spans="2:9" x14ac:dyDescent="0.35">
      <c r="C72" s="9" t="s">
        <v>341</v>
      </c>
    </row>
    <row r="73" spans="2:9" x14ac:dyDescent="0.35">
      <c r="C73" t="s">
        <v>342</v>
      </c>
      <c r="D73" s="13">
        <f>rjs!J18</f>
        <v>0</v>
      </c>
      <c r="E73" s="13">
        <f>D73</f>
        <v>0</v>
      </c>
      <c r="F73" s="13">
        <f>E73</f>
        <v>0</v>
      </c>
      <c r="G73" s="13">
        <f>F73</f>
        <v>0</v>
      </c>
      <c r="H73" s="13">
        <f>G73</f>
        <v>0</v>
      </c>
      <c r="I73" s="13">
        <f>H73</f>
        <v>0</v>
      </c>
    </row>
    <row r="74" spans="2:9" x14ac:dyDescent="0.35">
      <c r="C74" t="s">
        <v>343</v>
      </c>
      <c r="D74" s="13">
        <f t="shared" ref="D74:I74" si="31">D75</f>
        <v>45382</v>
      </c>
      <c r="E74" s="13">
        <f t="shared" si="31"/>
        <v>45747</v>
      </c>
      <c r="F74" s="13">
        <f t="shared" si="31"/>
        <v>46112</v>
      </c>
      <c r="G74" s="13">
        <f t="shared" si="31"/>
        <v>46477</v>
      </c>
      <c r="H74" s="13">
        <f t="shared" si="31"/>
        <v>46843</v>
      </c>
      <c r="I74" s="13">
        <f t="shared" si="31"/>
        <v>47208</v>
      </c>
    </row>
    <row r="75" spans="2:9" x14ac:dyDescent="0.35">
      <c r="C75" t="s">
        <v>267</v>
      </c>
      <c r="D75" s="13">
        <f t="shared" ref="D75:I75" si="32">D2+D66-1</f>
        <v>45382</v>
      </c>
      <c r="E75" s="13">
        <f t="shared" si="32"/>
        <v>45747</v>
      </c>
      <c r="F75" s="13">
        <f t="shared" si="32"/>
        <v>46112</v>
      </c>
      <c r="G75" s="13">
        <f t="shared" si="32"/>
        <v>46477</v>
      </c>
      <c r="H75" s="13">
        <f t="shared" si="32"/>
        <v>46843</v>
      </c>
      <c r="I75" s="13">
        <f t="shared" si="32"/>
        <v>47208</v>
      </c>
    </row>
    <row r="76" spans="2:9" x14ac:dyDescent="0.35">
      <c r="C76" t="s">
        <v>344</v>
      </c>
      <c r="D76" s="5" t="b">
        <f t="shared" ref="D76:I76" si="33">AND(D2&lt;=D73,D73&lt;=D75)</f>
        <v>0</v>
      </c>
      <c r="E76" s="5" t="b">
        <f t="shared" si="33"/>
        <v>0</v>
      </c>
      <c r="F76" s="5" t="b">
        <f t="shared" si="33"/>
        <v>0</v>
      </c>
      <c r="G76" s="5" t="b">
        <f t="shared" si="33"/>
        <v>0</v>
      </c>
      <c r="H76" s="5" t="b">
        <f t="shared" si="33"/>
        <v>0</v>
      </c>
      <c r="I76" s="5" t="b">
        <f t="shared" si="33"/>
        <v>0</v>
      </c>
    </row>
    <row r="77" spans="2:9" x14ac:dyDescent="0.35">
      <c r="C77" t="s">
        <v>345</v>
      </c>
      <c r="D77" s="5" t="b">
        <f t="shared" ref="D77:I77" si="34">AND(D2&lt;=D74,D74&lt;=D75)</f>
        <v>1</v>
      </c>
      <c r="E77" s="5" t="b">
        <f t="shared" si="34"/>
        <v>1</v>
      </c>
      <c r="F77" s="5" t="b">
        <f t="shared" si="34"/>
        <v>1</v>
      </c>
      <c r="G77" s="5" t="b">
        <f t="shared" si="34"/>
        <v>1</v>
      </c>
      <c r="H77" s="5" t="b">
        <f t="shared" si="34"/>
        <v>1</v>
      </c>
      <c r="I77" s="5" t="b">
        <f t="shared" si="34"/>
        <v>1</v>
      </c>
    </row>
    <row r="78" spans="2:9" x14ac:dyDescent="0.35">
      <c r="C78" t="s">
        <v>346</v>
      </c>
      <c r="D78" s="5" t="b">
        <f t="shared" ref="D78:I78" si="35">D4&gt;=D16</f>
        <v>1</v>
      </c>
      <c r="E78" s="5" t="b">
        <f t="shared" si="35"/>
        <v>1</v>
      </c>
      <c r="F78" s="5" t="b">
        <f t="shared" si="35"/>
        <v>1</v>
      </c>
      <c r="G78" s="5" t="b">
        <f t="shared" si="35"/>
        <v>1</v>
      </c>
      <c r="H78" s="5" t="b">
        <f t="shared" si="35"/>
        <v>1</v>
      </c>
      <c r="I78" s="5" t="b">
        <f t="shared" si="35"/>
        <v>1</v>
      </c>
    </row>
    <row r="79" spans="2:9" x14ac:dyDescent="0.35">
      <c r="C79" t="s">
        <v>354</v>
      </c>
      <c r="D79" s="13">
        <f t="shared" ref="D79:I79" si="36">IF(D78=FALSE,0,IF(D76=TRUE,D73,D2))</f>
        <v>45017</v>
      </c>
      <c r="E79" s="13">
        <f t="shared" si="36"/>
        <v>45383</v>
      </c>
      <c r="F79" s="13">
        <f t="shared" si="36"/>
        <v>45748</v>
      </c>
      <c r="G79" s="13">
        <f t="shared" si="36"/>
        <v>46113</v>
      </c>
      <c r="H79" s="13">
        <f t="shared" si="36"/>
        <v>46478</v>
      </c>
      <c r="I79" s="13">
        <f t="shared" si="36"/>
        <v>46844</v>
      </c>
    </row>
    <row r="80" spans="2:9" x14ac:dyDescent="0.35">
      <c r="C80" t="s">
        <v>355</v>
      </c>
      <c r="D80" s="13">
        <f t="shared" ref="D80:I80" si="37">IF(D78=FALSE,0,IF(D77=TRUE,D74,D75))</f>
        <v>45382</v>
      </c>
      <c r="E80" s="13">
        <f t="shared" si="37"/>
        <v>45747</v>
      </c>
      <c r="F80" s="13">
        <f t="shared" si="37"/>
        <v>46112</v>
      </c>
      <c r="G80" s="13">
        <f t="shared" si="37"/>
        <v>46477</v>
      </c>
      <c r="H80" s="13">
        <f t="shared" si="37"/>
        <v>46843</v>
      </c>
      <c r="I80" s="13">
        <f t="shared" si="37"/>
        <v>47208</v>
      </c>
    </row>
    <row r="81" spans="1:9" x14ac:dyDescent="0.35">
      <c r="C81" t="s">
        <v>324</v>
      </c>
      <c r="D81" s="5">
        <f t="shared" ref="D81:I81" si="38">(D80-D79+1)*D78</f>
        <v>366</v>
      </c>
      <c r="E81" s="5">
        <f t="shared" si="38"/>
        <v>365</v>
      </c>
      <c r="F81" s="5">
        <f t="shared" si="38"/>
        <v>365</v>
      </c>
      <c r="G81" s="5">
        <f t="shared" si="38"/>
        <v>365</v>
      </c>
      <c r="H81" s="5">
        <f t="shared" si="38"/>
        <v>366</v>
      </c>
      <c r="I81" s="5">
        <f t="shared" si="38"/>
        <v>365</v>
      </c>
    </row>
    <row r="82" spans="1:9" x14ac:dyDescent="0.35">
      <c r="C82" t="s">
        <v>381</v>
      </c>
      <c r="D82" s="5">
        <f t="shared" ref="D82:I82" ca="1" si="39">D68</f>
        <v>0</v>
      </c>
      <c r="E82" s="5">
        <f t="shared" ca="1" si="39"/>
        <v>0</v>
      </c>
      <c r="F82" s="5">
        <f t="shared" ca="1" si="39"/>
        <v>0</v>
      </c>
      <c r="G82" s="5">
        <f t="shared" ca="1" si="39"/>
        <v>0</v>
      </c>
      <c r="H82" s="5">
        <f t="shared" ca="1" si="39"/>
        <v>0</v>
      </c>
      <c r="I82" s="5">
        <f t="shared" ca="1" si="39"/>
        <v>0</v>
      </c>
    </row>
    <row r="83" spans="1:9" x14ac:dyDescent="0.35">
      <c r="C83" s="9" t="s">
        <v>401</v>
      </c>
    </row>
    <row r="84" spans="1:9" s="9" customFormat="1" x14ac:dyDescent="0.35">
      <c r="C84" t="s">
        <v>356</v>
      </c>
      <c r="D84" s="5">
        <f t="shared" ref="D84:I84" ca="1" si="40">D108*-1</f>
        <v>0</v>
      </c>
      <c r="E84" s="5">
        <f t="shared" ca="1" si="40"/>
        <v>0</v>
      </c>
      <c r="F84" s="5">
        <f t="shared" ca="1" si="40"/>
        <v>0</v>
      </c>
      <c r="G84" s="5">
        <f t="shared" ca="1" si="40"/>
        <v>0</v>
      </c>
      <c r="H84" s="5">
        <f t="shared" ca="1" si="40"/>
        <v>0</v>
      </c>
      <c r="I84" s="5">
        <f t="shared" ca="1" si="40"/>
        <v>0</v>
      </c>
    </row>
    <row r="85" spans="1:9" x14ac:dyDescent="0.35">
      <c r="A85" t="s">
        <v>909</v>
      </c>
      <c r="B85" s="5" t="b">
        <f ca="1">SUM(D85:I85)&lt;0</f>
        <v>0</v>
      </c>
      <c r="C85" t="s">
        <v>380</v>
      </c>
      <c r="D85" s="5">
        <f t="shared" ref="D85:I85" ca="1" si="41">D98*-1</f>
        <v>0</v>
      </c>
      <c r="E85" s="5">
        <f t="shared" ca="1" si="41"/>
        <v>0</v>
      </c>
      <c r="F85" s="5">
        <f t="shared" ca="1" si="41"/>
        <v>0</v>
      </c>
      <c r="G85" s="5">
        <f t="shared" ca="1" si="41"/>
        <v>0</v>
      </c>
      <c r="H85" s="5">
        <f t="shared" ca="1" si="41"/>
        <v>0</v>
      </c>
      <c r="I85" s="5">
        <f t="shared" ca="1" si="41"/>
        <v>0</v>
      </c>
    </row>
    <row r="86" spans="1:9" x14ac:dyDescent="0.35">
      <c r="C86" t="s">
        <v>403</v>
      </c>
      <c r="D86" s="5">
        <f t="shared" ref="D86:I86" ca="1" si="42">D117*-1</f>
        <v>0</v>
      </c>
      <c r="E86" s="5">
        <f t="shared" ca="1" si="42"/>
        <v>0</v>
      </c>
      <c r="F86" s="5">
        <f t="shared" ca="1" si="42"/>
        <v>0</v>
      </c>
      <c r="G86" s="5">
        <f t="shared" ca="1" si="42"/>
        <v>0</v>
      </c>
      <c r="H86" s="5">
        <f t="shared" ca="1" si="42"/>
        <v>0</v>
      </c>
      <c r="I86" s="5">
        <f t="shared" ca="1" si="42"/>
        <v>0</v>
      </c>
    </row>
    <row r="87" spans="1:9" x14ac:dyDescent="0.35">
      <c r="A87" t="s">
        <v>909</v>
      </c>
      <c r="B87" s="5" t="b">
        <f ca="1">SUM(D87:I87)&lt;0</f>
        <v>0</v>
      </c>
      <c r="C87" t="s">
        <v>1696</v>
      </c>
      <c r="D87" s="5">
        <f t="shared" ref="D87:I87" ca="1" si="43">D134*-1</f>
        <v>0</v>
      </c>
      <c r="E87" s="5">
        <f t="shared" ca="1" si="43"/>
        <v>0</v>
      </c>
      <c r="F87" s="5">
        <f t="shared" ca="1" si="43"/>
        <v>0</v>
      </c>
      <c r="G87" s="5">
        <f t="shared" ca="1" si="43"/>
        <v>0</v>
      </c>
      <c r="H87" s="5">
        <f t="shared" ca="1" si="43"/>
        <v>0</v>
      </c>
      <c r="I87" s="5">
        <f t="shared" ca="1" si="43"/>
        <v>0</v>
      </c>
    </row>
    <row r="88" spans="1:9" x14ac:dyDescent="0.35">
      <c r="A88" t="s">
        <v>909</v>
      </c>
      <c r="B88" s="5" t="b">
        <f>SUM(D88:I88)&lt;0</f>
        <v>0</v>
      </c>
      <c r="C88" t="s">
        <v>1062</v>
      </c>
    </row>
    <row r="89" spans="1:9" x14ac:dyDescent="0.35">
      <c r="A89" t="s">
        <v>909</v>
      </c>
      <c r="B89" s="5" t="b">
        <f>SUM(D89:I89)&lt;0</f>
        <v>0</v>
      </c>
      <c r="C89" t="s">
        <v>357</v>
      </c>
    </row>
    <row r="90" spans="1:9" x14ac:dyDescent="0.35">
      <c r="A90" t="s">
        <v>909</v>
      </c>
      <c r="B90" s="5" t="b">
        <f>SUM(D90:I90)&lt;0</f>
        <v>0</v>
      </c>
      <c r="C90" t="s">
        <v>358</v>
      </c>
    </row>
    <row r="91" spans="1:9" x14ac:dyDescent="0.35">
      <c r="A91" t="s">
        <v>909</v>
      </c>
      <c r="B91" s="5" t="b">
        <f>SUM(D91:I91)&lt;0</f>
        <v>0</v>
      </c>
      <c r="C91" t="s">
        <v>402</v>
      </c>
    </row>
    <row r="92" spans="1:9" x14ac:dyDescent="0.35">
      <c r="C92" t="s">
        <v>378</v>
      </c>
      <c r="D92" s="5">
        <f t="shared" ref="D92:I92" ca="1" si="44">SUM(D82:D91)</f>
        <v>0</v>
      </c>
      <c r="E92" s="5">
        <f t="shared" ca="1" si="44"/>
        <v>0</v>
      </c>
      <c r="F92" s="5">
        <f t="shared" ca="1" si="44"/>
        <v>0</v>
      </c>
      <c r="G92" s="5">
        <f t="shared" ca="1" si="44"/>
        <v>0</v>
      </c>
      <c r="H92" s="5">
        <f t="shared" ca="1" si="44"/>
        <v>0</v>
      </c>
      <c r="I92" s="5">
        <f t="shared" ca="1" si="44"/>
        <v>0</v>
      </c>
    </row>
    <row r="93" spans="1:9" x14ac:dyDescent="0.35">
      <c r="A93" t="s">
        <v>909</v>
      </c>
      <c r="B93" s="5" t="b">
        <f ca="1">SUM(D93:I93)&lt;0</f>
        <v>0</v>
      </c>
      <c r="C93" t="s">
        <v>1063</v>
      </c>
      <c r="D93" s="5">
        <f t="shared" ref="D93:I93" ca="1" si="45">IF(D140&lt;&gt;"",D140*-1,0)</f>
        <v>0</v>
      </c>
      <c r="E93" s="5">
        <f t="shared" ca="1" si="45"/>
        <v>0</v>
      </c>
      <c r="F93" s="5">
        <f t="shared" ca="1" si="45"/>
        <v>0</v>
      </c>
      <c r="G93" s="5">
        <f t="shared" ca="1" si="45"/>
        <v>0</v>
      </c>
      <c r="H93" s="5">
        <f t="shared" ca="1" si="45"/>
        <v>0</v>
      </c>
      <c r="I93" s="5">
        <f t="shared" ca="1" si="45"/>
        <v>0</v>
      </c>
    </row>
    <row r="94" spans="1:9" x14ac:dyDescent="0.35">
      <c r="A94" t="b">
        <f>A101+A109=2</f>
        <v>1</v>
      </c>
      <c r="B94" s="5">
        <v>0</v>
      </c>
      <c r="C94" t="s">
        <v>376</v>
      </c>
      <c r="D94" s="1198">
        <f t="shared" ref="D94:I94" ca="1" si="46">IF($A94=FALSE,$B94,ROUND((D92/D66*D67)+D93,2))*D95</f>
        <v>0</v>
      </c>
      <c r="E94" s="1198">
        <f t="shared" ca="1" si="46"/>
        <v>0</v>
      </c>
      <c r="F94" s="1198">
        <f t="shared" ca="1" si="46"/>
        <v>0</v>
      </c>
      <c r="G94" s="1198">
        <f t="shared" ca="1" si="46"/>
        <v>0</v>
      </c>
      <c r="H94" s="1198">
        <f t="shared" ca="1" si="46"/>
        <v>0</v>
      </c>
      <c r="I94" s="1198">
        <f t="shared" ca="1" si="46"/>
        <v>0</v>
      </c>
    </row>
    <row r="95" spans="1:9" x14ac:dyDescent="0.35">
      <c r="A95" t="s">
        <v>1026</v>
      </c>
      <c r="D95" s="5" t="b">
        <f>data!$G$13</f>
        <v>1</v>
      </c>
      <c r="E95" s="5" t="b">
        <f>data!$G$14</f>
        <v>1</v>
      </c>
      <c r="F95" s="5" t="b">
        <f>data!$G$15</f>
        <v>1</v>
      </c>
      <c r="G95" s="5" t="b">
        <f>data!$G$16</f>
        <v>0</v>
      </c>
      <c r="H95" s="5" t="b">
        <f>data!$G$17</f>
        <v>0</v>
      </c>
      <c r="I95" s="5" t="b">
        <f>data!$G$18</f>
        <v>0</v>
      </c>
    </row>
    <row r="96" spans="1:9" x14ac:dyDescent="0.35">
      <c r="B96" s="5" t="b">
        <f>D100+D101=2</f>
        <v>0</v>
      </c>
      <c r="C96" s="9" t="s">
        <v>408</v>
      </c>
    </row>
    <row r="97" spans="1:9" x14ac:dyDescent="0.35">
      <c r="C97" t="s">
        <v>1695</v>
      </c>
      <c r="D97" s="5">
        <f t="shared" ref="D97:I97" ca="1" si="47">D68+D84</f>
        <v>0</v>
      </c>
      <c r="E97" s="5">
        <f t="shared" ca="1" si="47"/>
        <v>0</v>
      </c>
      <c r="F97" s="5">
        <f t="shared" ca="1" si="47"/>
        <v>0</v>
      </c>
      <c r="G97" s="5">
        <f t="shared" ca="1" si="47"/>
        <v>0</v>
      </c>
      <c r="H97" s="5">
        <f t="shared" ca="1" si="47"/>
        <v>0</v>
      </c>
      <c r="I97" s="5">
        <f t="shared" ca="1" si="47"/>
        <v>0</v>
      </c>
    </row>
    <row r="98" spans="1:9" x14ac:dyDescent="0.35">
      <c r="C98" t="s">
        <v>382</v>
      </c>
      <c r="D98" s="5">
        <f ca="1">D147*D99*D100*D101</f>
        <v>0</v>
      </c>
      <c r="E98" s="5">
        <f ca="1">E147*E99*E100*E101</f>
        <v>0</v>
      </c>
      <c r="F98" s="5">
        <f ca="1">F147*F99*F100*F101</f>
        <v>0</v>
      </c>
      <c r="G98" s="5">
        <f ca="1">G97/reliefs!G7*G99*G100*G101</f>
        <v>0</v>
      </c>
      <c r="H98" s="5">
        <f ca="1">H97/reliefs!H7*H99*H100*H101</f>
        <v>0</v>
      </c>
      <c r="I98" s="5">
        <f ca="1">I97/reliefs!I7*I99*I100*I101</f>
        <v>0</v>
      </c>
    </row>
    <row r="99" spans="1:9" x14ac:dyDescent="0.35">
      <c r="C99" t="s">
        <v>385</v>
      </c>
      <c r="D99" s="5" t="b">
        <f>D5&lt;VLOOKUP(D4,data!$A$63:$C$70,3,FALSE)</f>
        <v>1</v>
      </c>
      <c r="E99" s="5" t="b">
        <f>E5&lt;VLOOKUP(E4,data!$A$63:$C$70,3,FALSE)</f>
        <v>1</v>
      </c>
      <c r="F99" s="5" t="b">
        <f>F5&lt;VLOOKUP(F4,data!$A$63:$C$70,3,FALSE)</f>
        <v>1</v>
      </c>
      <c r="G99" s="5" t="b">
        <f>G5&lt;VLOOKUP(G4,data!$A$63:$C$70,3,FALSE)</f>
        <v>1</v>
      </c>
      <c r="H99" s="5" t="b">
        <f>H5&lt;VLOOKUP(H4,data!$A$63:$C$70,3,FALSE)</f>
        <v>1</v>
      </c>
      <c r="I99" s="5" t="b">
        <f>I5&lt;VLOOKUP(I4,data!$A$63:$C$70,3,FALSE)</f>
        <v>1</v>
      </c>
    </row>
    <row r="100" spans="1:9" x14ac:dyDescent="0.35">
      <c r="C100" t="s">
        <v>386</v>
      </c>
      <c r="D100" s="5" t="b">
        <f>rjs!P21</f>
        <v>0</v>
      </c>
      <c r="E100" s="5" t="b">
        <f>D100</f>
        <v>0</v>
      </c>
      <c r="F100" s="5" t="b">
        <f>E100</f>
        <v>0</v>
      </c>
      <c r="G100" s="5" t="b">
        <f>F100</f>
        <v>0</v>
      </c>
      <c r="H100" s="5" t="b">
        <f>G100</f>
        <v>0</v>
      </c>
      <c r="I100" s="5" t="b">
        <f>H100</f>
        <v>0</v>
      </c>
    </row>
    <row r="101" spans="1:9" x14ac:dyDescent="0.35">
      <c r="A101" t="b">
        <f>D101+E101+F101+G101+H101+I101=6</f>
        <v>1</v>
      </c>
      <c r="C101" t="s">
        <v>407</v>
      </c>
      <c r="D101" s="5" t="b">
        <f t="shared" ref="D101:I101" si="48">IF(AND(D100=TRUE,D7=TRUE)=FALSE,TRUE,FALSE)</f>
        <v>1</v>
      </c>
      <c r="E101" s="5" t="b">
        <f t="shared" si="48"/>
        <v>1</v>
      </c>
      <c r="F101" s="5" t="b">
        <f t="shared" si="48"/>
        <v>1</v>
      </c>
      <c r="G101" s="5" t="b">
        <f t="shared" si="48"/>
        <v>1</v>
      </c>
      <c r="H101" s="5" t="b">
        <f t="shared" si="48"/>
        <v>1</v>
      </c>
      <c r="I101" s="5" t="b">
        <f t="shared" si="48"/>
        <v>1</v>
      </c>
    </row>
    <row r="102" spans="1:9" x14ac:dyDescent="0.35">
      <c r="C102" t="s">
        <v>389</v>
      </c>
      <c r="D102" t="str">
        <f>text!T4</f>
        <v>Retail Relief can't apply on an Empty Property</v>
      </c>
    </row>
    <row r="104" spans="1:9" x14ac:dyDescent="0.35">
      <c r="B104" s="5" t="b">
        <f>D106+D109=2</f>
        <v>0</v>
      </c>
      <c r="C104" s="9" t="s">
        <v>356</v>
      </c>
    </row>
    <row r="105" spans="1:9" x14ac:dyDescent="0.35">
      <c r="C105" t="s">
        <v>387</v>
      </c>
      <c r="D105" s="5">
        <f t="shared" ref="D105:I105" ca="1" si="49">D68</f>
        <v>0</v>
      </c>
      <c r="E105" s="5">
        <f t="shared" ca="1" si="49"/>
        <v>0</v>
      </c>
      <c r="F105" s="5">
        <f t="shared" ca="1" si="49"/>
        <v>0</v>
      </c>
      <c r="G105" s="5">
        <f t="shared" ca="1" si="49"/>
        <v>0</v>
      </c>
      <c r="H105" s="5">
        <f t="shared" ca="1" si="49"/>
        <v>0</v>
      </c>
      <c r="I105" s="5">
        <f t="shared" ca="1" si="49"/>
        <v>0</v>
      </c>
    </row>
    <row r="106" spans="1:9" x14ac:dyDescent="0.35">
      <c r="C106" t="s">
        <v>386</v>
      </c>
      <c r="D106" s="5" t="b">
        <f t="shared" ref="D106:I106" si="50">D8</f>
        <v>0</v>
      </c>
      <c r="E106" s="5" t="b">
        <f t="shared" si="50"/>
        <v>0</v>
      </c>
      <c r="F106" s="5" t="b">
        <f t="shared" si="50"/>
        <v>0</v>
      </c>
      <c r="G106" s="5" t="b">
        <f t="shared" si="50"/>
        <v>0</v>
      </c>
      <c r="H106" s="5" t="b">
        <f t="shared" si="50"/>
        <v>0</v>
      </c>
      <c r="I106" s="5" t="b">
        <f t="shared" si="50"/>
        <v>0</v>
      </c>
    </row>
    <row r="107" spans="1:9" x14ac:dyDescent="0.35">
      <c r="C107" t="s">
        <v>388</v>
      </c>
      <c r="D107" s="5" t="b">
        <f t="shared" ref="D107:I107" si="51">D60</f>
        <v>0</v>
      </c>
      <c r="E107" s="5" t="b">
        <f t="shared" si="51"/>
        <v>0</v>
      </c>
      <c r="F107" s="5" t="b">
        <f t="shared" si="51"/>
        <v>0</v>
      </c>
      <c r="G107" s="5" t="b">
        <f t="shared" si="51"/>
        <v>0</v>
      </c>
      <c r="H107" s="5" t="b">
        <f t="shared" si="51"/>
        <v>0</v>
      </c>
      <c r="I107" s="5" t="b">
        <f t="shared" si="51"/>
        <v>0</v>
      </c>
    </row>
    <row r="108" spans="1:9" x14ac:dyDescent="0.35">
      <c r="C108" t="s">
        <v>382</v>
      </c>
      <c r="D108" s="5">
        <f t="shared" ref="D108:I108" ca="1" si="52">IF(D107=FALSE,D105*0.8*D106*D109,0)</f>
        <v>0</v>
      </c>
      <c r="E108" s="5">
        <f t="shared" ca="1" si="52"/>
        <v>0</v>
      </c>
      <c r="F108" s="5">
        <f t="shared" ca="1" si="52"/>
        <v>0</v>
      </c>
      <c r="G108" s="5">
        <f t="shared" ca="1" si="52"/>
        <v>0</v>
      </c>
      <c r="H108" s="5">
        <f t="shared" ca="1" si="52"/>
        <v>0</v>
      </c>
      <c r="I108" s="5">
        <f t="shared" ca="1" si="52"/>
        <v>0</v>
      </c>
    </row>
    <row r="109" spans="1:9" x14ac:dyDescent="0.35">
      <c r="A109" t="b">
        <f>D109+E109+F109+G109+H109+I109=6</f>
        <v>1</v>
      </c>
      <c r="C109" t="s">
        <v>409</v>
      </c>
      <c r="D109" s="5" t="b">
        <f t="shared" ref="D109:I109" si="53">IF(AND(D106=TRUE,OR(D7=TRUE,D56=TRUE))=FALSE,TRUE,FALSE)</f>
        <v>1</v>
      </c>
      <c r="E109" s="5" t="b">
        <f t="shared" si="53"/>
        <v>1</v>
      </c>
      <c r="F109" s="5" t="b">
        <f t="shared" si="53"/>
        <v>1</v>
      </c>
      <c r="G109" s="5" t="b">
        <f t="shared" si="53"/>
        <v>1</v>
      </c>
      <c r="H109" s="5" t="b">
        <f t="shared" si="53"/>
        <v>1</v>
      </c>
      <c r="I109" s="5" t="b">
        <f t="shared" si="53"/>
        <v>1</v>
      </c>
    </row>
    <row r="110" spans="1:9" x14ac:dyDescent="0.35">
      <c r="C110" t="s">
        <v>389</v>
      </c>
      <c r="D110" t="str">
        <f>text!T3</f>
        <v>Charitable Relief can't apply with SBRR, or on an Empty Property</v>
      </c>
    </row>
    <row r="112" spans="1:9" x14ac:dyDescent="0.35">
      <c r="C112" s="9" t="s">
        <v>410</v>
      </c>
    </row>
    <row r="113" spans="2:9" x14ac:dyDescent="0.35">
      <c r="C113" t="str">
        <f>C105</f>
        <v>calculated annual charge</v>
      </c>
      <c r="D113" s="5">
        <f t="shared" ref="D113:I113" ca="1" si="54">D68</f>
        <v>0</v>
      </c>
      <c r="E113" s="5">
        <f t="shared" ca="1" si="54"/>
        <v>0</v>
      </c>
      <c r="F113" s="5">
        <f t="shared" ca="1" si="54"/>
        <v>0</v>
      </c>
      <c r="G113" s="5">
        <f t="shared" ca="1" si="54"/>
        <v>0</v>
      </c>
      <c r="H113" s="5">
        <f t="shared" ca="1" si="54"/>
        <v>0</v>
      </c>
      <c r="I113" s="5">
        <f t="shared" ca="1" si="54"/>
        <v>0</v>
      </c>
    </row>
    <row r="114" spans="2:9" x14ac:dyDescent="0.35">
      <c r="C114" t="str">
        <f>C106</f>
        <v>ticked</v>
      </c>
      <c r="D114" s="5" t="b">
        <f t="shared" ref="D114:I114" si="55">D7</f>
        <v>0</v>
      </c>
      <c r="E114" s="5" t="b">
        <f t="shared" si="55"/>
        <v>0</v>
      </c>
      <c r="F114" s="5" t="b">
        <f t="shared" si="55"/>
        <v>0</v>
      </c>
      <c r="G114" s="5" t="b">
        <f t="shared" si="55"/>
        <v>0</v>
      </c>
      <c r="H114" s="5" t="b">
        <f t="shared" si="55"/>
        <v>0</v>
      </c>
      <c r="I114" s="5" t="b">
        <f t="shared" si="55"/>
        <v>0</v>
      </c>
    </row>
    <row r="115" spans="2:9" x14ac:dyDescent="0.35">
      <c r="B115" s="5">
        <v>3</v>
      </c>
      <c r="C115" t="s">
        <v>404</v>
      </c>
      <c r="D115" s="5">
        <f>VLOOKUP(D4,data!$A$43:$C$50,$B115,FALSE)</f>
        <v>2900</v>
      </c>
      <c r="E115" s="5">
        <f>VLOOKUP(E4,data!$A$43:$C$50,$B115,FALSE)</f>
        <v>2900</v>
      </c>
      <c r="F115" s="5">
        <f>VLOOKUP(F4,data!$A$43:$C$50,$B115,FALSE)</f>
        <v>2900</v>
      </c>
      <c r="G115" s="5">
        <f>VLOOKUP(G4,data!$A$43:$C$50,$B115,FALSE)</f>
        <v>2900</v>
      </c>
      <c r="H115" s="5">
        <f>VLOOKUP(H4,data!$A$43:$C$50,$B115,FALSE)</f>
        <v>2900</v>
      </c>
      <c r="I115" s="5">
        <f>VLOOKUP(I4,data!$A$43:$C$50,$B115,FALSE)</f>
        <v>2900</v>
      </c>
    </row>
    <row r="116" spans="2:9" x14ac:dyDescent="0.35">
      <c r="C116" t="s">
        <v>405</v>
      </c>
      <c r="D116" s="5" t="b">
        <f t="shared" ref="D116:I116" si="56">D5&lt;D115</f>
        <v>1</v>
      </c>
      <c r="E116" s="5" t="b">
        <f t="shared" si="56"/>
        <v>1</v>
      </c>
      <c r="F116" s="5" t="b">
        <f t="shared" si="56"/>
        <v>1</v>
      </c>
      <c r="G116" s="5" t="b">
        <f t="shared" si="56"/>
        <v>1</v>
      </c>
      <c r="H116" s="5" t="b">
        <f t="shared" si="56"/>
        <v>1</v>
      </c>
      <c r="I116" s="5" t="b">
        <f t="shared" si="56"/>
        <v>1</v>
      </c>
    </row>
    <row r="117" spans="2:9" x14ac:dyDescent="0.35">
      <c r="C117" t="s">
        <v>406</v>
      </c>
      <c r="D117" s="5">
        <f t="shared" ref="D117:I117" ca="1" si="57">D113*D114*D116</f>
        <v>0</v>
      </c>
      <c r="E117" s="5">
        <f t="shared" ca="1" si="57"/>
        <v>0</v>
      </c>
      <c r="F117" s="5">
        <f t="shared" ca="1" si="57"/>
        <v>0</v>
      </c>
      <c r="G117" s="5">
        <f t="shared" ca="1" si="57"/>
        <v>0</v>
      </c>
      <c r="H117" s="5">
        <f t="shared" ca="1" si="57"/>
        <v>0</v>
      </c>
      <c r="I117" s="5">
        <f t="shared" ca="1" si="57"/>
        <v>0</v>
      </c>
    </row>
    <row r="119" spans="2:9" x14ac:dyDescent="0.35">
      <c r="C119" t="s">
        <v>2402</v>
      </c>
      <c r="D119"/>
    </row>
    <row r="120" spans="2:9" x14ac:dyDescent="0.35">
      <c r="C120" t="s">
        <v>2400</v>
      </c>
      <c r="D120" s="14">
        <f t="shared" ref="D120:I120" si="58">(D41+D45+D48+D52+D65)</f>
        <v>0</v>
      </c>
      <c r="E120" s="14">
        <f t="shared" si="58"/>
        <v>0</v>
      </c>
      <c r="F120" s="14">
        <f t="shared" si="58"/>
        <v>0</v>
      </c>
      <c r="G120" s="14">
        <f t="shared" si="58"/>
        <v>0</v>
      </c>
      <c r="H120" s="14">
        <f t="shared" si="58"/>
        <v>0</v>
      </c>
      <c r="I120" s="14">
        <f t="shared" si="58"/>
        <v>0</v>
      </c>
    </row>
    <row r="121" spans="2:9" x14ac:dyDescent="0.35">
      <c r="C121" t="s">
        <v>2401</v>
      </c>
      <c r="D121" s="5">
        <f t="shared" ref="D121:I121" ca="1" si="59">D68</f>
        <v>0</v>
      </c>
      <c r="E121" s="5">
        <f t="shared" ca="1" si="59"/>
        <v>0</v>
      </c>
      <c r="F121" s="5">
        <f t="shared" ca="1" si="59"/>
        <v>0</v>
      </c>
      <c r="G121" s="5">
        <f t="shared" ca="1" si="59"/>
        <v>0</v>
      </c>
      <c r="H121" s="5">
        <f t="shared" ca="1" si="59"/>
        <v>0</v>
      </c>
      <c r="I121" s="5">
        <f t="shared" ca="1" si="59"/>
        <v>0</v>
      </c>
    </row>
    <row r="122" spans="2:9" x14ac:dyDescent="0.35">
      <c r="C122" t="s">
        <v>2403</v>
      </c>
      <c r="D122" s="14">
        <f t="shared" ref="D122:I122" ca="1" si="60">D121-D120</f>
        <v>0</v>
      </c>
      <c r="E122" s="14">
        <f t="shared" ca="1" si="60"/>
        <v>0</v>
      </c>
      <c r="F122" s="14">
        <f t="shared" ca="1" si="60"/>
        <v>0</v>
      </c>
      <c r="G122" s="14">
        <f t="shared" ca="1" si="60"/>
        <v>0</v>
      </c>
      <c r="H122" s="14">
        <f t="shared" ca="1" si="60"/>
        <v>0</v>
      </c>
      <c r="I122" s="14">
        <f t="shared" ca="1" si="60"/>
        <v>0</v>
      </c>
    </row>
    <row r="124" spans="2:9" x14ac:dyDescent="0.35">
      <c r="C124" t="s">
        <v>2405</v>
      </c>
    </row>
    <row r="125" spans="2:9" x14ac:dyDescent="0.35">
      <c r="C125" t="s">
        <v>2406</v>
      </c>
      <c r="D125" s="5">
        <f t="shared" ref="D125:I125" si="61">(D28-D21)*D38</f>
        <v>0</v>
      </c>
      <c r="E125" s="5">
        <f t="shared" si="61"/>
        <v>0</v>
      </c>
      <c r="F125" s="5">
        <f t="shared" si="61"/>
        <v>0</v>
      </c>
      <c r="G125" s="5">
        <f t="shared" si="61"/>
        <v>0</v>
      </c>
      <c r="H125" s="5">
        <f t="shared" si="61"/>
        <v>0</v>
      </c>
      <c r="I125" s="5">
        <f t="shared" si="61"/>
        <v>0</v>
      </c>
    </row>
    <row r="127" spans="2:9" x14ac:dyDescent="0.35">
      <c r="C127" s="9" t="s">
        <v>1938</v>
      </c>
    </row>
    <row r="128" spans="2:9" x14ac:dyDescent="0.35">
      <c r="I128" s="5">
        <f>H128</f>
        <v>0</v>
      </c>
    </row>
    <row r="129" spans="1:10" x14ac:dyDescent="0.35">
      <c r="I129" s="5" t="b">
        <f>I5&lt;reliefs!I12</f>
        <v>0</v>
      </c>
    </row>
    <row r="130" spans="1:10" x14ac:dyDescent="0.35">
      <c r="D130" s="5">
        <v>200</v>
      </c>
      <c r="E130" s="5">
        <v>0</v>
      </c>
      <c r="F130" s="5">
        <v>0</v>
      </c>
      <c r="G130" s="5">
        <v>0</v>
      </c>
      <c r="H130" s="5">
        <v>0</v>
      </c>
      <c r="I130" s="5" t="b">
        <f>I7=FALSE</f>
        <v>1</v>
      </c>
    </row>
    <row r="131" spans="1:10" x14ac:dyDescent="0.35">
      <c r="C131" t="s">
        <v>1690</v>
      </c>
      <c r="D131" s="5" t="b">
        <f t="shared" ref="D131:I131" si="62">D128+D129+D130=3</f>
        <v>0</v>
      </c>
      <c r="E131" s="5" t="b">
        <f t="shared" si="62"/>
        <v>0</v>
      </c>
      <c r="F131" s="5" t="b">
        <f t="shared" si="62"/>
        <v>0</v>
      </c>
      <c r="G131" s="5" t="b">
        <f t="shared" si="62"/>
        <v>0</v>
      </c>
      <c r="H131" s="5" t="b">
        <f t="shared" si="62"/>
        <v>0</v>
      </c>
      <c r="I131" s="5" t="b">
        <f t="shared" si="62"/>
        <v>0</v>
      </c>
    </row>
    <row r="132" spans="1:10" x14ac:dyDescent="0.35">
      <c r="C132" t="s">
        <v>1691</v>
      </c>
      <c r="D132" s="5">
        <f>reliefs!D13</f>
        <v>0</v>
      </c>
      <c r="E132" s="5">
        <f>reliefs!E13</f>
        <v>0</v>
      </c>
      <c r="F132" s="5">
        <f>reliefs!F13</f>
        <v>0</v>
      </c>
      <c r="G132" s="5">
        <f>reliefs!G13</f>
        <v>0</v>
      </c>
      <c r="H132" s="5">
        <f>reliefs!H13</f>
        <v>0</v>
      </c>
      <c r="I132" s="5">
        <f>reliefs!I13</f>
        <v>0</v>
      </c>
    </row>
    <row r="133" spans="1:10" x14ac:dyDescent="0.35">
      <c r="C133" t="s">
        <v>1693</v>
      </c>
      <c r="D133" s="5">
        <f t="shared" ref="D133:I133" ca="1" si="63">D68+D84+D85</f>
        <v>0</v>
      </c>
      <c r="E133" s="5">
        <f t="shared" ca="1" si="63"/>
        <v>0</v>
      </c>
      <c r="F133" s="5">
        <f t="shared" ca="1" si="63"/>
        <v>0</v>
      </c>
      <c r="G133" s="5">
        <f t="shared" ca="1" si="63"/>
        <v>0</v>
      </c>
      <c r="H133" s="5">
        <f t="shared" ca="1" si="63"/>
        <v>0</v>
      </c>
      <c r="I133" s="5">
        <f t="shared" ca="1" si="63"/>
        <v>0</v>
      </c>
    </row>
    <row r="134" spans="1:10" x14ac:dyDescent="0.35">
      <c r="C134" t="s">
        <v>1694</v>
      </c>
      <c r="D134" s="5">
        <f t="shared" ref="D134:I134" ca="1" si="64">IF(D133&gt;D132,D132,D133)*D131</f>
        <v>0</v>
      </c>
      <c r="E134" s="5">
        <f t="shared" ca="1" si="64"/>
        <v>0</v>
      </c>
      <c r="F134" s="5">
        <f t="shared" ca="1" si="64"/>
        <v>0</v>
      </c>
      <c r="G134" s="5">
        <f t="shared" ca="1" si="64"/>
        <v>0</v>
      </c>
      <c r="H134" s="5">
        <f t="shared" ca="1" si="64"/>
        <v>0</v>
      </c>
      <c r="I134" s="5">
        <f t="shared" ca="1" si="64"/>
        <v>0</v>
      </c>
    </row>
    <row r="136" spans="1:10" x14ac:dyDescent="0.35">
      <c r="C136" s="9" t="s">
        <v>923</v>
      </c>
    </row>
    <row r="137" spans="1:10" x14ac:dyDescent="0.35">
      <c r="A137" s="5">
        <f>ROW()</f>
        <v>137</v>
      </c>
      <c r="B137" s="5" t="s">
        <v>924</v>
      </c>
      <c r="C137" s="1199"/>
      <c r="D137" s="440"/>
      <c r="E137" s="440"/>
      <c r="F137" s="440"/>
      <c r="G137" s="440"/>
      <c r="H137" s="440"/>
      <c r="I137" s="440"/>
    </row>
    <row r="138" spans="1:10" x14ac:dyDescent="0.35">
      <c r="C138" t="s">
        <v>926</v>
      </c>
      <c r="D138" s="5">
        <f t="shared" ref="D138:I138" ca="1" si="65">D68+D84+D85+D87</f>
        <v>0</v>
      </c>
      <c r="E138" s="5">
        <f t="shared" ca="1" si="65"/>
        <v>0</v>
      </c>
      <c r="F138" s="5">
        <f t="shared" ca="1" si="65"/>
        <v>0</v>
      </c>
      <c r="G138" s="5">
        <f t="shared" ca="1" si="65"/>
        <v>0</v>
      </c>
      <c r="H138" s="5">
        <f t="shared" ca="1" si="65"/>
        <v>0</v>
      </c>
      <c r="I138" s="5">
        <f t="shared" ca="1" si="65"/>
        <v>0</v>
      </c>
    </row>
    <row r="139" spans="1:10" x14ac:dyDescent="0.35">
      <c r="C139" t="s">
        <v>1691</v>
      </c>
      <c r="D139" s="5">
        <f t="shared" ref="D139:I139" si="66">D137</f>
        <v>0</v>
      </c>
      <c r="E139" s="5">
        <f t="shared" si="66"/>
        <v>0</v>
      </c>
      <c r="F139" s="5">
        <f t="shared" si="66"/>
        <v>0</v>
      </c>
      <c r="G139" s="5">
        <f t="shared" si="66"/>
        <v>0</v>
      </c>
      <c r="H139" s="5">
        <f t="shared" si="66"/>
        <v>0</v>
      </c>
      <c r="I139" s="5">
        <f t="shared" si="66"/>
        <v>0</v>
      </c>
    </row>
    <row r="140" spans="1:10" x14ac:dyDescent="0.35">
      <c r="C140" t="s">
        <v>1694</v>
      </c>
      <c r="D140" s="5">
        <f t="shared" ref="D140:I140" ca="1" si="67">IF(D139&gt;D138,D138,D139)*D141</f>
        <v>0</v>
      </c>
      <c r="E140" s="5">
        <f t="shared" ca="1" si="67"/>
        <v>0</v>
      </c>
      <c r="F140" s="5">
        <f t="shared" ca="1" si="67"/>
        <v>0</v>
      </c>
      <c r="G140" s="5">
        <f t="shared" ca="1" si="67"/>
        <v>0</v>
      </c>
      <c r="H140" s="5">
        <f t="shared" ca="1" si="67"/>
        <v>0</v>
      </c>
      <c r="I140" s="5">
        <f t="shared" ca="1" si="67"/>
        <v>0</v>
      </c>
    </row>
    <row r="141" spans="1:10" x14ac:dyDescent="0.35">
      <c r="C141" t="s">
        <v>1015</v>
      </c>
      <c r="D141" s="5" t="b">
        <f t="shared" ref="D141:I141" si="68">D78</f>
        <v>1</v>
      </c>
      <c r="E141" s="5" t="b">
        <f t="shared" si="68"/>
        <v>1</v>
      </c>
      <c r="F141" s="5" t="b">
        <f t="shared" si="68"/>
        <v>1</v>
      </c>
      <c r="G141" s="5" t="b">
        <f t="shared" si="68"/>
        <v>1</v>
      </c>
      <c r="H141" s="5" t="b">
        <f t="shared" si="68"/>
        <v>1</v>
      </c>
      <c r="I141" s="5" t="b">
        <f t="shared" si="68"/>
        <v>1</v>
      </c>
    </row>
    <row r="143" spans="1:10" x14ac:dyDescent="0.35">
      <c r="B143" s="2291" t="s">
        <v>2920</v>
      </c>
      <c r="C143" s="2386"/>
      <c r="D143" s="2291"/>
      <c r="E143" s="2291"/>
      <c r="F143" s="2291"/>
      <c r="G143" s="2291"/>
      <c r="H143" s="2291"/>
      <c r="I143" s="2291"/>
      <c r="J143" s="2386"/>
    </row>
    <row r="144" spans="1:10" x14ac:dyDescent="0.35">
      <c r="C144" s="28" t="s">
        <v>2890</v>
      </c>
      <c r="D144" s="15">
        <f ca="1">D97/reliefs!D7</f>
        <v>0</v>
      </c>
      <c r="E144" s="15">
        <f ca="1">E97/reliefs!E7</f>
        <v>0</v>
      </c>
      <c r="F144" s="15">
        <f ca="1">F97/reliefs!F7</f>
        <v>0</v>
      </c>
    </row>
    <row r="145" spans="3:7" x14ac:dyDescent="0.35">
      <c r="C145" s="28" t="s">
        <v>456</v>
      </c>
      <c r="D145" s="5">
        <v>110000</v>
      </c>
      <c r="E145" s="15">
        <f ca="1">MIN(E146,E148)</f>
        <v>110000</v>
      </c>
      <c r="F145" s="15">
        <f ca="1">MIN(F146,F148)</f>
        <v>110000</v>
      </c>
      <c r="G145" s="5">
        <v>315000</v>
      </c>
    </row>
    <row r="146" spans="3:7" x14ac:dyDescent="0.35">
      <c r="C146" s="28" t="s">
        <v>2903</v>
      </c>
      <c r="E146" s="15">
        <f ca="1">G145-D147</f>
        <v>315000</v>
      </c>
      <c r="F146" s="15">
        <f ca="1">G145-D147-E147</f>
        <v>315000</v>
      </c>
    </row>
    <row r="147" spans="3:7" x14ac:dyDescent="0.35">
      <c r="C147" s="2387" t="s">
        <v>2921</v>
      </c>
      <c r="D147" s="2373">
        <f ca="1">MIN(D145,D144)</f>
        <v>0</v>
      </c>
      <c r="E147" s="2373">
        <f ca="1">MIN(E145,E144)</f>
        <v>0</v>
      </c>
      <c r="F147" s="2373">
        <f ca="1">MIN(F145,F144)</f>
        <v>0</v>
      </c>
      <c r="G147" s="2291"/>
    </row>
    <row r="148" spans="3:7" x14ac:dyDescent="0.35">
      <c r="E148" s="5">
        <v>110000</v>
      </c>
      <c r="F148" s="5">
        <v>110000</v>
      </c>
    </row>
  </sheetData>
  <sheetProtection password="BCD8" sheet="1" objects="1" scenarios="1"/>
  <phoneticPr fontId="0" type="noConversion"/>
  <pageMargins left="0.75" right="0.75" top="1" bottom="1" header="0.5" footer="0.5"/>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9EBB5-300D-4347-96C4-C6D4DBC062AA}">
  <sheetPr codeName="Sheet4"/>
  <dimension ref="A1:T106"/>
  <sheetViews>
    <sheetView workbookViewId="0">
      <selection activeCell="A3" sqref="A3"/>
    </sheetView>
  </sheetViews>
  <sheetFormatPr defaultColWidth="9.08984375" defaultRowHeight="15.5" x14ac:dyDescent="0.35"/>
  <cols>
    <col min="1" max="1" width="20.54296875" style="2" customWidth="1"/>
    <col min="2" max="2" width="26.36328125" style="2" customWidth="1"/>
    <col min="3" max="4" width="12.6328125" style="2" bestFit="1" customWidth="1"/>
    <col min="5" max="5" width="14.08984375" style="2" customWidth="1"/>
    <col min="6" max="6" width="12.90625" style="2" customWidth="1"/>
    <col min="7" max="10" width="12.6328125" style="2" bestFit="1" customWidth="1"/>
    <col min="11" max="11" width="9.08984375" style="2"/>
    <col min="12" max="17" width="3.08984375" style="2" customWidth="1"/>
    <col min="18" max="18" width="9.08984375" style="2"/>
    <col min="19" max="19" width="28.453125" style="2" customWidth="1"/>
    <col min="20" max="20" width="50.6328125" style="2" customWidth="1"/>
    <col min="21" max="16384" width="9.08984375" style="2"/>
  </cols>
  <sheetData>
    <row r="1" spans="1:20" x14ac:dyDescent="0.35">
      <c r="A1" s="2" t="s">
        <v>721</v>
      </c>
      <c r="B1" s="69">
        <f ca="1">TODAY()</f>
        <v>46155</v>
      </c>
      <c r="C1" s="2" t="s">
        <v>251</v>
      </c>
      <c r="D1" s="4">
        <f>B9</f>
        <v>45017</v>
      </c>
      <c r="E1" s="4">
        <f>B10</f>
        <v>45383</v>
      </c>
      <c r="F1" s="4">
        <f>B11</f>
        <v>45748</v>
      </c>
      <c r="G1" s="4">
        <f>B12</f>
        <v>46113</v>
      </c>
      <c r="H1" s="4">
        <f>B13</f>
        <v>46478</v>
      </c>
      <c r="I1" s="4">
        <f>B14</f>
        <v>46844</v>
      </c>
      <c r="J1" s="4">
        <f>B15</f>
        <v>47209</v>
      </c>
      <c r="S1" s="20" t="str">
        <f>"column " &amp; COLUMN()</f>
        <v>column 19</v>
      </c>
      <c r="T1" s="20" t="str">
        <f>"column " &amp; COLUMN()</f>
        <v>column 20</v>
      </c>
    </row>
    <row r="2" spans="1:20" x14ac:dyDescent="0.35">
      <c r="C2" s="2" t="s">
        <v>269</v>
      </c>
      <c r="D2" s="2" t="str">
        <f>D9</f>
        <v>2023/24</v>
      </c>
      <c r="E2" s="2" t="str">
        <f>D10</f>
        <v>2024/25</v>
      </c>
      <c r="F2" s="3" t="str">
        <f>D11</f>
        <v>2025/26</v>
      </c>
      <c r="G2" s="3" t="str">
        <f>D12</f>
        <v>2026/27</v>
      </c>
      <c r="H2" s="3" t="str">
        <f>D13</f>
        <v>2027/28</v>
      </c>
      <c r="I2" s="3" t="str">
        <f>D14</f>
        <v>2028/29</v>
      </c>
      <c r="J2" s="3" t="str">
        <f>D15</f>
        <v>2029/30</v>
      </c>
      <c r="S2" s="19" t="s">
        <v>374</v>
      </c>
      <c r="T2" s="19" t="s">
        <v>415</v>
      </c>
    </row>
    <row r="3" spans="1:20" x14ac:dyDescent="0.35">
      <c r="C3" s="2" t="s">
        <v>270</v>
      </c>
      <c r="D3" s="2">
        <f>A9</f>
        <v>1</v>
      </c>
      <c r="E3" s="2">
        <f>A10</f>
        <v>2</v>
      </c>
      <c r="F3" s="2">
        <f>A11</f>
        <v>3</v>
      </c>
      <c r="G3" s="2">
        <f>A12</f>
        <v>4</v>
      </c>
      <c r="H3" s="2">
        <f>A13</f>
        <v>5</v>
      </c>
      <c r="I3" s="2">
        <f>A14</f>
        <v>6</v>
      </c>
      <c r="J3" s="2">
        <f>A15</f>
        <v>7</v>
      </c>
      <c r="S3" s="2" t="s">
        <v>413</v>
      </c>
      <c r="T3" s="2" t="s">
        <v>412</v>
      </c>
    </row>
    <row r="4" spans="1:20" x14ac:dyDescent="0.35">
      <c r="S4" s="2" t="s">
        <v>414</v>
      </c>
      <c r="T4" s="2" t="s">
        <v>411</v>
      </c>
    </row>
    <row r="7" spans="1:20" x14ac:dyDescent="0.35">
      <c r="B7" s="2" t="s">
        <v>251</v>
      </c>
      <c r="C7" s="2" t="s">
        <v>267</v>
      </c>
      <c r="D7" s="2" t="s">
        <v>268</v>
      </c>
      <c r="E7" s="2" t="s">
        <v>269</v>
      </c>
      <c r="F7" s="2" t="s">
        <v>832</v>
      </c>
    </row>
    <row r="8" spans="1:20" x14ac:dyDescent="0.35">
      <c r="A8" s="2">
        <v>0</v>
      </c>
      <c r="B8" s="4">
        <f>DATE(YEAR(B9)-1,MONTH(B9),DAY(B9))</f>
        <v>44652</v>
      </c>
      <c r="C8" s="3">
        <f>B9-1</f>
        <v>45016</v>
      </c>
      <c r="D8" s="2" t="str">
        <f>TEXT(B8,"yyyy")&amp;"/"&amp;TEXT(C8,"yy")</f>
        <v>2022/23</v>
      </c>
      <c r="E8" s="2" t="str">
        <f t="shared" ref="E8:E20" si="0">TEXT(B8,"yyyy")</f>
        <v>2022</v>
      </c>
    </row>
    <row r="9" spans="1:20" x14ac:dyDescent="0.35">
      <c r="A9" s="2">
        <v>1</v>
      </c>
      <c r="B9" s="3">
        <f>data!B3</f>
        <v>45017</v>
      </c>
      <c r="C9" s="3">
        <f>B10-1</f>
        <v>45382</v>
      </c>
      <c r="D9" s="2" t="str">
        <f>TEXT(B9,"yyyy")&amp;"/"&amp;TEXT(C9,"yy")</f>
        <v>2023/24</v>
      </c>
      <c r="E9" s="2" t="str">
        <f t="shared" si="0"/>
        <v>2023</v>
      </c>
      <c r="F9" s="2" t="str">
        <f>D9&amp;" "&amp;IF(update!F6="y","e","")</f>
        <v xml:space="preserve">2023/24 </v>
      </c>
    </row>
    <row r="10" spans="1:20" x14ac:dyDescent="0.35">
      <c r="A10" s="2">
        <f>A9+1</f>
        <v>2</v>
      </c>
      <c r="B10" s="4">
        <f>DATE(YEAR(B9)+1,MONTH(B9),DAY(B9))</f>
        <v>45383</v>
      </c>
      <c r="C10" s="3">
        <f t="shared" ref="C10:C19" si="1">B11-1</f>
        <v>45747</v>
      </c>
      <c r="D10" s="2" t="str">
        <f t="shared" ref="D10:D19" si="2">TEXT(B10,"yyyy")&amp;"/"&amp;TEXT(C10,"yy")</f>
        <v>2024/25</v>
      </c>
      <c r="E10" s="2" t="str">
        <f t="shared" si="0"/>
        <v>2024</v>
      </c>
      <c r="F10" s="2" t="str">
        <f>D10&amp;" "&amp;IF(update!F7="y","e","")</f>
        <v xml:space="preserve">2024/25 </v>
      </c>
    </row>
    <row r="11" spans="1:20" x14ac:dyDescent="0.35">
      <c r="A11" s="2">
        <f t="shared" ref="A11:A19" si="3">A10+1</f>
        <v>3</v>
      </c>
      <c r="B11" s="4">
        <f t="shared" ref="B11:B20" si="4">DATE(YEAR(B10)+1,MONTH(B10),DAY(B10))</f>
        <v>45748</v>
      </c>
      <c r="C11" s="3">
        <f t="shared" si="1"/>
        <v>46112</v>
      </c>
      <c r="D11" s="2" t="str">
        <f t="shared" si="2"/>
        <v>2025/26</v>
      </c>
      <c r="E11" s="2" t="str">
        <f t="shared" si="0"/>
        <v>2025</v>
      </c>
      <c r="F11" s="2" t="str">
        <f>D11&amp;" "&amp;IF(update!F8="y","e","")</f>
        <v xml:space="preserve">2025/26 </v>
      </c>
    </row>
    <row r="12" spans="1:20" x14ac:dyDescent="0.35">
      <c r="A12" s="2">
        <f t="shared" si="3"/>
        <v>4</v>
      </c>
      <c r="B12" s="4">
        <f t="shared" si="4"/>
        <v>46113</v>
      </c>
      <c r="C12" s="3">
        <f t="shared" si="1"/>
        <v>46477</v>
      </c>
      <c r="D12" s="2" t="str">
        <f t="shared" si="2"/>
        <v>2026/27</v>
      </c>
      <c r="E12" s="2" t="str">
        <f t="shared" si="0"/>
        <v>2026</v>
      </c>
      <c r="F12" s="2" t="str">
        <f>D12&amp;" "&amp;IF(update!F9="y","e","")</f>
        <v xml:space="preserve">2026/27 </v>
      </c>
    </row>
    <row r="13" spans="1:20" x14ac:dyDescent="0.35">
      <c r="A13" s="2">
        <f t="shared" si="3"/>
        <v>5</v>
      </c>
      <c r="B13" s="4">
        <f t="shared" si="4"/>
        <v>46478</v>
      </c>
      <c r="C13" s="3">
        <f t="shared" si="1"/>
        <v>46843</v>
      </c>
      <c r="D13" s="2" t="str">
        <f t="shared" si="2"/>
        <v>2027/28</v>
      </c>
      <c r="E13" s="2" t="str">
        <f t="shared" si="0"/>
        <v>2027</v>
      </c>
      <c r="F13" s="2" t="str">
        <f>D13&amp;" "&amp;IF(update!F10="y","e","")</f>
        <v xml:space="preserve">2027/28 </v>
      </c>
    </row>
    <row r="14" spans="1:20" x14ac:dyDescent="0.35">
      <c r="A14" s="2">
        <f t="shared" si="3"/>
        <v>6</v>
      </c>
      <c r="B14" s="4">
        <f t="shared" si="4"/>
        <v>46844</v>
      </c>
      <c r="C14" s="3">
        <f t="shared" si="1"/>
        <v>47208</v>
      </c>
      <c r="D14" s="2" t="str">
        <f t="shared" si="2"/>
        <v>2028/29</v>
      </c>
      <c r="E14" s="2" t="str">
        <f t="shared" si="0"/>
        <v>2028</v>
      </c>
      <c r="F14" s="2" t="str">
        <f>D14&amp;" "&amp;IF(update!F11="y","e","")</f>
        <v xml:space="preserve">2028/29 </v>
      </c>
    </row>
    <row r="15" spans="1:20" x14ac:dyDescent="0.35">
      <c r="A15" s="2">
        <f t="shared" si="3"/>
        <v>7</v>
      </c>
      <c r="B15" s="4">
        <f t="shared" si="4"/>
        <v>47209</v>
      </c>
      <c r="C15" s="3">
        <f t="shared" si="1"/>
        <v>47573</v>
      </c>
      <c r="D15" s="2" t="str">
        <f t="shared" si="2"/>
        <v>2029/30</v>
      </c>
      <c r="E15" s="2" t="str">
        <f t="shared" si="0"/>
        <v>2029</v>
      </c>
      <c r="F15" s="2" t="str">
        <f>D15&amp;" "&amp;IF(update!F12="y","e","")</f>
        <v xml:space="preserve">2029/30 </v>
      </c>
    </row>
    <row r="16" spans="1:20" x14ac:dyDescent="0.35">
      <c r="A16" s="2">
        <f t="shared" si="3"/>
        <v>8</v>
      </c>
      <c r="B16" s="4">
        <f t="shared" si="4"/>
        <v>47574</v>
      </c>
      <c r="C16" s="3">
        <f t="shared" si="1"/>
        <v>47938</v>
      </c>
      <c r="D16" s="2" t="str">
        <f t="shared" si="2"/>
        <v>2030/31</v>
      </c>
      <c r="E16" s="2" t="str">
        <f t="shared" si="0"/>
        <v>2030</v>
      </c>
      <c r="F16" s="2" t="str">
        <f>D16&amp;" "&amp;IF(update!F13="y","e","")</f>
        <v xml:space="preserve">2030/31 </v>
      </c>
    </row>
    <row r="17" spans="1:6" x14ac:dyDescent="0.35">
      <c r="A17" s="2">
        <f t="shared" si="3"/>
        <v>9</v>
      </c>
      <c r="B17" s="4">
        <f t="shared" si="4"/>
        <v>47939</v>
      </c>
      <c r="C17" s="3">
        <f t="shared" si="1"/>
        <v>48304</v>
      </c>
      <c r="D17" s="2" t="str">
        <f t="shared" si="2"/>
        <v>2031/32</v>
      </c>
      <c r="E17" s="2" t="str">
        <f t="shared" si="0"/>
        <v>2031</v>
      </c>
      <c r="F17" s="2" t="str">
        <f>D17&amp;" "&amp;IF(update!F14="y","e","")</f>
        <v xml:space="preserve">2031/32 </v>
      </c>
    </row>
    <row r="18" spans="1:6" x14ac:dyDescent="0.35">
      <c r="A18" s="2">
        <f t="shared" si="3"/>
        <v>10</v>
      </c>
      <c r="B18" s="4">
        <f t="shared" si="4"/>
        <v>48305</v>
      </c>
      <c r="C18" s="3">
        <f t="shared" si="1"/>
        <v>48669</v>
      </c>
      <c r="D18" s="2" t="str">
        <f t="shared" si="2"/>
        <v>2032/33</v>
      </c>
      <c r="E18" s="2" t="str">
        <f t="shared" si="0"/>
        <v>2032</v>
      </c>
      <c r="F18" s="2" t="str">
        <f>D18&amp;" "&amp;IF(update!F15="y","e","")</f>
        <v xml:space="preserve">2032/33 </v>
      </c>
    </row>
    <row r="19" spans="1:6" x14ac:dyDescent="0.35">
      <c r="A19" s="2">
        <f t="shared" si="3"/>
        <v>11</v>
      </c>
      <c r="B19" s="4">
        <f t="shared" si="4"/>
        <v>48670</v>
      </c>
      <c r="C19" s="3">
        <f t="shared" si="1"/>
        <v>49034</v>
      </c>
      <c r="D19" s="2" t="str">
        <f t="shared" si="2"/>
        <v>2033/34</v>
      </c>
      <c r="E19" s="2" t="str">
        <f t="shared" si="0"/>
        <v>2033</v>
      </c>
      <c r="F19" s="2" t="str">
        <f>D19&amp;" "&amp;IF(update!F16="y","e","")</f>
        <v xml:space="preserve">2033/34 </v>
      </c>
    </row>
    <row r="20" spans="1:6" x14ac:dyDescent="0.35">
      <c r="B20" s="4">
        <f t="shared" si="4"/>
        <v>49035</v>
      </c>
      <c r="E20" s="2" t="str">
        <f t="shared" si="0"/>
        <v>2034</v>
      </c>
    </row>
    <row r="26" spans="1:6" x14ac:dyDescent="0.35">
      <c r="A26" s="2" t="s">
        <v>655</v>
      </c>
      <c r="B26" s="20" t="s">
        <v>654</v>
      </c>
    </row>
    <row r="28" spans="1:6" x14ac:dyDescent="0.35">
      <c r="A28" s="2" t="s">
        <v>655</v>
      </c>
      <c r="B28" s="20" t="str">
        <f>"Calcurate "&amp;LEFT(D2,4)-6</f>
        <v>Calcurate 2017</v>
      </c>
      <c r="C28" s="2" t="s">
        <v>716</v>
      </c>
      <c r="D28" s="395" t="s">
        <v>3026</v>
      </c>
      <c r="F28" s="394" t="s">
        <v>2658</v>
      </c>
    </row>
    <row r="29" spans="1:6" x14ac:dyDescent="0.35">
      <c r="B29" s="20" t="str">
        <f>"Calcurate "&amp;LEFT(D2,4)</f>
        <v>Calcurate 2023</v>
      </c>
      <c r="C29" s="2" t="s">
        <v>717</v>
      </c>
      <c r="D29" s="395" t="s">
        <v>3027</v>
      </c>
      <c r="F29" s="20" t="str">
        <f>E9</f>
        <v>2023</v>
      </c>
    </row>
    <row r="30" spans="1:6" x14ac:dyDescent="0.35">
      <c r="B30" s="20" t="str">
        <f>"Calcurate "&amp;F30</f>
        <v>Calcurate 2026</v>
      </c>
      <c r="C30" s="2" t="s">
        <v>719</v>
      </c>
      <c r="D30" s="395" t="s">
        <v>2816</v>
      </c>
      <c r="F30" s="20" t="str">
        <f>E12</f>
        <v>2026</v>
      </c>
    </row>
    <row r="31" spans="1:6" x14ac:dyDescent="0.35">
      <c r="A31" s="2" t="s">
        <v>655</v>
      </c>
      <c r="B31" s="20" t="s">
        <v>712</v>
      </c>
      <c r="C31" s="2" t="s">
        <v>718</v>
      </c>
    </row>
    <row r="33" spans="1:4" x14ac:dyDescent="0.35">
      <c r="A33" s="2" t="s">
        <v>720</v>
      </c>
      <c r="B33" s="2" t="str">
        <f ca="1">B29&amp;" © Calcurate Ltd, October 2022 - "&amp;TEXT(B1,"mmmm")&amp;" "&amp;TEXT(B1,"yyyy")</f>
        <v>Calcurate 2023 © Calcurate Ltd, October 2022 - May 2026</v>
      </c>
    </row>
    <row r="36" spans="1:4" x14ac:dyDescent="0.35">
      <c r="A36" s="2" t="s">
        <v>655</v>
      </c>
      <c r="B36" s="2" t="s">
        <v>707</v>
      </c>
      <c r="D36" s="395" t="s">
        <v>1010</v>
      </c>
    </row>
    <row r="37" spans="1:4" x14ac:dyDescent="0.35">
      <c r="A37" s="2" t="s">
        <v>655</v>
      </c>
    </row>
    <row r="38" spans="1:4" x14ac:dyDescent="0.35">
      <c r="A38" s="2" t="s">
        <v>655</v>
      </c>
      <c r="B38" s="2" t="str">
        <f>"'e' indicates that the liability is estimated "</f>
        <v xml:space="preserve">'e' indicates that the liability is estimated </v>
      </c>
    </row>
    <row r="39" spans="1:4" x14ac:dyDescent="0.35">
      <c r="A39" s="2" t="s">
        <v>655</v>
      </c>
      <c r="B39" s="2" t="s">
        <v>462</v>
      </c>
    </row>
    <row r="41" spans="1:4" x14ac:dyDescent="0.35">
      <c r="B41" s="2" t="s">
        <v>2791</v>
      </c>
      <c r="C41" s="2" t="str">
        <f>"01/04/"&amp;F29</f>
        <v>01/04/2023</v>
      </c>
      <c r="D41" s="395" t="s">
        <v>2792</v>
      </c>
    </row>
    <row r="42" spans="1:4" x14ac:dyDescent="0.35">
      <c r="B42" s="2" t="s">
        <v>2791</v>
      </c>
      <c r="C42" s="395" t="s">
        <v>2794</v>
      </c>
      <c r="D42" s="2" t="s">
        <v>2793</v>
      </c>
    </row>
    <row r="43" spans="1:4" x14ac:dyDescent="0.35">
      <c r="B43" s="2" t="s">
        <v>2791</v>
      </c>
      <c r="C43" s="395" t="s">
        <v>2369</v>
      </c>
      <c r="D43" s="2" t="s">
        <v>2795</v>
      </c>
    </row>
    <row r="45" spans="1:4" x14ac:dyDescent="0.35">
      <c r="A45" s="2" t="s">
        <v>655</v>
      </c>
      <c r="B45" s="2" t="str">
        <f>"Business Rates Liability and Savings "&amp;F29&amp;" List"</f>
        <v>Business Rates Liability and Savings 2023 List</v>
      </c>
    </row>
    <row r="46" spans="1:4" x14ac:dyDescent="0.35">
      <c r="A46" s="2" t="s">
        <v>655</v>
      </c>
      <c r="B46" s="2" t="s">
        <v>2360</v>
      </c>
    </row>
    <row r="47" spans="1:4" x14ac:dyDescent="0.35">
      <c r="A47" s="2" t="s">
        <v>655</v>
      </c>
      <c r="B47" s="2" t="s">
        <v>2361</v>
      </c>
    </row>
    <row r="48" spans="1:4" x14ac:dyDescent="0.35">
      <c r="A48" s="2" t="s">
        <v>655</v>
      </c>
      <c r="B48" s="2" t="s">
        <v>2362</v>
      </c>
    </row>
    <row r="49" spans="1:7" x14ac:dyDescent="0.35">
      <c r="A49" s="2" t="s">
        <v>655</v>
      </c>
      <c r="B49" s="2" t="s">
        <v>2364</v>
      </c>
    </row>
    <row r="50" spans="1:7" x14ac:dyDescent="0.35">
      <c r="A50" s="2" t="s">
        <v>655</v>
      </c>
      <c r="B50" s="2" t="s">
        <v>2363</v>
      </c>
    </row>
    <row r="52" spans="1:7" x14ac:dyDescent="0.35">
      <c r="B52" s="395" t="s">
        <v>1218</v>
      </c>
      <c r="C52" s="4">
        <f>B9</f>
        <v>45017</v>
      </c>
      <c r="D52" s="980" t="s">
        <v>1220</v>
      </c>
      <c r="E52" s="2" t="str">
        <f>TEXT(C52,"dd/mm/yy")</f>
        <v>01/04/23</v>
      </c>
      <c r="F52" s="2" t="s">
        <v>1221</v>
      </c>
    </row>
    <row r="53" spans="1:7" x14ac:dyDescent="0.35">
      <c r="B53" s="395" t="s">
        <v>1219</v>
      </c>
      <c r="C53" s="4">
        <f>C11</f>
        <v>46112</v>
      </c>
      <c r="D53" s="980" t="s">
        <v>1220</v>
      </c>
      <c r="E53" s="2" t="str">
        <f>TEXT(C53,"dd/mm/yy")</f>
        <v>31/03/26</v>
      </c>
      <c r="F53" s="2" t="s">
        <v>1221</v>
      </c>
    </row>
    <row r="54" spans="1:7" x14ac:dyDescent="0.35">
      <c r="B54" s="395" t="s">
        <v>461</v>
      </c>
      <c r="C54" s="4">
        <f>C8</f>
        <v>45016</v>
      </c>
      <c r="D54" s="980" t="s">
        <v>1220</v>
      </c>
      <c r="E54" s="2" t="str">
        <f>TEXT(C54,"dd/mm/yy")</f>
        <v>31/03/23</v>
      </c>
      <c r="F54" s="2" t="s">
        <v>1221</v>
      </c>
    </row>
    <row r="56" spans="1:7" x14ac:dyDescent="0.35">
      <c r="B56" s="2" t="s">
        <v>502</v>
      </c>
    </row>
    <row r="57" spans="1:7" x14ac:dyDescent="0.35">
      <c r="B57" s="2" t="s">
        <v>503</v>
      </c>
      <c r="C57" s="395" t="s">
        <v>761</v>
      </c>
    </row>
    <row r="58" spans="1:7" x14ac:dyDescent="0.35">
      <c r="B58" s="2" t="s">
        <v>1699</v>
      </c>
      <c r="C58" s="395" t="s">
        <v>763</v>
      </c>
    </row>
    <row r="59" spans="1:7" x14ac:dyDescent="0.35">
      <c r="B59" s="2" t="s">
        <v>504</v>
      </c>
      <c r="C59" s="395" t="s">
        <v>762</v>
      </c>
    </row>
    <row r="60" spans="1:7" x14ac:dyDescent="0.35">
      <c r="B60" s="2" t="s">
        <v>601</v>
      </c>
      <c r="C60" s="395" t="s">
        <v>2308</v>
      </c>
    </row>
    <row r="61" spans="1:7" x14ac:dyDescent="0.35">
      <c r="B61" s="2" t="s">
        <v>601</v>
      </c>
      <c r="C61" s="395" t="s">
        <v>602</v>
      </c>
    </row>
    <row r="62" spans="1:7" x14ac:dyDescent="0.35">
      <c r="A62" s="2">
        <v>1</v>
      </c>
      <c r="B62" s="2" t="s">
        <v>703</v>
      </c>
      <c r="G62" s="2" t="str">
        <f t="shared" ref="G62:G67" si="5">"Let conditionsline"&amp;A62&amp;" = sheets("&amp;CHAR(34)&amp;"text"&amp;CHAR(34)&amp;").cells("&amp;ROW(B62)&amp;","&amp;COLUMN(B62)&amp;")"</f>
        <v>Let conditionsline1 = sheets("text").cells(62,2)</v>
      </c>
    </row>
    <row r="63" spans="1:7" x14ac:dyDescent="0.35">
      <c r="A63" s="2">
        <f>A62+1</f>
        <v>2</v>
      </c>
      <c r="B63" s="2" t="s">
        <v>2797</v>
      </c>
      <c r="G63" s="2" t="str">
        <f t="shared" si="5"/>
        <v>Let conditionsline2 = sheets("text").cells(63,2)</v>
      </c>
    </row>
    <row r="64" spans="1:7" x14ac:dyDescent="0.35">
      <c r="A64" s="2">
        <f>A63+1</f>
        <v>3</v>
      </c>
      <c r="B64" s="2" t="s">
        <v>2798</v>
      </c>
      <c r="G64" s="2" t="str">
        <f t="shared" si="5"/>
        <v>Let conditionsline3 = sheets("text").cells(64,2)</v>
      </c>
    </row>
    <row r="65" spans="1:7" x14ac:dyDescent="0.35">
      <c r="A65" s="2">
        <f>A64+1</f>
        <v>4</v>
      </c>
      <c r="B65" s="2" t="s">
        <v>0</v>
      </c>
      <c r="G65" s="2" t="str">
        <f t="shared" si="5"/>
        <v>Let conditionsline4 = sheets("text").cells(65,2)</v>
      </c>
    </row>
    <row r="66" spans="1:7" x14ac:dyDescent="0.35">
      <c r="A66" s="2">
        <f>A65+1</f>
        <v>5</v>
      </c>
      <c r="B66" s="2" t="s">
        <v>2796</v>
      </c>
      <c r="G66" s="2" t="str">
        <f t="shared" si="5"/>
        <v>Let conditionsline5 = sheets("text").cells(66,2)</v>
      </c>
    </row>
    <row r="67" spans="1:7" x14ac:dyDescent="0.35">
      <c r="A67" s="2">
        <f>A66+1</f>
        <v>6</v>
      </c>
      <c r="B67" s="2" t="s">
        <v>786</v>
      </c>
      <c r="G67" s="2" t="str">
        <f t="shared" si="5"/>
        <v>Let conditionsline6 = sheets("text").cells(67,2)</v>
      </c>
    </row>
    <row r="70" spans="1:7" x14ac:dyDescent="0.35">
      <c r="B70" s="2" t="s">
        <v>508</v>
      </c>
    </row>
    <row r="71" spans="1:7" x14ac:dyDescent="0.35">
      <c r="B71" s="990" t="s">
        <v>506</v>
      </c>
    </row>
    <row r="72" spans="1:7" x14ac:dyDescent="0.35">
      <c r="B72" s="990" t="s">
        <v>507</v>
      </c>
      <c r="C72" s="2" t="str">
        <f>" in year 1 RV "&amp;TEXT(data!C43,"#,###")&amp;" | in year 2 RV "&amp;TEXT(data!C44,"#,###")&amp;" | in year 3 RV "&amp;TEXT(data!C45,"#,###")&amp;" |  in year 4 RV "&amp;TEXT(data!C46,"#,###")</f>
        <v xml:space="preserve"> in year 1 RV 2,900 | in year 2 RV 2,900 | in year 3 RV 2,900 |  in year 4 RV 2,900</v>
      </c>
    </row>
    <row r="75" spans="1:7" x14ac:dyDescent="0.35">
      <c r="B75" s="2" t="s">
        <v>1012</v>
      </c>
    </row>
    <row r="76" spans="1:7" x14ac:dyDescent="0.35">
      <c r="A76" s="2" t="s">
        <v>1023</v>
      </c>
      <c r="B76" s="2" t="s">
        <v>1013</v>
      </c>
    </row>
    <row r="77" spans="1:7" x14ac:dyDescent="0.35">
      <c r="A77" s="2" t="s">
        <v>1024</v>
      </c>
      <c r="B77" s="2" t="s">
        <v>1028</v>
      </c>
    </row>
    <row r="78" spans="1:7" x14ac:dyDescent="0.35">
      <c r="A78" s="2" t="s">
        <v>1024</v>
      </c>
      <c r="B78" s="2" t="str">
        <f>"AND the RV of that property must be "&amp;TEXT(data!D33,"#,###")&amp;" or below"</f>
        <v>AND the RV of that property must be 15,000 or below</v>
      </c>
    </row>
    <row r="79" spans="1:7" x14ac:dyDescent="0.35">
      <c r="A79" s="2" t="s">
        <v>1024</v>
      </c>
      <c r="B79" s="2" t="s">
        <v>1014</v>
      </c>
    </row>
    <row r="80" spans="1:7" x14ac:dyDescent="0.35">
      <c r="A80" s="2" t="s">
        <v>1024</v>
      </c>
      <c r="B80" s="2" t="str">
        <f>"by the same ratepayer can be ignored if the RV of each of those properties is below "&amp;TEXT(data!C43,"#,###")</f>
        <v>by the same ratepayer can be ignored if the RV of each of those properties is below 2,900</v>
      </c>
    </row>
    <row r="81" spans="1:2" x14ac:dyDescent="0.35">
      <c r="A81" s="2" t="s">
        <v>1024</v>
      </c>
      <c r="B81" s="2" t="s">
        <v>1022</v>
      </c>
    </row>
    <row r="82" spans="1:2" x14ac:dyDescent="0.35">
      <c r="A82" s="2" t="s">
        <v>1024</v>
      </c>
      <c r="B82" s="2" t="str">
        <f>"Where eligible, 100% relief is given on RV's of "&amp;TEXT(data!C33,"#,###")&amp;" or below"</f>
        <v>Where eligible, 100% relief is given on RV's of 12,000 or below</v>
      </c>
    </row>
    <row r="83" spans="1:2" x14ac:dyDescent="0.35">
      <c r="A83" s="2" t="s">
        <v>1024</v>
      </c>
      <c r="B83" s="2" t="str">
        <f>"Tapered relief is given if the RV is between "&amp;TEXT(data!C33+1,"#,###")&amp;" and "&amp;TEXT(data!D33,"#,###")</f>
        <v>Tapered relief is given if the RV is between 12,001 and 15,000</v>
      </c>
    </row>
    <row r="84" spans="1:2" x14ac:dyDescent="0.35">
      <c r="A84" s="2" t="s">
        <v>1024</v>
      </c>
      <c r="B84" s="2" t="str">
        <f>"SBRR is not given if the RV is over "&amp;TEXT(data!D33,"#,###")</f>
        <v>SBRR is not given if the RV is over 15,000</v>
      </c>
    </row>
    <row r="85" spans="1:2" x14ac:dyDescent="0.35">
      <c r="A85" s="2" t="s">
        <v>1024</v>
      </c>
      <c r="B85" s="2" t="str">
        <f>"Occupied properties with an RV below "&amp;TEXT(data!E33,"#,###")&amp;" have their business rates liability calculated"</f>
        <v>Occupied properties with an RV below 51,000 have their business rates liability calculated</v>
      </c>
    </row>
    <row r="86" spans="1:2" x14ac:dyDescent="0.35">
      <c r="A86" s="2" t="s">
        <v>1024</v>
      </c>
      <c r="B86" s="2" t="s">
        <v>1025</v>
      </c>
    </row>
    <row r="88" spans="1:2" x14ac:dyDescent="0.35">
      <c r="B88" s="2" t="s">
        <v>1716</v>
      </c>
    </row>
    <row r="89" spans="1:2" x14ac:dyDescent="0.35">
      <c r="A89" s="2" t="s">
        <v>1024</v>
      </c>
      <c r="B89" s="2" t="s">
        <v>1717</v>
      </c>
    </row>
    <row r="90" spans="1:2" x14ac:dyDescent="0.35">
      <c r="A90" s="2" t="s">
        <v>1024</v>
      </c>
      <c r="B90" s="2" t="s">
        <v>1718</v>
      </c>
    </row>
    <row r="91" spans="1:2" x14ac:dyDescent="0.35">
      <c r="A91" s="2" t="s">
        <v>1024</v>
      </c>
      <c r="B91" s="2" t="s">
        <v>1721</v>
      </c>
    </row>
    <row r="92" spans="1:2" x14ac:dyDescent="0.35">
      <c r="A92" s="2" t="s">
        <v>1024</v>
      </c>
      <c r="B92" s="2" t="s">
        <v>1719</v>
      </c>
    </row>
    <row r="93" spans="1:2" x14ac:dyDescent="0.35">
      <c r="A93" s="2" t="s">
        <v>1024</v>
      </c>
      <c r="B93" s="2" t="s">
        <v>1720</v>
      </c>
    </row>
    <row r="95" spans="1:2" x14ac:dyDescent="0.35">
      <c r="B95" s="2" t="s">
        <v>1073</v>
      </c>
    </row>
    <row r="96" spans="1:2" x14ac:dyDescent="0.35">
      <c r="A96" s="2" t="s">
        <v>1024</v>
      </c>
      <c r="B96" s="2" t="str">
        <f>"If you wish to use a CERTIFIED value as at "&amp;TEXT(C8,"dd/mm/yy")&amp;" on the REVISED liability, please enter the TC value below. For more options use the ADVANCED Calculator"</f>
        <v>If you wish to use a CERTIFIED value as at 31/03/23 on the REVISED liability, please enter the TC value below. For more options use the ADVANCED Calculator</v>
      </c>
    </row>
    <row r="98" spans="1:2" x14ac:dyDescent="0.35">
      <c r="A98" s="2" t="s">
        <v>2309</v>
      </c>
      <c r="B98" s="2" t="s">
        <v>2308</v>
      </c>
    </row>
    <row r="99" spans="1:2" x14ac:dyDescent="0.35">
      <c r="A99" s="2" t="s">
        <v>2313</v>
      </c>
      <c r="B99" s="2" t="s">
        <v>2321</v>
      </c>
    </row>
    <row r="100" spans="1:2" x14ac:dyDescent="0.35">
      <c r="A100" s="2" t="s">
        <v>2314</v>
      </c>
    </row>
    <row r="101" spans="1:2" x14ac:dyDescent="0.35">
      <c r="A101" s="2" t="s">
        <v>2315</v>
      </c>
      <c r="B101" s="2" t="s">
        <v>2316</v>
      </c>
    </row>
    <row r="102" spans="1:2" x14ac:dyDescent="0.35">
      <c r="A102" s="2" t="s">
        <v>2317</v>
      </c>
      <c r="B102" s="2" t="s">
        <v>2318</v>
      </c>
    </row>
    <row r="103" spans="1:2" x14ac:dyDescent="0.35">
      <c r="A103" s="2" t="s">
        <v>2319</v>
      </c>
    </row>
    <row r="104" spans="1:2" x14ac:dyDescent="0.35">
      <c r="A104" s="2" t="s">
        <v>2320</v>
      </c>
    </row>
    <row r="106" spans="1:2" x14ac:dyDescent="0.35">
      <c r="A106" s="2" t="s">
        <v>471</v>
      </c>
      <c r="B106" s="395" t="s">
        <v>3028</v>
      </c>
    </row>
  </sheetData>
  <sheetProtection algorithmName="SHA-512" hashValue="B4yt98QQ2hTY5SFIgF1WgvENaC6TGsHn8c6+MLQa1ztFVpmH33uOuXP6EmL0V3ZZG/hoDOF7JZb/UdOaBusS2A==" saltValue="GCh5OK4Wy3zPPGFjnW8A0g==" spinCount="100000" sheet="1" objects="1" scenarios="1"/>
  <phoneticPr fontId="0" type="noConversion"/>
  <pageMargins left="0.7" right="0.7" top="0.75" bottom="0.75" header="0.3" footer="0.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0EEBA-C554-416A-A4E6-7F2C487D7733}">
  <sheetPr codeName="Sheet58"/>
  <dimension ref="A1:AU45"/>
  <sheetViews>
    <sheetView showGridLines="0" workbookViewId="0">
      <selection activeCell="G17" sqref="G17"/>
    </sheetView>
  </sheetViews>
  <sheetFormatPr defaultColWidth="9.08984375" defaultRowHeight="12.5" x14ac:dyDescent="0.25"/>
  <cols>
    <col min="1" max="1" width="19.6328125" style="1776" customWidth="1"/>
    <col min="2" max="2" width="2.90625" style="1776" customWidth="1"/>
    <col min="3" max="3" width="11" style="1776" customWidth="1"/>
    <col min="4" max="4" width="5.90625" style="1776" customWidth="1"/>
    <col min="5" max="5" width="11.90625" style="1776" customWidth="1"/>
    <col min="6" max="6" width="2.54296875" style="1776" customWidth="1"/>
    <col min="7" max="7" width="12.453125" style="1776" customWidth="1"/>
    <col min="8" max="8" width="14" style="1776" customWidth="1"/>
    <col min="9" max="9" width="9.453125" style="1776" customWidth="1"/>
    <col min="10" max="10" width="15.54296875" style="1776" customWidth="1"/>
    <col min="11" max="11" width="50.90625" style="1776" customWidth="1"/>
    <col min="12" max="12" width="11.54296875" style="1769" hidden="1" customWidth="1"/>
    <col min="13" max="14" width="10.08984375" style="1769" hidden="1" customWidth="1"/>
    <col min="15" max="15" width="11.54296875" style="1769" hidden="1" customWidth="1"/>
    <col min="16" max="16" width="15.90625" style="1769" hidden="1" customWidth="1"/>
    <col min="17" max="17" width="10.54296875" style="1769" hidden="1" customWidth="1"/>
    <col min="18" max="18" width="11.453125" style="1769" hidden="1" customWidth="1"/>
    <col min="19" max="19" width="10.08984375" style="1769" hidden="1" customWidth="1"/>
    <col min="20" max="20" width="9.08984375" style="1769" hidden="1" customWidth="1"/>
    <col min="21" max="21" width="10.54296875" style="1769" hidden="1" customWidth="1"/>
    <col min="22" max="22" width="9.90625" style="1769" hidden="1" customWidth="1"/>
    <col min="23" max="23" width="12" style="1773" hidden="1" customWidth="1"/>
    <col min="24" max="24" width="10.54296875" style="1773" hidden="1" customWidth="1"/>
    <col min="25" max="25" width="10.453125" style="1774" hidden="1" customWidth="1"/>
    <col min="26" max="26" width="13" style="1774" hidden="1" customWidth="1"/>
    <col min="27" max="27" width="9.08984375" style="1774" hidden="1" customWidth="1"/>
    <col min="28" max="28" width="10.54296875" style="1774" hidden="1" customWidth="1"/>
    <col min="29" max="29" width="11.90625" style="1774" hidden="1" customWidth="1"/>
    <col min="30" max="31" width="12.54296875" style="1774" hidden="1" customWidth="1"/>
    <col min="32" max="35" width="9.08984375" style="1774" hidden="1" customWidth="1"/>
    <col min="36" max="36" width="12" style="1774" hidden="1" customWidth="1"/>
    <col min="37" max="37" width="16" style="1774" hidden="1" customWidth="1"/>
    <col min="38" max="38" width="11" style="1774" hidden="1" customWidth="1"/>
    <col min="39" max="39" width="12.08984375" style="1774" hidden="1" customWidth="1"/>
    <col min="40" max="40" width="9.08984375" style="1774" hidden="1" customWidth="1"/>
    <col min="41" max="41" width="9.54296875" style="1774" hidden="1" customWidth="1"/>
    <col min="42" max="42" width="5.90625" style="1774" hidden="1" customWidth="1"/>
    <col min="43" max="46" width="8.90625" style="1774" customWidth="1"/>
    <col min="47" max="47" width="48.54296875" style="1776" customWidth="1"/>
    <col min="48" max="16384" width="9.08984375" style="1776"/>
  </cols>
  <sheetData>
    <row r="1" spans="1:47" ht="8.25" customHeight="1" x14ac:dyDescent="0.3">
      <c r="A1" s="1767"/>
      <c r="B1" s="1767"/>
      <c r="C1" s="1767"/>
      <c r="D1" s="1767"/>
      <c r="E1" s="1767"/>
      <c r="F1" s="1767"/>
      <c r="G1" s="1767"/>
      <c r="H1" s="1767"/>
      <c r="I1" s="1767"/>
      <c r="J1" s="1768"/>
      <c r="K1" s="1767"/>
      <c r="M1" s="1770" t="s">
        <v>1279</v>
      </c>
      <c r="N1" s="1771"/>
      <c r="O1" s="1772" t="s">
        <v>850</v>
      </c>
      <c r="AQ1" s="1775"/>
      <c r="AR1" s="1775"/>
      <c r="AS1" s="1775"/>
      <c r="AT1" s="1775"/>
      <c r="AU1" s="1767"/>
    </row>
    <row r="2" spans="1:47" ht="8.25" customHeight="1" x14ac:dyDescent="0.25">
      <c r="A2" s="1767"/>
      <c r="B2" s="1767"/>
      <c r="C2" s="1767"/>
      <c r="D2" s="1767"/>
      <c r="E2" s="1777"/>
      <c r="F2" s="1777"/>
      <c r="G2" s="1777"/>
      <c r="H2" s="1777"/>
      <c r="I2" s="1767"/>
      <c r="J2" s="1767"/>
      <c r="K2" s="1767"/>
      <c r="M2" s="1778" t="s">
        <v>550</v>
      </c>
      <c r="N2" s="1779">
        <f>text!C52</f>
        <v>45017</v>
      </c>
      <c r="O2" s="1779">
        <f>text!C53</f>
        <v>46112</v>
      </c>
      <c r="V2" s="1780" t="s">
        <v>1280</v>
      </c>
      <c r="W2" s="1774">
        <v>1</v>
      </c>
      <c r="Y2" s="1774" t="s">
        <v>1281</v>
      </c>
      <c r="Z2" s="1781">
        <f>G17</f>
        <v>0</v>
      </c>
      <c r="AA2" s="1774" t="s">
        <v>1282</v>
      </c>
      <c r="AB2" s="1782" t="s">
        <v>251</v>
      </c>
      <c r="AC2" s="1782" t="s">
        <v>267</v>
      </c>
      <c r="AD2" s="1782" t="s">
        <v>527</v>
      </c>
      <c r="AE2" s="1782" t="s">
        <v>1283</v>
      </c>
      <c r="AF2" s="1782" t="s">
        <v>1284</v>
      </c>
      <c r="AG2" s="1782" t="s">
        <v>1285</v>
      </c>
      <c r="AH2" s="1782" t="s">
        <v>1286</v>
      </c>
      <c r="AI2" s="2300" t="s">
        <v>2822</v>
      </c>
      <c r="AJ2" s="1782" t="s">
        <v>551</v>
      </c>
      <c r="AK2" s="1782" t="s">
        <v>2656</v>
      </c>
      <c r="AL2" s="1782" t="s">
        <v>1287</v>
      </c>
      <c r="AM2" s="1782" t="s">
        <v>1288</v>
      </c>
      <c r="AN2" s="1782" t="s">
        <v>1289</v>
      </c>
      <c r="AO2" s="1782" t="s">
        <v>1290</v>
      </c>
      <c r="AQ2" s="1775"/>
      <c r="AR2" s="1775"/>
      <c r="AS2" s="1775"/>
      <c r="AT2" s="1775"/>
      <c r="AU2" s="1767"/>
    </row>
    <row r="3" spans="1:47" ht="13" x14ac:dyDescent="0.3">
      <c r="A3" s="1783"/>
      <c r="C3" s="1784"/>
      <c r="J3" s="1785"/>
      <c r="K3" s="1767"/>
      <c r="M3" s="1778" t="s">
        <v>1291</v>
      </c>
      <c r="N3" s="1779">
        <f>text!C15</f>
        <v>47573</v>
      </c>
      <c r="S3" s="1786"/>
      <c r="U3" s="1786"/>
      <c r="V3" s="1780" t="s">
        <v>1292</v>
      </c>
      <c r="W3" s="1774">
        <v>2</v>
      </c>
      <c r="X3" s="1787"/>
      <c r="Y3" s="1774" t="s">
        <v>1293</v>
      </c>
      <c r="Z3" s="1781">
        <f>G18</f>
        <v>0</v>
      </c>
      <c r="AA3" s="1774" t="b">
        <f>AE3</f>
        <v>0</v>
      </c>
      <c r="AB3" s="1788">
        <f>text!B9</f>
        <v>45017</v>
      </c>
      <c r="AC3" s="1788">
        <f>text!C9</f>
        <v>45382</v>
      </c>
      <c r="AD3" s="1782">
        <f>AC3-AB3+1</f>
        <v>366</v>
      </c>
      <c r="AE3" s="1774" t="b">
        <f>AND(AB3&lt;=$Z$2,$Z$2&lt;=AC3)</f>
        <v>0</v>
      </c>
      <c r="AF3" s="1774" t="b">
        <f>AND(AB3&lt;=$Z$3,$Z$3&lt;=AC3)</f>
        <v>0</v>
      </c>
      <c r="AG3" s="1774" t="b">
        <f>AND(AB3&lt;=$Z$4,$Z$4&lt;=AC3)</f>
        <v>0</v>
      </c>
      <c r="AH3" s="1774" t="b">
        <f>AE3</f>
        <v>0</v>
      </c>
      <c r="AI3" s="1774" t="b">
        <f>AND($L$22=TRUE,AG3=TRUE)</f>
        <v>0</v>
      </c>
      <c r="AJ3" s="1788">
        <f>IF(AE3=TRUE,$G$17,IF(AH3=TRUE,AB3,0))</f>
        <v>0</v>
      </c>
      <c r="AK3" s="1788">
        <f>IF(AI3=TRUE,AJ3-1,IF(AG3=TRUE,$Z$4-1,IF(AF3=TRUE,$Z$3-1,IF(AH3=TRUE,AC3,0))))</f>
        <v>0</v>
      </c>
      <c r="AL3" s="1788">
        <f>IF(AG3=TRUE,$Z$4,IF(AI3=TRUE,AB3,0))</f>
        <v>0</v>
      </c>
      <c r="AM3" s="1788">
        <f>IF(AND(OR(AG3=TRUE,AI3=TRUE),AF3=TRUE),$Z$3-1,IF(OR(AG3=TRUE,AI3=TRUE),AC3,0))</f>
        <v>0</v>
      </c>
      <c r="AN3" s="1782">
        <f>(AK3-AJ3+1)*AH3</f>
        <v>0</v>
      </c>
      <c r="AO3" s="1782">
        <f>IF(AM3-AL3=0,0,AM3-AL3+1)*AH3</f>
        <v>0</v>
      </c>
      <c r="AQ3" s="1775"/>
      <c r="AR3" s="1775"/>
      <c r="AS3" s="1775"/>
      <c r="AT3" s="1775"/>
      <c r="AU3" s="1767"/>
    </row>
    <row r="4" spans="1:47" ht="17.5" x14ac:dyDescent="0.35">
      <c r="A4" s="1783"/>
      <c r="C4" s="1789" t="str">
        <f>"Interest Calculation ("&amp;text!F29&amp;" List)"</f>
        <v>Interest Calculation (2023 List)</v>
      </c>
      <c r="D4" s="1789"/>
      <c r="E4" s="1790"/>
      <c r="F4" s="1790"/>
      <c r="G4" s="1790"/>
      <c r="H4" s="1791" t="str">
        <f>IF(J1="clear","Clearing - Please Wait","")</f>
        <v/>
      </c>
      <c r="I4" s="1792"/>
      <c r="J4" s="1793"/>
      <c r="K4" s="1767"/>
      <c r="M4" s="1794" t="s">
        <v>869</v>
      </c>
      <c r="N4" s="1795" t="b">
        <v>1</v>
      </c>
      <c r="O4" s="1796" t="s">
        <v>660</v>
      </c>
      <c r="P4" s="1797" t="str">
        <f>text!D2</f>
        <v>2023/24</v>
      </c>
      <c r="Q4" s="1797" t="str">
        <f>text!E2</f>
        <v>2024/25</v>
      </c>
      <c r="R4" s="1894" t="str">
        <f>text!F2</f>
        <v>2025/26</v>
      </c>
      <c r="S4" s="1894" t="str">
        <f>text!G2</f>
        <v>2026/27</v>
      </c>
      <c r="T4" s="1894" t="str">
        <f>text!H2</f>
        <v>2027/28</v>
      </c>
      <c r="V4" s="1780" t="s">
        <v>1294</v>
      </c>
      <c r="W4" s="1774">
        <v>3</v>
      </c>
      <c r="X4" s="1774"/>
      <c r="Y4" s="2299" t="s">
        <v>2821</v>
      </c>
      <c r="Z4" s="1781">
        <f>G21+1</f>
        <v>1</v>
      </c>
      <c r="AA4" s="1774" t="b">
        <f>AE4</f>
        <v>0</v>
      </c>
      <c r="AB4" s="1788">
        <f>text!B10</f>
        <v>45383</v>
      </c>
      <c r="AC4" s="1788">
        <f>text!C10</f>
        <v>45747</v>
      </c>
      <c r="AD4" s="1782">
        <f>AC4-AB4+1</f>
        <v>365</v>
      </c>
      <c r="AE4" s="1774" t="b">
        <f>AND(AB4&lt;=$Z$2,$Z$2&lt;=AC4)</f>
        <v>0</v>
      </c>
      <c r="AF4" s="1774" t="b">
        <f>AND(AB4&lt;=$Z$3,$Z$3&lt;=AC4)</f>
        <v>0</v>
      </c>
      <c r="AG4" s="1774" t="b">
        <f>AND(AB4&lt;=$Z$4,$Z$4&lt;=AC4)</f>
        <v>0</v>
      </c>
      <c r="AH4" s="1774" t="b">
        <f>AND(OR(AE4=TRUE,AH3=TRUE),AF3=FALSE)</f>
        <v>0</v>
      </c>
      <c r="AI4" s="1774" t="b">
        <f>AND($L$22=TRUE,OR(AG4=TRUE,AI3=TRUE))</f>
        <v>0</v>
      </c>
      <c r="AJ4" s="1788">
        <f>IF(AE4=TRUE,$G$17,IF(AH4=TRUE,AB4,0))</f>
        <v>0</v>
      </c>
      <c r="AK4" s="1788">
        <f>IF(AI4=TRUE,AJ4-1,IF(AG4=TRUE,$Z$4-1,IF(AF4=TRUE,$Z$3-1,IF(AH4=TRUE,AC4,0))))</f>
        <v>0</v>
      </c>
      <c r="AL4" s="1788">
        <f>IF(AG4=TRUE,$Z$4,IF(AI4=TRUE,AB4,0))</f>
        <v>0</v>
      </c>
      <c r="AM4" s="1788">
        <f>IF(AND(OR(AG4=TRUE,AI4=TRUE),AF4=TRUE),$Z$3-1,IF(OR(AG4=TRUE,AI4=TRUE),AC4,0))</f>
        <v>0</v>
      </c>
      <c r="AN4" s="1782">
        <f>(AK4-AJ4+1)*AH4</f>
        <v>0</v>
      </c>
      <c r="AO4" s="1782">
        <f>IF(AM4-AL4=0,0,AM4-AL4+1)*AH4</f>
        <v>0</v>
      </c>
      <c r="AQ4" s="1775"/>
      <c r="AR4" s="1775"/>
      <c r="AS4" s="1775"/>
      <c r="AT4" s="1775"/>
      <c r="AU4" s="1767"/>
    </row>
    <row r="5" spans="1:47" x14ac:dyDescent="0.25">
      <c r="A5" s="1783"/>
      <c r="B5" s="1798"/>
      <c r="K5" s="1767"/>
      <c r="O5" s="1799" t="s">
        <v>1295</v>
      </c>
      <c r="P5" s="1800">
        <f>G26</f>
        <v>0</v>
      </c>
      <c r="Q5" s="1800">
        <f>G27</f>
        <v>0</v>
      </c>
      <c r="R5" s="1800">
        <f>G28</f>
        <v>0</v>
      </c>
      <c r="S5" s="1800">
        <f>G29</f>
        <v>0</v>
      </c>
      <c r="T5" s="1800">
        <f>G30</f>
        <v>0</v>
      </c>
      <c r="V5" s="1780" t="s">
        <v>1296</v>
      </c>
      <c r="W5" s="1774">
        <v>4</v>
      </c>
      <c r="X5" s="1774"/>
      <c r="AA5" s="1774" t="b">
        <f>AE5</f>
        <v>0</v>
      </c>
      <c r="AB5" s="1788">
        <f>text!B11</f>
        <v>45748</v>
      </c>
      <c r="AC5" s="1788">
        <f>text!C11</f>
        <v>46112</v>
      </c>
      <c r="AD5" s="1782">
        <f>AC5-AB5+1</f>
        <v>365</v>
      </c>
      <c r="AE5" s="1774" t="b">
        <f>AND(AB5&lt;=$Z$2,$Z$2&lt;=AC5)</f>
        <v>0</v>
      </c>
      <c r="AF5" s="1774" t="b">
        <f>AND(AB5&lt;=$Z$3,$Z$3&lt;=AC5)</f>
        <v>0</v>
      </c>
      <c r="AG5" s="1774" t="b">
        <f>AND(AB5&lt;=$Z$4,$Z$4&lt;=AC5)</f>
        <v>0</v>
      </c>
      <c r="AH5" s="1774" t="b">
        <f>AND(OR(AE5=TRUE,AH4=TRUE),AF4=FALSE)</f>
        <v>0</v>
      </c>
      <c r="AI5" s="1774" t="b">
        <f>AND($L$22=TRUE,OR(AG5=TRUE,AI4=TRUE))</f>
        <v>0</v>
      </c>
      <c r="AJ5" s="1788">
        <f>IF(AE5=TRUE,$G$17,IF(AH5=TRUE,AB5,0))</f>
        <v>0</v>
      </c>
      <c r="AK5" s="1788">
        <f>IF(AI5=TRUE,AJ5-1,IF(AG5=TRUE,$Z$4-1,IF(AF5=TRUE,$Z$3-1,IF(AH5=TRUE,AC5,0))))</f>
        <v>0</v>
      </c>
      <c r="AL5" s="1788">
        <f>IF(AG5=TRUE,$Z$4,IF(AI5=TRUE,AB5,0))</f>
        <v>0</v>
      </c>
      <c r="AM5" s="1788">
        <f>IF(AND(OR(AG5=TRUE,AI5=TRUE),AF5=TRUE),$Z$3-1,IF(OR(AG5=TRUE,AI5=TRUE),AC5,0))</f>
        <v>0</v>
      </c>
      <c r="AN5" s="1782">
        <f>(AK5-AJ5+1)*AH5</f>
        <v>0</v>
      </c>
      <c r="AO5" s="1782">
        <f>IF(AM5-AL5=0,0,AM5-AL5+1)*AH5</f>
        <v>0</v>
      </c>
      <c r="AQ5" s="1775"/>
      <c r="AR5" s="1775"/>
      <c r="AS5" s="1775"/>
      <c r="AT5" s="1775"/>
      <c r="AU5" s="1767"/>
    </row>
    <row r="6" spans="1:47" x14ac:dyDescent="0.25">
      <c r="A6" s="1783"/>
      <c r="B6" s="1798"/>
      <c r="C6" s="1776" t="s">
        <v>1272</v>
      </c>
      <c r="D6" s="1801" t="str">
        <f>IF(details!$D$5="","please complete the details page",details!$D$5)</f>
        <v>please complete the details page</v>
      </c>
      <c r="E6" s="1802"/>
      <c r="H6" s="1803"/>
      <c r="I6" s="1776" t="s">
        <v>1297</v>
      </c>
      <c r="J6" s="1801" t="str">
        <f>IF(details!$D$6=0,"see details page",details!$D$6)</f>
        <v>see details page</v>
      </c>
      <c r="K6" s="1767"/>
      <c r="L6" s="1799">
        <f>text!B9</f>
        <v>45017</v>
      </c>
      <c r="M6" s="1804">
        <v>1</v>
      </c>
      <c r="O6" s="1805">
        <f>update!M6</f>
        <v>0.03</v>
      </c>
      <c r="P6" s="1806">
        <f>ROUND((P$5*$O6/$AD3*$AN3/2)+(P$5*$O6/$AD3*$AO3),2)</f>
        <v>0</v>
      </c>
      <c r="Q6" s="1807"/>
      <c r="R6" s="1807"/>
      <c r="S6" s="1807"/>
      <c r="T6" s="1807"/>
      <c r="V6" s="1780" t="s">
        <v>1298</v>
      </c>
      <c r="W6" s="1774">
        <v>5</v>
      </c>
      <c r="X6" s="1774"/>
      <c r="AA6" s="1774" t="b">
        <f>AE6</f>
        <v>0</v>
      </c>
      <c r="AB6" s="1788">
        <f>text!B12</f>
        <v>46113</v>
      </c>
      <c r="AC6" s="1788">
        <f>text!C12</f>
        <v>46477</v>
      </c>
      <c r="AD6" s="1782">
        <f>AC6-AB6+1</f>
        <v>365</v>
      </c>
      <c r="AE6" s="1774" t="b">
        <f>AND(AB6&lt;=$Z$2,$Z$2&lt;=AC6)</f>
        <v>0</v>
      </c>
      <c r="AF6" s="1774" t="b">
        <f>AND(AB6&lt;=$Z$3,$Z$3&lt;=AC6)</f>
        <v>0</v>
      </c>
      <c r="AG6" s="1774" t="b">
        <f>AND(AB6&lt;=$Z$4,$Z$4&lt;=AC6)</f>
        <v>0</v>
      </c>
      <c r="AH6" s="1774" t="b">
        <f>AND(OR(AE6=TRUE,AH5=TRUE),AF5=FALSE)</f>
        <v>0</v>
      </c>
      <c r="AI6" s="1774" t="b">
        <f>AND($L$22=TRUE,OR(AG6=TRUE,AI5=TRUE))</f>
        <v>0</v>
      </c>
      <c r="AJ6" s="1788">
        <f>IF(AE6=TRUE,$G$17,IF(AH6=TRUE,AB6,0))</f>
        <v>0</v>
      </c>
      <c r="AK6" s="1788">
        <f>IF(AI6=TRUE,AJ6-1,IF(AG6=TRUE,$Z$4-1,IF(AF6=TRUE,$Z$3-1,IF(AH6=TRUE,AC6,0))))</f>
        <v>0</v>
      </c>
      <c r="AL6" s="1788">
        <f>IF(AG6=TRUE,$Z$4,IF(AI6=TRUE,AB6,0))</f>
        <v>0</v>
      </c>
      <c r="AM6" s="1788">
        <f>IF(AND(OR(AG6=TRUE,AI6=TRUE),AF6=TRUE),$Z$3-1,IF(OR(AG6=TRUE,AI6=TRUE),AC6,0))</f>
        <v>0</v>
      </c>
      <c r="AN6" s="1782">
        <f>(AK6-AJ6+1)*AH6</f>
        <v>0</v>
      </c>
      <c r="AO6" s="1782">
        <f>IF(AM6-AL6=0,0,AM6-AL6+1)*AH6</f>
        <v>0</v>
      </c>
      <c r="AQ6" s="1775"/>
      <c r="AR6" s="1775"/>
      <c r="AS6" s="1775"/>
      <c r="AT6" s="1775"/>
      <c r="AU6" s="1767"/>
    </row>
    <row r="7" spans="1:47" x14ac:dyDescent="0.25">
      <c r="A7" s="1783"/>
      <c r="B7" s="1798"/>
      <c r="E7" s="1802"/>
      <c r="H7" s="1803"/>
      <c r="J7" s="1808"/>
      <c r="K7" s="1809"/>
      <c r="L7" s="1799">
        <f>text!B10</f>
        <v>45383</v>
      </c>
      <c r="M7" s="1804">
        <v>2</v>
      </c>
      <c r="O7" s="1805">
        <f>update!M7</f>
        <v>4.2500000000000003E-2</v>
      </c>
      <c r="P7" s="1806">
        <f>ROUND((P$5*$O7/$AD4*$AN4)+(P$5*$O7/$AD4*$AO4),2)</f>
        <v>0</v>
      </c>
      <c r="Q7" s="1806">
        <f>ROUND((Q$5*$O7/$AD4*$AN4/2)+(Q$5*$O7/$AD4*$AO4),2)</f>
        <v>0</v>
      </c>
      <c r="R7" s="1810"/>
      <c r="S7" s="1811"/>
      <c r="T7" s="1807"/>
      <c r="V7" s="1780" t="s">
        <v>1299</v>
      </c>
      <c r="W7" s="1774">
        <v>6</v>
      </c>
      <c r="X7" s="1774"/>
      <c r="AA7" s="1774" t="b">
        <f>AE7</f>
        <v>0</v>
      </c>
      <c r="AB7" s="1788">
        <f>text!B13</f>
        <v>46478</v>
      </c>
      <c r="AC7" s="1788">
        <f>text!C13</f>
        <v>46843</v>
      </c>
      <c r="AD7" s="1782">
        <f>AC7-AB7+1</f>
        <v>366</v>
      </c>
      <c r="AE7" s="1774" t="b">
        <f>AND(AB7&lt;=$Z$2,$Z$2&lt;=AC7)</f>
        <v>0</v>
      </c>
      <c r="AF7" s="1774" t="b">
        <f>AND(AB7&lt;=$Z$3,$Z$3&lt;=AC7)</f>
        <v>0</v>
      </c>
      <c r="AG7" s="1774" t="b">
        <f>AND(AB7&lt;=$Z$4,$Z$4&lt;=AC7)</f>
        <v>0</v>
      </c>
      <c r="AH7" s="1774" t="b">
        <f>AND(OR(AE7=TRUE,AH6=TRUE),AF6=FALSE)</f>
        <v>0</v>
      </c>
      <c r="AI7" s="1774" t="b">
        <f>AND($L$22=TRUE,OR(AG7=TRUE,AI6=TRUE))</f>
        <v>0</v>
      </c>
      <c r="AJ7" s="1788">
        <f>IF(AE7=TRUE,$G$17,IF(AH7=TRUE,AB7,0))</f>
        <v>0</v>
      </c>
      <c r="AK7" s="1788">
        <f>IF(AI7=TRUE,AJ7-1,IF(AG7=TRUE,$Z$4-1,IF(AF7=TRUE,$Z$3-1,IF(AH7=TRUE,AC7,0))))</f>
        <v>0</v>
      </c>
      <c r="AL7" s="1788">
        <f>IF(AG7=TRUE,$Z$4,IF(AI7=TRUE,AB7,0))</f>
        <v>0</v>
      </c>
      <c r="AM7" s="1788">
        <f>IF(AND(OR(AG7=TRUE,AI7=TRUE),AF7=TRUE),$Z$3-1,IF(OR(AG7=TRUE,AI7=TRUE),AC7,0))</f>
        <v>0</v>
      </c>
      <c r="AN7" s="1782">
        <f>(AK7-AJ7+1)*AH7</f>
        <v>0</v>
      </c>
      <c r="AO7" s="1782">
        <f>IF(AM7-AL7=0,0,AM7-AL7+1)*AH7</f>
        <v>0</v>
      </c>
      <c r="AQ7" s="1775"/>
      <c r="AR7" s="1775"/>
      <c r="AS7" s="1775"/>
      <c r="AT7" s="1775"/>
      <c r="AU7" s="1767"/>
    </row>
    <row r="8" spans="1:47" x14ac:dyDescent="0.25">
      <c r="A8" s="1783"/>
      <c r="B8" s="1798"/>
      <c r="C8" s="1776" t="s">
        <v>1274</v>
      </c>
      <c r="D8" s="1801" t="str">
        <f>IF(details!$D$4="","please complete the details page",details!$D$4)</f>
        <v>please complete the details page</v>
      </c>
      <c r="H8" s="1803"/>
      <c r="I8" s="1776" t="s">
        <v>1300</v>
      </c>
      <c r="J8" s="1812">
        <f ca="1">TODAY()</f>
        <v>46155</v>
      </c>
      <c r="K8" s="1809"/>
      <c r="L8" s="1799">
        <f>text!B11</f>
        <v>45748</v>
      </c>
      <c r="M8" s="1804">
        <v>3</v>
      </c>
      <c r="O8" s="1805">
        <f>update!M8</f>
        <v>3.5000000000000003E-2</v>
      </c>
      <c r="P8" s="1806">
        <f>ROUND((P$5*$O8/$AD5*$AN5)+(P$5*$O8/$AD5*$AO5),2)</f>
        <v>0</v>
      </c>
      <c r="Q8" s="1806">
        <f>ROUND((Q$5*$O8/$AD5*$AN5)+(Q$5*$O8/$AD5*$AO5),2)</f>
        <v>0</v>
      </c>
      <c r="R8" s="1806">
        <f>ROUND((R$5*$O8/$AD5*$AN5/2)+(R$5*$O8/$AD5*$AO5),2)</f>
        <v>0</v>
      </c>
      <c r="S8" s="1807"/>
      <c r="T8" s="1807"/>
      <c r="V8" s="1780" t="s">
        <v>1301</v>
      </c>
      <c r="W8" s="1774">
        <v>7</v>
      </c>
      <c r="X8" s="1774"/>
      <c r="AB8" s="1788"/>
      <c r="AC8" s="1788"/>
      <c r="AD8" s="1782"/>
      <c r="AJ8" s="1788"/>
      <c r="AK8" s="1788"/>
      <c r="AL8" s="1788"/>
      <c r="AM8" s="1788"/>
      <c r="AN8" s="1782"/>
      <c r="AO8" s="1782"/>
      <c r="AQ8" s="1775"/>
      <c r="AR8" s="1775"/>
      <c r="AS8" s="1775"/>
      <c r="AT8" s="1775"/>
      <c r="AU8" s="1767"/>
    </row>
    <row r="9" spans="1:47" x14ac:dyDescent="0.25">
      <c r="A9" s="1783"/>
      <c r="B9" s="1798"/>
      <c r="C9" s="1813"/>
      <c r="D9" s="1813"/>
      <c r="E9" s="1813"/>
      <c r="F9" s="1813"/>
      <c r="G9" s="1813"/>
      <c r="H9" s="1813"/>
      <c r="I9" s="1813"/>
      <c r="J9" s="1813"/>
      <c r="K9" s="1814"/>
      <c r="L9" s="1799">
        <f>text!B12</f>
        <v>46113</v>
      </c>
      <c r="M9" s="1804">
        <v>4</v>
      </c>
      <c r="O9" s="1805">
        <f>update!M9</f>
        <v>3.5000000000000003E-2</v>
      </c>
      <c r="P9" s="1806">
        <f>ROUND((P$5*$O9/$AD6*$AN6)+(P$5*$O9/$AD6*$AO6),2)</f>
        <v>0</v>
      </c>
      <c r="Q9" s="1806">
        <f>ROUND((Q$5*$O9/$AD6*$AN6)+(Q$5*$O9/$AD6*$AO6),2)</f>
        <v>0</v>
      </c>
      <c r="R9" s="1806">
        <f>ROUND((R$5*$O9/$AD6*$AN6)+(R$5*$O9/$AD6*$AO6),2)</f>
        <v>0</v>
      </c>
      <c r="S9" s="1806">
        <f>ROUND((S$5*$O9/$AD6*$AN6/2)+(S$5*$O9/$AD6*$AO6),2)</f>
        <v>0</v>
      </c>
      <c r="T9" s="1807"/>
      <c r="V9" s="1780" t="s">
        <v>1302</v>
      </c>
      <c r="W9" s="1774">
        <v>8</v>
      </c>
      <c r="X9" s="1774"/>
      <c r="AB9" s="1788"/>
      <c r="AC9" s="1788"/>
      <c r="AD9" s="1782"/>
      <c r="AJ9" s="1788"/>
      <c r="AK9" s="1788"/>
      <c r="AL9" s="1788"/>
      <c r="AM9" s="1788"/>
      <c r="AN9" s="1782"/>
      <c r="AO9" s="1782"/>
      <c r="AQ9" s="1775"/>
      <c r="AR9" s="1775"/>
      <c r="AS9" s="1775"/>
      <c r="AT9" s="1775"/>
      <c r="AU9" s="1767"/>
    </row>
    <row r="10" spans="1:47" ht="13" x14ac:dyDescent="0.3">
      <c r="A10" s="1783"/>
      <c r="B10" s="1798"/>
      <c r="C10" s="1815" t="str">
        <f>IF(details!$D7&lt;&gt;"",details!$D7,"address line 1 - please enter on the 'details' page")</f>
        <v>address line 1 - please enter on the 'details' page</v>
      </c>
      <c r="D10" s="1816"/>
      <c r="E10" s="1802"/>
      <c r="I10" s="1817"/>
      <c r="J10" s="1817"/>
      <c r="K10" s="1767"/>
      <c r="L10" s="1799">
        <f>text!B13</f>
        <v>46478</v>
      </c>
      <c r="M10" s="1804">
        <v>5</v>
      </c>
      <c r="O10" s="1805">
        <f>update!M10</f>
        <v>3.5000000000000003E-2</v>
      </c>
      <c r="P10" s="1806">
        <f>ROUND((P$5*$O10/$AD7*$AN7)+(P$5*$O10/$AD7*$AO7),2)</f>
        <v>0</v>
      </c>
      <c r="Q10" s="1806">
        <f>ROUND((Q$5*$O10/$AD7*$AN7)+(Q$5*$O10/$AD7*$AO7),2)</f>
        <v>0</v>
      </c>
      <c r="R10" s="1806">
        <f>ROUND((R$5*$O10/$AD7*$AN7)+(R$5*$O10/$AD7*$AO7),2)</f>
        <v>0</v>
      </c>
      <c r="S10" s="1806">
        <f>ROUND((S$5*$O10/$AD7*$AN7)+(S$5*$O10/$AD7*$AO7),2)</f>
        <v>0</v>
      </c>
      <c r="T10" s="1806">
        <f>ROUND((T$5*$O10/$AD7*$AN7/2)+(T$5*$O10/$AD7*$AO7),2)</f>
        <v>0</v>
      </c>
      <c r="V10" s="1780" t="s">
        <v>1303</v>
      </c>
      <c r="W10" s="1774">
        <v>9</v>
      </c>
      <c r="X10" s="1774"/>
      <c r="AB10" s="1788"/>
      <c r="AC10" s="1788"/>
      <c r="AD10" s="1782"/>
      <c r="AJ10" s="1788"/>
      <c r="AK10" s="1788"/>
      <c r="AL10" s="1788"/>
      <c r="AM10" s="1788"/>
      <c r="AN10" s="1782"/>
      <c r="AO10" s="1782"/>
      <c r="AQ10" s="1775"/>
      <c r="AR10" s="1775"/>
      <c r="AS10" s="1775"/>
      <c r="AT10" s="1775"/>
      <c r="AU10" s="1767"/>
    </row>
    <row r="11" spans="1:47" ht="13" x14ac:dyDescent="0.3">
      <c r="A11" s="1783"/>
      <c r="B11" s="1798"/>
      <c r="C11" s="1815" t="str">
        <f>IF(details!$D8&lt;&gt;"",details!$D8,"address line 2 - please enter on the 'details' page")</f>
        <v>address line 2 - please enter on the 'details' page</v>
      </c>
      <c r="K11" s="1767"/>
      <c r="L11" s="1799" t="str">
        <f>text!B7</f>
        <v>soy</v>
      </c>
      <c r="M11" s="1804">
        <v>3</v>
      </c>
      <c r="O11" s="1818"/>
      <c r="P11" s="1818"/>
      <c r="Q11" s="1818"/>
      <c r="R11" s="1818"/>
      <c r="S11" s="1818"/>
      <c r="T11" s="1818"/>
      <c r="V11" s="1780" t="s">
        <v>1304</v>
      </c>
      <c r="W11" s="1774">
        <v>10</v>
      </c>
      <c r="X11" s="1774"/>
      <c r="AB11" s="1788"/>
      <c r="AC11" s="1788"/>
      <c r="AD11" s="1782"/>
      <c r="AJ11" s="1788"/>
      <c r="AK11" s="1788"/>
      <c r="AL11" s="1788"/>
      <c r="AM11" s="1788"/>
      <c r="AN11" s="1782"/>
      <c r="AO11" s="1782"/>
      <c r="AQ11" s="1775"/>
      <c r="AR11" s="1775"/>
      <c r="AS11" s="1775"/>
      <c r="AT11" s="1775"/>
      <c r="AU11" s="1767"/>
    </row>
    <row r="12" spans="1:47" ht="13" x14ac:dyDescent="0.3">
      <c r="A12" s="1783"/>
      <c r="B12" s="1798"/>
      <c r="C12" s="1815" t="str">
        <f>IF(details!$D9&lt;&gt;"",details!$D9,"address line 3 - please enter on the 'details' page")</f>
        <v>address line 3 - please enter on the 'details' page</v>
      </c>
      <c r="K12" s="1767"/>
      <c r="O12" s="1818"/>
      <c r="P12" s="1818"/>
      <c r="Q12" s="1818"/>
      <c r="R12" s="1818"/>
      <c r="S12" s="1818"/>
      <c r="T12" s="1818"/>
      <c r="V12" s="1819" t="s">
        <v>1305</v>
      </c>
      <c r="W12" s="1774">
        <v>10</v>
      </c>
      <c r="X12" s="1774"/>
      <c r="AB12" s="1788"/>
      <c r="AC12" s="1788"/>
      <c r="AD12" s="1782"/>
      <c r="AJ12" s="1788"/>
      <c r="AK12" s="1788"/>
      <c r="AL12" s="1788"/>
      <c r="AM12" s="1788"/>
      <c r="AN12" s="1782"/>
      <c r="AO12" s="1782"/>
      <c r="AQ12" s="1775"/>
      <c r="AR12" s="1775"/>
      <c r="AS12" s="1775"/>
      <c r="AT12" s="1775"/>
      <c r="AU12" s="1767"/>
    </row>
    <row r="13" spans="1:47" ht="13" x14ac:dyDescent="0.3">
      <c r="A13" s="1783"/>
      <c r="B13" s="1798"/>
      <c r="C13" s="1815" t="str">
        <f>IF(details!$D10&lt;&gt;"",details!$D10,"address line 4 - please enter on the 'details' page")</f>
        <v>address line 4 - please enter on the 'details' page</v>
      </c>
      <c r="D13" s="1817"/>
      <c r="K13" s="1767"/>
      <c r="L13" s="1804" t="s">
        <v>1306</v>
      </c>
      <c r="M13" s="1804" t="e">
        <f>VLOOKUP(G18,L6:M11,2,TRUE)</f>
        <v>#N/A</v>
      </c>
      <c r="O13" s="1799" t="s">
        <v>1307</v>
      </c>
      <c r="P13" s="1820">
        <f>SUM(P6:P12)</f>
        <v>0</v>
      </c>
      <c r="Q13" s="1820">
        <f>SUM(Q6:Q12)</f>
        <v>0</v>
      </c>
      <c r="R13" s="1820">
        <f>SUM(R6:R12)</f>
        <v>0</v>
      </c>
      <c r="S13" s="1820">
        <f>SUM(S6:S12)</f>
        <v>0</v>
      </c>
      <c r="T13" s="1820">
        <f>SUM(T6:T12)</f>
        <v>0</v>
      </c>
      <c r="V13" s="1780" t="s">
        <v>1308</v>
      </c>
      <c r="W13" s="1774">
        <v>10</v>
      </c>
      <c r="X13" s="1774"/>
      <c r="AB13" s="1788"/>
      <c r="AC13" s="1788"/>
      <c r="AD13" s="1782"/>
      <c r="AJ13" s="1788"/>
      <c r="AK13" s="1788"/>
      <c r="AL13" s="1788"/>
      <c r="AM13" s="1788"/>
      <c r="AN13" s="1782"/>
      <c r="AO13" s="1782"/>
      <c r="AQ13" s="1775"/>
      <c r="AR13" s="1775"/>
      <c r="AS13" s="1775"/>
      <c r="AT13" s="1775"/>
      <c r="AU13" s="1767"/>
    </row>
    <row r="14" spans="1:47" x14ac:dyDescent="0.25">
      <c r="A14" s="1767"/>
      <c r="B14" s="1798"/>
      <c r="C14" s="1798"/>
      <c r="D14" s="1798"/>
      <c r="E14" s="1798"/>
      <c r="F14" s="1798"/>
      <c r="G14" s="1798"/>
      <c r="H14" s="1798"/>
      <c r="I14" s="1798"/>
      <c r="J14" s="1798"/>
      <c r="K14" s="1767"/>
      <c r="O14" s="1786"/>
      <c r="R14" s="1786"/>
      <c r="S14" s="1821"/>
      <c r="V14" s="1774"/>
      <c r="W14" s="1774"/>
      <c r="X14" s="1774"/>
      <c r="AB14" s="1788"/>
      <c r="AC14" s="1788"/>
      <c r="AD14" s="1782"/>
      <c r="AJ14" s="1788"/>
      <c r="AK14" s="1788"/>
      <c r="AL14" s="1788"/>
      <c r="AM14" s="1788"/>
      <c r="AN14" s="1782"/>
      <c r="AO14" s="1782"/>
      <c r="AQ14" s="1775"/>
      <c r="AR14" s="1775"/>
      <c r="AS14" s="1775"/>
      <c r="AT14" s="1775"/>
      <c r="AU14" s="1767"/>
    </row>
    <row r="15" spans="1:47" x14ac:dyDescent="0.25">
      <c r="A15" s="1767"/>
      <c r="B15" s="1798"/>
      <c r="C15" s="1822"/>
      <c r="D15" s="1822"/>
      <c r="E15" s="1822"/>
      <c r="F15" s="1822"/>
      <c r="G15" s="1822"/>
      <c r="H15" s="1822"/>
      <c r="I15" s="1822"/>
      <c r="J15" s="1822"/>
      <c r="K15" s="1823"/>
      <c r="O15" s="1786"/>
      <c r="R15" s="1786"/>
      <c r="S15" s="1821"/>
      <c r="V15" s="1774"/>
      <c r="W15" s="1774"/>
      <c r="X15" s="1774"/>
      <c r="AB15" s="1788"/>
      <c r="AC15" s="1788"/>
      <c r="AD15" s="1782"/>
      <c r="AJ15" s="1788"/>
      <c r="AK15" s="1788"/>
      <c r="AL15" s="1788"/>
      <c r="AM15" s="1788"/>
      <c r="AN15" s="1782"/>
      <c r="AO15" s="1782"/>
      <c r="AQ15" s="1775"/>
      <c r="AR15" s="1775"/>
      <c r="AS15" s="1775"/>
      <c r="AT15" s="1775"/>
      <c r="AU15" s="1767"/>
    </row>
    <row r="16" spans="1:47" ht="8.25" customHeight="1" x14ac:dyDescent="0.25">
      <c r="A16" s="1767"/>
      <c r="B16" s="1798"/>
      <c r="C16" s="1798"/>
      <c r="D16" s="1798"/>
      <c r="E16" s="1798"/>
      <c r="F16" s="1798"/>
      <c r="G16" s="1798"/>
      <c r="H16" s="1798"/>
      <c r="I16" s="1798"/>
      <c r="J16" s="1798"/>
      <c r="K16" s="1767"/>
      <c r="N16" s="1824" t="s">
        <v>679</v>
      </c>
      <c r="O16" s="1786"/>
      <c r="R16" s="1786"/>
      <c r="S16" s="1786"/>
      <c r="V16" s="1774"/>
      <c r="W16" s="1774"/>
      <c r="X16" s="1774"/>
      <c r="AB16" s="1788"/>
      <c r="AC16" s="1788"/>
      <c r="AD16" s="1782"/>
      <c r="AJ16" s="1788"/>
      <c r="AK16" s="1788"/>
      <c r="AL16" s="1788"/>
      <c r="AM16" s="1788"/>
      <c r="AN16" s="1782"/>
      <c r="AO16" s="1782"/>
      <c r="AQ16" s="1775"/>
      <c r="AR16" s="1775"/>
      <c r="AS16" s="1775"/>
      <c r="AT16" s="1775"/>
      <c r="AU16" s="1767"/>
    </row>
    <row r="17" spans="1:47" ht="13" x14ac:dyDescent="0.3">
      <c r="A17" s="1767"/>
      <c r="C17" s="1776" t="s">
        <v>1309</v>
      </c>
      <c r="G17" s="1825"/>
      <c r="H17" s="1826" t="str">
        <f>IF(G17="","&lt; enter effective date or click button &gt;","")</f>
        <v>&lt; enter effective date or click button &gt;</v>
      </c>
      <c r="K17" s="1767"/>
      <c r="L17" s="1827" t="s">
        <v>1310</v>
      </c>
      <c r="M17" s="1828">
        <f>G18</f>
        <v>0</v>
      </c>
      <c r="N17" s="1829">
        <f ca="1">TODAY()</f>
        <v>46155</v>
      </c>
      <c r="O17" s="1830" t="s">
        <v>449</v>
      </c>
      <c r="P17" s="1804"/>
      <c r="Q17" s="1769" t="s">
        <v>1311</v>
      </c>
      <c r="R17" s="1830" t="s">
        <v>693</v>
      </c>
      <c r="S17" s="1799">
        <f>MIN('advanced report'!J35:J46)</f>
        <v>45017</v>
      </c>
      <c r="T17" s="1769" t="s">
        <v>1312</v>
      </c>
      <c r="U17" s="1830" t="s">
        <v>1313</v>
      </c>
      <c r="V17" s="1799">
        <f>split!E6</f>
        <v>0</v>
      </c>
      <c r="W17" s="1769" t="s">
        <v>1314</v>
      </c>
      <c r="X17" s="1830" t="s">
        <v>1315</v>
      </c>
      <c r="Y17" s="1799">
        <f>merge!D7</f>
        <v>0</v>
      </c>
      <c r="Z17" s="1769" t="s">
        <v>1316</v>
      </c>
      <c r="AA17" s="1830" t="s">
        <v>175</v>
      </c>
      <c r="AB17" s="1799">
        <f>rjs!G18</f>
        <v>0</v>
      </c>
      <c r="AC17" s="1769" t="s">
        <v>1317</v>
      </c>
      <c r="AD17" s="1782"/>
      <c r="AJ17" s="1788"/>
      <c r="AK17" s="1788"/>
      <c r="AL17" s="1788"/>
      <c r="AM17" s="1788"/>
      <c r="AN17" s="1782"/>
      <c r="AO17" s="1782"/>
      <c r="AQ17" s="1775"/>
      <c r="AR17" s="1775"/>
      <c r="AS17" s="1775"/>
      <c r="AT17" s="1775"/>
      <c r="AU17" s="1767"/>
    </row>
    <row r="18" spans="1:47" x14ac:dyDescent="0.25">
      <c r="A18" s="1767"/>
      <c r="C18" s="1776" t="str">
        <f>IF(G18="","Enter Repayment date &gt;","Repayment Date:")</f>
        <v>Enter Repayment date &gt;</v>
      </c>
      <c r="G18" s="1825"/>
      <c r="H18" s="1826" t="str">
        <f>IF(L18=FALSE,"&lt; enter repayment date","")</f>
        <v>&lt; enter repayment date</v>
      </c>
      <c r="K18" s="1767"/>
      <c r="L18" s="1769" t="b">
        <f>G18&lt;&gt;""</f>
        <v>0</v>
      </c>
      <c r="N18" s="1804" t="s">
        <v>1318</v>
      </c>
      <c r="O18" s="1799" t="str">
        <f>TEXT(M17,"dd/mm/yy")</f>
        <v>00/01/00</v>
      </c>
      <c r="P18" s="1804"/>
      <c r="Q18" s="1769">
        <f ca="1">IF(basic!I15&gt;0,basic!I15,0)</f>
        <v>0</v>
      </c>
      <c r="R18" s="1799" t="str">
        <f>TEXT(M17,"dd/mm/yy")</f>
        <v>00/01/00</v>
      </c>
      <c r="S18" s="1799">
        <f>IF('advanced report'!J36&lt;&gt;"",SMALL('advanced report'!J35:J46,2),S17)</f>
        <v>45017</v>
      </c>
      <c r="T18" s="1769">
        <f ca="1">IF('advanced report'!L52&gt;0,'advanced report'!L52,0)</f>
        <v>0</v>
      </c>
      <c r="U18" s="1799" t="str">
        <f>R18</f>
        <v>00/01/00</v>
      </c>
      <c r="V18" s="1799" t="s">
        <v>2032</v>
      </c>
      <c r="W18" s="1769">
        <f>IF('split report'!Q37&gt;0,'split report'!Q37,0)</f>
        <v>0</v>
      </c>
      <c r="X18" s="1799" t="str">
        <f>TEXT($M$17,"dd/mm/yy")</f>
        <v>00/01/00</v>
      </c>
      <c r="Y18" s="1799" t="s">
        <v>2032</v>
      </c>
      <c r="Z18" s="1769">
        <f>IF('merge report'!Q37&gt;0,'merge report'!Q37,0)</f>
        <v>0</v>
      </c>
      <c r="AA18" s="1799" t="str">
        <f>TEXT($M$17,"dd/mm/yy")</f>
        <v>00/01/00</v>
      </c>
      <c r="AB18" s="1799"/>
      <c r="AC18" s="1769">
        <f ca="1">IF(rjs!K36&gt;0,rjs!K36,0)</f>
        <v>0</v>
      </c>
      <c r="AD18" s="1782"/>
      <c r="AJ18" s="1788"/>
      <c r="AK18" s="1788"/>
      <c r="AL18" s="1788"/>
      <c r="AM18" s="1788"/>
      <c r="AN18" s="1782"/>
      <c r="AO18" s="1782"/>
      <c r="AQ18" s="1775"/>
      <c r="AR18" s="1775"/>
      <c r="AS18" s="1775"/>
      <c r="AT18" s="1775"/>
      <c r="AU18" s="1767"/>
    </row>
    <row r="19" spans="1:47" x14ac:dyDescent="0.25">
      <c r="A19" s="1767"/>
      <c r="C19" s="1776" t="s">
        <v>1319</v>
      </c>
      <c r="G19" s="1831">
        <v>0.2</v>
      </c>
      <c r="K19" s="1767"/>
      <c r="N19" s="1804" t="s">
        <v>1320</v>
      </c>
      <c r="O19" s="1799" t="str">
        <f>MID(O18,4,2)</f>
        <v>01</v>
      </c>
      <c r="P19" s="1804"/>
      <c r="Q19" s="1769">
        <f ca="1">IF(basic!I16&gt;0,basic!I16,0)</f>
        <v>0</v>
      </c>
      <c r="R19" s="1799" t="str">
        <f>MID(R18,4,2)</f>
        <v>01</v>
      </c>
      <c r="S19" s="1799">
        <f>MAX(S17:S18)</f>
        <v>45017</v>
      </c>
      <c r="T19" s="1769">
        <f ca="1">IF('advanced report'!L53&gt;0,'advanced report'!L53,0)</f>
        <v>0</v>
      </c>
      <c r="U19" s="1799" t="str">
        <f>MID(U18,4,2)</f>
        <v>01</v>
      </c>
      <c r="V19" s="1799">
        <f>V17</f>
        <v>0</v>
      </c>
      <c r="W19" s="1769">
        <f>IF('split report'!Q38&gt;0,'split report'!Q38,0)</f>
        <v>0</v>
      </c>
      <c r="X19" s="1799" t="str">
        <f>MID(X18,4,2)</f>
        <v>01</v>
      </c>
      <c r="Y19" s="1799">
        <f>Y17</f>
        <v>0</v>
      </c>
      <c r="Z19" s="1769">
        <f>IF('merge report'!Q38&gt;0,'merge report'!Q38,0)</f>
        <v>0</v>
      </c>
      <c r="AA19" s="1799" t="str">
        <f>MID(AA18,4,2)</f>
        <v>01</v>
      </c>
      <c r="AB19" s="1799">
        <f>AB17</f>
        <v>0</v>
      </c>
      <c r="AC19" s="1769">
        <f ca="1">IF(rjs!K37&gt;0,rjs!K37,0)</f>
        <v>0</v>
      </c>
      <c r="AD19" s="1782"/>
      <c r="AJ19" s="1788"/>
      <c r="AK19" s="1788"/>
      <c r="AL19" s="1788"/>
      <c r="AM19" s="1788"/>
      <c r="AN19" s="1782"/>
      <c r="AO19" s="1782"/>
      <c r="AQ19" s="1775"/>
      <c r="AR19" s="1775"/>
      <c r="AS19" s="1775"/>
      <c r="AT19" s="1775"/>
      <c r="AU19" s="1767"/>
    </row>
    <row r="20" spans="1:47" x14ac:dyDescent="0.25">
      <c r="A20" s="1767"/>
      <c r="C20" s="1776" t="s">
        <v>1321</v>
      </c>
      <c r="G20" s="2298" t="s">
        <v>426</v>
      </c>
      <c r="H20" s="1833" t="str">
        <f>IF(OR(G20="y",G20="n"),"","&lt; Please enter y or n")</f>
        <v/>
      </c>
      <c r="K20" s="1767"/>
      <c r="N20" s="1804" t="s">
        <v>2429</v>
      </c>
      <c r="O20" s="1804">
        <f>VLOOKUP(O19,V2:W13,2,FALSE)</f>
        <v>10</v>
      </c>
      <c r="P20" s="1834" t="e">
        <f>INDEX(basic!H15:H17,M13)</f>
        <v>#N/A</v>
      </c>
      <c r="Q20" s="1769">
        <f ca="1">IF(basic!I17&gt;0,basic!I17,0)</f>
        <v>0</v>
      </c>
      <c r="R20" s="1804">
        <f>O20</f>
        <v>10</v>
      </c>
      <c r="S20" s="1834" t="e">
        <f>INDEX('advanced report'!L52:L56,M13)</f>
        <v>#N/A</v>
      </c>
      <c r="T20" s="1769">
        <f ca="1">IF('advanced report'!L54&gt;0,'advanced report'!L54,0)</f>
        <v>0</v>
      </c>
      <c r="U20" s="1804">
        <f>R20</f>
        <v>10</v>
      </c>
      <c r="V20" s="1834" t="e">
        <f>INDEX('split report'!Q28:Q33,$M$13)</f>
        <v>#N/A</v>
      </c>
      <c r="W20" s="1769">
        <f>IF('split report'!Q39&gt;0,'split report'!Q39,0)</f>
        <v>0</v>
      </c>
      <c r="X20" s="1804">
        <f>U20</f>
        <v>10</v>
      </c>
      <c r="Y20" s="1834" t="e">
        <f>INDEX('merge report'!Q28:Q33,$M$13)</f>
        <v>#N/A</v>
      </c>
      <c r="Z20" s="1769">
        <f>IF('merge report'!Q39&gt;0,'merge report'!Q39,0)</f>
        <v>0</v>
      </c>
      <c r="AA20" s="1804">
        <f>$O$20</f>
        <v>10</v>
      </c>
      <c r="AB20" s="1834" t="e">
        <f>INDEX(rjs!K36:K39,$M$13)</f>
        <v>#N/A</v>
      </c>
      <c r="AC20" s="1769">
        <f ca="1">IF(rjs!K38&gt;0,rjs!K38,0)</f>
        <v>0</v>
      </c>
      <c r="AD20" s="1782"/>
      <c r="AJ20" s="1788"/>
      <c r="AK20" s="1788"/>
      <c r="AL20" s="1788"/>
      <c r="AM20" s="1788"/>
      <c r="AN20" s="1782"/>
      <c r="AO20" s="1782"/>
      <c r="AQ20" s="1775"/>
      <c r="AR20" s="1775"/>
      <c r="AS20" s="1775"/>
      <c r="AT20" s="1775"/>
      <c r="AU20" s="1767"/>
    </row>
    <row r="21" spans="1:47" ht="13" x14ac:dyDescent="0.3">
      <c r="A21" s="1767"/>
      <c r="C21" s="1776" t="str">
        <f>IF(G20="y","Last date that liability subsisted","")</f>
        <v/>
      </c>
      <c r="F21" s="1784" t="str">
        <f>IF(AND(G20="y",G21=""),"&gt;","")</f>
        <v/>
      </c>
      <c r="G21" s="1835"/>
      <c r="H21" s="1784" t="str">
        <f>IF(AND(G20="n",G21&lt;&gt;""),"&lt; If liability has not ceased delete this date","")</f>
        <v/>
      </c>
      <c r="K21" s="1767"/>
      <c r="L21" s="1798" t="b">
        <f>IF(AND(P32&lt;&gt;0,G21&lt;&gt;"",L22=FALSE),TRUE,FALSE)</f>
        <v>0</v>
      </c>
      <c r="M21" s="1843" t="s">
        <v>2820</v>
      </c>
      <c r="N21" s="1804" t="s">
        <v>1322</v>
      </c>
      <c r="O21" s="1834" t="e">
        <f>INDEX(basic!F15:F17,M13)</f>
        <v>#N/A</v>
      </c>
      <c r="P21" s="1804" t="e">
        <f>O22+(O23*(O20-1))</f>
        <v>#N/A</v>
      </c>
      <c r="R21" s="1834" t="e">
        <f>INDEX('advanced report'!L52:L56,M13)</f>
        <v>#N/A</v>
      </c>
      <c r="S21" s="1804" t="e">
        <f>R22+(R23*(R20-1))</f>
        <v>#N/A</v>
      </c>
      <c r="T21" s="1769">
        <f>IF('advanced report'!L55&gt;0,'advanced report'!L55,0)</f>
        <v>0</v>
      </c>
      <c r="U21" s="1834" t="e">
        <f>INDEX('split report'!Q28:Q33,$M$13)</f>
        <v>#N/A</v>
      </c>
      <c r="V21" s="1804">
        <f>U22+(U23*(U20-1))</f>
        <v>0</v>
      </c>
      <c r="W21" s="1769"/>
      <c r="X21" s="1834" t="e">
        <f>INDEX('merge report'!Q28:Q33,$M$13)</f>
        <v>#N/A</v>
      </c>
      <c r="Y21" s="1804">
        <f>X22+(X23*(X20-1))</f>
        <v>0</v>
      </c>
      <c r="Z21" s="1769"/>
      <c r="AA21" s="1834" t="e">
        <f>INDEX(rjs!K36:K39,$M$13)</f>
        <v>#N/A</v>
      </c>
      <c r="AB21" s="1804" t="e">
        <f>AA22+(AA23*(AA20-1))</f>
        <v>#N/A</v>
      </c>
      <c r="AC21" s="1769">
        <f>IF(rjs!K39&gt;0,rjs!K39,0)</f>
        <v>0</v>
      </c>
      <c r="AD21" s="1782"/>
      <c r="AJ21" s="1788"/>
      <c r="AK21" s="1788"/>
      <c r="AL21" s="1788"/>
      <c r="AM21" s="1788"/>
      <c r="AN21" s="1782"/>
      <c r="AO21" s="1782"/>
      <c r="AQ21" s="1775"/>
      <c r="AR21" s="1775"/>
      <c r="AS21" s="1775"/>
      <c r="AT21" s="1775"/>
      <c r="AU21" s="1767"/>
    </row>
    <row r="22" spans="1:47" ht="23.25" customHeight="1" x14ac:dyDescent="0.3">
      <c r="A22" s="1767"/>
      <c r="C22" s="1836" t="str">
        <f>IF(AND(P32&lt;&gt;0,G21&lt;&gt;"",L22=FALSE),"* You have entered an overpayment after the liability date, please delete - it does not qualify for interest. If this is a Deletion tick the 'Deletion' box","")</f>
        <v/>
      </c>
      <c r="D22" s="1836"/>
      <c r="E22" s="1837"/>
      <c r="F22" s="1837"/>
      <c r="G22" s="1837"/>
      <c r="H22" s="1837"/>
      <c r="I22" s="1837"/>
      <c r="J22" s="1837"/>
      <c r="K22" s="1767"/>
      <c r="L22" s="1798" t="b">
        <v>0</v>
      </c>
      <c r="M22" s="1843" t="s">
        <v>2817</v>
      </c>
      <c r="N22" s="1804" t="s">
        <v>1323</v>
      </c>
      <c r="O22" s="1804" t="e">
        <f>O21-(O23*9)</f>
        <v>#N/A</v>
      </c>
      <c r="P22" s="1834" t="e">
        <f>P21-P20</f>
        <v>#N/A</v>
      </c>
      <c r="R22" s="1804" t="e">
        <f>R21-(R23*9)</f>
        <v>#N/A</v>
      </c>
      <c r="S22" s="1834" t="e">
        <f>S21-S20</f>
        <v>#N/A</v>
      </c>
      <c r="T22" s="1769">
        <f>IF('advanced report'!L56&gt;0,'advanced report'!L56,0)</f>
        <v>0</v>
      </c>
      <c r="U22" s="1804"/>
      <c r="V22" s="1834" t="e">
        <f>V21-V20</f>
        <v>#N/A</v>
      </c>
      <c r="W22" s="1769"/>
      <c r="X22" s="1804"/>
      <c r="Y22" s="1834" t="e">
        <f>Y21-Y20</f>
        <v>#N/A</v>
      </c>
      <c r="Z22" s="1769"/>
      <c r="AA22" s="1804" t="e">
        <f>AA21-(AA23*9)</f>
        <v>#N/A</v>
      </c>
      <c r="AB22" s="1834" t="e">
        <f>AB21-AB20</f>
        <v>#N/A</v>
      </c>
      <c r="AC22" s="1769">
        <f ca="1">IF(rjs!K40&gt;0,rjs!K40,0)</f>
        <v>0</v>
      </c>
      <c r="AD22" s="1782"/>
      <c r="AJ22" s="1788"/>
      <c r="AK22" s="1788"/>
      <c r="AL22" s="1788"/>
      <c r="AM22" s="1788"/>
      <c r="AN22" s="1782"/>
      <c r="AO22" s="1782"/>
      <c r="AQ22" s="1775"/>
      <c r="AR22" s="1775"/>
      <c r="AS22" s="1775"/>
      <c r="AT22" s="1775"/>
      <c r="AU22" s="1767"/>
    </row>
    <row r="23" spans="1:47" ht="13" x14ac:dyDescent="0.3">
      <c r="A23" s="1767"/>
      <c r="C23" s="1838" t="s">
        <v>831</v>
      </c>
      <c r="D23" s="1838" t="s">
        <v>1324</v>
      </c>
      <c r="E23" s="1839"/>
      <c r="F23" s="1839"/>
      <c r="G23" s="1839" t="s">
        <v>1325</v>
      </c>
      <c r="H23" s="1839" t="s">
        <v>1326</v>
      </c>
      <c r="I23" s="1839" t="s">
        <v>1327</v>
      </c>
      <c r="J23" s="1839" t="s">
        <v>1328</v>
      </c>
      <c r="K23" s="1840"/>
      <c r="L23" s="1841" t="b">
        <v>0</v>
      </c>
      <c r="M23" s="1843" t="s">
        <v>2818</v>
      </c>
      <c r="N23" s="1804" t="s">
        <v>1329</v>
      </c>
      <c r="O23" s="1804" t="e">
        <f>ROUND(O21/10,0)</f>
        <v>#N/A</v>
      </c>
      <c r="P23" s="1842" t="e">
        <f>IF(P22&gt;0,P22,0)</f>
        <v>#N/A</v>
      </c>
      <c r="Q23" s="1843"/>
      <c r="R23" s="1804" t="e">
        <f>ROUND(R21/10,0)</f>
        <v>#N/A</v>
      </c>
      <c r="S23" s="1842" t="e">
        <f>IF(S22&gt;0,S22,0)</f>
        <v>#N/A</v>
      </c>
      <c r="T23" s="1843"/>
      <c r="U23" s="1804"/>
      <c r="V23" s="1842" t="e">
        <f>IF(V22&gt;0,V22,0)</f>
        <v>#N/A</v>
      </c>
      <c r="W23" s="1843"/>
      <c r="X23" s="1804"/>
      <c r="Y23" s="1842" t="e">
        <f>IF(Y22&gt;0,Y22,0)</f>
        <v>#N/A</v>
      </c>
      <c r="Z23" s="1843"/>
      <c r="AA23" s="1804" t="e">
        <f>ROUND(AA21/10,0)</f>
        <v>#N/A</v>
      </c>
      <c r="AB23" s="1842" t="e">
        <f>IF(AB22&gt;0,AB22,0)</f>
        <v>#N/A</v>
      </c>
      <c r="AC23" s="1843"/>
      <c r="AD23" s="1782"/>
      <c r="AJ23" s="1788"/>
      <c r="AK23" s="1788"/>
      <c r="AL23" s="1788"/>
      <c r="AM23" s="1788"/>
      <c r="AN23" s="1782"/>
      <c r="AO23" s="1782"/>
      <c r="AQ23" s="1775"/>
      <c r="AR23" s="1775"/>
      <c r="AS23" s="1775"/>
      <c r="AT23" s="1775"/>
      <c r="AU23" s="1767"/>
    </row>
    <row r="24" spans="1:47" ht="15" customHeight="1" x14ac:dyDescent="0.3">
      <c r="A24" s="1767"/>
      <c r="C24" s="1844"/>
      <c r="D24" s="1844"/>
      <c r="E24" s="1845" t="str">
        <f>IF(AND(O32&lt;&gt;0,G18&lt;&gt;"")," * You have entered an overpayment after the repayment date","")</f>
        <v/>
      </c>
      <c r="F24" s="1844"/>
      <c r="G24" s="1844"/>
      <c r="H24" s="1844"/>
      <c r="I24" s="1844"/>
      <c r="J24" s="1844"/>
      <c r="K24" s="1767"/>
      <c r="Q24" s="1843"/>
      <c r="X24" s="1774"/>
      <c r="AB24" s="1788"/>
      <c r="AC24" s="1788"/>
      <c r="AD24" s="1782"/>
      <c r="AJ24" s="1788"/>
      <c r="AK24" s="1788"/>
      <c r="AL24" s="1788"/>
      <c r="AM24" s="1788"/>
      <c r="AN24" s="1782"/>
      <c r="AO24" s="1782"/>
      <c r="AQ24" s="1775"/>
      <c r="AR24" s="1775"/>
      <c r="AS24" s="1775"/>
      <c r="AT24" s="1775"/>
      <c r="AU24" s="1767"/>
    </row>
    <row r="25" spans="1:47" ht="15" customHeight="1" x14ac:dyDescent="0.3">
      <c r="A25" s="1767"/>
      <c r="E25" s="1784" t="str">
        <f>IF(AND(Q32&lt;&gt;0,G17&lt;&gt;"")," * You have entered an overpayment in a year prior to the effective date","")</f>
        <v/>
      </c>
      <c r="H25" s="1844"/>
      <c r="I25" s="1844"/>
      <c r="J25" s="1844"/>
      <c r="K25" s="1767"/>
      <c r="L25" s="1769" t="s">
        <v>1307</v>
      </c>
      <c r="M25" s="1846" t="s">
        <v>916</v>
      </c>
      <c r="N25" s="1846" t="s">
        <v>1330</v>
      </c>
      <c r="O25" s="1847" t="s">
        <v>1331</v>
      </c>
      <c r="P25" s="1847" t="s">
        <v>1332</v>
      </c>
      <c r="Q25" s="1847" t="s">
        <v>1333</v>
      </c>
      <c r="R25" s="1769" t="s">
        <v>1334</v>
      </c>
      <c r="S25" s="1769" t="s">
        <v>1312</v>
      </c>
      <c r="T25" s="1769" t="str">
        <f>W17</f>
        <v>split op</v>
      </c>
      <c r="U25" s="1769" t="str">
        <f>Z17</f>
        <v>merge op</v>
      </c>
      <c r="V25" s="1769" t="str">
        <f>AC17</f>
        <v>rjs op</v>
      </c>
      <c r="X25" s="1774"/>
      <c r="Y25" s="1848"/>
      <c r="AB25" s="1788"/>
      <c r="AC25" s="1788"/>
      <c r="AD25" s="1782"/>
      <c r="AJ25" s="1788"/>
      <c r="AK25" s="1788"/>
      <c r="AL25" s="1788"/>
      <c r="AM25" s="1788"/>
      <c r="AN25" s="1782"/>
      <c r="AO25" s="1782"/>
      <c r="AQ25" s="1775"/>
      <c r="AR25" s="1775"/>
      <c r="AS25" s="1775"/>
      <c r="AT25" s="1775"/>
      <c r="AU25" s="1767"/>
    </row>
    <row r="26" spans="1:47" ht="13" x14ac:dyDescent="0.3">
      <c r="A26" s="1767"/>
      <c r="B26" s="1849" t="str">
        <f>IF(N26=FALSE,"*","")</f>
        <v/>
      </c>
      <c r="C26" s="1850" t="str">
        <f>text!F9</f>
        <v xml:space="preserve">2023/24 </v>
      </c>
      <c r="D26" s="1851">
        <f>O6</f>
        <v>0.03</v>
      </c>
      <c r="E26" s="1832" t="s">
        <v>1021</v>
      </c>
      <c r="F26" s="1852" t="str">
        <f>IF(E26&lt;&gt;"y","*","")</f>
        <v/>
      </c>
      <c r="G26" s="1853"/>
      <c r="H26" s="1854">
        <f>L26*M26*N26</f>
        <v>0</v>
      </c>
      <c r="I26" s="1855"/>
      <c r="J26" s="1855"/>
      <c r="K26" s="1767"/>
      <c r="L26" s="1769">
        <f>P13</f>
        <v>0</v>
      </c>
      <c r="M26" s="1769" t="b">
        <f>E26="y"</f>
        <v>1</v>
      </c>
      <c r="N26" s="1769" t="b">
        <f>(O26+P26+Q26)=0</f>
        <v>1</v>
      </c>
      <c r="O26" s="1856" t="b">
        <f>AND(G$18-1&lt;L6,G26&gt;0)</f>
        <v>0</v>
      </c>
      <c r="P26" s="1856" t="b">
        <f>AND(G$21&lt;L6,G26&gt;0,$G$20="y",$L$22=FALSE)</f>
        <v>0</v>
      </c>
      <c r="Q26" s="1856" t="b">
        <f>AND(G26&gt;0,$G$17&gt;=L7)</f>
        <v>0</v>
      </c>
      <c r="R26" s="1854">
        <f>IF($G$17&gt;=L7,0,IF($G$18&lt;L6,0,IF($M$13=M6,$P$23,Q18)))</f>
        <v>0</v>
      </c>
      <c r="S26" s="1854">
        <f>IF($G$17&gt;=L7,0,IF($G$18&lt;L6,0,IF($M$13=M6,$S$23,T18)))</f>
        <v>0</v>
      </c>
      <c r="T26" s="1854">
        <f>IF($G$17&gt;=L7,0,IF($G$18&lt;L6,0,IF($M$13=M6,$V$23,W18)))</f>
        <v>0</v>
      </c>
      <c r="U26" s="1854">
        <f>IF($G$17&gt;=L7,0,IF($G$18&lt;L6,0,IF($M$13=M6,$Y$23,Z18)))</f>
        <v>0</v>
      </c>
      <c r="V26" s="1854">
        <f>IF($G$17&gt;=L7,0,IF($G$18&lt;L6,0,IF($M$13=M6,$AB$23,AC18)))</f>
        <v>0</v>
      </c>
      <c r="X26" s="1774"/>
      <c r="AB26" s="1788"/>
      <c r="AC26" s="1788"/>
      <c r="AD26" s="1782"/>
      <c r="AJ26" s="1788"/>
      <c r="AK26" s="1788"/>
      <c r="AL26" s="1788"/>
      <c r="AM26" s="1788"/>
      <c r="AN26" s="1782"/>
      <c r="AO26" s="1782"/>
      <c r="AQ26" s="1775"/>
      <c r="AR26" s="1775"/>
      <c r="AS26" s="1775"/>
      <c r="AT26" s="1775"/>
      <c r="AU26" s="1767"/>
    </row>
    <row r="27" spans="1:47" ht="13" x14ac:dyDescent="0.3">
      <c r="A27" s="1767"/>
      <c r="B27" s="1849" t="str">
        <f>IF(N27=FALSE,"*","")</f>
        <v/>
      </c>
      <c r="C27" s="1850" t="str">
        <f>text!F10</f>
        <v xml:space="preserve">2024/25 </v>
      </c>
      <c r="D27" s="1851">
        <f>O7</f>
        <v>4.2500000000000003E-2</v>
      </c>
      <c r="E27" s="1832" t="s">
        <v>1021</v>
      </c>
      <c r="F27" s="1852" t="str">
        <f>IF(E27&lt;&gt;"y","*","")</f>
        <v/>
      </c>
      <c r="G27" s="1853"/>
      <c r="H27" s="1854">
        <f>L27*M27*N27</f>
        <v>0</v>
      </c>
      <c r="I27" s="1855"/>
      <c r="J27" s="1855"/>
      <c r="K27" s="1767"/>
      <c r="L27" s="1769">
        <f>Q13</f>
        <v>0</v>
      </c>
      <c r="M27" s="1769" t="b">
        <f>E27="y"</f>
        <v>1</v>
      </c>
      <c r="N27" s="1769" t="b">
        <f>(O27+P27+Q27)=0</f>
        <v>1</v>
      </c>
      <c r="O27" s="1856" t="b">
        <f>AND(G$18-1&lt;L7,G27&gt;0)</f>
        <v>0</v>
      </c>
      <c r="P27" s="1856" t="b">
        <f>AND(G$21&lt;L7,G27&gt;0,$G$20="y",$L$22=FALSE)</f>
        <v>0</v>
      </c>
      <c r="Q27" s="1856" t="b">
        <f>AND(G27&gt;0,$G$17&gt;=L8)</f>
        <v>0</v>
      </c>
      <c r="R27" s="1854">
        <f>IF($G$17&gt;=L8,0,IF($G$18&lt;L7,0,IF($M$13=M7,$P$23,Q19)))</f>
        <v>0</v>
      </c>
      <c r="S27" s="1854">
        <f>IF($G$17&gt;=L8,0,IF($G$18&lt;L7,0,IF($M$13=M7,$S$23,T19)))</f>
        <v>0</v>
      </c>
      <c r="T27" s="1854">
        <f>IF($G$17&gt;=L8,0,IF($G$18&lt;L7,0,IF($M$13=M7,$V$23,W19)))</f>
        <v>0</v>
      </c>
      <c r="U27" s="1854">
        <f>IF($G$17&gt;=L8,0,IF($G$18&lt;L7,0,IF($M$13=M7,$Y$23,Z19)))</f>
        <v>0</v>
      </c>
      <c r="V27" s="1854">
        <f>IF($G$17&gt;=L8,0,IF($G$18&lt;L7,0,IF($M$13=M7,$AB$23,AC19)))</f>
        <v>0</v>
      </c>
      <c r="X27" s="1774"/>
      <c r="AQ27" s="1775"/>
      <c r="AR27" s="1775"/>
      <c r="AS27" s="1775"/>
      <c r="AT27" s="1775"/>
      <c r="AU27" s="1767"/>
    </row>
    <row r="28" spans="1:47" ht="13" x14ac:dyDescent="0.3">
      <c r="A28" s="1767"/>
      <c r="B28" s="1849" t="str">
        <f>IF(N28=FALSE,"*","")</f>
        <v/>
      </c>
      <c r="C28" s="1850" t="str">
        <f>text!F11</f>
        <v xml:space="preserve">2025/26 </v>
      </c>
      <c r="D28" s="1851">
        <f>O8</f>
        <v>3.5000000000000003E-2</v>
      </c>
      <c r="E28" s="1832" t="s">
        <v>1021</v>
      </c>
      <c r="F28" s="1852" t="str">
        <f>IF(E28&lt;&gt;"y","*","")</f>
        <v/>
      </c>
      <c r="G28" s="1853"/>
      <c r="H28" s="1854">
        <f>L28*M28*N28</f>
        <v>0</v>
      </c>
      <c r="I28" s="1855"/>
      <c r="J28" s="1855"/>
      <c r="K28" s="1767"/>
      <c r="L28" s="1769">
        <f>R13</f>
        <v>0</v>
      </c>
      <c r="M28" s="1769" t="b">
        <f>E28="y"</f>
        <v>1</v>
      </c>
      <c r="N28" s="1769" t="b">
        <f>(O28+P28+Q28)=0</f>
        <v>1</v>
      </c>
      <c r="O28" s="1856" t="b">
        <f>AND(G$18-1&lt;L8,G28&gt;0)</f>
        <v>0</v>
      </c>
      <c r="P28" s="1856" t="b">
        <f>AND(G$21&lt;L8,G28&gt;0,$G$20="y",$L$22=FALSE)</f>
        <v>0</v>
      </c>
      <c r="Q28" s="1856" t="b">
        <f>AND(G28&gt;0,$G$17&gt;=L9)</f>
        <v>0</v>
      </c>
      <c r="R28" s="1854">
        <f>IF($G$17&gt;=L9,0,IF($G$18&lt;L8,0,IF($M$13=M8,$P$23,Q20)))</f>
        <v>0</v>
      </c>
      <c r="S28" s="1854">
        <f>IF($G$17&gt;=L9,0,IF($G$18&lt;L8,0,IF($M$13=M8,$S$23,T20)))</f>
        <v>0</v>
      </c>
      <c r="T28" s="1854">
        <f>IF($G$17&gt;=L9,0,IF($G$18&lt;L8,0,IF($M$13=M8,$V$23,W20)))</f>
        <v>0</v>
      </c>
      <c r="U28" s="1854">
        <f>IF($G$17&gt;=L9,0,IF($G$18&lt;L8,0,IF($M$13=M8,$Y$23,Z20)))</f>
        <v>0</v>
      </c>
      <c r="V28" s="1854">
        <f>IF($G$17&gt;=L9,0,IF($G$18&lt;L8,0,IF($M$13=M8,$AB$23,AC20)))</f>
        <v>0</v>
      </c>
      <c r="X28" s="1774"/>
      <c r="AQ28" s="1775"/>
      <c r="AR28" s="1775"/>
      <c r="AS28" s="1775"/>
      <c r="AT28" s="1775"/>
      <c r="AU28" s="1767"/>
    </row>
    <row r="29" spans="1:47" ht="13" hidden="1" x14ac:dyDescent="0.3">
      <c r="A29" s="1895"/>
      <c r="B29" s="1849" t="str">
        <f>IF(N29=FALSE,"*","")</f>
        <v/>
      </c>
      <c r="C29" s="1850"/>
      <c r="D29" s="1851">
        <f>O9</f>
        <v>3.5000000000000003E-2</v>
      </c>
      <c r="E29" s="1832" t="s">
        <v>1021</v>
      </c>
      <c r="F29" s="1852" t="str">
        <f>IF(E29&lt;&gt;"y","*","")</f>
        <v/>
      </c>
      <c r="G29" s="1853"/>
      <c r="H29" s="1854">
        <f>L29*M29*N29</f>
        <v>0</v>
      </c>
      <c r="I29" s="1855"/>
      <c r="J29" s="1855"/>
      <c r="K29" s="1767"/>
      <c r="L29" s="1769">
        <f>S13</f>
        <v>0</v>
      </c>
      <c r="M29" s="1769" t="b">
        <f>E29="y"</f>
        <v>1</v>
      </c>
      <c r="N29" s="1769" t="b">
        <f>(O29+P29+Q29)=0</f>
        <v>1</v>
      </c>
      <c r="O29" s="1856" t="b">
        <f>AND(G$18&lt;L9,G29&gt;0)</f>
        <v>0</v>
      </c>
      <c r="P29" s="1856" t="b">
        <f>AND(G$21&lt;L9,G29&gt;0,$G$20="y")</f>
        <v>0</v>
      </c>
      <c r="Q29" s="1856" t="b">
        <f>AND(G29&gt;0,$G$17&gt;=L10)</f>
        <v>0</v>
      </c>
      <c r="R29" s="1854">
        <f>IF($G$17&gt;=L10,0,IF($G$18&lt;L9,0,IF($M$13=M9,$P$23,Q21)))</f>
        <v>0</v>
      </c>
      <c r="S29" s="1854">
        <f>IF($G$17&gt;=L10,0,IF($G$18&lt;L9,0,IF($M$13=M9,$S$23,T21)))</f>
        <v>0</v>
      </c>
      <c r="T29" s="1854">
        <f>IF($G$17&gt;=L10,0,IF($G$18&lt;L9,0,IF($M$13=M9,$V$23,W21)))</f>
        <v>0</v>
      </c>
      <c r="U29" s="1854">
        <f>IF($G$17&gt;=L10,0,IF($G$18&lt;L9,0,IF($M$13=M9,$Y$23,Z21)))</f>
        <v>0</v>
      </c>
      <c r="V29" s="1854">
        <f>IF($G$17&gt;=L10,0,IF($G$18&lt;L9,0,IF($M$13=M9,$AB$23,AC21)))</f>
        <v>0</v>
      </c>
      <c r="AQ29" s="1775"/>
      <c r="AR29" s="1775"/>
      <c r="AS29" s="1775"/>
      <c r="AT29" s="1775"/>
      <c r="AU29" s="1767"/>
    </row>
    <row r="30" spans="1:47" ht="13" hidden="1" x14ac:dyDescent="0.3">
      <c r="A30" s="1895"/>
      <c r="B30" s="1849" t="str">
        <f>IF(N30=FALSE,"*","")</f>
        <v/>
      </c>
      <c r="C30" s="1850"/>
      <c r="D30" s="1851">
        <f>O10</f>
        <v>3.5000000000000003E-2</v>
      </c>
      <c r="E30" s="1832" t="s">
        <v>1021</v>
      </c>
      <c r="F30" s="1852" t="str">
        <f>IF(E30&lt;&gt;"y","*","")</f>
        <v/>
      </c>
      <c r="G30" s="1853"/>
      <c r="H30" s="1854">
        <f>L30*M30*N30</f>
        <v>0</v>
      </c>
      <c r="I30" s="1855"/>
      <c r="J30" s="1855"/>
      <c r="K30" s="1767"/>
      <c r="L30" s="1769">
        <f>T13</f>
        <v>0</v>
      </c>
      <c r="M30" s="1769" t="b">
        <f>E30="y"</f>
        <v>1</v>
      </c>
      <c r="N30" s="1769" t="b">
        <f>(O30+P30+Q30)=0</f>
        <v>1</v>
      </c>
      <c r="O30" s="1856" t="b">
        <f>AND(G$18&lt;L10,G30&gt;0)</f>
        <v>0</v>
      </c>
      <c r="P30" s="1856" t="b">
        <f>AND(G$21&lt;L10,G30&gt;0,$G$20="y")</f>
        <v>0</v>
      </c>
      <c r="Q30" s="1856" t="b">
        <f>AND(G30&gt;0,$G$17&gt;=L11)</f>
        <v>0</v>
      </c>
      <c r="R30" s="1854">
        <f>IF($G$17&gt;=L11,0,IF($G$18&lt;L10,0,IF($M$13=M10,$P$23,Q22)))</f>
        <v>0</v>
      </c>
      <c r="S30" s="1854">
        <f>IF($G$17&gt;=L11,0,IF($G$18&lt;L10,0,IF($M$13=M10,$S$23,T22)))</f>
        <v>0</v>
      </c>
      <c r="T30" s="1854">
        <f>IF($G$17&gt;=L11,0,IF($G$18&lt;L10,0,IF($M$13=M10,$V$23,W22)))</f>
        <v>0</v>
      </c>
      <c r="U30" s="1854">
        <f>IF($G$17&gt;=L11,0,IF($G$18&lt;L10,0,IF($M$13=M10,$Y$23,Z22)))</f>
        <v>0</v>
      </c>
      <c r="V30" s="1854">
        <f>IF($G$17&gt;=L11,0,IF($G$18&lt;L10,0,IF($M$13=M10,$AB$23,AC22)))</f>
        <v>0</v>
      </c>
      <c r="AQ30" s="1775"/>
      <c r="AR30" s="1775"/>
      <c r="AS30" s="1775"/>
      <c r="AT30" s="1775"/>
      <c r="AU30" s="1767"/>
    </row>
    <row r="31" spans="1:47" x14ac:dyDescent="0.25">
      <c r="A31" s="1767"/>
      <c r="C31" s="1857"/>
      <c r="D31" s="1857"/>
      <c r="G31" s="1858"/>
      <c r="H31" s="1858"/>
      <c r="I31" s="1858"/>
      <c r="J31" s="1858"/>
      <c r="K31" s="1767"/>
      <c r="AQ31" s="1775"/>
      <c r="AR31" s="1775"/>
      <c r="AS31" s="1775"/>
      <c r="AT31" s="1775"/>
      <c r="AU31" s="1767"/>
    </row>
    <row r="32" spans="1:47" ht="17.25" customHeight="1" thickBot="1" x14ac:dyDescent="0.3">
      <c r="A32" s="1767"/>
      <c r="C32" s="1859"/>
      <c r="D32" s="1859"/>
      <c r="E32" s="1859"/>
      <c r="F32" s="1859"/>
      <c r="G32" s="1860">
        <f>SUM(G26:G30)</f>
        <v>0</v>
      </c>
      <c r="H32" s="1860">
        <f>SUM(H26:H30)</f>
        <v>0</v>
      </c>
      <c r="I32" s="1860">
        <f>H32*G19*L23</f>
        <v>0</v>
      </c>
      <c r="J32" s="1860">
        <f>H32-I32</f>
        <v>0</v>
      </c>
      <c r="K32" s="1767"/>
      <c r="L32" s="1861"/>
      <c r="M32" s="1862">
        <f>M26+M27+M28+M29+M30</f>
        <v>5</v>
      </c>
      <c r="N32" s="1861"/>
      <c r="O32" s="1862">
        <f>O26+O27+O28+O29+O30</f>
        <v>0</v>
      </c>
      <c r="P32" s="1862">
        <f>P26+P27+P28+P29+P30</f>
        <v>0</v>
      </c>
      <c r="Q32" s="1862">
        <f>Q26+Q27+Q28+Q29+Q30</f>
        <v>0</v>
      </c>
      <c r="AQ32" s="1775"/>
      <c r="AR32" s="1775"/>
      <c r="AS32" s="1775"/>
      <c r="AT32" s="1775"/>
      <c r="AU32" s="1767"/>
    </row>
    <row r="33" spans="1:47" ht="13.5" thickTop="1" x14ac:dyDescent="0.3">
      <c r="A33" s="1863"/>
      <c r="C33" s="1784" t="str">
        <f>E24</f>
        <v/>
      </c>
      <c r="D33" s="1784"/>
      <c r="K33" s="1767"/>
      <c r="L33" s="1773"/>
      <c r="M33" s="1773"/>
      <c r="N33" s="1773"/>
      <c r="AQ33" s="1775"/>
      <c r="AR33" s="1775"/>
      <c r="AS33" s="1775"/>
      <c r="AT33" s="1775"/>
      <c r="AU33" s="1767"/>
    </row>
    <row r="34" spans="1:47" x14ac:dyDescent="0.25">
      <c r="A34" s="1767"/>
      <c r="C34" s="1776" t="str">
        <f>IF(M32&lt;&gt;5," * Interest not payable in this year","")</f>
        <v/>
      </c>
      <c r="G34" s="1803"/>
      <c r="K34" s="1767"/>
      <c r="AQ34" s="1775"/>
      <c r="AR34" s="1775"/>
      <c r="AS34" s="1775"/>
      <c r="AT34" s="1775"/>
      <c r="AU34" s="1767"/>
    </row>
    <row r="35" spans="1:47" x14ac:dyDescent="0.25">
      <c r="A35" s="1809"/>
      <c r="H35" s="1776" t="s">
        <v>1325</v>
      </c>
      <c r="J35" s="1858">
        <f>G32</f>
        <v>0</v>
      </c>
      <c r="K35" s="1767"/>
      <c r="AQ35" s="1775"/>
      <c r="AR35" s="1775"/>
      <c r="AS35" s="1775"/>
      <c r="AT35" s="1775"/>
      <c r="AU35" s="1767"/>
    </row>
    <row r="36" spans="1:47" x14ac:dyDescent="0.25">
      <c r="A36" s="1767"/>
      <c r="C36" s="1864" t="str">
        <f>IF(update!AB19&gt;0,"e = estimate","")</f>
        <v/>
      </c>
      <c r="H36" s="1776" t="str">
        <f>IF(L23=TRUE,"Net Interest","Interest")</f>
        <v>Interest</v>
      </c>
      <c r="J36" s="1858">
        <f>J32</f>
        <v>0</v>
      </c>
      <c r="K36" s="1767"/>
      <c r="AQ36" s="1775"/>
      <c r="AR36" s="1775"/>
      <c r="AS36" s="1775"/>
      <c r="AT36" s="1775"/>
      <c r="AU36" s="1767"/>
    </row>
    <row r="37" spans="1:47" x14ac:dyDescent="0.25">
      <c r="A37" s="1767"/>
      <c r="H37" s="1865"/>
      <c r="I37" s="1813"/>
      <c r="J37" s="1866"/>
      <c r="K37" s="1767"/>
      <c r="L37" s="1798" t="b">
        <v>0</v>
      </c>
      <c r="M37" s="1843" t="s">
        <v>2819</v>
      </c>
      <c r="AQ37" s="1775"/>
      <c r="AR37" s="1775"/>
      <c r="AS37" s="1775"/>
      <c r="AT37" s="1775"/>
      <c r="AU37" s="1767"/>
    </row>
    <row r="38" spans="1:47" x14ac:dyDescent="0.25">
      <c r="A38" s="1767"/>
      <c r="H38" s="1776" t="s">
        <v>1344</v>
      </c>
      <c r="J38" s="1858">
        <f>ROUND(J35+J36,2)</f>
        <v>0</v>
      </c>
      <c r="K38" s="1767"/>
      <c r="AQ38" s="1775"/>
      <c r="AR38" s="1775"/>
      <c r="AS38" s="1775"/>
      <c r="AT38" s="1775"/>
      <c r="AU38" s="1767"/>
    </row>
    <row r="39" spans="1:47" ht="13" x14ac:dyDescent="0.3">
      <c r="A39" s="1767"/>
      <c r="B39" s="1798"/>
      <c r="C39" s="1798"/>
      <c r="D39" s="1798"/>
      <c r="E39" s="1784"/>
      <c r="F39" s="1798"/>
      <c r="G39" s="1798"/>
      <c r="H39" s="1776" t="str">
        <f>IF(L37=TRUE,"Actual Refund","")</f>
        <v/>
      </c>
      <c r="I39" s="1798"/>
      <c r="J39" s="1867"/>
      <c r="K39" s="1868" t="str">
        <f>IF(AND(L37=TRUE,J39=""),"&lt; Enter Amount","")</f>
        <v/>
      </c>
      <c r="AQ39" s="1775"/>
      <c r="AR39" s="1775"/>
      <c r="AS39" s="1775"/>
      <c r="AT39" s="1775"/>
      <c r="AU39" s="1767"/>
    </row>
    <row r="40" spans="1:47" x14ac:dyDescent="0.25">
      <c r="A40" s="1767"/>
      <c r="B40" s="1798"/>
      <c r="C40" s="1798"/>
      <c r="D40" s="1798"/>
      <c r="E40" s="1798"/>
      <c r="F40" s="1798"/>
      <c r="G40" s="1798"/>
      <c r="H40" s="1776" t="str">
        <f>IF(L37=TRUE,"Difference","")</f>
        <v/>
      </c>
      <c r="I40" s="1798"/>
      <c r="J40" s="1858" t="str">
        <f>IF(L37=TRUE,J39-J38,"")</f>
        <v/>
      </c>
      <c r="K40" s="1767"/>
      <c r="AQ40" s="1775"/>
      <c r="AR40" s="1775"/>
      <c r="AS40" s="1775"/>
      <c r="AT40" s="1775"/>
      <c r="AU40" s="1767"/>
    </row>
    <row r="41" spans="1:47" x14ac:dyDescent="0.25">
      <c r="A41" s="1767"/>
      <c r="B41" s="1798"/>
      <c r="D41" s="1798"/>
      <c r="E41" s="1798"/>
      <c r="F41" s="1798"/>
      <c r="G41" s="1798"/>
      <c r="H41" s="1776" t="str">
        <f>IF(L37=TRUE,IF(J40&lt;&gt;0,"In favour of","OK"),"")</f>
        <v/>
      </c>
      <c r="I41" s="1776" t="str">
        <f>IF(L37=TRUE,IF(J40&lt;0,"the authority",IF(J40&gt;0,"the ratepayer","")),"")</f>
        <v/>
      </c>
      <c r="J41" s="1867"/>
      <c r="K41" s="1767"/>
      <c r="AQ41" s="1775"/>
      <c r="AR41" s="1775"/>
      <c r="AS41" s="1775"/>
      <c r="AT41" s="1775"/>
      <c r="AU41" s="1767"/>
    </row>
    <row r="42" spans="1:47" x14ac:dyDescent="0.25">
      <c r="A42" s="1767"/>
      <c r="B42" s="1798"/>
      <c r="C42" s="1798"/>
      <c r="D42" s="1798"/>
      <c r="E42" s="1798"/>
      <c r="F42" s="1798"/>
      <c r="G42" s="1798"/>
      <c r="H42" s="1798"/>
      <c r="I42" s="1798"/>
      <c r="J42" s="1867"/>
      <c r="K42" s="1767"/>
      <c r="AQ42" s="1775"/>
      <c r="AR42" s="1775"/>
      <c r="AS42" s="1775"/>
      <c r="AT42" s="1775"/>
      <c r="AU42" s="1767"/>
    </row>
    <row r="43" spans="1:47" ht="75.75" customHeight="1" x14ac:dyDescent="0.35">
      <c r="A43" s="1767"/>
      <c r="B43" s="1798" t="s">
        <v>1272</v>
      </c>
      <c r="C43" s="1798"/>
      <c r="D43" s="1869" t="str">
        <f>codes!F4</f>
        <v>CBRE</v>
      </c>
      <c r="E43" s="1870"/>
      <c r="F43" s="1798"/>
      <c r="G43" s="1798"/>
      <c r="H43" s="1798"/>
      <c r="I43" s="1798"/>
      <c r="J43" s="1867"/>
      <c r="K43" s="1767"/>
      <c r="AQ43" s="1775"/>
      <c r="AR43" s="1775"/>
      <c r="AS43" s="1775"/>
      <c r="AT43" s="1775"/>
      <c r="AU43" s="1767"/>
    </row>
    <row r="44" spans="1:47" ht="34.5" customHeight="1" x14ac:dyDescent="0.25">
      <c r="A44" s="1767"/>
      <c r="B44" s="1767"/>
      <c r="C44" s="1767"/>
      <c r="D44" s="1767"/>
      <c r="E44" s="1767"/>
      <c r="F44" s="1767"/>
      <c r="G44" s="1767"/>
      <c r="H44" s="1767"/>
      <c r="I44" s="1767"/>
      <c r="J44" s="1767"/>
      <c r="K44" s="1767"/>
      <c r="AQ44" s="1775"/>
      <c r="AR44" s="1775"/>
      <c r="AS44" s="1775"/>
      <c r="AT44" s="1775"/>
      <c r="AU44" s="1767"/>
    </row>
    <row r="45" spans="1:47" ht="48" customHeight="1" x14ac:dyDescent="0.25">
      <c r="A45" s="1767"/>
      <c r="B45" s="1871"/>
      <c r="C45" s="1767"/>
      <c r="D45" s="1767"/>
      <c r="E45" s="1767"/>
      <c r="F45" s="1767"/>
      <c r="G45" s="1767"/>
      <c r="H45" s="1767"/>
      <c r="I45" s="1767"/>
      <c r="J45" s="1767"/>
      <c r="K45" s="1767"/>
      <c r="AQ45" s="1775"/>
      <c r="AR45" s="1775"/>
      <c r="AS45" s="1775"/>
      <c r="AT45" s="1775"/>
      <c r="AU45" s="1767"/>
    </row>
  </sheetData>
  <sheetProtection password="BCD8" sheet="1" objects="1" scenarios="1"/>
  <phoneticPr fontId="0" type="noConversion"/>
  <conditionalFormatting sqref="J39">
    <cfRule type="expression" dxfId="40" priority="2" stopIfTrue="1">
      <formula>$L$37=TRUE</formula>
    </cfRule>
  </conditionalFormatting>
  <conditionalFormatting sqref="G21">
    <cfRule type="expression" dxfId="39" priority="3" stopIfTrue="1">
      <formula>$G$20="y"</formula>
    </cfRule>
  </conditionalFormatting>
  <conditionalFormatting sqref="J20">
    <cfRule type="expression" dxfId="38" priority="1" stopIfTrue="1">
      <formula>$L$21=TRUE</formula>
    </cfRule>
  </conditionalFormatting>
  <dataValidations count="3">
    <dataValidation type="date" allowBlank="1" showInputMessage="1" showErrorMessage="1" errorTitle="Effective Date" error="Date must be between the start and end dates of this Rating List" sqref="G17" xr:uid="{02742FE6-1BA1-456B-B27E-7BC21C22C6E8}">
      <formula1>N2</formula1>
      <formula2>L9-1</formula2>
    </dataValidation>
    <dataValidation type="date" allowBlank="1" showInputMessage="1" showErrorMessage="1" errorTitle="Last date of Occupation" error="Date must be between the start and end dates of this Rating List" sqref="G21" xr:uid="{C6EF4D1C-0463-4885-B87A-1E685D4168FA}">
      <formula1>N2</formula1>
      <formula2>N3</formula2>
    </dataValidation>
    <dataValidation type="date" allowBlank="1" showInputMessage="1" showErrorMessage="1" errorTitle="Repayment Date" error="Date must be between the start and end dates of this Rating List" sqref="G18" xr:uid="{4BFF0F69-26A6-4AEE-89B8-9E79C987DAA0}">
      <formula1>N2</formula1>
      <formula2>N3</formula2>
    </dataValidation>
  </dataValidations>
  <pageMargins left="0.62" right="0.64" top="1" bottom="1" header="0.5" footer="0.5"/>
  <pageSetup paperSize="9" orientation="portrait" blackAndWhite="1" horizontalDpi="4294967292"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Check Box 1">
              <controlPr defaultSize="0" print="0" autoFill="0" autoLine="0" autoPict="0" macro="[0]!compare">
                <anchor moveWithCells="1">
                  <from>
                    <xdr:col>7</xdr:col>
                    <xdr:colOff>730250</xdr:colOff>
                    <xdr:row>41</xdr:row>
                    <xdr:rowOff>120650</xdr:rowOff>
                  </from>
                  <to>
                    <xdr:col>10</xdr:col>
                    <xdr:colOff>0</xdr:colOff>
                    <xdr:row>42</xdr:row>
                    <xdr:rowOff>184150</xdr:rowOff>
                  </to>
                </anchor>
              </controlPr>
            </control>
          </mc:Choice>
        </mc:AlternateContent>
        <mc:AlternateContent xmlns:mc="http://schemas.openxmlformats.org/markup-compatibility/2006">
          <mc:Choice Requires="x14">
            <control shapeId="80898" r:id="rId5" name="Button 2">
              <controlPr defaultSize="0" print="0" autoFill="0" autoPict="0" macro="[0]!goto_home">
                <anchor moveWithCells="1" sizeWithCells="1">
                  <from>
                    <xdr:col>0</xdr:col>
                    <xdr:colOff>76200</xdr:colOff>
                    <xdr:row>2</xdr:row>
                    <xdr:rowOff>6350</xdr:rowOff>
                  </from>
                  <to>
                    <xdr:col>0</xdr:col>
                    <xdr:colOff>1308100</xdr:colOff>
                    <xdr:row>4</xdr:row>
                    <xdr:rowOff>25400</xdr:rowOff>
                  </to>
                </anchor>
              </controlPr>
            </control>
          </mc:Choice>
        </mc:AlternateContent>
        <mc:AlternateContent xmlns:mc="http://schemas.openxmlformats.org/markup-compatibility/2006">
          <mc:Choice Requires="x14">
            <control shapeId="80899" r:id="rId6" name="Button 3">
              <controlPr defaultSize="0" print="0" autoFill="0" autoPict="0" macro="[0]!PrintThis">
                <anchor moveWithCells="1" sizeWithCells="1">
                  <from>
                    <xdr:col>10</xdr:col>
                    <xdr:colOff>1714500</xdr:colOff>
                    <xdr:row>2</xdr:row>
                    <xdr:rowOff>0</xdr:rowOff>
                  </from>
                  <to>
                    <xdr:col>10</xdr:col>
                    <xdr:colOff>2451100</xdr:colOff>
                    <xdr:row>4</xdr:row>
                    <xdr:rowOff>0</xdr:rowOff>
                  </to>
                </anchor>
              </controlPr>
            </control>
          </mc:Choice>
        </mc:AlternateContent>
        <mc:AlternateContent xmlns:mc="http://schemas.openxmlformats.org/markup-compatibility/2006">
          <mc:Choice Requires="x14">
            <control shapeId="80900" r:id="rId7" name="Button 4">
              <controlPr defaultSize="0" print="0" autoFill="0" autoPict="0" macro="[0]!clear_interest">
                <anchor moveWithCells="1" sizeWithCells="1">
                  <from>
                    <xdr:col>10</xdr:col>
                    <xdr:colOff>44450</xdr:colOff>
                    <xdr:row>2</xdr:row>
                    <xdr:rowOff>6350</xdr:rowOff>
                  </from>
                  <to>
                    <xdr:col>10</xdr:col>
                    <xdr:colOff>685800</xdr:colOff>
                    <xdr:row>4</xdr:row>
                    <xdr:rowOff>6350</xdr:rowOff>
                  </to>
                </anchor>
              </controlPr>
            </control>
          </mc:Choice>
        </mc:AlternateContent>
        <mc:AlternateContent xmlns:mc="http://schemas.openxmlformats.org/markup-compatibility/2006">
          <mc:Choice Requires="x14">
            <control shapeId="80901" r:id="rId8" name="Check Box 5">
              <controlPr defaultSize="0" autoFill="0" autoLine="0" autoPict="0">
                <anchor moveWithCells="1">
                  <from>
                    <xdr:col>8</xdr:col>
                    <xdr:colOff>450850</xdr:colOff>
                    <xdr:row>21</xdr:row>
                    <xdr:rowOff>260350</xdr:rowOff>
                  </from>
                  <to>
                    <xdr:col>9</xdr:col>
                    <xdr:colOff>114300</xdr:colOff>
                    <xdr:row>23</xdr:row>
                    <xdr:rowOff>25400</xdr:rowOff>
                  </to>
                </anchor>
              </controlPr>
            </control>
          </mc:Choice>
        </mc:AlternateContent>
        <mc:AlternateContent xmlns:mc="http://schemas.openxmlformats.org/markup-compatibility/2006">
          <mc:Choice Requires="x14">
            <control shapeId="80902" r:id="rId9" name="getbasic">
              <controlPr defaultSize="0" print="0" autoFill="0" autoPict="0" macro="[0]!get_op_from">
                <anchor moveWithCells="1" sizeWithCells="1">
                  <from>
                    <xdr:col>10</xdr:col>
                    <xdr:colOff>69850</xdr:colOff>
                    <xdr:row>15</xdr:row>
                    <xdr:rowOff>31750</xdr:rowOff>
                  </from>
                  <to>
                    <xdr:col>10</xdr:col>
                    <xdr:colOff>1460500</xdr:colOff>
                    <xdr:row>16</xdr:row>
                    <xdr:rowOff>158750</xdr:rowOff>
                  </to>
                </anchor>
              </controlPr>
            </control>
          </mc:Choice>
        </mc:AlternateContent>
        <mc:AlternateContent xmlns:mc="http://schemas.openxmlformats.org/markup-compatibility/2006">
          <mc:Choice Requires="x14">
            <control shapeId="80903" r:id="rId10" name="Button 7">
              <controlPr defaultSize="0" print="0" autoFill="0" autoPict="0" macro="[0]!goto_details">
                <anchor moveWithCells="1" sizeWithCells="1">
                  <from>
                    <xdr:col>0</xdr:col>
                    <xdr:colOff>317500</xdr:colOff>
                    <xdr:row>8</xdr:row>
                    <xdr:rowOff>146050</xdr:rowOff>
                  </from>
                  <to>
                    <xdr:col>0</xdr:col>
                    <xdr:colOff>1250950</xdr:colOff>
                    <xdr:row>11</xdr:row>
                    <xdr:rowOff>44450</xdr:rowOff>
                  </to>
                </anchor>
              </controlPr>
            </control>
          </mc:Choice>
        </mc:AlternateContent>
        <mc:AlternateContent xmlns:mc="http://schemas.openxmlformats.org/markup-compatibility/2006">
          <mc:Choice Requires="x14">
            <control shapeId="80904" r:id="rId11" name="getadvanced">
              <controlPr defaultSize="0" print="0" autoFill="0" autoPict="0" macro="[0]!get_op_from">
                <anchor moveWithCells="1" sizeWithCells="1">
                  <from>
                    <xdr:col>10</xdr:col>
                    <xdr:colOff>69850</xdr:colOff>
                    <xdr:row>17</xdr:row>
                    <xdr:rowOff>0</xdr:rowOff>
                  </from>
                  <to>
                    <xdr:col>10</xdr:col>
                    <xdr:colOff>1460500</xdr:colOff>
                    <xdr:row>18</xdr:row>
                    <xdr:rowOff>69850</xdr:rowOff>
                  </to>
                </anchor>
              </controlPr>
            </control>
          </mc:Choice>
        </mc:AlternateContent>
        <mc:AlternateContent xmlns:mc="http://schemas.openxmlformats.org/markup-compatibility/2006">
          <mc:Choice Requires="x14">
            <control shapeId="80905" r:id="rId12" name="getsplit">
              <controlPr defaultSize="0" print="0" autoFill="0" autoPict="0" macro="[0]!get_op_from">
                <anchor moveWithCells="1" sizeWithCells="1">
                  <from>
                    <xdr:col>10</xdr:col>
                    <xdr:colOff>69850</xdr:colOff>
                    <xdr:row>18</xdr:row>
                    <xdr:rowOff>76200</xdr:rowOff>
                  </from>
                  <to>
                    <xdr:col>10</xdr:col>
                    <xdr:colOff>1460500</xdr:colOff>
                    <xdr:row>19</xdr:row>
                    <xdr:rowOff>146050</xdr:rowOff>
                  </to>
                </anchor>
              </controlPr>
            </control>
          </mc:Choice>
        </mc:AlternateContent>
        <mc:AlternateContent xmlns:mc="http://schemas.openxmlformats.org/markup-compatibility/2006">
          <mc:Choice Requires="x14">
            <control shapeId="80906" r:id="rId13" name="getmerge">
              <controlPr defaultSize="0" print="0" autoFill="0" autoPict="0" macro="[0]!get_op_from">
                <anchor moveWithCells="1" sizeWithCells="1">
                  <from>
                    <xdr:col>10</xdr:col>
                    <xdr:colOff>69850</xdr:colOff>
                    <xdr:row>19</xdr:row>
                    <xdr:rowOff>158750</xdr:rowOff>
                  </from>
                  <to>
                    <xdr:col>10</xdr:col>
                    <xdr:colOff>1460500</xdr:colOff>
                    <xdr:row>21</xdr:row>
                    <xdr:rowOff>63500</xdr:rowOff>
                  </to>
                </anchor>
              </controlPr>
            </control>
          </mc:Choice>
        </mc:AlternateContent>
        <mc:AlternateContent xmlns:mc="http://schemas.openxmlformats.org/markup-compatibility/2006">
          <mc:Choice Requires="x14">
            <control shapeId="80907" r:id="rId14" name="getrjs">
              <controlPr defaultSize="0" print="0" autoFill="0" autoPict="0" macro="[0]!get_op_from">
                <anchor moveWithCells="1" sizeWithCells="1">
                  <from>
                    <xdr:col>10</xdr:col>
                    <xdr:colOff>69850</xdr:colOff>
                    <xdr:row>21</xdr:row>
                    <xdr:rowOff>69850</xdr:rowOff>
                  </from>
                  <to>
                    <xdr:col>10</xdr:col>
                    <xdr:colOff>1460500</xdr:colOff>
                    <xdr:row>22</xdr:row>
                    <xdr:rowOff>0</xdr:rowOff>
                  </to>
                </anchor>
              </controlPr>
            </control>
          </mc:Choice>
        </mc:AlternateContent>
        <mc:AlternateContent xmlns:mc="http://schemas.openxmlformats.org/markup-compatibility/2006">
          <mc:Choice Requires="x14">
            <control shapeId="80908" r:id="rId15" name="basic">
              <controlPr defaultSize="0" print="0" autoFill="0" autoPict="0" macro="[0]!globalgoto">
                <anchor moveWithCells="1" sizeWithCells="1">
                  <from>
                    <xdr:col>10</xdr:col>
                    <xdr:colOff>1479550</xdr:colOff>
                    <xdr:row>15</xdr:row>
                    <xdr:rowOff>31750</xdr:rowOff>
                  </from>
                  <to>
                    <xdr:col>10</xdr:col>
                    <xdr:colOff>1854200</xdr:colOff>
                    <xdr:row>16</xdr:row>
                    <xdr:rowOff>158750</xdr:rowOff>
                  </to>
                </anchor>
              </controlPr>
            </control>
          </mc:Choice>
        </mc:AlternateContent>
        <mc:AlternateContent xmlns:mc="http://schemas.openxmlformats.org/markup-compatibility/2006">
          <mc:Choice Requires="x14">
            <control shapeId="80909" r:id="rId16" name="advanced">
              <controlPr defaultSize="0" print="0" autoFill="0" autoPict="0" macro="[0]!globalgoto">
                <anchor moveWithCells="1" sizeWithCells="1">
                  <from>
                    <xdr:col>10</xdr:col>
                    <xdr:colOff>1479550</xdr:colOff>
                    <xdr:row>17</xdr:row>
                    <xdr:rowOff>0</xdr:rowOff>
                  </from>
                  <to>
                    <xdr:col>10</xdr:col>
                    <xdr:colOff>1854200</xdr:colOff>
                    <xdr:row>18</xdr:row>
                    <xdr:rowOff>69850</xdr:rowOff>
                  </to>
                </anchor>
              </controlPr>
            </control>
          </mc:Choice>
        </mc:AlternateContent>
        <mc:AlternateContent xmlns:mc="http://schemas.openxmlformats.org/markup-compatibility/2006">
          <mc:Choice Requires="x14">
            <control shapeId="80910" r:id="rId17" name="split">
              <controlPr defaultSize="0" print="0" autoFill="0" autoPict="0" macro="[0]!globalgoto">
                <anchor moveWithCells="1" sizeWithCells="1">
                  <from>
                    <xdr:col>10</xdr:col>
                    <xdr:colOff>1479550</xdr:colOff>
                    <xdr:row>18</xdr:row>
                    <xdr:rowOff>76200</xdr:rowOff>
                  </from>
                  <to>
                    <xdr:col>10</xdr:col>
                    <xdr:colOff>1854200</xdr:colOff>
                    <xdr:row>19</xdr:row>
                    <xdr:rowOff>146050</xdr:rowOff>
                  </to>
                </anchor>
              </controlPr>
            </control>
          </mc:Choice>
        </mc:AlternateContent>
        <mc:AlternateContent xmlns:mc="http://schemas.openxmlformats.org/markup-compatibility/2006">
          <mc:Choice Requires="x14">
            <control shapeId="80911" r:id="rId18" name="merge">
              <controlPr defaultSize="0" print="0" autoFill="0" autoPict="0" macro="[0]!globalgoto">
                <anchor moveWithCells="1" sizeWithCells="1">
                  <from>
                    <xdr:col>10</xdr:col>
                    <xdr:colOff>1479550</xdr:colOff>
                    <xdr:row>19</xdr:row>
                    <xdr:rowOff>158750</xdr:rowOff>
                  </from>
                  <to>
                    <xdr:col>10</xdr:col>
                    <xdr:colOff>1854200</xdr:colOff>
                    <xdr:row>21</xdr:row>
                    <xdr:rowOff>63500</xdr:rowOff>
                  </to>
                </anchor>
              </controlPr>
            </control>
          </mc:Choice>
        </mc:AlternateContent>
        <mc:AlternateContent xmlns:mc="http://schemas.openxmlformats.org/markup-compatibility/2006">
          <mc:Choice Requires="x14">
            <control shapeId="80912" r:id="rId19" name="rjs">
              <controlPr defaultSize="0" print="0" autoFill="0" autoPict="0" macro="[0]!globalgoto">
                <anchor moveWithCells="1" sizeWithCells="1">
                  <from>
                    <xdr:col>10</xdr:col>
                    <xdr:colOff>1479550</xdr:colOff>
                    <xdr:row>21</xdr:row>
                    <xdr:rowOff>69850</xdr:rowOff>
                  </from>
                  <to>
                    <xdr:col>10</xdr:col>
                    <xdr:colOff>1854200</xdr:colOff>
                    <xdr:row>22</xdr:row>
                    <xdr:rowOff>0</xdr:rowOff>
                  </to>
                </anchor>
              </controlPr>
            </control>
          </mc:Choice>
        </mc:AlternateContent>
        <mc:AlternateContent xmlns:mc="http://schemas.openxmlformats.org/markup-compatibility/2006">
          <mc:Choice Requires="x14">
            <control shapeId="80913" r:id="rId20" name="interest breakdown">
              <controlPr defaultSize="0" print="0" autoFill="0" autoPict="0" macro="[0]!globalgoto">
                <anchor moveWithCells="1" sizeWithCells="1">
                  <from>
                    <xdr:col>10</xdr:col>
                    <xdr:colOff>88900</xdr:colOff>
                    <xdr:row>30</xdr:row>
                    <xdr:rowOff>158750</xdr:rowOff>
                  </from>
                  <to>
                    <xdr:col>10</xdr:col>
                    <xdr:colOff>1225550</xdr:colOff>
                    <xdr:row>32</xdr:row>
                    <xdr:rowOff>0</xdr:rowOff>
                  </to>
                </anchor>
              </controlPr>
            </control>
          </mc:Choice>
        </mc:AlternateContent>
        <mc:AlternateContent xmlns:mc="http://schemas.openxmlformats.org/markup-compatibility/2006">
          <mc:Choice Requires="x14">
            <control shapeId="80914" r:id="rId21" name="Button 18">
              <controlPr defaultSize="0" print="0" autoFill="0" autoPict="0" macro="[0]!copy_as_excel">
                <anchor moveWithCells="1" sizeWithCells="1">
                  <from>
                    <xdr:col>10</xdr:col>
                    <xdr:colOff>38100</xdr:colOff>
                    <xdr:row>5</xdr:row>
                    <xdr:rowOff>25400</xdr:rowOff>
                  </from>
                  <to>
                    <xdr:col>10</xdr:col>
                    <xdr:colOff>723900</xdr:colOff>
                    <xdr:row>7</xdr:row>
                    <xdr:rowOff>88900</xdr:rowOff>
                  </to>
                </anchor>
              </controlPr>
            </control>
          </mc:Choice>
        </mc:AlternateContent>
        <mc:AlternateContent xmlns:mc="http://schemas.openxmlformats.org/markup-compatibility/2006">
          <mc:Choice Requires="x14">
            <control shapeId="80915" r:id="rId22" name="Button 19">
              <controlPr defaultSize="0" print="0" autoFill="0" autoPict="0" macro="[0]!pdflauncher">
                <anchor moveWithCells="1" sizeWithCells="1">
                  <from>
                    <xdr:col>10</xdr:col>
                    <xdr:colOff>736600</xdr:colOff>
                    <xdr:row>5</xdr:row>
                    <xdr:rowOff>25400</xdr:rowOff>
                  </from>
                  <to>
                    <xdr:col>10</xdr:col>
                    <xdr:colOff>1435100</xdr:colOff>
                    <xdr:row>7</xdr:row>
                    <xdr:rowOff>88900</xdr:rowOff>
                  </to>
                </anchor>
              </controlPr>
            </control>
          </mc:Choice>
        </mc:AlternateContent>
        <mc:AlternateContent xmlns:mc="http://schemas.openxmlformats.org/markup-compatibility/2006">
          <mc:Choice Requires="x14">
            <control shapeId="80916" r:id="rId23" name="Button 20">
              <controlPr defaultSize="0" print="0" autoFill="0" autoPict="0" macro="[0]!openfolder">
                <anchor moveWithCells="1" sizeWithCells="1">
                  <from>
                    <xdr:col>10</xdr:col>
                    <xdr:colOff>1435100</xdr:colOff>
                    <xdr:row>5</xdr:row>
                    <xdr:rowOff>25400</xdr:rowOff>
                  </from>
                  <to>
                    <xdr:col>10</xdr:col>
                    <xdr:colOff>1974850</xdr:colOff>
                    <xdr:row>7</xdr:row>
                    <xdr:rowOff>88900</xdr:rowOff>
                  </to>
                </anchor>
              </controlPr>
            </control>
          </mc:Choice>
        </mc:AlternateContent>
        <mc:AlternateContent xmlns:mc="http://schemas.openxmlformats.org/markup-compatibility/2006">
          <mc:Choice Requires="x14">
            <control shapeId="80917" r:id="rId24" name="Button 21">
              <controlPr defaultSize="0" print="0" autoFill="0" autoPict="0" macro="[0]!goto_folder_settings">
                <anchor moveWithCells="1" sizeWithCells="1">
                  <from>
                    <xdr:col>10</xdr:col>
                    <xdr:colOff>1981200</xdr:colOff>
                    <xdr:row>5</xdr:row>
                    <xdr:rowOff>25400</xdr:rowOff>
                  </from>
                  <to>
                    <xdr:col>10</xdr:col>
                    <xdr:colOff>2451100</xdr:colOff>
                    <xdr:row>7</xdr:row>
                    <xdr:rowOff>88900</xdr:rowOff>
                  </to>
                </anchor>
              </controlPr>
            </control>
          </mc:Choice>
        </mc:AlternateContent>
        <mc:AlternateContent xmlns:mc="http://schemas.openxmlformats.org/markup-compatibility/2006">
          <mc:Choice Requires="x14">
            <control shapeId="80918" r:id="rId25" name="globalbacktobutton">
              <controlPr defaultSize="0" print="0" autoFill="0" autoPict="0" macro="[0]!backto">
                <anchor moveWithCells="1" sizeWithCells="1">
                  <from>
                    <xdr:col>10</xdr:col>
                    <xdr:colOff>723900</xdr:colOff>
                    <xdr:row>2</xdr:row>
                    <xdr:rowOff>6350</xdr:rowOff>
                  </from>
                  <to>
                    <xdr:col>10</xdr:col>
                    <xdr:colOff>1511300</xdr:colOff>
                    <xdr:row>4</xdr:row>
                    <xdr:rowOff>6350</xdr:rowOff>
                  </to>
                </anchor>
              </controlPr>
            </control>
          </mc:Choice>
        </mc:AlternateContent>
        <mc:AlternateContent xmlns:mc="http://schemas.openxmlformats.org/markup-compatibility/2006">
          <mc:Choice Requires="x14">
            <control shapeId="80919" r:id="rId26" name="Check Box 23">
              <controlPr defaultSize="0" autoFill="0" autoLine="0" autoPict="0" macro="[0]!deldate">
                <anchor moveWithCells="1">
                  <from>
                    <xdr:col>9</xdr:col>
                    <xdr:colOff>190500</xdr:colOff>
                    <xdr:row>18</xdr:row>
                    <xdr:rowOff>120650</xdr:rowOff>
                  </from>
                  <to>
                    <xdr:col>9</xdr:col>
                    <xdr:colOff>889000</xdr:colOff>
                    <xdr:row>20</xdr:row>
                    <xdr:rowOff>63500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0C9FD-981C-43F6-A091-40AC25D7D37C}">
  <sheetPr codeName="Sheet84"/>
  <dimension ref="A1:AA101"/>
  <sheetViews>
    <sheetView showGridLines="0" workbookViewId="0">
      <selection activeCell="A4" sqref="A4"/>
    </sheetView>
  </sheetViews>
  <sheetFormatPr defaultColWidth="8.90625" defaultRowHeight="12.5" x14ac:dyDescent="0.25"/>
  <cols>
    <col min="1" max="1" width="9.54296875" style="1774" customWidth="1"/>
    <col min="2" max="2" width="10.36328125" style="1774" customWidth="1"/>
    <col min="3" max="3" width="10.54296875" style="1774" customWidth="1"/>
    <col min="4" max="9" width="12.54296875" style="1774" customWidth="1"/>
    <col min="10" max="10" width="1.54296875" style="1774" customWidth="1"/>
    <col min="11" max="16384" width="8.90625" style="1774"/>
  </cols>
  <sheetData>
    <row r="1" spans="1:27" x14ac:dyDescent="0.25">
      <c r="A1" s="1775"/>
      <c r="B1" s="1775"/>
      <c r="C1" s="1775"/>
      <c r="D1" s="1775"/>
      <c r="E1" s="1775"/>
      <c r="F1" s="1775"/>
      <c r="G1" s="1775"/>
      <c r="H1" s="1775"/>
      <c r="I1" s="1775"/>
      <c r="J1" s="1775"/>
      <c r="K1" s="1775"/>
      <c r="L1" s="1775"/>
      <c r="M1" s="1775"/>
      <c r="N1" s="1775"/>
      <c r="O1" s="1775"/>
      <c r="P1" s="1775"/>
      <c r="Q1" s="1775"/>
      <c r="R1" s="1775"/>
      <c r="S1" s="1775"/>
      <c r="T1" s="1775"/>
      <c r="U1" s="1775"/>
      <c r="V1" s="1775"/>
      <c r="W1" s="1775"/>
      <c r="X1" s="1775"/>
      <c r="Y1" s="1775"/>
      <c r="Z1" s="1775"/>
      <c r="AA1" s="1775"/>
    </row>
    <row r="2" spans="1:27" ht="9.75" customHeight="1" x14ac:dyDescent="0.25">
      <c r="A2" s="1775"/>
      <c r="B2" s="1872"/>
      <c r="C2" s="1873"/>
      <c r="D2" s="1873"/>
      <c r="E2" s="1873"/>
      <c r="F2" s="1873"/>
      <c r="G2" s="1873"/>
      <c r="H2" s="1873"/>
      <c r="I2" s="1873"/>
      <c r="J2" s="1874"/>
      <c r="K2" s="1775"/>
      <c r="L2" s="1775"/>
      <c r="M2" s="1775"/>
      <c r="N2" s="1775"/>
      <c r="O2" s="1775"/>
      <c r="P2" s="1775"/>
      <c r="Q2" s="1775"/>
      <c r="R2" s="1775"/>
      <c r="S2" s="1775"/>
      <c r="T2" s="1775"/>
      <c r="U2" s="1775"/>
      <c r="V2" s="1775"/>
      <c r="W2" s="1775"/>
      <c r="X2" s="1775"/>
      <c r="Y2" s="1775"/>
      <c r="Z2" s="1775"/>
      <c r="AA2" s="1775"/>
    </row>
    <row r="3" spans="1:27" ht="18.75" customHeight="1" x14ac:dyDescent="0.3">
      <c r="A3" s="1775"/>
      <c r="B3" s="1875"/>
      <c r="C3" s="1876" t="s">
        <v>1335</v>
      </c>
      <c r="D3" s="1774" t="str">
        <f>basic!D26</f>
        <v>Enter Address Details</v>
      </c>
      <c r="J3" s="1877"/>
      <c r="K3" s="1775"/>
      <c r="L3" s="1775"/>
      <c r="M3" s="1775"/>
      <c r="N3" s="1775"/>
      <c r="O3" s="1775"/>
      <c r="P3" s="1775"/>
      <c r="Q3" s="1775"/>
      <c r="R3" s="1775"/>
      <c r="S3" s="1775"/>
      <c r="T3" s="1775"/>
      <c r="U3" s="1775"/>
      <c r="V3" s="1775"/>
      <c r="W3" s="1775"/>
      <c r="X3" s="1775"/>
      <c r="Y3" s="1775"/>
      <c r="Z3" s="1775"/>
      <c r="AA3" s="1775"/>
    </row>
    <row r="4" spans="1:27" x14ac:dyDescent="0.25">
      <c r="A4" s="1775"/>
      <c r="B4" s="1875"/>
      <c r="C4" s="1878" t="str">
        <f>interest!C17</f>
        <v>Effective Date:</v>
      </c>
      <c r="D4" s="1788">
        <f>interest!G17</f>
        <v>0</v>
      </c>
      <c r="E4" s="1878" t="s">
        <v>1336</v>
      </c>
      <c r="F4" s="1788">
        <f>interest!G18</f>
        <v>0</v>
      </c>
      <c r="G4" s="1878" t="str">
        <f>IF(interest!C21&lt;&gt;"","Liability Ended","")</f>
        <v/>
      </c>
      <c r="H4" s="1781" t="str">
        <f>IF(interest!G21&gt;0,interest!G21,"")</f>
        <v/>
      </c>
      <c r="J4" s="1877"/>
      <c r="K4" s="1775"/>
      <c r="L4" s="1775"/>
      <c r="M4" s="1775"/>
      <c r="N4" s="1775"/>
      <c r="O4" s="1775"/>
      <c r="P4" s="1775"/>
      <c r="Q4" s="1775"/>
      <c r="R4" s="1775"/>
      <c r="S4" s="1775"/>
      <c r="T4" s="1775"/>
      <c r="U4" s="1775"/>
      <c r="V4" s="1775"/>
      <c r="W4" s="1775"/>
      <c r="X4" s="1775"/>
      <c r="Y4" s="1775"/>
      <c r="Z4" s="1775"/>
      <c r="AA4" s="1775"/>
    </row>
    <row r="5" spans="1:27" ht="15" customHeight="1" x14ac:dyDescent="0.3">
      <c r="A5" s="1775"/>
      <c r="B5" s="1875"/>
      <c r="C5" s="1879" t="str">
        <f>interest!O4</f>
        <v>yr</v>
      </c>
      <c r="D5" s="1879" t="str">
        <f>interest!P4</f>
        <v>2023/24</v>
      </c>
      <c r="E5" s="1879" t="str">
        <f>interest!Q4</f>
        <v>2024/25</v>
      </c>
      <c r="F5" s="1879" t="str">
        <f>interest!R4</f>
        <v>2025/26</v>
      </c>
      <c r="G5" s="1879" t="str">
        <f>interest!S4</f>
        <v>2026/27</v>
      </c>
      <c r="H5" s="1879" t="str">
        <f>interest!T4</f>
        <v>2027/28</v>
      </c>
      <c r="I5" s="1880"/>
      <c r="J5" s="1877"/>
      <c r="K5" s="1775"/>
      <c r="L5" s="1775"/>
      <c r="M5" s="1775"/>
      <c r="N5" s="1775"/>
      <c r="O5" s="1775"/>
      <c r="P5" s="1775"/>
      <c r="Q5" s="1775"/>
      <c r="R5" s="1775"/>
      <c r="S5" s="1775"/>
      <c r="T5" s="1775"/>
      <c r="U5" s="1775"/>
      <c r="V5" s="1775"/>
      <c r="W5" s="1775"/>
      <c r="X5" s="1775"/>
      <c r="Y5" s="1775"/>
      <c r="Z5" s="1775"/>
      <c r="AA5" s="1775"/>
    </row>
    <row r="6" spans="1:27" ht="15" customHeight="1" x14ac:dyDescent="0.3">
      <c r="A6" s="1775"/>
      <c r="B6" s="1875"/>
      <c r="C6" s="1881" t="str">
        <f>interest!O5</f>
        <v>op</v>
      </c>
      <c r="D6" s="1882">
        <f>interest!P5</f>
        <v>0</v>
      </c>
      <c r="E6" s="1882">
        <f>interest!Q5</f>
        <v>0</v>
      </c>
      <c r="F6" s="1882">
        <f>interest!R5</f>
        <v>0</v>
      </c>
      <c r="G6" s="1882">
        <f>interest!S5</f>
        <v>0</v>
      </c>
      <c r="H6" s="1882">
        <f>interest!T5</f>
        <v>0</v>
      </c>
      <c r="I6" s="1883"/>
      <c r="J6" s="1877"/>
      <c r="K6" s="1775"/>
      <c r="L6" s="1775"/>
      <c r="M6" s="1775"/>
      <c r="N6" s="1775"/>
      <c r="O6" s="1775"/>
      <c r="P6" s="1775"/>
      <c r="Q6" s="1775"/>
      <c r="R6" s="1775"/>
      <c r="S6" s="1775"/>
      <c r="T6" s="1775"/>
      <c r="U6" s="1775"/>
      <c r="V6" s="1775"/>
      <c r="W6" s="1775"/>
      <c r="X6" s="1775"/>
      <c r="Y6" s="1775"/>
      <c r="Z6" s="1775"/>
      <c r="AA6" s="1775"/>
    </row>
    <row r="7" spans="1:27" ht="15" customHeight="1" x14ac:dyDescent="0.3">
      <c r="A7" s="1775"/>
      <c r="B7" s="2206" t="str">
        <f>D5</f>
        <v>2023/24</v>
      </c>
      <c r="C7" s="1879">
        <f>interest!O6</f>
        <v>0.03</v>
      </c>
      <c r="D7" s="1884">
        <f>interest!P6</f>
        <v>0</v>
      </c>
      <c r="E7" s="1885">
        <f>interest!Q6</f>
        <v>0</v>
      </c>
      <c r="F7" s="1885">
        <f>interest!R6</f>
        <v>0</v>
      </c>
      <c r="G7" s="1885">
        <f>interest!S6</f>
        <v>0</v>
      </c>
      <c r="H7" s="1885">
        <f>interest!T6</f>
        <v>0</v>
      </c>
      <c r="I7" s="1883"/>
      <c r="J7" s="1877"/>
      <c r="K7" s="1775"/>
      <c r="L7" s="1775"/>
      <c r="M7" s="1775"/>
      <c r="N7" s="1775"/>
      <c r="O7" s="1775"/>
      <c r="P7" s="1775"/>
      <c r="Q7" s="1775"/>
      <c r="R7" s="1775"/>
      <c r="S7" s="1775"/>
      <c r="T7" s="1775"/>
      <c r="U7" s="1775"/>
      <c r="V7" s="1775"/>
      <c r="W7" s="1775"/>
      <c r="X7" s="1775"/>
      <c r="Y7" s="1775"/>
      <c r="Z7" s="1775"/>
      <c r="AA7" s="1775"/>
    </row>
    <row r="8" spans="1:27" ht="15" customHeight="1" x14ac:dyDescent="0.3">
      <c r="A8" s="1775"/>
      <c r="B8" s="2206" t="str">
        <f>E5</f>
        <v>2024/25</v>
      </c>
      <c r="C8" s="1879">
        <f>interest!O7</f>
        <v>4.2500000000000003E-2</v>
      </c>
      <c r="D8" s="1884">
        <f>interest!P7</f>
        <v>0</v>
      </c>
      <c r="E8" s="1884">
        <f>interest!Q7</f>
        <v>0</v>
      </c>
      <c r="F8" s="1885">
        <f>interest!R7</f>
        <v>0</v>
      </c>
      <c r="G8" s="1885">
        <f>interest!S7</f>
        <v>0</v>
      </c>
      <c r="H8" s="1885">
        <f>interest!T7</f>
        <v>0</v>
      </c>
      <c r="I8" s="1883"/>
      <c r="J8" s="1877"/>
      <c r="K8" s="1775"/>
      <c r="L8" s="1775"/>
      <c r="M8" s="1775"/>
      <c r="N8" s="1775"/>
      <c r="O8" s="1775"/>
      <c r="P8" s="1775"/>
      <c r="Q8" s="1775"/>
      <c r="R8" s="1775"/>
      <c r="S8" s="1775"/>
      <c r="T8" s="1775"/>
      <c r="U8" s="1775"/>
      <c r="V8" s="1775"/>
      <c r="W8" s="1775"/>
      <c r="X8" s="1775"/>
      <c r="Y8" s="1775"/>
      <c r="Z8" s="1775"/>
      <c r="AA8" s="1775"/>
    </row>
    <row r="9" spans="1:27" ht="15" customHeight="1" x14ac:dyDescent="0.3">
      <c r="A9" s="1775"/>
      <c r="B9" s="2206" t="str">
        <f>F5</f>
        <v>2025/26</v>
      </c>
      <c r="C9" s="1879">
        <f>interest!O8</f>
        <v>3.5000000000000003E-2</v>
      </c>
      <c r="D9" s="1884">
        <f>interest!P8</f>
        <v>0</v>
      </c>
      <c r="E9" s="1884">
        <f>interest!Q8</f>
        <v>0</v>
      </c>
      <c r="F9" s="1884">
        <f>interest!R8</f>
        <v>0</v>
      </c>
      <c r="G9" s="1885">
        <f>interest!S8</f>
        <v>0</v>
      </c>
      <c r="H9" s="1885">
        <f>interest!T8</f>
        <v>0</v>
      </c>
      <c r="I9" s="1883"/>
      <c r="J9" s="1877"/>
      <c r="K9" s="1775"/>
      <c r="L9" s="1775"/>
      <c r="M9" s="1775"/>
      <c r="N9" s="1775"/>
      <c r="O9" s="1775"/>
      <c r="P9" s="1775"/>
      <c r="Q9" s="1775"/>
      <c r="R9" s="1775"/>
      <c r="S9" s="1775"/>
      <c r="T9" s="1775"/>
      <c r="U9" s="1775"/>
      <c r="V9" s="1775"/>
      <c r="W9" s="1775"/>
      <c r="X9" s="1775"/>
      <c r="Y9" s="1775"/>
      <c r="Z9" s="1775"/>
      <c r="AA9" s="1775"/>
    </row>
    <row r="10" spans="1:27" ht="15" customHeight="1" x14ac:dyDescent="0.3">
      <c r="A10" s="1775"/>
      <c r="B10" s="2206" t="str">
        <f>G5</f>
        <v>2026/27</v>
      </c>
      <c r="C10" s="1879">
        <f>interest!O9</f>
        <v>3.5000000000000003E-2</v>
      </c>
      <c r="D10" s="1884">
        <f>interest!P9</f>
        <v>0</v>
      </c>
      <c r="E10" s="1884">
        <f>interest!Q9</f>
        <v>0</v>
      </c>
      <c r="F10" s="1884">
        <f>interest!R9</f>
        <v>0</v>
      </c>
      <c r="G10" s="1884">
        <f>interest!S9</f>
        <v>0</v>
      </c>
      <c r="H10" s="1885">
        <f>interest!T9</f>
        <v>0</v>
      </c>
      <c r="I10" s="1883"/>
      <c r="J10" s="1877"/>
      <c r="K10" s="1775"/>
      <c r="L10" s="1775"/>
      <c r="M10" s="1775"/>
      <c r="N10" s="1775"/>
      <c r="O10" s="1775"/>
      <c r="P10" s="1775"/>
      <c r="Q10" s="1775"/>
      <c r="R10" s="1775"/>
      <c r="S10" s="1775"/>
      <c r="T10" s="1775"/>
      <c r="U10" s="1775"/>
      <c r="V10" s="1775"/>
      <c r="W10" s="1775"/>
      <c r="X10" s="1775"/>
      <c r="Y10" s="1775"/>
      <c r="Z10" s="1775"/>
      <c r="AA10" s="1775"/>
    </row>
    <row r="11" spans="1:27" ht="15" customHeight="1" x14ac:dyDescent="0.3">
      <c r="A11" s="1775"/>
      <c r="B11" s="2206" t="str">
        <f>H5</f>
        <v>2027/28</v>
      </c>
      <c r="C11" s="1879">
        <f>interest!O10</f>
        <v>3.5000000000000003E-2</v>
      </c>
      <c r="D11" s="1884">
        <f>interest!P10</f>
        <v>0</v>
      </c>
      <c r="E11" s="1884">
        <f>interest!Q10</f>
        <v>0</v>
      </c>
      <c r="F11" s="1884">
        <f>interest!R10</f>
        <v>0</v>
      </c>
      <c r="G11" s="1884">
        <f>interest!S10</f>
        <v>0</v>
      </c>
      <c r="H11" s="1884">
        <f>interest!T10</f>
        <v>0</v>
      </c>
      <c r="I11" s="1883"/>
      <c r="J11" s="1877"/>
      <c r="K11" s="1775"/>
      <c r="L11" s="1775"/>
      <c r="M11" s="1775"/>
      <c r="N11" s="1775"/>
      <c r="O11" s="1775"/>
      <c r="P11" s="1775"/>
      <c r="Q11" s="1775"/>
      <c r="R11" s="1775"/>
      <c r="S11" s="1775"/>
      <c r="T11" s="1775"/>
      <c r="U11" s="1775"/>
      <c r="V11" s="1775"/>
      <c r="W11" s="1775"/>
      <c r="X11" s="1775"/>
      <c r="Y11" s="1775"/>
      <c r="Z11" s="1775"/>
      <c r="AA11" s="1775"/>
    </row>
    <row r="12" spans="1:27" ht="15" customHeight="1" x14ac:dyDescent="0.3">
      <c r="A12" s="1775"/>
      <c r="B12" s="1875"/>
      <c r="C12" s="1886"/>
      <c r="D12" s="1884"/>
      <c r="E12" s="1884"/>
      <c r="F12" s="1884"/>
      <c r="G12" s="1884"/>
      <c r="H12" s="1884"/>
      <c r="I12" s="1883"/>
      <c r="J12" s="1877"/>
      <c r="K12" s="1775"/>
      <c r="L12" s="1775"/>
      <c r="M12" s="1775"/>
      <c r="N12" s="1775"/>
      <c r="O12" s="1775"/>
      <c r="P12" s="1775"/>
      <c r="Q12" s="1775"/>
      <c r="R12" s="1775"/>
      <c r="S12" s="1775"/>
      <c r="T12" s="1775"/>
      <c r="U12" s="1775"/>
      <c r="V12" s="1775"/>
      <c r="W12" s="1775"/>
      <c r="X12" s="1775"/>
      <c r="Y12" s="1775"/>
      <c r="Z12" s="1775"/>
      <c r="AA12" s="1775"/>
    </row>
    <row r="13" spans="1:27" ht="13" x14ac:dyDescent="0.3">
      <c r="A13" s="1775"/>
      <c r="B13" s="1875"/>
      <c r="C13" s="1880"/>
      <c r="D13" s="1883"/>
      <c r="E13" s="1883"/>
      <c r="F13" s="1883"/>
      <c r="G13" s="1883"/>
      <c r="H13" s="1883"/>
      <c r="I13" s="1887" t="str">
        <f>C14</f>
        <v>total</v>
      </c>
      <c r="J13" s="1877"/>
      <c r="K13" s="1775"/>
      <c r="L13" s="1775"/>
      <c r="M13" s="1775"/>
      <c r="N13" s="1775"/>
      <c r="O13" s="1775"/>
      <c r="P13" s="1775"/>
      <c r="Q13" s="1775"/>
      <c r="R13" s="1775"/>
      <c r="S13" s="1775"/>
      <c r="T13" s="1775"/>
      <c r="U13" s="1775"/>
      <c r="V13" s="1775"/>
      <c r="W13" s="1775"/>
      <c r="X13" s="1775"/>
      <c r="Y13" s="1775"/>
      <c r="Z13" s="1775"/>
      <c r="AA13" s="1775"/>
    </row>
    <row r="14" spans="1:27" ht="13.5" thickBot="1" x14ac:dyDescent="0.35">
      <c r="A14" s="1775"/>
      <c r="B14" s="1875"/>
      <c r="C14" s="1888" t="str">
        <f>interest!O13</f>
        <v>total</v>
      </c>
      <c r="D14" s="1889">
        <f>interest!P13</f>
        <v>0</v>
      </c>
      <c r="E14" s="1889">
        <f>interest!Q13</f>
        <v>0</v>
      </c>
      <c r="F14" s="1889">
        <f>interest!R13</f>
        <v>0</v>
      </c>
      <c r="G14" s="1889">
        <f>interest!S13</f>
        <v>0</v>
      </c>
      <c r="H14" s="1889">
        <f>interest!T13</f>
        <v>0</v>
      </c>
      <c r="I14" s="1890">
        <f>SUM(D14:H14)</f>
        <v>0</v>
      </c>
      <c r="J14" s="1877"/>
      <c r="K14" s="1775"/>
      <c r="L14" s="1775"/>
      <c r="M14" s="1775"/>
      <c r="N14" s="1775"/>
      <c r="O14" s="1775"/>
      <c r="P14" s="1775"/>
      <c r="Q14" s="1775"/>
      <c r="R14" s="1775"/>
      <c r="S14" s="1775"/>
      <c r="T14" s="1775"/>
      <c r="U14" s="1775"/>
      <c r="V14" s="1775"/>
      <c r="W14" s="1775"/>
      <c r="X14" s="1775"/>
      <c r="Y14" s="1775"/>
      <c r="Z14" s="1775"/>
      <c r="AA14" s="1775"/>
    </row>
    <row r="15" spans="1:27" ht="13" thickTop="1" x14ac:dyDescent="0.25">
      <c r="A15" s="1775"/>
      <c r="B15" s="1891"/>
      <c r="C15" s="1892"/>
      <c r="D15" s="1892"/>
      <c r="E15" s="1892"/>
      <c r="F15" s="1892"/>
      <c r="G15" s="1892"/>
      <c r="H15" s="1892"/>
      <c r="I15" s="1892"/>
      <c r="J15" s="1893"/>
      <c r="K15" s="1775"/>
      <c r="L15" s="1775"/>
      <c r="M15" s="1775"/>
      <c r="N15" s="1775"/>
      <c r="O15" s="1775"/>
      <c r="P15" s="1775"/>
      <c r="Q15" s="1775"/>
      <c r="R15" s="1775"/>
      <c r="S15" s="1775"/>
      <c r="T15" s="1775"/>
      <c r="U15" s="1775"/>
      <c r="V15" s="1775"/>
      <c r="W15" s="1775"/>
      <c r="X15" s="1775"/>
      <c r="Y15" s="1775"/>
      <c r="Z15" s="1775"/>
      <c r="AA15" s="1775"/>
    </row>
    <row r="16" spans="1:27" x14ac:dyDescent="0.25">
      <c r="A16" s="1775"/>
      <c r="B16" s="1775"/>
      <c r="C16" s="1775"/>
      <c r="D16" s="1775"/>
      <c r="E16" s="1775"/>
      <c r="F16" s="1775"/>
      <c r="G16" s="1775"/>
      <c r="H16" s="1775"/>
      <c r="I16" s="1775"/>
      <c r="J16" s="1775"/>
      <c r="K16" s="1775"/>
      <c r="L16" s="1775"/>
      <c r="M16" s="1775"/>
      <c r="N16" s="1775"/>
      <c r="O16" s="1775"/>
      <c r="P16" s="1775"/>
      <c r="Q16" s="1775"/>
      <c r="R16" s="1775"/>
      <c r="S16" s="1775"/>
      <c r="T16" s="1775"/>
      <c r="U16" s="1775"/>
      <c r="V16" s="1775"/>
      <c r="W16" s="1775"/>
      <c r="X16" s="1775"/>
      <c r="Y16" s="1775"/>
      <c r="Z16" s="1775"/>
      <c r="AA16" s="1775"/>
    </row>
    <row r="17" spans="1:27" x14ac:dyDescent="0.25">
      <c r="A17" s="1775"/>
      <c r="B17" s="1775"/>
      <c r="C17" s="1775"/>
      <c r="D17" s="1775"/>
      <c r="E17" s="1775"/>
      <c r="F17" s="1775"/>
      <c r="G17" s="1775"/>
      <c r="H17" s="1775"/>
      <c r="I17" s="1775"/>
      <c r="J17" s="1775"/>
      <c r="K17" s="1775"/>
      <c r="L17" s="1775"/>
      <c r="M17" s="1775"/>
      <c r="N17" s="1775"/>
      <c r="O17" s="1775"/>
      <c r="P17" s="1775"/>
      <c r="Q17" s="1775"/>
      <c r="R17" s="1775"/>
      <c r="S17" s="1775"/>
      <c r="T17" s="1775"/>
      <c r="U17" s="1775"/>
      <c r="V17" s="1775"/>
      <c r="W17" s="1775"/>
      <c r="X17" s="1775"/>
      <c r="Y17" s="1775"/>
      <c r="Z17" s="1775"/>
      <c r="AA17" s="1775"/>
    </row>
    <row r="18" spans="1:27" x14ac:dyDescent="0.25">
      <c r="A18" s="1775"/>
      <c r="B18" s="1775"/>
      <c r="C18" s="1775"/>
      <c r="D18" s="1775"/>
      <c r="E18" s="1775"/>
      <c r="F18" s="1775"/>
      <c r="G18" s="1775"/>
      <c r="H18" s="1775"/>
      <c r="I18" s="1775"/>
      <c r="J18" s="1775"/>
      <c r="K18" s="1775"/>
      <c r="L18" s="1775"/>
      <c r="M18" s="1775"/>
      <c r="N18" s="1775"/>
      <c r="O18" s="1775"/>
      <c r="P18" s="1775"/>
      <c r="Q18" s="1775"/>
      <c r="R18" s="1775"/>
      <c r="S18" s="1775"/>
      <c r="T18" s="1775"/>
      <c r="U18" s="1775"/>
      <c r="V18" s="1775"/>
      <c r="W18" s="1775"/>
      <c r="X18" s="1775"/>
      <c r="Y18" s="1775"/>
      <c r="Z18" s="1775"/>
      <c r="AA18" s="1775"/>
    </row>
    <row r="19" spans="1:27" x14ac:dyDescent="0.25">
      <c r="A19" s="1775"/>
      <c r="B19" s="1775"/>
      <c r="C19" s="1775"/>
      <c r="D19" s="1775"/>
      <c r="E19" s="1775"/>
      <c r="F19" s="1775"/>
      <c r="G19" s="1775"/>
      <c r="H19" s="1775"/>
      <c r="I19" s="1775"/>
      <c r="J19" s="1775"/>
      <c r="K19" s="1775"/>
      <c r="L19" s="1775"/>
      <c r="M19" s="1775"/>
      <c r="N19" s="1775"/>
      <c r="O19" s="1775"/>
      <c r="P19" s="1775"/>
      <c r="Q19" s="1775"/>
      <c r="R19" s="1775"/>
      <c r="S19" s="1775"/>
      <c r="T19" s="1775"/>
      <c r="U19" s="1775"/>
      <c r="V19" s="1775"/>
      <c r="W19" s="1775"/>
      <c r="X19" s="1775"/>
      <c r="Y19" s="1775"/>
      <c r="Z19" s="1775"/>
      <c r="AA19" s="1775"/>
    </row>
    <row r="20" spans="1:27" x14ac:dyDescent="0.25">
      <c r="A20" s="1775"/>
      <c r="B20" s="1775"/>
      <c r="C20" s="1775"/>
      <c r="D20" s="1775"/>
      <c r="E20" s="1775"/>
      <c r="F20" s="1775"/>
      <c r="G20" s="1775"/>
      <c r="H20" s="1775"/>
      <c r="I20" s="1775"/>
      <c r="J20" s="1775"/>
      <c r="K20" s="1775"/>
      <c r="L20" s="1775"/>
      <c r="M20" s="1775"/>
      <c r="N20" s="1775"/>
      <c r="O20" s="1775"/>
      <c r="P20" s="1775"/>
      <c r="Q20" s="1775"/>
      <c r="R20" s="1775"/>
      <c r="S20" s="1775"/>
      <c r="T20" s="1775"/>
      <c r="U20" s="1775"/>
      <c r="V20" s="1775"/>
      <c r="W20" s="1775"/>
      <c r="X20" s="1775"/>
      <c r="Y20" s="1775"/>
      <c r="Z20" s="1775"/>
      <c r="AA20" s="1775"/>
    </row>
    <row r="21" spans="1:27" x14ac:dyDescent="0.25">
      <c r="A21" s="1775"/>
      <c r="B21" s="1775"/>
      <c r="C21" s="1775"/>
      <c r="D21" s="1775"/>
      <c r="E21" s="1775"/>
      <c r="F21" s="1775"/>
      <c r="G21" s="1775"/>
      <c r="H21" s="1775"/>
      <c r="I21" s="1775"/>
      <c r="J21" s="1775"/>
      <c r="K21" s="1775"/>
      <c r="L21" s="1775"/>
      <c r="M21" s="1775"/>
      <c r="N21" s="1775"/>
      <c r="O21" s="1775"/>
      <c r="P21" s="1775"/>
      <c r="Q21" s="1775"/>
      <c r="R21" s="1775"/>
      <c r="S21" s="1775"/>
      <c r="T21" s="1775"/>
      <c r="U21" s="1775"/>
      <c r="V21" s="1775"/>
      <c r="W21" s="1775"/>
      <c r="X21" s="1775"/>
      <c r="Y21" s="1775"/>
      <c r="Z21" s="1775"/>
      <c r="AA21" s="1775"/>
    </row>
    <row r="22" spans="1:27" x14ac:dyDescent="0.25">
      <c r="A22" s="1775"/>
      <c r="B22" s="1775"/>
      <c r="C22" s="1775"/>
      <c r="D22" s="1775"/>
      <c r="E22" s="1775"/>
      <c r="F22" s="1775"/>
      <c r="G22" s="1775"/>
      <c r="H22" s="1775"/>
      <c r="I22" s="1775"/>
      <c r="J22" s="1775"/>
      <c r="K22" s="1775"/>
      <c r="L22" s="1775"/>
      <c r="M22" s="1775"/>
      <c r="N22" s="1775"/>
      <c r="O22" s="1775"/>
      <c r="P22" s="1775"/>
      <c r="Q22" s="1775"/>
      <c r="R22" s="1775"/>
      <c r="S22" s="1775"/>
      <c r="T22" s="1775"/>
      <c r="U22" s="1775"/>
      <c r="V22" s="1775"/>
      <c r="W22" s="1775"/>
      <c r="X22" s="1775"/>
      <c r="Y22" s="1775"/>
      <c r="Z22" s="1775"/>
      <c r="AA22" s="1775"/>
    </row>
    <row r="23" spans="1:27" x14ac:dyDescent="0.25">
      <c r="A23" s="1775"/>
      <c r="B23" s="1775"/>
      <c r="C23" s="1775"/>
      <c r="D23" s="1775"/>
      <c r="E23" s="1775"/>
      <c r="F23" s="1775"/>
      <c r="G23" s="1775"/>
      <c r="H23" s="1775"/>
      <c r="I23" s="1775"/>
      <c r="J23" s="1775"/>
      <c r="K23" s="1775"/>
      <c r="L23" s="1775"/>
      <c r="M23" s="1775"/>
      <c r="N23" s="1775"/>
      <c r="O23" s="1775"/>
      <c r="P23" s="1775"/>
      <c r="Q23" s="1775"/>
      <c r="R23" s="1775"/>
      <c r="S23" s="1775"/>
      <c r="T23" s="1775"/>
      <c r="U23" s="1775"/>
      <c r="V23" s="1775"/>
      <c r="W23" s="1775"/>
      <c r="X23" s="1775"/>
      <c r="Y23" s="1775"/>
      <c r="Z23" s="1775"/>
      <c r="AA23" s="1775"/>
    </row>
    <row r="24" spans="1:27" x14ac:dyDescent="0.25">
      <c r="A24" s="1775"/>
      <c r="B24" s="1775"/>
      <c r="C24" s="1775"/>
      <c r="D24" s="1775"/>
      <c r="E24" s="1775"/>
      <c r="F24" s="1775"/>
      <c r="G24" s="1775"/>
      <c r="H24" s="1775"/>
      <c r="I24" s="1775"/>
      <c r="J24" s="1775"/>
      <c r="K24" s="1775"/>
      <c r="L24" s="1775"/>
      <c r="M24" s="1775"/>
      <c r="N24" s="1775"/>
      <c r="O24" s="1775"/>
      <c r="P24" s="1775"/>
      <c r="Q24" s="1775"/>
      <c r="R24" s="1775"/>
      <c r="S24" s="1775"/>
      <c r="T24" s="1775"/>
      <c r="U24" s="1775"/>
      <c r="V24" s="1775"/>
      <c r="W24" s="1775"/>
      <c r="X24" s="1775"/>
      <c r="Y24" s="1775"/>
      <c r="Z24" s="1775"/>
      <c r="AA24" s="1775"/>
    </row>
    <row r="25" spans="1:27" x14ac:dyDescent="0.25">
      <c r="A25" s="1775"/>
      <c r="B25" s="1775"/>
      <c r="C25" s="1775"/>
      <c r="D25" s="1775"/>
      <c r="E25" s="1775"/>
      <c r="F25" s="1775"/>
      <c r="G25" s="1775"/>
      <c r="H25" s="1775"/>
      <c r="I25" s="1775"/>
      <c r="J25" s="1775"/>
      <c r="K25" s="1775"/>
      <c r="L25" s="1775"/>
      <c r="M25" s="1775"/>
      <c r="N25" s="1775"/>
      <c r="O25" s="1775"/>
      <c r="P25" s="1775"/>
      <c r="Q25" s="1775"/>
      <c r="R25" s="1775"/>
      <c r="S25" s="1775"/>
      <c r="T25" s="1775"/>
      <c r="U25" s="1775"/>
      <c r="V25" s="1775"/>
      <c r="W25" s="1775"/>
      <c r="X25" s="1775"/>
      <c r="Y25" s="1775"/>
      <c r="Z25" s="1775"/>
      <c r="AA25" s="1775"/>
    </row>
    <row r="26" spans="1:27" x14ac:dyDescent="0.25">
      <c r="A26" s="1775"/>
      <c r="B26" s="1775"/>
      <c r="C26" s="1775"/>
      <c r="D26" s="1775"/>
      <c r="E26" s="1775"/>
      <c r="F26" s="1775"/>
      <c r="G26" s="1775"/>
      <c r="H26" s="1775"/>
      <c r="I26" s="1775"/>
      <c r="J26" s="1775"/>
      <c r="K26" s="1775"/>
      <c r="L26" s="1775"/>
      <c r="M26" s="1775"/>
      <c r="N26" s="1775"/>
      <c r="O26" s="1775"/>
      <c r="P26" s="1775"/>
      <c r="Q26" s="1775"/>
      <c r="R26" s="1775"/>
      <c r="S26" s="1775"/>
      <c r="T26" s="1775"/>
      <c r="U26" s="1775"/>
      <c r="V26" s="1775"/>
      <c r="W26" s="1775"/>
      <c r="X26" s="1775"/>
      <c r="Y26" s="1775"/>
      <c r="Z26" s="1775"/>
      <c r="AA26" s="1775"/>
    </row>
    <row r="27" spans="1:27" x14ac:dyDescent="0.25">
      <c r="A27" s="1775"/>
      <c r="B27" s="1775"/>
      <c r="C27" s="1775"/>
      <c r="D27" s="1775"/>
      <c r="E27" s="1775"/>
      <c r="F27" s="1775"/>
      <c r="G27" s="1775"/>
      <c r="H27" s="1775"/>
      <c r="I27" s="1775"/>
      <c r="J27" s="1775"/>
      <c r="K27" s="1775"/>
      <c r="L27" s="1775"/>
      <c r="M27" s="1775"/>
      <c r="N27" s="1775"/>
      <c r="O27" s="1775"/>
      <c r="P27" s="1775"/>
      <c r="Q27" s="1775"/>
      <c r="R27" s="1775"/>
      <c r="S27" s="1775"/>
      <c r="T27" s="1775"/>
      <c r="U27" s="1775"/>
      <c r="V27" s="1775"/>
      <c r="W27" s="1775"/>
      <c r="X27" s="1775"/>
      <c r="Y27" s="1775"/>
      <c r="Z27" s="1775"/>
      <c r="AA27" s="1775"/>
    </row>
    <row r="28" spans="1:27" x14ac:dyDescent="0.25">
      <c r="A28" s="1775"/>
      <c r="B28" s="1775"/>
      <c r="C28" s="1775"/>
      <c r="D28" s="1775"/>
      <c r="E28" s="1775"/>
      <c r="F28" s="1775"/>
      <c r="G28" s="1775"/>
      <c r="H28" s="1775"/>
      <c r="I28" s="1775"/>
      <c r="J28" s="1775"/>
      <c r="K28" s="1775"/>
      <c r="L28" s="1775"/>
      <c r="M28" s="1775"/>
      <c r="N28" s="1775"/>
      <c r="O28" s="1775"/>
      <c r="P28" s="1775"/>
      <c r="Q28" s="1775"/>
      <c r="R28" s="1775"/>
      <c r="S28" s="1775"/>
      <c r="T28" s="1775"/>
      <c r="U28" s="1775"/>
      <c r="V28" s="1775"/>
      <c r="W28" s="1775"/>
      <c r="X28" s="1775"/>
      <c r="Y28" s="1775"/>
      <c r="Z28" s="1775"/>
      <c r="AA28" s="1775"/>
    </row>
    <row r="29" spans="1:27" x14ac:dyDescent="0.25">
      <c r="A29" s="1775"/>
      <c r="B29" s="1775"/>
      <c r="C29" s="1775"/>
      <c r="D29" s="1775"/>
      <c r="E29" s="1775"/>
      <c r="F29" s="1775"/>
      <c r="G29" s="1775"/>
      <c r="H29" s="1775"/>
      <c r="I29" s="1775"/>
      <c r="J29" s="1775"/>
      <c r="K29" s="1775"/>
      <c r="L29" s="1775"/>
      <c r="M29" s="1775"/>
      <c r="N29" s="1775"/>
      <c r="O29" s="1775"/>
      <c r="P29" s="1775"/>
      <c r="Q29" s="1775"/>
      <c r="R29" s="1775"/>
      <c r="S29" s="1775"/>
      <c r="T29" s="1775"/>
      <c r="U29" s="1775"/>
      <c r="V29" s="1775"/>
      <c r="W29" s="1775"/>
      <c r="X29" s="1775"/>
      <c r="Y29" s="1775"/>
      <c r="Z29" s="1775"/>
      <c r="AA29" s="1775"/>
    </row>
    <row r="30" spans="1:27" x14ac:dyDescent="0.25">
      <c r="A30" s="1775"/>
      <c r="B30" s="1775"/>
      <c r="C30" s="1775"/>
      <c r="D30" s="1775"/>
      <c r="E30" s="1775"/>
      <c r="F30" s="1775"/>
      <c r="G30" s="1775"/>
      <c r="H30" s="1775"/>
      <c r="I30" s="1775"/>
      <c r="J30" s="1775"/>
      <c r="K30" s="1775"/>
      <c r="L30" s="1775"/>
      <c r="M30" s="1775"/>
      <c r="N30" s="1775"/>
      <c r="O30" s="1775"/>
      <c r="P30" s="1775"/>
      <c r="Q30" s="1775"/>
      <c r="R30" s="1775"/>
      <c r="S30" s="1775"/>
      <c r="T30" s="1775"/>
      <c r="U30" s="1775"/>
      <c r="V30" s="1775"/>
      <c r="W30" s="1775"/>
      <c r="X30" s="1775"/>
      <c r="Y30" s="1775"/>
      <c r="Z30" s="1775"/>
      <c r="AA30" s="1775"/>
    </row>
    <row r="31" spans="1:27" x14ac:dyDescent="0.25">
      <c r="A31" s="1775"/>
      <c r="B31" s="1775"/>
      <c r="C31" s="1775"/>
      <c r="D31" s="1775"/>
      <c r="E31" s="1775"/>
      <c r="F31" s="1775"/>
      <c r="G31" s="1775"/>
      <c r="H31" s="1775"/>
      <c r="I31" s="1775"/>
      <c r="J31" s="1775"/>
      <c r="K31" s="1775"/>
      <c r="L31" s="1775"/>
      <c r="M31" s="1775"/>
      <c r="N31" s="1775"/>
      <c r="O31" s="1775"/>
      <c r="P31" s="1775"/>
      <c r="Q31" s="1775"/>
      <c r="R31" s="1775"/>
      <c r="S31" s="1775"/>
      <c r="T31" s="1775"/>
      <c r="U31" s="1775"/>
      <c r="V31" s="1775"/>
      <c r="W31" s="1775"/>
      <c r="X31" s="1775"/>
      <c r="Y31" s="1775"/>
      <c r="Z31" s="1775"/>
      <c r="AA31" s="1775"/>
    </row>
    <row r="32" spans="1:27" x14ac:dyDescent="0.25">
      <c r="A32" s="1775"/>
      <c r="B32" s="1775"/>
      <c r="C32" s="1775"/>
      <c r="D32" s="1775"/>
      <c r="E32" s="1775"/>
      <c r="F32" s="1775"/>
      <c r="G32" s="1775"/>
      <c r="H32" s="1775"/>
      <c r="I32" s="1775"/>
      <c r="J32" s="1775"/>
      <c r="K32" s="1775"/>
      <c r="L32" s="1775"/>
      <c r="M32" s="1775"/>
      <c r="N32" s="1775"/>
      <c r="O32" s="1775"/>
      <c r="P32" s="1775"/>
      <c r="Q32" s="1775"/>
      <c r="R32" s="1775"/>
      <c r="S32" s="1775"/>
      <c r="T32" s="1775"/>
      <c r="U32" s="1775"/>
      <c r="V32" s="1775"/>
      <c r="W32" s="1775"/>
      <c r="X32" s="1775"/>
      <c r="Y32" s="1775"/>
      <c r="Z32" s="1775"/>
      <c r="AA32" s="1775"/>
    </row>
    <row r="33" spans="1:27" x14ac:dyDescent="0.25">
      <c r="A33" s="1775"/>
      <c r="B33" s="1775"/>
      <c r="C33" s="1775"/>
      <c r="D33" s="1775"/>
      <c r="E33" s="1775"/>
      <c r="F33" s="1775"/>
      <c r="G33" s="1775"/>
      <c r="H33" s="1775"/>
      <c r="I33" s="1775"/>
      <c r="J33" s="1775"/>
      <c r="K33" s="1775"/>
      <c r="L33" s="1775"/>
      <c r="M33" s="1775"/>
      <c r="N33" s="1775"/>
      <c r="O33" s="1775"/>
      <c r="P33" s="1775"/>
      <c r="Q33" s="1775"/>
      <c r="R33" s="1775"/>
      <c r="S33" s="1775"/>
      <c r="T33" s="1775"/>
      <c r="U33" s="1775"/>
      <c r="V33" s="1775"/>
      <c r="W33" s="1775"/>
      <c r="X33" s="1775"/>
      <c r="Y33" s="1775"/>
      <c r="Z33" s="1775"/>
      <c r="AA33" s="1775"/>
    </row>
    <row r="34" spans="1:27" x14ac:dyDescent="0.25">
      <c r="A34" s="1775"/>
      <c r="B34" s="1775"/>
      <c r="C34" s="1775"/>
      <c r="D34" s="1775"/>
      <c r="E34" s="1775"/>
      <c r="F34" s="1775"/>
      <c r="G34" s="1775"/>
      <c r="H34" s="1775"/>
      <c r="I34" s="1775"/>
      <c r="J34" s="1775"/>
      <c r="K34" s="1775"/>
      <c r="L34" s="1775"/>
      <c r="M34" s="1775"/>
      <c r="N34" s="1775"/>
      <c r="O34" s="1775"/>
      <c r="P34" s="1775"/>
      <c r="Q34" s="1775"/>
      <c r="R34" s="1775"/>
      <c r="S34" s="1775"/>
      <c r="T34" s="1775"/>
      <c r="U34" s="1775"/>
      <c r="V34" s="1775"/>
      <c r="W34" s="1775"/>
      <c r="X34" s="1775"/>
      <c r="Y34" s="1775"/>
      <c r="Z34" s="1775"/>
      <c r="AA34" s="1775"/>
    </row>
    <row r="35" spans="1:27" x14ac:dyDescent="0.25">
      <c r="A35" s="1775"/>
      <c r="B35" s="1775"/>
      <c r="C35" s="1775"/>
      <c r="D35" s="1775"/>
      <c r="E35" s="1775"/>
      <c r="F35" s="1775"/>
      <c r="G35" s="1775"/>
      <c r="H35" s="1775"/>
      <c r="I35" s="1775"/>
      <c r="J35" s="1775"/>
      <c r="K35" s="1775"/>
      <c r="L35" s="1775"/>
      <c r="M35" s="1775"/>
      <c r="N35" s="1775"/>
      <c r="O35" s="1775"/>
      <c r="P35" s="1775"/>
      <c r="Q35" s="1775"/>
      <c r="R35" s="1775"/>
      <c r="S35" s="1775"/>
      <c r="T35" s="1775"/>
      <c r="U35" s="1775"/>
      <c r="V35" s="1775"/>
      <c r="W35" s="1775"/>
      <c r="X35" s="1775"/>
      <c r="Y35" s="1775"/>
      <c r="Z35" s="1775"/>
      <c r="AA35" s="1775"/>
    </row>
    <row r="36" spans="1:27" x14ac:dyDescent="0.25">
      <c r="A36" s="1775"/>
      <c r="B36" s="1775"/>
      <c r="C36" s="1775"/>
      <c r="D36" s="1775"/>
      <c r="E36" s="1775"/>
      <c r="F36" s="1775"/>
      <c r="G36" s="1775"/>
      <c r="H36" s="1775"/>
      <c r="I36" s="1775"/>
      <c r="J36" s="1775"/>
      <c r="K36" s="1775"/>
      <c r="L36" s="1775"/>
      <c r="M36" s="1775"/>
      <c r="N36" s="1775"/>
      <c r="O36" s="1775"/>
      <c r="P36" s="1775"/>
      <c r="Q36" s="1775"/>
      <c r="R36" s="1775"/>
      <c r="S36" s="1775"/>
      <c r="T36" s="1775"/>
      <c r="U36" s="1775"/>
      <c r="V36" s="1775"/>
      <c r="W36" s="1775"/>
      <c r="X36" s="1775"/>
      <c r="Y36" s="1775"/>
      <c r="Z36" s="1775"/>
      <c r="AA36" s="1775"/>
    </row>
    <row r="37" spans="1:27" x14ac:dyDescent="0.25">
      <c r="A37" s="1775"/>
      <c r="B37" s="1775"/>
      <c r="C37" s="1775"/>
      <c r="D37" s="1775"/>
      <c r="E37" s="1775"/>
      <c r="F37" s="1775"/>
      <c r="G37" s="1775"/>
      <c r="H37" s="1775"/>
      <c r="I37" s="1775"/>
      <c r="J37" s="1775"/>
      <c r="K37" s="1775"/>
      <c r="L37" s="1775"/>
      <c r="M37" s="1775"/>
      <c r="N37" s="1775"/>
      <c r="O37" s="1775"/>
      <c r="P37" s="1775"/>
      <c r="Q37" s="1775"/>
      <c r="R37" s="1775"/>
      <c r="S37" s="1775"/>
      <c r="T37" s="1775"/>
      <c r="U37" s="1775"/>
      <c r="V37" s="1775"/>
      <c r="W37" s="1775"/>
      <c r="X37" s="1775"/>
      <c r="Y37" s="1775"/>
      <c r="Z37" s="1775"/>
      <c r="AA37" s="1775"/>
    </row>
    <row r="38" spans="1:27" x14ac:dyDescent="0.25">
      <c r="A38" s="1775"/>
      <c r="B38" s="1775"/>
      <c r="C38" s="1775"/>
      <c r="D38" s="1775"/>
      <c r="E38" s="1775"/>
      <c r="F38" s="1775"/>
      <c r="G38" s="1775"/>
      <c r="H38" s="1775"/>
      <c r="I38" s="1775"/>
      <c r="J38" s="1775"/>
      <c r="K38" s="1775"/>
      <c r="L38" s="1775"/>
      <c r="M38" s="1775"/>
      <c r="N38" s="1775"/>
      <c r="O38" s="1775"/>
      <c r="P38" s="1775"/>
      <c r="Q38" s="1775"/>
      <c r="R38" s="1775"/>
      <c r="S38" s="1775"/>
      <c r="T38" s="1775"/>
      <c r="U38" s="1775"/>
      <c r="V38" s="1775"/>
      <c r="W38" s="1775"/>
      <c r="X38" s="1775"/>
      <c r="Y38" s="1775"/>
      <c r="Z38" s="1775"/>
      <c r="AA38" s="1775"/>
    </row>
    <row r="39" spans="1:27" x14ac:dyDescent="0.25">
      <c r="A39" s="1775"/>
      <c r="B39" s="1775"/>
      <c r="C39" s="1775"/>
      <c r="D39" s="1775"/>
      <c r="E39" s="1775"/>
      <c r="F39" s="1775"/>
      <c r="G39" s="1775"/>
      <c r="H39" s="1775"/>
      <c r="I39" s="1775"/>
      <c r="J39" s="1775"/>
      <c r="K39" s="1775"/>
      <c r="L39" s="1775"/>
      <c r="M39" s="1775"/>
      <c r="N39" s="1775"/>
      <c r="O39" s="1775"/>
      <c r="P39" s="1775"/>
      <c r="Q39" s="1775"/>
      <c r="R39" s="1775"/>
      <c r="S39" s="1775"/>
      <c r="T39" s="1775"/>
      <c r="U39" s="1775"/>
      <c r="V39" s="1775"/>
      <c r="W39" s="1775"/>
      <c r="X39" s="1775"/>
      <c r="Y39" s="1775"/>
      <c r="Z39" s="1775"/>
      <c r="AA39" s="1775"/>
    </row>
    <row r="40" spans="1:27" x14ac:dyDescent="0.25">
      <c r="A40" s="1775"/>
      <c r="B40" s="1775"/>
      <c r="C40" s="1775"/>
      <c r="D40" s="1775"/>
      <c r="E40" s="1775"/>
      <c r="F40" s="1775"/>
      <c r="G40" s="1775"/>
      <c r="H40" s="1775"/>
      <c r="I40" s="1775"/>
      <c r="J40" s="1775"/>
      <c r="K40" s="1775"/>
      <c r="L40" s="1775"/>
      <c r="M40" s="1775"/>
      <c r="N40" s="1775"/>
      <c r="O40" s="1775"/>
      <c r="P40" s="1775"/>
      <c r="Q40" s="1775"/>
      <c r="R40" s="1775"/>
      <c r="S40" s="1775"/>
      <c r="T40" s="1775"/>
      <c r="U40" s="1775"/>
      <c r="V40" s="1775"/>
      <c r="W40" s="1775"/>
      <c r="X40" s="1775"/>
      <c r="Y40" s="1775"/>
      <c r="Z40" s="1775"/>
      <c r="AA40" s="1775"/>
    </row>
    <row r="41" spans="1:27" x14ac:dyDescent="0.25">
      <c r="A41" s="1775"/>
      <c r="B41" s="1775"/>
      <c r="C41" s="1775"/>
      <c r="D41" s="1775"/>
      <c r="E41" s="1775"/>
      <c r="F41" s="1775"/>
      <c r="G41" s="1775"/>
      <c r="H41" s="1775"/>
      <c r="I41" s="1775"/>
      <c r="J41" s="1775"/>
      <c r="K41" s="1775"/>
      <c r="L41" s="1775"/>
      <c r="M41" s="1775"/>
      <c r="N41" s="1775"/>
      <c r="O41" s="1775"/>
      <c r="P41" s="1775"/>
      <c r="Q41" s="1775"/>
      <c r="R41" s="1775"/>
      <c r="S41" s="1775"/>
      <c r="T41" s="1775"/>
      <c r="U41" s="1775"/>
      <c r="V41" s="1775"/>
      <c r="W41" s="1775"/>
      <c r="X41" s="1775"/>
      <c r="Y41" s="1775"/>
      <c r="Z41" s="1775"/>
      <c r="AA41" s="1775"/>
    </row>
    <row r="42" spans="1:27" x14ac:dyDescent="0.25">
      <c r="A42" s="1775"/>
      <c r="B42" s="1775"/>
      <c r="C42" s="1775"/>
      <c r="D42" s="1775"/>
      <c r="E42" s="1775"/>
      <c r="F42" s="1775"/>
      <c r="G42" s="1775"/>
      <c r="H42" s="1775"/>
      <c r="I42" s="1775"/>
      <c r="J42" s="1775"/>
      <c r="K42" s="1775"/>
      <c r="L42" s="1775"/>
      <c r="M42" s="1775"/>
      <c r="N42" s="1775"/>
      <c r="O42" s="1775"/>
      <c r="P42" s="1775"/>
      <c r="Q42" s="1775"/>
      <c r="R42" s="1775"/>
      <c r="S42" s="1775"/>
      <c r="T42" s="1775"/>
      <c r="U42" s="1775"/>
      <c r="V42" s="1775"/>
      <c r="W42" s="1775"/>
      <c r="X42" s="1775"/>
      <c r="Y42" s="1775"/>
      <c r="Z42" s="1775"/>
      <c r="AA42" s="1775"/>
    </row>
    <row r="43" spans="1:27" x14ac:dyDescent="0.25">
      <c r="A43" s="1775"/>
      <c r="B43" s="1775"/>
      <c r="C43" s="1775"/>
      <c r="D43" s="1775"/>
      <c r="E43" s="1775"/>
      <c r="F43" s="1775"/>
      <c r="G43" s="1775"/>
      <c r="H43" s="1775"/>
      <c r="I43" s="1775"/>
      <c r="J43" s="1775"/>
      <c r="K43" s="1775"/>
      <c r="L43" s="1775"/>
      <c r="M43" s="1775"/>
      <c r="N43" s="1775"/>
      <c r="O43" s="1775"/>
      <c r="P43" s="1775"/>
      <c r="Q43" s="1775"/>
      <c r="R43" s="1775"/>
      <c r="S43" s="1775"/>
      <c r="T43" s="1775"/>
      <c r="U43" s="1775"/>
      <c r="V43" s="1775"/>
      <c r="W43" s="1775"/>
      <c r="X43" s="1775"/>
      <c r="Y43" s="1775"/>
      <c r="Z43" s="1775"/>
      <c r="AA43" s="1775"/>
    </row>
    <row r="44" spans="1:27" x14ac:dyDescent="0.25">
      <c r="A44" s="1775"/>
      <c r="B44" s="1775"/>
      <c r="C44" s="1775"/>
      <c r="D44" s="1775"/>
      <c r="E44" s="1775"/>
      <c r="F44" s="1775"/>
      <c r="G44" s="1775"/>
      <c r="H44" s="1775"/>
      <c r="I44" s="1775"/>
      <c r="J44" s="1775"/>
      <c r="K44" s="1775"/>
      <c r="L44" s="1775"/>
      <c r="M44" s="1775"/>
      <c r="N44" s="1775"/>
      <c r="O44" s="1775"/>
      <c r="P44" s="1775"/>
      <c r="Q44" s="1775"/>
      <c r="R44" s="1775"/>
      <c r="S44" s="1775"/>
      <c r="T44" s="1775"/>
      <c r="U44" s="1775"/>
      <c r="V44" s="1775"/>
      <c r="W44" s="1775"/>
      <c r="X44" s="1775"/>
      <c r="Y44" s="1775"/>
      <c r="Z44" s="1775"/>
      <c r="AA44" s="1775"/>
    </row>
    <row r="45" spans="1:27" x14ac:dyDescent="0.25">
      <c r="A45" s="1775"/>
      <c r="B45" s="1775"/>
      <c r="C45" s="1775"/>
      <c r="D45" s="1775"/>
      <c r="E45" s="1775"/>
      <c r="F45" s="1775"/>
      <c r="G45" s="1775"/>
      <c r="H45" s="1775"/>
      <c r="I45" s="1775"/>
      <c r="J45" s="1775"/>
      <c r="K45" s="1775"/>
      <c r="L45" s="1775"/>
      <c r="M45" s="1775"/>
      <c r="N45" s="1775"/>
      <c r="O45" s="1775"/>
      <c r="P45" s="1775"/>
      <c r="Q45" s="1775"/>
      <c r="R45" s="1775"/>
      <c r="S45" s="1775"/>
      <c r="T45" s="1775"/>
      <c r="U45" s="1775"/>
      <c r="V45" s="1775"/>
      <c r="W45" s="1775"/>
      <c r="X45" s="1775"/>
      <c r="Y45" s="1775"/>
      <c r="Z45" s="1775"/>
      <c r="AA45" s="1775"/>
    </row>
    <row r="46" spans="1:27" x14ac:dyDescent="0.25">
      <c r="A46" s="1775"/>
      <c r="B46" s="1775"/>
      <c r="C46" s="1775"/>
      <c r="D46" s="1775"/>
      <c r="E46" s="1775"/>
      <c r="F46" s="1775"/>
      <c r="G46" s="1775"/>
      <c r="H46" s="1775"/>
      <c r="I46" s="1775"/>
      <c r="J46" s="1775"/>
      <c r="K46" s="1775"/>
      <c r="L46" s="1775"/>
      <c r="M46" s="1775"/>
      <c r="N46" s="1775"/>
      <c r="O46" s="1775"/>
      <c r="P46" s="1775"/>
      <c r="Q46" s="1775"/>
      <c r="R46" s="1775"/>
      <c r="S46" s="1775"/>
      <c r="T46" s="1775"/>
      <c r="U46" s="1775"/>
      <c r="V46" s="1775"/>
      <c r="W46" s="1775"/>
      <c r="X46" s="1775"/>
      <c r="Y46" s="1775"/>
      <c r="Z46" s="1775"/>
      <c r="AA46" s="1775"/>
    </row>
    <row r="47" spans="1:27" x14ac:dyDescent="0.25">
      <c r="A47" s="1775"/>
      <c r="B47" s="1775"/>
      <c r="C47" s="1775"/>
      <c r="D47" s="1775"/>
      <c r="E47" s="1775"/>
      <c r="F47" s="1775"/>
      <c r="G47" s="1775"/>
      <c r="H47" s="1775"/>
      <c r="I47" s="1775"/>
      <c r="J47" s="1775"/>
      <c r="K47" s="1775"/>
      <c r="L47" s="1775"/>
      <c r="M47" s="1775"/>
      <c r="N47" s="1775"/>
      <c r="O47" s="1775"/>
      <c r="P47" s="1775"/>
      <c r="Q47" s="1775"/>
      <c r="R47" s="1775"/>
      <c r="S47" s="1775"/>
      <c r="T47" s="1775"/>
      <c r="U47" s="1775"/>
      <c r="V47" s="1775"/>
      <c r="W47" s="1775"/>
      <c r="X47" s="1775"/>
      <c r="Y47" s="1775"/>
      <c r="Z47" s="1775"/>
      <c r="AA47" s="1775"/>
    </row>
    <row r="48" spans="1:27" x14ac:dyDescent="0.25">
      <c r="A48" s="1775"/>
      <c r="B48" s="1775"/>
      <c r="C48" s="1775"/>
      <c r="D48" s="1775"/>
      <c r="E48" s="1775"/>
      <c r="F48" s="1775"/>
      <c r="G48" s="1775"/>
      <c r="H48" s="1775"/>
      <c r="I48" s="1775"/>
      <c r="J48" s="1775"/>
      <c r="K48" s="1775"/>
      <c r="L48" s="1775"/>
      <c r="M48" s="1775"/>
      <c r="N48" s="1775"/>
      <c r="O48" s="1775"/>
      <c r="P48" s="1775"/>
      <c r="Q48" s="1775"/>
      <c r="R48" s="1775"/>
      <c r="S48" s="1775"/>
      <c r="T48" s="1775"/>
      <c r="U48" s="1775"/>
      <c r="V48" s="1775"/>
      <c r="W48" s="1775"/>
      <c r="X48" s="1775"/>
      <c r="Y48" s="1775"/>
      <c r="Z48" s="1775"/>
      <c r="AA48" s="1775"/>
    </row>
    <row r="49" spans="1:27" x14ac:dyDescent="0.25">
      <c r="A49" s="1775"/>
      <c r="B49" s="1775"/>
      <c r="C49" s="1775"/>
      <c r="D49" s="1775"/>
      <c r="E49" s="1775"/>
      <c r="F49" s="1775"/>
      <c r="G49" s="1775"/>
      <c r="H49" s="1775"/>
      <c r="I49" s="1775"/>
      <c r="J49" s="1775"/>
      <c r="K49" s="1775"/>
      <c r="L49" s="1775"/>
      <c r="M49" s="1775"/>
      <c r="N49" s="1775"/>
      <c r="O49" s="1775"/>
      <c r="P49" s="1775"/>
      <c r="Q49" s="1775"/>
      <c r="R49" s="1775"/>
      <c r="S49" s="1775"/>
      <c r="T49" s="1775"/>
      <c r="U49" s="1775"/>
      <c r="V49" s="1775"/>
      <c r="W49" s="1775"/>
      <c r="X49" s="1775"/>
      <c r="Y49" s="1775"/>
      <c r="Z49" s="1775"/>
      <c r="AA49" s="1775"/>
    </row>
    <row r="50" spans="1:27" x14ac:dyDescent="0.25">
      <c r="A50" s="1775"/>
      <c r="B50" s="1775"/>
      <c r="C50" s="1775"/>
      <c r="D50" s="1775"/>
      <c r="E50" s="1775"/>
      <c r="F50" s="1775"/>
      <c r="G50" s="1775"/>
      <c r="H50" s="1775"/>
      <c r="I50" s="1775"/>
      <c r="J50" s="1775"/>
      <c r="K50" s="1775"/>
      <c r="L50" s="1775"/>
      <c r="M50" s="1775"/>
      <c r="N50" s="1775"/>
      <c r="O50" s="1775"/>
      <c r="P50" s="1775"/>
      <c r="Q50" s="1775"/>
      <c r="R50" s="1775"/>
      <c r="S50" s="1775"/>
      <c r="T50" s="1775"/>
      <c r="U50" s="1775"/>
      <c r="V50" s="1775"/>
      <c r="W50" s="1775"/>
      <c r="X50" s="1775"/>
      <c r="Y50" s="1775"/>
      <c r="Z50" s="1775"/>
      <c r="AA50" s="1775"/>
    </row>
    <row r="51" spans="1:27" x14ac:dyDescent="0.25">
      <c r="A51" s="1775"/>
      <c r="B51" s="1775"/>
      <c r="C51" s="1775"/>
      <c r="D51" s="1775"/>
      <c r="E51" s="1775"/>
      <c r="F51" s="1775"/>
      <c r="G51" s="1775"/>
      <c r="H51" s="1775"/>
      <c r="I51" s="1775"/>
      <c r="J51" s="1775"/>
      <c r="K51" s="1775"/>
      <c r="L51" s="1775"/>
      <c r="M51" s="1775"/>
      <c r="N51" s="1775"/>
      <c r="O51" s="1775"/>
      <c r="P51" s="1775"/>
      <c r="Q51" s="1775"/>
      <c r="R51" s="1775"/>
      <c r="S51" s="1775"/>
      <c r="T51" s="1775"/>
      <c r="U51" s="1775"/>
      <c r="V51" s="1775"/>
      <c r="W51" s="1775"/>
      <c r="X51" s="1775"/>
      <c r="Y51" s="1775"/>
      <c r="Z51" s="1775"/>
      <c r="AA51" s="1775"/>
    </row>
    <row r="52" spans="1:27" x14ac:dyDescent="0.25">
      <c r="A52" s="1775"/>
      <c r="B52" s="1775"/>
      <c r="C52" s="1775"/>
      <c r="D52" s="1775"/>
      <c r="E52" s="1775"/>
      <c r="F52" s="1775"/>
      <c r="G52" s="1775"/>
      <c r="H52" s="1775"/>
      <c r="I52" s="1775"/>
      <c r="J52" s="1775"/>
      <c r="K52" s="1775"/>
      <c r="L52" s="1775"/>
      <c r="M52" s="1775"/>
      <c r="N52" s="1775"/>
      <c r="O52" s="1775"/>
      <c r="P52" s="1775"/>
      <c r="Q52" s="1775"/>
      <c r="R52" s="1775"/>
      <c r="S52" s="1775"/>
      <c r="T52" s="1775"/>
      <c r="U52" s="1775"/>
      <c r="V52" s="1775"/>
      <c r="W52" s="1775"/>
      <c r="X52" s="1775"/>
      <c r="Y52" s="1775"/>
      <c r="Z52" s="1775"/>
      <c r="AA52" s="1775"/>
    </row>
    <row r="53" spans="1:27" x14ac:dyDescent="0.25">
      <c r="A53" s="1775"/>
      <c r="B53" s="1775"/>
      <c r="C53" s="1775"/>
      <c r="D53" s="1775"/>
      <c r="E53" s="1775"/>
      <c r="F53" s="1775"/>
      <c r="G53" s="1775"/>
      <c r="H53" s="1775"/>
      <c r="I53" s="1775"/>
      <c r="J53" s="1775"/>
      <c r="K53" s="1775"/>
      <c r="L53" s="1775"/>
      <c r="M53" s="1775"/>
      <c r="N53" s="1775"/>
      <c r="O53" s="1775"/>
      <c r="P53" s="1775"/>
      <c r="Q53" s="1775"/>
      <c r="R53" s="1775"/>
      <c r="S53" s="1775"/>
      <c r="T53" s="1775"/>
      <c r="U53" s="1775"/>
      <c r="V53" s="1775"/>
      <c r="W53" s="1775"/>
      <c r="X53" s="1775"/>
      <c r="Y53" s="1775"/>
      <c r="Z53" s="1775"/>
      <c r="AA53" s="1775"/>
    </row>
    <row r="54" spans="1:27" x14ac:dyDescent="0.25">
      <c r="A54" s="1775"/>
      <c r="B54" s="1775"/>
      <c r="C54" s="1775"/>
      <c r="D54" s="1775"/>
      <c r="E54" s="1775"/>
      <c r="F54" s="1775"/>
      <c r="G54" s="1775"/>
      <c r="H54" s="1775"/>
      <c r="I54" s="1775"/>
      <c r="J54" s="1775"/>
      <c r="K54" s="1775"/>
      <c r="L54" s="1775"/>
      <c r="M54" s="1775"/>
      <c r="N54" s="1775"/>
      <c r="O54" s="1775"/>
      <c r="P54" s="1775"/>
      <c r="Q54" s="1775"/>
      <c r="R54" s="1775"/>
      <c r="S54" s="1775"/>
      <c r="T54" s="1775"/>
      <c r="U54" s="1775"/>
      <c r="V54" s="1775"/>
      <c r="W54" s="1775"/>
      <c r="X54" s="1775"/>
      <c r="Y54" s="1775"/>
      <c r="Z54" s="1775"/>
      <c r="AA54" s="1775"/>
    </row>
    <row r="55" spans="1:27" x14ac:dyDescent="0.25">
      <c r="A55" s="1775"/>
      <c r="B55" s="1775"/>
      <c r="C55" s="1775"/>
      <c r="D55" s="1775"/>
      <c r="E55" s="1775"/>
      <c r="F55" s="1775"/>
      <c r="G55" s="1775"/>
      <c r="H55" s="1775"/>
      <c r="I55" s="1775"/>
      <c r="J55" s="1775"/>
      <c r="K55" s="1775"/>
      <c r="L55" s="1775"/>
      <c r="M55" s="1775"/>
      <c r="N55" s="1775"/>
      <c r="O55" s="1775"/>
      <c r="P55" s="1775"/>
      <c r="Q55" s="1775"/>
      <c r="R55" s="1775"/>
      <c r="S55" s="1775"/>
      <c r="T55" s="1775"/>
      <c r="U55" s="1775"/>
      <c r="V55" s="1775"/>
      <c r="W55" s="1775"/>
      <c r="X55" s="1775"/>
      <c r="Y55" s="1775"/>
      <c r="Z55" s="1775"/>
      <c r="AA55" s="1775"/>
    </row>
    <row r="56" spans="1:27" x14ac:dyDescent="0.25">
      <c r="A56" s="1775"/>
      <c r="B56" s="1775"/>
      <c r="C56" s="1775"/>
      <c r="D56" s="1775"/>
      <c r="E56" s="1775"/>
      <c r="F56" s="1775"/>
      <c r="G56" s="1775"/>
      <c r="H56" s="1775"/>
      <c r="I56" s="1775"/>
      <c r="J56" s="1775"/>
      <c r="K56" s="1775"/>
      <c r="L56" s="1775"/>
      <c r="M56" s="1775"/>
      <c r="N56" s="1775"/>
      <c r="O56" s="1775"/>
      <c r="P56" s="1775"/>
      <c r="Q56" s="1775"/>
      <c r="R56" s="1775"/>
      <c r="S56" s="1775"/>
      <c r="T56" s="1775"/>
      <c r="U56" s="1775"/>
      <c r="V56" s="1775"/>
      <c r="W56" s="1775"/>
      <c r="X56" s="1775"/>
      <c r="Y56" s="1775"/>
      <c r="Z56" s="1775"/>
      <c r="AA56" s="1775"/>
    </row>
    <row r="57" spans="1:27" x14ac:dyDescent="0.25">
      <c r="A57" s="1775"/>
      <c r="B57" s="1775"/>
      <c r="C57" s="1775"/>
      <c r="D57" s="1775"/>
      <c r="E57" s="1775"/>
      <c r="F57" s="1775"/>
      <c r="G57" s="1775"/>
      <c r="H57" s="1775"/>
      <c r="I57" s="1775"/>
      <c r="J57" s="1775"/>
      <c r="K57" s="1775"/>
      <c r="L57" s="1775"/>
      <c r="M57" s="1775"/>
      <c r="N57" s="1775"/>
      <c r="O57" s="1775"/>
      <c r="P57" s="1775"/>
      <c r="Q57" s="1775"/>
      <c r="R57" s="1775"/>
      <c r="S57" s="1775"/>
      <c r="T57" s="1775"/>
      <c r="U57" s="1775"/>
      <c r="V57" s="1775"/>
      <c r="W57" s="1775"/>
      <c r="X57" s="1775"/>
      <c r="Y57" s="1775"/>
      <c r="Z57" s="1775"/>
      <c r="AA57" s="1775"/>
    </row>
    <row r="58" spans="1:27" x14ac:dyDescent="0.25">
      <c r="A58" s="1775"/>
      <c r="B58" s="1775"/>
      <c r="C58" s="1775"/>
      <c r="D58" s="1775"/>
      <c r="E58" s="1775"/>
      <c r="F58" s="1775"/>
      <c r="G58" s="1775"/>
      <c r="H58" s="1775"/>
      <c r="I58" s="1775"/>
      <c r="J58" s="1775"/>
      <c r="K58" s="1775"/>
      <c r="L58" s="1775"/>
      <c r="M58" s="1775"/>
      <c r="N58" s="1775"/>
      <c r="O58" s="1775"/>
      <c r="P58" s="1775"/>
      <c r="Q58" s="1775"/>
      <c r="R58" s="1775"/>
      <c r="S58" s="1775"/>
      <c r="T58" s="1775"/>
      <c r="U58" s="1775"/>
      <c r="V58" s="1775"/>
      <c r="W58" s="1775"/>
      <c r="X58" s="1775"/>
      <c r="Y58" s="1775"/>
      <c r="Z58" s="1775"/>
      <c r="AA58" s="1775"/>
    </row>
    <row r="59" spans="1:27" x14ac:dyDescent="0.25">
      <c r="A59" s="1775"/>
      <c r="B59" s="1775"/>
      <c r="C59" s="1775"/>
      <c r="D59" s="1775"/>
      <c r="E59" s="1775"/>
      <c r="F59" s="1775"/>
      <c r="G59" s="1775"/>
      <c r="H59" s="1775"/>
      <c r="I59" s="1775"/>
      <c r="J59" s="1775"/>
      <c r="K59" s="1775"/>
      <c r="L59" s="1775"/>
      <c r="M59" s="1775"/>
      <c r="N59" s="1775"/>
      <c r="O59" s="1775"/>
      <c r="P59" s="1775"/>
      <c r="Q59" s="1775"/>
      <c r="R59" s="1775"/>
      <c r="S59" s="1775"/>
      <c r="T59" s="1775"/>
      <c r="U59" s="1775"/>
      <c r="V59" s="1775"/>
      <c r="W59" s="1775"/>
      <c r="X59" s="1775"/>
      <c r="Y59" s="1775"/>
      <c r="Z59" s="1775"/>
      <c r="AA59" s="1775"/>
    </row>
    <row r="60" spans="1:27" x14ac:dyDescent="0.25">
      <c r="A60" s="1775"/>
      <c r="B60" s="1775"/>
      <c r="C60" s="1775"/>
      <c r="D60" s="1775"/>
      <c r="E60" s="1775"/>
      <c r="F60" s="1775"/>
      <c r="G60" s="1775"/>
      <c r="H60" s="1775"/>
      <c r="I60" s="1775"/>
      <c r="J60" s="1775"/>
      <c r="K60" s="1775"/>
      <c r="L60" s="1775"/>
      <c r="M60" s="1775"/>
      <c r="N60" s="1775"/>
      <c r="O60" s="1775"/>
      <c r="P60" s="1775"/>
      <c r="Q60" s="1775"/>
      <c r="R60" s="1775"/>
      <c r="S60" s="1775"/>
      <c r="T60" s="1775"/>
      <c r="U60" s="1775"/>
      <c r="V60" s="1775"/>
      <c r="W60" s="1775"/>
      <c r="X60" s="1775"/>
      <c r="Y60" s="1775"/>
      <c r="Z60" s="1775"/>
      <c r="AA60" s="1775"/>
    </row>
    <row r="61" spans="1:27" x14ac:dyDescent="0.25">
      <c r="A61" s="1775"/>
      <c r="B61" s="1775"/>
      <c r="C61" s="1775"/>
      <c r="D61" s="1775"/>
      <c r="E61" s="1775"/>
      <c r="F61" s="1775"/>
      <c r="G61" s="1775"/>
      <c r="H61" s="1775"/>
      <c r="I61" s="1775"/>
      <c r="J61" s="1775"/>
      <c r="K61" s="1775"/>
      <c r="L61" s="1775"/>
      <c r="M61" s="1775"/>
      <c r="N61" s="1775"/>
      <c r="O61" s="1775"/>
      <c r="P61" s="1775"/>
      <c r="Q61" s="1775"/>
      <c r="R61" s="1775"/>
      <c r="S61" s="1775"/>
      <c r="T61" s="1775"/>
      <c r="U61" s="1775"/>
      <c r="V61" s="1775"/>
      <c r="W61" s="1775"/>
      <c r="X61" s="1775"/>
      <c r="Y61" s="1775"/>
      <c r="Z61" s="1775"/>
      <c r="AA61" s="1775"/>
    </row>
    <row r="62" spans="1:27" x14ac:dyDescent="0.25">
      <c r="A62" s="1775"/>
      <c r="B62" s="1775"/>
      <c r="C62" s="1775"/>
      <c r="D62" s="1775"/>
      <c r="E62" s="1775"/>
      <c r="F62" s="1775"/>
      <c r="G62" s="1775"/>
      <c r="H62" s="1775"/>
      <c r="I62" s="1775"/>
      <c r="J62" s="1775"/>
      <c r="K62" s="1775"/>
      <c r="L62" s="1775"/>
      <c r="M62" s="1775"/>
      <c r="N62" s="1775"/>
      <c r="O62" s="1775"/>
      <c r="P62" s="1775"/>
      <c r="Q62" s="1775"/>
      <c r="R62" s="1775"/>
      <c r="S62" s="1775"/>
      <c r="T62" s="1775"/>
      <c r="U62" s="1775"/>
      <c r="V62" s="1775"/>
      <c r="W62" s="1775"/>
      <c r="X62" s="1775"/>
      <c r="Y62" s="1775"/>
      <c r="Z62" s="1775"/>
      <c r="AA62" s="1775"/>
    </row>
    <row r="63" spans="1:27" x14ac:dyDescent="0.25">
      <c r="A63" s="1775"/>
      <c r="B63" s="1775"/>
      <c r="C63" s="1775"/>
      <c r="D63" s="1775"/>
      <c r="E63" s="1775"/>
      <c r="F63" s="1775"/>
      <c r="G63" s="1775"/>
      <c r="H63" s="1775"/>
      <c r="I63" s="1775"/>
      <c r="J63" s="1775"/>
      <c r="K63" s="1775"/>
      <c r="L63" s="1775"/>
      <c r="M63" s="1775"/>
      <c r="N63" s="1775"/>
      <c r="O63" s="1775"/>
      <c r="P63" s="1775"/>
      <c r="Q63" s="1775"/>
      <c r="R63" s="1775"/>
      <c r="S63" s="1775"/>
      <c r="T63" s="1775"/>
      <c r="U63" s="1775"/>
      <c r="V63" s="1775"/>
      <c r="W63" s="1775"/>
      <c r="X63" s="1775"/>
      <c r="Y63" s="1775"/>
      <c r="Z63" s="1775"/>
      <c r="AA63" s="1775"/>
    </row>
    <row r="64" spans="1:27" x14ac:dyDescent="0.25">
      <c r="A64" s="1775"/>
      <c r="B64" s="1775"/>
      <c r="C64" s="1775"/>
      <c r="D64" s="1775"/>
      <c r="E64" s="1775"/>
      <c r="F64" s="1775"/>
      <c r="G64" s="1775"/>
      <c r="H64" s="1775"/>
      <c r="I64" s="1775"/>
      <c r="J64" s="1775"/>
      <c r="K64" s="1775"/>
      <c r="L64" s="1775"/>
      <c r="M64" s="1775"/>
      <c r="N64" s="1775"/>
      <c r="O64" s="1775"/>
      <c r="P64" s="1775"/>
      <c r="Q64" s="1775"/>
      <c r="R64" s="1775"/>
      <c r="S64" s="1775"/>
      <c r="T64" s="1775"/>
      <c r="U64" s="1775"/>
      <c r="V64" s="1775"/>
      <c r="W64" s="1775"/>
      <c r="X64" s="1775"/>
      <c r="Y64" s="1775"/>
      <c r="Z64" s="1775"/>
      <c r="AA64" s="1775"/>
    </row>
    <row r="65" spans="1:27" x14ac:dyDescent="0.25">
      <c r="A65" s="1775"/>
      <c r="B65" s="1775"/>
      <c r="C65" s="1775"/>
      <c r="D65" s="1775"/>
      <c r="E65" s="1775"/>
      <c r="F65" s="1775"/>
      <c r="G65" s="1775"/>
      <c r="H65" s="1775"/>
      <c r="I65" s="1775"/>
      <c r="J65" s="1775"/>
      <c r="K65" s="1775"/>
      <c r="L65" s="1775"/>
      <c r="M65" s="1775"/>
      <c r="N65" s="1775"/>
      <c r="O65" s="1775"/>
      <c r="P65" s="1775"/>
      <c r="Q65" s="1775"/>
      <c r="R65" s="1775"/>
      <c r="S65" s="1775"/>
      <c r="T65" s="1775"/>
      <c r="U65" s="1775"/>
      <c r="V65" s="1775"/>
      <c r="W65" s="1775"/>
      <c r="X65" s="1775"/>
      <c r="Y65" s="1775"/>
      <c r="Z65" s="1775"/>
      <c r="AA65" s="1775"/>
    </row>
    <row r="66" spans="1:27" x14ac:dyDescent="0.25">
      <c r="A66" s="1775"/>
      <c r="B66" s="1775"/>
      <c r="C66" s="1775"/>
      <c r="D66" s="1775"/>
      <c r="E66" s="1775"/>
      <c r="F66" s="1775"/>
      <c r="G66" s="1775"/>
      <c r="H66" s="1775"/>
      <c r="I66" s="1775"/>
      <c r="J66" s="1775"/>
      <c r="K66" s="1775"/>
      <c r="L66" s="1775"/>
      <c r="M66" s="1775"/>
      <c r="N66" s="1775"/>
      <c r="O66" s="1775"/>
      <c r="P66" s="1775"/>
      <c r="Q66" s="1775"/>
      <c r="R66" s="1775"/>
      <c r="S66" s="1775"/>
      <c r="T66" s="1775"/>
      <c r="U66" s="1775"/>
      <c r="V66" s="1775"/>
      <c r="W66" s="1775"/>
      <c r="X66" s="1775"/>
      <c r="Y66" s="1775"/>
      <c r="Z66" s="1775"/>
      <c r="AA66" s="1775"/>
    </row>
    <row r="67" spans="1:27" x14ac:dyDescent="0.25">
      <c r="A67" s="1775"/>
      <c r="B67" s="1775"/>
      <c r="C67" s="1775"/>
      <c r="D67" s="1775"/>
      <c r="E67" s="1775"/>
      <c r="F67" s="1775"/>
      <c r="G67" s="1775"/>
      <c r="H67" s="1775"/>
      <c r="I67" s="1775"/>
      <c r="J67" s="1775"/>
      <c r="K67" s="1775"/>
      <c r="L67" s="1775"/>
      <c r="M67" s="1775"/>
      <c r="N67" s="1775"/>
      <c r="O67" s="1775"/>
      <c r="P67" s="1775"/>
      <c r="Q67" s="1775"/>
      <c r="R67" s="1775"/>
      <c r="S67" s="1775"/>
      <c r="T67" s="1775"/>
      <c r="U67" s="1775"/>
      <c r="V67" s="1775"/>
      <c r="W67" s="1775"/>
      <c r="X67" s="1775"/>
      <c r="Y67" s="1775"/>
      <c r="Z67" s="1775"/>
      <c r="AA67" s="1775"/>
    </row>
    <row r="68" spans="1:27" x14ac:dyDescent="0.25">
      <c r="A68" s="1775"/>
      <c r="B68" s="1775"/>
      <c r="C68" s="1775"/>
      <c r="D68" s="1775"/>
      <c r="E68" s="1775"/>
      <c r="F68" s="1775"/>
      <c r="G68" s="1775"/>
      <c r="H68" s="1775"/>
      <c r="I68" s="1775"/>
      <c r="J68" s="1775"/>
      <c r="K68" s="1775"/>
      <c r="L68" s="1775"/>
      <c r="M68" s="1775"/>
      <c r="N68" s="1775"/>
      <c r="O68" s="1775"/>
      <c r="P68" s="1775"/>
      <c r="Q68" s="1775"/>
      <c r="R68" s="1775"/>
      <c r="S68" s="1775"/>
      <c r="T68" s="1775"/>
      <c r="U68" s="1775"/>
      <c r="V68" s="1775"/>
      <c r="W68" s="1775"/>
      <c r="X68" s="1775"/>
      <c r="Y68" s="1775"/>
      <c r="Z68" s="1775"/>
      <c r="AA68" s="1775"/>
    </row>
    <row r="69" spans="1:27" x14ac:dyDescent="0.25">
      <c r="A69" s="1775"/>
      <c r="B69" s="1775"/>
      <c r="C69" s="1775"/>
      <c r="D69" s="1775"/>
      <c r="E69" s="1775"/>
      <c r="F69" s="1775"/>
      <c r="G69" s="1775"/>
      <c r="H69" s="1775"/>
      <c r="I69" s="1775"/>
      <c r="J69" s="1775"/>
      <c r="K69" s="1775"/>
      <c r="L69" s="1775"/>
      <c r="M69" s="1775"/>
      <c r="N69" s="1775"/>
      <c r="O69" s="1775"/>
      <c r="P69" s="1775"/>
      <c r="Q69" s="1775"/>
      <c r="R69" s="1775"/>
      <c r="S69" s="1775"/>
      <c r="T69" s="1775"/>
      <c r="U69" s="1775"/>
      <c r="V69" s="1775"/>
      <c r="W69" s="1775"/>
      <c r="X69" s="1775"/>
      <c r="Y69" s="1775"/>
      <c r="Z69" s="1775"/>
      <c r="AA69" s="1775"/>
    </row>
    <row r="70" spans="1:27" x14ac:dyDescent="0.25">
      <c r="A70" s="1775"/>
      <c r="B70" s="1775"/>
      <c r="C70" s="1775"/>
      <c r="D70" s="1775"/>
      <c r="E70" s="1775"/>
      <c r="F70" s="1775"/>
      <c r="G70" s="1775"/>
      <c r="H70" s="1775"/>
      <c r="I70" s="1775"/>
      <c r="J70" s="1775"/>
      <c r="K70" s="1775"/>
      <c r="L70" s="1775"/>
      <c r="M70" s="1775"/>
      <c r="N70" s="1775"/>
      <c r="O70" s="1775"/>
      <c r="P70" s="1775"/>
      <c r="Q70" s="1775"/>
      <c r="R70" s="1775"/>
      <c r="S70" s="1775"/>
      <c r="T70" s="1775"/>
      <c r="U70" s="1775"/>
      <c r="V70" s="1775"/>
      <c r="W70" s="1775"/>
      <c r="X70" s="1775"/>
      <c r="Y70" s="1775"/>
      <c r="Z70" s="1775"/>
      <c r="AA70" s="1775"/>
    </row>
    <row r="71" spans="1:27" x14ac:dyDescent="0.25">
      <c r="A71" s="1775"/>
      <c r="B71" s="1775"/>
      <c r="C71" s="1775"/>
      <c r="D71" s="1775"/>
      <c r="E71" s="1775"/>
      <c r="F71" s="1775"/>
      <c r="G71" s="1775"/>
      <c r="H71" s="1775"/>
      <c r="I71" s="1775"/>
      <c r="J71" s="1775"/>
      <c r="K71" s="1775"/>
      <c r="L71" s="1775"/>
      <c r="M71" s="1775"/>
      <c r="N71" s="1775"/>
      <c r="O71" s="1775"/>
      <c r="P71" s="1775"/>
      <c r="Q71" s="1775"/>
      <c r="R71" s="1775"/>
      <c r="S71" s="1775"/>
      <c r="T71" s="1775"/>
      <c r="U71" s="1775"/>
      <c r="V71" s="1775"/>
      <c r="W71" s="1775"/>
      <c r="X71" s="1775"/>
      <c r="Y71" s="1775"/>
      <c r="Z71" s="1775"/>
      <c r="AA71" s="1775"/>
    </row>
    <row r="72" spans="1:27" x14ac:dyDescent="0.25">
      <c r="A72" s="1775"/>
      <c r="B72" s="1775"/>
      <c r="C72" s="1775"/>
      <c r="D72" s="1775"/>
      <c r="E72" s="1775"/>
      <c r="F72" s="1775"/>
      <c r="G72" s="1775"/>
      <c r="H72" s="1775"/>
      <c r="I72" s="1775"/>
      <c r="J72" s="1775"/>
      <c r="K72" s="1775"/>
      <c r="L72" s="1775"/>
      <c r="M72" s="1775"/>
      <c r="N72" s="1775"/>
      <c r="O72" s="1775"/>
      <c r="P72" s="1775"/>
      <c r="Q72" s="1775"/>
      <c r="R72" s="1775"/>
      <c r="S72" s="1775"/>
      <c r="T72" s="1775"/>
      <c r="U72" s="1775"/>
      <c r="V72" s="1775"/>
      <c r="W72" s="1775"/>
      <c r="X72" s="1775"/>
      <c r="Y72" s="1775"/>
      <c r="Z72" s="1775"/>
      <c r="AA72" s="1775"/>
    </row>
    <row r="73" spans="1:27" x14ac:dyDescent="0.25">
      <c r="A73" s="1775"/>
      <c r="B73" s="1775"/>
      <c r="C73" s="1775"/>
      <c r="D73" s="1775"/>
      <c r="E73" s="1775"/>
      <c r="F73" s="1775"/>
      <c r="G73" s="1775"/>
      <c r="H73" s="1775"/>
      <c r="I73" s="1775"/>
      <c r="J73" s="1775"/>
      <c r="K73" s="1775"/>
      <c r="L73" s="1775"/>
      <c r="M73" s="1775"/>
      <c r="N73" s="1775"/>
      <c r="O73" s="1775"/>
      <c r="P73" s="1775"/>
      <c r="Q73" s="1775"/>
      <c r="R73" s="1775"/>
      <c r="S73" s="1775"/>
      <c r="T73" s="1775"/>
      <c r="U73" s="1775"/>
      <c r="V73" s="1775"/>
      <c r="W73" s="1775"/>
      <c r="X73" s="1775"/>
      <c r="Y73" s="1775"/>
      <c r="Z73" s="1775"/>
      <c r="AA73" s="1775"/>
    </row>
    <row r="74" spans="1:27" x14ac:dyDescent="0.25">
      <c r="A74" s="1775"/>
      <c r="B74" s="1775"/>
      <c r="C74" s="1775"/>
      <c r="D74" s="1775"/>
      <c r="E74" s="1775"/>
      <c r="F74" s="1775"/>
      <c r="G74" s="1775"/>
      <c r="H74" s="1775"/>
      <c r="I74" s="1775"/>
      <c r="J74" s="1775"/>
      <c r="K74" s="1775"/>
      <c r="L74" s="1775"/>
      <c r="M74" s="1775"/>
      <c r="N74" s="1775"/>
      <c r="O74" s="1775"/>
      <c r="P74" s="1775"/>
      <c r="Q74" s="1775"/>
      <c r="R74" s="1775"/>
      <c r="S74" s="1775"/>
      <c r="T74" s="1775"/>
      <c r="U74" s="1775"/>
      <c r="V74" s="1775"/>
      <c r="W74" s="1775"/>
      <c r="X74" s="1775"/>
      <c r="Y74" s="1775"/>
      <c r="Z74" s="1775"/>
      <c r="AA74" s="1775"/>
    </row>
    <row r="75" spans="1:27" x14ac:dyDescent="0.25">
      <c r="A75" s="1775"/>
      <c r="B75" s="1775"/>
      <c r="C75" s="1775"/>
      <c r="D75" s="1775"/>
      <c r="E75" s="1775"/>
      <c r="F75" s="1775"/>
      <c r="G75" s="1775"/>
      <c r="H75" s="1775"/>
      <c r="I75" s="1775"/>
      <c r="J75" s="1775"/>
      <c r="K75" s="1775"/>
      <c r="L75" s="1775"/>
      <c r="M75" s="1775"/>
      <c r="N75" s="1775"/>
      <c r="O75" s="1775"/>
      <c r="P75" s="1775"/>
      <c r="Q75" s="1775"/>
      <c r="R75" s="1775"/>
      <c r="S75" s="1775"/>
      <c r="T75" s="1775"/>
      <c r="U75" s="1775"/>
      <c r="V75" s="1775"/>
      <c r="W75" s="1775"/>
      <c r="X75" s="1775"/>
      <c r="Y75" s="1775"/>
      <c r="Z75" s="1775"/>
      <c r="AA75" s="1775"/>
    </row>
    <row r="76" spans="1:27" x14ac:dyDescent="0.25">
      <c r="A76" s="1775"/>
      <c r="B76" s="1775"/>
      <c r="C76" s="1775"/>
      <c r="D76" s="1775"/>
      <c r="E76" s="1775"/>
      <c r="F76" s="1775"/>
      <c r="G76" s="1775"/>
      <c r="H76" s="1775"/>
      <c r="I76" s="1775"/>
      <c r="J76" s="1775"/>
      <c r="K76" s="1775"/>
      <c r="L76" s="1775"/>
      <c r="M76" s="1775"/>
      <c r="N76" s="1775"/>
      <c r="O76" s="1775"/>
      <c r="P76" s="1775"/>
      <c r="Q76" s="1775"/>
      <c r="R76" s="1775"/>
      <c r="S76" s="1775"/>
      <c r="T76" s="1775"/>
      <c r="U76" s="1775"/>
      <c r="V76" s="1775"/>
      <c r="W76" s="1775"/>
      <c r="X76" s="1775"/>
      <c r="Y76" s="1775"/>
      <c r="Z76" s="1775"/>
      <c r="AA76" s="1775"/>
    </row>
    <row r="77" spans="1:27" x14ac:dyDescent="0.25">
      <c r="A77" s="1775"/>
      <c r="B77" s="1775"/>
      <c r="C77" s="1775"/>
      <c r="D77" s="1775"/>
      <c r="E77" s="1775"/>
      <c r="F77" s="1775"/>
      <c r="G77" s="1775"/>
      <c r="H77" s="1775"/>
      <c r="I77" s="1775"/>
      <c r="J77" s="1775"/>
      <c r="K77" s="1775"/>
      <c r="L77" s="1775"/>
      <c r="M77" s="1775"/>
      <c r="N77" s="1775"/>
      <c r="O77" s="1775"/>
      <c r="P77" s="1775"/>
      <c r="Q77" s="1775"/>
      <c r="R77" s="1775"/>
      <c r="S77" s="1775"/>
      <c r="T77" s="1775"/>
      <c r="U77" s="1775"/>
      <c r="V77" s="1775"/>
      <c r="W77" s="1775"/>
      <c r="X77" s="1775"/>
      <c r="Y77" s="1775"/>
      <c r="Z77" s="1775"/>
      <c r="AA77" s="1775"/>
    </row>
    <row r="78" spans="1:27" x14ac:dyDescent="0.25">
      <c r="A78" s="1775"/>
      <c r="B78" s="1775"/>
      <c r="C78" s="1775"/>
      <c r="D78" s="1775"/>
      <c r="E78" s="1775"/>
      <c r="F78" s="1775"/>
      <c r="G78" s="1775"/>
      <c r="H78" s="1775"/>
      <c r="I78" s="1775"/>
      <c r="J78" s="1775"/>
      <c r="K78" s="1775"/>
      <c r="L78" s="1775"/>
      <c r="M78" s="1775"/>
      <c r="N78" s="1775"/>
      <c r="O78" s="1775"/>
      <c r="P78" s="1775"/>
      <c r="Q78" s="1775"/>
      <c r="R78" s="1775"/>
      <c r="S78" s="1775"/>
      <c r="T78" s="1775"/>
      <c r="U78" s="1775"/>
      <c r="V78" s="1775"/>
      <c r="W78" s="1775"/>
      <c r="X78" s="1775"/>
      <c r="Y78" s="1775"/>
      <c r="Z78" s="1775"/>
      <c r="AA78" s="1775"/>
    </row>
    <row r="79" spans="1:27" x14ac:dyDescent="0.25">
      <c r="A79" s="1775"/>
      <c r="B79" s="1775"/>
      <c r="C79" s="1775"/>
      <c r="D79" s="1775"/>
      <c r="E79" s="1775"/>
      <c r="F79" s="1775"/>
      <c r="G79" s="1775"/>
      <c r="H79" s="1775"/>
      <c r="I79" s="1775"/>
      <c r="J79" s="1775"/>
      <c r="K79" s="1775"/>
      <c r="L79" s="1775"/>
      <c r="M79" s="1775"/>
      <c r="N79" s="1775"/>
      <c r="O79" s="1775"/>
      <c r="P79" s="1775"/>
      <c r="Q79" s="1775"/>
      <c r="R79" s="1775"/>
      <c r="S79" s="1775"/>
      <c r="T79" s="1775"/>
      <c r="U79" s="1775"/>
      <c r="V79" s="1775"/>
      <c r="W79" s="1775"/>
      <c r="X79" s="1775"/>
      <c r="Y79" s="1775"/>
      <c r="Z79" s="1775"/>
      <c r="AA79" s="1775"/>
    </row>
    <row r="80" spans="1:27" x14ac:dyDescent="0.25">
      <c r="A80" s="1775"/>
      <c r="B80" s="1775"/>
      <c r="C80" s="1775"/>
      <c r="D80" s="1775"/>
      <c r="E80" s="1775"/>
      <c r="F80" s="1775"/>
      <c r="G80" s="1775"/>
      <c r="H80" s="1775"/>
      <c r="I80" s="1775"/>
      <c r="J80" s="1775"/>
      <c r="K80" s="1775"/>
      <c r="L80" s="1775"/>
      <c r="M80" s="1775"/>
      <c r="N80" s="1775"/>
      <c r="O80" s="1775"/>
      <c r="P80" s="1775"/>
      <c r="Q80" s="1775"/>
      <c r="R80" s="1775"/>
      <c r="S80" s="1775"/>
      <c r="T80" s="1775"/>
      <c r="U80" s="1775"/>
      <c r="V80" s="1775"/>
      <c r="W80" s="1775"/>
      <c r="X80" s="1775"/>
      <c r="Y80" s="1775"/>
      <c r="Z80" s="1775"/>
      <c r="AA80" s="1775"/>
    </row>
    <row r="81" spans="1:27" x14ac:dyDescent="0.25">
      <c r="A81" s="1775"/>
      <c r="B81" s="1775"/>
      <c r="C81" s="1775"/>
      <c r="D81" s="1775"/>
      <c r="E81" s="1775"/>
      <c r="F81" s="1775"/>
      <c r="G81" s="1775"/>
      <c r="H81" s="1775"/>
      <c r="I81" s="1775"/>
      <c r="J81" s="1775"/>
      <c r="K81" s="1775"/>
      <c r="L81" s="1775"/>
      <c r="M81" s="1775"/>
      <c r="N81" s="1775"/>
      <c r="O81" s="1775"/>
      <c r="P81" s="1775"/>
      <c r="Q81" s="1775"/>
      <c r="R81" s="1775"/>
      <c r="S81" s="1775"/>
      <c r="T81" s="1775"/>
      <c r="U81" s="1775"/>
      <c r="V81" s="1775"/>
      <c r="W81" s="1775"/>
      <c r="X81" s="1775"/>
      <c r="Y81" s="1775"/>
      <c r="Z81" s="1775"/>
      <c r="AA81" s="1775"/>
    </row>
    <row r="82" spans="1:27" x14ac:dyDescent="0.25">
      <c r="A82" s="1775"/>
      <c r="B82" s="1775"/>
      <c r="C82" s="1775"/>
      <c r="D82" s="1775"/>
      <c r="E82" s="1775"/>
      <c r="F82" s="1775"/>
      <c r="G82" s="1775"/>
      <c r="H82" s="1775"/>
      <c r="I82" s="1775"/>
      <c r="J82" s="1775"/>
      <c r="K82" s="1775"/>
      <c r="L82" s="1775"/>
      <c r="M82" s="1775"/>
      <c r="N82" s="1775"/>
      <c r="O82" s="1775"/>
      <c r="P82" s="1775"/>
      <c r="Q82" s="1775"/>
      <c r="R82" s="1775"/>
      <c r="S82" s="1775"/>
      <c r="T82" s="1775"/>
      <c r="U82" s="1775"/>
      <c r="V82" s="1775"/>
      <c r="W82" s="1775"/>
      <c r="X82" s="1775"/>
      <c r="Y82" s="1775"/>
      <c r="Z82" s="1775"/>
      <c r="AA82" s="1775"/>
    </row>
    <row r="83" spans="1:27" x14ac:dyDescent="0.25">
      <c r="A83" s="1775"/>
      <c r="B83" s="1775"/>
      <c r="C83" s="1775"/>
      <c r="D83" s="1775"/>
      <c r="E83" s="1775"/>
      <c r="F83" s="1775"/>
      <c r="G83" s="1775"/>
      <c r="H83" s="1775"/>
      <c r="I83" s="1775"/>
      <c r="J83" s="1775"/>
      <c r="K83" s="1775"/>
      <c r="L83" s="1775"/>
      <c r="M83" s="1775"/>
      <c r="N83" s="1775"/>
      <c r="O83" s="1775"/>
      <c r="P83" s="1775"/>
      <c r="Q83" s="1775"/>
      <c r="R83" s="1775"/>
      <c r="S83" s="1775"/>
      <c r="T83" s="1775"/>
      <c r="U83" s="1775"/>
      <c r="V83" s="1775"/>
      <c r="W83" s="1775"/>
      <c r="X83" s="1775"/>
      <c r="Y83" s="1775"/>
      <c r="Z83" s="1775"/>
      <c r="AA83" s="1775"/>
    </row>
    <row r="84" spans="1:27" x14ac:dyDescent="0.25">
      <c r="A84" s="1775"/>
      <c r="B84" s="1775"/>
      <c r="C84" s="1775"/>
      <c r="D84" s="1775"/>
      <c r="E84" s="1775"/>
      <c r="F84" s="1775"/>
      <c r="G84" s="1775"/>
      <c r="H84" s="1775"/>
      <c r="I84" s="1775"/>
      <c r="J84" s="1775"/>
      <c r="K84" s="1775"/>
      <c r="L84" s="1775"/>
      <c r="M84" s="1775"/>
      <c r="N84" s="1775"/>
      <c r="O84" s="1775"/>
      <c r="P84" s="1775"/>
      <c r="Q84" s="1775"/>
      <c r="R84" s="1775"/>
      <c r="S84" s="1775"/>
      <c r="T84" s="1775"/>
      <c r="U84" s="1775"/>
      <c r="V84" s="1775"/>
      <c r="W84" s="1775"/>
      <c r="X84" s="1775"/>
      <c r="Y84" s="1775"/>
      <c r="Z84" s="1775"/>
      <c r="AA84" s="1775"/>
    </row>
    <row r="85" spans="1:27" x14ac:dyDescent="0.25">
      <c r="A85" s="1775"/>
      <c r="B85" s="1775"/>
      <c r="C85" s="1775"/>
      <c r="D85" s="1775"/>
      <c r="E85" s="1775"/>
      <c r="F85" s="1775"/>
      <c r="G85" s="1775"/>
      <c r="H85" s="1775"/>
      <c r="I85" s="1775"/>
      <c r="J85" s="1775"/>
      <c r="K85" s="1775"/>
      <c r="L85" s="1775"/>
      <c r="M85" s="1775"/>
      <c r="N85" s="1775"/>
      <c r="O85" s="1775"/>
      <c r="P85" s="1775"/>
      <c r="Q85" s="1775"/>
      <c r="R85" s="1775"/>
      <c r="S85" s="1775"/>
      <c r="T85" s="1775"/>
      <c r="U85" s="1775"/>
      <c r="V85" s="1775"/>
      <c r="W85" s="1775"/>
      <c r="X85" s="1775"/>
      <c r="Y85" s="1775"/>
      <c r="Z85" s="1775"/>
      <c r="AA85" s="1775"/>
    </row>
    <row r="86" spans="1:27" x14ac:dyDescent="0.25">
      <c r="A86" s="1775"/>
      <c r="B86" s="1775"/>
      <c r="C86" s="1775"/>
      <c r="D86" s="1775"/>
      <c r="E86" s="1775"/>
      <c r="F86" s="1775"/>
      <c r="G86" s="1775"/>
      <c r="H86" s="1775"/>
      <c r="I86" s="1775"/>
      <c r="J86" s="1775"/>
      <c r="K86" s="1775"/>
      <c r="L86" s="1775"/>
      <c r="M86" s="1775"/>
      <c r="N86" s="1775"/>
      <c r="O86" s="1775"/>
      <c r="P86" s="1775"/>
      <c r="Q86" s="1775"/>
      <c r="R86" s="1775"/>
      <c r="S86" s="1775"/>
      <c r="T86" s="1775"/>
      <c r="U86" s="1775"/>
      <c r="V86" s="1775"/>
      <c r="W86" s="1775"/>
      <c r="X86" s="1775"/>
      <c r="Y86" s="1775"/>
      <c r="Z86" s="1775"/>
      <c r="AA86" s="1775"/>
    </row>
    <row r="87" spans="1:27" x14ac:dyDescent="0.25">
      <c r="A87" s="1775"/>
      <c r="B87" s="1775"/>
      <c r="C87" s="1775"/>
      <c r="D87" s="1775"/>
      <c r="E87" s="1775"/>
      <c r="F87" s="1775"/>
      <c r="G87" s="1775"/>
      <c r="H87" s="1775"/>
      <c r="I87" s="1775"/>
      <c r="J87" s="1775"/>
      <c r="K87" s="1775"/>
      <c r="L87" s="1775"/>
      <c r="M87" s="1775"/>
      <c r="N87" s="1775"/>
      <c r="O87" s="1775"/>
      <c r="P87" s="1775"/>
      <c r="Q87" s="1775"/>
      <c r="R87" s="1775"/>
      <c r="S87" s="1775"/>
      <c r="T87" s="1775"/>
      <c r="U87" s="1775"/>
      <c r="V87" s="1775"/>
      <c r="W87" s="1775"/>
      <c r="X87" s="1775"/>
      <c r="Y87" s="1775"/>
      <c r="Z87" s="1775"/>
      <c r="AA87" s="1775"/>
    </row>
    <row r="88" spans="1:27" x14ac:dyDescent="0.25">
      <c r="A88" s="1775"/>
      <c r="B88" s="1775"/>
      <c r="C88" s="1775"/>
      <c r="D88" s="1775"/>
      <c r="E88" s="1775"/>
      <c r="F88" s="1775"/>
      <c r="G88" s="1775"/>
      <c r="H88" s="1775"/>
      <c r="I88" s="1775"/>
      <c r="J88" s="1775"/>
      <c r="K88" s="1775"/>
      <c r="L88" s="1775"/>
      <c r="M88" s="1775"/>
      <c r="N88" s="1775"/>
      <c r="O88" s="1775"/>
      <c r="P88" s="1775"/>
      <c r="Q88" s="1775"/>
      <c r="R88" s="1775"/>
      <c r="S88" s="1775"/>
      <c r="T88" s="1775"/>
      <c r="U88" s="1775"/>
      <c r="V88" s="1775"/>
      <c r="W88" s="1775"/>
      <c r="X88" s="1775"/>
      <c r="Y88" s="1775"/>
      <c r="Z88" s="1775"/>
      <c r="AA88" s="1775"/>
    </row>
    <row r="89" spans="1:27" x14ac:dyDescent="0.25">
      <c r="A89" s="1775"/>
      <c r="B89" s="1775"/>
      <c r="C89" s="1775"/>
      <c r="D89" s="1775"/>
      <c r="E89" s="1775"/>
      <c r="F89" s="1775"/>
      <c r="G89" s="1775"/>
      <c r="H89" s="1775"/>
      <c r="I89" s="1775"/>
      <c r="J89" s="1775"/>
      <c r="K89" s="1775"/>
      <c r="L89" s="1775"/>
      <c r="M89" s="1775"/>
      <c r="N89" s="1775"/>
      <c r="O89" s="1775"/>
      <c r="P89" s="1775"/>
      <c r="Q89" s="1775"/>
      <c r="R89" s="1775"/>
      <c r="S89" s="1775"/>
      <c r="T89" s="1775"/>
      <c r="U89" s="1775"/>
      <c r="V89" s="1775"/>
      <c r="W89" s="1775"/>
      <c r="X89" s="1775"/>
      <c r="Y89" s="1775"/>
      <c r="Z89" s="1775"/>
      <c r="AA89" s="1775"/>
    </row>
    <row r="90" spans="1:27" x14ac:dyDescent="0.25">
      <c r="A90" s="1775"/>
      <c r="B90" s="1775"/>
      <c r="C90" s="1775"/>
      <c r="D90" s="1775"/>
      <c r="E90" s="1775"/>
      <c r="F90" s="1775"/>
      <c r="G90" s="1775"/>
      <c r="H90" s="1775"/>
      <c r="I90" s="1775"/>
      <c r="J90" s="1775"/>
      <c r="K90" s="1775"/>
      <c r="L90" s="1775"/>
      <c r="M90" s="1775"/>
      <c r="N90" s="1775"/>
      <c r="O90" s="1775"/>
      <c r="P90" s="1775"/>
      <c r="Q90" s="1775"/>
      <c r="R90" s="1775"/>
      <c r="S90" s="1775"/>
      <c r="T90" s="1775"/>
      <c r="U90" s="1775"/>
      <c r="V90" s="1775"/>
      <c r="W90" s="1775"/>
      <c r="X90" s="1775"/>
      <c r="Y90" s="1775"/>
      <c r="Z90" s="1775"/>
      <c r="AA90" s="1775"/>
    </row>
    <row r="91" spans="1:27" x14ac:dyDescent="0.25">
      <c r="A91" s="1775"/>
      <c r="B91" s="1775"/>
      <c r="C91" s="1775"/>
      <c r="D91" s="1775"/>
      <c r="E91" s="1775"/>
      <c r="F91" s="1775"/>
      <c r="G91" s="1775"/>
      <c r="H91" s="1775"/>
      <c r="I91" s="1775"/>
      <c r="J91" s="1775"/>
      <c r="K91" s="1775"/>
      <c r="L91" s="1775"/>
      <c r="M91" s="1775"/>
      <c r="N91" s="1775"/>
      <c r="O91" s="1775"/>
      <c r="P91" s="1775"/>
      <c r="Q91" s="1775"/>
      <c r="R91" s="1775"/>
      <c r="S91" s="1775"/>
      <c r="T91" s="1775"/>
      <c r="U91" s="1775"/>
      <c r="V91" s="1775"/>
      <c r="W91" s="1775"/>
      <c r="X91" s="1775"/>
      <c r="Y91" s="1775"/>
      <c r="Z91" s="1775"/>
      <c r="AA91" s="1775"/>
    </row>
    <row r="92" spans="1:27" x14ac:dyDescent="0.25">
      <c r="A92" s="1775"/>
      <c r="B92" s="1775"/>
      <c r="C92" s="1775"/>
      <c r="D92" s="1775"/>
      <c r="E92" s="1775"/>
      <c r="F92" s="1775"/>
      <c r="G92" s="1775"/>
      <c r="H92" s="1775"/>
      <c r="I92" s="1775"/>
      <c r="J92" s="1775"/>
      <c r="K92" s="1775"/>
      <c r="L92" s="1775"/>
      <c r="M92" s="1775"/>
      <c r="N92" s="1775"/>
      <c r="O92" s="1775"/>
      <c r="P92" s="1775"/>
      <c r="Q92" s="1775"/>
      <c r="R92" s="1775"/>
      <c r="S92" s="1775"/>
      <c r="T92" s="1775"/>
      <c r="U92" s="1775"/>
      <c r="V92" s="1775"/>
      <c r="W92" s="1775"/>
      <c r="X92" s="1775"/>
      <c r="Y92" s="1775"/>
      <c r="Z92" s="1775"/>
      <c r="AA92" s="1775"/>
    </row>
    <row r="93" spans="1:27" x14ac:dyDescent="0.25">
      <c r="A93" s="1775"/>
      <c r="B93" s="1775"/>
      <c r="C93" s="1775"/>
      <c r="D93" s="1775"/>
      <c r="E93" s="1775"/>
      <c r="F93" s="1775"/>
      <c r="G93" s="1775"/>
      <c r="H93" s="1775"/>
      <c r="I93" s="1775"/>
      <c r="J93" s="1775"/>
      <c r="K93" s="1775"/>
      <c r="L93" s="1775"/>
      <c r="M93" s="1775"/>
      <c r="N93" s="1775"/>
      <c r="O93" s="1775"/>
      <c r="P93" s="1775"/>
      <c r="Q93" s="1775"/>
      <c r="R93" s="1775"/>
      <c r="S93" s="1775"/>
      <c r="T93" s="1775"/>
      <c r="U93" s="1775"/>
      <c r="V93" s="1775"/>
      <c r="W93" s="1775"/>
      <c r="X93" s="1775"/>
      <c r="Y93" s="1775"/>
      <c r="Z93" s="1775"/>
      <c r="AA93" s="1775"/>
    </row>
    <row r="94" spans="1:27" x14ac:dyDescent="0.25">
      <c r="A94" s="1775"/>
      <c r="B94" s="1775"/>
      <c r="C94" s="1775"/>
      <c r="D94" s="1775"/>
      <c r="E94" s="1775"/>
      <c r="F94" s="1775"/>
      <c r="G94" s="1775"/>
      <c r="H94" s="1775"/>
      <c r="I94" s="1775"/>
      <c r="J94" s="1775"/>
      <c r="K94" s="1775"/>
      <c r="L94" s="1775"/>
      <c r="M94" s="1775"/>
      <c r="N94" s="1775"/>
      <c r="O94" s="1775"/>
      <c r="P94" s="1775"/>
      <c r="Q94" s="1775"/>
      <c r="R94" s="1775"/>
      <c r="S94" s="1775"/>
      <c r="T94" s="1775"/>
      <c r="U94" s="1775"/>
      <c r="V94" s="1775"/>
      <c r="W94" s="1775"/>
      <c r="X94" s="1775"/>
      <c r="Y94" s="1775"/>
      <c r="Z94" s="1775"/>
      <c r="AA94" s="1775"/>
    </row>
    <row r="95" spans="1:27" x14ac:dyDescent="0.25">
      <c r="A95" s="1775"/>
      <c r="B95" s="1775"/>
      <c r="C95" s="1775"/>
      <c r="D95" s="1775"/>
      <c r="E95" s="1775"/>
      <c r="F95" s="1775"/>
      <c r="G95" s="1775"/>
      <c r="H95" s="1775"/>
      <c r="I95" s="1775"/>
      <c r="J95" s="1775"/>
      <c r="K95" s="1775"/>
      <c r="L95" s="1775"/>
      <c r="M95" s="1775"/>
      <c r="N95" s="1775"/>
      <c r="O95" s="1775"/>
      <c r="P95" s="1775"/>
      <c r="Q95" s="1775"/>
      <c r="R95" s="1775"/>
      <c r="S95" s="1775"/>
      <c r="T95" s="1775"/>
      <c r="U95" s="1775"/>
      <c r="V95" s="1775"/>
      <c r="W95" s="1775"/>
      <c r="X95" s="1775"/>
      <c r="Y95" s="1775"/>
      <c r="Z95" s="1775"/>
      <c r="AA95" s="1775"/>
    </row>
    <row r="96" spans="1:27" x14ac:dyDescent="0.25">
      <c r="A96" s="1775"/>
      <c r="B96" s="1775"/>
      <c r="C96" s="1775"/>
      <c r="D96" s="1775"/>
      <c r="E96" s="1775"/>
      <c r="F96" s="1775"/>
      <c r="G96" s="1775"/>
      <c r="H96" s="1775"/>
      <c r="I96" s="1775"/>
      <c r="J96" s="1775"/>
      <c r="K96" s="1775"/>
      <c r="L96" s="1775"/>
      <c r="M96" s="1775"/>
      <c r="N96" s="1775"/>
      <c r="O96" s="1775"/>
      <c r="P96" s="1775"/>
      <c r="Q96" s="1775"/>
      <c r="R96" s="1775"/>
      <c r="S96" s="1775"/>
      <c r="T96" s="1775"/>
      <c r="U96" s="1775"/>
      <c r="V96" s="1775"/>
      <c r="W96" s="1775"/>
      <c r="X96" s="1775"/>
      <c r="Y96" s="1775"/>
      <c r="Z96" s="1775"/>
      <c r="AA96" s="1775"/>
    </row>
    <row r="97" spans="1:27" x14ac:dyDescent="0.25">
      <c r="A97" s="1775"/>
      <c r="B97" s="1775"/>
      <c r="C97" s="1775"/>
      <c r="D97" s="1775"/>
      <c r="E97" s="1775"/>
      <c r="F97" s="1775"/>
      <c r="G97" s="1775"/>
      <c r="H97" s="1775"/>
      <c r="I97" s="1775"/>
      <c r="J97" s="1775"/>
      <c r="K97" s="1775"/>
      <c r="L97" s="1775"/>
      <c r="M97" s="1775"/>
      <c r="N97" s="1775"/>
      <c r="O97" s="1775"/>
      <c r="P97" s="1775"/>
      <c r="Q97" s="1775"/>
      <c r="R97" s="1775"/>
      <c r="S97" s="1775"/>
      <c r="T97" s="1775"/>
      <c r="U97" s="1775"/>
      <c r="V97" s="1775"/>
      <c r="W97" s="1775"/>
      <c r="X97" s="1775"/>
      <c r="Y97" s="1775"/>
      <c r="Z97" s="1775"/>
      <c r="AA97" s="1775"/>
    </row>
    <row r="98" spans="1:27" x14ac:dyDescent="0.25">
      <c r="A98" s="1775"/>
      <c r="B98" s="1775"/>
      <c r="C98" s="1775"/>
      <c r="D98" s="1775"/>
      <c r="E98" s="1775"/>
      <c r="F98" s="1775"/>
      <c r="G98" s="1775"/>
      <c r="H98" s="1775"/>
      <c r="I98" s="1775"/>
      <c r="J98" s="1775"/>
      <c r="K98" s="1775"/>
      <c r="L98" s="1775"/>
      <c r="M98" s="1775"/>
      <c r="N98" s="1775"/>
      <c r="O98" s="1775"/>
      <c r="P98" s="1775"/>
      <c r="Q98" s="1775"/>
      <c r="R98" s="1775"/>
      <c r="S98" s="1775"/>
      <c r="T98" s="1775"/>
      <c r="U98" s="1775"/>
      <c r="V98" s="1775"/>
      <c r="W98" s="1775"/>
      <c r="X98" s="1775"/>
      <c r="Y98" s="1775"/>
      <c r="Z98" s="1775"/>
      <c r="AA98" s="1775"/>
    </row>
    <row r="99" spans="1:27" x14ac:dyDescent="0.25">
      <c r="A99" s="1775"/>
      <c r="B99" s="1775"/>
      <c r="C99" s="1775"/>
      <c r="D99" s="1775"/>
      <c r="E99" s="1775"/>
      <c r="F99" s="1775"/>
      <c r="G99" s="1775"/>
      <c r="H99" s="1775"/>
      <c r="I99" s="1775"/>
      <c r="J99" s="1775"/>
      <c r="K99" s="1775"/>
      <c r="L99" s="1775"/>
      <c r="M99" s="1775"/>
      <c r="N99" s="1775"/>
      <c r="O99" s="1775"/>
      <c r="P99" s="1775"/>
      <c r="Q99" s="1775"/>
      <c r="R99" s="1775"/>
      <c r="S99" s="1775"/>
      <c r="T99" s="1775"/>
      <c r="U99" s="1775"/>
      <c r="V99" s="1775"/>
      <c r="W99" s="1775"/>
      <c r="X99" s="1775"/>
      <c r="Y99" s="1775"/>
      <c r="Z99" s="1775"/>
      <c r="AA99" s="1775"/>
    </row>
    <row r="100" spans="1:27" x14ac:dyDescent="0.25">
      <c r="A100" s="1775"/>
      <c r="B100" s="1775"/>
      <c r="C100" s="1775"/>
      <c r="D100" s="1775"/>
      <c r="E100" s="1775"/>
      <c r="F100" s="1775"/>
      <c r="G100" s="1775"/>
      <c r="H100" s="1775"/>
      <c r="I100" s="1775"/>
      <c r="J100" s="1775"/>
      <c r="K100" s="1775"/>
      <c r="L100" s="1775"/>
      <c r="M100" s="1775"/>
      <c r="N100" s="1775"/>
      <c r="O100" s="1775"/>
      <c r="P100" s="1775"/>
      <c r="Q100" s="1775"/>
      <c r="R100" s="1775"/>
      <c r="S100" s="1775"/>
      <c r="T100" s="1775"/>
      <c r="U100" s="1775"/>
      <c r="V100" s="1775"/>
      <c r="W100" s="1775"/>
      <c r="X100" s="1775"/>
      <c r="Y100" s="1775"/>
      <c r="Z100" s="1775"/>
      <c r="AA100" s="1775"/>
    </row>
    <row r="101" spans="1:27" x14ac:dyDescent="0.25">
      <c r="A101" s="1775"/>
      <c r="B101" s="1775"/>
      <c r="C101" s="1775"/>
      <c r="D101" s="1775"/>
      <c r="E101" s="1775"/>
      <c r="F101" s="1775"/>
      <c r="G101" s="1775"/>
      <c r="H101" s="1775"/>
      <c r="I101" s="1775"/>
      <c r="J101" s="1775"/>
      <c r="K101" s="1775"/>
      <c r="L101" s="1775"/>
      <c r="M101" s="1775"/>
      <c r="N101" s="1775"/>
      <c r="O101" s="1775"/>
      <c r="P101" s="1775"/>
      <c r="Q101" s="1775"/>
      <c r="R101" s="1775"/>
      <c r="S101" s="1775"/>
      <c r="T101" s="1775"/>
      <c r="U101" s="1775"/>
      <c r="V101" s="1775"/>
      <c r="W101" s="1775"/>
      <c r="X101" s="1775"/>
      <c r="Y101" s="1775"/>
      <c r="Z101" s="1775"/>
      <c r="AA101" s="1775"/>
    </row>
  </sheetData>
  <sheetProtection password="BCD8" sheet="1" objects="1" scenarios="1"/>
  <phoneticPr fontId="0" type="noConversion"/>
  <pageMargins left="0.68" right="0.54" top="1" bottom="1" header="0.5" footer="0.5"/>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goto_interest">
                <anchor moveWithCells="1" sizeWithCells="1">
                  <from>
                    <xdr:col>10</xdr:col>
                    <xdr:colOff>88900</xdr:colOff>
                    <xdr:row>3</xdr:row>
                    <xdr:rowOff>127000</xdr:rowOff>
                  </from>
                  <to>
                    <xdr:col>11</xdr:col>
                    <xdr:colOff>508000</xdr:colOff>
                    <xdr:row>5</xdr:row>
                    <xdr:rowOff>0</xdr:rowOff>
                  </to>
                </anchor>
              </controlPr>
            </control>
          </mc:Choice>
        </mc:AlternateContent>
        <mc:AlternateContent xmlns:mc="http://schemas.openxmlformats.org/markup-compatibility/2006">
          <mc:Choice Requires="x14">
            <control shapeId="81922" r:id="rId5" name="Button 2">
              <controlPr defaultSize="0" print="0" autoFill="0" autoPict="0" macro="[0]!PrintThis">
                <anchor moveWithCells="1" sizeWithCells="1">
                  <from>
                    <xdr:col>10</xdr:col>
                    <xdr:colOff>88900</xdr:colOff>
                    <xdr:row>2</xdr:row>
                    <xdr:rowOff>0</xdr:rowOff>
                  </from>
                  <to>
                    <xdr:col>11</xdr:col>
                    <xdr:colOff>196850</xdr:colOff>
                    <xdr:row>3</xdr:row>
                    <xdr:rowOff>69850</xdr:rowOff>
                  </to>
                </anchor>
              </controlPr>
            </control>
          </mc:Choice>
        </mc:AlternateContent>
        <mc:AlternateContent xmlns:mc="http://schemas.openxmlformats.org/markup-compatibility/2006">
          <mc:Choice Requires="x14">
            <control shapeId="81923" r:id="rId6" name="Button 3">
              <controlPr defaultSize="0" print="0" autoFill="0" autoPict="0" macro="[0]!goto_details">
                <anchor moveWithCells="1" sizeWithCells="1">
                  <from>
                    <xdr:col>0</xdr:col>
                    <xdr:colOff>38100</xdr:colOff>
                    <xdr:row>2</xdr:row>
                    <xdr:rowOff>31750</xdr:rowOff>
                  </from>
                  <to>
                    <xdr:col>1</xdr:col>
                    <xdr:colOff>565150</xdr:colOff>
                    <xdr:row>3</xdr:row>
                    <xdr:rowOff>25400</xdr:rowOff>
                  </to>
                </anchor>
              </controlPr>
            </control>
          </mc:Choice>
        </mc:AlternateContent>
        <mc:AlternateContent xmlns:mc="http://schemas.openxmlformats.org/markup-compatibility/2006">
          <mc:Choice Requires="x14">
            <control shapeId="81924" r:id="rId7" name="globalbacktobutton">
              <controlPr defaultSize="0" print="0" autoFill="0" autoPict="0" macro="[0]!backto">
                <anchor moveWithCells="1" sizeWithCells="1">
                  <from>
                    <xdr:col>10</xdr:col>
                    <xdr:colOff>107950</xdr:colOff>
                    <xdr:row>5</xdr:row>
                    <xdr:rowOff>165100</xdr:rowOff>
                  </from>
                  <to>
                    <xdr:col>11</xdr:col>
                    <xdr:colOff>279400</xdr:colOff>
                    <xdr:row>8</xdr:row>
                    <xdr:rowOff>38100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71A8A-7BE1-4ED9-9CC3-7A2F9830B860}">
  <sheetPr codeName="Sheet20"/>
  <dimension ref="A1:X562"/>
  <sheetViews>
    <sheetView workbookViewId="0">
      <pane ySplit="1" topLeftCell="A2" activePane="bottomLeft" state="frozen"/>
      <selection activeCell="F19" sqref="F19"/>
      <selection pane="bottomLeft" activeCell="A2" sqref="A2"/>
    </sheetView>
  </sheetViews>
  <sheetFormatPr defaultRowHeight="14.5" x14ac:dyDescent="0.35"/>
  <cols>
    <col min="1" max="1" width="28.54296875" customWidth="1"/>
    <col min="2" max="8" width="10.36328125" customWidth="1"/>
    <col min="9" max="9" width="11.36328125" customWidth="1"/>
    <col min="10" max="10" width="13.36328125" customWidth="1"/>
  </cols>
  <sheetData>
    <row r="1" spans="1:24" ht="31.5" customHeight="1" x14ac:dyDescent="0.35">
      <c r="A1" s="981" t="str">
        <f>text!$B$26</f>
        <v>Enter Levying Authority</v>
      </c>
      <c r="B1" s="982" t="s">
        <v>487</v>
      </c>
      <c r="C1" s="982" t="s">
        <v>488</v>
      </c>
      <c r="D1" s="982" t="s">
        <v>489</v>
      </c>
      <c r="E1" s="982" t="s">
        <v>490</v>
      </c>
      <c r="F1" s="982" t="s">
        <v>491</v>
      </c>
      <c r="G1" s="982" t="s">
        <v>492</v>
      </c>
      <c r="H1" s="982" t="s">
        <v>493</v>
      </c>
      <c r="I1" s="983" t="s">
        <v>494</v>
      </c>
      <c r="J1" s="984"/>
      <c r="K1" s="984"/>
      <c r="L1" s="984"/>
      <c r="M1" s="985" t="s">
        <v>495</v>
      </c>
      <c r="N1" s="73"/>
      <c r="O1" s="73"/>
      <c r="P1" s="73"/>
      <c r="Q1" s="73"/>
      <c r="U1">
        <f>MAX(T:T)</f>
        <v>1</v>
      </c>
      <c r="X1" t="s">
        <v>449</v>
      </c>
    </row>
    <row r="2" spans="1:24" x14ac:dyDescent="0.35">
      <c r="A2" s="26"/>
      <c r="B2" s="17">
        <v>0</v>
      </c>
      <c r="C2" s="17">
        <v>0</v>
      </c>
      <c r="D2" s="17">
        <v>0</v>
      </c>
      <c r="E2" s="17">
        <v>0</v>
      </c>
      <c r="F2" s="17">
        <v>0</v>
      </c>
      <c r="G2" s="17">
        <v>0</v>
      </c>
      <c r="H2" s="17">
        <v>0</v>
      </c>
      <c r="I2" s="27">
        <v>6000</v>
      </c>
      <c r="J2" t="s">
        <v>637</v>
      </c>
      <c r="T2">
        <f>1+IF(A2&lt;&gt;"",ROW()-1,0)</f>
        <v>1</v>
      </c>
    </row>
    <row r="3" spans="1:24" x14ac:dyDescent="0.35">
      <c r="A3" s="26"/>
      <c r="B3" s="17"/>
      <c r="C3" s="17"/>
      <c r="D3" s="17"/>
      <c r="E3" s="17"/>
      <c r="F3" s="17"/>
      <c r="G3" s="17"/>
      <c r="H3" s="17"/>
      <c r="I3" s="27"/>
      <c r="T3">
        <f t="shared" ref="T3:T35" si="0">1+IF(A3&lt;&gt;"",ROW()-1,0)</f>
        <v>1</v>
      </c>
    </row>
    <row r="4" spans="1:24" x14ac:dyDescent="0.35">
      <c r="A4" s="26"/>
      <c r="B4" s="17"/>
      <c r="C4" s="17"/>
      <c r="D4" s="17"/>
      <c r="E4" s="17"/>
      <c r="F4" s="17"/>
      <c r="G4" s="17"/>
      <c r="H4" s="17"/>
      <c r="I4" s="27"/>
      <c r="T4">
        <f t="shared" si="0"/>
        <v>1</v>
      </c>
    </row>
    <row r="5" spans="1:24" x14ac:dyDescent="0.35">
      <c r="A5" s="26"/>
      <c r="B5" s="17"/>
      <c r="C5" s="17"/>
      <c r="D5" s="17"/>
      <c r="E5" s="17"/>
      <c r="F5" s="17"/>
      <c r="G5" s="17"/>
      <c r="H5" s="17"/>
      <c r="I5" s="27"/>
      <c r="T5">
        <f t="shared" si="0"/>
        <v>1</v>
      </c>
    </row>
    <row r="6" spans="1:24" x14ac:dyDescent="0.35">
      <c r="A6" s="26"/>
      <c r="B6" s="17"/>
      <c r="C6" s="17"/>
      <c r="D6" s="17"/>
      <c r="E6" s="17"/>
      <c r="F6" s="17"/>
      <c r="G6" s="17"/>
      <c r="H6" s="17"/>
      <c r="I6" s="27"/>
      <c r="T6">
        <f t="shared" si="0"/>
        <v>1</v>
      </c>
    </row>
    <row r="7" spans="1:24" x14ac:dyDescent="0.35">
      <c r="A7" s="26"/>
      <c r="B7" s="17"/>
      <c r="C7" s="17"/>
      <c r="D7" s="17"/>
      <c r="E7" s="17"/>
      <c r="F7" s="17"/>
      <c r="G7" s="17"/>
      <c r="H7" s="17"/>
      <c r="I7" s="27"/>
      <c r="T7">
        <f t="shared" si="0"/>
        <v>1</v>
      </c>
    </row>
    <row r="8" spans="1:24" x14ac:dyDescent="0.35">
      <c r="A8" s="26"/>
      <c r="B8" s="17"/>
      <c r="C8" s="17"/>
      <c r="D8" s="17"/>
      <c r="E8" s="17"/>
      <c r="F8" s="17"/>
      <c r="G8" s="17"/>
      <c r="H8" s="17"/>
      <c r="I8" s="27"/>
      <c r="T8">
        <f t="shared" si="0"/>
        <v>1</v>
      </c>
    </row>
    <row r="9" spans="1:24" x14ac:dyDescent="0.35">
      <c r="A9" s="26"/>
      <c r="B9" s="17"/>
      <c r="C9" s="17"/>
      <c r="D9" s="17"/>
      <c r="E9" s="17"/>
      <c r="F9" s="17"/>
      <c r="G9" s="17"/>
      <c r="H9" s="17"/>
      <c r="I9" s="27"/>
      <c r="T9">
        <f t="shared" si="0"/>
        <v>1</v>
      </c>
    </row>
    <row r="10" spans="1:24" x14ac:dyDescent="0.35">
      <c r="A10" s="26"/>
      <c r="B10" s="17"/>
      <c r="C10" s="17"/>
      <c r="D10" s="17"/>
      <c r="E10" s="17"/>
      <c r="F10" s="17"/>
      <c r="G10" s="17"/>
      <c r="H10" s="17"/>
      <c r="I10" s="27"/>
      <c r="T10">
        <f t="shared" si="0"/>
        <v>1</v>
      </c>
    </row>
    <row r="11" spans="1:24" x14ac:dyDescent="0.35">
      <c r="A11" s="26"/>
      <c r="B11" s="17"/>
      <c r="C11" s="17"/>
      <c r="D11" s="17"/>
      <c r="E11" s="17"/>
      <c r="F11" s="17"/>
      <c r="G11" s="17"/>
      <c r="H11" s="17"/>
      <c r="I11" s="27"/>
      <c r="T11">
        <f t="shared" si="0"/>
        <v>1</v>
      </c>
    </row>
    <row r="12" spans="1:24" x14ac:dyDescent="0.35">
      <c r="A12" s="26"/>
      <c r="B12" s="17"/>
      <c r="C12" s="17"/>
      <c r="D12" s="17"/>
      <c r="E12" s="17"/>
      <c r="F12" s="17"/>
      <c r="G12" s="17"/>
      <c r="H12" s="17"/>
      <c r="I12" s="27"/>
      <c r="T12">
        <f t="shared" si="0"/>
        <v>1</v>
      </c>
    </row>
    <row r="13" spans="1:24" x14ac:dyDescent="0.35">
      <c r="A13" s="26"/>
      <c r="B13" s="17"/>
      <c r="C13" s="17"/>
      <c r="D13" s="17"/>
      <c r="E13" s="17"/>
      <c r="F13" s="17"/>
      <c r="G13" s="17"/>
      <c r="H13" s="17"/>
      <c r="I13" s="27"/>
      <c r="T13">
        <f t="shared" si="0"/>
        <v>1</v>
      </c>
    </row>
    <row r="14" spans="1:24" x14ac:dyDescent="0.35">
      <c r="A14" s="26"/>
      <c r="B14" s="17"/>
      <c r="C14" s="17"/>
      <c r="D14" s="17"/>
      <c r="E14" s="17"/>
      <c r="F14" s="17"/>
      <c r="G14" s="17"/>
      <c r="H14" s="17"/>
      <c r="I14" s="27"/>
      <c r="T14">
        <f t="shared" si="0"/>
        <v>1</v>
      </c>
    </row>
    <row r="15" spans="1:24" x14ac:dyDescent="0.35">
      <c r="A15" s="26"/>
      <c r="B15" s="17"/>
      <c r="C15" s="17"/>
      <c r="D15" s="17"/>
      <c r="E15" s="17"/>
      <c r="F15" s="17"/>
      <c r="G15" s="17"/>
      <c r="H15" s="17"/>
      <c r="I15" s="27"/>
      <c r="T15">
        <f t="shared" si="0"/>
        <v>1</v>
      </c>
    </row>
    <row r="16" spans="1:24" x14ac:dyDescent="0.35">
      <c r="A16" s="26"/>
      <c r="B16" s="17"/>
      <c r="C16" s="17"/>
      <c r="D16" s="17"/>
      <c r="E16" s="17"/>
      <c r="F16" s="17"/>
      <c r="G16" s="17"/>
      <c r="H16" s="17"/>
      <c r="I16" s="27"/>
      <c r="T16">
        <f t="shared" si="0"/>
        <v>1</v>
      </c>
    </row>
    <row r="17" spans="1:20" x14ac:dyDescent="0.35">
      <c r="A17" s="26"/>
      <c r="B17" s="17"/>
      <c r="C17" s="17"/>
      <c r="D17" s="17"/>
      <c r="E17" s="17"/>
      <c r="F17" s="17"/>
      <c r="G17" s="17"/>
      <c r="H17" s="17"/>
      <c r="I17" s="27"/>
      <c r="T17">
        <f t="shared" si="0"/>
        <v>1</v>
      </c>
    </row>
    <row r="18" spans="1:20" x14ac:dyDescent="0.35">
      <c r="A18" s="26"/>
      <c r="B18" s="17"/>
      <c r="C18" s="17"/>
      <c r="D18" s="17"/>
      <c r="E18" s="17"/>
      <c r="F18" s="17"/>
      <c r="G18" s="17"/>
      <c r="H18" s="17"/>
      <c r="I18" s="27"/>
      <c r="T18">
        <f t="shared" si="0"/>
        <v>1</v>
      </c>
    </row>
    <row r="19" spans="1:20" x14ac:dyDescent="0.35">
      <c r="A19" s="26"/>
      <c r="B19" s="17"/>
      <c r="C19" s="17"/>
      <c r="D19" s="17"/>
      <c r="E19" s="17"/>
      <c r="F19" s="17"/>
      <c r="G19" s="17"/>
      <c r="H19" s="17"/>
      <c r="I19" s="27"/>
      <c r="T19">
        <f t="shared" si="0"/>
        <v>1</v>
      </c>
    </row>
    <row r="20" spans="1:20" x14ac:dyDescent="0.35">
      <c r="A20" s="26"/>
      <c r="B20" s="17"/>
      <c r="C20" s="17"/>
      <c r="D20" s="17"/>
      <c r="E20" s="17"/>
      <c r="F20" s="17"/>
      <c r="G20" s="17"/>
      <c r="H20" s="17"/>
      <c r="I20" s="27"/>
      <c r="T20">
        <f t="shared" si="0"/>
        <v>1</v>
      </c>
    </row>
    <row r="21" spans="1:20" x14ac:dyDescent="0.35">
      <c r="A21" s="26"/>
      <c r="B21" s="17"/>
      <c r="C21" s="17"/>
      <c r="D21" s="17"/>
      <c r="E21" s="17"/>
      <c r="F21" s="17"/>
      <c r="G21" s="17"/>
      <c r="H21" s="17"/>
      <c r="I21" s="27"/>
      <c r="T21">
        <f t="shared" si="0"/>
        <v>1</v>
      </c>
    </row>
    <row r="22" spans="1:20" x14ac:dyDescent="0.35">
      <c r="A22" s="26"/>
      <c r="B22" s="17"/>
      <c r="C22" s="17"/>
      <c r="D22" s="17"/>
      <c r="E22" s="17"/>
      <c r="F22" s="17"/>
      <c r="G22" s="17"/>
      <c r="H22" s="17"/>
      <c r="I22" s="27"/>
      <c r="T22">
        <f t="shared" si="0"/>
        <v>1</v>
      </c>
    </row>
    <row r="23" spans="1:20" x14ac:dyDescent="0.35">
      <c r="A23" s="26"/>
      <c r="B23" s="17"/>
      <c r="C23" s="17"/>
      <c r="D23" s="17"/>
      <c r="E23" s="17"/>
      <c r="F23" s="17"/>
      <c r="G23" s="17"/>
      <c r="H23" s="17"/>
      <c r="I23" s="27"/>
      <c r="T23">
        <f t="shared" si="0"/>
        <v>1</v>
      </c>
    </row>
    <row r="24" spans="1:20" x14ac:dyDescent="0.35">
      <c r="A24" s="26"/>
      <c r="B24" s="17"/>
      <c r="C24" s="17"/>
      <c r="D24" s="17"/>
      <c r="E24" s="17"/>
      <c r="F24" s="17"/>
      <c r="G24" s="17"/>
      <c r="H24" s="17"/>
      <c r="I24" s="27"/>
      <c r="T24">
        <f t="shared" si="0"/>
        <v>1</v>
      </c>
    </row>
    <row r="25" spans="1:20" x14ac:dyDescent="0.35">
      <c r="A25" s="26"/>
      <c r="B25" s="17"/>
      <c r="C25" s="17"/>
      <c r="D25" s="17"/>
      <c r="E25" s="17"/>
      <c r="F25" s="17"/>
      <c r="G25" s="17"/>
      <c r="H25" s="17"/>
      <c r="I25" s="27"/>
      <c r="T25">
        <f t="shared" si="0"/>
        <v>1</v>
      </c>
    </row>
    <row r="26" spans="1:20" x14ac:dyDescent="0.35">
      <c r="A26" s="26"/>
      <c r="B26" s="17"/>
      <c r="C26" s="17"/>
      <c r="D26" s="17"/>
      <c r="E26" s="17"/>
      <c r="F26" s="17"/>
      <c r="G26" s="17"/>
      <c r="H26" s="17"/>
      <c r="I26" s="27"/>
      <c r="T26">
        <f t="shared" si="0"/>
        <v>1</v>
      </c>
    </row>
    <row r="27" spans="1:20" x14ac:dyDescent="0.35">
      <c r="A27" s="26"/>
      <c r="B27" s="17"/>
      <c r="C27" s="17"/>
      <c r="D27" s="17"/>
      <c r="E27" s="17"/>
      <c r="F27" s="17"/>
      <c r="G27" s="17"/>
      <c r="H27" s="17"/>
      <c r="I27" s="27"/>
      <c r="T27">
        <f t="shared" si="0"/>
        <v>1</v>
      </c>
    </row>
    <row r="28" spans="1:20" x14ac:dyDescent="0.35">
      <c r="A28" s="26"/>
      <c r="B28" s="17"/>
      <c r="C28" s="17"/>
      <c r="D28" s="17"/>
      <c r="E28" s="17"/>
      <c r="F28" s="17"/>
      <c r="G28" s="17"/>
      <c r="H28" s="17"/>
      <c r="I28" s="27"/>
      <c r="T28">
        <f t="shared" si="0"/>
        <v>1</v>
      </c>
    </row>
    <row r="29" spans="1:20" x14ac:dyDescent="0.35">
      <c r="A29" s="26"/>
      <c r="B29" s="17"/>
      <c r="C29" s="17"/>
      <c r="D29" s="17"/>
      <c r="E29" s="17"/>
      <c r="F29" s="17"/>
      <c r="G29" s="17"/>
      <c r="H29" s="17"/>
      <c r="I29" s="27"/>
      <c r="T29">
        <f t="shared" si="0"/>
        <v>1</v>
      </c>
    </row>
    <row r="30" spans="1:20" x14ac:dyDescent="0.35">
      <c r="A30" s="26"/>
      <c r="B30" s="17"/>
      <c r="C30" s="17"/>
      <c r="D30" s="17"/>
      <c r="E30" s="17"/>
      <c r="F30" s="17"/>
      <c r="G30" s="17"/>
      <c r="H30" s="17"/>
      <c r="I30" s="27"/>
      <c r="T30">
        <f t="shared" si="0"/>
        <v>1</v>
      </c>
    </row>
    <row r="31" spans="1:20" x14ac:dyDescent="0.35">
      <c r="A31" s="26"/>
      <c r="B31" s="17"/>
      <c r="C31" s="17"/>
      <c r="D31" s="17"/>
      <c r="E31" s="17"/>
      <c r="F31" s="17"/>
      <c r="G31" s="17"/>
      <c r="H31" s="17"/>
      <c r="I31" s="27"/>
      <c r="T31">
        <f t="shared" si="0"/>
        <v>1</v>
      </c>
    </row>
    <row r="32" spans="1:20" x14ac:dyDescent="0.35">
      <c r="A32" s="26"/>
      <c r="B32" s="17"/>
      <c r="C32" s="17"/>
      <c r="D32" s="17"/>
      <c r="E32" s="17"/>
      <c r="F32" s="17"/>
      <c r="G32" s="17"/>
      <c r="H32" s="17"/>
      <c r="I32" s="27"/>
      <c r="T32">
        <f t="shared" si="0"/>
        <v>1</v>
      </c>
    </row>
    <row r="33" spans="1:20" x14ac:dyDescent="0.35">
      <c r="A33" s="26"/>
      <c r="B33" s="17"/>
      <c r="C33" s="17"/>
      <c r="D33" s="17"/>
      <c r="E33" s="17"/>
      <c r="F33" s="17"/>
      <c r="G33" s="17"/>
      <c r="H33" s="17"/>
      <c r="I33" s="27"/>
      <c r="T33">
        <f t="shared" si="0"/>
        <v>1</v>
      </c>
    </row>
    <row r="34" spans="1:20" x14ac:dyDescent="0.35">
      <c r="A34" s="26"/>
      <c r="B34" s="17"/>
      <c r="C34" s="17"/>
      <c r="D34" s="17"/>
      <c r="E34" s="17"/>
      <c r="F34" s="17"/>
      <c r="G34" s="17"/>
      <c r="H34" s="17"/>
      <c r="I34" s="27"/>
      <c r="T34">
        <f t="shared" si="0"/>
        <v>1</v>
      </c>
    </row>
    <row r="35" spans="1:20" x14ac:dyDescent="0.35">
      <c r="A35" s="26"/>
      <c r="B35" s="17"/>
      <c r="C35" s="17"/>
      <c r="D35" s="17"/>
      <c r="E35" s="17"/>
      <c r="F35" s="17"/>
      <c r="G35" s="17"/>
      <c r="H35" s="17"/>
      <c r="I35" s="27"/>
      <c r="T35">
        <f t="shared" si="0"/>
        <v>1</v>
      </c>
    </row>
    <row r="36" spans="1:20" x14ac:dyDescent="0.35">
      <c r="A36" s="26"/>
      <c r="B36" s="17"/>
      <c r="C36" s="17"/>
      <c r="D36" s="17"/>
      <c r="E36" s="17"/>
      <c r="F36" s="17"/>
      <c r="G36" s="17"/>
      <c r="H36" s="17"/>
      <c r="I36" s="27"/>
    </row>
    <row r="37" spans="1:20" x14ac:dyDescent="0.35">
      <c r="A37" s="26"/>
      <c r="B37" s="17"/>
      <c r="C37" s="17"/>
      <c r="D37" s="17"/>
      <c r="E37" s="17"/>
      <c r="F37" s="17"/>
      <c r="G37" s="17"/>
      <c r="H37" s="17"/>
      <c r="I37" s="27"/>
    </row>
    <row r="38" spans="1:20" x14ac:dyDescent="0.35">
      <c r="A38" s="26"/>
      <c r="B38" s="17"/>
      <c r="C38" s="17"/>
      <c r="D38" s="17"/>
      <c r="E38" s="17"/>
      <c r="F38" s="17"/>
      <c r="G38" s="17"/>
      <c r="H38" s="17"/>
      <c r="I38" s="27"/>
    </row>
    <row r="39" spans="1:20" x14ac:dyDescent="0.35">
      <c r="A39" s="26"/>
      <c r="B39" s="17"/>
      <c r="C39" s="17"/>
      <c r="D39" s="17"/>
      <c r="E39" s="17"/>
      <c r="F39" s="17"/>
      <c r="G39" s="17"/>
      <c r="H39" s="17"/>
      <c r="I39" s="27"/>
    </row>
    <row r="40" spans="1:20" x14ac:dyDescent="0.35">
      <c r="A40" s="26"/>
      <c r="B40" s="17"/>
      <c r="C40" s="17"/>
      <c r="D40" s="17"/>
      <c r="E40" s="17"/>
      <c r="F40" s="17"/>
      <c r="G40" s="17"/>
      <c r="H40" s="17"/>
      <c r="I40" s="27"/>
    </row>
    <row r="41" spans="1:20" x14ac:dyDescent="0.35">
      <c r="A41" s="26"/>
      <c r="B41" s="17"/>
      <c r="C41" s="17"/>
      <c r="D41" s="17"/>
      <c r="E41" s="17"/>
      <c r="F41" s="17"/>
      <c r="G41" s="17"/>
      <c r="H41" s="17"/>
      <c r="I41" s="27"/>
    </row>
    <row r="42" spans="1:20" x14ac:dyDescent="0.35">
      <c r="A42" s="26"/>
      <c r="B42" s="17"/>
      <c r="C42" s="17"/>
      <c r="D42" s="17"/>
      <c r="E42" s="17"/>
      <c r="F42" s="17"/>
      <c r="G42" s="17"/>
      <c r="H42" s="17"/>
      <c r="I42" s="27"/>
    </row>
    <row r="43" spans="1:20" x14ac:dyDescent="0.35">
      <c r="A43" s="26"/>
      <c r="B43" s="17"/>
      <c r="C43" s="17"/>
      <c r="D43" s="17"/>
      <c r="E43" s="17"/>
      <c r="F43" s="17"/>
      <c r="G43" s="17"/>
      <c r="H43" s="17"/>
      <c r="I43" s="27"/>
    </row>
    <row r="44" spans="1:20" x14ac:dyDescent="0.35">
      <c r="A44" s="26"/>
      <c r="B44" s="17"/>
      <c r="C44" s="17"/>
      <c r="D44" s="17"/>
      <c r="E44" s="17"/>
      <c r="F44" s="17"/>
      <c r="G44" s="17"/>
      <c r="H44" s="17"/>
      <c r="I44" s="27"/>
    </row>
    <row r="45" spans="1:20" x14ac:dyDescent="0.35">
      <c r="A45" s="26"/>
      <c r="B45" s="17"/>
      <c r="C45" s="17"/>
      <c r="D45" s="17"/>
      <c r="E45" s="17"/>
      <c r="F45" s="17"/>
      <c r="G45" s="17"/>
      <c r="H45" s="17"/>
      <c r="I45" s="27"/>
    </row>
    <row r="46" spans="1:20" x14ac:dyDescent="0.35">
      <c r="A46" s="26"/>
      <c r="B46" s="17"/>
      <c r="C46" s="17"/>
      <c r="D46" s="17"/>
      <c r="E46" s="17"/>
      <c r="F46" s="17"/>
      <c r="G46" s="17"/>
      <c r="H46" s="17"/>
      <c r="I46" s="27"/>
    </row>
    <row r="47" spans="1:20" x14ac:dyDescent="0.35">
      <c r="A47" s="26"/>
      <c r="B47" s="17"/>
      <c r="C47" s="17"/>
      <c r="D47" s="17"/>
      <c r="E47" s="17"/>
      <c r="F47" s="17"/>
      <c r="G47" s="17"/>
      <c r="H47" s="17"/>
      <c r="I47" s="27"/>
    </row>
    <row r="48" spans="1:20" x14ac:dyDescent="0.35">
      <c r="A48" s="26"/>
      <c r="B48" s="17"/>
      <c r="C48" s="17"/>
      <c r="D48" s="17"/>
      <c r="E48" s="17"/>
      <c r="F48" s="17"/>
      <c r="G48" s="17"/>
      <c r="H48" s="17"/>
      <c r="I48" s="27"/>
    </row>
    <row r="49" spans="1:9" x14ac:dyDescent="0.35">
      <c r="A49" s="26"/>
      <c r="B49" s="17"/>
      <c r="C49" s="17"/>
      <c r="D49" s="17"/>
      <c r="E49" s="17"/>
      <c r="F49" s="17"/>
      <c r="G49" s="17"/>
      <c r="H49" s="17"/>
      <c r="I49" s="27"/>
    </row>
    <row r="50" spans="1:9" x14ac:dyDescent="0.35">
      <c r="A50" s="26"/>
      <c r="B50" s="17"/>
      <c r="C50" s="17"/>
      <c r="D50" s="17"/>
      <c r="E50" s="17"/>
      <c r="F50" s="17"/>
      <c r="G50" s="17"/>
      <c r="H50" s="17"/>
      <c r="I50" s="27"/>
    </row>
    <row r="51" spans="1:9" x14ac:dyDescent="0.35">
      <c r="A51" s="26"/>
      <c r="B51" s="17"/>
      <c r="C51" s="17"/>
      <c r="D51" s="17"/>
      <c r="E51" s="17"/>
      <c r="F51" s="17"/>
      <c r="G51" s="17"/>
      <c r="H51" s="17"/>
      <c r="I51" s="27"/>
    </row>
    <row r="52" spans="1:9" x14ac:dyDescent="0.35">
      <c r="A52" s="26"/>
      <c r="B52" s="17"/>
      <c r="C52" s="17"/>
      <c r="D52" s="17"/>
      <c r="E52" s="17"/>
      <c r="F52" s="17"/>
      <c r="G52" s="17"/>
      <c r="H52" s="17"/>
      <c r="I52" s="27"/>
    </row>
    <row r="53" spans="1:9" x14ac:dyDescent="0.35">
      <c r="A53" s="26"/>
      <c r="B53" s="17"/>
      <c r="C53" s="17"/>
      <c r="D53" s="17"/>
      <c r="E53" s="17"/>
      <c r="F53" s="17"/>
      <c r="G53" s="17"/>
      <c r="H53" s="17"/>
      <c r="I53" s="27"/>
    </row>
    <row r="54" spans="1:9" x14ac:dyDescent="0.35">
      <c r="A54" s="26"/>
      <c r="B54" s="17"/>
      <c r="C54" s="17"/>
      <c r="D54" s="17"/>
      <c r="E54" s="17"/>
      <c r="F54" s="17"/>
      <c r="G54" s="17"/>
      <c r="H54" s="17"/>
      <c r="I54" s="27"/>
    </row>
    <row r="55" spans="1:9" x14ac:dyDescent="0.35">
      <c r="A55" s="26"/>
      <c r="B55" s="17"/>
      <c r="C55" s="17"/>
      <c r="D55" s="17"/>
      <c r="E55" s="17"/>
      <c r="F55" s="17"/>
      <c r="G55" s="17"/>
      <c r="H55" s="17"/>
      <c r="I55" s="27"/>
    </row>
    <row r="56" spans="1:9" x14ac:dyDescent="0.35">
      <c r="A56" s="26"/>
      <c r="B56" s="17"/>
      <c r="C56" s="17"/>
      <c r="D56" s="17"/>
      <c r="E56" s="17"/>
      <c r="F56" s="17"/>
      <c r="G56" s="17"/>
      <c r="H56" s="17"/>
      <c r="I56" s="27"/>
    </row>
    <row r="57" spans="1:9" x14ac:dyDescent="0.35">
      <c r="A57" s="26"/>
      <c r="B57" s="17"/>
      <c r="C57" s="17"/>
      <c r="D57" s="17"/>
      <c r="E57" s="17"/>
      <c r="F57" s="17"/>
      <c r="G57" s="17"/>
      <c r="H57" s="17"/>
      <c r="I57" s="27"/>
    </row>
    <row r="58" spans="1:9" x14ac:dyDescent="0.35">
      <c r="A58" s="26"/>
      <c r="B58" s="17"/>
      <c r="C58" s="17"/>
      <c r="D58" s="17"/>
      <c r="E58" s="17"/>
      <c r="F58" s="17"/>
      <c r="G58" s="17"/>
      <c r="H58" s="17"/>
      <c r="I58" s="27"/>
    </row>
    <row r="59" spans="1:9" x14ac:dyDescent="0.35">
      <c r="A59" s="26"/>
      <c r="B59" s="17"/>
      <c r="C59" s="17"/>
      <c r="D59" s="17"/>
      <c r="E59" s="17"/>
      <c r="F59" s="17"/>
      <c r="G59" s="17"/>
      <c r="H59" s="17"/>
      <c r="I59" s="27"/>
    </row>
    <row r="60" spans="1:9" x14ac:dyDescent="0.35">
      <c r="A60" s="26"/>
      <c r="B60" s="17"/>
      <c r="C60" s="17"/>
      <c r="D60" s="17"/>
      <c r="E60" s="17"/>
      <c r="F60" s="17"/>
      <c r="G60" s="17"/>
      <c r="H60" s="17"/>
      <c r="I60" s="27"/>
    </row>
    <row r="61" spans="1:9" x14ac:dyDescent="0.35">
      <c r="A61" s="26"/>
      <c r="B61" s="17"/>
      <c r="C61" s="17"/>
      <c r="D61" s="17"/>
      <c r="E61" s="17"/>
      <c r="F61" s="17"/>
      <c r="G61" s="17"/>
      <c r="H61" s="17"/>
      <c r="I61" s="27"/>
    </row>
    <row r="62" spans="1:9" x14ac:dyDescent="0.35">
      <c r="A62" s="26"/>
      <c r="B62" s="17"/>
      <c r="C62" s="17"/>
      <c r="D62" s="17"/>
      <c r="E62" s="17"/>
      <c r="F62" s="17"/>
      <c r="G62" s="17"/>
      <c r="H62" s="17"/>
      <c r="I62" s="27"/>
    </row>
    <row r="63" spans="1:9" x14ac:dyDescent="0.35">
      <c r="A63" s="26"/>
      <c r="B63" s="17"/>
      <c r="C63" s="17"/>
      <c r="D63" s="17"/>
      <c r="E63" s="17"/>
      <c r="F63" s="17"/>
      <c r="G63" s="17"/>
      <c r="H63" s="17"/>
      <c r="I63" s="27"/>
    </row>
    <row r="64" spans="1:9" x14ac:dyDescent="0.35">
      <c r="A64" s="26"/>
      <c r="B64" s="17"/>
      <c r="C64" s="17"/>
      <c r="D64" s="17"/>
      <c r="E64" s="17"/>
      <c r="F64" s="17"/>
      <c r="G64" s="17"/>
      <c r="H64" s="17"/>
      <c r="I64" s="27"/>
    </row>
    <row r="65" spans="1:9" x14ac:dyDescent="0.35">
      <c r="A65" s="26"/>
      <c r="B65" s="17"/>
      <c r="C65" s="17"/>
      <c r="D65" s="17"/>
      <c r="E65" s="17"/>
      <c r="F65" s="17"/>
      <c r="G65" s="17"/>
      <c r="H65" s="17"/>
      <c r="I65" s="27"/>
    </row>
    <row r="66" spans="1:9" x14ac:dyDescent="0.35">
      <c r="A66" s="26"/>
      <c r="B66" s="17"/>
      <c r="C66" s="17"/>
      <c r="D66" s="17"/>
      <c r="E66" s="17"/>
      <c r="F66" s="17"/>
      <c r="G66" s="17"/>
      <c r="H66" s="17"/>
      <c r="I66" s="27"/>
    </row>
    <row r="67" spans="1:9" x14ac:dyDescent="0.35">
      <c r="A67" s="26"/>
      <c r="B67" s="17"/>
      <c r="C67" s="17"/>
      <c r="D67" s="17"/>
      <c r="E67" s="17"/>
      <c r="F67" s="17"/>
      <c r="G67" s="17"/>
      <c r="H67" s="17"/>
      <c r="I67" s="27"/>
    </row>
    <row r="68" spans="1:9" x14ac:dyDescent="0.35">
      <c r="A68" s="26"/>
      <c r="B68" s="17"/>
      <c r="C68" s="17"/>
      <c r="D68" s="17"/>
      <c r="E68" s="17"/>
      <c r="F68" s="17"/>
      <c r="G68" s="17"/>
      <c r="H68" s="17"/>
      <c r="I68" s="27"/>
    </row>
    <row r="69" spans="1:9" x14ac:dyDescent="0.35">
      <c r="A69" s="26"/>
      <c r="B69" s="17"/>
      <c r="C69" s="17"/>
      <c r="D69" s="17"/>
      <c r="E69" s="17"/>
      <c r="F69" s="17"/>
      <c r="G69" s="17"/>
      <c r="H69" s="17"/>
      <c r="I69" s="27"/>
    </row>
    <row r="70" spans="1:9" x14ac:dyDescent="0.35">
      <c r="A70" s="26"/>
      <c r="B70" s="17"/>
      <c r="C70" s="17"/>
      <c r="D70" s="17"/>
      <c r="E70" s="17"/>
      <c r="F70" s="17"/>
      <c r="G70" s="17"/>
      <c r="H70" s="17"/>
      <c r="I70" s="27"/>
    </row>
    <row r="71" spans="1:9" x14ac:dyDescent="0.35">
      <c r="A71" s="26"/>
      <c r="B71" s="17"/>
      <c r="C71" s="17"/>
      <c r="D71" s="17"/>
      <c r="E71" s="17"/>
      <c r="F71" s="17"/>
      <c r="G71" s="17"/>
      <c r="H71" s="17"/>
      <c r="I71" s="27"/>
    </row>
    <row r="72" spans="1:9" x14ac:dyDescent="0.35">
      <c r="A72" s="26"/>
      <c r="B72" s="17"/>
      <c r="C72" s="17"/>
      <c r="D72" s="17"/>
      <c r="E72" s="17"/>
      <c r="F72" s="17"/>
      <c r="G72" s="17"/>
      <c r="H72" s="17"/>
      <c r="I72" s="27"/>
    </row>
    <row r="73" spans="1:9" x14ac:dyDescent="0.35">
      <c r="A73" s="26"/>
      <c r="B73" s="17"/>
      <c r="C73" s="17"/>
      <c r="D73" s="17"/>
      <c r="E73" s="17"/>
      <c r="F73" s="17"/>
      <c r="G73" s="17"/>
      <c r="H73" s="17"/>
      <c r="I73" s="27"/>
    </row>
    <row r="74" spans="1:9" x14ac:dyDescent="0.35">
      <c r="A74" s="26"/>
      <c r="B74" s="17"/>
      <c r="C74" s="17"/>
      <c r="D74" s="17"/>
      <c r="E74" s="17"/>
      <c r="F74" s="17"/>
      <c r="G74" s="17"/>
      <c r="H74" s="17"/>
      <c r="I74" s="27"/>
    </row>
    <row r="75" spans="1:9" x14ac:dyDescent="0.35">
      <c r="A75" s="26"/>
      <c r="B75" s="17"/>
      <c r="C75" s="17"/>
      <c r="D75" s="17"/>
      <c r="E75" s="17"/>
      <c r="F75" s="17"/>
      <c r="G75" s="17"/>
      <c r="H75" s="17"/>
      <c r="I75" s="27"/>
    </row>
    <row r="76" spans="1:9" x14ac:dyDescent="0.35">
      <c r="A76" s="26"/>
      <c r="B76" s="17"/>
      <c r="C76" s="17"/>
      <c r="D76" s="17"/>
      <c r="E76" s="17"/>
      <c r="F76" s="17"/>
      <c r="G76" s="17"/>
      <c r="H76" s="17"/>
      <c r="I76" s="27"/>
    </row>
    <row r="77" spans="1:9" x14ac:dyDescent="0.35">
      <c r="A77" s="26"/>
      <c r="B77" s="17"/>
      <c r="C77" s="17"/>
      <c r="D77" s="17"/>
      <c r="E77" s="17"/>
      <c r="F77" s="17"/>
      <c r="G77" s="17"/>
      <c r="H77" s="17"/>
      <c r="I77" s="27"/>
    </row>
    <row r="78" spans="1:9" x14ac:dyDescent="0.35">
      <c r="A78" s="26"/>
      <c r="B78" s="17"/>
      <c r="C78" s="17"/>
      <c r="D78" s="17"/>
      <c r="E78" s="17"/>
      <c r="F78" s="17"/>
      <c r="G78" s="17"/>
      <c r="H78" s="17"/>
      <c r="I78" s="27"/>
    </row>
    <row r="79" spans="1:9" x14ac:dyDescent="0.35">
      <c r="A79" s="26"/>
      <c r="B79" s="17"/>
      <c r="C79" s="17"/>
      <c r="D79" s="17"/>
      <c r="E79" s="17"/>
      <c r="F79" s="17"/>
      <c r="G79" s="17"/>
      <c r="H79" s="17"/>
      <c r="I79" s="27"/>
    </row>
    <row r="80" spans="1:9" x14ac:dyDescent="0.35">
      <c r="A80" s="26"/>
      <c r="B80" s="17"/>
      <c r="C80" s="17"/>
      <c r="D80" s="17"/>
      <c r="E80" s="17"/>
      <c r="F80" s="17"/>
      <c r="G80" s="17"/>
      <c r="H80" s="17"/>
      <c r="I80" s="27"/>
    </row>
    <row r="81" spans="1:9" x14ac:dyDescent="0.35">
      <c r="A81" s="26"/>
      <c r="B81" s="17"/>
      <c r="C81" s="17"/>
      <c r="D81" s="17"/>
      <c r="E81" s="17"/>
      <c r="F81" s="17"/>
      <c r="G81" s="17"/>
      <c r="H81" s="17"/>
      <c r="I81" s="27"/>
    </row>
    <row r="82" spans="1:9" x14ac:dyDescent="0.35">
      <c r="A82" s="26"/>
      <c r="B82" s="17"/>
      <c r="C82" s="17"/>
      <c r="D82" s="17"/>
      <c r="E82" s="17"/>
      <c r="F82" s="17"/>
      <c r="G82" s="17"/>
      <c r="H82" s="17"/>
      <c r="I82" s="27"/>
    </row>
    <row r="83" spans="1:9" x14ac:dyDescent="0.35">
      <c r="A83" s="26"/>
      <c r="B83" s="17"/>
      <c r="C83" s="17"/>
      <c r="D83" s="17"/>
      <c r="E83" s="17"/>
      <c r="F83" s="17"/>
      <c r="G83" s="17"/>
      <c r="H83" s="17"/>
      <c r="I83" s="27"/>
    </row>
    <row r="84" spans="1:9" x14ac:dyDescent="0.35">
      <c r="A84" s="26"/>
      <c r="B84" s="17"/>
      <c r="C84" s="17"/>
      <c r="D84" s="17"/>
      <c r="E84" s="17"/>
      <c r="F84" s="17"/>
      <c r="G84" s="17"/>
      <c r="H84" s="17"/>
      <c r="I84" s="27"/>
    </row>
    <row r="85" spans="1:9" x14ac:dyDescent="0.35">
      <c r="A85" s="26"/>
      <c r="B85" s="17"/>
      <c r="C85" s="17"/>
      <c r="D85" s="17"/>
      <c r="E85" s="17"/>
      <c r="F85" s="17"/>
      <c r="G85" s="17"/>
      <c r="H85" s="17"/>
      <c r="I85" s="27"/>
    </row>
    <row r="86" spans="1:9" x14ac:dyDescent="0.35">
      <c r="A86" s="26"/>
      <c r="B86" s="17"/>
      <c r="C86" s="17"/>
      <c r="D86" s="17"/>
      <c r="E86" s="17"/>
      <c r="F86" s="17"/>
      <c r="G86" s="17"/>
      <c r="H86" s="17"/>
      <c r="I86" s="27"/>
    </row>
    <row r="87" spans="1:9" x14ac:dyDescent="0.35">
      <c r="A87" s="26"/>
      <c r="B87" s="17"/>
      <c r="C87" s="17"/>
      <c r="D87" s="17"/>
      <c r="E87" s="17"/>
      <c r="F87" s="17"/>
      <c r="G87" s="17"/>
      <c r="H87" s="17"/>
      <c r="I87" s="27"/>
    </row>
    <row r="88" spans="1:9" x14ac:dyDescent="0.35">
      <c r="A88" s="26"/>
      <c r="B88" s="17"/>
      <c r="C88" s="17"/>
      <c r="D88" s="17"/>
      <c r="E88" s="17"/>
      <c r="F88" s="17"/>
      <c r="G88" s="17"/>
      <c r="H88" s="17"/>
      <c r="I88" s="27"/>
    </row>
    <row r="89" spans="1:9" x14ac:dyDescent="0.35">
      <c r="A89" s="26"/>
      <c r="B89" s="17"/>
      <c r="C89" s="17"/>
      <c r="D89" s="17"/>
      <c r="E89" s="17"/>
      <c r="F89" s="17"/>
      <c r="G89" s="17"/>
      <c r="H89" s="17"/>
      <c r="I89" s="27"/>
    </row>
    <row r="90" spans="1:9" x14ac:dyDescent="0.35">
      <c r="A90" s="26"/>
      <c r="B90" s="17"/>
      <c r="C90" s="17"/>
      <c r="D90" s="17"/>
      <c r="E90" s="17"/>
      <c r="F90" s="17"/>
      <c r="G90" s="17"/>
      <c r="H90" s="17"/>
      <c r="I90" s="27"/>
    </row>
    <row r="91" spans="1:9" x14ac:dyDescent="0.35">
      <c r="A91" s="26"/>
      <c r="B91" s="17"/>
      <c r="C91" s="17"/>
      <c r="D91" s="17"/>
      <c r="E91" s="17"/>
      <c r="F91" s="17"/>
      <c r="G91" s="17"/>
      <c r="H91" s="17"/>
      <c r="I91" s="27"/>
    </row>
    <row r="92" spans="1:9" x14ac:dyDescent="0.35">
      <c r="A92" s="26"/>
      <c r="B92" s="17"/>
      <c r="C92" s="17"/>
      <c r="D92" s="17"/>
      <c r="E92" s="17"/>
      <c r="F92" s="17"/>
      <c r="G92" s="17"/>
      <c r="H92" s="17"/>
      <c r="I92" s="27"/>
    </row>
    <row r="93" spans="1:9" x14ac:dyDescent="0.35">
      <c r="A93" s="26"/>
      <c r="B93" s="17"/>
      <c r="C93" s="17"/>
      <c r="D93" s="17"/>
      <c r="E93" s="17"/>
      <c r="F93" s="17"/>
      <c r="G93" s="17"/>
      <c r="H93" s="17"/>
      <c r="I93" s="27"/>
    </row>
    <row r="94" spans="1:9" x14ac:dyDescent="0.35">
      <c r="A94" s="26"/>
      <c r="B94" s="17"/>
      <c r="C94" s="17"/>
      <c r="D94" s="17"/>
      <c r="E94" s="17"/>
      <c r="F94" s="17"/>
      <c r="G94" s="17"/>
      <c r="H94" s="17"/>
      <c r="I94" s="27"/>
    </row>
    <row r="95" spans="1:9" x14ac:dyDescent="0.35">
      <c r="A95" s="26"/>
      <c r="B95" s="17"/>
      <c r="C95" s="17"/>
      <c r="D95" s="17"/>
      <c r="E95" s="17"/>
      <c r="F95" s="17"/>
      <c r="G95" s="17"/>
      <c r="H95" s="17"/>
      <c r="I95" s="27"/>
    </row>
    <row r="96" spans="1:9" x14ac:dyDescent="0.35">
      <c r="A96" s="26"/>
      <c r="B96" s="17"/>
      <c r="C96" s="17"/>
      <c r="D96" s="17"/>
      <c r="E96" s="17"/>
      <c r="F96" s="17"/>
      <c r="G96" s="17"/>
      <c r="H96" s="17"/>
      <c r="I96" s="27"/>
    </row>
    <row r="97" spans="1:9" x14ac:dyDescent="0.35">
      <c r="A97" s="26"/>
      <c r="B97" s="17"/>
      <c r="C97" s="17"/>
      <c r="D97" s="17"/>
      <c r="E97" s="17"/>
      <c r="F97" s="17"/>
      <c r="G97" s="17"/>
      <c r="H97" s="17"/>
      <c r="I97" s="27"/>
    </row>
    <row r="98" spans="1:9" x14ac:dyDescent="0.35">
      <c r="A98" s="26"/>
      <c r="B98" s="17"/>
      <c r="C98" s="17"/>
      <c r="D98" s="17"/>
      <c r="E98" s="17"/>
      <c r="F98" s="17"/>
      <c r="G98" s="17"/>
      <c r="H98" s="17"/>
      <c r="I98" s="27"/>
    </row>
    <row r="99" spans="1:9" x14ac:dyDescent="0.35">
      <c r="A99" s="26"/>
      <c r="B99" s="17"/>
      <c r="C99" s="17"/>
      <c r="D99" s="17"/>
      <c r="E99" s="17"/>
      <c r="F99" s="17"/>
      <c r="G99" s="17"/>
      <c r="H99" s="17"/>
      <c r="I99" s="27"/>
    </row>
    <row r="100" spans="1:9" x14ac:dyDescent="0.35">
      <c r="A100" s="26"/>
      <c r="B100" s="17"/>
      <c r="C100" s="17"/>
      <c r="D100" s="17"/>
      <c r="E100" s="17"/>
      <c r="F100" s="17"/>
      <c r="G100" s="17"/>
      <c r="H100" s="17"/>
      <c r="I100" s="27"/>
    </row>
    <row r="101" spans="1:9" x14ac:dyDescent="0.35">
      <c r="A101" s="26"/>
      <c r="B101" s="17"/>
      <c r="C101" s="17"/>
      <c r="D101" s="17"/>
      <c r="E101" s="17"/>
      <c r="F101" s="17"/>
      <c r="G101" s="17"/>
      <c r="H101" s="17"/>
      <c r="I101" s="27"/>
    </row>
    <row r="102" spans="1:9" x14ac:dyDescent="0.35">
      <c r="A102" s="26"/>
      <c r="B102" s="17"/>
      <c r="C102" s="17"/>
      <c r="D102" s="17"/>
      <c r="E102" s="17"/>
      <c r="F102" s="17"/>
      <c r="G102" s="17"/>
      <c r="H102" s="17"/>
      <c r="I102" s="27"/>
    </row>
    <row r="103" spans="1:9" x14ac:dyDescent="0.35">
      <c r="A103" s="26"/>
      <c r="B103" s="17"/>
      <c r="C103" s="17"/>
      <c r="D103" s="17"/>
      <c r="E103" s="17"/>
      <c r="F103" s="17"/>
      <c r="G103" s="17"/>
      <c r="H103" s="17"/>
      <c r="I103" s="27"/>
    </row>
    <row r="104" spans="1:9" x14ac:dyDescent="0.35">
      <c r="A104" s="26"/>
      <c r="B104" s="17"/>
      <c r="C104" s="17"/>
      <c r="D104" s="17"/>
      <c r="E104" s="17"/>
      <c r="F104" s="17"/>
      <c r="G104" s="17"/>
      <c r="H104" s="17"/>
      <c r="I104" s="27"/>
    </row>
    <row r="105" spans="1:9" x14ac:dyDescent="0.35">
      <c r="A105" s="26"/>
      <c r="B105" s="17"/>
      <c r="C105" s="17"/>
      <c r="D105" s="17"/>
      <c r="E105" s="17"/>
      <c r="F105" s="17"/>
      <c r="G105" s="17"/>
      <c r="H105" s="17"/>
      <c r="I105" s="27"/>
    </row>
    <row r="106" spans="1:9" x14ac:dyDescent="0.35">
      <c r="A106" s="26"/>
      <c r="B106" s="17"/>
      <c r="C106" s="17"/>
      <c r="D106" s="17"/>
      <c r="E106" s="17"/>
      <c r="F106" s="17"/>
      <c r="G106" s="17"/>
      <c r="H106" s="17"/>
      <c r="I106" s="27"/>
    </row>
    <row r="107" spans="1:9" x14ac:dyDescent="0.35">
      <c r="A107" s="26"/>
      <c r="B107" s="17"/>
      <c r="C107" s="17"/>
      <c r="D107" s="17"/>
      <c r="E107" s="17"/>
      <c r="F107" s="17"/>
      <c r="G107" s="17"/>
      <c r="H107" s="17"/>
      <c r="I107" s="27"/>
    </row>
    <row r="108" spans="1:9" x14ac:dyDescent="0.35">
      <c r="A108" s="26"/>
      <c r="B108" s="17"/>
      <c r="C108" s="17"/>
      <c r="D108" s="17"/>
      <c r="E108" s="17"/>
      <c r="F108" s="17"/>
      <c r="G108" s="17"/>
      <c r="H108" s="17"/>
      <c r="I108" s="27"/>
    </row>
    <row r="109" spans="1:9" x14ac:dyDescent="0.35">
      <c r="A109" s="26"/>
      <c r="B109" s="17"/>
      <c r="C109" s="17"/>
      <c r="D109" s="17"/>
      <c r="E109" s="17"/>
      <c r="F109" s="17"/>
      <c r="G109" s="17"/>
      <c r="H109" s="17"/>
      <c r="I109" s="27"/>
    </row>
    <row r="110" spans="1:9" x14ac:dyDescent="0.35">
      <c r="A110" s="26"/>
      <c r="B110" s="17"/>
      <c r="C110" s="17"/>
      <c r="D110" s="17"/>
      <c r="E110" s="17"/>
      <c r="F110" s="17"/>
      <c r="G110" s="17"/>
      <c r="H110" s="17"/>
      <c r="I110" s="27"/>
    </row>
    <row r="111" spans="1:9" x14ac:dyDescent="0.35">
      <c r="A111" s="26"/>
      <c r="B111" s="17"/>
      <c r="C111" s="17"/>
      <c r="D111" s="17"/>
      <c r="E111" s="17"/>
      <c r="F111" s="17"/>
      <c r="G111" s="17"/>
      <c r="H111" s="17"/>
      <c r="I111" s="27"/>
    </row>
    <row r="112" spans="1:9" x14ac:dyDescent="0.35">
      <c r="A112" s="26"/>
      <c r="B112" s="17"/>
      <c r="C112" s="17"/>
      <c r="D112" s="17"/>
      <c r="E112" s="17"/>
      <c r="F112" s="17"/>
      <c r="G112" s="17"/>
      <c r="H112" s="17"/>
      <c r="I112" s="27"/>
    </row>
    <row r="113" spans="1:9" x14ac:dyDescent="0.35">
      <c r="A113" s="26"/>
      <c r="B113" s="17"/>
      <c r="C113" s="17"/>
      <c r="D113" s="17"/>
      <c r="E113" s="17"/>
      <c r="F113" s="17"/>
      <c r="G113" s="17"/>
      <c r="H113" s="17"/>
      <c r="I113" s="27"/>
    </row>
    <row r="114" spans="1:9" x14ac:dyDescent="0.35">
      <c r="A114" s="26"/>
      <c r="B114" s="17"/>
      <c r="C114" s="17"/>
      <c r="D114" s="17"/>
      <c r="E114" s="17"/>
      <c r="F114" s="17"/>
      <c r="G114" s="17"/>
      <c r="H114" s="17"/>
      <c r="I114" s="27"/>
    </row>
    <row r="115" spans="1:9" x14ac:dyDescent="0.35">
      <c r="A115" s="26"/>
      <c r="B115" s="17"/>
      <c r="C115" s="17"/>
      <c r="D115" s="17"/>
      <c r="E115" s="17"/>
      <c r="F115" s="17"/>
      <c r="G115" s="17"/>
      <c r="H115" s="17"/>
      <c r="I115" s="27"/>
    </row>
    <row r="116" spans="1:9" x14ac:dyDescent="0.35">
      <c r="A116" s="26"/>
      <c r="B116" s="17"/>
      <c r="C116" s="17"/>
      <c r="D116" s="17"/>
      <c r="E116" s="17"/>
      <c r="F116" s="17"/>
      <c r="G116" s="17"/>
      <c r="H116" s="17"/>
      <c r="I116" s="27"/>
    </row>
    <row r="117" spans="1:9" x14ac:dyDescent="0.35">
      <c r="A117" s="26"/>
      <c r="B117" s="17"/>
      <c r="C117" s="17"/>
      <c r="D117" s="17"/>
      <c r="E117" s="17"/>
      <c r="F117" s="17"/>
      <c r="G117" s="17"/>
      <c r="H117" s="17"/>
      <c r="I117" s="27"/>
    </row>
    <row r="118" spans="1:9" x14ac:dyDescent="0.35">
      <c r="A118" s="26"/>
      <c r="B118" s="17"/>
      <c r="C118" s="17"/>
      <c r="D118" s="17"/>
      <c r="E118" s="17"/>
      <c r="F118" s="17"/>
      <c r="G118" s="17"/>
      <c r="H118" s="17"/>
      <c r="I118" s="27"/>
    </row>
    <row r="119" spans="1:9" x14ac:dyDescent="0.35">
      <c r="A119" s="26"/>
      <c r="B119" s="17"/>
      <c r="C119" s="17"/>
      <c r="D119" s="17"/>
      <c r="E119" s="17"/>
      <c r="F119" s="17"/>
      <c r="G119" s="17"/>
      <c r="H119" s="17"/>
      <c r="I119" s="27"/>
    </row>
    <row r="120" spans="1:9" x14ac:dyDescent="0.35">
      <c r="A120" s="26"/>
      <c r="B120" s="17"/>
      <c r="C120" s="17"/>
      <c r="D120" s="17"/>
      <c r="E120" s="17"/>
      <c r="F120" s="17"/>
      <c r="G120" s="17"/>
      <c r="H120" s="17"/>
      <c r="I120" s="27"/>
    </row>
    <row r="121" spans="1:9" x14ac:dyDescent="0.35">
      <c r="A121" s="26"/>
      <c r="B121" s="17"/>
      <c r="C121" s="17"/>
      <c r="D121" s="17"/>
      <c r="E121" s="17"/>
      <c r="F121" s="17"/>
      <c r="G121" s="17"/>
      <c r="H121" s="17"/>
      <c r="I121" s="27"/>
    </row>
    <row r="122" spans="1:9" x14ac:dyDescent="0.35">
      <c r="A122" s="26"/>
      <c r="B122" s="17"/>
      <c r="C122" s="17"/>
      <c r="D122" s="17"/>
      <c r="E122" s="17"/>
      <c r="F122" s="17"/>
      <c r="G122" s="17"/>
      <c r="H122" s="17"/>
      <c r="I122" s="27"/>
    </row>
    <row r="123" spans="1:9" x14ac:dyDescent="0.35">
      <c r="A123" s="26"/>
      <c r="B123" s="17"/>
      <c r="C123" s="17"/>
      <c r="D123" s="17"/>
      <c r="E123" s="17"/>
      <c r="F123" s="17"/>
      <c r="G123" s="17"/>
      <c r="H123" s="17"/>
      <c r="I123" s="27"/>
    </row>
    <row r="124" spans="1:9" x14ac:dyDescent="0.35">
      <c r="A124" s="26"/>
      <c r="B124" s="17"/>
      <c r="C124" s="17"/>
      <c r="D124" s="17"/>
      <c r="E124" s="17"/>
      <c r="F124" s="17"/>
      <c r="G124" s="17"/>
      <c r="H124" s="17"/>
      <c r="I124" s="27"/>
    </row>
    <row r="125" spans="1:9" x14ac:dyDescent="0.35">
      <c r="A125" s="26"/>
      <c r="B125" s="17"/>
      <c r="C125" s="17"/>
      <c r="D125" s="17"/>
      <c r="E125" s="17"/>
      <c r="F125" s="17"/>
      <c r="G125" s="17"/>
      <c r="H125" s="17"/>
      <c r="I125" s="27"/>
    </row>
    <row r="126" spans="1:9" x14ac:dyDescent="0.35">
      <c r="A126" s="26"/>
      <c r="B126" s="17"/>
      <c r="C126" s="17"/>
      <c r="D126" s="17"/>
      <c r="E126" s="17"/>
      <c r="F126" s="17"/>
      <c r="G126" s="17"/>
      <c r="H126" s="17"/>
      <c r="I126" s="27"/>
    </row>
    <row r="127" spans="1:9" x14ac:dyDescent="0.35">
      <c r="A127" s="26"/>
      <c r="B127" s="17"/>
      <c r="C127" s="17"/>
      <c r="D127" s="17"/>
      <c r="E127" s="17"/>
      <c r="F127" s="17"/>
      <c r="G127" s="17"/>
      <c r="H127" s="17"/>
      <c r="I127" s="27"/>
    </row>
    <row r="128" spans="1:9" x14ac:dyDescent="0.35">
      <c r="A128" s="26"/>
      <c r="B128" s="17"/>
      <c r="C128" s="17"/>
      <c r="D128" s="17"/>
      <c r="E128" s="17"/>
      <c r="F128" s="17"/>
      <c r="G128" s="17"/>
      <c r="H128" s="17"/>
      <c r="I128" s="27"/>
    </row>
    <row r="129" spans="1:9" x14ac:dyDescent="0.35">
      <c r="A129" s="26"/>
      <c r="B129" s="17"/>
      <c r="C129" s="17"/>
      <c r="D129" s="17"/>
      <c r="E129" s="17"/>
      <c r="F129" s="17"/>
      <c r="G129" s="17"/>
      <c r="H129" s="17"/>
      <c r="I129" s="27"/>
    </row>
    <row r="130" spans="1:9" x14ac:dyDescent="0.35">
      <c r="A130" s="26"/>
      <c r="B130" s="17"/>
      <c r="C130" s="17"/>
      <c r="D130" s="17"/>
      <c r="E130" s="17"/>
      <c r="F130" s="17"/>
      <c r="G130" s="17"/>
      <c r="H130" s="17"/>
      <c r="I130" s="27"/>
    </row>
    <row r="131" spans="1:9" x14ac:dyDescent="0.35">
      <c r="A131" s="26"/>
      <c r="B131" s="17"/>
      <c r="C131" s="17"/>
      <c r="D131" s="17"/>
      <c r="E131" s="17"/>
      <c r="F131" s="17"/>
      <c r="G131" s="17"/>
      <c r="H131" s="17"/>
      <c r="I131" s="27"/>
    </row>
    <row r="132" spans="1:9" x14ac:dyDescent="0.35">
      <c r="A132" s="26"/>
      <c r="B132" s="17"/>
      <c r="C132" s="17"/>
      <c r="D132" s="17"/>
      <c r="E132" s="17"/>
      <c r="F132" s="17"/>
      <c r="G132" s="17"/>
      <c r="H132" s="17"/>
      <c r="I132" s="27"/>
    </row>
    <row r="133" spans="1:9" x14ac:dyDescent="0.35">
      <c r="A133" s="26"/>
      <c r="B133" s="17"/>
      <c r="C133" s="17"/>
      <c r="D133" s="17"/>
      <c r="E133" s="17"/>
      <c r="F133" s="17"/>
      <c r="G133" s="17"/>
      <c r="H133" s="17"/>
      <c r="I133" s="27"/>
    </row>
    <row r="134" spans="1:9" x14ac:dyDescent="0.35">
      <c r="A134" s="26"/>
      <c r="B134" s="17"/>
      <c r="C134" s="17"/>
      <c r="D134" s="17"/>
      <c r="E134" s="17"/>
      <c r="F134" s="17"/>
      <c r="G134" s="17"/>
      <c r="H134" s="17"/>
      <c r="I134" s="27"/>
    </row>
    <row r="135" spans="1:9" x14ac:dyDescent="0.35">
      <c r="A135" s="26"/>
      <c r="B135" s="17"/>
      <c r="C135" s="17"/>
      <c r="D135" s="17"/>
      <c r="E135" s="17"/>
      <c r="F135" s="17"/>
      <c r="G135" s="17"/>
      <c r="H135" s="17"/>
      <c r="I135" s="27"/>
    </row>
    <row r="136" spans="1:9" x14ac:dyDescent="0.35">
      <c r="A136" s="26"/>
      <c r="B136" s="17"/>
      <c r="C136" s="17"/>
      <c r="D136" s="17"/>
      <c r="E136" s="17"/>
      <c r="F136" s="17"/>
      <c r="G136" s="17"/>
      <c r="H136" s="17"/>
      <c r="I136" s="27"/>
    </row>
    <row r="137" spans="1:9" x14ac:dyDescent="0.35">
      <c r="A137" s="26"/>
      <c r="B137" s="17"/>
      <c r="C137" s="17"/>
      <c r="D137" s="17"/>
      <c r="E137" s="17"/>
      <c r="F137" s="17"/>
      <c r="G137" s="17"/>
      <c r="H137" s="17"/>
      <c r="I137" s="27"/>
    </row>
    <row r="138" spans="1:9" x14ac:dyDescent="0.35">
      <c r="A138" s="26"/>
      <c r="B138" s="17"/>
      <c r="C138" s="17"/>
      <c r="D138" s="17"/>
      <c r="E138" s="17"/>
      <c r="F138" s="17"/>
      <c r="G138" s="17"/>
      <c r="H138" s="17"/>
      <c r="I138" s="27"/>
    </row>
    <row r="139" spans="1:9" x14ac:dyDescent="0.35">
      <c r="A139" s="26"/>
      <c r="B139" s="17"/>
      <c r="C139" s="17"/>
      <c r="D139" s="17"/>
      <c r="E139" s="17"/>
      <c r="F139" s="17"/>
      <c r="G139" s="17"/>
      <c r="H139" s="17"/>
      <c r="I139" s="27"/>
    </row>
    <row r="140" spans="1:9" x14ac:dyDescent="0.35">
      <c r="A140" s="26"/>
      <c r="B140" s="17"/>
      <c r="C140" s="17"/>
      <c r="D140" s="17"/>
      <c r="E140" s="17"/>
      <c r="F140" s="17"/>
      <c r="G140" s="17"/>
      <c r="H140" s="17"/>
      <c r="I140" s="27"/>
    </row>
    <row r="141" spans="1:9" x14ac:dyDescent="0.35">
      <c r="A141" s="26"/>
      <c r="B141" s="17"/>
      <c r="C141" s="17"/>
      <c r="D141" s="17"/>
      <c r="E141" s="17"/>
      <c r="F141" s="17"/>
      <c r="G141" s="17"/>
      <c r="H141" s="17"/>
      <c r="I141" s="27"/>
    </row>
    <row r="142" spans="1:9" x14ac:dyDescent="0.35">
      <c r="A142" s="26"/>
      <c r="B142" s="17"/>
      <c r="C142" s="17"/>
      <c r="D142" s="17"/>
      <c r="E142" s="17"/>
      <c r="F142" s="17"/>
      <c r="G142" s="17"/>
      <c r="H142" s="17"/>
      <c r="I142" s="27"/>
    </row>
    <row r="143" spans="1:9" x14ac:dyDescent="0.35">
      <c r="A143" s="26"/>
      <c r="B143" s="17"/>
      <c r="C143" s="17"/>
      <c r="D143" s="17"/>
      <c r="E143" s="17"/>
      <c r="F143" s="17"/>
      <c r="G143" s="17"/>
      <c r="H143" s="17"/>
      <c r="I143" s="27"/>
    </row>
    <row r="144" spans="1:9" x14ac:dyDescent="0.35">
      <c r="A144" s="26"/>
      <c r="B144" s="17"/>
      <c r="C144" s="17"/>
      <c r="D144" s="17"/>
      <c r="E144" s="17"/>
      <c r="F144" s="17"/>
      <c r="G144" s="17"/>
      <c r="H144" s="17"/>
      <c r="I144" s="27"/>
    </row>
    <row r="145" spans="1:9" x14ac:dyDescent="0.35">
      <c r="A145" s="26"/>
      <c r="B145" s="17"/>
      <c r="C145" s="17"/>
      <c r="D145" s="17"/>
      <c r="E145" s="17"/>
      <c r="F145" s="17"/>
      <c r="G145" s="17"/>
      <c r="H145" s="17"/>
      <c r="I145" s="27"/>
    </row>
    <row r="146" spans="1:9" x14ac:dyDescent="0.35">
      <c r="A146" s="26"/>
      <c r="B146" s="17"/>
      <c r="C146" s="17"/>
      <c r="D146" s="17"/>
      <c r="E146" s="17"/>
      <c r="F146" s="17"/>
      <c r="G146" s="17"/>
      <c r="H146" s="17"/>
      <c r="I146" s="27"/>
    </row>
    <row r="147" spans="1:9" x14ac:dyDescent="0.35">
      <c r="A147" s="26"/>
      <c r="B147" s="17"/>
      <c r="C147" s="17"/>
      <c r="D147" s="17"/>
      <c r="E147" s="17"/>
      <c r="F147" s="17"/>
      <c r="G147" s="17"/>
      <c r="H147" s="17"/>
      <c r="I147" s="27"/>
    </row>
    <row r="148" spans="1:9" x14ac:dyDescent="0.35">
      <c r="A148" s="26"/>
      <c r="B148" s="17"/>
      <c r="C148" s="17"/>
      <c r="D148" s="17"/>
      <c r="E148" s="17"/>
      <c r="F148" s="17"/>
      <c r="G148" s="17"/>
      <c r="H148" s="17"/>
      <c r="I148" s="27"/>
    </row>
    <row r="149" spans="1:9" x14ac:dyDescent="0.35">
      <c r="A149" s="26"/>
      <c r="B149" s="17"/>
      <c r="C149" s="17"/>
      <c r="D149" s="17"/>
      <c r="E149" s="17"/>
      <c r="F149" s="17"/>
      <c r="G149" s="17"/>
      <c r="H149" s="17"/>
      <c r="I149" s="27"/>
    </row>
    <row r="150" spans="1:9" x14ac:dyDescent="0.35">
      <c r="A150" s="26"/>
      <c r="B150" s="17"/>
      <c r="C150" s="17"/>
      <c r="D150" s="17"/>
      <c r="E150" s="17"/>
      <c r="F150" s="17"/>
      <c r="G150" s="17"/>
      <c r="H150" s="17"/>
      <c r="I150" s="27"/>
    </row>
    <row r="151" spans="1:9" x14ac:dyDescent="0.35">
      <c r="A151" s="26"/>
      <c r="B151" s="17"/>
      <c r="C151" s="17"/>
      <c r="D151" s="17"/>
      <c r="E151" s="17"/>
      <c r="F151" s="17"/>
      <c r="G151" s="17"/>
      <c r="H151" s="17"/>
      <c r="I151" s="27"/>
    </row>
    <row r="152" spans="1:9" x14ac:dyDescent="0.35">
      <c r="A152" s="26"/>
      <c r="B152" s="17"/>
      <c r="C152" s="17"/>
      <c r="D152" s="17"/>
      <c r="E152" s="17"/>
      <c r="F152" s="17"/>
      <c r="G152" s="17"/>
      <c r="H152" s="17"/>
      <c r="I152" s="27"/>
    </row>
    <row r="153" spans="1:9" x14ac:dyDescent="0.35">
      <c r="A153" s="26"/>
      <c r="B153" s="17"/>
      <c r="C153" s="17"/>
      <c r="D153" s="17"/>
      <c r="E153" s="17"/>
      <c r="F153" s="17"/>
      <c r="G153" s="17"/>
      <c r="H153" s="17"/>
      <c r="I153" s="27"/>
    </row>
    <row r="154" spans="1:9" x14ac:dyDescent="0.35">
      <c r="A154" s="26"/>
      <c r="B154" s="17"/>
      <c r="C154" s="17"/>
      <c r="D154" s="17"/>
      <c r="E154" s="17"/>
      <c r="F154" s="17"/>
      <c r="G154" s="17"/>
      <c r="H154" s="17"/>
      <c r="I154" s="27"/>
    </row>
    <row r="155" spans="1:9" x14ac:dyDescent="0.35">
      <c r="A155" s="26"/>
      <c r="B155" s="17"/>
      <c r="C155" s="17"/>
      <c r="D155" s="17"/>
      <c r="E155" s="17"/>
      <c r="F155" s="17"/>
      <c r="G155" s="17"/>
      <c r="H155" s="17"/>
      <c r="I155" s="27"/>
    </row>
    <row r="156" spans="1:9" x14ac:dyDescent="0.35">
      <c r="A156" s="26"/>
      <c r="B156" s="17"/>
      <c r="C156" s="17"/>
      <c r="D156" s="17"/>
      <c r="E156" s="17"/>
      <c r="F156" s="17"/>
      <c r="G156" s="17"/>
      <c r="H156" s="17"/>
      <c r="I156" s="27"/>
    </row>
    <row r="157" spans="1:9" x14ac:dyDescent="0.35">
      <c r="A157" s="26"/>
      <c r="B157" s="17"/>
      <c r="C157" s="17"/>
      <c r="D157" s="17"/>
      <c r="E157" s="17"/>
      <c r="F157" s="17"/>
      <c r="G157" s="17"/>
      <c r="H157" s="17"/>
      <c r="I157" s="27"/>
    </row>
    <row r="158" spans="1:9" x14ac:dyDescent="0.35">
      <c r="A158" s="26"/>
      <c r="B158" s="17"/>
      <c r="C158" s="17"/>
      <c r="D158" s="17"/>
      <c r="E158" s="17"/>
      <c r="F158" s="17"/>
      <c r="G158" s="17"/>
      <c r="H158" s="17"/>
      <c r="I158" s="27"/>
    </row>
    <row r="159" spans="1:9" x14ac:dyDescent="0.35">
      <c r="A159" s="26"/>
      <c r="B159" s="17"/>
      <c r="C159" s="17"/>
      <c r="D159" s="17"/>
      <c r="E159" s="17"/>
      <c r="F159" s="17"/>
      <c r="G159" s="17"/>
      <c r="H159" s="17"/>
      <c r="I159" s="27"/>
    </row>
    <row r="160" spans="1:9" x14ac:dyDescent="0.35">
      <c r="A160" s="26"/>
      <c r="B160" s="17"/>
      <c r="C160" s="17"/>
      <c r="D160" s="17"/>
      <c r="E160" s="17"/>
      <c r="F160" s="17"/>
      <c r="G160" s="17"/>
      <c r="H160" s="17"/>
      <c r="I160" s="27"/>
    </row>
    <row r="161" spans="1:9" x14ac:dyDescent="0.35">
      <c r="A161" s="26"/>
      <c r="B161" s="17"/>
      <c r="C161" s="17"/>
      <c r="D161" s="17"/>
      <c r="E161" s="17"/>
      <c r="F161" s="17"/>
      <c r="G161" s="17"/>
      <c r="H161" s="17"/>
      <c r="I161" s="27"/>
    </row>
    <row r="162" spans="1:9" x14ac:dyDescent="0.35">
      <c r="A162" s="26"/>
      <c r="B162" s="17"/>
      <c r="C162" s="17"/>
      <c r="D162" s="17"/>
      <c r="E162" s="17"/>
      <c r="F162" s="17"/>
      <c r="G162" s="17"/>
      <c r="H162" s="17"/>
      <c r="I162" s="27"/>
    </row>
    <row r="163" spans="1:9" x14ac:dyDescent="0.35">
      <c r="A163" s="26"/>
      <c r="B163" s="17"/>
      <c r="C163" s="17"/>
      <c r="D163" s="17"/>
      <c r="E163" s="17"/>
      <c r="F163" s="17"/>
      <c r="G163" s="17"/>
      <c r="H163" s="17"/>
      <c r="I163" s="27"/>
    </row>
    <row r="164" spans="1:9" x14ac:dyDescent="0.35">
      <c r="A164" s="26"/>
      <c r="B164" s="17"/>
      <c r="C164" s="17"/>
      <c r="D164" s="17"/>
      <c r="E164" s="17"/>
      <c r="F164" s="17"/>
      <c r="G164" s="17"/>
      <c r="H164" s="17"/>
      <c r="I164" s="27"/>
    </row>
    <row r="165" spans="1:9" x14ac:dyDescent="0.35">
      <c r="A165" s="26"/>
      <c r="B165" s="17"/>
      <c r="C165" s="17"/>
      <c r="D165" s="17"/>
      <c r="E165" s="17"/>
      <c r="F165" s="17"/>
      <c r="G165" s="17"/>
      <c r="H165" s="17"/>
      <c r="I165" s="27"/>
    </row>
    <row r="166" spans="1:9" x14ac:dyDescent="0.35">
      <c r="A166" s="26"/>
      <c r="B166" s="17"/>
      <c r="C166" s="17"/>
      <c r="D166" s="17"/>
      <c r="E166" s="17"/>
      <c r="F166" s="17"/>
      <c r="G166" s="17"/>
      <c r="H166" s="17"/>
      <c r="I166" s="27"/>
    </row>
    <row r="167" spans="1:9" x14ac:dyDescent="0.35">
      <c r="A167" s="26"/>
      <c r="B167" s="17"/>
      <c r="C167" s="17"/>
      <c r="D167" s="17"/>
      <c r="E167" s="17"/>
      <c r="F167" s="17"/>
      <c r="G167" s="17"/>
      <c r="H167" s="17"/>
      <c r="I167" s="27"/>
    </row>
    <row r="168" spans="1:9" x14ac:dyDescent="0.35">
      <c r="A168" s="26"/>
      <c r="B168" s="17"/>
      <c r="C168" s="17"/>
      <c r="D168" s="17"/>
      <c r="E168" s="17"/>
      <c r="F168" s="17"/>
      <c r="G168" s="17"/>
      <c r="H168" s="17"/>
      <c r="I168" s="27"/>
    </row>
    <row r="169" spans="1:9" x14ac:dyDescent="0.35">
      <c r="A169" s="26"/>
      <c r="B169" s="17"/>
      <c r="C169" s="17"/>
      <c r="D169" s="17"/>
      <c r="E169" s="17"/>
      <c r="F169" s="17"/>
      <c r="G169" s="17"/>
      <c r="H169" s="17"/>
      <c r="I169" s="27"/>
    </row>
    <row r="170" spans="1:9" x14ac:dyDescent="0.35">
      <c r="A170" s="26"/>
      <c r="B170" s="17"/>
      <c r="C170" s="17"/>
      <c r="D170" s="17"/>
      <c r="E170" s="17"/>
      <c r="F170" s="17"/>
      <c r="G170" s="17"/>
      <c r="H170" s="17"/>
      <c r="I170" s="27"/>
    </row>
    <row r="171" spans="1:9" x14ac:dyDescent="0.35">
      <c r="A171" s="26"/>
      <c r="B171" s="17"/>
      <c r="C171" s="17"/>
      <c r="D171" s="17"/>
      <c r="E171" s="17"/>
      <c r="F171" s="17"/>
      <c r="G171" s="17"/>
      <c r="H171" s="17"/>
      <c r="I171" s="27"/>
    </row>
    <row r="172" spans="1:9" x14ac:dyDescent="0.35">
      <c r="A172" s="26"/>
      <c r="B172" s="17"/>
      <c r="C172" s="17"/>
      <c r="D172" s="17"/>
      <c r="E172" s="17"/>
      <c r="F172" s="17"/>
      <c r="G172" s="17"/>
      <c r="H172" s="17"/>
      <c r="I172" s="27"/>
    </row>
    <row r="173" spans="1:9" x14ac:dyDescent="0.35">
      <c r="A173" s="26"/>
      <c r="B173" s="17"/>
      <c r="C173" s="17"/>
      <c r="D173" s="17"/>
      <c r="E173" s="17"/>
      <c r="F173" s="17"/>
      <c r="G173" s="17"/>
      <c r="H173" s="17"/>
      <c r="I173" s="27"/>
    </row>
    <row r="174" spans="1:9" x14ac:dyDescent="0.35">
      <c r="A174" s="26"/>
      <c r="B174" s="17"/>
      <c r="C174" s="17"/>
      <c r="D174" s="17"/>
      <c r="E174" s="17"/>
      <c r="F174" s="17"/>
      <c r="G174" s="17"/>
      <c r="H174" s="17"/>
      <c r="I174" s="27"/>
    </row>
    <row r="175" spans="1:9" x14ac:dyDescent="0.35">
      <c r="A175" s="26"/>
      <c r="B175" s="17"/>
      <c r="C175" s="17"/>
      <c r="D175" s="17"/>
      <c r="E175" s="17"/>
      <c r="F175" s="17"/>
      <c r="G175" s="17"/>
      <c r="H175" s="17"/>
      <c r="I175" s="27"/>
    </row>
    <row r="176" spans="1:9" x14ac:dyDescent="0.35">
      <c r="A176" s="26"/>
      <c r="B176" s="17"/>
      <c r="C176" s="17"/>
      <c r="D176" s="17"/>
      <c r="E176" s="17"/>
      <c r="F176" s="17"/>
      <c r="G176" s="17"/>
      <c r="H176" s="17"/>
      <c r="I176" s="27"/>
    </row>
    <row r="177" spans="1:9" x14ac:dyDescent="0.35">
      <c r="A177" s="26"/>
      <c r="B177" s="17"/>
      <c r="C177" s="17"/>
      <c r="D177" s="17"/>
      <c r="E177" s="17"/>
      <c r="F177" s="17"/>
      <c r="G177" s="17"/>
      <c r="H177" s="17"/>
      <c r="I177" s="27"/>
    </row>
    <row r="178" spans="1:9" x14ac:dyDescent="0.35">
      <c r="A178" s="26"/>
      <c r="B178" s="17"/>
      <c r="C178" s="17"/>
      <c r="D178" s="17"/>
      <c r="E178" s="17"/>
      <c r="F178" s="17"/>
      <c r="G178" s="17"/>
      <c r="H178" s="17"/>
      <c r="I178" s="27"/>
    </row>
    <row r="179" spans="1:9" x14ac:dyDescent="0.35">
      <c r="A179" s="26"/>
      <c r="B179" s="17"/>
      <c r="C179" s="17"/>
      <c r="D179" s="17"/>
      <c r="E179" s="17"/>
      <c r="F179" s="17"/>
      <c r="G179" s="17"/>
      <c r="H179" s="17"/>
      <c r="I179" s="27"/>
    </row>
    <row r="180" spans="1:9" x14ac:dyDescent="0.35">
      <c r="A180" s="26"/>
      <c r="B180" s="17"/>
      <c r="C180" s="17"/>
      <c r="D180" s="17"/>
      <c r="E180" s="17"/>
      <c r="F180" s="17"/>
      <c r="G180" s="17"/>
      <c r="H180" s="17"/>
      <c r="I180" s="27"/>
    </row>
    <row r="181" spans="1:9" x14ac:dyDescent="0.35">
      <c r="A181" s="26"/>
      <c r="B181" s="17"/>
      <c r="C181" s="17"/>
      <c r="D181" s="17"/>
      <c r="E181" s="17"/>
      <c r="F181" s="17"/>
      <c r="G181" s="17"/>
      <c r="H181" s="17"/>
      <c r="I181" s="27"/>
    </row>
    <row r="182" spans="1:9" x14ac:dyDescent="0.35">
      <c r="A182" s="26"/>
      <c r="B182" s="17"/>
      <c r="C182" s="17"/>
      <c r="D182" s="17"/>
      <c r="E182" s="17"/>
      <c r="F182" s="17"/>
      <c r="G182" s="17"/>
      <c r="H182" s="17"/>
      <c r="I182" s="27"/>
    </row>
    <row r="183" spans="1:9" x14ac:dyDescent="0.35">
      <c r="A183" s="26"/>
      <c r="B183" s="17"/>
      <c r="C183" s="17"/>
      <c r="D183" s="17"/>
      <c r="E183" s="17"/>
      <c r="F183" s="17"/>
      <c r="G183" s="17"/>
      <c r="H183" s="17"/>
      <c r="I183" s="27"/>
    </row>
    <row r="184" spans="1:9" x14ac:dyDescent="0.35">
      <c r="A184" s="26"/>
      <c r="B184" s="17"/>
      <c r="C184" s="17"/>
      <c r="D184" s="17"/>
      <c r="E184" s="17"/>
      <c r="F184" s="17"/>
      <c r="G184" s="17"/>
      <c r="H184" s="17"/>
      <c r="I184" s="27"/>
    </row>
    <row r="185" spans="1:9" x14ac:dyDescent="0.35">
      <c r="A185" s="26"/>
      <c r="B185" s="17"/>
      <c r="C185" s="17"/>
      <c r="D185" s="17"/>
      <c r="E185" s="17"/>
      <c r="F185" s="17"/>
      <c r="G185" s="17"/>
      <c r="H185" s="17"/>
      <c r="I185" s="27"/>
    </row>
    <row r="186" spans="1:9" x14ac:dyDescent="0.35">
      <c r="A186" s="26"/>
      <c r="B186" s="17"/>
      <c r="C186" s="17"/>
      <c r="D186" s="17"/>
      <c r="E186" s="17"/>
      <c r="F186" s="17"/>
      <c r="G186" s="17"/>
      <c r="H186" s="17"/>
      <c r="I186" s="27"/>
    </row>
    <row r="187" spans="1:9" x14ac:dyDescent="0.35">
      <c r="A187" s="26"/>
      <c r="B187" s="17"/>
      <c r="C187" s="17"/>
      <c r="D187" s="17"/>
      <c r="E187" s="17"/>
      <c r="F187" s="17"/>
      <c r="G187" s="17"/>
      <c r="H187" s="17"/>
      <c r="I187" s="27"/>
    </row>
    <row r="188" spans="1:9" x14ac:dyDescent="0.35">
      <c r="A188" s="26"/>
      <c r="B188" s="17"/>
      <c r="C188" s="17"/>
      <c r="D188" s="17"/>
      <c r="E188" s="17"/>
      <c r="F188" s="17"/>
      <c r="G188" s="17"/>
      <c r="H188" s="17"/>
      <c r="I188" s="27"/>
    </row>
    <row r="189" spans="1:9" x14ac:dyDescent="0.35">
      <c r="A189" s="26"/>
      <c r="B189" s="17"/>
      <c r="C189" s="17"/>
      <c r="D189" s="17"/>
      <c r="E189" s="17"/>
      <c r="F189" s="17"/>
      <c r="G189" s="17"/>
      <c r="H189" s="17"/>
      <c r="I189" s="27"/>
    </row>
    <row r="190" spans="1:9" x14ac:dyDescent="0.35">
      <c r="A190" s="26"/>
      <c r="B190" s="17"/>
      <c r="C190" s="17"/>
      <c r="D190" s="17"/>
      <c r="E190" s="17"/>
      <c r="F190" s="17"/>
      <c r="G190" s="17"/>
      <c r="H190" s="17"/>
      <c r="I190" s="27"/>
    </row>
    <row r="191" spans="1:9" x14ac:dyDescent="0.35">
      <c r="A191" s="26"/>
      <c r="B191" s="17"/>
      <c r="C191" s="17"/>
      <c r="D191" s="17"/>
      <c r="E191" s="17"/>
      <c r="F191" s="17"/>
      <c r="G191" s="17"/>
      <c r="H191" s="17"/>
      <c r="I191" s="27"/>
    </row>
    <row r="192" spans="1:9" x14ac:dyDescent="0.35">
      <c r="A192" s="26"/>
      <c r="B192" s="17"/>
      <c r="C192" s="17"/>
      <c r="D192" s="17"/>
      <c r="E192" s="17"/>
      <c r="F192" s="17"/>
      <c r="G192" s="17"/>
      <c r="H192" s="17"/>
      <c r="I192" s="27"/>
    </row>
    <row r="193" spans="1:9" x14ac:dyDescent="0.35">
      <c r="A193" s="26"/>
      <c r="B193" s="17"/>
      <c r="C193" s="17"/>
      <c r="D193" s="17"/>
      <c r="E193" s="17"/>
      <c r="F193" s="17"/>
      <c r="G193" s="17"/>
      <c r="H193" s="17"/>
      <c r="I193" s="27"/>
    </row>
    <row r="194" spans="1:9" x14ac:dyDescent="0.35">
      <c r="A194" s="26"/>
      <c r="B194" s="17"/>
      <c r="C194" s="17"/>
      <c r="D194" s="17"/>
      <c r="E194" s="17"/>
      <c r="F194" s="17"/>
      <c r="G194" s="17"/>
      <c r="H194" s="17"/>
      <c r="I194" s="27"/>
    </row>
    <row r="195" spans="1:9" x14ac:dyDescent="0.35">
      <c r="A195" s="26"/>
      <c r="B195" s="17"/>
      <c r="C195" s="17"/>
      <c r="D195" s="17"/>
      <c r="E195" s="17"/>
      <c r="F195" s="17"/>
      <c r="G195" s="17"/>
      <c r="H195" s="17"/>
      <c r="I195" s="27"/>
    </row>
    <row r="196" spans="1:9" x14ac:dyDescent="0.35">
      <c r="A196" s="26"/>
      <c r="B196" s="17"/>
      <c r="C196" s="17"/>
      <c r="D196" s="17"/>
      <c r="E196" s="17"/>
      <c r="F196" s="17"/>
      <c r="G196" s="17"/>
      <c r="H196" s="17"/>
      <c r="I196" s="27"/>
    </row>
    <row r="197" spans="1:9" x14ac:dyDescent="0.35">
      <c r="A197" s="26"/>
      <c r="B197" s="17"/>
      <c r="C197" s="17"/>
      <c r="D197" s="17"/>
      <c r="E197" s="17"/>
      <c r="F197" s="17"/>
      <c r="G197" s="17"/>
      <c r="H197" s="17"/>
      <c r="I197" s="27"/>
    </row>
    <row r="198" spans="1:9" x14ac:dyDescent="0.35">
      <c r="A198" s="26"/>
      <c r="B198" s="17"/>
      <c r="C198" s="17"/>
      <c r="D198" s="17"/>
      <c r="E198" s="17"/>
      <c r="F198" s="17"/>
      <c r="G198" s="17"/>
      <c r="H198" s="17"/>
      <c r="I198" s="27"/>
    </row>
    <row r="199" spans="1:9" x14ac:dyDescent="0.35">
      <c r="A199" s="26"/>
      <c r="B199" s="17"/>
      <c r="C199" s="17"/>
      <c r="D199" s="17"/>
      <c r="E199" s="17"/>
      <c r="F199" s="17"/>
      <c r="G199" s="17"/>
      <c r="H199" s="17"/>
      <c r="I199" s="27"/>
    </row>
    <row r="200" spans="1:9" x14ac:dyDescent="0.35">
      <c r="A200" s="26"/>
      <c r="B200" s="17"/>
      <c r="C200" s="17"/>
      <c r="D200" s="17"/>
      <c r="E200" s="17"/>
      <c r="F200" s="17"/>
      <c r="G200" s="17"/>
      <c r="H200" s="17"/>
      <c r="I200" s="27"/>
    </row>
    <row r="201" spans="1:9" x14ac:dyDescent="0.35">
      <c r="A201" s="26"/>
      <c r="B201" s="17"/>
      <c r="C201" s="17"/>
      <c r="D201" s="17"/>
      <c r="E201" s="17"/>
      <c r="F201" s="17"/>
      <c r="G201" s="17"/>
      <c r="H201" s="17"/>
      <c r="I201" s="27"/>
    </row>
    <row r="202" spans="1:9" x14ac:dyDescent="0.35">
      <c r="A202" s="26"/>
      <c r="B202" s="17"/>
      <c r="C202" s="17"/>
      <c r="D202" s="17"/>
      <c r="E202" s="17"/>
      <c r="F202" s="17"/>
      <c r="G202" s="17"/>
      <c r="H202" s="17"/>
      <c r="I202" s="27"/>
    </row>
    <row r="203" spans="1:9" x14ac:dyDescent="0.35">
      <c r="A203" s="26"/>
      <c r="B203" s="17"/>
      <c r="C203" s="17"/>
      <c r="D203" s="17"/>
      <c r="E203" s="17"/>
      <c r="F203" s="17"/>
      <c r="G203" s="17"/>
      <c r="H203" s="17"/>
      <c r="I203" s="27"/>
    </row>
    <row r="204" spans="1:9" x14ac:dyDescent="0.35">
      <c r="A204" s="26"/>
      <c r="B204" s="17"/>
      <c r="C204" s="17"/>
      <c r="D204" s="17"/>
      <c r="E204" s="17"/>
      <c r="F204" s="17"/>
      <c r="G204" s="17"/>
      <c r="H204" s="17"/>
      <c r="I204" s="27"/>
    </row>
    <row r="205" spans="1:9" x14ac:dyDescent="0.35">
      <c r="A205" s="26"/>
      <c r="B205" s="17"/>
      <c r="C205" s="17"/>
      <c r="D205" s="17"/>
      <c r="E205" s="17"/>
      <c r="F205" s="17"/>
      <c r="G205" s="17"/>
      <c r="H205" s="17"/>
      <c r="I205" s="27"/>
    </row>
    <row r="206" spans="1:9" x14ac:dyDescent="0.35">
      <c r="A206" s="26"/>
      <c r="B206" s="17"/>
      <c r="C206" s="17"/>
      <c r="D206" s="17"/>
      <c r="E206" s="17"/>
      <c r="F206" s="17"/>
      <c r="G206" s="17"/>
      <c r="H206" s="17"/>
      <c r="I206" s="27"/>
    </row>
    <row r="207" spans="1:9" x14ac:dyDescent="0.35">
      <c r="A207" s="26"/>
      <c r="B207" s="17"/>
      <c r="C207" s="17"/>
      <c r="D207" s="17"/>
      <c r="E207" s="17"/>
      <c r="F207" s="17"/>
      <c r="G207" s="17"/>
      <c r="H207" s="17"/>
      <c r="I207" s="27"/>
    </row>
    <row r="208" spans="1:9" x14ac:dyDescent="0.35">
      <c r="A208" s="26"/>
      <c r="B208" s="17"/>
      <c r="C208" s="17"/>
      <c r="D208" s="17"/>
      <c r="E208" s="17"/>
      <c r="F208" s="17"/>
      <c r="G208" s="17"/>
      <c r="H208" s="17"/>
      <c r="I208" s="27"/>
    </row>
    <row r="209" spans="1:9" x14ac:dyDescent="0.35">
      <c r="A209" s="26"/>
      <c r="B209" s="17"/>
      <c r="C209" s="17"/>
      <c r="D209" s="17"/>
      <c r="E209" s="17"/>
      <c r="F209" s="17"/>
      <c r="G209" s="17"/>
      <c r="H209" s="17"/>
      <c r="I209" s="27"/>
    </row>
    <row r="210" spans="1:9" x14ac:dyDescent="0.35">
      <c r="A210" s="26"/>
      <c r="B210" s="17"/>
      <c r="C210" s="17"/>
      <c r="D210" s="17"/>
      <c r="E210" s="17"/>
      <c r="F210" s="17"/>
      <c r="G210" s="17"/>
      <c r="H210" s="17"/>
      <c r="I210" s="27"/>
    </row>
    <row r="211" spans="1:9" x14ac:dyDescent="0.35">
      <c r="A211" s="26"/>
      <c r="B211" s="17"/>
      <c r="C211" s="17"/>
      <c r="D211" s="17"/>
      <c r="E211" s="17"/>
      <c r="F211" s="17"/>
      <c r="G211" s="17"/>
      <c r="H211" s="17"/>
      <c r="I211" s="27"/>
    </row>
    <row r="212" spans="1:9" x14ac:dyDescent="0.35">
      <c r="A212" s="26"/>
      <c r="B212" s="17"/>
      <c r="C212" s="17"/>
      <c r="D212" s="17"/>
      <c r="E212" s="17"/>
      <c r="F212" s="17"/>
      <c r="G212" s="17"/>
      <c r="H212" s="17"/>
      <c r="I212" s="27"/>
    </row>
    <row r="213" spans="1:9" x14ac:dyDescent="0.35">
      <c r="A213" s="26"/>
      <c r="B213" s="17"/>
      <c r="C213" s="17"/>
      <c r="D213" s="17"/>
      <c r="E213" s="17"/>
      <c r="F213" s="17"/>
      <c r="G213" s="17"/>
      <c r="H213" s="17"/>
      <c r="I213" s="27"/>
    </row>
    <row r="214" spans="1:9" x14ac:dyDescent="0.35">
      <c r="A214" s="26"/>
      <c r="B214" s="17"/>
      <c r="C214" s="17"/>
      <c r="D214" s="17"/>
      <c r="E214" s="17"/>
      <c r="F214" s="17"/>
      <c r="G214" s="17"/>
      <c r="H214" s="17"/>
      <c r="I214" s="27"/>
    </row>
    <row r="215" spans="1:9" x14ac:dyDescent="0.35">
      <c r="A215" s="26"/>
      <c r="B215" s="17"/>
      <c r="C215" s="17"/>
      <c r="D215" s="17"/>
      <c r="E215" s="17"/>
      <c r="F215" s="17"/>
      <c r="G215" s="17"/>
      <c r="H215" s="17"/>
      <c r="I215" s="27"/>
    </row>
    <row r="216" spans="1:9" x14ac:dyDescent="0.35">
      <c r="A216" s="26"/>
      <c r="B216" s="17"/>
      <c r="C216" s="17"/>
      <c r="D216" s="17"/>
      <c r="E216" s="17"/>
      <c r="F216" s="17"/>
      <c r="G216" s="17"/>
      <c r="H216" s="17"/>
      <c r="I216" s="27"/>
    </row>
    <row r="217" spans="1:9" x14ac:dyDescent="0.35">
      <c r="A217" s="26"/>
      <c r="B217" s="17"/>
      <c r="C217" s="17"/>
      <c r="D217" s="17"/>
      <c r="E217" s="17"/>
      <c r="F217" s="17"/>
      <c r="G217" s="17"/>
      <c r="H217" s="17"/>
      <c r="I217" s="27"/>
    </row>
    <row r="218" spans="1:9" x14ac:dyDescent="0.35">
      <c r="A218" s="26"/>
      <c r="B218" s="17"/>
      <c r="C218" s="17"/>
      <c r="D218" s="17"/>
      <c r="E218" s="17"/>
      <c r="F218" s="17"/>
      <c r="G218" s="17"/>
      <c r="H218" s="17"/>
      <c r="I218" s="27"/>
    </row>
    <row r="219" spans="1:9" x14ac:dyDescent="0.35">
      <c r="A219" s="26"/>
      <c r="B219" s="17"/>
      <c r="C219" s="17"/>
      <c r="D219" s="17"/>
      <c r="E219" s="17"/>
      <c r="F219" s="17"/>
      <c r="G219" s="17"/>
      <c r="H219" s="17"/>
      <c r="I219" s="27"/>
    </row>
    <row r="220" spans="1:9" x14ac:dyDescent="0.35">
      <c r="A220" s="26"/>
      <c r="B220" s="17"/>
      <c r="C220" s="17"/>
      <c r="D220" s="17"/>
      <c r="E220" s="17"/>
      <c r="F220" s="17"/>
      <c r="G220" s="17"/>
      <c r="H220" s="17"/>
      <c r="I220" s="27"/>
    </row>
    <row r="221" spans="1:9" x14ac:dyDescent="0.35">
      <c r="A221" s="26"/>
      <c r="B221" s="17"/>
      <c r="C221" s="17"/>
      <c r="D221" s="17"/>
      <c r="E221" s="17"/>
      <c r="F221" s="17"/>
      <c r="G221" s="17"/>
      <c r="H221" s="17"/>
      <c r="I221" s="27"/>
    </row>
    <row r="222" spans="1:9" x14ac:dyDescent="0.35">
      <c r="A222" s="26"/>
      <c r="B222" s="17"/>
      <c r="C222" s="17"/>
      <c r="D222" s="17"/>
      <c r="E222" s="17"/>
      <c r="F222" s="17"/>
      <c r="G222" s="17"/>
      <c r="H222" s="17"/>
      <c r="I222" s="27"/>
    </row>
    <row r="223" spans="1:9" x14ac:dyDescent="0.35">
      <c r="A223" s="26"/>
      <c r="B223" s="17"/>
      <c r="C223" s="17"/>
      <c r="D223" s="17"/>
      <c r="E223" s="17"/>
      <c r="F223" s="17"/>
      <c r="G223" s="17"/>
      <c r="H223" s="17"/>
      <c r="I223" s="27"/>
    </row>
    <row r="224" spans="1:9" x14ac:dyDescent="0.35">
      <c r="A224" s="26"/>
      <c r="B224" s="17"/>
      <c r="C224" s="17"/>
      <c r="D224" s="17"/>
      <c r="E224" s="17"/>
      <c r="F224" s="17"/>
      <c r="G224" s="17"/>
      <c r="H224" s="17"/>
      <c r="I224" s="27"/>
    </row>
    <row r="225" spans="1:9" x14ac:dyDescent="0.35">
      <c r="A225" s="26"/>
      <c r="B225" s="17"/>
      <c r="C225" s="17"/>
      <c r="D225" s="17"/>
      <c r="E225" s="17"/>
      <c r="F225" s="17"/>
      <c r="G225" s="17"/>
      <c r="H225" s="17"/>
      <c r="I225" s="27"/>
    </row>
    <row r="226" spans="1:9" x14ac:dyDescent="0.35">
      <c r="A226" s="26"/>
      <c r="B226" s="17"/>
      <c r="C226" s="17"/>
      <c r="D226" s="17"/>
      <c r="E226" s="17"/>
      <c r="F226" s="17"/>
      <c r="G226" s="17"/>
      <c r="H226" s="17"/>
      <c r="I226" s="27"/>
    </row>
    <row r="227" spans="1:9" x14ac:dyDescent="0.35">
      <c r="A227" s="26"/>
      <c r="B227" s="17"/>
      <c r="C227" s="17"/>
      <c r="D227" s="17"/>
      <c r="E227" s="17"/>
      <c r="F227" s="17"/>
      <c r="G227" s="17"/>
      <c r="H227" s="17"/>
      <c r="I227" s="27"/>
    </row>
    <row r="228" spans="1:9" x14ac:dyDescent="0.35">
      <c r="A228" s="26"/>
      <c r="B228" s="17"/>
      <c r="C228" s="17"/>
      <c r="D228" s="17"/>
      <c r="E228" s="17"/>
      <c r="F228" s="17"/>
      <c r="G228" s="17"/>
      <c r="H228" s="17"/>
      <c r="I228" s="27"/>
    </row>
    <row r="229" spans="1:9" x14ac:dyDescent="0.35">
      <c r="A229" s="26"/>
      <c r="B229" s="17"/>
      <c r="C229" s="17"/>
      <c r="D229" s="17"/>
      <c r="E229" s="17"/>
      <c r="F229" s="17"/>
      <c r="G229" s="17"/>
      <c r="H229" s="17"/>
      <c r="I229" s="27"/>
    </row>
    <row r="230" spans="1:9" x14ac:dyDescent="0.35">
      <c r="A230" s="26"/>
      <c r="B230" s="17"/>
      <c r="C230" s="17"/>
      <c r="D230" s="17"/>
      <c r="E230" s="17"/>
      <c r="F230" s="17"/>
      <c r="G230" s="17"/>
      <c r="H230" s="17"/>
      <c r="I230" s="27"/>
    </row>
    <row r="231" spans="1:9" x14ac:dyDescent="0.35">
      <c r="A231" s="26"/>
      <c r="B231" s="17"/>
      <c r="C231" s="17"/>
      <c r="D231" s="17"/>
      <c r="E231" s="17"/>
      <c r="F231" s="17"/>
      <c r="G231" s="17"/>
      <c r="H231" s="17"/>
      <c r="I231" s="27"/>
    </row>
    <row r="232" spans="1:9" x14ac:dyDescent="0.35">
      <c r="A232" s="26"/>
      <c r="B232" s="17"/>
      <c r="C232" s="17"/>
      <c r="D232" s="17"/>
      <c r="E232" s="17"/>
      <c r="F232" s="17"/>
      <c r="G232" s="17"/>
      <c r="H232" s="17"/>
      <c r="I232" s="27"/>
    </row>
    <row r="233" spans="1:9" x14ac:dyDescent="0.35">
      <c r="A233" s="26"/>
      <c r="B233" s="17"/>
      <c r="C233" s="17"/>
      <c r="D233" s="17"/>
      <c r="E233" s="17"/>
      <c r="F233" s="17"/>
      <c r="G233" s="17"/>
      <c r="H233" s="17"/>
      <c r="I233" s="27"/>
    </row>
    <row r="234" spans="1:9" x14ac:dyDescent="0.35">
      <c r="A234" s="26"/>
      <c r="B234" s="17"/>
      <c r="C234" s="17"/>
      <c r="D234" s="17"/>
      <c r="E234" s="17"/>
      <c r="F234" s="17"/>
      <c r="G234" s="17"/>
      <c r="H234" s="17"/>
      <c r="I234" s="27"/>
    </row>
    <row r="235" spans="1:9" x14ac:dyDescent="0.35">
      <c r="A235" s="26"/>
      <c r="B235" s="17"/>
      <c r="C235" s="17"/>
      <c r="D235" s="17"/>
      <c r="E235" s="17"/>
      <c r="F235" s="17"/>
      <c r="G235" s="17"/>
      <c r="H235" s="17"/>
      <c r="I235" s="27"/>
    </row>
    <row r="236" spans="1:9" x14ac:dyDescent="0.35">
      <c r="A236" s="26"/>
      <c r="B236" s="17"/>
      <c r="C236" s="17"/>
      <c r="D236" s="17"/>
      <c r="E236" s="17"/>
      <c r="F236" s="17"/>
      <c r="G236" s="17"/>
      <c r="H236" s="17"/>
      <c r="I236" s="27"/>
    </row>
    <row r="237" spans="1:9" x14ac:dyDescent="0.35">
      <c r="A237" s="26"/>
      <c r="B237" s="17"/>
      <c r="C237" s="17"/>
      <c r="D237" s="17"/>
      <c r="E237" s="17"/>
      <c r="F237" s="17"/>
      <c r="G237" s="17"/>
      <c r="H237" s="17"/>
      <c r="I237" s="27"/>
    </row>
    <row r="238" spans="1:9" x14ac:dyDescent="0.35">
      <c r="A238" s="26"/>
      <c r="B238" s="17"/>
      <c r="C238" s="17"/>
      <c r="D238" s="17"/>
      <c r="E238" s="17"/>
      <c r="F238" s="17"/>
      <c r="G238" s="17"/>
      <c r="H238" s="17"/>
      <c r="I238" s="27"/>
    </row>
    <row r="239" spans="1:9" x14ac:dyDescent="0.35">
      <c r="A239" s="26"/>
      <c r="B239" s="17"/>
      <c r="C239" s="17"/>
      <c r="D239" s="17"/>
      <c r="E239" s="17"/>
      <c r="F239" s="17"/>
      <c r="G239" s="17"/>
      <c r="H239" s="17"/>
      <c r="I239" s="27"/>
    </row>
    <row r="240" spans="1:9" x14ac:dyDescent="0.35">
      <c r="A240" s="26"/>
      <c r="B240" s="17"/>
      <c r="C240" s="17"/>
      <c r="D240" s="17"/>
      <c r="E240" s="17"/>
      <c r="F240" s="17"/>
      <c r="G240" s="17"/>
      <c r="H240" s="17"/>
      <c r="I240" s="27"/>
    </row>
    <row r="241" spans="1:9" x14ac:dyDescent="0.35">
      <c r="A241" s="26"/>
      <c r="B241" s="17"/>
      <c r="C241" s="17"/>
      <c r="D241" s="17"/>
      <c r="E241" s="17"/>
      <c r="F241" s="17"/>
      <c r="G241" s="17"/>
      <c r="H241" s="17"/>
      <c r="I241" s="27"/>
    </row>
    <row r="242" spans="1:9" x14ac:dyDescent="0.35">
      <c r="A242" s="26"/>
      <c r="B242" s="17"/>
      <c r="C242" s="17"/>
      <c r="D242" s="17"/>
      <c r="E242" s="17"/>
      <c r="F242" s="17"/>
      <c r="G242" s="17"/>
      <c r="H242" s="17"/>
      <c r="I242" s="27"/>
    </row>
    <row r="243" spans="1:9" x14ac:dyDescent="0.35">
      <c r="A243" s="26"/>
      <c r="B243" s="17"/>
      <c r="C243" s="17"/>
      <c r="D243" s="17"/>
      <c r="E243" s="17"/>
      <c r="F243" s="17"/>
      <c r="G243" s="17"/>
      <c r="H243" s="17"/>
      <c r="I243" s="27"/>
    </row>
    <row r="244" spans="1:9" x14ac:dyDescent="0.35">
      <c r="A244" s="26"/>
      <c r="B244" s="17"/>
      <c r="C244" s="17"/>
      <c r="D244" s="17"/>
      <c r="E244" s="17"/>
      <c r="F244" s="17"/>
      <c r="G244" s="17"/>
      <c r="H244" s="17"/>
      <c r="I244" s="27"/>
    </row>
    <row r="245" spans="1:9" x14ac:dyDescent="0.35">
      <c r="A245" s="26"/>
      <c r="B245" s="17"/>
      <c r="C245" s="17"/>
      <c r="D245" s="17"/>
      <c r="E245" s="17"/>
      <c r="F245" s="17"/>
      <c r="G245" s="17"/>
      <c r="H245" s="17"/>
      <c r="I245" s="27"/>
    </row>
    <row r="246" spans="1:9" x14ac:dyDescent="0.35">
      <c r="A246" s="26"/>
      <c r="B246" s="17"/>
      <c r="C246" s="17"/>
      <c r="D246" s="17"/>
      <c r="E246" s="17"/>
      <c r="F246" s="17"/>
      <c r="G246" s="17"/>
      <c r="H246" s="17"/>
      <c r="I246" s="27"/>
    </row>
    <row r="247" spans="1:9" x14ac:dyDescent="0.35">
      <c r="A247" s="26"/>
      <c r="B247" s="17"/>
      <c r="C247" s="17"/>
      <c r="D247" s="17"/>
      <c r="E247" s="17"/>
      <c r="F247" s="17"/>
      <c r="G247" s="17"/>
      <c r="H247" s="17"/>
      <c r="I247" s="27"/>
    </row>
    <row r="248" spans="1:9" x14ac:dyDescent="0.35">
      <c r="A248" s="26"/>
      <c r="B248" s="17"/>
      <c r="C248" s="17"/>
      <c r="D248" s="17"/>
      <c r="E248" s="17"/>
      <c r="F248" s="17"/>
      <c r="G248" s="17"/>
      <c r="H248" s="17"/>
      <c r="I248" s="27"/>
    </row>
    <row r="249" spans="1:9" x14ac:dyDescent="0.35">
      <c r="A249" s="26"/>
      <c r="B249" s="17"/>
      <c r="C249" s="17"/>
      <c r="D249" s="17"/>
      <c r="E249" s="17"/>
      <c r="F249" s="17"/>
      <c r="G249" s="17"/>
      <c r="H249" s="17"/>
      <c r="I249" s="27"/>
    </row>
    <row r="250" spans="1:9" x14ac:dyDescent="0.35">
      <c r="A250" s="26"/>
      <c r="B250" s="17"/>
      <c r="C250" s="17"/>
      <c r="D250" s="17"/>
      <c r="E250" s="17"/>
      <c r="F250" s="17"/>
      <c r="G250" s="17"/>
      <c r="H250" s="17"/>
      <c r="I250" s="27"/>
    </row>
    <row r="251" spans="1:9" x14ac:dyDescent="0.35">
      <c r="A251" s="26"/>
      <c r="B251" s="17"/>
      <c r="C251" s="17"/>
      <c r="D251" s="17"/>
      <c r="E251" s="17"/>
      <c r="F251" s="17"/>
      <c r="G251" s="17"/>
      <c r="H251" s="17"/>
      <c r="I251" s="27"/>
    </row>
    <row r="252" spans="1:9" x14ac:dyDescent="0.35">
      <c r="A252" s="26"/>
      <c r="B252" s="17"/>
      <c r="C252" s="17"/>
      <c r="D252" s="17"/>
      <c r="E252" s="17"/>
      <c r="F252" s="17"/>
      <c r="G252" s="17"/>
      <c r="H252" s="17"/>
      <c r="I252" s="27"/>
    </row>
    <row r="253" spans="1:9" x14ac:dyDescent="0.35">
      <c r="A253" s="26"/>
      <c r="B253" s="17"/>
      <c r="C253" s="17"/>
      <c r="D253" s="17"/>
      <c r="E253" s="17"/>
      <c r="F253" s="17"/>
      <c r="G253" s="17"/>
      <c r="H253" s="17"/>
      <c r="I253" s="27"/>
    </row>
    <row r="254" spans="1:9" x14ac:dyDescent="0.35">
      <c r="A254" s="26"/>
      <c r="B254" s="17"/>
      <c r="C254" s="17"/>
      <c r="D254" s="17"/>
      <c r="E254" s="17"/>
      <c r="F254" s="17"/>
      <c r="G254" s="17"/>
      <c r="H254" s="17"/>
      <c r="I254" s="27"/>
    </row>
    <row r="255" spans="1:9" x14ac:dyDescent="0.35">
      <c r="A255" s="26"/>
      <c r="B255" s="17"/>
      <c r="C255" s="17"/>
      <c r="D255" s="17"/>
      <c r="E255" s="17"/>
      <c r="F255" s="17"/>
      <c r="G255" s="17"/>
      <c r="H255" s="17"/>
      <c r="I255" s="27"/>
    </row>
    <row r="256" spans="1:9" x14ac:dyDescent="0.35">
      <c r="A256" s="26"/>
      <c r="B256" s="17"/>
      <c r="C256" s="17"/>
      <c r="D256" s="17"/>
      <c r="E256" s="17"/>
      <c r="F256" s="17"/>
      <c r="G256" s="17"/>
      <c r="H256" s="17"/>
      <c r="I256" s="27"/>
    </row>
    <row r="257" spans="1:9" x14ac:dyDescent="0.35">
      <c r="A257" s="26"/>
      <c r="B257" s="17"/>
      <c r="C257" s="17"/>
      <c r="D257" s="17"/>
      <c r="E257" s="17"/>
      <c r="F257" s="17"/>
      <c r="G257" s="17"/>
      <c r="H257" s="17"/>
      <c r="I257" s="27"/>
    </row>
    <row r="258" spans="1:9" x14ac:dyDescent="0.35">
      <c r="A258" s="26"/>
      <c r="B258" s="17"/>
      <c r="C258" s="17"/>
      <c r="D258" s="17"/>
      <c r="E258" s="17"/>
      <c r="F258" s="17"/>
      <c r="G258" s="17"/>
      <c r="H258" s="17"/>
      <c r="I258" s="27"/>
    </row>
    <row r="259" spans="1:9" x14ac:dyDescent="0.35">
      <c r="A259" s="26"/>
      <c r="B259" s="17"/>
      <c r="C259" s="17"/>
      <c r="D259" s="17"/>
      <c r="E259" s="17"/>
      <c r="F259" s="17"/>
      <c r="G259" s="17"/>
      <c r="H259" s="17"/>
      <c r="I259" s="27"/>
    </row>
    <row r="260" spans="1:9" x14ac:dyDescent="0.35">
      <c r="A260" s="26"/>
      <c r="B260" s="17"/>
      <c r="C260" s="17"/>
      <c r="D260" s="17"/>
      <c r="E260" s="17"/>
      <c r="F260" s="17"/>
      <c r="G260" s="17"/>
      <c r="H260" s="17"/>
      <c r="I260" s="27"/>
    </row>
    <row r="261" spans="1:9" x14ac:dyDescent="0.35">
      <c r="A261" s="26"/>
      <c r="B261" s="17"/>
      <c r="C261" s="17"/>
      <c r="D261" s="17"/>
      <c r="E261" s="17"/>
      <c r="F261" s="17"/>
      <c r="G261" s="17"/>
      <c r="H261" s="17"/>
      <c r="I261" s="27"/>
    </row>
    <row r="262" spans="1:9" x14ac:dyDescent="0.35">
      <c r="A262" s="26"/>
      <c r="B262" s="17"/>
      <c r="C262" s="17"/>
      <c r="D262" s="17"/>
      <c r="E262" s="17"/>
      <c r="F262" s="17"/>
      <c r="G262" s="17"/>
      <c r="H262" s="17"/>
      <c r="I262" s="27"/>
    </row>
    <row r="263" spans="1:9" x14ac:dyDescent="0.35">
      <c r="A263" s="26"/>
      <c r="B263" s="17"/>
      <c r="C263" s="17"/>
      <c r="D263" s="17"/>
      <c r="E263" s="17"/>
      <c r="F263" s="17"/>
      <c r="G263" s="17"/>
      <c r="H263" s="17"/>
      <c r="I263" s="27"/>
    </row>
    <row r="264" spans="1:9" x14ac:dyDescent="0.35">
      <c r="A264" s="26"/>
      <c r="B264" s="17"/>
      <c r="C264" s="17"/>
      <c r="D264" s="17"/>
      <c r="E264" s="17"/>
      <c r="F264" s="17"/>
      <c r="G264" s="17"/>
      <c r="H264" s="17"/>
      <c r="I264" s="27"/>
    </row>
    <row r="265" spans="1:9" x14ac:dyDescent="0.35">
      <c r="A265" s="26"/>
      <c r="B265" s="17"/>
      <c r="C265" s="17"/>
      <c r="D265" s="17"/>
      <c r="E265" s="17"/>
      <c r="F265" s="17"/>
      <c r="G265" s="17"/>
      <c r="H265" s="17"/>
      <c r="I265" s="27"/>
    </row>
    <row r="266" spans="1:9" x14ac:dyDescent="0.35">
      <c r="A266" s="26"/>
      <c r="B266" s="17"/>
      <c r="C266" s="17"/>
      <c r="D266" s="17"/>
      <c r="E266" s="17"/>
      <c r="F266" s="17"/>
      <c r="G266" s="17"/>
      <c r="H266" s="17"/>
      <c r="I266" s="27"/>
    </row>
    <row r="267" spans="1:9" x14ac:dyDescent="0.35">
      <c r="A267" s="26"/>
      <c r="B267" s="17"/>
      <c r="C267" s="17"/>
      <c r="D267" s="17"/>
      <c r="E267" s="17"/>
      <c r="F267" s="17"/>
      <c r="G267" s="17"/>
      <c r="H267" s="17"/>
      <c r="I267" s="27"/>
    </row>
    <row r="268" spans="1:9" x14ac:dyDescent="0.35">
      <c r="A268" s="26"/>
      <c r="B268" s="17"/>
      <c r="C268" s="17"/>
      <c r="D268" s="17"/>
      <c r="E268" s="17"/>
      <c r="F268" s="17"/>
      <c r="G268" s="17"/>
      <c r="H268" s="17"/>
      <c r="I268" s="27"/>
    </row>
    <row r="269" spans="1:9" x14ac:dyDescent="0.35">
      <c r="A269" s="26"/>
      <c r="B269" s="17"/>
      <c r="C269" s="17"/>
      <c r="D269" s="17"/>
      <c r="E269" s="17"/>
      <c r="F269" s="17"/>
      <c r="G269" s="17"/>
      <c r="H269" s="17"/>
      <c r="I269" s="27"/>
    </row>
    <row r="270" spans="1:9" x14ac:dyDescent="0.35">
      <c r="A270" s="26"/>
      <c r="B270" s="17"/>
      <c r="C270" s="17"/>
      <c r="D270" s="17"/>
      <c r="E270" s="17"/>
      <c r="F270" s="17"/>
      <c r="G270" s="17"/>
      <c r="H270" s="17"/>
      <c r="I270" s="27"/>
    </row>
    <row r="271" spans="1:9" x14ac:dyDescent="0.35">
      <c r="A271" s="26"/>
      <c r="B271" s="17"/>
      <c r="C271" s="17"/>
      <c r="D271" s="17"/>
      <c r="E271" s="17"/>
      <c r="F271" s="17"/>
      <c r="G271" s="17"/>
      <c r="H271" s="17"/>
      <c r="I271" s="27"/>
    </row>
    <row r="272" spans="1:9" x14ac:dyDescent="0.35">
      <c r="A272" s="26"/>
      <c r="B272" s="17"/>
      <c r="C272" s="17"/>
      <c r="D272" s="17"/>
      <c r="E272" s="17"/>
      <c r="F272" s="17"/>
      <c r="G272" s="17"/>
      <c r="H272" s="17"/>
      <c r="I272" s="27"/>
    </row>
    <row r="273" spans="1:9" x14ac:dyDescent="0.35">
      <c r="A273" s="26"/>
      <c r="B273" s="17"/>
      <c r="C273" s="17"/>
      <c r="D273" s="17"/>
      <c r="E273" s="17"/>
      <c r="F273" s="17"/>
      <c r="G273" s="17"/>
      <c r="H273" s="17"/>
      <c r="I273" s="27"/>
    </row>
    <row r="274" spans="1:9" x14ac:dyDescent="0.35">
      <c r="A274" s="26"/>
      <c r="B274" s="17"/>
      <c r="C274" s="17"/>
      <c r="D274" s="17"/>
      <c r="E274" s="17"/>
      <c r="F274" s="17"/>
      <c r="G274" s="17"/>
      <c r="H274" s="17"/>
      <c r="I274" s="27"/>
    </row>
    <row r="275" spans="1:9" x14ac:dyDescent="0.35">
      <c r="A275" s="26"/>
      <c r="B275" s="17"/>
      <c r="C275" s="17"/>
      <c r="D275" s="17"/>
      <c r="E275" s="17"/>
      <c r="F275" s="17"/>
      <c r="G275" s="17"/>
      <c r="H275" s="17"/>
      <c r="I275" s="27"/>
    </row>
    <row r="276" spans="1:9" x14ac:dyDescent="0.35">
      <c r="A276" s="26"/>
      <c r="B276" s="17"/>
      <c r="C276" s="17"/>
      <c r="D276" s="17"/>
      <c r="E276" s="17"/>
      <c r="F276" s="17"/>
      <c r="G276" s="17"/>
      <c r="H276" s="17"/>
      <c r="I276" s="27"/>
    </row>
    <row r="277" spans="1:9" x14ac:dyDescent="0.35">
      <c r="A277" s="26"/>
      <c r="B277" s="17"/>
      <c r="C277" s="17"/>
      <c r="D277" s="17"/>
      <c r="E277" s="17"/>
      <c r="F277" s="17"/>
      <c r="G277" s="17"/>
      <c r="H277" s="17"/>
      <c r="I277" s="27"/>
    </row>
    <row r="278" spans="1:9" x14ac:dyDescent="0.35">
      <c r="A278" s="26"/>
      <c r="B278" s="17"/>
      <c r="C278" s="17"/>
      <c r="D278" s="17"/>
      <c r="E278" s="17"/>
      <c r="F278" s="17"/>
      <c r="G278" s="17"/>
      <c r="H278" s="17"/>
      <c r="I278" s="27"/>
    </row>
    <row r="279" spans="1:9" x14ac:dyDescent="0.35">
      <c r="A279" s="26"/>
      <c r="B279" s="17"/>
      <c r="C279" s="17"/>
      <c r="D279" s="17"/>
      <c r="E279" s="17"/>
      <c r="F279" s="17"/>
      <c r="G279" s="17"/>
      <c r="H279" s="17"/>
      <c r="I279" s="27"/>
    </row>
    <row r="280" spans="1:9" x14ac:dyDescent="0.35">
      <c r="A280" s="26"/>
      <c r="B280" s="17"/>
      <c r="C280" s="17"/>
      <c r="D280" s="17"/>
      <c r="E280" s="17"/>
      <c r="F280" s="17"/>
      <c r="G280" s="17"/>
      <c r="H280" s="17"/>
      <c r="I280" s="27"/>
    </row>
    <row r="281" spans="1:9" x14ac:dyDescent="0.35">
      <c r="A281" s="26"/>
      <c r="B281" s="17"/>
      <c r="C281" s="17"/>
      <c r="D281" s="17"/>
      <c r="E281" s="17"/>
      <c r="F281" s="17"/>
      <c r="G281" s="17"/>
      <c r="H281" s="17"/>
      <c r="I281" s="27"/>
    </row>
    <row r="282" spans="1:9" x14ac:dyDescent="0.35">
      <c r="A282" s="26"/>
      <c r="B282" s="17"/>
      <c r="C282" s="17"/>
      <c r="D282" s="17"/>
      <c r="E282" s="17"/>
      <c r="F282" s="17"/>
      <c r="G282" s="17"/>
      <c r="H282" s="17"/>
      <c r="I282" s="27"/>
    </row>
    <row r="283" spans="1:9" x14ac:dyDescent="0.35">
      <c r="A283" s="26"/>
      <c r="B283" s="17"/>
      <c r="C283" s="17"/>
      <c r="D283" s="17"/>
      <c r="E283" s="17"/>
      <c r="F283" s="17"/>
      <c r="G283" s="17"/>
      <c r="H283" s="17"/>
      <c r="I283" s="27"/>
    </row>
    <row r="284" spans="1:9" x14ac:dyDescent="0.35">
      <c r="A284" s="26"/>
      <c r="B284" s="17"/>
      <c r="C284" s="17"/>
      <c r="D284" s="17"/>
      <c r="E284" s="17"/>
      <c r="F284" s="17"/>
      <c r="G284" s="17"/>
      <c r="H284" s="17"/>
      <c r="I284" s="27"/>
    </row>
    <row r="285" spans="1:9" x14ac:dyDescent="0.35">
      <c r="A285" s="26"/>
      <c r="B285" s="17"/>
      <c r="C285" s="17"/>
      <c r="D285" s="17"/>
      <c r="E285" s="17"/>
      <c r="F285" s="17"/>
      <c r="G285" s="17"/>
      <c r="H285" s="17"/>
      <c r="I285" s="27"/>
    </row>
    <row r="286" spans="1:9" x14ac:dyDescent="0.35">
      <c r="A286" s="26"/>
      <c r="B286" s="17"/>
      <c r="C286" s="17"/>
      <c r="D286" s="17"/>
      <c r="E286" s="17"/>
      <c r="F286" s="17"/>
      <c r="G286" s="17"/>
      <c r="H286" s="17"/>
      <c r="I286" s="27"/>
    </row>
    <row r="287" spans="1:9" x14ac:dyDescent="0.35">
      <c r="A287" s="26"/>
      <c r="B287" s="17"/>
      <c r="C287" s="17"/>
      <c r="D287" s="17"/>
      <c r="E287" s="17"/>
      <c r="F287" s="17"/>
      <c r="G287" s="17"/>
      <c r="H287" s="17"/>
      <c r="I287" s="27"/>
    </row>
    <row r="288" spans="1:9" x14ac:dyDescent="0.35">
      <c r="A288" s="26"/>
      <c r="B288" s="17"/>
      <c r="C288" s="17"/>
      <c r="D288" s="17"/>
      <c r="E288" s="17"/>
      <c r="F288" s="17"/>
      <c r="G288" s="17"/>
      <c r="H288" s="17"/>
      <c r="I288" s="27"/>
    </row>
    <row r="289" spans="1:9" x14ac:dyDescent="0.35">
      <c r="A289" s="26"/>
      <c r="B289" s="17"/>
      <c r="C289" s="17"/>
      <c r="D289" s="17"/>
      <c r="E289" s="17"/>
      <c r="F289" s="17"/>
      <c r="G289" s="17"/>
      <c r="H289" s="17"/>
      <c r="I289" s="27"/>
    </row>
    <row r="290" spans="1:9" x14ac:dyDescent="0.35">
      <c r="A290" s="26"/>
      <c r="B290" s="17"/>
      <c r="C290" s="17"/>
      <c r="D290" s="17"/>
      <c r="E290" s="17"/>
      <c r="F290" s="17"/>
      <c r="G290" s="17"/>
      <c r="H290" s="17"/>
      <c r="I290" s="27"/>
    </row>
    <row r="291" spans="1:9" x14ac:dyDescent="0.35">
      <c r="A291" s="26"/>
      <c r="B291" s="17"/>
      <c r="C291" s="17"/>
      <c r="D291" s="17"/>
      <c r="E291" s="17"/>
      <c r="F291" s="17"/>
      <c r="G291" s="17"/>
      <c r="H291" s="17"/>
      <c r="I291" s="27"/>
    </row>
    <row r="292" spans="1:9" x14ac:dyDescent="0.35">
      <c r="A292" s="26"/>
      <c r="B292" s="17"/>
      <c r="C292" s="17"/>
      <c r="D292" s="17"/>
      <c r="E292" s="17"/>
      <c r="F292" s="17"/>
      <c r="G292" s="17"/>
      <c r="H292" s="17"/>
      <c r="I292" s="27"/>
    </row>
    <row r="293" spans="1:9" x14ac:dyDescent="0.35">
      <c r="A293" s="26"/>
      <c r="B293" s="17"/>
      <c r="C293" s="17"/>
      <c r="D293" s="17"/>
      <c r="E293" s="17"/>
      <c r="F293" s="17"/>
      <c r="G293" s="17"/>
      <c r="H293" s="17"/>
      <c r="I293" s="27"/>
    </row>
    <row r="294" spans="1:9" x14ac:dyDescent="0.35">
      <c r="A294" s="26"/>
      <c r="B294" s="17"/>
      <c r="C294" s="17"/>
      <c r="D294" s="17"/>
      <c r="E294" s="17"/>
      <c r="F294" s="17"/>
      <c r="G294" s="17"/>
      <c r="H294" s="17"/>
      <c r="I294" s="27"/>
    </row>
    <row r="295" spans="1:9" x14ac:dyDescent="0.35">
      <c r="A295" s="26"/>
      <c r="B295" s="17"/>
      <c r="C295" s="17"/>
      <c r="D295" s="17"/>
      <c r="E295" s="17"/>
      <c r="F295" s="17"/>
      <c r="G295" s="17"/>
      <c r="H295" s="17"/>
      <c r="I295" s="27"/>
    </row>
    <row r="296" spans="1:9" x14ac:dyDescent="0.35">
      <c r="A296" s="26"/>
      <c r="B296" s="17"/>
      <c r="C296" s="17"/>
      <c r="D296" s="17"/>
      <c r="E296" s="17"/>
      <c r="F296" s="17"/>
      <c r="G296" s="17"/>
      <c r="H296" s="17"/>
      <c r="I296" s="27"/>
    </row>
    <row r="297" spans="1:9" x14ac:dyDescent="0.35">
      <c r="A297" s="26"/>
      <c r="B297" s="17"/>
      <c r="C297" s="17"/>
      <c r="D297" s="17"/>
      <c r="E297" s="17"/>
      <c r="F297" s="17"/>
      <c r="G297" s="17"/>
      <c r="H297" s="17"/>
      <c r="I297" s="27"/>
    </row>
    <row r="298" spans="1:9" x14ac:dyDescent="0.35">
      <c r="A298" s="26"/>
      <c r="B298" s="17"/>
      <c r="C298" s="17"/>
      <c r="D298" s="17"/>
      <c r="E298" s="17"/>
      <c r="F298" s="17"/>
      <c r="G298" s="17"/>
      <c r="H298" s="17"/>
      <c r="I298" s="27"/>
    </row>
    <row r="299" spans="1:9" x14ac:dyDescent="0.35">
      <c r="A299" s="26"/>
      <c r="B299" s="17"/>
      <c r="C299" s="17"/>
      <c r="D299" s="17"/>
      <c r="E299" s="17"/>
      <c r="F299" s="17"/>
      <c r="G299" s="17"/>
      <c r="H299" s="17"/>
      <c r="I299" s="27"/>
    </row>
    <row r="300" spans="1:9" x14ac:dyDescent="0.35">
      <c r="A300" s="26"/>
      <c r="B300" s="17"/>
      <c r="C300" s="17"/>
      <c r="D300" s="17"/>
      <c r="E300" s="17"/>
      <c r="F300" s="17"/>
      <c r="G300" s="17"/>
      <c r="H300" s="17"/>
      <c r="I300" s="27"/>
    </row>
    <row r="301" spans="1:9" x14ac:dyDescent="0.35">
      <c r="A301" s="26"/>
      <c r="B301" s="17"/>
      <c r="C301" s="17"/>
      <c r="D301" s="17"/>
      <c r="E301" s="17"/>
      <c r="F301" s="17"/>
      <c r="G301" s="17"/>
      <c r="H301" s="17"/>
      <c r="I301" s="27"/>
    </row>
    <row r="302" spans="1:9" x14ac:dyDescent="0.35">
      <c r="A302" s="26"/>
      <c r="B302" s="17"/>
      <c r="C302" s="17"/>
      <c r="D302" s="17"/>
      <c r="E302" s="17"/>
      <c r="F302" s="17"/>
      <c r="G302" s="17"/>
      <c r="H302" s="17"/>
      <c r="I302" s="27"/>
    </row>
    <row r="303" spans="1:9" x14ac:dyDescent="0.35">
      <c r="A303" s="26"/>
      <c r="B303" s="17"/>
      <c r="C303" s="17"/>
      <c r="D303" s="17"/>
      <c r="E303" s="17"/>
      <c r="F303" s="17"/>
      <c r="G303" s="17"/>
      <c r="H303" s="17"/>
      <c r="I303" s="27"/>
    </row>
    <row r="304" spans="1:9" x14ac:dyDescent="0.35">
      <c r="A304" s="26"/>
      <c r="B304" s="17"/>
      <c r="C304" s="17"/>
      <c r="D304" s="17"/>
      <c r="E304" s="17"/>
      <c r="F304" s="17"/>
      <c r="G304" s="17"/>
      <c r="H304" s="17"/>
      <c r="I304" s="27"/>
    </row>
    <row r="305" spans="1:9" x14ac:dyDescent="0.35">
      <c r="A305" s="26"/>
      <c r="B305" s="17"/>
      <c r="C305" s="17"/>
      <c r="D305" s="17"/>
      <c r="E305" s="17"/>
      <c r="F305" s="17"/>
      <c r="G305" s="17"/>
      <c r="H305" s="17"/>
      <c r="I305" s="27"/>
    </row>
    <row r="306" spans="1:9" x14ac:dyDescent="0.35">
      <c r="A306" s="26"/>
      <c r="B306" s="17"/>
      <c r="C306" s="17"/>
      <c r="D306" s="17"/>
      <c r="E306" s="17"/>
      <c r="F306" s="17"/>
      <c r="G306" s="17"/>
      <c r="H306" s="17"/>
      <c r="I306" s="27"/>
    </row>
    <row r="307" spans="1:9" x14ac:dyDescent="0.35">
      <c r="A307" s="26"/>
      <c r="B307" s="17"/>
      <c r="C307" s="17"/>
      <c r="D307" s="17"/>
      <c r="E307" s="17"/>
      <c r="F307" s="17"/>
      <c r="G307" s="17"/>
      <c r="H307" s="17"/>
      <c r="I307" s="27"/>
    </row>
    <row r="308" spans="1:9" x14ac:dyDescent="0.35">
      <c r="A308" s="26"/>
      <c r="B308" s="17"/>
      <c r="C308" s="17"/>
      <c r="D308" s="17"/>
      <c r="E308" s="17"/>
      <c r="F308" s="17"/>
      <c r="G308" s="17"/>
      <c r="H308" s="17"/>
      <c r="I308" s="27"/>
    </row>
    <row r="309" spans="1:9" x14ac:dyDescent="0.35">
      <c r="A309" s="26"/>
      <c r="B309" s="17"/>
      <c r="C309" s="17"/>
      <c r="D309" s="17"/>
      <c r="E309" s="17"/>
      <c r="F309" s="17"/>
      <c r="G309" s="17"/>
      <c r="H309" s="17"/>
      <c r="I309" s="27"/>
    </row>
    <row r="310" spans="1:9" x14ac:dyDescent="0.35">
      <c r="A310" s="26"/>
      <c r="B310" s="17"/>
      <c r="C310" s="17"/>
      <c r="D310" s="17"/>
      <c r="E310" s="17"/>
      <c r="F310" s="17"/>
      <c r="G310" s="17"/>
      <c r="H310" s="17"/>
      <c r="I310" s="27"/>
    </row>
    <row r="311" spans="1:9" x14ac:dyDescent="0.35">
      <c r="A311" s="26"/>
      <c r="B311" s="17"/>
      <c r="C311" s="17"/>
      <c r="D311" s="17"/>
      <c r="E311" s="17"/>
      <c r="F311" s="17"/>
      <c r="G311" s="17"/>
      <c r="H311" s="17"/>
      <c r="I311" s="27"/>
    </row>
    <row r="312" spans="1:9" x14ac:dyDescent="0.35">
      <c r="A312" s="26"/>
      <c r="B312" s="17"/>
      <c r="C312" s="17"/>
      <c r="D312" s="17"/>
      <c r="E312" s="17"/>
      <c r="F312" s="17"/>
      <c r="G312" s="17"/>
      <c r="H312" s="17"/>
      <c r="I312" s="27"/>
    </row>
    <row r="313" spans="1:9" x14ac:dyDescent="0.35">
      <c r="A313" s="26"/>
      <c r="B313" s="17"/>
      <c r="C313" s="17"/>
      <c r="D313" s="17"/>
      <c r="E313" s="17"/>
      <c r="F313" s="17"/>
      <c r="G313" s="17"/>
      <c r="H313" s="17"/>
      <c r="I313" s="27"/>
    </row>
    <row r="314" spans="1:9" x14ac:dyDescent="0.35">
      <c r="A314" s="26"/>
      <c r="B314" s="17"/>
      <c r="C314" s="17"/>
      <c r="D314" s="17"/>
      <c r="E314" s="17"/>
      <c r="F314" s="17"/>
      <c r="G314" s="17"/>
      <c r="H314" s="17"/>
      <c r="I314" s="27"/>
    </row>
    <row r="315" spans="1:9" x14ac:dyDescent="0.35">
      <c r="A315" s="26"/>
      <c r="B315" s="17"/>
      <c r="C315" s="17"/>
      <c r="D315" s="17"/>
      <c r="E315" s="17"/>
      <c r="F315" s="17"/>
      <c r="G315" s="17"/>
      <c r="H315" s="17"/>
      <c r="I315" s="27"/>
    </row>
    <row r="316" spans="1:9" x14ac:dyDescent="0.35">
      <c r="A316" s="26"/>
      <c r="B316" s="17"/>
      <c r="C316" s="17"/>
      <c r="D316" s="17"/>
      <c r="E316" s="17"/>
      <c r="F316" s="17"/>
      <c r="G316" s="17"/>
      <c r="H316" s="17"/>
      <c r="I316" s="27"/>
    </row>
    <row r="317" spans="1:9" x14ac:dyDescent="0.35">
      <c r="A317" s="26"/>
      <c r="B317" s="17"/>
      <c r="C317" s="17"/>
      <c r="D317" s="17"/>
      <c r="E317" s="17"/>
      <c r="F317" s="17"/>
      <c r="G317" s="17"/>
      <c r="H317" s="17"/>
      <c r="I317" s="27"/>
    </row>
    <row r="318" spans="1:9" x14ac:dyDescent="0.35">
      <c r="A318" s="26"/>
      <c r="B318" s="17"/>
      <c r="C318" s="17"/>
      <c r="D318" s="17"/>
      <c r="E318" s="17"/>
      <c r="F318" s="17"/>
      <c r="G318" s="17"/>
      <c r="H318" s="17"/>
      <c r="I318" s="27"/>
    </row>
    <row r="319" spans="1:9" x14ac:dyDescent="0.35">
      <c r="A319" s="26"/>
      <c r="B319" s="17"/>
      <c r="C319" s="17"/>
      <c r="D319" s="17"/>
      <c r="E319" s="17"/>
      <c r="F319" s="17"/>
      <c r="G319" s="17"/>
      <c r="H319" s="17"/>
      <c r="I319" s="27"/>
    </row>
    <row r="320" spans="1:9" x14ac:dyDescent="0.35">
      <c r="A320" s="26"/>
      <c r="B320" s="17"/>
      <c r="C320" s="17"/>
      <c r="D320" s="17"/>
      <c r="E320" s="17"/>
      <c r="F320" s="17"/>
      <c r="G320" s="17"/>
      <c r="H320" s="17"/>
      <c r="I320" s="27"/>
    </row>
    <row r="321" spans="1:9" x14ac:dyDescent="0.35">
      <c r="A321" s="26"/>
      <c r="B321" s="17"/>
      <c r="C321" s="17"/>
      <c r="D321" s="17"/>
      <c r="E321" s="17"/>
      <c r="F321" s="17"/>
      <c r="G321" s="17"/>
      <c r="H321" s="17"/>
      <c r="I321" s="27"/>
    </row>
    <row r="322" spans="1:9" x14ac:dyDescent="0.35">
      <c r="A322" s="26"/>
      <c r="B322" s="17"/>
      <c r="C322" s="17"/>
      <c r="D322" s="17"/>
      <c r="E322" s="17"/>
      <c r="F322" s="17"/>
      <c r="G322" s="17"/>
      <c r="H322" s="17"/>
      <c r="I322" s="27"/>
    </row>
    <row r="323" spans="1:9" x14ac:dyDescent="0.35">
      <c r="A323" s="26"/>
      <c r="B323" s="17"/>
      <c r="C323" s="17"/>
      <c r="D323" s="17"/>
      <c r="E323" s="17"/>
      <c r="F323" s="17"/>
      <c r="G323" s="17"/>
      <c r="H323" s="17"/>
      <c r="I323" s="27"/>
    </row>
    <row r="324" spans="1:9" x14ac:dyDescent="0.35">
      <c r="A324" s="26"/>
      <c r="B324" s="17"/>
      <c r="C324" s="17"/>
      <c r="D324" s="17"/>
      <c r="E324" s="17"/>
      <c r="F324" s="17"/>
      <c r="G324" s="17"/>
      <c r="H324" s="17"/>
      <c r="I324" s="27"/>
    </row>
    <row r="325" spans="1:9" x14ac:dyDescent="0.35">
      <c r="A325" s="26"/>
      <c r="B325" s="17"/>
      <c r="C325" s="17"/>
      <c r="D325" s="17"/>
      <c r="E325" s="17"/>
      <c r="F325" s="17"/>
      <c r="G325" s="17"/>
      <c r="H325" s="17"/>
      <c r="I325" s="27"/>
    </row>
    <row r="326" spans="1:9" x14ac:dyDescent="0.35">
      <c r="A326" s="26"/>
      <c r="B326" s="17"/>
      <c r="C326" s="17"/>
      <c r="D326" s="17"/>
      <c r="E326" s="17"/>
      <c r="F326" s="17"/>
      <c r="G326" s="17"/>
      <c r="H326" s="17"/>
      <c r="I326" s="27"/>
    </row>
    <row r="327" spans="1:9" x14ac:dyDescent="0.35">
      <c r="A327" s="26"/>
      <c r="B327" s="17"/>
      <c r="C327" s="17"/>
      <c r="D327" s="17"/>
      <c r="E327" s="17"/>
      <c r="F327" s="17"/>
      <c r="G327" s="17"/>
      <c r="H327" s="17"/>
      <c r="I327" s="27"/>
    </row>
    <row r="328" spans="1:9" x14ac:dyDescent="0.35">
      <c r="A328" s="26"/>
      <c r="B328" s="17"/>
      <c r="C328" s="17"/>
      <c r="D328" s="17"/>
      <c r="E328" s="17"/>
      <c r="F328" s="17"/>
      <c r="G328" s="17"/>
      <c r="H328" s="17"/>
      <c r="I328" s="27"/>
    </row>
    <row r="329" spans="1:9" x14ac:dyDescent="0.35">
      <c r="A329" s="26"/>
      <c r="B329" s="17"/>
      <c r="C329" s="17"/>
      <c r="D329" s="17"/>
      <c r="E329" s="17"/>
      <c r="F329" s="17"/>
      <c r="G329" s="17"/>
      <c r="H329" s="17"/>
      <c r="I329" s="27"/>
    </row>
    <row r="330" spans="1:9" x14ac:dyDescent="0.35">
      <c r="A330" s="26"/>
      <c r="B330" s="17"/>
      <c r="C330" s="17"/>
      <c r="D330" s="17"/>
      <c r="E330" s="17"/>
      <c r="F330" s="17"/>
      <c r="G330" s="17"/>
      <c r="H330" s="17"/>
      <c r="I330" s="27"/>
    </row>
    <row r="331" spans="1:9" x14ac:dyDescent="0.35">
      <c r="A331" s="26"/>
      <c r="B331" s="17"/>
      <c r="C331" s="17"/>
      <c r="D331" s="17"/>
      <c r="E331" s="17"/>
      <c r="F331" s="17"/>
      <c r="G331" s="17"/>
      <c r="H331" s="17"/>
      <c r="I331" s="27"/>
    </row>
    <row r="332" spans="1:9" x14ac:dyDescent="0.35">
      <c r="A332" s="26"/>
      <c r="B332" s="17"/>
      <c r="C332" s="17"/>
      <c r="D332" s="17"/>
      <c r="E332" s="17"/>
      <c r="F332" s="17"/>
      <c r="G332" s="17"/>
      <c r="H332" s="17"/>
      <c r="I332" s="27"/>
    </row>
    <row r="333" spans="1:9" x14ac:dyDescent="0.35">
      <c r="A333" s="26"/>
      <c r="B333" s="17"/>
      <c r="C333" s="17"/>
      <c r="D333" s="17"/>
      <c r="E333" s="17"/>
      <c r="F333" s="17"/>
      <c r="G333" s="17"/>
      <c r="H333" s="17"/>
      <c r="I333" s="27"/>
    </row>
    <row r="334" spans="1:9" x14ac:dyDescent="0.35">
      <c r="A334" s="26"/>
      <c r="B334" s="17"/>
      <c r="C334" s="17"/>
      <c r="D334" s="17"/>
      <c r="E334" s="17"/>
      <c r="F334" s="17"/>
      <c r="G334" s="17"/>
      <c r="H334" s="17"/>
      <c r="I334" s="27"/>
    </row>
    <row r="335" spans="1:9" x14ac:dyDescent="0.35">
      <c r="A335" s="26"/>
      <c r="B335" s="17"/>
      <c r="C335" s="17"/>
      <c r="D335" s="17"/>
      <c r="E335" s="17"/>
      <c r="F335" s="17"/>
      <c r="G335" s="17"/>
      <c r="H335" s="17"/>
      <c r="I335" s="27"/>
    </row>
    <row r="336" spans="1:9" x14ac:dyDescent="0.35">
      <c r="A336" s="26"/>
      <c r="B336" s="17"/>
      <c r="C336" s="17"/>
      <c r="D336" s="17"/>
      <c r="E336" s="17"/>
      <c r="F336" s="17"/>
      <c r="G336" s="17"/>
      <c r="H336" s="17"/>
      <c r="I336" s="27"/>
    </row>
    <row r="337" spans="1:9" x14ac:dyDescent="0.35">
      <c r="A337" s="26"/>
      <c r="B337" s="17"/>
      <c r="C337" s="17"/>
      <c r="D337" s="17"/>
      <c r="E337" s="17"/>
      <c r="F337" s="17"/>
      <c r="G337" s="17"/>
      <c r="H337" s="17"/>
      <c r="I337" s="27"/>
    </row>
    <row r="338" spans="1:9" x14ac:dyDescent="0.35">
      <c r="A338" s="26"/>
      <c r="B338" s="17"/>
      <c r="C338" s="17"/>
      <c r="D338" s="17"/>
      <c r="E338" s="17"/>
      <c r="F338" s="17"/>
      <c r="G338" s="17"/>
      <c r="H338" s="17"/>
      <c r="I338" s="27"/>
    </row>
    <row r="339" spans="1:9" x14ac:dyDescent="0.35">
      <c r="A339" s="26"/>
      <c r="B339" s="17"/>
      <c r="C339" s="17"/>
      <c r="D339" s="17"/>
      <c r="E339" s="17"/>
      <c r="F339" s="17"/>
      <c r="G339" s="17"/>
      <c r="H339" s="17"/>
      <c r="I339" s="27"/>
    </row>
    <row r="340" spans="1:9" x14ac:dyDescent="0.35">
      <c r="A340" s="26"/>
      <c r="B340" s="17"/>
      <c r="C340" s="17"/>
      <c r="D340" s="17"/>
      <c r="E340" s="17"/>
      <c r="F340" s="17"/>
      <c r="G340" s="17"/>
      <c r="H340" s="17"/>
      <c r="I340" s="27"/>
    </row>
    <row r="341" spans="1:9" x14ac:dyDescent="0.35">
      <c r="A341" s="26"/>
      <c r="B341" s="17"/>
      <c r="C341" s="17"/>
      <c r="D341" s="17"/>
      <c r="E341" s="17"/>
      <c r="F341" s="17"/>
      <c r="G341" s="17"/>
      <c r="H341" s="17"/>
      <c r="I341" s="27"/>
    </row>
    <row r="342" spans="1:9" x14ac:dyDescent="0.35">
      <c r="A342" s="26"/>
      <c r="B342" s="17"/>
      <c r="C342" s="17"/>
      <c r="D342" s="17"/>
      <c r="E342" s="17"/>
      <c r="F342" s="17"/>
      <c r="G342" s="17"/>
      <c r="H342" s="17"/>
      <c r="I342" s="27"/>
    </row>
    <row r="343" spans="1:9" x14ac:dyDescent="0.35">
      <c r="A343" s="26"/>
      <c r="B343" s="17"/>
      <c r="C343" s="17"/>
      <c r="D343" s="17"/>
      <c r="E343" s="17"/>
      <c r="F343" s="17"/>
      <c r="G343" s="17"/>
      <c r="H343" s="17"/>
      <c r="I343" s="27"/>
    </row>
    <row r="344" spans="1:9" x14ac:dyDescent="0.35">
      <c r="A344" s="26"/>
      <c r="B344" s="17"/>
      <c r="C344" s="17"/>
      <c r="D344" s="17"/>
      <c r="E344" s="17"/>
      <c r="F344" s="17"/>
      <c r="G344" s="17"/>
      <c r="H344" s="17"/>
      <c r="I344" s="27"/>
    </row>
    <row r="345" spans="1:9" x14ac:dyDescent="0.35">
      <c r="A345" s="26"/>
      <c r="B345" s="17"/>
      <c r="C345" s="17"/>
      <c r="D345" s="17"/>
      <c r="E345" s="17"/>
      <c r="F345" s="17"/>
      <c r="G345" s="17"/>
      <c r="H345" s="17"/>
      <c r="I345" s="27"/>
    </row>
    <row r="346" spans="1:9" x14ac:dyDescent="0.35">
      <c r="A346" s="26"/>
      <c r="B346" s="17"/>
      <c r="C346" s="17"/>
      <c r="D346" s="17"/>
      <c r="E346" s="17"/>
      <c r="F346" s="17"/>
      <c r="G346" s="17"/>
      <c r="H346" s="17"/>
      <c r="I346" s="27"/>
    </row>
    <row r="347" spans="1:9" x14ac:dyDescent="0.35">
      <c r="A347" s="26"/>
      <c r="B347" s="17"/>
      <c r="C347" s="17"/>
      <c r="D347" s="17"/>
      <c r="E347" s="17"/>
      <c r="F347" s="17"/>
      <c r="G347" s="17"/>
      <c r="H347" s="17"/>
      <c r="I347" s="27"/>
    </row>
    <row r="348" spans="1:9" x14ac:dyDescent="0.35">
      <c r="A348" s="26"/>
      <c r="B348" s="17"/>
      <c r="C348" s="17"/>
      <c r="D348" s="17"/>
      <c r="E348" s="17"/>
      <c r="F348" s="17"/>
      <c r="G348" s="17"/>
      <c r="H348" s="17"/>
      <c r="I348" s="27"/>
    </row>
    <row r="349" spans="1:9" x14ac:dyDescent="0.35">
      <c r="A349" s="26"/>
      <c r="B349" s="17"/>
      <c r="C349" s="17"/>
      <c r="D349" s="17"/>
      <c r="E349" s="17"/>
      <c r="F349" s="17"/>
      <c r="G349" s="17"/>
      <c r="H349" s="17"/>
      <c r="I349" s="27"/>
    </row>
    <row r="350" spans="1:9" x14ac:dyDescent="0.35">
      <c r="A350" s="26"/>
      <c r="B350" s="17"/>
      <c r="C350" s="17"/>
      <c r="D350" s="17"/>
      <c r="E350" s="17"/>
      <c r="F350" s="17"/>
      <c r="G350" s="17"/>
      <c r="H350" s="17"/>
      <c r="I350" s="27"/>
    </row>
    <row r="351" spans="1:9" x14ac:dyDescent="0.35">
      <c r="A351" s="26"/>
      <c r="B351" s="17"/>
      <c r="C351" s="17"/>
      <c r="D351" s="17"/>
      <c r="E351" s="17"/>
      <c r="F351" s="17"/>
      <c r="G351" s="17"/>
      <c r="H351" s="17"/>
      <c r="I351" s="27"/>
    </row>
    <row r="352" spans="1:9" x14ac:dyDescent="0.35">
      <c r="A352" s="26"/>
      <c r="B352" s="17"/>
      <c r="C352" s="17"/>
      <c r="D352" s="17"/>
      <c r="E352" s="17"/>
      <c r="F352" s="17"/>
      <c r="G352" s="17"/>
      <c r="H352" s="17"/>
      <c r="I352" s="27"/>
    </row>
    <row r="353" spans="1:9" x14ac:dyDescent="0.35">
      <c r="A353" s="26"/>
      <c r="B353" s="17"/>
      <c r="C353" s="17"/>
      <c r="D353" s="17"/>
      <c r="E353" s="17"/>
      <c r="F353" s="17"/>
      <c r="G353" s="17"/>
      <c r="H353" s="17"/>
      <c r="I353" s="27"/>
    </row>
    <row r="354" spans="1:9" x14ac:dyDescent="0.35">
      <c r="A354" s="26"/>
      <c r="B354" s="17"/>
      <c r="C354" s="17"/>
      <c r="D354" s="17"/>
      <c r="E354" s="17"/>
      <c r="F354" s="17"/>
      <c r="G354" s="17"/>
      <c r="H354" s="17"/>
      <c r="I354" s="27"/>
    </row>
    <row r="355" spans="1:9" x14ac:dyDescent="0.35">
      <c r="A355" s="26"/>
      <c r="B355" s="17"/>
      <c r="C355" s="17"/>
      <c r="D355" s="17"/>
      <c r="E355" s="17"/>
      <c r="F355" s="17"/>
      <c r="G355" s="17"/>
      <c r="H355" s="17"/>
      <c r="I355" s="27"/>
    </row>
    <row r="356" spans="1:9" x14ac:dyDescent="0.35">
      <c r="A356" s="26"/>
      <c r="B356" s="17"/>
      <c r="C356" s="17"/>
      <c r="D356" s="17"/>
      <c r="E356" s="17"/>
      <c r="F356" s="17"/>
      <c r="G356" s="17"/>
      <c r="H356" s="17"/>
      <c r="I356" s="27"/>
    </row>
    <row r="357" spans="1:9" x14ac:dyDescent="0.35">
      <c r="A357" s="26"/>
      <c r="B357" s="17"/>
      <c r="C357" s="17"/>
      <c r="D357" s="17"/>
      <c r="E357" s="17"/>
      <c r="F357" s="17"/>
      <c r="G357" s="17"/>
      <c r="H357" s="17"/>
      <c r="I357" s="27"/>
    </row>
    <row r="358" spans="1:9" x14ac:dyDescent="0.35">
      <c r="A358" s="26"/>
      <c r="B358" s="17"/>
      <c r="C358" s="17"/>
      <c r="D358" s="17"/>
      <c r="E358" s="17"/>
      <c r="F358" s="17"/>
      <c r="G358" s="17"/>
      <c r="H358" s="17"/>
      <c r="I358" s="27"/>
    </row>
    <row r="359" spans="1:9" x14ac:dyDescent="0.35">
      <c r="A359" s="26"/>
      <c r="B359" s="17"/>
      <c r="C359" s="17"/>
      <c r="D359" s="17"/>
      <c r="E359" s="17"/>
      <c r="F359" s="17"/>
      <c r="G359" s="17"/>
      <c r="H359" s="17"/>
      <c r="I359" s="27"/>
    </row>
    <row r="360" spans="1:9" x14ac:dyDescent="0.35">
      <c r="A360" s="26"/>
      <c r="B360" s="17"/>
      <c r="C360" s="17"/>
      <c r="D360" s="17"/>
      <c r="E360" s="17"/>
      <c r="F360" s="17"/>
      <c r="G360" s="17"/>
      <c r="H360" s="17"/>
      <c r="I360" s="27"/>
    </row>
    <row r="361" spans="1:9" x14ac:dyDescent="0.35">
      <c r="A361" s="26"/>
      <c r="B361" s="17"/>
      <c r="C361" s="17"/>
      <c r="D361" s="17"/>
      <c r="E361" s="17"/>
      <c r="F361" s="17"/>
      <c r="G361" s="17"/>
      <c r="H361" s="17"/>
      <c r="I361" s="27"/>
    </row>
    <row r="362" spans="1:9" x14ac:dyDescent="0.35">
      <c r="A362" s="26"/>
      <c r="B362" s="17"/>
      <c r="C362" s="17"/>
      <c r="D362" s="17"/>
      <c r="E362" s="17"/>
      <c r="F362" s="17"/>
      <c r="G362" s="17"/>
      <c r="H362" s="17"/>
      <c r="I362" s="27"/>
    </row>
    <row r="363" spans="1:9" x14ac:dyDescent="0.35">
      <c r="A363" s="26"/>
      <c r="B363" s="17"/>
      <c r="C363" s="17"/>
      <c r="D363" s="17"/>
      <c r="E363" s="17"/>
      <c r="F363" s="17"/>
      <c r="G363" s="17"/>
      <c r="H363" s="17"/>
      <c r="I363" s="27"/>
    </row>
    <row r="364" spans="1:9" x14ac:dyDescent="0.35">
      <c r="A364" s="26"/>
      <c r="B364" s="17"/>
      <c r="C364" s="17"/>
      <c r="D364" s="17"/>
      <c r="E364" s="17"/>
      <c r="F364" s="17"/>
      <c r="G364" s="17"/>
      <c r="H364" s="17"/>
      <c r="I364" s="27"/>
    </row>
    <row r="365" spans="1:9" x14ac:dyDescent="0.35">
      <c r="A365" s="26"/>
      <c r="B365" s="17"/>
      <c r="C365" s="17"/>
      <c r="D365" s="17"/>
      <c r="E365" s="17"/>
      <c r="F365" s="17"/>
      <c r="G365" s="17"/>
      <c r="H365" s="17"/>
      <c r="I365" s="27"/>
    </row>
    <row r="366" spans="1:9" x14ac:dyDescent="0.35">
      <c r="A366" s="26"/>
      <c r="B366" s="17"/>
      <c r="C366" s="17"/>
      <c r="D366" s="17"/>
      <c r="E366" s="17"/>
      <c r="F366" s="17"/>
      <c r="G366" s="17"/>
      <c r="H366" s="17"/>
      <c r="I366" s="27"/>
    </row>
    <row r="367" spans="1:9" x14ac:dyDescent="0.35">
      <c r="A367" s="26"/>
      <c r="B367" s="17"/>
      <c r="C367" s="17"/>
      <c r="D367" s="17"/>
      <c r="E367" s="17"/>
      <c r="F367" s="17"/>
      <c r="G367" s="17"/>
      <c r="H367" s="17"/>
      <c r="I367" s="27"/>
    </row>
    <row r="368" spans="1:9" x14ac:dyDescent="0.35">
      <c r="A368" s="26"/>
      <c r="B368" s="17"/>
      <c r="C368" s="17"/>
      <c r="D368" s="17"/>
      <c r="E368" s="17"/>
      <c r="F368" s="17"/>
      <c r="G368" s="17"/>
      <c r="H368" s="17"/>
      <c r="I368" s="27"/>
    </row>
    <row r="369" spans="1:9" x14ac:dyDescent="0.35">
      <c r="A369" s="26"/>
      <c r="B369" s="17"/>
      <c r="C369" s="17"/>
      <c r="D369" s="17"/>
      <c r="E369" s="17"/>
      <c r="F369" s="17"/>
      <c r="G369" s="17"/>
      <c r="H369" s="17"/>
      <c r="I369" s="27"/>
    </row>
    <row r="370" spans="1:9" x14ac:dyDescent="0.35">
      <c r="A370" s="26"/>
      <c r="B370" s="17"/>
      <c r="C370" s="17"/>
      <c r="D370" s="17"/>
      <c r="E370" s="17"/>
      <c r="F370" s="17"/>
      <c r="G370" s="17"/>
      <c r="H370" s="17"/>
      <c r="I370" s="27"/>
    </row>
    <row r="371" spans="1:9" x14ac:dyDescent="0.35">
      <c r="A371" s="26"/>
      <c r="B371" s="17"/>
      <c r="C371" s="17"/>
      <c r="D371" s="17"/>
      <c r="E371" s="17"/>
      <c r="F371" s="17"/>
      <c r="G371" s="17"/>
      <c r="H371" s="17"/>
      <c r="I371" s="27"/>
    </row>
    <row r="372" spans="1:9" x14ac:dyDescent="0.35">
      <c r="A372" s="26"/>
      <c r="B372" s="17"/>
      <c r="C372" s="17"/>
      <c r="D372" s="17"/>
      <c r="E372" s="17"/>
      <c r="F372" s="17"/>
      <c r="G372" s="17"/>
      <c r="H372" s="17"/>
      <c r="I372" s="27"/>
    </row>
    <row r="373" spans="1:9" x14ac:dyDescent="0.35">
      <c r="A373" s="26"/>
      <c r="B373" s="17"/>
      <c r="C373" s="17"/>
      <c r="D373" s="17"/>
      <c r="E373" s="17"/>
      <c r="F373" s="17"/>
      <c r="G373" s="17"/>
      <c r="H373" s="17"/>
      <c r="I373" s="27"/>
    </row>
    <row r="374" spans="1:9" x14ac:dyDescent="0.35">
      <c r="A374" s="26"/>
      <c r="B374" s="17"/>
      <c r="C374" s="17"/>
      <c r="D374" s="17"/>
      <c r="E374" s="17"/>
      <c r="F374" s="17"/>
      <c r="G374" s="17"/>
      <c r="H374" s="17"/>
      <c r="I374" s="27"/>
    </row>
    <row r="375" spans="1:9" x14ac:dyDescent="0.35">
      <c r="A375" s="26"/>
      <c r="B375" s="17"/>
      <c r="C375" s="17"/>
      <c r="D375" s="17"/>
      <c r="E375" s="17"/>
      <c r="F375" s="17"/>
      <c r="G375" s="17"/>
      <c r="H375" s="17"/>
      <c r="I375" s="27"/>
    </row>
    <row r="376" spans="1:9" x14ac:dyDescent="0.35">
      <c r="A376" s="26"/>
      <c r="B376" s="17"/>
      <c r="C376" s="17"/>
      <c r="D376" s="17"/>
      <c r="E376" s="17"/>
      <c r="F376" s="17"/>
      <c r="G376" s="17"/>
      <c r="H376" s="17"/>
      <c r="I376" s="27"/>
    </row>
    <row r="377" spans="1:9" x14ac:dyDescent="0.35">
      <c r="A377" s="26"/>
      <c r="B377" s="17"/>
      <c r="C377" s="17"/>
      <c r="D377" s="17"/>
      <c r="E377" s="17"/>
      <c r="F377" s="17"/>
      <c r="G377" s="17"/>
      <c r="H377" s="17"/>
      <c r="I377" s="27"/>
    </row>
    <row r="378" spans="1:9" x14ac:dyDescent="0.35">
      <c r="A378" s="26"/>
      <c r="B378" s="17"/>
      <c r="C378" s="17"/>
      <c r="D378" s="17"/>
      <c r="E378" s="17"/>
      <c r="F378" s="17"/>
      <c r="G378" s="17"/>
      <c r="H378" s="17"/>
      <c r="I378" s="27"/>
    </row>
    <row r="379" spans="1:9" x14ac:dyDescent="0.35">
      <c r="A379" s="26"/>
      <c r="B379" s="17"/>
      <c r="C379" s="17"/>
      <c r="D379" s="17"/>
      <c r="E379" s="17"/>
      <c r="F379" s="17"/>
      <c r="G379" s="17"/>
      <c r="H379" s="17"/>
      <c r="I379" s="27"/>
    </row>
    <row r="380" spans="1:9" x14ac:dyDescent="0.35">
      <c r="A380" s="26"/>
      <c r="B380" s="17"/>
      <c r="C380" s="17"/>
      <c r="D380" s="17"/>
      <c r="E380" s="17"/>
      <c r="F380" s="17"/>
      <c r="G380" s="17"/>
      <c r="H380" s="17"/>
      <c r="I380" s="27"/>
    </row>
    <row r="381" spans="1:9" x14ac:dyDescent="0.35">
      <c r="A381" s="26"/>
      <c r="B381" s="17"/>
      <c r="C381" s="17"/>
      <c r="D381" s="17"/>
      <c r="E381" s="17"/>
      <c r="F381" s="17"/>
      <c r="G381" s="17"/>
      <c r="H381" s="17"/>
      <c r="I381" s="27"/>
    </row>
    <row r="382" spans="1:9" x14ac:dyDescent="0.35">
      <c r="A382" s="26"/>
      <c r="B382" s="17"/>
      <c r="C382" s="17"/>
      <c r="D382" s="17"/>
      <c r="E382" s="17"/>
      <c r="F382" s="17"/>
      <c r="G382" s="17"/>
      <c r="H382" s="17"/>
      <c r="I382" s="27"/>
    </row>
    <row r="383" spans="1:9" x14ac:dyDescent="0.35">
      <c r="A383" s="26"/>
      <c r="B383" s="17"/>
      <c r="C383" s="17"/>
      <c r="D383" s="17"/>
      <c r="E383" s="17"/>
      <c r="F383" s="17"/>
      <c r="G383" s="17"/>
      <c r="H383" s="17"/>
      <c r="I383" s="27"/>
    </row>
    <row r="384" spans="1:9" x14ac:dyDescent="0.35">
      <c r="A384" s="26"/>
      <c r="B384" s="17"/>
      <c r="C384" s="17"/>
      <c r="D384" s="17"/>
      <c r="E384" s="17"/>
      <c r="F384" s="17"/>
      <c r="G384" s="17"/>
      <c r="H384" s="17"/>
      <c r="I384" s="27"/>
    </row>
    <row r="385" spans="1:9" x14ac:dyDescent="0.35">
      <c r="A385" s="26"/>
      <c r="B385" s="17"/>
      <c r="C385" s="17"/>
      <c r="D385" s="17"/>
      <c r="E385" s="17"/>
      <c r="F385" s="17"/>
      <c r="G385" s="17"/>
      <c r="H385" s="17"/>
      <c r="I385" s="27"/>
    </row>
    <row r="386" spans="1:9" x14ac:dyDescent="0.35">
      <c r="A386" s="26"/>
      <c r="B386" s="17"/>
      <c r="C386" s="17"/>
      <c r="D386" s="17"/>
      <c r="E386" s="17"/>
      <c r="F386" s="17"/>
      <c r="G386" s="17"/>
      <c r="H386" s="17"/>
      <c r="I386" s="27"/>
    </row>
    <row r="387" spans="1:9" x14ac:dyDescent="0.35">
      <c r="A387" s="26"/>
      <c r="B387" s="17"/>
      <c r="C387" s="17"/>
      <c r="D387" s="17"/>
      <c r="E387" s="17"/>
      <c r="F387" s="17"/>
      <c r="G387" s="17"/>
      <c r="H387" s="17"/>
      <c r="I387" s="27"/>
    </row>
    <row r="388" spans="1:9" x14ac:dyDescent="0.35">
      <c r="A388" s="26"/>
      <c r="B388" s="17"/>
      <c r="C388" s="17"/>
      <c r="D388" s="17"/>
      <c r="E388" s="17"/>
      <c r="F388" s="17"/>
      <c r="G388" s="17"/>
      <c r="H388" s="17"/>
      <c r="I388" s="27"/>
    </row>
    <row r="389" spans="1:9" x14ac:dyDescent="0.35">
      <c r="A389" s="26"/>
      <c r="B389" s="17"/>
      <c r="C389" s="17"/>
      <c r="D389" s="17"/>
      <c r="E389" s="17"/>
      <c r="F389" s="17"/>
      <c r="G389" s="17"/>
      <c r="H389" s="17"/>
      <c r="I389" s="27"/>
    </row>
    <row r="390" spans="1:9" x14ac:dyDescent="0.35">
      <c r="A390" s="26"/>
      <c r="B390" s="17"/>
      <c r="C390" s="17"/>
      <c r="D390" s="17"/>
      <c r="E390" s="17"/>
      <c r="F390" s="17"/>
      <c r="G390" s="17"/>
      <c r="H390" s="17"/>
      <c r="I390" s="27"/>
    </row>
    <row r="391" spans="1:9" x14ac:dyDescent="0.35">
      <c r="A391" s="26"/>
      <c r="B391" s="17"/>
      <c r="C391" s="17"/>
      <c r="D391" s="17"/>
      <c r="E391" s="17"/>
      <c r="F391" s="17"/>
      <c r="G391" s="17"/>
      <c r="H391" s="17"/>
      <c r="I391" s="27"/>
    </row>
    <row r="392" spans="1:9" x14ac:dyDescent="0.35">
      <c r="A392" s="26"/>
      <c r="B392" s="17"/>
      <c r="C392" s="17"/>
      <c r="D392" s="17"/>
      <c r="E392" s="17"/>
      <c r="F392" s="17"/>
      <c r="G392" s="17"/>
      <c r="H392" s="17"/>
      <c r="I392" s="27"/>
    </row>
    <row r="393" spans="1:9" x14ac:dyDescent="0.35">
      <c r="A393" s="26"/>
      <c r="B393" s="17"/>
      <c r="C393" s="17"/>
      <c r="D393" s="17"/>
      <c r="E393" s="17"/>
      <c r="F393" s="17"/>
      <c r="G393" s="17"/>
      <c r="H393" s="17"/>
      <c r="I393" s="27"/>
    </row>
    <row r="394" spans="1:9" x14ac:dyDescent="0.35">
      <c r="A394" s="26"/>
      <c r="B394" s="17"/>
      <c r="C394" s="17"/>
      <c r="D394" s="17"/>
      <c r="E394" s="17"/>
      <c r="F394" s="17"/>
      <c r="G394" s="17"/>
      <c r="H394" s="17"/>
      <c r="I394" s="27"/>
    </row>
    <row r="395" spans="1:9" x14ac:dyDescent="0.35">
      <c r="A395" s="26"/>
      <c r="B395" s="17"/>
      <c r="C395" s="17"/>
      <c r="D395" s="17"/>
      <c r="E395" s="17"/>
      <c r="F395" s="17"/>
      <c r="G395" s="17"/>
      <c r="H395" s="17"/>
      <c r="I395" s="27"/>
    </row>
    <row r="396" spans="1:9" x14ac:dyDescent="0.35">
      <c r="A396" s="26"/>
      <c r="B396" s="17"/>
      <c r="C396" s="17"/>
      <c r="D396" s="17"/>
      <c r="E396" s="17"/>
      <c r="F396" s="17"/>
      <c r="G396" s="17"/>
      <c r="H396" s="17"/>
      <c r="I396" s="27"/>
    </row>
    <row r="397" spans="1:9" x14ac:dyDescent="0.35">
      <c r="A397" s="26"/>
      <c r="B397" s="17"/>
      <c r="C397" s="17"/>
      <c r="D397" s="17"/>
      <c r="E397" s="17"/>
      <c r="F397" s="17"/>
      <c r="G397" s="17"/>
      <c r="H397" s="17"/>
      <c r="I397" s="27"/>
    </row>
    <row r="398" spans="1:9" x14ac:dyDescent="0.35">
      <c r="A398" s="26"/>
      <c r="B398" s="17"/>
      <c r="C398" s="17"/>
      <c r="D398" s="17"/>
      <c r="E398" s="17"/>
      <c r="F398" s="17"/>
      <c r="G398" s="17"/>
      <c r="H398" s="17"/>
      <c r="I398" s="27"/>
    </row>
    <row r="399" spans="1:9" x14ac:dyDescent="0.35">
      <c r="A399" s="26"/>
      <c r="B399" s="17"/>
      <c r="C399" s="17"/>
      <c r="D399" s="17"/>
      <c r="E399" s="17"/>
      <c r="F399" s="17"/>
      <c r="G399" s="17"/>
      <c r="H399" s="17"/>
      <c r="I399" s="27"/>
    </row>
    <row r="400" spans="1:9" x14ac:dyDescent="0.35">
      <c r="A400" s="26"/>
      <c r="B400" s="17"/>
      <c r="C400" s="17"/>
      <c r="D400" s="17"/>
      <c r="E400" s="17"/>
      <c r="F400" s="17"/>
      <c r="G400" s="17"/>
      <c r="H400" s="17"/>
      <c r="I400" s="27"/>
    </row>
    <row r="401" spans="1:9" x14ac:dyDescent="0.35">
      <c r="A401" s="26"/>
      <c r="B401" s="17"/>
      <c r="C401" s="17"/>
      <c r="D401" s="17"/>
      <c r="E401" s="17"/>
      <c r="F401" s="17"/>
      <c r="G401" s="17"/>
      <c r="H401" s="17"/>
      <c r="I401" s="27"/>
    </row>
    <row r="402" spans="1:9" x14ac:dyDescent="0.35">
      <c r="A402" s="26"/>
      <c r="B402" s="17"/>
      <c r="C402" s="17"/>
      <c r="D402" s="17"/>
      <c r="E402" s="17"/>
      <c r="F402" s="17"/>
      <c r="G402" s="17"/>
      <c r="H402" s="17"/>
      <c r="I402" s="27"/>
    </row>
    <row r="403" spans="1:9" x14ac:dyDescent="0.35">
      <c r="A403" s="26"/>
      <c r="B403" s="17"/>
      <c r="C403" s="17"/>
      <c r="D403" s="17"/>
      <c r="E403" s="17"/>
      <c r="F403" s="17"/>
      <c r="G403" s="17"/>
      <c r="H403" s="17"/>
      <c r="I403" s="27"/>
    </row>
    <row r="404" spans="1:9" x14ac:dyDescent="0.35">
      <c r="A404" s="26"/>
      <c r="B404" s="17"/>
      <c r="C404" s="17"/>
      <c r="D404" s="17"/>
      <c r="E404" s="17"/>
      <c r="F404" s="17"/>
      <c r="G404" s="17"/>
      <c r="H404" s="17"/>
      <c r="I404" s="27"/>
    </row>
    <row r="405" spans="1:9" x14ac:dyDescent="0.35">
      <c r="A405" s="26"/>
      <c r="B405" s="17"/>
      <c r="C405" s="17"/>
      <c r="D405" s="17"/>
      <c r="E405" s="17"/>
      <c r="F405" s="17"/>
      <c r="G405" s="17"/>
      <c r="H405" s="17"/>
      <c r="I405" s="27"/>
    </row>
    <row r="406" spans="1:9" x14ac:dyDescent="0.35">
      <c r="A406" s="26"/>
      <c r="B406" s="17"/>
      <c r="C406" s="17"/>
      <c r="D406" s="17"/>
      <c r="E406" s="17"/>
      <c r="F406" s="17"/>
      <c r="G406" s="17"/>
      <c r="H406" s="17"/>
      <c r="I406" s="27"/>
    </row>
    <row r="407" spans="1:9" x14ac:dyDescent="0.35">
      <c r="A407" s="26"/>
      <c r="B407" s="17"/>
      <c r="C407" s="17"/>
      <c r="D407" s="17"/>
      <c r="E407" s="17"/>
      <c r="F407" s="17"/>
      <c r="G407" s="17"/>
      <c r="H407" s="17"/>
      <c r="I407" s="27"/>
    </row>
    <row r="408" spans="1:9" x14ac:dyDescent="0.35">
      <c r="A408" s="26"/>
      <c r="B408" s="17"/>
      <c r="C408" s="17"/>
      <c r="D408" s="17"/>
      <c r="E408" s="17"/>
      <c r="F408" s="17"/>
      <c r="G408" s="17"/>
      <c r="H408" s="17"/>
      <c r="I408" s="27"/>
    </row>
    <row r="409" spans="1:9" x14ac:dyDescent="0.35">
      <c r="A409" s="26"/>
      <c r="B409" s="17"/>
      <c r="C409" s="17"/>
      <c r="D409" s="17"/>
      <c r="E409" s="17"/>
      <c r="F409" s="17"/>
      <c r="G409" s="17"/>
      <c r="H409" s="17"/>
      <c r="I409" s="27"/>
    </row>
    <row r="410" spans="1:9" x14ac:dyDescent="0.35">
      <c r="A410" s="26"/>
      <c r="B410" s="17"/>
      <c r="C410" s="17"/>
      <c r="D410" s="17"/>
      <c r="E410" s="17"/>
      <c r="F410" s="17"/>
      <c r="G410" s="17"/>
      <c r="H410" s="17"/>
      <c r="I410" s="27"/>
    </row>
    <row r="411" spans="1:9" x14ac:dyDescent="0.35">
      <c r="A411" s="26"/>
      <c r="B411" s="17"/>
      <c r="C411" s="17"/>
      <c r="D411" s="17"/>
      <c r="E411" s="17"/>
      <c r="F411" s="17"/>
      <c r="G411" s="17"/>
      <c r="H411" s="17"/>
      <c r="I411" s="27"/>
    </row>
    <row r="412" spans="1:9" x14ac:dyDescent="0.35">
      <c r="A412" s="26"/>
      <c r="B412" s="17"/>
      <c r="C412" s="17"/>
      <c r="D412" s="17"/>
      <c r="E412" s="17"/>
      <c r="F412" s="17"/>
      <c r="G412" s="17"/>
      <c r="H412" s="17"/>
      <c r="I412" s="27"/>
    </row>
    <row r="413" spans="1:9" x14ac:dyDescent="0.35">
      <c r="A413" s="26"/>
      <c r="B413" s="17"/>
      <c r="C413" s="17"/>
      <c r="D413" s="17"/>
      <c r="E413" s="17"/>
      <c r="F413" s="17"/>
      <c r="G413" s="17"/>
      <c r="H413" s="17"/>
      <c r="I413" s="27"/>
    </row>
    <row r="414" spans="1:9" x14ac:dyDescent="0.35">
      <c r="A414" s="26"/>
      <c r="B414" s="17"/>
      <c r="C414" s="17"/>
      <c r="D414" s="17"/>
      <c r="E414" s="17"/>
      <c r="F414" s="17"/>
      <c r="G414" s="17"/>
      <c r="H414" s="17"/>
      <c r="I414" s="27"/>
    </row>
    <row r="415" spans="1:9" x14ac:dyDescent="0.35">
      <c r="A415" s="26"/>
      <c r="B415" s="17"/>
      <c r="C415" s="17"/>
      <c r="D415" s="17"/>
      <c r="E415" s="17"/>
      <c r="F415" s="17"/>
      <c r="G415" s="17"/>
      <c r="H415" s="17"/>
      <c r="I415" s="27"/>
    </row>
    <row r="416" spans="1:9" x14ac:dyDescent="0.35">
      <c r="A416" s="26"/>
      <c r="B416" s="17"/>
      <c r="C416" s="17"/>
      <c r="D416" s="17"/>
      <c r="E416" s="17"/>
      <c r="F416" s="17"/>
      <c r="G416" s="17"/>
      <c r="H416" s="17"/>
      <c r="I416" s="27"/>
    </row>
    <row r="417" spans="1:9" x14ac:dyDescent="0.35">
      <c r="A417" s="26"/>
      <c r="B417" s="17"/>
      <c r="C417" s="17"/>
      <c r="D417" s="17"/>
      <c r="E417" s="17"/>
      <c r="F417" s="17"/>
      <c r="G417" s="17"/>
      <c r="H417" s="17"/>
      <c r="I417" s="27"/>
    </row>
    <row r="418" spans="1:9" x14ac:dyDescent="0.35">
      <c r="A418" s="26"/>
      <c r="B418" s="17"/>
      <c r="C418" s="17"/>
      <c r="D418" s="17"/>
      <c r="E418" s="17"/>
      <c r="F418" s="17"/>
      <c r="G418" s="17"/>
      <c r="H418" s="17"/>
      <c r="I418" s="27"/>
    </row>
    <row r="419" spans="1:9" x14ac:dyDescent="0.35">
      <c r="A419" s="26"/>
      <c r="B419" s="17"/>
      <c r="C419" s="17"/>
      <c r="D419" s="17"/>
      <c r="E419" s="17"/>
      <c r="F419" s="17"/>
      <c r="G419" s="17"/>
      <c r="H419" s="17"/>
      <c r="I419" s="27"/>
    </row>
    <row r="420" spans="1:9" x14ac:dyDescent="0.35">
      <c r="A420" s="26"/>
      <c r="B420" s="17"/>
      <c r="C420" s="17"/>
      <c r="D420" s="17"/>
      <c r="E420" s="17"/>
      <c r="F420" s="17"/>
      <c r="G420" s="17"/>
      <c r="H420" s="17"/>
      <c r="I420" s="27"/>
    </row>
    <row r="421" spans="1:9" x14ac:dyDescent="0.35">
      <c r="A421" s="26"/>
      <c r="B421" s="17"/>
      <c r="C421" s="17"/>
      <c r="D421" s="17"/>
      <c r="E421" s="17"/>
      <c r="F421" s="17"/>
      <c r="G421" s="17"/>
      <c r="H421" s="17"/>
      <c r="I421" s="27"/>
    </row>
    <row r="422" spans="1:9" x14ac:dyDescent="0.35">
      <c r="A422" s="26"/>
      <c r="B422" s="17"/>
      <c r="C422" s="17"/>
      <c r="D422" s="17"/>
      <c r="E422" s="17"/>
      <c r="F422" s="17"/>
      <c r="G422" s="17"/>
      <c r="H422" s="17"/>
      <c r="I422" s="27"/>
    </row>
    <row r="423" spans="1:9" x14ac:dyDescent="0.35">
      <c r="A423" s="26"/>
      <c r="B423" s="17"/>
      <c r="C423" s="17"/>
      <c r="D423" s="17"/>
      <c r="E423" s="17"/>
      <c r="F423" s="17"/>
      <c r="G423" s="17"/>
      <c r="H423" s="17"/>
      <c r="I423" s="27"/>
    </row>
    <row r="424" spans="1:9" x14ac:dyDescent="0.35">
      <c r="A424" s="26"/>
      <c r="B424" s="17"/>
      <c r="C424" s="17"/>
      <c r="D424" s="17"/>
      <c r="E424" s="17"/>
      <c r="F424" s="17"/>
      <c r="G424" s="17"/>
      <c r="H424" s="17"/>
      <c r="I424" s="27"/>
    </row>
    <row r="425" spans="1:9" x14ac:dyDescent="0.35">
      <c r="A425" s="26"/>
      <c r="B425" s="17"/>
      <c r="C425" s="17"/>
      <c r="D425" s="17"/>
      <c r="E425" s="17"/>
      <c r="F425" s="17"/>
      <c r="G425" s="17"/>
      <c r="H425" s="17"/>
      <c r="I425" s="27"/>
    </row>
    <row r="426" spans="1:9" x14ac:dyDescent="0.35">
      <c r="A426" s="26"/>
      <c r="B426" s="17"/>
      <c r="C426" s="17"/>
      <c r="D426" s="17"/>
      <c r="E426" s="17"/>
      <c r="F426" s="17"/>
      <c r="G426" s="17"/>
      <c r="H426" s="17"/>
      <c r="I426" s="27"/>
    </row>
    <row r="427" spans="1:9" x14ac:dyDescent="0.35">
      <c r="A427" s="26"/>
      <c r="B427" s="17"/>
      <c r="C427" s="17"/>
      <c r="D427" s="17"/>
      <c r="E427" s="17"/>
      <c r="F427" s="17"/>
      <c r="G427" s="17"/>
      <c r="H427" s="17"/>
      <c r="I427" s="27"/>
    </row>
    <row r="428" spans="1:9" x14ac:dyDescent="0.35">
      <c r="A428" s="26"/>
      <c r="B428" s="17"/>
      <c r="C428" s="17"/>
      <c r="D428" s="17"/>
      <c r="E428" s="17"/>
      <c r="F428" s="17"/>
      <c r="G428" s="17"/>
      <c r="H428" s="17"/>
      <c r="I428" s="27"/>
    </row>
    <row r="429" spans="1:9" x14ac:dyDescent="0.35">
      <c r="A429" s="26"/>
      <c r="B429" s="17"/>
      <c r="C429" s="17"/>
      <c r="D429" s="17"/>
      <c r="E429" s="17"/>
      <c r="F429" s="17"/>
      <c r="G429" s="17"/>
      <c r="H429" s="17"/>
      <c r="I429" s="27"/>
    </row>
    <row r="430" spans="1:9" x14ac:dyDescent="0.35">
      <c r="A430" s="26"/>
      <c r="B430" s="17"/>
      <c r="C430" s="17"/>
      <c r="D430" s="17"/>
      <c r="E430" s="17"/>
      <c r="F430" s="17"/>
      <c r="G430" s="17"/>
      <c r="H430" s="17"/>
      <c r="I430" s="27"/>
    </row>
    <row r="431" spans="1:9" x14ac:dyDescent="0.35">
      <c r="A431" s="26"/>
      <c r="B431" s="17"/>
      <c r="C431" s="17"/>
      <c r="D431" s="17"/>
      <c r="E431" s="17"/>
      <c r="F431" s="17"/>
      <c r="G431" s="17"/>
      <c r="H431" s="17"/>
      <c r="I431" s="27"/>
    </row>
    <row r="432" spans="1:9" x14ac:dyDescent="0.35">
      <c r="A432" s="26"/>
      <c r="B432" s="17"/>
      <c r="C432" s="17"/>
      <c r="D432" s="17"/>
      <c r="E432" s="17"/>
      <c r="F432" s="17"/>
      <c r="G432" s="17"/>
      <c r="H432" s="17"/>
      <c r="I432" s="27"/>
    </row>
    <row r="433" spans="1:9" x14ac:dyDescent="0.35">
      <c r="A433" s="26"/>
      <c r="B433" s="17"/>
      <c r="C433" s="17"/>
      <c r="D433" s="17"/>
      <c r="E433" s="17"/>
      <c r="F433" s="17"/>
      <c r="G433" s="17"/>
      <c r="H433" s="17"/>
      <c r="I433" s="27"/>
    </row>
    <row r="434" spans="1:9" x14ac:dyDescent="0.35">
      <c r="A434" s="26"/>
      <c r="B434" s="17"/>
      <c r="C434" s="17"/>
      <c r="D434" s="17"/>
      <c r="E434" s="17"/>
      <c r="F434" s="17"/>
      <c r="G434" s="17"/>
      <c r="H434" s="17"/>
      <c r="I434" s="27"/>
    </row>
    <row r="435" spans="1:9" x14ac:dyDescent="0.35">
      <c r="A435" s="26"/>
      <c r="B435" s="17"/>
      <c r="C435" s="17"/>
      <c r="D435" s="17"/>
      <c r="E435" s="17"/>
      <c r="F435" s="17"/>
      <c r="G435" s="17"/>
      <c r="H435" s="17"/>
      <c r="I435" s="27"/>
    </row>
    <row r="436" spans="1:9" x14ac:dyDescent="0.35">
      <c r="A436" s="26"/>
      <c r="B436" s="17"/>
      <c r="C436" s="17"/>
      <c r="D436" s="17"/>
      <c r="E436" s="17"/>
      <c r="F436" s="17"/>
      <c r="G436" s="17"/>
      <c r="H436" s="17"/>
      <c r="I436" s="27"/>
    </row>
    <row r="437" spans="1:9" x14ac:dyDescent="0.35">
      <c r="A437" s="26"/>
      <c r="B437" s="17"/>
      <c r="C437" s="17"/>
      <c r="D437" s="17"/>
      <c r="E437" s="17"/>
      <c r="F437" s="17"/>
      <c r="G437" s="17"/>
      <c r="H437" s="17"/>
      <c r="I437" s="27"/>
    </row>
    <row r="438" spans="1:9" x14ac:dyDescent="0.35">
      <c r="A438" s="26"/>
      <c r="B438" s="17"/>
      <c r="C438" s="17"/>
      <c r="D438" s="17"/>
      <c r="E438" s="17"/>
      <c r="F438" s="17"/>
      <c r="G438" s="17"/>
      <c r="H438" s="17"/>
      <c r="I438" s="27"/>
    </row>
    <row r="439" spans="1:9" x14ac:dyDescent="0.35">
      <c r="A439" s="26"/>
      <c r="B439" s="17"/>
      <c r="C439" s="17"/>
      <c r="D439" s="17"/>
      <c r="E439" s="17"/>
      <c r="F439" s="17"/>
      <c r="G439" s="17"/>
      <c r="H439" s="17"/>
      <c r="I439" s="27"/>
    </row>
    <row r="440" spans="1:9" x14ac:dyDescent="0.35">
      <c r="A440" s="26"/>
      <c r="B440" s="17"/>
      <c r="C440" s="17"/>
      <c r="D440" s="17"/>
      <c r="E440" s="17"/>
      <c r="F440" s="17"/>
      <c r="G440" s="17"/>
      <c r="H440" s="17"/>
      <c r="I440" s="27"/>
    </row>
    <row r="441" spans="1:9" x14ac:dyDescent="0.35">
      <c r="A441" s="26"/>
      <c r="B441" s="17"/>
      <c r="C441" s="17"/>
      <c r="D441" s="17"/>
      <c r="E441" s="17"/>
      <c r="F441" s="17"/>
      <c r="G441" s="17"/>
      <c r="H441" s="17"/>
      <c r="I441" s="27"/>
    </row>
    <row r="442" spans="1:9" x14ac:dyDescent="0.35">
      <c r="A442" s="26"/>
      <c r="B442" s="17"/>
      <c r="C442" s="17"/>
      <c r="D442" s="17"/>
      <c r="E442" s="17"/>
      <c r="F442" s="17"/>
      <c r="G442" s="17"/>
      <c r="H442" s="17"/>
      <c r="I442" s="27"/>
    </row>
    <row r="443" spans="1:9" x14ac:dyDescent="0.35">
      <c r="A443" s="26"/>
      <c r="B443" s="17"/>
      <c r="C443" s="17"/>
      <c r="D443" s="17"/>
      <c r="E443" s="17"/>
      <c r="F443" s="17"/>
      <c r="G443" s="17"/>
      <c r="H443" s="17"/>
      <c r="I443" s="27"/>
    </row>
    <row r="444" spans="1:9" x14ac:dyDescent="0.35">
      <c r="A444" s="26"/>
      <c r="B444" s="17"/>
      <c r="C444" s="17"/>
      <c r="D444" s="17"/>
      <c r="E444" s="17"/>
      <c r="F444" s="17"/>
      <c r="G444" s="17"/>
      <c r="H444" s="17"/>
      <c r="I444" s="27"/>
    </row>
    <row r="445" spans="1:9" x14ac:dyDescent="0.35">
      <c r="A445" s="26"/>
      <c r="B445" s="17"/>
      <c r="C445" s="17"/>
      <c r="D445" s="17"/>
      <c r="E445" s="17"/>
      <c r="F445" s="17"/>
      <c r="G445" s="17"/>
      <c r="H445" s="17"/>
      <c r="I445" s="27"/>
    </row>
    <row r="446" spans="1:9" x14ac:dyDescent="0.35">
      <c r="A446" s="26"/>
      <c r="B446" s="17"/>
      <c r="C446" s="17"/>
      <c r="D446" s="17"/>
      <c r="E446" s="17"/>
      <c r="F446" s="17"/>
      <c r="G446" s="17"/>
      <c r="H446" s="17"/>
      <c r="I446" s="27"/>
    </row>
    <row r="447" spans="1:9" x14ac:dyDescent="0.35">
      <c r="A447" s="26"/>
      <c r="B447" s="17"/>
      <c r="C447" s="17"/>
      <c r="D447" s="17"/>
      <c r="E447" s="17"/>
      <c r="F447" s="17"/>
      <c r="G447" s="17"/>
      <c r="H447" s="17"/>
      <c r="I447" s="27"/>
    </row>
    <row r="448" spans="1:9" x14ac:dyDescent="0.35">
      <c r="A448" s="26"/>
      <c r="B448" s="17"/>
      <c r="C448" s="17"/>
      <c r="D448" s="17"/>
      <c r="E448" s="17"/>
      <c r="F448" s="17"/>
      <c r="G448" s="17"/>
      <c r="H448" s="17"/>
      <c r="I448" s="27"/>
    </row>
    <row r="449" spans="1:9" x14ac:dyDescent="0.35">
      <c r="A449" s="26"/>
      <c r="B449" s="17"/>
      <c r="C449" s="17"/>
      <c r="D449" s="17"/>
      <c r="E449" s="17"/>
      <c r="F449" s="17"/>
      <c r="G449" s="17"/>
      <c r="H449" s="17"/>
      <c r="I449" s="27"/>
    </row>
    <row r="450" spans="1:9" x14ac:dyDescent="0.35">
      <c r="A450" s="26"/>
      <c r="B450" s="17"/>
      <c r="C450" s="17"/>
      <c r="D450" s="17"/>
      <c r="E450" s="17"/>
      <c r="F450" s="17"/>
      <c r="G450" s="17"/>
      <c r="H450" s="17"/>
      <c r="I450" s="27"/>
    </row>
    <row r="451" spans="1:9" x14ac:dyDescent="0.35">
      <c r="A451" s="26"/>
      <c r="B451" s="17"/>
      <c r="C451" s="17"/>
      <c r="D451" s="17"/>
      <c r="E451" s="17"/>
      <c r="F451" s="17"/>
      <c r="G451" s="17"/>
      <c r="H451" s="17"/>
      <c r="I451" s="27"/>
    </row>
    <row r="452" spans="1:9" x14ac:dyDescent="0.35">
      <c r="A452" s="26"/>
      <c r="B452" s="17"/>
      <c r="C452" s="17"/>
      <c r="D452" s="17"/>
      <c r="E452" s="17"/>
      <c r="F452" s="17"/>
      <c r="G452" s="17"/>
      <c r="H452" s="17"/>
      <c r="I452" s="27"/>
    </row>
    <row r="453" spans="1:9" x14ac:dyDescent="0.35">
      <c r="A453" s="26"/>
      <c r="B453" s="17"/>
      <c r="C453" s="17"/>
      <c r="D453" s="17"/>
      <c r="E453" s="17"/>
      <c r="F453" s="17"/>
      <c r="G453" s="17"/>
      <c r="H453" s="17"/>
      <c r="I453" s="27"/>
    </row>
    <row r="454" spans="1:9" x14ac:dyDescent="0.35">
      <c r="A454" s="26"/>
      <c r="B454" s="17"/>
      <c r="C454" s="17"/>
      <c r="D454" s="17"/>
      <c r="E454" s="17"/>
      <c r="F454" s="17"/>
      <c r="G454" s="17"/>
      <c r="H454" s="17"/>
      <c r="I454" s="27"/>
    </row>
    <row r="455" spans="1:9" x14ac:dyDescent="0.35">
      <c r="A455" s="26"/>
      <c r="B455" s="17"/>
      <c r="C455" s="17"/>
      <c r="D455" s="17"/>
      <c r="E455" s="17"/>
      <c r="F455" s="17"/>
      <c r="G455" s="17"/>
      <c r="H455" s="17"/>
      <c r="I455" s="27"/>
    </row>
    <row r="456" spans="1:9" x14ac:dyDescent="0.35">
      <c r="A456" s="26"/>
      <c r="B456" s="17"/>
      <c r="C456" s="17"/>
      <c r="D456" s="17"/>
      <c r="E456" s="17"/>
      <c r="F456" s="17"/>
      <c r="G456" s="17"/>
      <c r="H456" s="17"/>
      <c r="I456" s="27"/>
    </row>
    <row r="457" spans="1:9" x14ac:dyDescent="0.35">
      <c r="A457" s="26"/>
      <c r="B457" s="17"/>
      <c r="C457" s="17"/>
      <c r="D457" s="17"/>
      <c r="E457" s="17"/>
      <c r="F457" s="17"/>
      <c r="G457" s="17"/>
      <c r="H457" s="17"/>
      <c r="I457" s="27"/>
    </row>
    <row r="458" spans="1:9" x14ac:dyDescent="0.35">
      <c r="A458" s="26"/>
      <c r="B458" s="17"/>
      <c r="C458" s="17"/>
      <c r="D458" s="17"/>
      <c r="E458" s="17"/>
      <c r="F458" s="17"/>
      <c r="G458" s="17"/>
      <c r="H458" s="17"/>
      <c r="I458" s="27"/>
    </row>
    <row r="459" spans="1:9" x14ac:dyDescent="0.35">
      <c r="A459" s="26"/>
      <c r="B459" s="17"/>
      <c r="C459" s="17"/>
      <c r="D459" s="17"/>
      <c r="E459" s="17"/>
      <c r="F459" s="17"/>
      <c r="G459" s="17"/>
      <c r="H459" s="17"/>
      <c r="I459" s="27"/>
    </row>
    <row r="460" spans="1:9" x14ac:dyDescent="0.35">
      <c r="A460" s="26"/>
      <c r="B460" s="17"/>
      <c r="C460" s="17"/>
      <c r="D460" s="17"/>
      <c r="E460" s="17"/>
      <c r="F460" s="17"/>
      <c r="G460" s="17"/>
      <c r="H460" s="17"/>
      <c r="I460" s="27"/>
    </row>
    <row r="461" spans="1:9" x14ac:dyDescent="0.35">
      <c r="A461" s="26"/>
      <c r="B461" s="17"/>
      <c r="C461" s="17"/>
      <c r="D461" s="17"/>
      <c r="E461" s="17"/>
      <c r="F461" s="17"/>
      <c r="G461" s="17"/>
      <c r="H461" s="17"/>
      <c r="I461" s="27"/>
    </row>
    <row r="462" spans="1:9" x14ac:dyDescent="0.35">
      <c r="A462" s="26"/>
      <c r="B462" s="17"/>
      <c r="C462" s="17"/>
      <c r="D462" s="17"/>
      <c r="E462" s="17"/>
      <c r="F462" s="17"/>
      <c r="G462" s="17"/>
      <c r="H462" s="17"/>
      <c r="I462" s="27"/>
    </row>
    <row r="463" spans="1:9" x14ac:dyDescent="0.35">
      <c r="A463" s="26"/>
      <c r="B463" s="17"/>
      <c r="C463" s="17"/>
      <c r="D463" s="17"/>
      <c r="E463" s="17"/>
      <c r="F463" s="17"/>
      <c r="G463" s="17"/>
      <c r="H463" s="17"/>
      <c r="I463" s="27"/>
    </row>
    <row r="464" spans="1:9" x14ac:dyDescent="0.35">
      <c r="A464" s="26"/>
      <c r="B464" s="17"/>
      <c r="C464" s="17"/>
      <c r="D464" s="17"/>
      <c r="E464" s="17"/>
      <c r="F464" s="17"/>
      <c r="G464" s="17"/>
      <c r="H464" s="17"/>
      <c r="I464" s="27"/>
    </row>
    <row r="465" spans="1:9" x14ac:dyDescent="0.35">
      <c r="A465" s="26"/>
      <c r="B465" s="17"/>
      <c r="C465" s="17"/>
      <c r="D465" s="17"/>
      <c r="E465" s="17"/>
      <c r="F465" s="17"/>
      <c r="G465" s="17"/>
      <c r="H465" s="17"/>
      <c r="I465" s="27"/>
    </row>
    <row r="466" spans="1:9" x14ac:dyDescent="0.35">
      <c r="A466" s="26"/>
      <c r="B466" s="17"/>
      <c r="C466" s="17"/>
      <c r="D466" s="17"/>
      <c r="E466" s="17"/>
      <c r="F466" s="17"/>
      <c r="G466" s="17"/>
      <c r="H466" s="17"/>
      <c r="I466" s="27"/>
    </row>
    <row r="467" spans="1:9" x14ac:dyDescent="0.35">
      <c r="A467" s="26"/>
      <c r="B467" s="17"/>
      <c r="C467" s="17"/>
      <c r="D467" s="17"/>
      <c r="E467" s="17"/>
      <c r="F467" s="17"/>
      <c r="G467" s="17"/>
      <c r="H467" s="17"/>
      <c r="I467" s="27"/>
    </row>
    <row r="468" spans="1:9" x14ac:dyDescent="0.35">
      <c r="A468" s="26"/>
      <c r="B468" s="17"/>
      <c r="C468" s="17"/>
      <c r="D468" s="17"/>
      <c r="E468" s="17"/>
      <c r="F468" s="17"/>
      <c r="G468" s="17"/>
      <c r="H468" s="17"/>
      <c r="I468" s="27"/>
    </row>
    <row r="469" spans="1:9" x14ac:dyDescent="0.35">
      <c r="A469" s="26"/>
      <c r="B469" s="17"/>
      <c r="C469" s="17"/>
      <c r="D469" s="17"/>
      <c r="E469" s="17"/>
      <c r="F469" s="17"/>
      <c r="G469" s="17"/>
      <c r="H469" s="17"/>
      <c r="I469" s="27"/>
    </row>
    <row r="470" spans="1:9" x14ac:dyDescent="0.35">
      <c r="A470" s="26"/>
      <c r="B470" s="17"/>
      <c r="C470" s="17"/>
      <c r="D470" s="17"/>
      <c r="E470" s="17"/>
      <c r="F470" s="17"/>
      <c r="G470" s="17"/>
      <c r="H470" s="17"/>
      <c r="I470" s="27"/>
    </row>
    <row r="471" spans="1:9" x14ac:dyDescent="0.35">
      <c r="A471" s="26"/>
      <c r="B471" s="17"/>
      <c r="C471" s="17"/>
      <c r="D471" s="17"/>
      <c r="E471" s="17"/>
      <c r="F471" s="17"/>
      <c r="G471" s="17"/>
      <c r="H471" s="17"/>
      <c r="I471" s="27"/>
    </row>
    <row r="472" spans="1:9" x14ac:dyDescent="0.35">
      <c r="A472" s="26"/>
      <c r="B472" s="17"/>
      <c r="C472" s="17"/>
      <c r="D472" s="17"/>
      <c r="E472" s="17"/>
      <c r="F472" s="17"/>
      <c r="G472" s="17"/>
      <c r="H472" s="17"/>
      <c r="I472" s="27"/>
    </row>
    <row r="473" spans="1:9" x14ac:dyDescent="0.35">
      <c r="A473" s="26"/>
      <c r="B473" s="17"/>
      <c r="C473" s="17"/>
      <c r="D473" s="17"/>
      <c r="E473" s="17"/>
      <c r="F473" s="17"/>
      <c r="G473" s="17"/>
      <c r="H473" s="17"/>
      <c r="I473" s="27"/>
    </row>
    <row r="474" spans="1:9" x14ac:dyDescent="0.35">
      <c r="A474" s="26"/>
      <c r="B474" s="17"/>
      <c r="C474" s="17"/>
      <c r="D474" s="17"/>
      <c r="E474" s="17"/>
      <c r="F474" s="17"/>
      <c r="G474" s="17"/>
      <c r="H474" s="17"/>
      <c r="I474" s="27"/>
    </row>
    <row r="475" spans="1:9" x14ac:dyDescent="0.35">
      <c r="A475" s="26"/>
      <c r="B475" s="17"/>
      <c r="C475" s="17"/>
      <c r="D475" s="17"/>
      <c r="E475" s="17"/>
      <c r="F475" s="17"/>
      <c r="G475" s="17"/>
      <c r="H475" s="17"/>
      <c r="I475" s="27"/>
    </row>
    <row r="476" spans="1:9" x14ac:dyDescent="0.35">
      <c r="A476" s="26"/>
      <c r="B476" s="17"/>
      <c r="C476" s="17"/>
      <c r="D476" s="17"/>
      <c r="E476" s="17"/>
      <c r="F476" s="17"/>
      <c r="G476" s="17"/>
      <c r="H476" s="17"/>
      <c r="I476" s="27"/>
    </row>
    <row r="477" spans="1:9" x14ac:dyDescent="0.35">
      <c r="A477" s="26"/>
      <c r="B477" s="17"/>
      <c r="C477" s="17"/>
      <c r="D477" s="17"/>
      <c r="E477" s="17"/>
      <c r="F477" s="17"/>
      <c r="G477" s="17"/>
      <c r="H477" s="17"/>
      <c r="I477" s="27"/>
    </row>
    <row r="478" spans="1:9" x14ac:dyDescent="0.35">
      <c r="A478" s="26"/>
      <c r="B478" s="17"/>
      <c r="C478" s="17"/>
      <c r="D478" s="17"/>
      <c r="E478" s="17"/>
      <c r="F478" s="17"/>
      <c r="G478" s="17"/>
      <c r="H478" s="17"/>
      <c r="I478" s="27"/>
    </row>
    <row r="479" spans="1:9" x14ac:dyDescent="0.35">
      <c r="A479" s="26"/>
      <c r="B479" s="17"/>
      <c r="C479" s="17"/>
      <c r="D479" s="17"/>
      <c r="E479" s="17"/>
      <c r="F479" s="17"/>
      <c r="G479" s="17"/>
      <c r="H479" s="17"/>
      <c r="I479" s="27"/>
    </row>
    <row r="480" spans="1:9" x14ac:dyDescent="0.35">
      <c r="A480" s="26"/>
      <c r="B480" s="17"/>
      <c r="C480" s="17"/>
      <c r="D480" s="17"/>
      <c r="E480" s="17"/>
      <c r="F480" s="17"/>
      <c r="G480" s="17"/>
      <c r="H480" s="17"/>
      <c r="I480" s="27"/>
    </row>
    <row r="481" spans="1:9" x14ac:dyDescent="0.35">
      <c r="A481" s="26"/>
      <c r="B481" s="17"/>
      <c r="C481" s="17"/>
      <c r="D481" s="17"/>
      <c r="E481" s="17"/>
      <c r="F481" s="17"/>
      <c r="G481" s="17"/>
      <c r="H481" s="17"/>
      <c r="I481" s="27"/>
    </row>
    <row r="482" spans="1:9" x14ac:dyDescent="0.35">
      <c r="A482" s="26"/>
      <c r="B482" s="17"/>
      <c r="C482" s="17"/>
      <c r="D482" s="17"/>
      <c r="E482" s="17"/>
      <c r="F482" s="17"/>
      <c r="G482" s="17"/>
      <c r="H482" s="17"/>
      <c r="I482" s="27"/>
    </row>
    <row r="483" spans="1:9" x14ac:dyDescent="0.35">
      <c r="A483" s="26"/>
      <c r="B483" s="17"/>
      <c r="C483" s="17"/>
      <c r="D483" s="17"/>
      <c r="E483" s="17"/>
      <c r="F483" s="17"/>
      <c r="G483" s="17"/>
      <c r="H483" s="17"/>
      <c r="I483" s="27"/>
    </row>
    <row r="484" spans="1:9" x14ac:dyDescent="0.35">
      <c r="A484" s="26"/>
      <c r="B484" s="17"/>
      <c r="C484" s="17"/>
      <c r="D484" s="17"/>
      <c r="E484" s="17"/>
      <c r="F484" s="17"/>
      <c r="G484" s="17"/>
      <c r="H484" s="17"/>
      <c r="I484" s="27"/>
    </row>
    <row r="485" spans="1:9" x14ac:dyDescent="0.35">
      <c r="A485" s="26"/>
      <c r="B485" s="17"/>
      <c r="C485" s="17"/>
      <c r="D485" s="17"/>
      <c r="E485" s="17"/>
      <c r="F485" s="17"/>
      <c r="G485" s="17"/>
      <c r="H485" s="17"/>
      <c r="I485" s="27"/>
    </row>
    <row r="486" spans="1:9" x14ac:dyDescent="0.35">
      <c r="A486" s="26"/>
      <c r="B486" s="17"/>
      <c r="C486" s="17"/>
      <c r="D486" s="17"/>
      <c r="E486" s="17"/>
      <c r="F486" s="17"/>
      <c r="G486" s="17"/>
      <c r="H486" s="17"/>
      <c r="I486" s="27"/>
    </row>
    <row r="487" spans="1:9" x14ac:dyDescent="0.35">
      <c r="A487" s="26"/>
      <c r="B487" s="17"/>
      <c r="C487" s="17"/>
      <c r="D487" s="17"/>
      <c r="E487" s="17"/>
      <c r="F487" s="17"/>
      <c r="G487" s="17"/>
      <c r="H487" s="17"/>
      <c r="I487" s="27"/>
    </row>
    <row r="488" spans="1:9" x14ac:dyDescent="0.35">
      <c r="A488" s="26"/>
      <c r="B488" s="17"/>
      <c r="C488" s="17"/>
      <c r="D488" s="17"/>
      <c r="E488" s="17"/>
      <c r="F488" s="17"/>
      <c r="G488" s="17"/>
      <c r="H488" s="17"/>
      <c r="I488" s="27"/>
    </row>
    <row r="489" spans="1:9" x14ac:dyDescent="0.35">
      <c r="A489" s="26"/>
      <c r="B489" s="17"/>
      <c r="C489" s="17"/>
      <c r="D489" s="17"/>
      <c r="E489" s="17"/>
      <c r="F489" s="17"/>
      <c r="G489" s="17"/>
      <c r="H489" s="17"/>
      <c r="I489" s="27"/>
    </row>
    <row r="490" spans="1:9" x14ac:dyDescent="0.35">
      <c r="A490" s="26"/>
      <c r="B490" s="17"/>
      <c r="C490" s="17"/>
      <c r="D490" s="17"/>
      <c r="E490" s="17"/>
      <c r="F490" s="17"/>
      <c r="G490" s="17"/>
      <c r="H490" s="17"/>
      <c r="I490" s="27"/>
    </row>
    <row r="491" spans="1:9" x14ac:dyDescent="0.35">
      <c r="A491" s="26"/>
      <c r="B491" s="17"/>
      <c r="C491" s="17"/>
      <c r="D491" s="17"/>
      <c r="E491" s="17"/>
      <c r="F491" s="17"/>
      <c r="G491" s="17"/>
      <c r="H491" s="17"/>
      <c r="I491" s="27"/>
    </row>
    <row r="492" spans="1:9" x14ac:dyDescent="0.35">
      <c r="A492" s="26"/>
      <c r="B492" s="17"/>
      <c r="C492" s="17"/>
      <c r="D492" s="17"/>
      <c r="E492" s="17"/>
      <c r="F492" s="17"/>
      <c r="G492" s="17"/>
      <c r="H492" s="17"/>
      <c r="I492" s="27"/>
    </row>
    <row r="493" spans="1:9" x14ac:dyDescent="0.35">
      <c r="A493" s="26"/>
      <c r="B493" s="17"/>
      <c r="C493" s="17"/>
      <c r="D493" s="17"/>
      <c r="E493" s="17"/>
      <c r="F493" s="17"/>
      <c r="G493" s="17"/>
      <c r="H493" s="17"/>
      <c r="I493" s="27"/>
    </row>
    <row r="494" spans="1:9" x14ac:dyDescent="0.35">
      <c r="A494" s="26"/>
      <c r="B494" s="17"/>
      <c r="C494" s="17"/>
      <c r="D494" s="17"/>
      <c r="E494" s="17"/>
      <c r="F494" s="17"/>
      <c r="G494" s="17"/>
      <c r="H494" s="17"/>
      <c r="I494" s="27"/>
    </row>
    <row r="495" spans="1:9" x14ac:dyDescent="0.35">
      <c r="A495" s="26"/>
      <c r="B495" s="17"/>
      <c r="C495" s="17"/>
      <c r="D495" s="17"/>
      <c r="E495" s="17"/>
      <c r="F495" s="17"/>
      <c r="G495" s="17"/>
      <c r="H495" s="17"/>
      <c r="I495" s="27"/>
    </row>
    <row r="496" spans="1:9" x14ac:dyDescent="0.35">
      <c r="A496" s="26"/>
      <c r="B496" s="17"/>
      <c r="C496" s="17"/>
      <c r="D496" s="17"/>
      <c r="E496" s="17"/>
      <c r="F496" s="17"/>
      <c r="G496" s="17"/>
      <c r="H496" s="17"/>
      <c r="I496" s="27"/>
    </row>
    <row r="497" spans="1:9" x14ac:dyDescent="0.35">
      <c r="A497" s="26"/>
      <c r="B497" s="17"/>
      <c r="C497" s="17"/>
      <c r="D497" s="17"/>
      <c r="E497" s="17"/>
      <c r="F497" s="17"/>
      <c r="G497" s="17"/>
      <c r="H497" s="17"/>
      <c r="I497" s="27"/>
    </row>
    <row r="498" spans="1:9" x14ac:dyDescent="0.35">
      <c r="A498" s="26"/>
      <c r="B498" s="17"/>
      <c r="C498" s="17"/>
      <c r="D498" s="17"/>
      <c r="E498" s="17"/>
      <c r="F498" s="17"/>
      <c r="G498" s="17"/>
      <c r="H498" s="17"/>
      <c r="I498" s="27"/>
    </row>
    <row r="499" spans="1:9" x14ac:dyDescent="0.35">
      <c r="A499" s="26"/>
      <c r="B499" s="17"/>
      <c r="C499" s="17"/>
      <c r="D499" s="17"/>
      <c r="E499" s="17"/>
      <c r="F499" s="17"/>
      <c r="G499" s="17"/>
      <c r="H499" s="17"/>
      <c r="I499" s="27"/>
    </row>
    <row r="500" spans="1:9" x14ac:dyDescent="0.35">
      <c r="A500" s="26"/>
      <c r="B500" s="17"/>
      <c r="C500" s="17"/>
      <c r="D500" s="17"/>
      <c r="E500" s="17"/>
      <c r="F500" s="17"/>
      <c r="G500" s="17"/>
      <c r="H500" s="17"/>
      <c r="I500" s="27"/>
    </row>
    <row r="501" spans="1:9" x14ac:dyDescent="0.35">
      <c r="A501" s="26"/>
      <c r="B501" s="17"/>
      <c r="C501" s="17"/>
      <c r="D501" s="17"/>
      <c r="E501" s="17"/>
      <c r="F501" s="17"/>
      <c r="G501" s="17"/>
      <c r="H501" s="17"/>
      <c r="I501" s="27"/>
    </row>
    <row r="502" spans="1:9" x14ac:dyDescent="0.35">
      <c r="A502" s="26"/>
      <c r="B502" s="17"/>
      <c r="C502" s="17"/>
      <c r="D502" s="17"/>
      <c r="E502" s="17"/>
      <c r="F502" s="17"/>
      <c r="G502" s="17"/>
      <c r="H502" s="17"/>
      <c r="I502" s="27"/>
    </row>
    <row r="503" spans="1:9" x14ac:dyDescent="0.35">
      <c r="A503" s="26"/>
      <c r="B503" s="17"/>
      <c r="C503" s="17"/>
      <c r="D503" s="17"/>
      <c r="E503" s="17"/>
      <c r="F503" s="17"/>
      <c r="G503" s="17"/>
      <c r="H503" s="17"/>
      <c r="I503" s="27"/>
    </row>
    <row r="504" spans="1:9" x14ac:dyDescent="0.35">
      <c r="A504" s="26"/>
      <c r="B504" s="17"/>
      <c r="C504" s="17"/>
      <c r="D504" s="17"/>
      <c r="E504" s="17"/>
      <c r="F504" s="17"/>
      <c r="G504" s="17"/>
      <c r="H504" s="17"/>
      <c r="I504" s="27"/>
    </row>
    <row r="505" spans="1:9" x14ac:dyDescent="0.35">
      <c r="A505" s="26"/>
      <c r="B505" s="17"/>
      <c r="C505" s="17"/>
      <c r="D505" s="17"/>
      <c r="E505" s="17"/>
      <c r="F505" s="17"/>
      <c r="G505" s="17"/>
      <c r="H505" s="17"/>
      <c r="I505" s="27"/>
    </row>
    <row r="506" spans="1:9" x14ac:dyDescent="0.35">
      <c r="A506" s="26"/>
      <c r="B506" s="17"/>
      <c r="C506" s="17"/>
      <c r="D506" s="17"/>
      <c r="E506" s="17"/>
      <c r="F506" s="17"/>
      <c r="G506" s="17"/>
      <c r="H506" s="17"/>
      <c r="I506" s="27"/>
    </row>
    <row r="507" spans="1:9" x14ac:dyDescent="0.35">
      <c r="A507" s="26"/>
      <c r="B507" s="17"/>
      <c r="C507" s="17"/>
      <c r="D507" s="17"/>
      <c r="E507" s="17"/>
      <c r="F507" s="17"/>
      <c r="G507" s="17"/>
      <c r="H507" s="17"/>
      <c r="I507" s="27"/>
    </row>
    <row r="508" spans="1:9" x14ac:dyDescent="0.35">
      <c r="A508" s="26"/>
      <c r="B508" s="17"/>
      <c r="C508" s="17"/>
      <c r="D508" s="17"/>
      <c r="E508" s="17"/>
      <c r="F508" s="17"/>
      <c r="G508" s="17"/>
      <c r="H508" s="17"/>
      <c r="I508" s="27"/>
    </row>
    <row r="509" spans="1:9" x14ac:dyDescent="0.35">
      <c r="A509" s="26"/>
      <c r="B509" s="17"/>
      <c r="C509" s="17"/>
      <c r="D509" s="17"/>
      <c r="E509" s="17"/>
      <c r="F509" s="17"/>
      <c r="G509" s="17"/>
      <c r="H509" s="17"/>
      <c r="I509" s="27"/>
    </row>
    <row r="510" spans="1:9" x14ac:dyDescent="0.35">
      <c r="A510" s="26"/>
      <c r="B510" s="17"/>
      <c r="C510" s="17"/>
      <c r="D510" s="17"/>
      <c r="E510" s="17"/>
      <c r="F510" s="17"/>
      <c r="G510" s="17"/>
      <c r="H510" s="17"/>
      <c r="I510" s="27"/>
    </row>
    <row r="511" spans="1:9" x14ac:dyDescent="0.35">
      <c r="A511" s="26"/>
      <c r="B511" s="17"/>
      <c r="C511" s="17"/>
      <c r="D511" s="17"/>
      <c r="E511" s="17"/>
      <c r="F511" s="17"/>
      <c r="G511" s="17"/>
      <c r="H511" s="17"/>
      <c r="I511" s="27"/>
    </row>
    <row r="512" spans="1:9" x14ac:dyDescent="0.35">
      <c r="A512" s="26"/>
      <c r="B512" s="17"/>
      <c r="C512" s="17"/>
      <c r="D512" s="17"/>
      <c r="E512" s="17"/>
      <c r="F512" s="17"/>
      <c r="G512" s="17"/>
      <c r="H512" s="17"/>
      <c r="I512" s="27"/>
    </row>
    <row r="513" spans="1:9" x14ac:dyDescent="0.35">
      <c r="A513" s="26"/>
      <c r="B513" s="17"/>
      <c r="C513" s="17"/>
      <c r="D513" s="17"/>
      <c r="E513" s="17"/>
      <c r="F513" s="17"/>
      <c r="G513" s="17"/>
      <c r="H513" s="17"/>
      <c r="I513" s="27"/>
    </row>
    <row r="514" spans="1:9" x14ac:dyDescent="0.35">
      <c r="A514" s="26"/>
      <c r="B514" s="17"/>
      <c r="C514" s="17"/>
      <c r="D514" s="17"/>
      <c r="E514" s="17"/>
      <c r="F514" s="17"/>
      <c r="G514" s="17"/>
      <c r="H514" s="17"/>
      <c r="I514" s="27"/>
    </row>
    <row r="515" spans="1:9" x14ac:dyDescent="0.35">
      <c r="A515" s="26"/>
      <c r="B515" s="17"/>
      <c r="C515" s="17"/>
      <c r="D515" s="17"/>
      <c r="E515" s="17"/>
      <c r="F515" s="17"/>
      <c r="G515" s="17"/>
      <c r="H515" s="17"/>
      <c r="I515" s="27"/>
    </row>
    <row r="516" spans="1:9" x14ac:dyDescent="0.35">
      <c r="A516" s="26"/>
      <c r="B516" s="17"/>
      <c r="C516" s="17"/>
      <c r="D516" s="17"/>
      <c r="E516" s="17"/>
      <c r="F516" s="17"/>
      <c r="G516" s="17"/>
      <c r="H516" s="17"/>
      <c r="I516" s="27"/>
    </row>
    <row r="517" spans="1:9" x14ac:dyDescent="0.35">
      <c r="A517" s="26"/>
      <c r="B517" s="17"/>
      <c r="C517" s="17"/>
      <c r="D517" s="17"/>
      <c r="E517" s="17"/>
      <c r="F517" s="17"/>
      <c r="G517" s="17"/>
      <c r="H517" s="17"/>
      <c r="I517" s="27"/>
    </row>
    <row r="518" spans="1:9" x14ac:dyDescent="0.35">
      <c r="A518" s="26"/>
      <c r="B518" s="17"/>
      <c r="C518" s="17"/>
      <c r="D518" s="17"/>
      <c r="E518" s="17"/>
      <c r="F518" s="17"/>
      <c r="G518" s="17"/>
      <c r="H518" s="17"/>
      <c r="I518" s="27"/>
    </row>
    <row r="519" spans="1:9" x14ac:dyDescent="0.35">
      <c r="A519" s="26"/>
      <c r="B519" s="17"/>
      <c r="C519" s="17"/>
      <c r="D519" s="17"/>
      <c r="E519" s="17"/>
      <c r="F519" s="17"/>
      <c r="G519" s="17"/>
      <c r="H519" s="17"/>
      <c r="I519" s="27"/>
    </row>
    <row r="520" spans="1:9" x14ac:dyDescent="0.35">
      <c r="A520" s="26"/>
      <c r="B520" s="17"/>
      <c r="C520" s="17"/>
      <c r="D520" s="17"/>
      <c r="E520" s="17"/>
      <c r="F520" s="17"/>
      <c r="G520" s="17"/>
      <c r="H520" s="17"/>
      <c r="I520" s="27"/>
    </row>
    <row r="521" spans="1:9" x14ac:dyDescent="0.35">
      <c r="A521" s="26"/>
      <c r="B521" s="17"/>
      <c r="C521" s="17"/>
      <c r="D521" s="17"/>
      <c r="E521" s="17"/>
      <c r="F521" s="17"/>
      <c r="G521" s="17"/>
      <c r="H521" s="17"/>
      <c r="I521" s="27"/>
    </row>
    <row r="522" spans="1:9" x14ac:dyDescent="0.35">
      <c r="A522" s="26"/>
      <c r="B522" s="17"/>
      <c r="C522" s="17"/>
      <c r="D522" s="17"/>
      <c r="E522" s="17"/>
      <c r="F522" s="17"/>
      <c r="G522" s="17"/>
      <c r="H522" s="17"/>
      <c r="I522" s="27"/>
    </row>
    <row r="523" spans="1:9" x14ac:dyDescent="0.35">
      <c r="A523" s="26"/>
      <c r="B523" s="17"/>
      <c r="C523" s="17"/>
      <c r="D523" s="17"/>
      <c r="E523" s="17"/>
      <c r="F523" s="17"/>
      <c r="G523" s="17"/>
      <c r="H523" s="17"/>
      <c r="I523" s="27"/>
    </row>
    <row r="524" spans="1:9" x14ac:dyDescent="0.35">
      <c r="A524" s="26"/>
      <c r="B524" s="17"/>
      <c r="C524" s="17"/>
      <c r="D524" s="17"/>
      <c r="E524" s="17"/>
      <c r="F524" s="17"/>
      <c r="G524" s="17"/>
      <c r="H524" s="17"/>
      <c r="I524" s="27"/>
    </row>
    <row r="525" spans="1:9" x14ac:dyDescent="0.35">
      <c r="A525" s="26"/>
      <c r="B525" s="17"/>
      <c r="C525" s="17"/>
      <c r="D525" s="17"/>
      <c r="E525" s="17"/>
      <c r="F525" s="17"/>
      <c r="G525" s="17"/>
      <c r="H525" s="17"/>
      <c r="I525" s="27"/>
    </row>
    <row r="526" spans="1:9" x14ac:dyDescent="0.35">
      <c r="A526" s="26"/>
      <c r="B526" s="17"/>
      <c r="C526" s="17"/>
      <c r="D526" s="17"/>
      <c r="E526" s="17"/>
      <c r="F526" s="17"/>
      <c r="G526" s="17"/>
      <c r="H526" s="17"/>
      <c r="I526" s="27"/>
    </row>
    <row r="527" spans="1:9" x14ac:dyDescent="0.35">
      <c r="A527" s="26"/>
      <c r="B527" s="17"/>
      <c r="C527" s="17"/>
      <c r="D527" s="17"/>
      <c r="E527" s="17"/>
      <c r="F527" s="17"/>
      <c r="G527" s="17"/>
      <c r="H527" s="17"/>
      <c r="I527" s="27"/>
    </row>
    <row r="528" spans="1:9" x14ac:dyDescent="0.35">
      <c r="A528" s="26"/>
      <c r="B528" s="17"/>
      <c r="C528" s="17"/>
      <c r="D528" s="17"/>
      <c r="E528" s="17"/>
      <c r="F528" s="17"/>
      <c r="G528" s="17"/>
      <c r="H528" s="17"/>
      <c r="I528" s="27"/>
    </row>
    <row r="529" spans="1:9" x14ac:dyDescent="0.35">
      <c r="A529" s="26"/>
      <c r="B529" s="17"/>
      <c r="C529" s="17"/>
      <c r="D529" s="17"/>
      <c r="E529" s="17"/>
      <c r="F529" s="17"/>
      <c r="G529" s="17"/>
      <c r="H529" s="17"/>
      <c r="I529" s="27"/>
    </row>
    <row r="530" spans="1:9" x14ac:dyDescent="0.35">
      <c r="A530" s="26"/>
      <c r="B530" s="17"/>
      <c r="C530" s="17"/>
      <c r="D530" s="17"/>
      <c r="E530" s="17"/>
      <c r="F530" s="17"/>
      <c r="G530" s="17"/>
      <c r="H530" s="17"/>
      <c r="I530" s="27"/>
    </row>
    <row r="531" spans="1:9" x14ac:dyDescent="0.35">
      <c r="A531" s="26"/>
      <c r="B531" s="17"/>
      <c r="C531" s="17"/>
      <c r="D531" s="17"/>
      <c r="E531" s="17"/>
      <c r="F531" s="17"/>
      <c r="G531" s="17"/>
      <c r="H531" s="17"/>
      <c r="I531" s="27"/>
    </row>
    <row r="532" spans="1:9" x14ac:dyDescent="0.35">
      <c r="A532" s="26"/>
      <c r="B532" s="17"/>
      <c r="C532" s="17"/>
      <c r="D532" s="17"/>
      <c r="E532" s="17"/>
      <c r="F532" s="17"/>
      <c r="G532" s="17"/>
      <c r="H532" s="17"/>
      <c r="I532" s="27"/>
    </row>
    <row r="533" spans="1:9" x14ac:dyDescent="0.35">
      <c r="A533" s="26"/>
      <c r="B533" s="17"/>
      <c r="C533" s="17"/>
      <c r="D533" s="17"/>
      <c r="E533" s="17"/>
      <c r="F533" s="17"/>
      <c r="G533" s="17"/>
      <c r="H533" s="17"/>
      <c r="I533" s="27"/>
    </row>
    <row r="534" spans="1:9" x14ac:dyDescent="0.35">
      <c r="A534" s="26"/>
      <c r="B534" s="17"/>
      <c r="C534" s="17"/>
      <c r="D534" s="17"/>
      <c r="E534" s="17"/>
      <c r="F534" s="17"/>
      <c r="G534" s="17"/>
      <c r="H534" s="17"/>
      <c r="I534" s="27"/>
    </row>
    <row r="535" spans="1:9" x14ac:dyDescent="0.35">
      <c r="A535" s="26"/>
      <c r="B535" s="17"/>
      <c r="C535" s="17"/>
      <c r="D535" s="17"/>
      <c r="E535" s="17"/>
      <c r="F535" s="17"/>
      <c r="G535" s="17"/>
      <c r="H535" s="17"/>
      <c r="I535" s="27"/>
    </row>
    <row r="536" spans="1:9" x14ac:dyDescent="0.35">
      <c r="A536" s="26"/>
      <c r="B536" s="17"/>
      <c r="C536" s="17"/>
      <c r="D536" s="17"/>
      <c r="E536" s="17"/>
      <c r="F536" s="17"/>
      <c r="G536" s="17"/>
      <c r="H536" s="17"/>
      <c r="I536" s="27"/>
    </row>
    <row r="537" spans="1:9" x14ac:dyDescent="0.35">
      <c r="A537" s="26"/>
      <c r="B537" s="17"/>
      <c r="C537" s="17"/>
      <c r="D537" s="17"/>
      <c r="E537" s="17"/>
      <c r="F537" s="17"/>
      <c r="G537" s="17"/>
      <c r="H537" s="17"/>
      <c r="I537" s="27"/>
    </row>
    <row r="538" spans="1:9" x14ac:dyDescent="0.35">
      <c r="A538" s="26"/>
      <c r="B538" s="17"/>
      <c r="C538" s="17"/>
      <c r="D538" s="17"/>
      <c r="E538" s="17"/>
      <c r="F538" s="17"/>
      <c r="G538" s="17"/>
      <c r="H538" s="17"/>
      <c r="I538" s="27"/>
    </row>
    <row r="539" spans="1:9" x14ac:dyDescent="0.35">
      <c r="A539" s="26"/>
      <c r="B539" s="17"/>
      <c r="C539" s="17"/>
      <c r="D539" s="17"/>
      <c r="E539" s="17"/>
      <c r="F539" s="17"/>
      <c r="G539" s="17"/>
      <c r="H539" s="17"/>
      <c r="I539" s="27"/>
    </row>
    <row r="540" spans="1:9" x14ac:dyDescent="0.35">
      <c r="A540" s="26"/>
      <c r="B540" s="17"/>
      <c r="C540" s="17"/>
      <c r="D540" s="17"/>
      <c r="E540" s="17"/>
      <c r="F540" s="17"/>
      <c r="G540" s="17"/>
      <c r="H540" s="17"/>
      <c r="I540" s="27"/>
    </row>
    <row r="541" spans="1:9" x14ac:dyDescent="0.35">
      <c r="A541" s="26"/>
      <c r="B541" s="17"/>
      <c r="C541" s="17"/>
      <c r="D541" s="17"/>
      <c r="E541" s="17"/>
      <c r="F541" s="17"/>
      <c r="G541" s="17"/>
      <c r="H541" s="17"/>
      <c r="I541" s="27"/>
    </row>
    <row r="542" spans="1:9" x14ac:dyDescent="0.35">
      <c r="A542" s="26"/>
      <c r="B542" s="17"/>
      <c r="C542" s="17"/>
      <c r="D542" s="17"/>
      <c r="E542" s="17"/>
      <c r="F542" s="17"/>
      <c r="G542" s="17"/>
      <c r="H542" s="17"/>
      <c r="I542" s="27"/>
    </row>
    <row r="543" spans="1:9" x14ac:dyDescent="0.35">
      <c r="A543" s="26"/>
      <c r="B543" s="17"/>
      <c r="C543" s="17"/>
      <c r="D543" s="17"/>
      <c r="E543" s="17"/>
      <c r="F543" s="17"/>
      <c r="G543" s="17"/>
      <c r="H543" s="17"/>
      <c r="I543" s="27"/>
    </row>
    <row r="544" spans="1:9" x14ac:dyDescent="0.35">
      <c r="A544" s="26"/>
      <c r="B544" s="17"/>
      <c r="C544" s="17"/>
      <c r="D544" s="17"/>
      <c r="E544" s="17"/>
      <c r="F544" s="17"/>
      <c r="G544" s="17"/>
      <c r="H544" s="17"/>
      <c r="I544" s="27"/>
    </row>
    <row r="545" spans="1:9" x14ac:dyDescent="0.35">
      <c r="A545" s="26"/>
      <c r="B545" s="17"/>
      <c r="C545" s="17"/>
      <c r="D545" s="17"/>
      <c r="E545" s="17"/>
      <c r="F545" s="17"/>
      <c r="G545" s="17"/>
      <c r="H545" s="17"/>
      <c r="I545" s="27"/>
    </row>
    <row r="546" spans="1:9" x14ac:dyDescent="0.35">
      <c r="A546" s="26"/>
      <c r="B546" s="17"/>
      <c r="C546" s="17"/>
      <c r="D546" s="17"/>
      <c r="E546" s="17"/>
      <c r="F546" s="17"/>
      <c r="G546" s="17"/>
      <c r="H546" s="17"/>
      <c r="I546" s="27"/>
    </row>
    <row r="547" spans="1:9" x14ac:dyDescent="0.35">
      <c r="A547" s="26"/>
      <c r="B547" s="17"/>
      <c r="C547" s="17"/>
      <c r="D547" s="17"/>
      <c r="E547" s="17"/>
      <c r="F547" s="17"/>
      <c r="G547" s="17"/>
      <c r="H547" s="17"/>
      <c r="I547" s="27"/>
    </row>
    <row r="548" spans="1:9" x14ac:dyDescent="0.35">
      <c r="A548" s="26"/>
      <c r="B548" s="17"/>
      <c r="C548" s="17"/>
      <c r="D548" s="17"/>
      <c r="E548" s="17"/>
      <c r="F548" s="17"/>
      <c r="G548" s="17"/>
      <c r="H548" s="17"/>
      <c r="I548" s="27"/>
    </row>
    <row r="549" spans="1:9" x14ac:dyDescent="0.35">
      <c r="A549" s="26"/>
      <c r="B549" s="17"/>
      <c r="C549" s="17"/>
      <c r="D549" s="17"/>
      <c r="E549" s="17"/>
      <c r="F549" s="17"/>
      <c r="G549" s="17"/>
      <c r="H549" s="17"/>
      <c r="I549" s="27"/>
    </row>
    <row r="550" spans="1:9" x14ac:dyDescent="0.35">
      <c r="A550" s="26"/>
      <c r="B550" s="17"/>
      <c r="C550" s="17"/>
      <c r="D550" s="17"/>
      <c r="E550" s="17"/>
      <c r="F550" s="17"/>
      <c r="G550" s="17"/>
      <c r="H550" s="17"/>
      <c r="I550" s="27"/>
    </row>
    <row r="551" spans="1:9" x14ac:dyDescent="0.35">
      <c r="A551" s="26"/>
      <c r="B551" s="17"/>
      <c r="C551" s="17"/>
      <c r="D551" s="17"/>
      <c r="E551" s="17"/>
      <c r="F551" s="17"/>
      <c r="G551" s="17"/>
      <c r="H551" s="17"/>
      <c r="I551" s="27"/>
    </row>
    <row r="552" spans="1:9" x14ac:dyDescent="0.35">
      <c r="A552" s="26"/>
      <c r="B552" s="17"/>
      <c r="C552" s="17"/>
      <c r="D552" s="17"/>
      <c r="E552" s="17"/>
      <c r="F552" s="17"/>
      <c r="G552" s="17"/>
      <c r="H552" s="17"/>
      <c r="I552" s="27"/>
    </row>
    <row r="553" spans="1:9" x14ac:dyDescent="0.35">
      <c r="A553" s="26"/>
      <c r="B553" s="17"/>
      <c r="C553" s="17"/>
      <c r="D553" s="17"/>
      <c r="E553" s="17"/>
      <c r="F553" s="17"/>
      <c r="G553" s="17"/>
      <c r="H553" s="17"/>
      <c r="I553" s="27"/>
    </row>
    <row r="554" spans="1:9" x14ac:dyDescent="0.35">
      <c r="A554" s="26"/>
      <c r="B554" s="17"/>
      <c r="C554" s="17"/>
      <c r="D554" s="17"/>
      <c r="E554" s="17"/>
      <c r="F554" s="17"/>
      <c r="G554" s="17"/>
      <c r="H554" s="17"/>
      <c r="I554" s="27"/>
    </row>
    <row r="555" spans="1:9" x14ac:dyDescent="0.35">
      <c r="A555" s="26"/>
      <c r="B555" s="17"/>
      <c r="C555" s="17"/>
      <c r="D555" s="17"/>
      <c r="E555" s="17"/>
      <c r="F555" s="17"/>
      <c r="G555" s="17"/>
      <c r="H555" s="17"/>
      <c r="I555" s="27"/>
    </row>
    <row r="556" spans="1:9" x14ac:dyDescent="0.35">
      <c r="A556" s="26"/>
      <c r="B556" s="17"/>
      <c r="C556" s="17"/>
      <c r="D556" s="17"/>
      <c r="E556" s="17"/>
      <c r="F556" s="17"/>
      <c r="G556" s="17"/>
      <c r="H556" s="17"/>
      <c r="I556" s="27"/>
    </row>
    <row r="557" spans="1:9" x14ac:dyDescent="0.35">
      <c r="A557" s="26"/>
      <c r="B557" s="17"/>
      <c r="C557" s="17"/>
      <c r="D557" s="17"/>
      <c r="E557" s="17"/>
      <c r="F557" s="17"/>
      <c r="G557" s="17"/>
      <c r="H557" s="17"/>
      <c r="I557" s="27"/>
    </row>
    <row r="558" spans="1:9" x14ac:dyDescent="0.35">
      <c r="A558" s="26"/>
      <c r="B558" s="17"/>
      <c r="C558" s="17"/>
      <c r="D558" s="17"/>
      <c r="E558" s="17"/>
      <c r="F558" s="17"/>
      <c r="G558" s="17"/>
      <c r="H558" s="17"/>
      <c r="I558" s="27"/>
    </row>
    <row r="559" spans="1:9" x14ac:dyDescent="0.35">
      <c r="A559" s="26"/>
      <c r="B559" s="17"/>
      <c r="C559" s="17"/>
      <c r="D559" s="17"/>
      <c r="E559" s="17"/>
      <c r="F559" s="17"/>
      <c r="G559" s="17"/>
      <c r="H559" s="17"/>
      <c r="I559" s="27"/>
    </row>
    <row r="560" spans="1:9" x14ac:dyDescent="0.35">
      <c r="A560" s="26"/>
      <c r="B560" s="17"/>
      <c r="C560" s="17"/>
      <c r="D560" s="17"/>
      <c r="E560" s="17"/>
      <c r="F560" s="17"/>
      <c r="G560" s="17"/>
      <c r="H560" s="17"/>
      <c r="I560" s="27"/>
    </row>
    <row r="561" spans="1:9" x14ac:dyDescent="0.35">
      <c r="A561" s="26"/>
      <c r="B561" s="17"/>
      <c r="C561" s="17"/>
      <c r="D561" s="17"/>
      <c r="E561" s="17"/>
      <c r="F561" s="17"/>
      <c r="G561" s="17"/>
      <c r="H561" s="17"/>
      <c r="I561" s="27"/>
    </row>
    <row r="562" spans="1:9" x14ac:dyDescent="0.35">
      <c r="A562" s="26"/>
      <c r="B562" s="17"/>
      <c r="C562" s="17"/>
      <c r="D562" s="17"/>
      <c r="E562" s="17"/>
      <c r="F562" s="17"/>
      <c r="G562" s="17"/>
      <c r="H562" s="17"/>
      <c r="I562" s="27"/>
    </row>
  </sheetData>
  <phoneticPr fontId="0" type="noConversion"/>
  <dataValidations disablePrompts="1" count="1">
    <dataValidation type="decimal" operator="greaterThanOrEqual" allowBlank="1" showInputMessage="1" showErrorMessage="1" errorTitle="Supplement" error="Must be a number" sqref="B1:H562" xr:uid="{B4863FF9-FC99-4068-883A-E8E12C0EB082}">
      <formula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oto_home">
                <anchor moveWithCells="1" sizeWithCells="1">
                  <from>
                    <xdr:col>9</xdr:col>
                    <xdr:colOff>76200</xdr:colOff>
                    <xdr:row>0</xdr:row>
                    <xdr:rowOff>101600</xdr:rowOff>
                  </from>
                  <to>
                    <xdr:col>9</xdr:col>
                    <xdr:colOff>806450</xdr:colOff>
                    <xdr:row>0</xdr:row>
                    <xdr:rowOff>342900</xdr:rowOff>
                  </to>
                </anchor>
              </controlPr>
            </control>
          </mc:Choice>
        </mc:AlternateContent>
        <mc:AlternateContent xmlns:mc="http://schemas.openxmlformats.org/markup-compatibility/2006">
          <mc:Choice Requires="x14">
            <control shapeId="12290" r:id="rId5" name="Button 2">
              <controlPr defaultSize="0" print="0" autoFill="0" autoPict="0" macro="[0]!returnfromauthorities">
                <anchor moveWithCells="1" sizeWithCells="1">
                  <from>
                    <xdr:col>10</xdr:col>
                    <xdr:colOff>76200</xdr:colOff>
                    <xdr:row>0</xdr:row>
                    <xdr:rowOff>82550</xdr:rowOff>
                  </from>
                  <to>
                    <xdr:col>11</xdr:col>
                    <xdr:colOff>234950</xdr:colOff>
                    <xdr:row>0</xdr:row>
                    <xdr:rowOff>336550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FC524-311C-446C-9AF4-BC34B70A01BD}">
  <sheetPr codeName="Sheet25">
    <pageSetUpPr fitToPage="1"/>
  </sheetPr>
  <dimension ref="A1:AF49"/>
  <sheetViews>
    <sheetView showGridLines="0" workbookViewId="0">
      <selection activeCell="B2" sqref="B2"/>
    </sheetView>
  </sheetViews>
  <sheetFormatPr defaultColWidth="9.08984375" defaultRowHeight="12.5" x14ac:dyDescent="0.25"/>
  <cols>
    <col min="1" max="1" width="5.90625" style="89" customWidth="1"/>
    <col min="2" max="2" width="8.90625" style="89" customWidth="1"/>
    <col min="3" max="3" width="2.453125" style="89" customWidth="1"/>
    <col min="4" max="4" width="9" style="89" customWidth="1"/>
    <col min="5" max="5" width="10.36328125" style="89" customWidth="1"/>
    <col min="6" max="6" width="9.90625" style="89" customWidth="1"/>
    <col min="7" max="7" width="10.54296875" style="89" customWidth="1"/>
    <col min="8" max="8" width="8.54296875" style="89" customWidth="1"/>
    <col min="9" max="9" width="10.08984375" style="89" customWidth="1"/>
    <col min="10" max="10" width="9.08984375" style="89"/>
    <col min="11" max="11" width="11.54296875" style="89" customWidth="1"/>
    <col min="12" max="13" width="9.6328125" style="89" customWidth="1"/>
    <col min="14" max="14" width="8.36328125" style="89" customWidth="1"/>
    <col min="15" max="15" width="2.54296875" style="89" customWidth="1"/>
    <col min="16" max="16" width="1.36328125" style="89" customWidth="1"/>
    <col min="17" max="16384" width="9.08984375" style="89"/>
  </cols>
  <sheetData>
    <row r="1" spans="1:32" ht="33.75" customHeight="1" thickBot="1" x14ac:dyDescent="0.4">
      <c r="A1" s="87"/>
      <c r="B1" s="87"/>
      <c r="C1" s="87"/>
      <c r="D1" s="88" t="s">
        <v>764</v>
      </c>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row>
    <row r="2" spans="1:32" ht="13" x14ac:dyDescent="0.3">
      <c r="A2" s="87"/>
      <c r="B2" s="87"/>
      <c r="C2" s="87"/>
      <c r="D2" s="90" t="s">
        <v>765</v>
      </c>
      <c r="E2" s="91"/>
      <c r="F2" s="91"/>
      <c r="G2" s="91"/>
      <c r="H2" s="91"/>
      <c r="I2" s="91"/>
      <c r="J2" s="91"/>
      <c r="K2" s="91"/>
      <c r="L2" s="91"/>
      <c r="M2" s="91"/>
      <c r="N2" s="92"/>
      <c r="O2" s="87"/>
      <c r="P2" s="87"/>
      <c r="Q2" s="87"/>
      <c r="R2" s="87"/>
      <c r="S2" s="87"/>
      <c r="T2" s="87"/>
      <c r="U2" s="87"/>
      <c r="V2" s="87"/>
      <c r="W2" s="87"/>
      <c r="X2" s="87"/>
      <c r="Y2" s="87"/>
      <c r="Z2" s="87"/>
      <c r="AA2" s="87"/>
      <c r="AB2" s="87"/>
      <c r="AC2" s="87"/>
      <c r="AD2" s="87"/>
      <c r="AE2" s="87"/>
      <c r="AF2" s="87"/>
    </row>
    <row r="3" spans="1:32" ht="13" x14ac:dyDescent="0.3">
      <c r="A3" s="87"/>
      <c r="B3" s="87"/>
      <c r="C3" s="87"/>
      <c r="D3" s="93"/>
      <c r="E3" s="94" t="s">
        <v>766</v>
      </c>
      <c r="F3" s="95"/>
      <c r="G3" s="94" t="s">
        <v>767</v>
      </c>
      <c r="H3" s="96"/>
      <c r="I3" s="94" t="s">
        <v>768</v>
      </c>
      <c r="J3" s="95"/>
      <c r="K3" s="95" t="s">
        <v>769</v>
      </c>
      <c r="L3" s="95" t="s">
        <v>770</v>
      </c>
      <c r="M3" s="95" t="s">
        <v>771</v>
      </c>
      <c r="N3" s="97"/>
      <c r="O3" s="87"/>
      <c r="P3" s="87"/>
      <c r="Q3" s="87"/>
      <c r="R3" s="87"/>
      <c r="S3" s="87"/>
      <c r="T3" s="87"/>
      <c r="U3" s="87"/>
      <c r="V3" s="87"/>
      <c r="W3" s="87"/>
      <c r="X3" s="87"/>
      <c r="Y3" s="87"/>
      <c r="Z3" s="87"/>
      <c r="AA3" s="87"/>
      <c r="AB3" s="87"/>
      <c r="AC3" s="87"/>
      <c r="AD3" s="87"/>
      <c r="AE3" s="87"/>
      <c r="AF3" s="87"/>
    </row>
    <row r="4" spans="1:32" ht="6" customHeight="1" x14ac:dyDescent="0.25">
      <c r="A4" s="87"/>
      <c r="B4" s="87"/>
      <c r="C4" s="87"/>
      <c r="D4" s="98"/>
      <c r="E4" s="99"/>
      <c r="F4" s="99"/>
      <c r="G4" s="99"/>
      <c r="H4" s="99"/>
      <c r="I4" s="99"/>
      <c r="J4" s="99"/>
      <c r="K4" s="99"/>
      <c r="L4" s="99"/>
      <c r="M4" s="99"/>
      <c r="N4" s="97"/>
      <c r="O4" s="87"/>
      <c r="P4" s="87"/>
      <c r="Q4" s="87"/>
      <c r="R4" s="87"/>
      <c r="S4" s="87"/>
      <c r="T4" s="87"/>
      <c r="U4" s="87"/>
      <c r="V4" s="87"/>
      <c r="W4" s="87"/>
      <c r="X4" s="87"/>
      <c r="Y4" s="87"/>
      <c r="Z4" s="87"/>
      <c r="AA4" s="87"/>
      <c r="AB4" s="87"/>
      <c r="AC4" s="87"/>
      <c r="AD4" s="87"/>
      <c r="AE4" s="87"/>
      <c r="AF4" s="87"/>
    </row>
    <row r="5" spans="1:32" ht="13" x14ac:dyDescent="0.3">
      <c r="A5" s="87"/>
      <c r="B5" s="87"/>
      <c r="C5" s="87"/>
      <c r="D5" s="100" t="str">
        <f>text!D9</f>
        <v>2023/24</v>
      </c>
      <c r="E5" s="101">
        <f>data!C53</f>
        <v>0.499</v>
      </c>
      <c r="F5" s="102"/>
      <c r="G5" s="101">
        <f>E5</f>
        <v>0.499</v>
      </c>
      <c r="H5" s="102"/>
      <c r="I5" s="101">
        <f>data!F33</f>
        <v>1.2999999999999999E-2</v>
      </c>
      <c r="J5" s="102"/>
      <c r="K5" s="103">
        <f>(data!D53-1)*100</f>
        <v>0</v>
      </c>
      <c r="L5" s="103">
        <f>K5</f>
        <v>0</v>
      </c>
      <c r="M5" s="104" t="str">
        <f>IF(update!F6&lt;&gt;"n","y","n")</f>
        <v>n</v>
      </c>
      <c r="N5" s="97"/>
      <c r="O5" s="87"/>
      <c r="P5" s="87"/>
      <c r="Q5" s="87"/>
      <c r="R5" s="87"/>
      <c r="S5" s="87"/>
      <c r="T5" s="87"/>
      <c r="U5" s="87"/>
      <c r="V5" s="87"/>
      <c r="W5" s="87"/>
      <c r="X5" s="87"/>
      <c r="Y5" s="87"/>
      <c r="Z5" s="87"/>
      <c r="AA5" s="87"/>
      <c r="AB5" s="87"/>
      <c r="AC5" s="87"/>
      <c r="AD5" s="87"/>
      <c r="AE5" s="87"/>
      <c r="AF5" s="87"/>
    </row>
    <row r="6" spans="1:32" ht="13" x14ac:dyDescent="0.3">
      <c r="A6" s="87"/>
      <c r="B6" s="87"/>
      <c r="C6" s="87"/>
      <c r="D6" s="100" t="str">
        <f>text!D10</f>
        <v>2024/25</v>
      </c>
      <c r="E6" s="101">
        <f>data!C54</f>
        <v>0.499</v>
      </c>
      <c r="F6" s="102"/>
      <c r="G6" s="101">
        <f>E6</f>
        <v>0.499</v>
      </c>
      <c r="H6" s="102"/>
      <c r="I6" s="101">
        <f>data!F34</f>
        <v>4.7000000000000042E-2</v>
      </c>
      <c r="J6" s="102"/>
      <c r="K6" s="103">
        <f>(data!D54-1)*100</f>
        <v>0</v>
      </c>
      <c r="L6" s="103">
        <f>K6</f>
        <v>0</v>
      </c>
      <c r="M6" s="104" t="str">
        <f>IF(update!F7&lt;&gt;"n","y","n")</f>
        <v>n</v>
      </c>
      <c r="N6" s="97"/>
      <c r="O6" s="87"/>
      <c r="P6" s="87"/>
      <c r="Q6" s="87"/>
      <c r="R6" s="87"/>
      <c r="S6" s="87"/>
      <c r="T6" s="87"/>
      <c r="U6" s="87"/>
      <c r="V6" s="87"/>
      <c r="W6" s="87"/>
      <c r="X6" s="87"/>
      <c r="Y6" s="87"/>
      <c r="Z6" s="87"/>
      <c r="AA6" s="87"/>
      <c r="AB6" s="87"/>
      <c r="AC6" s="87"/>
      <c r="AD6" s="87"/>
      <c r="AE6" s="87"/>
      <c r="AF6" s="87"/>
    </row>
    <row r="7" spans="1:32" ht="13" x14ac:dyDescent="0.3">
      <c r="A7" s="87"/>
      <c r="B7" s="87"/>
      <c r="C7" s="87"/>
      <c r="D7" s="100" t="str">
        <f>text!D11</f>
        <v>2025/26</v>
      </c>
      <c r="E7" s="101">
        <f>data!C55</f>
        <v>0.499</v>
      </c>
      <c r="F7" s="102"/>
      <c r="G7" s="101">
        <f>E7</f>
        <v>0.499</v>
      </c>
      <c r="H7" s="102"/>
      <c r="I7" s="101">
        <f>data!F35</f>
        <v>5.600000000000005E-2</v>
      </c>
      <c r="J7" s="102"/>
      <c r="K7" s="103">
        <f>(data!D55-1)*100</f>
        <v>0</v>
      </c>
      <c r="L7" s="103">
        <f>K7</f>
        <v>0</v>
      </c>
      <c r="M7" s="104" t="str">
        <f>IF(update!F8&lt;&gt;"n","y","n")</f>
        <v>n</v>
      </c>
      <c r="N7" s="97"/>
      <c r="O7" s="87"/>
      <c r="P7" s="87"/>
      <c r="Q7" s="87"/>
      <c r="R7" s="87"/>
      <c r="S7" s="87"/>
      <c r="T7" s="87"/>
      <c r="U7" s="87"/>
      <c r="V7" s="87"/>
      <c r="W7" s="87"/>
      <c r="X7" s="87"/>
      <c r="Y7" s="87"/>
      <c r="Z7" s="87"/>
      <c r="AA7" s="87"/>
      <c r="AB7" s="87"/>
      <c r="AC7" s="87"/>
      <c r="AD7" s="87"/>
      <c r="AE7" s="87"/>
      <c r="AF7" s="87"/>
    </row>
    <row r="8" spans="1:32" ht="13" x14ac:dyDescent="0.3">
      <c r="A8" s="87"/>
      <c r="B8" s="87"/>
      <c r="C8" s="87"/>
      <c r="D8" s="100"/>
      <c r="E8" s="1716"/>
      <c r="F8" s="1717"/>
      <c r="G8" s="1716"/>
      <c r="H8" s="1717"/>
      <c r="I8" s="1716"/>
      <c r="J8" s="1717"/>
      <c r="K8" s="1718"/>
      <c r="L8" s="1718"/>
      <c r="M8" s="1717"/>
      <c r="N8" s="97"/>
      <c r="O8" s="87"/>
      <c r="P8" s="87"/>
      <c r="Q8" s="87"/>
      <c r="R8" s="87"/>
      <c r="S8" s="87"/>
      <c r="T8" s="87"/>
      <c r="U8" s="87"/>
      <c r="V8" s="87"/>
      <c r="W8" s="87"/>
      <c r="X8" s="87"/>
      <c r="Y8" s="87"/>
      <c r="Z8" s="87"/>
      <c r="AA8" s="87"/>
      <c r="AB8" s="87"/>
      <c r="AC8" s="87"/>
      <c r="AD8" s="87"/>
      <c r="AE8" s="87"/>
      <c r="AF8" s="87"/>
    </row>
    <row r="9" spans="1:32" ht="13" x14ac:dyDescent="0.3">
      <c r="A9" s="87"/>
      <c r="B9" s="87"/>
      <c r="C9" s="87"/>
      <c r="D9" s="100"/>
      <c r="E9" s="1716"/>
      <c r="F9" s="1717"/>
      <c r="G9" s="1716"/>
      <c r="H9" s="1717"/>
      <c r="I9" s="1716"/>
      <c r="J9" s="1717"/>
      <c r="K9" s="1718"/>
      <c r="L9" s="1718"/>
      <c r="M9" s="1717"/>
      <c r="N9" s="97"/>
      <c r="O9" s="87"/>
      <c r="P9" s="87"/>
      <c r="Q9" s="87"/>
      <c r="R9" s="87"/>
      <c r="S9" s="87"/>
      <c r="T9" s="87"/>
      <c r="U9" s="87"/>
      <c r="V9" s="87"/>
      <c r="W9" s="87"/>
      <c r="X9" s="87"/>
      <c r="Y9" s="87"/>
      <c r="Z9" s="87"/>
      <c r="AA9" s="87"/>
      <c r="AB9" s="87"/>
      <c r="AC9" s="87"/>
      <c r="AD9" s="87"/>
      <c r="AE9" s="87"/>
      <c r="AF9" s="87"/>
    </row>
    <row r="10" spans="1:32" ht="13" thickBot="1" x14ac:dyDescent="0.3">
      <c r="A10" s="87"/>
      <c r="B10" s="87"/>
      <c r="C10" s="87"/>
      <c r="D10" s="107"/>
      <c r="E10" s="108"/>
      <c r="F10" s="108"/>
      <c r="G10" s="108"/>
      <c r="H10" s="108"/>
      <c r="I10" s="108"/>
      <c r="J10" s="108"/>
      <c r="K10" s="108"/>
      <c r="L10" s="108"/>
      <c r="M10" s="108"/>
      <c r="N10" s="109"/>
      <c r="O10" s="87"/>
      <c r="P10" s="87"/>
      <c r="Q10" s="87"/>
      <c r="R10" s="87"/>
      <c r="S10" s="87"/>
      <c r="T10" s="87"/>
      <c r="U10" s="87"/>
      <c r="V10" s="87"/>
      <c r="W10" s="87"/>
      <c r="X10" s="87"/>
      <c r="Y10" s="87"/>
      <c r="Z10" s="87"/>
      <c r="AA10" s="87"/>
      <c r="AB10" s="87"/>
      <c r="AC10" s="87"/>
      <c r="AD10" s="87"/>
      <c r="AE10" s="87"/>
      <c r="AF10" s="87"/>
    </row>
    <row r="11" spans="1:32" ht="12.75" customHeight="1" thickBot="1" x14ac:dyDescent="0.3">
      <c r="A11" s="87"/>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row>
    <row r="12" spans="1:32" ht="13" x14ac:dyDescent="0.3">
      <c r="A12" s="87"/>
      <c r="B12" s="87"/>
      <c r="C12" s="87"/>
      <c r="D12" s="90" t="s">
        <v>773</v>
      </c>
      <c r="E12" s="91"/>
      <c r="F12" s="91"/>
      <c r="G12" s="91"/>
      <c r="H12" s="91"/>
      <c r="I12" s="91"/>
      <c r="J12" s="91"/>
      <c r="K12" s="91"/>
      <c r="L12" s="91"/>
      <c r="M12" s="91"/>
      <c r="N12" s="92"/>
      <c r="O12" s="87"/>
      <c r="P12" s="87"/>
      <c r="Q12" s="87"/>
      <c r="R12" s="87"/>
      <c r="S12" s="87"/>
      <c r="T12" s="87"/>
      <c r="U12" s="87"/>
      <c r="V12" s="87"/>
      <c r="W12" s="87"/>
      <c r="X12" s="87"/>
      <c r="Y12" s="87"/>
      <c r="Z12" s="87"/>
      <c r="AA12" s="87"/>
      <c r="AB12" s="87"/>
      <c r="AC12" s="87"/>
      <c r="AD12" s="87"/>
      <c r="AE12" s="87"/>
      <c r="AF12" s="87"/>
    </row>
    <row r="13" spans="1:32" ht="13" x14ac:dyDescent="0.3">
      <c r="A13" s="87"/>
      <c r="B13" s="87"/>
      <c r="C13" s="87"/>
      <c r="D13" s="93"/>
      <c r="E13" s="94" t="s">
        <v>774</v>
      </c>
      <c r="F13" s="95"/>
      <c r="G13" s="94" t="s">
        <v>319</v>
      </c>
      <c r="H13" s="96"/>
      <c r="I13" s="94" t="s">
        <v>775</v>
      </c>
      <c r="J13" s="95"/>
      <c r="K13" s="95" t="str">
        <f>I13</f>
        <v>Supplementary Rate</v>
      </c>
      <c r="L13" s="95"/>
      <c r="M13" s="95"/>
      <c r="N13" s="97"/>
      <c r="O13" s="87"/>
      <c r="P13" s="87"/>
      <c r="Q13" s="87"/>
      <c r="R13" s="87"/>
      <c r="S13" s="87"/>
      <c r="T13" s="87"/>
      <c r="U13" s="87"/>
      <c r="V13" s="87"/>
      <c r="W13" s="87"/>
      <c r="X13" s="87"/>
      <c r="Y13" s="87"/>
      <c r="Z13" s="87"/>
      <c r="AA13" s="87"/>
      <c r="AB13" s="87"/>
      <c r="AC13" s="87"/>
      <c r="AD13" s="87"/>
      <c r="AE13" s="87"/>
      <c r="AF13" s="87"/>
    </row>
    <row r="14" spans="1:32" x14ac:dyDescent="0.25">
      <c r="A14" s="87"/>
      <c r="B14" s="87"/>
      <c r="C14" s="87"/>
      <c r="D14" s="98"/>
      <c r="E14" s="99"/>
      <c r="F14" s="99"/>
      <c r="G14" s="99"/>
      <c r="H14" s="99"/>
      <c r="I14" s="2296" t="s">
        <v>2815</v>
      </c>
      <c r="J14" s="99"/>
      <c r="K14" s="2296" t="s">
        <v>319</v>
      </c>
      <c r="L14" s="99"/>
      <c r="M14" s="99"/>
      <c r="N14" s="97"/>
      <c r="O14" s="87"/>
      <c r="P14" s="87"/>
      <c r="Q14" s="87"/>
      <c r="R14" s="87"/>
      <c r="S14" s="87"/>
      <c r="T14" s="87"/>
      <c r="U14" s="87"/>
      <c r="V14" s="87"/>
      <c r="W14" s="87"/>
      <c r="X14" s="87"/>
      <c r="Y14" s="87"/>
      <c r="Z14" s="87"/>
      <c r="AA14" s="87"/>
      <c r="AB14" s="87"/>
      <c r="AC14" s="87"/>
      <c r="AD14" s="87"/>
      <c r="AE14" s="87"/>
      <c r="AF14" s="87"/>
    </row>
    <row r="15" spans="1:32" ht="13" x14ac:dyDescent="0.3">
      <c r="A15" s="87"/>
      <c r="B15" s="87"/>
      <c r="C15" s="87"/>
      <c r="D15" s="100" t="str">
        <f>D5</f>
        <v>2023/24</v>
      </c>
      <c r="E15" s="101"/>
      <c r="F15" s="102"/>
      <c r="G15" s="101"/>
      <c r="H15" s="102"/>
      <c r="I15" s="101">
        <f>data!E53</f>
        <v>1.4E-2</v>
      </c>
      <c r="J15" s="102"/>
      <c r="K15" s="101">
        <f>data!K53</f>
        <v>1.4E-2</v>
      </c>
      <c r="L15" s="110"/>
      <c r="M15" s="99"/>
      <c r="N15" s="97"/>
      <c r="O15" s="87"/>
      <c r="P15" s="87"/>
      <c r="Q15" s="87"/>
      <c r="R15" s="87"/>
      <c r="S15" s="87"/>
      <c r="T15" s="87"/>
      <c r="U15" s="87"/>
      <c r="V15" s="87"/>
      <c r="W15" s="87"/>
      <c r="X15" s="87"/>
      <c r="Y15" s="87"/>
      <c r="Z15" s="87"/>
      <c r="AA15" s="87"/>
      <c r="AB15" s="87"/>
      <c r="AC15" s="87"/>
      <c r="AD15" s="87"/>
      <c r="AE15" s="87"/>
      <c r="AF15" s="87"/>
    </row>
    <row r="16" spans="1:32" ht="13" x14ac:dyDescent="0.3">
      <c r="A16" s="87"/>
      <c r="B16" s="87"/>
      <c r="C16" s="87"/>
      <c r="D16" s="100" t="str">
        <f>D6</f>
        <v>2024/25</v>
      </c>
      <c r="E16" s="101"/>
      <c r="F16" s="102"/>
      <c r="G16" s="101"/>
      <c r="H16" s="102"/>
      <c r="I16" s="101">
        <f>data!E54</f>
        <v>1.8000000000000002E-2</v>
      </c>
      <c r="J16" s="102"/>
      <c r="K16" s="101">
        <f>data!K54</f>
        <v>1.6E-2</v>
      </c>
      <c r="L16" s="110"/>
      <c r="M16" s="99"/>
      <c r="N16" s="97"/>
      <c r="O16" s="87"/>
      <c r="P16" s="87"/>
      <c r="Q16" s="87"/>
      <c r="R16" s="87"/>
      <c r="S16" s="87"/>
      <c r="T16" s="87"/>
      <c r="U16" s="87"/>
      <c r="V16" s="87"/>
      <c r="W16" s="87"/>
      <c r="X16" s="87"/>
      <c r="Y16" s="87"/>
      <c r="Z16" s="87"/>
      <c r="AA16" s="87"/>
      <c r="AB16" s="87"/>
      <c r="AC16" s="87"/>
      <c r="AD16" s="87"/>
      <c r="AE16" s="87"/>
      <c r="AF16" s="87"/>
    </row>
    <row r="17" spans="1:32" ht="13" x14ac:dyDescent="0.3">
      <c r="A17" s="87"/>
      <c r="B17" s="87"/>
      <c r="C17" s="87"/>
      <c r="D17" s="100" t="str">
        <f>D7</f>
        <v>2025/26</v>
      </c>
      <c r="E17" s="101"/>
      <c r="F17" s="102"/>
      <c r="G17" s="101"/>
      <c r="H17" s="102"/>
      <c r="I17" s="101">
        <f>data!E55</f>
        <v>2.1999999999999999E-2</v>
      </c>
      <c r="J17" s="102"/>
      <c r="K17" s="101">
        <f>data!K55</f>
        <v>0.02</v>
      </c>
      <c r="L17" s="110"/>
      <c r="M17" s="99"/>
      <c r="N17" s="97"/>
      <c r="O17" s="87"/>
      <c r="P17" s="87"/>
      <c r="Q17" s="87"/>
      <c r="R17" s="87"/>
      <c r="S17" s="87"/>
      <c r="T17" s="87"/>
      <c r="U17" s="87"/>
      <c r="V17" s="87"/>
      <c r="W17" s="87"/>
      <c r="X17" s="87"/>
      <c r="Y17" s="87"/>
      <c r="Z17" s="87"/>
      <c r="AA17" s="87"/>
      <c r="AB17" s="87"/>
      <c r="AC17" s="87"/>
      <c r="AD17" s="87"/>
      <c r="AE17" s="87"/>
      <c r="AF17" s="87"/>
    </row>
    <row r="18" spans="1:32" ht="13" x14ac:dyDescent="0.3">
      <c r="A18" s="87"/>
      <c r="B18" s="87"/>
      <c r="C18" s="87"/>
      <c r="D18" s="100"/>
      <c r="E18" s="1716"/>
      <c r="F18" s="1717"/>
      <c r="G18" s="1716"/>
      <c r="H18" s="1717"/>
      <c r="I18" s="1716"/>
      <c r="J18" s="1716"/>
      <c r="K18" s="1716"/>
      <c r="L18" s="110"/>
      <c r="M18" s="99"/>
      <c r="N18" s="97"/>
      <c r="O18" s="87"/>
      <c r="P18" s="87"/>
      <c r="Q18" s="87"/>
      <c r="R18" s="87"/>
      <c r="S18" s="87"/>
      <c r="T18" s="87"/>
      <c r="U18" s="87"/>
      <c r="V18" s="87"/>
      <c r="W18" s="87"/>
      <c r="X18" s="87"/>
      <c r="Y18" s="87"/>
      <c r="Z18" s="87"/>
      <c r="AA18" s="87"/>
      <c r="AB18" s="87"/>
      <c r="AC18" s="87"/>
      <c r="AD18" s="87"/>
      <c r="AE18" s="87"/>
      <c r="AF18" s="87"/>
    </row>
    <row r="19" spans="1:32" ht="13" x14ac:dyDescent="0.3">
      <c r="A19" s="87"/>
      <c r="B19" s="87"/>
      <c r="C19" s="87"/>
      <c r="D19" s="100"/>
      <c r="E19" s="105"/>
      <c r="F19" s="106"/>
      <c r="G19" s="105"/>
      <c r="H19" s="106"/>
      <c r="I19" s="105"/>
      <c r="J19" s="105"/>
      <c r="K19" s="105"/>
      <c r="L19" s="110"/>
      <c r="M19" s="99"/>
      <c r="N19" s="97"/>
      <c r="O19" s="87"/>
      <c r="P19" s="87"/>
      <c r="Q19" s="87"/>
      <c r="R19" s="87"/>
      <c r="S19" s="87"/>
      <c r="T19" s="87"/>
      <c r="U19" s="87"/>
      <c r="V19" s="87"/>
      <c r="W19" s="87"/>
      <c r="X19" s="87"/>
      <c r="Y19" s="87"/>
      <c r="Z19" s="87"/>
      <c r="AA19" s="87"/>
      <c r="AB19" s="87"/>
      <c r="AC19" s="87"/>
      <c r="AD19" s="87"/>
      <c r="AE19" s="87"/>
      <c r="AF19" s="87"/>
    </row>
    <row r="20" spans="1:32" ht="13" thickBot="1" x14ac:dyDescent="0.3">
      <c r="A20" s="87"/>
      <c r="B20" s="87"/>
      <c r="C20" s="87"/>
      <c r="D20" s="107"/>
      <c r="E20" s="108"/>
      <c r="F20" s="108"/>
      <c r="G20" s="108"/>
      <c r="H20" s="108"/>
      <c r="I20" s="108"/>
      <c r="J20" s="108"/>
      <c r="K20" s="108"/>
      <c r="L20" s="108"/>
      <c r="M20" s="108"/>
      <c r="N20" s="109"/>
      <c r="O20" s="87"/>
      <c r="P20" s="87"/>
      <c r="Q20" s="87"/>
      <c r="R20" s="87"/>
      <c r="S20" s="87"/>
      <c r="T20" s="87"/>
      <c r="U20" s="87"/>
      <c r="V20" s="87"/>
      <c r="W20" s="87"/>
      <c r="X20" s="87"/>
      <c r="Y20" s="87"/>
      <c r="Z20" s="87"/>
      <c r="AA20" s="87"/>
      <c r="AB20" s="87"/>
      <c r="AC20" s="87"/>
      <c r="AD20" s="87"/>
      <c r="AE20" s="87"/>
      <c r="AF20" s="87"/>
    </row>
    <row r="21" spans="1:32" x14ac:dyDescent="0.25">
      <c r="A21" s="87"/>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row>
    <row r="22" spans="1:32" x14ac:dyDescent="0.25">
      <c r="A22" s="87"/>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row>
    <row r="23" spans="1:32" x14ac:dyDescent="0.25">
      <c r="A23" s="87"/>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row>
    <row r="24" spans="1:32" x14ac:dyDescent="0.25">
      <c r="A24" s="87"/>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row>
    <row r="25" spans="1:32" x14ac:dyDescent="0.25">
      <c r="A25" s="87"/>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row>
    <row r="26" spans="1:32" x14ac:dyDescent="0.25">
      <c r="A26" s="87"/>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row>
    <row r="27" spans="1:32" x14ac:dyDescent="0.25">
      <c r="A27" s="87"/>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row>
    <row r="28" spans="1:32" x14ac:dyDescent="0.25">
      <c r="A28" s="87"/>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row>
    <row r="29" spans="1:32" x14ac:dyDescent="0.25">
      <c r="A29" s="87"/>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row>
    <row r="30" spans="1:32" x14ac:dyDescent="0.25">
      <c r="A30" s="87"/>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row>
    <row r="31" spans="1:32" x14ac:dyDescent="0.25">
      <c r="A31" s="87"/>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row>
    <row r="32" spans="1:32" x14ac:dyDescent="0.25">
      <c r="A32" s="87"/>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row>
    <row r="33" spans="1:32" x14ac:dyDescent="0.25">
      <c r="A33" s="87"/>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row>
    <row r="34" spans="1:32" x14ac:dyDescent="0.25">
      <c r="A34" s="8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row>
    <row r="35" spans="1:32" x14ac:dyDescent="0.25">
      <c r="A35" s="87"/>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row>
    <row r="36" spans="1:32" x14ac:dyDescent="0.25">
      <c r="A36" s="87"/>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row>
    <row r="37" spans="1:32" x14ac:dyDescent="0.25">
      <c r="A37" s="87"/>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row>
    <row r="38" spans="1:32" x14ac:dyDescent="0.25">
      <c r="A38" s="87"/>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row>
    <row r="39" spans="1:32" x14ac:dyDescent="0.25">
      <c r="A39" s="87"/>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row>
    <row r="40" spans="1:32" x14ac:dyDescent="0.25">
      <c r="A40" s="87"/>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row>
    <row r="41" spans="1:32" x14ac:dyDescent="0.25">
      <c r="A41" s="87"/>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row>
    <row r="42" spans="1:32" x14ac:dyDescent="0.25">
      <c r="A42" s="87"/>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row>
    <row r="43" spans="1:32" x14ac:dyDescent="0.25">
      <c r="A43" s="87"/>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row>
    <row r="44" spans="1:32" x14ac:dyDescent="0.25">
      <c r="A44" s="87"/>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row>
    <row r="45" spans="1:32" x14ac:dyDescent="0.25">
      <c r="A45" s="87"/>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row>
    <row r="46" spans="1:32" x14ac:dyDescent="0.25">
      <c r="A46" s="87"/>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row>
    <row r="47" spans="1:32" x14ac:dyDescent="0.25">
      <c r="A47" s="87"/>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row>
    <row r="48" spans="1:32" x14ac:dyDescent="0.25">
      <c r="A48" s="87"/>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row>
    <row r="49" spans="1:32" x14ac:dyDescent="0.25">
      <c r="A49" s="87"/>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row>
  </sheetData>
  <sheetProtection password="BCD8" sheet="1" objects="1" scenarios="1"/>
  <phoneticPr fontId="0" type="noConversion"/>
  <pageMargins left="0.28999999999999998" right="0.34" top="1" bottom="1" header="0.5" footer="0.5"/>
  <pageSetup paperSize="9" orientation="landscape" blackAndWhite="1"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home">
                <anchor moveWithCells="1" sizeWithCells="1">
                  <from>
                    <xdr:col>0</xdr:col>
                    <xdr:colOff>273050</xdr:colOff>
                    <xdr:row>0</xdr:row>
                    <xdr:rowOff>190500</xdr:rowOff>
                  </from>
                  <to>
                    <xdr:col>2</xdr:col>
                    <xdr:colOff>63500</xdr:colOff>
                    <xdr:row>2</xdr:row>
                    <xdr:rowOff>101600</xdr:rowOff>
                  </to>
                </anchor>
              </controlPr>
            </control>
          </mc:Choice>
        </mc:AlternateContent>
        <mc:AlternateContent xmlns:mc="http://schemas.openxmlformats.org/markup-compatibility/2006">
          <mc:Choice Requires="x14">
            <control shapeId="18434" r:id="rId5" name="Button 2">
              <controlPr defaultSize="0" print="0" autoFill="0" autoPict="0" macro="[0]!goto_updates">
                <anchor moveWithCells="1" sizeWithCells="1">
                  <from>
                    <xdr:col>0</xdr:col>
                    <xdr:colOff>266700</xdr:colOff>
                    <xdr:row>2</xdr:row>
                    <xdr:rowOff>139700</xdr:rowOff>
                  </from>
                  <to>
                    <xdr:col>2</xdr:col>
                    <xdr:colOff>44450</xdr:colOff>
                    <xdr:row>6</xdr:row>
                    <xdr:rowOff>69850</xdr:rowOff>
                  </to>
                </anchor>
              </controlPr>
            </control>
          </mc:Choice>
        </mc:AlternateContent>
        <mc:AlternateContent xmlns:mc="http://schemas.openxmlformats.org/markup-compatibility/2006">
          <mc:Choice Requires="x14">
            <control shapeId="18435" r:id="rId6" name="globalbacktobutton">
              <controlPr defaultSize="0" print="0" autoFill="0" autoPict="0" macro="[0]!backto">
                <anchor moveWithCells="1" sizeWithCells="1">
                  <from>
                    <xdr:col>0</xdr:col>
                    <xdr:colOff>355600</xdr:colOff>
                    <xdr:row>7</xdr:row>
                    <xdr:rowOff>69850</xdr:rowOff>
                  </from>
                  <to>
                    <xdr:col>1</xdr:col>
                    <xdr:colOff>577850</xdr:colOff>
                    <xdr:row>10</xdr:row>
                    <xdr:rowOff>12700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E73A9-7405-4781-8AD7-9BD23F2D58A0}">
  <sheetPr codeName="Sheet117"/>
  <dimension ref="A1:V59"/>
  <sheetViews>
    <sheetView showGridLines="0" workbookViewId="0">
      <selection activeCell="G11" sqref="G11"/>
    </sheetView>
  </sheetViews>
  <sheetFormatPr defaultColWidth="9.08984375" defaultRowHeight="12.5" x14ac:dyDescent="0.25"/>
  <cols>
    <col min="1" max="1" width="4" style="30" customWidth="1"/>
    <col min="2" max="2" width="6.90625" style="30" customWidth="1"/>
    <col min="3" max="3" width="2.90625" style="30" customWidth="1"/>
    <col min="4" max="4" width="11.36328125" style="30" customWidth="1"/>
    <col min="5" max="5" width="3.453125" style="30" customWidth="1"/>
    <col min="6" max="6" width="17.453125" style="30" customWidth="1"/>
    <col min="7" max="7" width="27.36328125" style="30" customWidth="1"/>
    <col min="8" max="8" width="42.36328125" style="30" customWidth="1"/>
    <col min="9" max="9" width="3.6328125" style="30" customWidth="1"/>
    <col min="10" max="10" width="3.90625" style="30" customWidth="1"/>
    <col min="11" max="12" width="9.08984375" style="30"/>
    <col min="13" max="13" width="136.453125" style="30" customWidth="1"/>
    <col min="14" max="16384" width="9.08984375" style="30"/>
  </cols>
  <sheetData>
    <row r="1" spans="1:22" x14ac:dyDescent="0.25">
      <c r="A1" s="570"/>
      <c r="B1" s="570"/>
      <c r="C1" s="570"/>
      <c r="D1" s="570"/>
      <c r="E1" s="570"/>
      <c r="F1" s="570"/>
      <c r="G1" s="570"/>
      <c r="H1" s="570"/>
      <c r="I1" s="570"/>
      <c r="J1" s="570"/>
      <c r="K1" s="570"/>
      <c r="L1" s="570"/>
      <c r="M1" s="570"/>
      <c r="V1" s="571" t="s">
        <v>449</v>
      </c>
    </row>
    <row r="2" spans="1:22" x14ac:dyDescent="0.25">
      <c r="A2" s="570"/>
      <c r="B2" s="570"/>
      <c r="C2" s="570"/>
      <c r="D2" s="570"/>
      <c r="E2" s="570"/>
      <c r="F2" s="570"/>
      <c r="G2" s="570"/>
      <c r="H2" s="570"/>
      <c r="I2" s="570"/>
      <c r="J2" s="570"/>
      <c r="K2" s="570"/>
      <c r="L2" s="570"/>
      <c r="M2" s="570"/>
    </row>
    <row r="3" spans="1:22" x14ac:dyDescent="0.25">
      <c r="A3" s="570"/>
      <c r="B3" s="570"/>
      <c r="C3" s="572"/>
      <c r="D3" s="572"/>
      <c r="E3" s="572"/>
      <c r="F3" s="572"/>
      <c r="G3" s="572"/>
      <c r="H3" s="572"/>
      <c r="I3" s="572"/>
      <c r="J3" s="572"/>
      <c r="K3" s="570"/>
      <c r="L3" s="570"/>
      <c r="M3" s="570"/>
    </row>
    <row r="4" spans="1:22" x14ac:dyDescent="0.25">
      <c r="A4" s="570"/>
      <c r="B4" s="570"/>
      <c r="C4" s="572"/>
      <c r="J4" s="572"/>
      <c r="K4" s="570"/>
      <c r="L4" s="570"/>
      <c r="M4" s="570"/>
    </row>
    <row r="5" spans="1:22" x14ac:dyDescent="0.25">
      <c r="A5" s="570"/>
      <c r="B5" s="570"/>
      <c r="C5" s="572"/>
      <c r="J5" s="572"/>
      <c r="K5" s="570"/>
      <c r="L5" s="570"/>
      <c r="M5" s="570"/>
    </row>
    <row r="6" spans="1:22" x14ac:dyDescent="0.25">
      <c r="A6" s="570"/>
      <c r="B6" s="570"/>
      <c r="C6" s="572"/>
      <c r="J6" s="572"/>
      <c r="K6" s="570"/>
      <c r="L6" s="570"/>
      <c r="M6" s="570"/>
    </row>
    <row r="7" spans="1:22" ht="13" x14ac:dyDescent="0.25">
      <c r="A7" s="570"/>
      <c r="B7" s="570"/>
      <c r="C7" s="572"/>
      <c r="F7" s="573" t="s">
        <v>223</v>
      </c>
      <c r="G7" s="574"/>
      <c r="H7" s="575"/>
      <c r="J7" s="572"/>
      <c r="K7" s="570"/>
      <c r="L7" s="570"/>
      <c r="M7" s="570"/>
    </row>
    <row r="8" spans="1:22" ht="13" x14ac:dyDescent="0.25">
      <c r="A8" s="570"/>
      <c r="B8" s="570"/>
      <c r="C8" s="572"/>
      <c r="F8" s="573" t="s">
        <v>224</v>
      </c>
      <c r="G8" s="576"/>
      <c r="H8" s="575"/>
      <c r="J8" s="572"/>
      <c r="K8" s="570"/>
      <c r="L8" s="570"/>
      <c r="M8" s="570"/>
    </row>
    <row r="9" spans="1:22" ht="13" x14ac:dyDescent="0.25">
      <c r="A9" s="570"/>
      <c r="B9" s="570"/>
      <c r="C9" s="572"/>
      <c r="F9" s="573" t="s">
        <v>224</v>
      </c>
      <c r="G9" s="574"/>
      <c r="H9" s="575"/>
      <c r="J9" s="572"/>
      <c r="K9" s="570"/>
      <c r="L9" s="570"/>
      <c r="M9" s="570"/>
    </row>
    <row r="10" spans="1:22" ht="13" x14ac:dyDescent="0.25">
      <c r="A10" s="570"/>
      <c r="B10" s="570"/>
      <c r="C10" s="572"/>
      <c r="F10" s="573" t="s">
        <v>224</v>
      </c>
      <c r="G10" s="574"/>
      <c r="H10" s="575"/>
      <c r="J10" s="572"/>
      <c r="K10" s="570"/>
      <c r="L10" s="570"/>
      <c r="M10" s="570"/>
    </row>
    <row r="11" spans="1:22" ht="13" x14ac:dyDescent="0.25">
      <c r="A11" s="570"/>
      <c r="B11" s="570"/>
      <c r="C11" s="572"/>
      <c r="F11" s="573" t="s">
        <v>225</v>
      </c>
      <c r="G11" s="576" t="s">
        <v>226</v>
      </c>
      <c r="H11" s="575" t="s">
        <v>227</v>
      </c>
      <c r="J11" s="572"/>
      <c r="K11" s="570"/>
      <c r="L11" s="570"/>
      <c r="M11" s="570"/>
    </row>
    <row r="12" spans="1:22" ht="13" x14ac:dyDescent="0.25">
      <c r="A12" s="570"/>
      <c r="B12" s="570"/>
      <c r="C12" s="572"/>
      <c r="F12" s="573" t="s">
        <v>228</v>
      </c>
      <c r="G12" s="576" t="s">
        <v>229</v>
      </c>
      <c r="H12" s="575" t="s">
        <v>230</v>
      </c>
      <c r="J12" s="572"/>
      <c r="K12" s="570"/>
      <c r="L12" s="570"/>
      <c r="M12" s="570"/>
    </row>
    <row r="13" spans="1:22" ht="13" x14ac:dyDescent="0.25">
      <c r="A13" s="570"/>
      <c r="B13" s="570"/>
      <c r="C13" s="572"/>
      <c r="F13" s="573" t="s">
        <v>231</v>
      </c>
      <c r="G13" s="576" t="s">
        <v>232</v>
      </c>
      <c r="H13" s="575" t="s">
        <v>233</v>
      </c>
      <c r="J13" s="572"/>
      <c r="K13" s="570"/>
      <c r="L13" s="570"/>
      <c r="M13" s="570"/>
    </row>
    <row r="14" spans="1:22" ht="39.75" customHeight="1" x14ac:dyDescent="0.25">
      <c r="A14" s="570"/>
      <c r="B14" s="570"/>
      <c r="C14" s="572"/>
      <c r="F14" s="573" t="s">
        <v>234</v>
      </c>
      <c r="G14" s="577" t="s">
        <v>235</v>
      </c>
      <c r="H14" s="575"/>
      <c r="J14" s="572"/>
      <c r="K14" s="570"/>
      <c r="L14" s="570"/>
      <c r="M14" s="570"/>
    </row>
    <row r="15" spans="1:22" ht="13" x14ac:dyDescent="0.25">
      <c r="A15" s="570"/>
      <c r="B15" s="570"/>
      <c r="C15" s="572"/>
      <c r="F15" s="573" t="s">
        <v>236</v>
      </c>
      <c r="G15" s="576"/>
      <c r="H15" s="575" t="s">
        <v>240</v>
      </c>
      <c r="J15" s="572"/>
      <c r="K15" s="570"/>
      <c r="L15" s="570"/>
      <c r="M15" s="570"/>
    </row>
    <row r="16" spans="1:22" ht="13" x14ac:dyDescent="0.25">
      <c r="A16" s="570"/>
      <c r="B16" s="570"/>
      <c r="C16" s="572"/>
      <c r="F16" s="573" t="s">
        <v>241</v>
      </c>
      <c r="G16" s="576" t="s">
        <v>242</v>
      </c>
      <c r="H16" s="575" t="s">
        <v>243</v>
      </c>
      <c r="J16" s="572"/>
      <c r="K16" s="570"/>
      <c r="L16" s="570"/>
      <c r="M16" s="570"/>
    </row>
    <row r="17" spans="1:13" ht="13" x14ac:dyDescent="0.25">
      <c r="A17" s="570"/>
      <c r="B17" s="570"/>
      <c r="C17" s="572"/>
      <c r="F17" s="573" t="s">
        <v>244</v>
      </c>
      <c r="G17" s="576"/>
      <c r="H17" s="575" t="s">
        <v>245</v>
      </c>
      <c r="J17" s="572"/>
      <c r="K17" s="570"/>
      <c r="L17" s="570"/>
      <c r="M17" s="570"/>
    </row>
    <row r="18" spans="1:13" x14ac:dyDescent="0.25">
      <c r="A18" s="570"/>
      <c r="B18" s="570"/>
      <c r="C18" s="572"/>
      <c r="J18" s="572"/>
      <c r="K18" s="570"/>
      <c r="L18" s="570"/>
      <c r="M18" s="570"/>
    </row>
    <row r="19" spans="1:13" x14ac:dyDescent="0.25">
      <c r="A19" s="570"/>
      <c r="B19" s="570"/>
      <c r="C19" s="572"/>
      <c r="J19" s="572"/>
      <c r="K19" s="570"/>
      <c r="L19" s="570"/>
      <c r="M19" s="570"/>
    </row>
    <row r="20" spans="1:13" x14ac:dyDescent="0.25">
      <c r="A20" s="570"/>
      <c r="B20" s="570"/>
      <c r="C20" s="572"/>
      <c r="D20" s="572"/>
      <c r="E20" s="572"/>
      <c r="F20" s="572"/>
      <c r="G20" s="572"/>
      <c r="H20" s="572"/>
      <c r="I20" s="572"/>
      <c r="J20" s="572"/>
      <c r="K20" s="570"/>
      <c r="L20" s="570"/>
      <c r="M20" s="570"/>
    </row>
    <row r="21" spans="1:13" x14ac:dyDescent="0.25">
      <c r="A21" s="570"/>
      <c r="B21" s="570"/>
      <c r="C21" s="572"/>
      <c r="D21" s="572"/>
      <c r="E21" s="572"/>
      <c r="F21" s="572"/>
      <c r="G21" s="572"/>
      <c r="H21" s="572"/>
      <c r="I21" s="572"/>
      <c r="J21" s="572"/>
      <c r="K21" s="570"/>
      <c r="L21" s="570"/>
      <c r="M21" s="570"/>
    </row>
    <row r="22" spans="1:13" x14ac:dyDescent="0.25">
      <c r="A22" s="570"/>
      <c r="B22" s="570"/>
      <c r="C22" s="570"/>
      <c r="D22" s="570"/>
      <c r="E22" s="570"/>
      <c r="F22" s="570"/>
      <c r="G22" s="570"/>
      <c r="H22" s="570"/>
      <c r="I22" s="570"/>
      <c r="J22" s="570"/>
      <c r="K22" s="570"/>
      <c r="L22" s="570"/>
      <c r="M22" s="570"/>
    </row>
    <row r="23" spans="1:13" x14ac:dyDescent="0.25">
      <c r="A23" s="570"/>
      <c r="B23" s="570"/>
      <c r="C23" s="570"/>
      <c r="D23" s="570"/>
      <c r="E23" s="570"/>
      <c r="F23" s="570"/>
      <c r="G23" s="570"/>
      <c r="H23" s="570"/>
      <c r="I23" s="570"/>
      <c r="J23" s="570"/>
      <c r="K23" s="570"/>
      <c r="L23" s="570"/>
      <c r="M23" s="570"/>
    </row>
    <row r="24" spans="1:13" ht="215.25" customHeight="1" x14ac:dyDescent="0.25">
      <c r="A24" s="570"/>
      <c r="B24" s="570"/>
      <c r="C24" s="570"/>
      <c r="D24" s="570"/>
      <c r="E24" s="570"/>
      <c r="F24" s="570"/>
      <c r="G24" s="570"/>
      <c r="H24" s="570"/>
      <c r="I24" s="570"/>
      <c r="J24" s="570"/>
      <c r="K24" s="570"/>
      <c r="L24" s="570"/>
      <c r="M24" s="570"/>
    </row>
    <row r="25" spans="1:13" x14ac:dyDescent="0.25">
      <c r="A25" s="570"/>
      <c r="B25" s="570"/>
      <c r="C25" s="570"/>
      <c r="D25" s="570"/>
      <c r="E25" s="570"/>
      <c r="F25" s="570"/>
      <c r="G25" s="570"/>
      <c r="H25" s="570"/>
      <c r="I25" s="570"/>
      <c r="J25" s="570"/>
      <c r="K25" s="570"/>
      <c r="L25" s="570"/>
      <c r="M25" s="570"/>
    </row>
    <row r="26" spans="1:13" x14ac:dyDescent="0.25">
      <c r="A26" s="570"/>
      <c r="B26" s="570"/>
      <c r="C26" s="570"/>
      <c r="D26" s="570"/>
      <c r="E26" s="570"/>
      <c r="F26" s="570"/>
      <c r="G26" s="570"/>
      <c r="H26" s="570"/>
      <c r="I26" s="570"/>
      <c r="J26" s="570"/>
      <c r="K26" s="570"/>
      <c r="L26" s="570"/>
      <c r="M26" s="570"/>
    </row>
    <row r="27" spans="1:13" x14ac:dyDescent="0.25">
      <c r="A27" s="570"/>
      <c r="B27" s="570"/>
      <c r="C27" s="570"/>
      <c r="D27" s="570"/>
      <c r="E27" s="570"/>
      <c r="F27" s="570"/>
      <c r="G27" s="570"/>
      <c r="H27" s="570"/>
      <c r="I27" s="570"/>
      <c r="J27" s="570"/>
      <c r="K27" s="570"/>
      <c r="L27" s="570"/>
      <c r="M27" s="570"/>
    </row>
    <row r="28" spans="1:13" x14ac:dyDescent="0.25">
      <c r="A28" s="570"/>
      <c r="B28" s="570"/>
      <c r="C28" s="570"/>
      <c r="D28" s="570"/>
      <c r="E28" s="570"/>
      <c r="F28" s="570"/>
      <c r="G28" s="570"/>
      <c r="H28" s="570"/>
      <c r="I28" s="570"/>
      <c r="J28" s="570"/>
      <c r="K28" s="570"/>
      <c r="L28" s="570"/>
      <c r="M28" s="570"/>
    </row>
    <row r="29" spans="1:13" x14ac:dyDescent="0.25">
      <c r="A29" s="570"/>
      <c r="B29" s="570"/>
      <c r="C29" s="570"/>
      <c r="D29" s="570"/>
      <c r="E29" s="570"/>
      <c r="F29" s="570"/>
      <c r="G29" s="570"/>
      <c r="H29" s="570"/>
      <c r="I29" s="570"/>
      <c r="J29" s="570"/>
      <c r="K29" s="570"/>
      <c r="L29" s="570"/>
      <c r="M29" s="570"/>
    </row>
    <row r="30" spans="1:13" x14ac:dyDescent="0.25">
      <c r="A30" s="570"/>
      <c r="B30" s="570"/>
      <c r="C30" s="570"/>
      <c r="D30" s="570"/>
      <c r="E30" s="570"/>
      <c r="F30" s="570"/>
      <c r="G30" s="570"/>
      <c r="H30" s="570"/>
      <c r="I30" s="570"/>
      <c r="J30" s="570"/>
      <c r="K30" s="570"/>
      <c r="L30" s="570"/>
      <c r="M30" s="570"/>
    </row>
    <row r="31" spans="1:13" x14ac:dyDescent="0.25">
      <c r="A31" s="570"/>
      <c r="B31" s="570"/>
      <c r="C31" s="570"/>
      <c r="D31" s="570"/>
      <c r="E31" s="570"/>
      <c r="F31" s="570"/>
      <c r="G31" s="570"/>
      <c r="H31" s="570"/>
      <c r="I31" s="570"/>
      <c r="J31" s="570"/>
      <c r="K31" s="570"/>
      <c r="L31" s="570"/>
      <c r="M31" s="570"/>
    </row>
    <row r="32" spans="1:13" x14ac:dyDescent="0.25">
      <c r="A32" s="570"/>
      <c r="B32" s="570"/>
      <c r="C32" s="570"/>
      <c r="D32" s="570"/>
      <c r="E32" s="570"/>
      <c r="F32" s="570"/>
      <c r="G32" s="570"/>
      <c r="H32" s="570"/>
      <c r="I32" s="570"/>
      <c r="J32" s="570"/>
      <c r="K32" s="570"/>
      <c r="L32" s="570"/>
      <c r="M32" s="570"/>
    </row>
    <row r="33" spans="1:13" x14ac:dyDescent="0.25">
      <c r="A33" s="570"/>
      <c r="B33" s="570"/>
      <c r="C33" s="570"/>
      <c r="D33" s="570"/>
      <c r="E33" s="570"/>
      <c r="F33" s="570"/>
      <c r="G33" s="570"/>
      <c r="H33" s="570"/>
      <c r="I33" s="570"/>
      <c r="J33" s="570"/>
      <c r="K33" s="570"/>
      <c r="L33" s="570"/>
      <c r="M33" s="570"/>
    </row>
    <row r="34" spans="1:13" x14ac:dyDescent="0.25">
      <c r="A34" s="570"/>
      <c r="B34" s="570"/>
      <c r="C34" s="570"/>
      <c r="D34" s="570"/>
      <c r="E34" s="570"/>
      <c r="F34" s="570"/>
      <c r="G34" s="570"/>
      <c r="H34" s="570"/>
      <c r="I34" s="570"/>
      <c r="J34" s="570"/>
      <c r="K34" s="570"/>
      <c r="L34" s="570"/>
      <c r="M34" s="570"/>
    </row>
    <row r="35" spans="1:13" x14ac:dyDescent="0.25">
      <c r="A35" s="570"/>
      <c r="B35" s="570"/>
      <c r="C35" s="570"/>
      <c r="D35" s="570"/>
      <c r="E35" s="570"/>
      <c r="F35" s="570"/>
      <c r="G35" s="570"/>
      <c r="H35" s="570"/>
      <c r="I35" s="570"/>
      <c r="J35" s="570"/>
      <c r="K35" s="570"/>
      <c r="L35" s="570"/>
      <c r="M35" s="570"/>
    </row>
    <row r="36" spans="1:13" x14ac:dyDescent="0.25">
      <c r="A36" s="570"/>
      <c r="B36" s="570"/>
      <c r="C36" s="570"/>
      <c r="D36" s="570"/>
      <c r="E36" s="570"/>
      <c r="F36" s="570"/>
      <c r="G36" s="570"/>
      <c r="H36" s="570"/>
      <c r="I36" s="570"/>
      <c r="J36" s="570"/>
      <c r="K36" s="570"/>
      <c r="L36" s="570"/>
      <c r="M36" s="570"/>
    </row>
    <row r="37" spans="1:13" x14ac:dyDescent="0.25">
      <c r="A37" s="570"/>
      <c r="B37" s="570"/>
      <c r="C37" s="570"/>
      <c r="D37" s="570"/>
      <c r="E37" s="570"/>
      <c r="F37" s="570"/>
      <c r="G37" s="570"/>
      <c r="H37" s="570"/>
      <c r="I37" s="570"/>
      <c r="J37" s="570"/>
      <c r="K37" s="570"/>
      <c r="L37" s="570"/>
      <c r="M37" s="570"/>
    </row>
    <row r="38" spans="1:13" x14ac:dyDescent="0.25">
      <c r="A38" s="570"/>
      <c r="B38" s="570"/>
      <c r="C38" s="570"/>
      <c r="D38" s="570"/>
      <c r="E38" s="570"/>
      <c r="F38" s="570"/>
      <c r="G38" s="570"/>
      <c r="H38" s="570"/>
      <c r="I38" s="570"/>
      <c r="J38" s="570"/>
      <c r="K38" s="570"/>
      <c r="L38" s="570"/>
      <c r="M38" s="570"/>
    </row>
    <row r="39" spans="1:13" x14ac:dyDescent="0.25">
      <c r="A39" s="570"/>
      <c r="B39" s="570"/>
      <c r="C39" s="570"/>
      <c r="D39" s="570"/>
      <c r="E39" s="570"/>
      <c r="F39" s="570"/>
      <c r="G39" s="570"/>
      <c r="H39" s="570"/>
      <c r="I39" s="570"/>
      <c r="J39" s="570"/>
      <c r="K39" s="570"/>
      <c r="L39" s="570"/>
      <c r="M39" s="570"/>
    </row>
    <row r="40" spans="1:13" x14ac:dyDescent="0.25">
      <c r="A40" s="570"/>
      <c r="B40" s="570"/>
      <c r="C40" s="570"/>
      <c r="D40" s="570"/>
      <c r="E40" s="570"/>
      <c r="F40" s="570"/>
      <c r="G40" s="570"/>
      <c r="H40" s="570"/>
      <c r="I40" s="570"/>
      <c r="J40" s="570"/>
      <c r="K40" s="570"/>
      <c r="L40" s="570"/>
      <c r="M40" s="570"/>
    </row>
    <row r="41" spans="1:13" x14ac:dyDescent="0.25">
      <c r="A41" s="570"/>
      <c r="B41" s="570"/>
      <c r="C41" s="570"/>
      <c r="D41" s="570"/>
      <c r="E41" s="570"/>
      <c r="F41" s="570"/>
      <c r="G41" s="570"/>
      <c r="H41" s="570"/>
      <c r="I41" s="570"/>
      <c r="J41" s="570"/>
      <c r="K41" s="570"/>
      <c r="L41" s="570"/>
      <c r="M41" s="570"/>
    </row>
    <row r="42" spans="1:13" x14ac:dyDescent="0.25">
      <c r="A42" s="570"/>
      <c r="B42" s="570"/>
      <c r="C42" s="570"/>
      <c r="D42" s="570"/>
      <c r="E42" s="570"/>
      <c r="F42" s="570"/>
      <c r="G42" s="570"/>
      <c r="H42" s="570"/>
      <c r="I42" s="570"/>
      <c r="J42" s="570"/>
      <c r="K42" s="570"/>
      <c r="L42" s="570"/>
      <c r="M42" s="570"/>
    </row>
    <row r="43" spans="1:13" x14ac:dyDescent="0.25">
      <c r="A43" s="570"/>
      <c r="B43" s="570"/>
      <c r="C43" s="570"/>
      <c r="D43" s="570"/>
      <c r="E43" s="570"/>
      <c r="F43" s="570"/>
      <c r="G43" s="570"/>
      <c r="H43" s="570"/>
      <c r="I43" s="570"/>
      <c r="J43" s="570"/>
      <c r="K43" s="570"/>
      <c r="L43" s="570"/>
      <c r="M43" s="570"/>
    </row>
    <row r="44" spans="1:13" x14ac:dyDescent="0.25">
      <c r="A44" s="570"/>
      <c r="B44" s="570"/>
      <c r="C44" s="570"/>
      <c r="D44" s="570"/>
      <c r="E44" s="570"/>
      <c r="F44" s="570"/>
      <c r="G44" s="570"/>
      <c r="H44" s="570"/>
      <c r="I44" s="570"/>
      <c r="J44" s="570"/>
      <c r="K44" s="570"/>
      <c r="L44" s="570"/>
      <c r="M44" s="570"/>
    </row>
    <row r="45" spans="1:13" x14ac:dyDescent="0.25">
      <c r="A45" s="570"/>
      <c r="B45" s="570"/>
      <c r="C45" s="570"/>
      <c r="D45" s="570"/>
      <c r="E45" s="570"/>
      <c r="F45" s="570"/>
      <c r="G45" s="570"/>
      <c r="H45" s="570"/>
      <c r="I45" s="570"/>
      <c r="J45" s="570"/>
      <c r="K45" s="570"/>
      <c r="L45" s="570"/>
      <c r="M45" s="570"/>
    </row>
    <row r="46" spans="1:13" x14ac:dyDescent="0.25">
      <c r="A46" s="570"/>
      <c r="B46" s="570"/>
      <c r="C46" s="570"/>
      <c r="D46" s="570"/>
      <c r="E46" s="570"/>
      <c r="F46" s="570"/>
      <c r="G46" s="570"/>
      <c r="H46" s="570"/>
      <c r="I46" s="570"/>
      <c r="J46" s="570"/>
      <c r="K46" s="570"/>
      <c r="L46" s="570"/>
      <c r="M46" s="570"/>
    </row>
    <row r="47" spans="1:13" x14ac:dyDescent="0.25">
      <c r="A47" s="570"/>
      <c r="B47" s="570"/>
      <c r="C47" s="570"/>
      <c r="D47" s="570"/>
      <c r="E47" s="570"/>
      <c r="F47" s="570"/>
      <c r="G47" s="570"/>
      <c r="H47" s="570"/>
      <c r="I47" s="570"/>
      <c r="J47" s="570"/>
      <c r="K47" s="570"/>
      <c r="L47" s="570"/>
      <c r="M47" s="570"/>
    </row>
    <row r="48" spans="1:13" x14ac:dyDescent="0.25">
      <c r="A48" s="570"/>
      <c r="B48" s="570"/>
      <c r="C48" s="570"/>
      <c r="D48" s="570"/>
      <c r="E48" s="570"/>
      <c r="F48" s="570"/>
      <c r="G48" s="570"/>
      <c r="H48" s="570"/>
      <c r="I48" s="570"/>
      <c r="J48" s="570"/>
      <c r="K48" s="570"/>
      <c r="L48" s="570"/>
      <c r="M48" s="570"/>
    </row>
    <row r="49" spans="1:13" x14ac:dyDescent="0.25">
      <c r="A49" s="570"/>
      <c r="B49" s="570"/>
      <c r="C49" s="570"/>
      <c r="D49" s="570"/>
      <c r="E49" s="570"/>
      <c r="F49" s="570"/>
      <c r="G49" s="570"/>
      <c r="H49" s="570"/>
      <c r="I49" s="570"/>
      <c r="J49" s="570"/>
      <c r="K49" s="570"/>
      <c r="L49" s="570"/>
      <c r="M49" s="570"/>
    </row>
    <row r="50" spans="1:13" x14ac:dyDescent="0.25">
      <c r="A50" s="570"/>
      <c r="B50" s="570"/>
      <c r="C50" s="570"/>
      <c r="D50" s="570"/>
      <c r="E50" s="570"/>
      <c r="F50" s="570"/>
      <c r="G50" s="570"/>
      <c r="H50" s="570"/>
      <c r="I50" s="570"/>
      <c r="J50" s="570"/>
      <c r="K50" s="570"/>
      <c r="L50" s="570"/>
      <c r="M50" s="570"/>
    </row>
    <row r="51" spans="1:13" x14ac:dyDescent="0.25">
      <c r="A51" s="570"/>
      <c r="B51" s="570"/>
      <c r="C51" s="570"/>
      <c r="D51" s="570"/>
      <c r="E51" s="570"/>
      <c r="F51" s="570"/>
      <c r="G51" s="570"/>
      <c r="H51" s="570"/>
      <c r="I51" s="570"/>
      <c r="J51" s="570"/>
      <c r="K51" s="570"/>
      <c r="L51" s="570"/>
      <c r="M51" s="570"/>
    </row>
    <row r="52" spans="1:13" x14ac:dyDescent="0.25">
      <c r="A52" s="570"/>
      <c r="B52" s="570"/>
      <c r="C52" s="570"/>
      <c r="D52" s="570"/>
      <c r="E52" s="570"/>
      <c r="F52" s="570"/>
      <c r="G52" s="570"/>
      <c r="H52" s="570"/>
      <c r="I52" s="570"/>
      <c r="J52" s="570"/>
      <c r="K52" s="570"/>
      <c r="L52" s="570"/>
      <c r="M52" s="570"/>
    </row>
    <row r="53" spans="1:13" x14ac:dyDescent="0.25">
      <c r="A53" s="570"/>
      <c r="B53" s="570"/>
      <c r="C53" s="570"/>
      <c r="D53" s="570"/>
      <c r="E53" s="570"/>
      <c r="F53" s="570"/>
      <c r="G53" s="570"/>
      <c r="H53" s="570"/>
      <c r="I53" s="570"/>
      <c r="J53" s="570"/>
      <c r="K53" s="570"/>
      <c r="L53" s="570"/>
      <c r="M53" s="570"/>
    </row>
    <row r="54" spans="1:13" x14ac:dyDescent="0.25">
      <c r="A54" s="570"/>
      <c r="B54" s="570"/>
      <c r="C54" s="570"/>
      <c r="D54" s="570"/>
      <c r="E54" s="570"/>
      <c r="F54" s="570"/>
      <c r="G54" s="570"/>
      <c r="H54" s="570"/>
      <c r="I54" s="570"/>
      <c r="J54" s="570"/>
      <c r="K54" s="570"/>
      <c r="L54" s="570"/>
      <c r="M54" s="570"/>
    </row>
    <row r="55" spans="1:13" x14ac:dyDescent="0.25">
      <c r="A55" s="570"/>
      <c r="B55" s="570"/>
      <c r="C55" s="570"/>
      <c r="D55" s="570"/>
      <c r="E55" s="570"/>
      <c r="F55" s="570"/>
      <c r="G55" s="570"/>
      <c r="H55" s="570"/>
      <c r="I55" s="570"/>
      <c r="J55" s="570"/>
      <c r="K55" s="570"/>
      <c r="L55" s="570"/>
      <c r="M55" s="570"/>
    </row>
    <row r="56" spans="1:13" x14ac:dyDescent="0.25">
      <c r="A56" s="570"/>
      <c r="B56" s="570"/>
      <c r="C56" s="570"/>
      <c r="D56" s="570"/>
      <c r="E56" s="570"/>
      <c r="F56" s="570"/>
      <c r="G56" s="570"/>
      <c r="H56" s="570"/>
      <c r="I56" s="570"/>
      <c r="J56" s="570"/>
      <c r="K56" s="570"/>
      <c r="L56" s="570"/>
      <c r="M56" s="570"/>
    </row>
    <row r="57" spans="1:13" x14ac:dyDescent="0.25">
      <c r="A57" s="570"/>
      <c r="B57" s="570"/>
      <c r="C57" s="570"/>
      <c r="D57" s="570"/>
      <c r="E57" s="570"/>
      <c r="F57" s="570"/>
      <c r="G57" s="570"/>
      <c r="H57" s="570"/>
      <c r="I57" s="570"/>
      <c r="J57" s="570"/>
      <c r="K57" s="570"/>
      <c r="L57" s="570"/>
      <c r="M57" s="570"/>
    </row>
    <row r="58" spans="1:13" x14ac:dyDescent="0.25">
      <c r="A58" s="570"/>
      <c r="B58" s="570"/>
      <c r="C58" s="570"/>
      <c r="D58" s="570"/>
      <c r="E58" s="570"/>
      <c r="F58" s="570"/>
      <c r="G58" s="570"/>
      <c r="H58" s="570"/>
      <c r="I58" s="570"/>
      <c r="J58" s="570"/>
      <c r="K58" s="570"/>
      <c r="L58" s="570"/>
      <c r="M58" s="570"/>
    </row>
    <row r="59" spans="1:13" x14ac:dyDescent="0.25">
      <c r="A59" s="570"/>
      <c r="B59" s="570"/>
      <c r="C59" s="570"/>
      <c r="D59" s="570"/>
      <c r="E59" s="570"/>
      <c r="F59" s="570"/>
      <c r="G59" s="570"/>
      <c r="H59" s="570"/>
      <c r="I59" s="570"/>
      <c r="J59" s="570"/>
      <c r="K59" s="570"/>
      <c r="L59" s="570"/>
      <c r="M59" s="570"/>
    </row>
  </sheetData>
  <sheetProtection password="BCD8" sheet="1" objects="1" scenarios="1"/>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home">
                <anchor moveWithCells="1" sizeWithCells="1">
                  <from>
                    <xdr:col>0</xdr:col>
                    <xdr:colOff>127000</xdr:colOff>
                    <xdr:row>0</xdr:row>
                    <xdr:rowOff>127000</xdr:rowOff>
                  </from>
                  <to>
                    <xdr:col>1</xdr:col>
                    <xdr:colOff>368300</xdr:colOff>
                    <xdr:row>2</xdr:row>
                    <xdr:rowOff>139700</xdr:rowOff>
                  </to>
                </anchor>
              </controlPr>
            </control>
          </mc:Choice>
        </mc:AlternateContent>
        <mc:AlternateContent xmlns:mc="http://schemas.openxmlformats.org/markup-compatibility/2006">
          <mc:Choice Requires="x14">
            <control shapeId="36866" r:id="rId5" name="Button 2">
              <controlPr defaultSize="0" print="0" autoFill="0" autoPict="0" macro="[0]!returnfromemailsettings">
                <anchor moveWithCells="1" sizeWithCells="1">
                  <from>
                    <xdr:col>0</xdr:col>
                    <xdr:colOff>127000</xdr:colOff>
                    <xdr:row>3</xdr:row>
                    <xdr:rowOff>38100</xdr:rowOff>
                  </from>
                  <to>
                    <xdr:col>1</xdr:col>
                    <xdr:colOff>368300</xdr:colOff>
                    <xdr:row>5</xdr:row>
                    <xdr:rowOff>44450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7D0C8-5D6A-46FF-9578-DEEF356DCBC3}">
  <sheetPr codeName="Sheet107"/>
  <dimension ref="B2:U28"/>
  <sheetViews>
    <sheetView showGridLines="0" workbookViewId="0"/>
  </sheetViews>
  <sheetFormatPr defaultColWidth="9.08984375" defaultRowHeight="12.5" x14ac:dyDescent="0.25"/>
  <cols>
    <col min="1" max="1" width="14.08984375" style="30" customWidth="1"/>
    <col min="2" max="3" width="9.08984375" style="30"/>
    <col min="4" max="4" width="29.90625" style="30" customWidth="1"/>
    <col min="5" max="16384" width="9.08984375" style="30"/>
  </cols>
  <sheetData>
    <row r="2" spans="4:21" ht="15.5" x14ac:dyDescent="0.35">
      <c r="D2" s="239" t="s">
        <v>1259</v>
      </c>
    </row>
    <row r="3" spans="4:21" ht="15.5" x14ac:dyDescent="0.35">
      <c r="D3" s="240"/>
      <c r="U3" s="241"/>
    </row>
    <row r="4" spans="4:21" x14ac:dyDescent="0.25">
      <c r="U4" s="241" t="str">
        <f>"Back to "&amp;U5</f>
        <v>Back to basic</v>
      </c>
    </row>
    <row r="5" spans="4:21" x14ac:dyDescent="0.25">
      <c r="U5" s="241" t="s">
        <v>449</v>
      </c>
    </row>
    <row r="6" spans="4:21" ht="18" x14ac:dyDescent="0.4">
      <c r="D6" s="242"/>
      <c r="U6" s="241">
        <v>5</v>
      </c>
    </row>
    <row r="7" spans="4:21" ht="24" customHeight="1" x14ac:dyDescent="0.25">
      <c r="U7" s="241">
        <v>9</v>
      </c>
    </row>
    <row r="8" spans="4:21" x14ac:dyDescent="0.25">
      <c r="U8" s="241"/>
    </row>
    <row r="9" spans="4:21" x14ac:dyDescent="0.25">
      <c r="U9" s="241"/>
    </row>
    <row r="10" spans="4:21" x14ac:dyDescent="0.25">
      <c r="U10" s="241"/>
    </row>
    <row r="17" spans="2:9" ht="13" thickBot="1" x14ac:dyDescent="0.3"/>
    <row r="18" spans="2:9" x14ac:dyDescent="0.25">
      <c r="B18" s="671"/>
      <c r="C18" s="672"/>
      <c r="D18" s="672"/>
      <c r="E18" s="672"/>
      <c r="F18" s="672"/>
      <c r="G18" s="672"/>
      <c r="H18" s="672"/>
      <c r="I18" s="673"/>
    </row>
    <row r="19" spans="2:9" ht="15.5" x14ac:dyDescent="0.35">
      <c r="B19" s="674"/>
      <c r="C19" s="240" t="s">
        <v>1260</v>
      </c>
      <c r="I19" s="675"/>
    </row>
    <row r="20" spans="2:9" ht="15.5" x14ac:dyDescent="0.35">
      <c r="B20" s="674"/>
      <c r="C20" s="240" t="s">
        <v>1267</v>
      </c>
      <c r="I20" s="675"/>
    </row>
    <row r="21" spans="2:9" ht="15.5" x14ac:dyDescent="0.35">
      <c r="B21" s="674"/>
      <c r="C21" s="240"/>
      <c r="I21" s="675"/>
    </row>
    <row r="22" spans="2:9" ht="15.5" x14ac:dyDescent="0.35">
      <c r="B22" s="674"/>
      <c r="C22" s="240" t="s">
        <v>1268</v>
      </c>
      <c r="I22" s="675"/>
    </row>
    <row r="23" spans="2:9" ht="15.5" x14ac:dyDescent="0.35">
      <c r="B23" s="674"/>
      <c r="C23" s="240" t="s">
        <v>1269</v>
      </c>
      <c r="I23" s="675"/>
    </row>
    <row r="24" spans="2:9" x14ac:dyDescent="0.25">
      <c r="B24" s="674"/>
      <c r="I24" s="675"/>
    </row>
    <row r="25" spans="2:9" x14ac:dyDescent="0.25">
      <c r="B25" s="674"/>
      <c r="I25" s="675"/>
    </row>
    <row r="26" spans="2:9" x14ac:dyDescent="0.25">
      <c r="B26" s="674"/>
      <c r="I26" s="675"/>
    </row>
    <row r="27" spans="2:9" x14ac:dyDescent="0.25">
      <c r="B27" s="674"/>
      <c r="I27" s="675"/>
    </row>
    <row r="28" spans="2:9" ht="13" thickBot="1" x14ac:dyDescent="0.3">
      <c r="B28" s="676"/>
      <c r="C28" s="677"/>
      <c r="D28" s="677"/>
      <c r="E28" s="677"/>
      <c r="F28" s="677"/>
      <c r="G28" s="677"/>
      <c r="H28" s="677"/>
      <c r="I28" s="678"/>
    </row>
  </sheetData>
  <sheetProtection password="BCD8" sheet="1" objects="1" scenarios="1"/>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returnfrommemorysetup">
                <anchor moveWithCells="1" sizeWithCells="1">
                  <from>
                    <xdr:col>0</xdr:col>
                    <xdr:colOff>488950</xdr:colOff>
                    <xdr:row>0</xdr:row>
                    <xdr:rowOff>146050</xdr:rowOff>
                  </from>
                  <to>
                    <xdr:col>2</xdr:col>
                    <xdr:colOff>450850</xdr:colOff>
                    <xdr:row>2</xdr:row>
                    <xdr:rowOff>127000</xdr:rowOff>
                  </to>
                </anchor>
              </controlPr>
            </control>
          </mc:Choice>
        </mc:AlternateContent>
        <mc:AlternateContent xmlns:mc="http://schemas.openxmlformats.org/markup-compatibility/2006">
          <mc:Choice Requires="x14">
            <control shapeId="23554" r:id="rId4" name="Button 2">
              <controlPr defaultSize="0" print="0" autoFill="0" autoPict="0" macro="[0]!gotocalcurate">
                <anchor moveWithCells="1" sizeWithCells="1">
                  <from>
                    <xdr:col>2</xdr:col>
                    <xdr:colOff>25400</xdr:colOff>
                    <xdr:row>23</xdr:row>
                    <xdr:rowOff>107950</xdr:rowOff>
                  </from>
                  <to>
                    <xdr:col>4</xdr:col>
                    <xdr:colOff>25400</xdr:colOff>
                    <xdr:row>26</xdr:row>
                    <xdr:rowOff>0</xdr:rowOff>
                  </to>
                </anchor>
              </controlPr>
            </control>
          </mc:Choice>
        </mc:AlternateContent>
        <mc:AlternateContent xmlns:mc="http://schemas.openxmlformats.org/markup-compatibility/2006">
          <mc:Choice Requires="x14">
            <control shapeId="23757" r:id="rId5" name="Button 205">
              <controlPr defaultSize="0" print="0" autoFill="0" autoPict="0" macro="[0]!returnfrommemorysetup">
                <anchor moveWithCells="1" sizeWithCells="1">
                  <from>
                    <xdr:col>4</xdr:col>
                    <xdr:colOff>177800</xdr:colOff>
                    <xdr:row>23</xdr:row>
                    <xdr:rowOff>101600</xdr:rowOff>
                  </from>
                  <to>
                    <xdr:col>7</xdr:col>
                    <xdr:colOff>603250</xdr:colOff>
                    <xdr:row>25</xdr:row>
                    <xdr:rowOff>158750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99516-4FAF-4A61-BF86-1974722C0090}">
  <sheetPr codeName="Sheet111"/>
  <dimension ref="A1:AL338"/>
  <sheetViews>
    <sheetView showGridLines="0" zoomScaleNormal="100" workbookViewId="0">
      <selection activeCell="A2" sqref="A2"/>
    </sheetView>
  </sheetViews>
  <sheetFormatPr defaultColWidth="9.08984375" defaultRowHeight="12.5" x14ac:dyDescent="0.25"/>
  <cols>
    <col min="1" max="1" width="10.6328125" style="30" customWidth="1"/>
    <col min="2" max="2" width="9.90625" style="30" customWidth="1"/>
    <col min="3" max="3" width="4" style="30" customWidth="1"/>
    <col min="4" max="4" width="35" style="30" customWidth="1"/>
    <col min="5" max="5" width="33.6328125" style="30" customWidth="1"/>
    <col min="6" max="6" width="3.90625" style="30" customWidth="1"/>
    <col min="7" max="7" width="3.6328125" style="30" customWidth="1"/>
    <col min="8" max="8" width="11" style="30" customWidth="1"/>
    <col min="9" max="9" width="3" style="30" customWidth="1"/>
    <col min="10" max="10" width="36" style="30" customWidth="1"/>
    <col min="11" max="11" width="35" style="30" customWidth="1"/>
    <col min="12" max="12" width="2.36328125" style="30" customWidth="1"/>
    <col min="13" max="16" width="9.08984375" style="30"/>
    <col min="17" max="17" width="3.6328125" style="30" customWidth="1"/>
    <col min="18" max="24" width="9.08984375" style="30"/>
    <col min="25" max="25" width="13.90625" style="30" customWidth="1"/>
    <col min="26" max="29" width="9.08984375" style="30"/>
    <col min="30" max="30" width="42.36328125" style="30" customWidth="1"/>
    <col min="31" max="16384" width="9.08984375" style="30"/>
  </cols>
  <sheetData>
    <row r="1" spans="1:38" x14ac:dyDescent="0.25">
      <c r="A1" s="455"/>
      <c r="B1" s="455"/>
      <c r="C1" s="455"/>
      <c r="D1" s="455"/>
      <c r="E1" s="455"/>
      <c r="F1" s="455"/>
      <c r="G1" s="455"/>
      <c r="H1" s="455"/>
      <c r="I1" s="455"/>
      <c r="J1" s="455"/>
      <c r="K1" s="455"/>
      <c r="L1" s="455"/>
      <c r="M1" s="455"/>
      <c r="N1" s="455"/>
      <c r="O1" s="455"/>
      <c r="P1" s="455"/>
      <c r="Q1" s="455"/>
      <c r="R1" s="455"/>
      <c r="S1" s="455"/>
      <c r="T1" s="455"/>
      <c r="U1" s="455"/>
      <c r="V1" s="456"/>
      <c r="W1" s="456"/>
      <c r="X1" s="456"/>
      <c r="Y1" s="456"/>
      <c r="Z1" s="455"/>
      <c r="AA1" s="455"/>
      <c r="AB1" s="455"/>
      <c r="AC1" s="455"/>
      <c r="AD1" s="455"/>
      <c r="AE1" s="456"/>
      <c r="AF1" s="456"/>
      <c r="AG1" s="456"/>
      <c r="AH1" s="456"/>
      <c r="AI1" s="456"/>
      <c r="AJ1" s="456"/>
      <c r="AK1" s="456"/>
      <c r="AL1" s="456"/>
    </row>
    <row r="2" spans="1:38" x14ac:dyDescent="0.25">
      <c r="A2" s="455"/>
      <c r="B2" s="455"/>
      <c r="C2" s="455"/>
      <c r="D2" s="455"/>
      <c r="E2" s="455"/>
      <c r="F2" s="455"/>
      <c r="G2" s="455"/>
      <c r="H2" s="455"/>
      <c r="I2" s="455"/>
      <c r="J2" s="455"/>
      <c r="K2" s="455"/>
      <c r="L2" s="455"/>
      <c r="M2" s="455"/>
      <c r="N2" s="455"/>
      <c r="O2" s="455"/>
      <c r="P2" s="455"/>
      <c r="Q2" s="455"/>
      <c r="R2" s="455"/>
      <c r="S2" s="455"/>
      <c r="T2" s="455"/>
      <c r="U2" s="455"/>
      <c r="V2" s="456"/>
      <c r="W2" s="456"/>
      <c r="X2" s="456"/>
      <c r="Z2" s="455"/>
      <c r="AA2" s="455"/>
      <c r="AB2" s="455"/>
      <c r="AC2" s="455"/>
      <c r="AD2" s="455"/>
    </row>
    <row r="3" spans="1:38" ht="13" thickBot="1" x14ac:dyDescent="0.3">
      <c r="A3" s="455"/>
      <c r="B3" s="455"/>
      <c r="C3" s="455"/>
      <c r="D3" s="455"/>
      <c r="E3" s="455"/>
      <c r="F3" s="455"/>
      <c r="G3" s="455"/>
      <c r="H3" s="455"/>
      <c r="I3" s="455"/>
      <c r="J3" s="455"/>
      <c r="K3" s="455"/>
      <c r="L3" s="455"/>
      <c r="M3" s="455"/>
      <c r="N3" s="455"/>
      <c r="O3" s="455"/>
      <c r="P3" s="455"/>
      <c r="Q3" s="455"/>
      <c r="R3" s="455"/>
      <c r="S3" s="455"/>
      <c r="T3" s="455"/>
      <c r="U3" s="455"/>
      <c r="V3" s="456"/>
      <c r="W3" s="456"/>
      <c r="X3" s="456"/>
      <c r="Z3" s="455"/>
      <c r="AA3" s="455"/>
      <c r="AB3" s="455"/>
      <c r="AC3" s="455"/>
      <c r="AD3" s="455"/>
    </row>
    <row r="4" spans="1:38" x14ac:dyDescent="0.25">
      <c r="A4" s="455"/>
      <c r="B4" s="686"/>
      <c r="C4" s="687"/>
      <c r="D4" s="687"/>
      <c r="E4" s="687"/>
      <c r="F4" s="687"/>
      <c r="G4" s="688"/>
      <c r="H4" s="455"/>
      <c r="I4" s="464"/>
      <c r="J4" s="465"/>
      <c r="K4" s="465"/>
      <c r="L4" s="465"/>
      <c r="M4" s="465"/>
      <c r="N4" s="465"/>
      <c r="O4" s="465"/>
      <c r="P4" s="465"/>
      <c r="Q4" s="466"/>
      <c r="R4" s="455"/>
      <c r="S4" s="455"/>
      <c r="T4" s="455"/>
      <c r="U4" s="455"/>
      <c r="V4" s="456"/>
      <c r="W4" s="456"/>
      <c r="X4" s="456"/>
      <c r="Y4" s="241"/>
      <c r="Z4" s="455"/>
      <c r="AA4" s="455"/>
      <c r="AB4" s="455"/>
      <c r="AC4" s="455"/>
      <c r="AD4" s="455"/>
    </row>
    <row r="5" spans="1:38" ht="18.75" customHeight="1" x14ac:dyDescent="0.4">
      <c r="A5" s="455"/>
      <c r="B5" s="689"/>
      <c r="C5" s="242" t="s">
        <v>2366</v>
      </c>
      <c r="G5" s="675"/>
      <c r="H5" s="455"/>
      <c r="I5" s="459"/>
      <c r="J5" s="242" t="s">
        <v>2367</v>
      </c>
      <c r="N5" s="456"/>
      <c r="O5" s="456"/>
      <c r="P5" s="456"/>
      <c r="Q5" s="467"/>
      <c r="R5" s="455"/>
      <c r="S5" s="455"/>
      <c r="T5" s="455"/>
      <c r="U5" s="455"/>
      <c r="V5" s="241" t="s">
        <v>691</v>
      </c>
      <c r="X5" s="456"/>
      <c r="Z5" s="455"/>
      <c r="AA5" s="455"/>
      <c r="AB5" s="455"/>
      <c r="AC5" s="455"/>
      <c r="AD5" s="455"/>
    </row>
    <row r="6" spans="1:38" ht="15.5" x14ac:dyDescent="0.35">
      <c r="A6" s="455"/>
      <c r="B6" s="689"/>
      <c r="G6" s="690"/>
      <c r="H6" s="455"/>
      <c r="I6" s="459"/>
      <c r="L6" s="240"/>
      <c r="M6" s="240"/>
      <c r="N6" s="456"/>
      <c r="O6" s="456"/>
      <c r="P6" s="456"/>
      <c r="Q6" s="467"/>
      <c r="R6" s="455"/>
      <c r="S6" s="455"/>
      <c r="T6" s="455"/>
      <c r="U6" s="455"/>
      <c r="V6" s="241">
        <v>9</v>
      </c>
      <c r="X6" s="456"/>
      <c r="Z6" s="455"/>
      <c r="AA6" s="455"/>
      <c r="AB6" s="455"/>
      <c r="AC6" s="455"/>
      <c r="AD6" s="455"/>
    </row>
    <row r="7" spans="1:38" ht="22.5" customHeight="1" x14ac:dyDescent="0.4">
      <c r="A7" s="455"/>
      <c r="B7" s="689"/>
      <c r="C7" s="472" t="str">
        <f>IF(W23=FALSE,"&gt;","")</f>
        <v>&gt;</v>
      </c>
      <c r="D7" s="473" t="s">
        <v>2</v>
      </c>
      <c r="E7" s="463"/>
      <c r="G7" s="690"/>
      <c r="H7" s="455"/>
      <c r="I7" s="459"/>
      <c r="J7" s="240" t="s">
        <v>1</v>
      </c>
      <c r="L7" s="240"/>
      <c r="M7" s="240"/>
      <c r="N7" s="456"/>
      <c r="O7" s="456"/>
      <c r="P7" s="456"/>
      <c r="Q7" s="467"/>
      <c r="R7" s="455"/>
      <c r="S7" s="455"/>
      <c r="T7" s="455"/>
      <c r="U7" s="455"/>
      <c r="V7" s="241">
        <v>9</v>
      </c>
      <c r="X7" s="456"/>
      <c r="Z7" s="455"/>
      <c r="AA7" s="455"/>
      <c r="AB7" s="455"/>
      <c r="AC7" s="455"/>
      <c r="AD7" s="455"/>
    </row>
    <row r="8" spans="1:38" ht="15.5" x14ac:dyDescent="0.35">
      <c r="A8" s="455"/>
      <c r="B8" s="689"/>
      <c r="G8" s="690"/>
      <c r="H8" s="455"/>
      <c r="I8" s="459"/>
      <c r="K8" s="240"/>
      <c r="L8" s="240"/>
      <c r="M8" s="240"/>
      <c r="N8" s="456"/>
      <c r="O8" s="456"/>
      <c r="P8" s="456"/>
      <c r="Q8" s="467"/>
      <c r="R8" s="455"/>
      <c r="S8" s="455"/>
      <c r="T8" s="455"/>
      <c r="U8" s="455"/>
      <c r="X8" s="456"/>
      <c r="Y8" s="241"/>
      <c r="Z8" s="455"/>
      <c r="AA8" s="455"/>
      <c r="AB8" s="455"/>
      <c r="AC8" s="455"/>
      <c r="AD8" s="455"/>
    </row>
    <row r="9" spans="1:38" ht="22.5" customHeight="1" x14ac:dyDescent="0.4">
      <c r="A9" s="455"/>
      <c r="B9" s="689"/>
      <c r="C9" s="472" t="str">
        <f>IF(W23=TRUE,"&gt;","")</f>
        <v/>
      </c>
      <c r="D9" s="473" t="s">
        <v>8</v>
      </c>
      <c r="E9" s="461" t="str">
        <f>IF(W23=FALSE,"     Tick to use Custom","     Untick to use Default")</f>
        <v xml:space="preserve">     Tick to use Custom</v>
      </c>
      <c r="G9" s="690"/>
      <c r="H9" s="455"/>
      <c r="I9" s="459"/>
      <c r="K9" s="240"/>
      <c r="L9" s="240"/>
      <c r="M9" s="240"/>
      <c r="N9" s="456"/>
      <c r="O9" s="456"/>
      <c r="P9" s="456"/>
      <c r="Q9" s="467"/>
      <c r="R9" s="455"/>
      <c r="S9" s="455"/>
      <c r="T9" s="455"/>
      <c r="U9" s="455"/>
      <c r="V9" s="456"/>
      <c r="W9" s="456"/>
      <c r="X9" s="456"/>
      <c r="Y9" s="241"/>
      <c r="Z9" s="455"/>
      <c r="AA9" s="455"/>
      <c r="AB9" s="455"/>
      <c r="AC9" s="455"/>
      <c r="AD9" s="455"/>
    </row>
    <row r="10" spans="1:38" ht="12.75" customHeight="1" x14ac:dyDescent="0.35">
      <c r="A10" s="455"/>
      <c r="B10" s="689"/>
      <c r="G10" s="690"/>
      <c r="H10" s="455"/>
      <c r="I10" s="459"/>
      <c r="K10" s="240"/>
      <c r="L10" s="240"/>
      <c r="M10" s="240"/>
      <c r="N10" s="456"/>
      <c r="O10" s="456"/>
      <c r="P10" s="456"/>
      <c r="Q10" s="467"/>
      <c r="R10" s="455"/>
      <c r="S10" s="455"/>
      <c r="T10" s="455"/>
      <c r="U10" s="455"/>
      <c r="V10" s="456"/>
      <c r="W10" s="456"/>
      <c r="X10" s="456"/>
      <c r="Y10" s="241"/>
      <c r="Z10" s="455"/>
      <c r="AA10" s="455"/>
      <c r="AB10" s="455"/>
      <c r="AC10" s="455"/>
      <c r="AD10" s="455"/>
    </row>
    <row r="11" spans="1:38" ht="10.5" customHeight="1" x14ac:dyDescent="0.35">
      <c r="A11" s="455"/>
      <c r="B11" s="689"/>
      <c r="F11" s="240"/>
      <c r="G11" s="690"/>
      <c r="H11" s="455"/>
      <c r="I11" s="459"/>
      <c r="K11" s="456"/>
      <c r="L11" s="456"/>
      <c r="M11" s="456"/>
      <c r="N11" s="456"/>
      <c r="O11" s="456"/>
      <c r="P11" s="456"/>
      <c r="Q11" s="467"/>
      <c r="R11" s="455"/>
      <c r="S11" s="455"/>
      <c r="T11" s="455"/>
      <c r="U11" s="455"/>
      <c r="V11" s="456"/>
      <c r="W11" s="456"/>
      <c r="X11" s="456"/>
      <c r="Y11" s="241"/>
      <c r="Z11" s="455"/>
      <c r="AA11" s="455"/>
      <c r="AB11" s="455"/>
      <c r="AC11" s="455"/>
      <c r="AD11" s="455"/>
    </row>
    <row r="12" spans="1:38" ht="18.75" customHeight="1" x14ac:dyDescent="0.35">
      <c r="A12" s="455"/>
      <c r="B12" s="689"/>
      <c r="D12" s="681" t="s">
        <v>23</v>
      </c>
      <c r="E12" s="682"/>
      <c r="G12" s="675"/>
      <c r="H12" s="455"/>
      <c r="I12" s="459"/>
      <c r="L12" s="240"/>
      <c r="M12" s="456"/>
      <c r="N12" s="456"/>
      <c r="O12" s="456"/>
      <c r="P12" s="240"/>
      <c r="Q12" s="467"/>
      <c r="R12" s="455"/>
      <c r="S12" s="455"/>
      <c r="T12" s="455"/>
      <c r="U12" s="455"/>
      <c r="V12" s="456"/>
      <c r="W12" s="456"/>
      <c r="X12" s="456"/>
      <c r="Y12" s="241"/>
      <c r="Z12" s="455"/>
      <c r="AA12" s="455"/>
      <c r="AB12" s="455"/>
      <c r="AC12" s="455"/>
      <c r="AD12" s="455"/>
    </row>
    <row r="13" spans="1:38" ht="18.75" customHeight="1" x14ac:dyDescent="0.4">
      <c r="A13" s="455"/>
      <c r="B13" s="689"/>
      <c r="C13" s="679"/>
      <c r="D13" s="683" t="str">
        <f>IF(W23=TRUE,K18,K14)</f>
        <v>calcurate memory</v>
      </c>
      <c r="E13" s="463"/>
      <c r="G13" s="675"/>
      <c r="H13" s="455"/>
      <c r="I13" s="458"/>
      <c r="J13" s="239" t="s">
        <v>2368</v>
      </c>
      <c r="K13" s="240"/>
      <c r="L13" s="240"/>
      <c r="M13" s="456"/>
      <c r="N13" s="456"/>
      <c r="O13" s="456"/>
      <c r="P13" s="240"/>
      <c r="Q13" s="467"/>
      <c r="R13" s="455"/>
      <c r="S13" s="455"/>
      <c r="T13" s="455"/>
      <c r="U13" s="455"/>
      <c r="V13" s="456"/>
      <c r="W13" s="456"/>
      <c r="X13" s="456"/>
      <c r="Y13" s="241"/>
      <c r="Z13" s="455"/>
      <c r="AA13" s="455"/>
      <c r="AB13" s="455"/>
      <c r="AC13" s="455"/>
      <c r="AD13" s="455"/>
    </row>
    <row r="14" spans="1:38" ht="18.75" customHeight="1" x14ac:dyDescent="0.4">
      <c r="A14" s="455"/>
      <c r="B14" s="689"/>
      <c r="D14" s="681" t="s">
        <v>24</v>
      </c>
      <c r="E14" s="682"/>
      <c r="G14" s="675"/>
      <c r="H14" s="455"/>
      <c r="I14" s="458"/>
      <c r="J14" s="460" t="s">
        <v>5</v>
      </c>
      <c r="K14" s="461" t="s">
        <v>6</v>
      </c>
      <c r="L14" s="240"/>
      <c r="M14" s="456"/>
      <c r="N14" s="456"/>
      <c r="O14" s="456"/>
      <c r="P14" s="240"/>
      <c r="Q14" s="467"/>
      <c r="R14" s="455"/>
      <c r="S14" s="455"/>
      <c r="T14" s="455"/>
      <c r="U14" s="455"/>
      <c r="V14" s="456"/>
      <c r="W14" s="456"/>
      <c r="X14" s="456"/>
      <c r="Y14" s="241"/>
      <c r="Z14" s="455"/>
      <c r="AA14" s="455"/>
      <c r="AB14" s="455"/>
      <c r="AC14" s="455"/>
      <c r="AD14" s="455"/>
    </row>
    <row r="15" spans="1:38" ht="18.75" customHeight="1" x14ac:dyDescent="0.4">
      <c r="A15" s="455"/>
      <c r="B15" s="689"/>
      <c r="C15" s="679"/>
      <c r="D15" s="683" t="str">
        <f>IF(W23=TRUE,K19,K15)</f>
        <v>calcuratememory.xls</v>
      </c>
      <c r="E15" s="463"/>
      <c r="G15" s="675"/>
      <c r="H15" s="455"/>
      <c r="I15" s="458"/>
      <c r="J15" s="460" t="s">
        <v>11</v>
      </c>
      <c r="K15" s="461" t="s">
        <v>7</v>
      </c>
      <c r="L15" s="240"/>
      <c r="M15" s="456"/>
      <c r="N15" s="456"/>
      <c r="O15" s="456"/>
      <c r="P15" s="240"/>
      <c r="Q15" s="467"/>
      <c r="R15" s="455"/>
      <c r="S15" s="455"/>
      <c r="T15" s="455"/>
      <c r="U15" s="455"/>
      <c r="V15" s="456"/>
      <c r="W15" s="456"/>
      <c r="X15" s="456"/>
      <c r="Y15" s="241"/>
      <c r="Z15" s="455"/>
      <c r="AA15" s="455"/>
      <c r="AB15" s="455"/>
      <c r="AC15" s="455"/>
      <c r="AD15" s="455"/>
    </row>
    <row r="16" spans="1:38" ht="15.75" customHeight="1" x14ac:dyDescent="0.4">
      <c r="A16" s="455"/>
      <c r="B16" s="689"/>
      <c r="C16" s="679"/>
      <c r="D16" s="680"/>
      <c r="G16" s="675"/>
      <c r="H16" s="455"/>
      <c r="I16" s="458"/>
      <c r="J16" s="239"/>
      <c r="K16" s="240"/>
      <c r="L16" s="240"/>
      <c r="M16" s="456"/>
      <c r="N16" s="456"/>
      <c r="O16" s="456"/>
      <c r="P16" s="240"/>
      <c r="Q16" s="467"/>
      <c r="R16" s="455"/>
      <c r="S16" s="455"/>
      <c r="T16" s="455"/>
      <c r="U16" s="455"/>
      <c r="V16" s="456"/>
      <c r="W16" s="456"/>
      <c r="X16" s="456"/>
      <c r="Y16" s="241"/>
      <c r="Z16" s="455"/>
      <c r="AA16" s="455"/>
      <c r="AB16" s="455"/>
      <c r="AC16" s="455"/>
      <c r="AD16" s="455"/>
    </row>
    <row r="17" spans="1:30" ht="15.75" customHeight="1" x14ac:dyDescent="0.4">
      <c r="A17" s="455"/>
      <c r="B17" s="689"/>
      <c r="C17" s="679"/>
      <c r="D17" s="680"/>
      <c r="G17" s="675"/>
      <c r="H17" s="455"/>
      <c r="I17" s="458"/>
      <c r="J17" s="239" t="s">
        <v>2370</v>
      </c>
      <c r="K17" s="240"/>
      <c r="L17" s="240"/>
      <c r="M17" s="456"/>
      <c r="N17" s="456"/>
      <c r="O17" s="456"/>
      <c r="P17" s="240"/>
      <c r="Q17" s="467"/>
      <c r="R17" s="455"/>
      <c r="S17" s="455"/>
      <c r="T17" s="455"/>
      <c r="U17" s="455"/>
      <c r="V17" s="456"/>
      <c r="W17" s="456"/>
      <c r="X17" s="456"/>
      <c r="Y17" s="241"/>
      <c r="Z17" s="455"/>
      <c r="AA17" s="455"/>
      <c r="AB17" s="455"/>
      <c r="AC17" s="455"/>
      <c r="AD17" s="455"/>
    </row>
    <row r="18" spans="1:30" ht="15.75" customHeight="1" x14ac:dyDescent="0.4">
      <c r="A18" s="455"/>
      <c r="B18" s="689"/>
      <c r="C18" s="679"/>
      <c r="D18" s="680"/>
      <c r="E18" s="684" t="str">
        <f>IF(W23=TRUE, "You can enter your own Folder Name in the Green Cell &gt;&gt;&gt;","")</f>
        <v/>
      </c>
      <c r="G18" s="675"/>
      <c r="H18" s="455"/>
      <c r="I18" s="458"/>
      <c r="J18" s="460" t="s">
        <v>9</v>
      </c>
      <c r="K18" s="462" t="s">
        <v>2365</v>
      </c>
      <c r="L18" s="457"/>
      <c r="M18" s="240" t="s">
        <v>25</v>
      </c>
      <c r="N18" s="456"/>
      <c r="O18" s="456"/>
      <c r="P18" s="240"/>
      <c r="Q18" s="467"/>
      <c r="R18" s="455"/>
      <c r="S18" s="455"/>
      <c r="T18" s="455"/>
      <c r="U18" s="455"/>
      <c r="V18" s="456"/>
      <c r="W18" s="456"/>
      <c r="X18" s="456"/>
      <c r="Y18" s="241"/>
      <c r="Z18" s="455"/>
      <c r="AA18" s="455"/>
      <c r="AB18" s="455"/>
      <c r="AC18" s="455"/>
      <c r="AD18" s="455"/>
    </row>
    <row r="19" spans="1:30" ht="15.75" customHeight="1" x14ac:dyDescent="0.4">
      <c r="A19" s="455"/>
      <c r="B19" s="689"/>
      <c r="C19" s="679"/>
      <c r="D19" s="680"/>
      <c r="E19" s="684" t="str">
        <f>IF(W23=TRUE, "You can enter your own File Name in the Green Cell &gt;&gt;&gt;","")</f>
        <v/>
      </c>
      <c r="G19" s="675"/>
      <c r="H19" s="455"/>
      <c r="I19" s="458"/>
      <c r="J19" s="460" t="s">
        <v>10</v>
      </c>
      <c r="K19" s="462" t="s">
        <v>11</v>
      </c>
      <c r="L19" s="457"/>
      <c r="M19" s="240" t="s">
        <v>26</v>
      </c>
      <c r="N19" s="456"/>
      <c r="O19" s="456"/>
      <c r="P19" s="240"/>
      <c r="Q19" s="467"/>
      <c r="R19" s="455"/>
      <c r="S19" s="455"/>
      <c r="T19" s="455"/>
      <c r="U19" s="455"/>
      <c r="V19" s="456"/>
      <c r="W19" s="456"/>
      <c r="X19" s="456"/>
      <c r="Y19" s="241"/>
      <c r="Z19" s="455"/>
      <c r="AA19" s="455"/>
      <c r="AB19" s="455"/>
      <c r="AC19" s="455"/>
      <c r="AD19" s="455"/>
    </row>
    <row r="20" spans="1:30" ht="15.75" customHeight="1" x14ac:dyDescent="0.4">
      <c r="A20" s="455"/>
      <c r="B20" s="689"/>
      <c r="C20" s="679"/>
      <c r="D20" s="680"/>
      <c r="G20" s="675"/>
      <c r="H20" s="455"/>
      <c r="I20" s="458"/>
      <c r="J20" s="239"/>
      <c r="K20" s="240"/>
      <c r="L20" s="240"/>
      <c r="M20" s="456"/>
      <c r="N20" s="456"/>
      <c r="O20" s="456"/>
      <c r="P20" s="240"/>
      <c r="Q20" s="467"/>
      <c r="R20" s="455"/>
      <c r="S20" s="455"/>
      <c r="T20" s="455"/>
      <c r="U20" s="455"/>
      <c r="V20" s="456"/>
      <c r="W20" s="456"/>
      <c r="X20" s="456"/>
      <c r="Y20" s="241"/>
      <c r="Z20" s="455"/>
      <c r="AA20" s="455"/>
      <c r="AB20" s="455"/>
      <c r="AC20" s="455"/>
      <c r="AD20" s="455"/>
    </row>
    <row r="21" spans="1:30" ht="15.75" customHeight="1" x14ac:dyDescent="0.4">
      <c r="A21" s="455"/>
      <c r="B21" s="689"/>
      <c r="C21" s="679"/>
      <c r="D21" s="239"/>
      <c r="G21" s="675"/>
      <c r="H21" s="455"/>
      <c r="I21" s="458"/>
      <c r="J21" s="239"/>
      <c r="K21" s="240"/>
      <c r="L21" s="240"/>
      <c r="M21" s="456"/>
      <c r="N21" s="456"/>
      <c r="O21" s="456"/>
      <c r="P21" s="240"/>
      <c r="Q21" s="467"/>
      <c r="R21" s="455"/>
      <c r="S21" s="455"/>
      <c r="T21" s="455"/>
      <c r="U21" s="455"/>
      <c r="V21" s="456"/>
      <c r="W21" s="456"/>
      <c r="X21" s="456"/>
      <c r="Y21" s="241"/>
      <c r="Z21" s="455"/>
      <c r="AA21" s="455"/>
      <c r="AB21" s="455"/>
      <c r="AC21" s="455"/>
      <c r="AD21" s="455"/>
    </row>
    <row r="22" spans="1:30" ht="19.5" customHeight="1" x14ac:dyDescent="0.25">
      <c r="A22" s="455"/>
      <c r="B22" s="689"/>
      <c r="G22" s="675"/>
      <c r="H22" s="455"/>
      <c r="I22" s="459"/>
      <c r="K22" s="456"/>
      <c r="L22" s="456"/>
      <c r="M22" s="456"/>
      <c r="N22" s="456"/>
      <c r="O22" s="456"/>
      <c r="P22" s="456"/>
      <c r="Q22" s="467"/>
      <c r="R22" s="455"/>
      <c r="S22" s="455"/>
      <c r="T22" s="455"/>
      <c r="U22" s="455"/>
      <c r="V22" s="456"/>
      <c r="W22" s="456"/>
      <c r="X22" s="456"/>
      <c r="Y22" s="241"/>
      <c r="Z22" s="455"/>
      <c r="AA22" s="455"/>
      <c r="AB22" s="455"/>
      <c r="AC22" s="455"/>
      <c r="AD22" s="455"/>
    </row>
    <row r="23" spans="1:30" customFormat="1" ht="14.5" x14ac:dyDescent="0.35">
      <c r="A23" s="455"/>
      <c r="B23" s="689"/>
      <c r="G23" s="691"/>
      <c r="H23" s="455"/>
      <c r="I23" s="459"/>
      <c r="Q23" s="467"/>
      <c r="R23" s="455"/>
      <c r="S23" s="455"/>
      <c r="T23" s="455"/>
      <c r="U23" s="455"/>
      <c r="V23" s="685"/>
      <c r="W23" s="685" t="b">
        <v>0</v>
      </c>
      <c r="X23" s="456"/>
      <c r="Y23" s="241"/>
      <c r="Z23" s="455"/>
      <c r="AA23" s="455"/>
      <c r="AB23" s="455"/>
      <c r="AC23" s="455"/>
      <c r="AD23" s="455"/>
    </row>
    <row r="24" spans="1:30" ht="21.75" customHeight="1" thickBot="1" x14ac:dyDescent="0.4">
      <c r="A24" s="455"/>
      <c r="B24" s="692"/>
      <c r="C24" s="677"/>
      <c r="D24" s="693"/>
      <c r="E24" s="677"/>
      <c r="F24" s="693"/>
      <c r="G24" s="694"/>
      <c r="H24" s="455"/>
      <c r="I24" s="471"/>
      <c r="J24" s="468"/>
      <c r="K24" s="469"/>
      <c r="L24" s="469"/>
      <c r="M24" s="469"/>
      <c r="N24" s="469"/>
      <c r="O24" s="469"/>
      <c r="P24" s="469"/>
      <c r="Q24" s="470"/>
      <c r="R24" s="455"/>
      <c r="S24" s="455"/>
      <c r="T24" s="455"/>
      <c r="U24" s="455"/>
      <c r="V24" s="456"/>
      <c r="W24" s="456"/>
      <c r="X24" s="456"/>
      <c r="Y24" s="241"/>
      <c r="Z24" s="455"/>
      <c r="AA24" s="455"/>
      <c r="AB24" s="455"/>
      <c r="AC24" s="455"/>
      <c r="AD24" s="455"/>
    </row>
    <row r="25" spans="1:30" x14ac:dyDescent="0.25">
      <c r="A25" s="455"/>
      <c r="B25" s="455"/>
      <c r="C25" s="455"/>
      <c r="D25" s="455"/>
      <c r="E25" s="455"/>
      <c r="F25" s="455"/>
      <c r="G25" s="455"/>
      <c r="H25" s="455"/>
      <c r="I25" s="455"/>
      <c r="J25" s="455"/>
      <c r="K25" s="455"/>
      <c r="L25" s="455"/>
      <c r="M25" s="455"/>
      <c r="N25" s="455"/>
      <c r="O25" s="455"/>
      <c r="P25" s="455"/>
      <c r="Q25" s="455"/>
      <c r="R25" s="455"/>
      <c r="S25" s="455"/>
      <c r="T25" s="455"/>
      <c r="U25" s="455"/>
      <c r="V25" s="456"/>
      <c r="W25" s="456"/>
      <c r="X25" s="456"/>
      <c r="Y25" s="241"/>
      <c r="Z25" s="455"/>
      <c r="AA25" s="455"/>
      <c r="AB25" s="455"/>
      <c r="AC25" s="455"/>
      <c r="AD25" s="455"/>
    </row>
    <row r="26" spans="1:30" x14ac:dyDescent="0.25">
      <c r="A26" s="455"/>
      <c r="B26" s="455"/>
      <c r="C26" s="455"/>
      <c r="D26" s="455"/>
      <c r="E26" s="455"/>
      <c r="F26" s="455"/>
      <c r="G26" s="455"/>
      <c r="H26" s="455"/>
      <c r="I26" s="455"/>
      <c r="J26" s="455"/>
      <c r="K26" s="455"/>
      <c r="L26" s="455"/>
      <c r="M26" s="455"/>
      <c r="N26" s="455"/>
      <c r="O26" s="455"/>
      <c r="P26" s="455"/>
      <c r="Q26" s="455"/>
      <c r="R26" s="455"/>
      <c r="S26" s="455"/>
      <c r="T26" s="455"/>
      <c r="U26" s="455"/>
      <c r="V26" s="456"/>
      <c r="W26" s="456"/>
      <c r="X26" s="456"/>
      <c r="Y26" s="241"/>
      <c r="Z26" s="455"/>
      <c r="AA26" s="455"/>
      <c r="AB26" s="455"/>
      <c r="AC26" s="455"/>
      <c r="AD26" s="455"/>
    </row>
    <row r="27" spans="1:30" ht="20.25" customHeight="1" x14ac:dyDescent="0.25">
      <c r="A27" s="455"/>
      <c r="B27" s="455"/>
      <c r="C27" s="455"/>
      <c r="D27" s="455"/>
      <c r="E27" s="455"/>
      <c r="F27" s="455"/>
      <c r="G27" s="455"/>
      <c r="H27" s="455"/>
      <c r="I27" s="455"/>
      <c r="J27" s="455"/>
      <c r="K27" s="455"/>
      <c r="L27" s="455"/>
      <c r="M27" s="455"/>
      <c r="N27" s="455"/>
      <c r="O27" s="455"/>
      <c r="P27" s="455"/>
      <c r="Q27" s="455"/>
      <c r="R27" s="455"/>
      <c r="S27" s="455"/>
      <c r="T27" s="455"/>
      <c r="U27" s="455"/>
      <c r="V27" s="456"/>
      <c r="W27" s="456"/>
      <c r="X27" s="456"/>
      <c r="Z27" s="455"/>
      <c r="AA27" s="455"/>
      <c r="AB27" s="455"/>
      <c r="AC27" s="455"/>
      <c r="AD27" s="455"/>
    </row>
    <row r="28" spans="1:30" x14ac:dyDescent="0.25">
      <c r="A28" s="455"/>
      <c r="B28" s="455"/>
      <c r="C28" s="455"/>
      <c r="D28" s="455"/>
      <c r="E28" s="455"/>
      <c r="F28" s="455"/>
      <c r="G28" s="455"/>
      <c r="H28" s="455"/>
      <c r="I28" s="455"/>
      <c r="J28" s="455"/>
      <c r="K28" s="455"/>
      <c r="L28" s="455"/>
      <c r="M28" s="455"/>
      <c r="N28" s="455"/>
      <c r="O28" s="455"/>
      <c r="P28" s="455"/>
      <c r="Q28" s="455"/>
      <c r="R28" s="455"/>
      <c r="S28" s="455"/>
      <c r="T28" s="455"/>
      <c r="U28" s="455"/>
      <c r="V28" s="456"/>
      <c r="W28" s="456"/>
      <c r="X28" s="456"/>
      <c r="Z28" s="455"/>
      <c r="AA28" s="455"/>
      <c r="AB28" s="455"/>
      <c r="AC28" s="455"/>
      <c r="AD28" s="455"/>
    </row>
    <row r="29" spans="1:30" x14ac:dyDescent="0.25">
      <c r="A29" s="455"/>
      <c r="B29" s="455"/>
      <c r="C29" s="455"/>
      <c r="D29" s="455"/>
      <c r="E29" s="455"/>
      <c r="F29" s="455"/>
      <c r="G29" s="455"/>
      <c r="H29" s="455"/>
      <c r="I29" s="455"/>
      <c r="J29" s="455"/>
      <c r="K29" s="455"/>
      <c r="L29" s="455"/>
      <c r="M29" s="455"/>
      <c r="N29" s="455"/>
      <c r="O29" s="455"/>
      <c r="P29" s="455"/>
      <c r="Q29" s="455"/>
      <c r="R29" s="455"/>
      <c r="S29" s="455"/>
      <c r="T29" s="455"/>
      <c r="U29" s="455"/>
      <c r="V29" s="456"/>
      <c r="W29" s="456"/>
      <c r="X29" s="456"/>
      <c r="Z29" s="455"/>
      <c r="AA29" s="455"/>
      <c r="AB29" s="455"/>
      <c r="AC29" s="455"/>
      <c r="AD29" s="455"/>
    </row>
    <row r="30" spans="1:30" x14ac:dyDescent="0.25">
      <c r="A30" s="455"/>
      <c r="B30" s="455"/>
      <c r="C30" s="455"/>
      <c r="D30" s="455"/>
      <c r="E30" s="455"/>
      <c r="F30" s="455"/>
      <c r="G30" s="455"/>
      <c r="H30" s="455"/>
      <c r="I30" s="455"/>
      <c r="J30" s="455"/>
      <c r="K30" s="455"/>
      <c r="L30" s="455"/>
      <c r="M30" s="455"/>
      <c r="N30" s="455"/>
      <c r="O30" s="455"/>
      <c r="P30" s="455"/>
      <c r="Q30" s="455"/>
      <c r="R30" s="455"/>
      <c r="S30" s="455"/>
      <c r="T30" s="455"/>
      <c r="U30" s="455"/>
      <c r="V30" s="456"/>
      <c r="W30" s="456"/>
      <c r="X30" s="456"/>
      <c r="Z30" s="455"/>
      <c r="AA30" s="455"/>
      <c r="AB30" s="455"/>
      <c r="AC30" s="455"/>
      <c r="AD30" s="455"/>
    </row>
    <row r="31" spans="1:30" x14ac:dyDescent="0.25">
      <c r="A31" s="455"/>
      <c r="B31" s="455"/>
      <c r="C31" s="455"/>
      <c r="D31" s="455"/>
      <c r="E31" s="455"/>
      <c r="F31" s="455"/>
      <c r="G31" s="455"/>
      <c r="H31" s="455"/>
      <c r="I31" s="455"/>
      <c r="J31" s="455"/>
      <c r="K31" s="455"/>
      <c r="L31" s="455"/>
      <c r="M31" s="455"/>
      <c r="N31" s="455"/>
      <c r="O31" s="455"/>
      <c r="P31" s="455"/>
      <c r="Q31" s="455"/>
      <c r="R31" s="455"/>
      <c r="S31" s="455"/>
      <c r="T31" s="455"/>
      <c r="U31" s="455"/>
      <c r="V31" s="456"/>
      <c r="W31" s="456"/>
      <c r="X31" s="456"/>
      <c r="Z31" s="455"/>
      <c r="AA31" s="455"/>
      <c r="AB31" s="455"/>
      <c r="AC31" s="455"/>
      <c r="AD31" s="455"/>
    </row>
    <row r="32" spans="1:30" x14ac:dyDescent="0.25">
      <c r="A32" s="455"/>
      <c r="B32" s="455"/>
      <c r="C32" s="455"/>
      <c r="D32" s="455"/>
      <c r="E32" s="455"/>
      <c r="F32" s="455"/>
      <c r="G32" s="455"/>
      <c r="H32" s="455"/>
      <c r="I32" s="455"/>
      <c r="J32" s="455"/>
      <c r="K32" s="455"/>
      <c r="L32" s="455"/>
      <c r="M32" s="455"/>
      <c r="N32" s="455"/>
      <c r="O32" s="455"/>
      <c r="P32" s="455"/>
      <c r="Q32" s="455"/>
      <c r="R32" s="455"/>
      <c r="S32" s="455"/>
      <c r="T32" s="455"/>
      <c r="U32" s="455"/>
      <c r="V32" s="456"/>
      <c r="W32" s="456"/>
      <c r="X32" s="456"/>
      <c r="Z32" s="455"/>
      <c r="AA32" s="455"/>
      <c r="AB32" s="455"/>
      <c r="AC32" s="455"/>
      <c r="AD32" s="455"/>
    </row>
    <row r="33" spans="1:30" x14ac:dyDescent="0.25">
      <c r="A33" s="455"/>
      <c r="B33" s="455"/>
      <c r="C33" s="455"/>
      <c r="D33" s="455"/>
      <c r="E33" s="455"/>
      <c r="F33" s="455"/>
      <c r="G33" s="455"/>
      <c r="H33" s="455"/>
      <c r="I33" s="455"/>
      <c r="J33" s="455"/>
      <c r="K33" s="455"/>
      <c r="L33" s="455"/>
      <c r="M33" s="455"/>
      <c r="N33" s="455"/>
      <c r="O33" s="455"/>
      <c r="P33" s="455"/>
      <c r="Q33" s="455"/>
      <c r="R33" s="455"/>
      <c r="S33" s="455"/>
      <c r="T33" s="455"/>
      <c r="U33" s="455"/>
      <c r="V33" s="456"/>
      <c r="W33" s="456"/>
      <c r="X33" s="456"/>
      <c r="Y33" s="456"/>
      <c r="Z33" s="455"/>
      <c r="AA33" s="455"/>
      <c r="AB33" s="455"/>
      <c r="AC33" s="455"/>
      <c r="AD33" s="455"/>
    </row>
    <row r="34" spans="1:30" x14ac:dyDescent="0.25">
      <c r="A34" s="455"/>
      <c r="B34" s="455"/>
      <c r="C34" s="455"/>
      <c r="D34" s="455"/>
      <c r="E34" s="455"/>
      <c r="F34" s="455"/>
      <c r="G34" s="455"/>
      <c r="H34" s="455"/>
      <c r="I34" s="455"/>
      <c r="J34" s="455"/>
      <c r="K34" s="455"/>
      <c r="L34" s="455"/>
      <c r="M34" s="455"/>
      <c r="N34" s="455"/>
      <c r="O34" s="455"/>
      <c r="P34" s="455"/>
      <c r="Q34" s="455"/>
      <c r="R34" s="455"/>
      <c r="S34" s="455"/>
      <c r="T34" s="455"/>
      <c r="U34" s="455"/>
      <c r="V34" s="456"/>
      <c r="W34" s="456"/>
      <c r="X34" s="456"/>
      <c r="Y34" s="456"/>
      <c r="Z34" s="455"/>
      <c r="AA34" s="455"/>
      <c r="AB34" s="455"/>
      <c r="AC34" s="455"/>
      <c r="AD34" s="455"/>
    </row>
    <row r="35" spans="1:30" x14ac:dyDescent="0.25">
      <c r="A35" s="455"/>
      <c r="B35" s="455"/>
      <c r="C35" s="455"/>
      <c r="D35" s="455"/>
      <c r="E35" s="455"/>
      <c r="F35" s="455"/>
      <c r="G35" s="455"/>
      <c r="H35" s="455"/>
      <c r="I35" s="455"/>
      <c r="J35" s="455"/>
      <c r="K35" s="455"/>
      <c r="L35" s="455"/>
      <c r="M35" s="455"/>
      <c r="N35" s="455"/>
      <c r="O35" s="455"/>
      <c r="P35" s="455"/>
      <c r="Q35" s="455"/>
      <c r="R35" s="455"/>
      <c r="S35" s="455"/>
      <c r="T35" s="455"/>
      <c r="U35" s="455"/>
      <c r="V35" s="456"/>
      <c r="W35" s="456"/>
      <c r="X35" s="456"/>
      <c r="Y35" s="456"/>
      <c r="Z35" s="455"/>
      <c r="AA35" s="455"/>
      <c r="AB35" s="455"/>
      <c r="AC35" s="455"/>
      <c r="AD35" s="455"/>
    </row>
    <row r="36" spans="1:30" x14ac:dyDescent="0.25">
      <c r="A36" s="455"/>
      <c r="B36" s="455"/>
      <c r="C36" s="455"/>
      <c r="D36" s="455"/>
      <c r="E36" s="455"/>
      <c r="F36" s="455"/>
      <c r="G36" s="455"/>
      <c r="H36" s="455"/>
      <c r="I36" s="455"/>
      <c r="J36" s="455"/>
      <c r="K36" s="455"/>
      <c r="L36" s="455"/>
      <c r="M36" s="455"/>
      <c r="N36" s="455"/>
      <c r="O36" s="455"/>
      <c r="P36" s="455"/>
      <c r="Q36" s="455"/>
      <c r="R36" s="455"/>
      <c r="S36" s="455"/>
      <c r="T36" s="455"/>
      <c r="U36" s="455"/>
      <c r="V36" s="456"/>
      <c r="W36" s="456"/>
      <c r="X36" s="456"/>
      <c r="Y36" s="456"/>
      <c r="Z36" s="455"/>
      <c r="AA36" s="455"/>
      <c r="AB36" s="455"/>
      <c r="AC36" s="455"/>
      <c r="AD36" s="455"/>
    </row>
    <row r="37" spans="1:30" x14ac:dyDescent="0.25">
      <c r="A37" s="455"/>
      <c r="B37" s="455"/>
      <c r="C37" s="455"/>
      <c r="D37" s="455"/>
      <c r="E37" s="455"/>
      <c r="F37" s="455"/>
      <c r="G37" s="455"/>
      <c r="H37" s="455"/>
      <c r="I37" s="455"/>
      <c r="J37" s="455"/>
      <c r="K37" s="455"/>
      <c r="L37" s="455"/>
      <c r="M37" s="455"/>
      <c r="N37" s="455"/>
      <c r="O37" s="455"/>
      <c r="P37" s="455"/>
      <c r="Q37" s="455"/>
      <c r="R37" s="455"/>
      <c r="S37" s="455"/>
      <c r="T37" s="455"/>
      <c r="U37" s="455"/>
      <c r="V37" s="456"/>
      <c r="W37" s="456"/>
      <c r="X37" s="456"/>
      <c r="Y37" s="456"/>
      <c r="Z37" s="455"/>
      <c r="AA37" s="455"/>
      <c r="AB37" s="455"/>
      <c r="AC37" s="455"/>
      <c r="AD37" s="455"/>
    </row>
    <row r="38" spans="1:30" x14ac:dyDescent="0.25">
      <c r="A38" s="455"/>
      <c r="B38" s="455"/>
      <c r="C38" s="455"/>
      <c r="D38" s="455"/>
      <c r="E38" s="455"/>
      <c r="F38" s="455"/>
      <c r="G38" s="455"/>
      <c r="H38" s="455"/>
      <c r="I38" s="455"/>
      <c r="J38" s="455"/>
      <c r="K38" s="455"/>
      <c r="L38" s="455"/>
      <c r="M38" s="455"/>
      <c r="N38" s="455"/>
      <c r="O38" s="455"/>
      <c r="P38" s="455"/>
      <c r="Q38" s="455"/>
      <c r="R38" s="455"/>
      <c r="S38" s="455"/>
      <c r="T38" s="455"/>
      <c r="U38" s="455"/>
      <c r="V38" s="456"/>
      <c r="W38" s="456"/>
      <c r="X38" s="456"/>
      <c r="Y38" s="456"/>
      <c r="Z38" s="455"/>
      <c r="AA38" s="455"/>
      <c r="AB38" s="455"/>
      <c r="AC38" s="455"/>
      <c r="AD38" s="455"/>
    </row>
    <row r="39" spans="1:30" x14ac:dyDescent="0.25">
      <c r="A39" s="455"/>
      <c r="B39" s="455"/>
      <c r="C39" s="455"/>
      <c r="D39" s="455"/>
      <c r="E39" s="455"/>
      <c r="F39" s="455"/>
      <c r="G39" s="455"/>
      <c r="H39" s="455"/>
      <c r="I39" s="455"/>
      <c r="J39" s="455"/>
      <c r="K39" s="455"/>
      <c r="L39" s="455"/>
      <c r="M39" s="455"/>
      <c r="N39" s="455"/>
      <c r="O39" s="455"/>
      <c r="P39" s="455"/>
      <c r="Q39" s="455"/>
      <c r="R39" s="455"/>
      <c r="S39" s="455"/>
      <c r="T39" s="455"/>
      <c r="U39" s="455"/>
      <c r="V39" s="456"/>
      <c r="W39" s="456"/>
      <c r="X39" s="456"/>
      <c r="Y39" s="456"/>
      <c r="Z39" s="455"/>
      <c r="AA39" s="455"/>
      <c r="AB39" s="455"/>
      <c r="AC39" s="455"/>
      <c r="AD39" s="455"/>
    </row>
    <row r="40" spans="1:30" x14ac:dyDescent="0.25">
      <c r="A40" s="455"/>
      <c r="B40" s="455"/>
      <c r="C40" s="455"/>
      <c r="D40" s="455"/>
      <c r="E40" s="455"/>
      <c r="F40" s="455"/>
      <c r="G40" s="455"/>
      <c r="H40" s="455"/>
      <c r="I40" s="455"/>
      <c r="J40" s="455"/>
      <c r="K40" s="455"/>
      <c r="L40" s="455"/>
      <c r="M40" s="455"/>
      <c r="N40" s="455"/>
      <c r="O40" s="455"/>
      <c r="P40" s="455"/>
      <c r="Q40" s="455"/>
      <c r="R40" s="455"/>
      <c r="S40" s="455"/>
      <c r="T40" s="455"/>
      <c r="U40" s="455"/>
      <c r="V40" s="456"/>
      <c r="W40" s="456"/>
      <c r="X40" s="456"/>
      <c r="Y40" s="456"/>
      <c r="Z40" s="455"/>
      <c r="AA40" s="455"/>
      <c r="AB40" s="455"/>
      <c r="AC40" s="455"/>
      <c r="AD40" s="455"/>
    </row>
    <row r="41" spans="1:30" x14ac:dyDescent="0.25">
      <c r="A41" s="455"/>
      <c r="B41" s="455"/>
      <c r="C41" s="455"/>
      <c r="D41" s="455"/>
      <c r="E41" s="455"/>
      <c r="F41" s="455"/>
      <c r="G41" s="455"/>
      <c r="H41" s="455"/>
      <c r="I41" s="455"/>
      <c r="J41" s="455"/>
      <c r="K41" s="455"/>
      <c r="L41" s="455"/>
      <c r="M41" s="455"/>
      <c r="N41" s="455"/>
      <c r="O41" s="455"/>
      <c r="P41" s="455"/>
      <c r="Q41" s="455"/>
      <c r="R41" s="455"/>
      <c r="S41" s="455"/>
      <c r="T41" s="455"/>
      <c r="U41" s="455"/>
      <c r="V41" s="456"/>
      <c r="W41" s="456"/>
      <c r="X41" s="456"/>
      <c r="Y41" s="456"/>
      <c r="Z41" s="455"/>
      <c r="AA41" s="455"/>
      <c r="AB41" s="455"/>
      <c r="AC41" s="455"/>
      <c r="AD41" s="455"/>
    </row>
    <row r="42" spans="1:30" x14ac:dyDescent="0.25">
      <c r="A42" s="455"/>
      <c r="B42" s="455"/>
      <c r="C42" s="455"/>
      <c r="D42" s="455"/>
      <c r="E42" s="455"/>
      <c r="F42" s="455"/>
      <c r="G42" s="455"/>
      <c r="H42" s="455"/>
      <c r="I42" s="455"/>
      <c r="J42" s="455"/>
      <c r="K42" s="455"/>
      <c r="L42" s="455"/>
      <c r="M42" s="455"/>
      <c r="N42" s="455"/>
      <c r="O42" s="455"/>
      <c r="P42" s="455"/>
      <c r="Q42" s="455"/>
      <c r="R42" s="455"/>
      <c r="S42" s="455"/>
      <c r="T42" s="455"/>
      <c r="U42" s="455"/>
      <c r="V42" s="456"/>
      <c r="W42" s="456"/>
      <c r="X42" s="456"/>
      <c r="Y42" s="456"/>
      <c r="Z42" s="455"/>
      <c r="AA42" s="455"/>
      <c r="AB42" s="455"/>
      <c r="AC42" s="455"/>
      <c r="AD42" s="455"/>
    </row>
    <row r="43" spans="1:30" x14ac:dyDescent="0.25">
      <c r="A43" s="455"/>
      <c r="B43" s="455"/>
      <c r="C43" s="455"/>
      <c r="D43" s="455"/>
      <c r="E43" s="455"/>
      <c r="F43" s="455"/>
      <c r="G43" s="455"/>
      <c r="H43" s="455"/>
      <c r="I43" s="455"/>
      <c r="J43" s="455"/>
      <c r="K43" s="455"/>
      <c r="L43" s="455"/>
      <c r="M43" s="455"/>
      <c r="N43" s="455"/>
      <c r="O43" s="455"/>
      <c r="P43" s="455"/>
      <c r="Q43" s="455"/>
      <c r="R43" s="455"/>
      <c r="S43" s="455"/>
      <c r="T43" s="455"/>
      <c r="U43" s="455"/>
      <c r="V43" s="456"/>
      <c r="W43" s="456"/>
      <c r="X43" s="456"/>
      <c r="Y43" s="456"/>
      <c r="Z43" s="455"/>
      <c r="AA43" s="455"/>
      <c r="AB43" s="455"/>
      <c r="AC43" s="455"/>
      <c r="AD43" s="455"/>
    </row>
    <row r="44" spans="1:30" x14ac:dyDescent="0.25">
      <c r="A44" s="455"/>
      <c r="B44" s="455"/>
      <c r="C44" s="455"/>
      <c r="D44" s="455"/>
      <c r="E44" s="455"/>
      <c r="F44" s="455"/>
      <c r="G44" s="455"/>
      <c r="H44" s="455"/>
      <c r="I44" s="455"/>
      <c r="J44" s="455"/>
      <c r="K44" s="455"/>
      <c r="L44" s="455"/>
      <c r="M44" s="455"/>
      <c r="N44" s="455"/>
      <c r="O44" s="455"/>
      <c r="P44" s="455"/>
      <c r="Q44" s="455"/>
      <c r="R44" s="455"/>
      <c r="S44" s="455"/>
      <c r="T44" s="455"/>
      <c r="U44" s="455"/>
      <c r="V44" s="456"/>
      <c r="W44" s="456"/>
      <c r="X44" s="456"/>
      <c r="Y44" s="456"/>
      <c r="Z44" s="455"/>
      <c r="AA44" s="455"/>
      <c r="AB44" s="455"/>
      <c r="AC44" s="455"/>
      <c r="AD44" s="455"/>
    </row>
    <row r="45" spans="1:30" x14ac:dyDescent="0.25">
      <c r="A45" s="455"/>
      <c r="B45" s="455"/>
      <c r="C45" s="455"/>
      <c r="D45" s="455"/>
      <c r="E45" s="455"/>
      <c r="F45" s="455"/>
      <c r="G45" s="455"/>
      <c r="H45" s="455"/>
      <c r="I45" s="455"/>
      <c r="J45" s="455"/>
      <c r="K45" s="455"/>
      <c r="L45" s="455"/>
      <c r="M45" s="455"/>
      <c r="N45" s="455"/>
      <c r="O45" s="455"/>
      <c r="P45" s="455"/>
      <c r="Q45" s="455"/>
      <c r="R45" s="455"/>
      <c r="S45" s="455"/>
      <c r="T45" s="455"/>
      <c r="U45" s="455"/>
      <c r="V45" s="456"/>
      <c r="W45" s="456"/>
      <c r="X45" s="456"/>
      <c r="Y45" s="456"/>
      <c r="Z45" s="455"/>
      <c r="AA45" s="455"/>
      <c r="AB45" s="455"/>
      <c r="AC45" s="455"/>
      <c r="AD45" s="455"/>
    </row>
    <row r="46" spans="1:30" x14ac:dyDescent="0.25">
      <c r="A46" s="455"/>
      <c r="B46" s="455"/>
      <c r="C46" s="455"/>
      <c r="D46" s="455"/>
      <c r="E46" s="455"/>
      <c r="F46" s="455"/>
      <c r="G46" s="455"/>
      <c r="H46" s="455"/>
      <c r="I46" s="455"/>
      <c r="J46" s="455"/>
      <c r="K46" s="455"/>
      <c r="L46" s="455"/>
      <c r="M46" s="455"/>
      <c r="N46" s="455"/>
      <c r="O46" s="455"/>
      <c r="P46" s="455"/>
      <c r="Q46" s="455"/>
      <c r="R46" s="455"/>
      <c r="S46" s="455"/>
      <c r="T46" s="455"/>
      <c r="U46" s="455"/>
      <c r="V46" s="456"/>
      <c r="W46" s="456"/>
      <c r="X46" s="456"/>
      <c r="Y46" s="456"/>
      <c r="Z46" s="455"/>
      <c r="AA46" s="455"/>
      <c r="AB46" s="455"/>
      <c r="AC46" s="455"/>
      <c r="AD46" s="455"/>
    </row>
    <row r="47" spans="1:30" x14ac:dyDescent="0.25">
      <c r="A47" s="455"/>
      <c r="B47" s="455"/>
      <c r="C47" s="455"/>
      <c r="D47" s="455"/>
      <c r="E47" s="455"/>
      <c r="F47" s="455"/>
      <c r="G47" s="455"/>
      <c r="H47" s="455"/>
      <c r="I47" s="455"/>
      <c r="J47" s="455"/>
      <c r="K47" s="455"/>
      <c r="L47" s="455"/>
      <c r="M47" s="455"/>
      <c r="N47" s="455"/>
      <c r="O47" s="455"/>
      <c r="P47" s="455"/>
      <c r="Q47" s="455"/>
      <c r="R47" s="455"/>
      <c r="S47" s="455"/>
      <c r="T47" s="455"/>
      <c r="U47" s="455"/>
      <c r="V47" s="456"/>
      <c r="W47" s="456"/>
      <c r="X47" s="456"/>
      <c r="Y47" s="456"/>
      <c r="Z47" s="455"/>
      <c r="AA47" s="455"/>
      <c r="AB47" s="455"/>
      <c r="AC47" s="455"/>
      <c r="AD47" s="455"/>
    </row>
    <row r="48" spans="1:30" x14ac:dyDescent="0.25">
      <c r="A48" s="455"/>
      <c r="B48" s="455"/>
      <c r="C48" s="455"/>
      <c r="D48" s="455"/>
      <c r="E48" s="455"/>
      <c r="F48" s="455"/>
      <c r="G48" s="455"/>
      <c r="H48" s="455"/>
      <c r="I48" s="455"/>
      <c r="J48" s="455"/>
      <c r="K48" s="455"/>
      <c r="L48" s="455"/>
      <c r="M48" s="455"/>
      <c r="N48" s="455"/>
      <c r="O48" s="455"/>
      <c r="P48" s="455"/>
      <c r="Q48" s="455"/>
      <c r="R48" s="455"/>
      <c r="S48" s="455"/>
      <c r="T48" s="455"/>
      <c r="U48" s="455"/>
      <c r="V48" s="456"/>
      <c r="W48" s="456"/>
      <c r="X48" s="456"/>
      <c r="Y48" s="456"/>
      <c r="Z48" s="455"/>
      <c r="AA48" s="455"/>
      <c r="AB48" s="455"/>
      <c r="AC48" s="455"/>
      <c r="AD48" s="455"/>
    </row>
    <row r="49" spans="1:30" x14ac:dyDescent="0.25">
      <c r="A49" s="455"/>
      <c r="B49" s="455"/>
      <c r="C49" s="455"/>
      <c r="D49" s="455"/>
      <c r="E49" s="455"/>
      <c r="F49" s="455"/>
      <c r="G49" s="455"/>
      <c r="H49" s="455"/>
      <c r="I49" s="455"/>
      <c r="J49" s="455"/>
      <c r="K49" s="455"/>
      <c r="L49" s="455"/>
      <c r="M49" s="455"/>
      <c r="N49" s="455"/>
      <c r="O49" s="455"/>
      <c r="P49" s="455"/>
      <c r="Q49" s="455"/>
      <c r="R49" s="455"/>
      <c r="S49" s="455"/>
      <c r="T49" s="455"/>
      <c r="U49" s="455"/>
      <c r="V49" s="456"/>
      <c r="W49" s="456"/>
      <c r="X49" s="456"/>
      <c r="Y49" s="456"/>
      <c r="Z49" s="455"/>
      <c r="AA49" s="455"/>
      <c r="AB49" s="455"/>
      <c r="AC49" s="455"/>
      <c r="AD49" s="455"/>
    </row>
    <row r="50" spans="1:30" x14ac:dyDescent="0.25">
      <c r="A50" s="455"/>
      <c r="B50" s="455"/>
      <c r="C50" s="455"/>
      <c r="D50" s="455"/>
      <c r="E50" s="455"/>
      <c r="F50" s="455"/>
      <c r="G50" s="455"/>
      <c r="H50" s="455"/>
      <c r="I50" s="455"/>
      <c r="J50" s="455"/>
      <c r="K50" s="455"/>
      <c r="L50" s="455"/>
      <c r="M50" s="455"/>
      <c r="N50" s="455"/>
      <c r="O50" s="455"/>
      <c r="P50" s="455"/>
      <c r="Q50" s="455"/>
      <c r="R50" s="455"/>
      <c r="S50" s="455"/>
      <c r="T50" s="455"/>
      <c r="U50" s="455"/>
      <c r="V50" s="456"/>
      <c r="W50" s="456"/>
      <c r="X50" s="456"/>
      <c r="Y50" s="456"/>
      <c r="Z50" s="455"/>
      <c r="AA50" s="455"/>
      <c r="AB50" s="455"/>
      <c r="AC50" s="455"/>
      <c r="AD50" s="455"/>
    </row>
    <row r="51" spans="1:30" x14ac:dyDescent="0.25">
      <c r="A51" s="455"/>
      <c r="B51" s="455"/>
      <c r="C51" s="455"/>
      <c r="D51" s="455"/>
      <c r="E51" s="455"/>
      <c r="F51" s="455"/>
      <c r="G51" s="455"/>
      <c r="H51" s="455"/>
      <c r="I51" s="455"/>
      <c r="J51" s="455"/>
      <c r="K51" s="455"/>
      <c r="L51" s="455"/>
      <c r="M51" s="455"/>
      <c r="N51" s="455"/>
      <c r="O51" s="455"/>
      <c r="P51" s="455"/>
      <c r="Q51" s="455"/>
      <c r="R51" s="455"/>
      <c r="S51" s="455"/>
      <c r="T51" s="455"/>
      <c r="U51" s="455"/>
      <c r="V51" s="456"/>
      <c r="W51" s="456"/>
      <c r="X51" s="456"/>
      <c r="Y51" s="456"/>
      <c r="Z51" s="455"/>
      <c r="AA51" s="455"/>
      <c r="AB51" s="455"/>
      <c r="AC51" s="455"/>
      <c r="AD51" s="455"/>
    </row>
    <row r="52" spans="1:30" x14ac:dyDescent="0.25">
      <c r="A52" s="455"/>
      <c r="B52" s="455"/>
      <c r="C52" s="455"/>
      <c r="D52" s="455"/>
      <c r="E52" s="455"/>
      <c r="F52" s="455"/>
      <c r="G52" s="455"/>
      <c r="H52" s="455"/>
      <c r="I52" s="455"/>
      <c r="J52" s="455"/>
      <c r="K52" s="455"/>
      <c r="L52" s="455"/>
      <c r="M52" s="455"/>
      <c r="N52" s="455"/>
      <c r="O52" s="455"/>
      <c r="P52" s="455"/>
      <c r="Q52" s="455"/>
      <c r="R52" s="455"/>
      <c r="S52" s="455"/>
      <c r="T52" s="455"/>
      <c r="U52" s="455"/>
      <c r="V52" s="456"/>
      <c r="W52" s="456"/>
      <c r="X52" s="456"/>
      <c r="Y52" s="456"/>
      <c r="Z52" s="455"/>
      <c r="AA52" s="455"/>
      <c r="AB52" s="455"/>
      <c r="AC52" s="455"/>
      <c r="AD52" s="455"/>
    </row>
    <row r="53" spans="1:30" x14ac:dyDescent="0.25">
      <c r="A53" s="455"/>
      <c r="B53" s="455"/>
      <c r="C53" s="455"/>
      <c r="D53" s="455"/>
      <c r="E53" s="455"/>
      <c r="F53" s="455"/>
      <c r="G53" s="455"/>
      <c r="H53" s="455"/>
      <c r="I53" s="455"/>
      <c r="J53" s="455"/>
      <c r="K53" s="455"/>
      <c r="L53" s="455"/>
      <c r="M53" s="455"/>
      <c r="N53" s="455"/>
      <c r="O53" s="455"/>
      <c r="P53" s="455"/>
      <c r="Q53" s="455"/>
      <c r="R53" s="455"/>
      <c r="S53" s="455"/>
      <c r="T53" s="455"/>
      <c r="U53" s="455"/>
      <c r="V53" s="456"/>
      <c r="W53" s="456"/>
      <c r="X53" s="456"/>
      <c r="Y53" s="456"/>
      <c r="Z53" s="455"/>
      <c r="AA53" s="455"/>
      <c r="AB53" s="455"/>
      <c r="AC53" s="455"/>
      <c r="AD53" s="455"/>
    </row>
    <row r="54" spans="1:30" x14ac:dyDescent="0.25">
      <c r="A54" s="455"/>
      <c r="B54" s="455"/>
      <c r="C54" s="455"/>
      <c r="D54" s="455"/>
      <c r="E54" s="455"/>
      <c r="F54" s="455"/>
      <c r="G54" s="455"/>
      <c r="H54" s="455"/>
      <c r="I54" s="455"/>
      <c r="J54" s="455"/>
      <c r="K54" s="455"/>
      <c r="L54" s="455"/>
      <c r="M54" s="455"/>
      <c r="N54" s="455"/>
      <c r="O54" s="455"/>
      <c r="P54" s="455"/>
      <c r="Q54" s="455"/>
      <c r="R54" s="455"/>
      <c r="S54" s="455"/>
      <c r="T54" s="455"/>
      <c r="U54" s="455"/>
      <c r="V54" s="456"/>
      <c r="W54" s="456"/>
      <c r="X54" s="456"/>
      <c r="Y54" s="456"/>
      <c r="Z54" s="455"/>
      <c r="AA54" s="455"/>
      <c r="AB54" s="455"/>
      <c r="AC54" s="455"/>
      <c r="AD54" s="455"/>
    </row>
    <row r="55" spans="1:30" x14ac:dyDescent="0.25">
      <c r="A55" s="455"/>
      <c r="B55" s="455"/>
      <c r="C55" s="455"/>
      <c r="D55" s="455"/>
      <c r="E55" s="455"/>
      <c r="F55" s="455"/>
      <c r="G55" s="455"/>
      <c r="H55" s="455"/>
      <c r="I55" s="455"/>
      <c r="J55" s="455"/>
      <c r="K55" s="455"/>
      <c r="L55" s="455"/>
      <c r="M55" s="455"/>
      <c r="N55" s="455"/>
      <c r="O55" s="455"/>
      <c r="P55" s="455"/>
      <c r="Q55" s="455"/>
      <c r="R55" s="455"/>
      <c r="S55" s="455"/>
      <c r="T55" s="455"/>
      <c r="U55" s="455"/>
      <c r="V55" s="456"/>
      <c r="W55" s="456"/>
      <c r="X55" s="456"/>
      <c r="Y55" s="456"/>
      <c r="Z55" s="455"/>
      <c r="AA55" s="455"/>
      <c r="AB55" s="455"/>
      <c r="AC55" s="455"/>
      <c r="AD55" s="455"/>
    </row>
    <row r="56" spans="1:30" x14ac:dyDescent="0.25">
      <c r="A56" s="455"/>
      <c r="B56" s="455"/>
      <c r="C56" s="455"/>
      <c r="D56" s="455"/>
      <c r="E56" s="455"/>
      <c r="F56" s="455"/>
      <c r="G56" s="455"/>
      <c r="H56" s="455"/>
      <c r="I56" s="455"/>
      <c r="J56" s="455"/>
      <c r="K56" s="455"/>
      <c r="L56" s="455"/>
      <c r="M56" s="455"/>
      <c r="N56" s="455"/>
      <c r="O56" s="455"/>
      <c r="P56" s="455"/>
      <c r="Q56" s="455"/>
      <c r="R56" s="455"/>
      <c r="S56" s="455"/>
      <c r="T56" s="455"/>
      <c r="U56" s="455"/>
      <c r="V56" s="456"/>
      <c r="W56" s="456"/>
      <c r="X56" s="456"/>
      <c r="Y56" s="456"/>
      <c r="Z56" s="455"/>
      <c r="AA56" s="455"/>
      <c r="AB56" s="455"/>
      <c r="AC56" s="455"/>
      <c r="AD56" s="455"/>
    </row>
    <row r="57" spans="1:30" x14ac:dyDescent="0.25">
      <c r="A57" s="455"/>
      <c r="B57" s="455"/>
      <c r="C57" s="455"/>
      <c r="D57" s="455"/>
      <c r="E57" s="455"/>
      <c r="F57" s="455"/>
      <c r="G57" s="455"/>
      <c r="H57" s="455"/>
      <c r="I57" s="455"/>
      <c r="J57" s="455"/>
      <c r="K57" s="455"/>
      <c r="L57" s="455"/>
      <c r="M57" s="455"/>
      <c r="N57" s="455"/>
      <c r="O57" s="455"/>
      <c r="P57" s="455"/>
      <c r="Q57" s="455"/>
      <c r="R57" s="455"/>
      <c r="S57" s="455"/>
      <c r="T57" s="455"/>
      <c r="U57" s="455"/>
      <c r="V57" s="456"/>
      <c r="W57" s="456"/>
      <c r="X57" s="456"/>
      <c r="Y57" s="456"/>
      <c r="Z57" s="455"/>
      <c r="AA57" s="455"/>
      <c r="AB57" s="455"/>
      <c r="AC57" s="455"/>
      <c r="AD57" s="455"/>
    </row>
    <row r="58" spans="1:30" x14ac:dyDescent="0.25">
      <c r="A58" s="455"/>
      <c r="B58" s="455"/>
      <c r="C58" s="455"/>
      <c r="D58" s="455"/>
      <c r="E58" s="455"/>
      <c r="F58" s="455"/>
      <c r="G58" s="455"/>
      <c r="H58" s="455"/>
      <c r="I58" s="455"/>
      <c r="J58" s="455"/>
      <c r="K58" s="455"/>
      <c r="L58" s="455"/>
      <c r="M58" s="455"/>
      <c r="N58" s="455"/>
      <c r="O58" s="455"/>
      <c r="P58" s="455"/>
      <c r="Q58" s="455"/>
      <c r="R58" s="455"/>
      <c r="S58" s="455"/>
      <c r="T58" s="455"/>
      <c r="U58" s="455"/>
      <c r="V58" s="456"/>
      <c r="W58" s="456"/>
      <c r="X58" s="456"/>
      <c r="Y58" s="456"/>
      <c r="Z58" s="455"/>
      <c r="AA58" s="455"/>
      <c r="AB58" s="455"/>
      <c r="AC58" s="455"/>
      <c r="AD58" s="455"/>
    </row>
    <row r="59" spans="1:30" x14ac:dyDescent="0.25">
      <c r="A59" s="455"/>
      <c r="B59" s="455"/>
      <c r="C59" s="455"/>
      <c r="D59" s="455"/>
      <c r="E59" s="455"/>
      <c r="F59" s="455"/>
      <c r="G59" s="455"/>
      <c r="H59" s="455"/>
      <c r="I59" s="455"/>
      <c r="J59" s="455"/>
      <c r="K59" s="455"/>
      <c r="L59" s="455"/>
      <c r="M59" s="455"/>
      <c r="N59" s="455"/>
      <c r="O59" s="455"/>
      <c r="P59" s="455"/>
      <c r="Q59" s="455"/>
      <c r="R59" s="455"/>
      <c r="S59" s="455"/>
      <c r="T59" s="455"/>
      <c r="U59" s="455"/>
      <c r="V59" s="456"/>
      <c r="W59" s="456"/>
      <c r="X59" s="456"/>
      <c r="Y59" s="456"/>
      <c r="Z59" s="455"/>
      <c r="AA59" s="455"/>
      <c r="AB59" s="455"/>
      <c r="AC59" s="455"/>
      <c r="AD59" s="455"/>
    </row>
    <row r="60" spans="1:30" x14ac:dyDescent="0.25">
      <c r="A60" s="455"/>
      <c r="B60" s="455"/>
      <c r="C60" s="455"/>
      <c r="D60" s="455"/>
      <c r="E60" s="455"/>
      <c r="F60" s="455"/>
      <c r="G60" s="455"/>
      <c r="H60" s="455"/>
      <c r="I60" s="455"/>
      <c r="J60" s="455"/>
      <c r="K60" s="455"/>
      <c r="L60" s="455"/>
      <c r="M60" s="455"/>
      <c r="N60" s="455"/>
      <c r="O60" s="455"/>
      <c r="P60" s="455"/>
      <c r="Q60" s="455"/>
      <c r="R60" s="455"/>
      <c r="S60" s="455"/>
      <c r="T60" s="455"/>
      <c r="U60" s="455"/>
      <c r="V60" s="456"/>
      <c r="W60" s="456"/>
      <c r="X60" s="456"/>
      <c r="Y60" s="456"/>
      <c r="Z60" s="455"/>
      <c r="AA60" s="455"/>
      <c r="AB60" s="455"/>
      <c r="AC60" s="455"/>
      <c r="AD60" s="455"/>
    </row>
    <row r="61" spans="1:30" x14ac:dyDescent="0.25">
      <c r="A61" s="455"/>
      <c r="B61" s="455"/>
      <c r="C61" s="455"/>
      <c r="D61" s="455"/>
      <c r="E61" s="455"/>
      <c r="F61" s="455"/>
      <c r="G61" s="455"/>
      <c r="H61" s="455"/>
      <c r="I61" s="455"/>
      <c r="J61" s="455"/>
      <c r="K61" s="455"/>
      <c r="L61" s="455"/>
      <c r="M61" s="455"/>
      <c r="N61" s="455"/>
      <c r="O61" s="455"/>
      <c r="P61" s="455"/>
      <c r="Q61" s="455"/>
      <c r="R61" s="455"/>
      <c r="S61" s="455"/>
      <c r="T61" s="455"/>
      <c r="U61" s="455"/>
      <c r="V61" s="456"/>
      <c r="W61" s="456"/>
      <c r="X61" s="456"/>
      <c r="Y61" s="456"/>
      <c r="Z61" s="455"/>
      <c r="AA61" s="455"/>
      <c r="AB61" s="455"/>
      <c r="AC61" s="455"/>
      <c r="AD61" s="455"/>
    </row>
    <row r="62" spans="1:30" x14ac:dyDescent="0.25">
      <c r="A62" s="455"/>
      <c r="B62" s="455"/>
      <c r="C62" s="455"/>
      <c r="D62" s="455"/>
      <c r="E62" s="455"/>
      <c r="F62" s="455"/>
      <c r="G62" s="455"/>
      <c r="H62" s="455"/>
      <c r="I62" s="455"/>
      <c r="J62" s="455"/>
      <c r="K62" s="455"/>
      <c r="L62" s="455"/>
      <c r="M62" s="455"/>
      <c r="N62" s="455"/>
      <c r="O62" s="455"/>
      <c r="P62" s="455"/>
      <c r="Q62" s="455"/>
      <c r="R62" s="455"/>
      <c r="S62" s="455"/>
      <c r="T62" s="455"/>
      <c r="U62" s="455"/>
      <c r="V62" s="456"/>
      <c r="W62" s="456"/>
      <c r="X62" s="456"/>
      <c r="Y62" s="456"/>
      <c r="Z62" s="455"/>
      <c r="AA62" s="455"/>
      <c r="AB62" s="455"/>
      <c r="AC62" s="455"/>
      <c r="AD62" s="455"/>
    </row>
    <row r="63" spans="1:30" x14ac:dyDescent="0.25">
      <c r="A63" s="455"/>
      <c r="B63" s="455"/>
      <c r="C63" s="455"/>
      <c r="D63" s="455"/>
      <c r="E63" s="455"/>
      <c r="F63" s="455"/>
      <c r="G63" s="455"/>
      <c r="H63" s="455"/>
      <c r="I63" s="455"/>
      <c r="J63" s="455"/>
      <c r="K63" s="455"/>
      <c r="L63" s="455"/>
      <c r="M63" s="455"/>
      <c r="N63" s="455"/>
      <c r="O63" s="455"/>
      <c r="P63" s="455"/>
      <c r="Q63" s="455"/>
      <c r="R63" s="455"/>
      <c r="S63" s="455"/>
      <c r="T63" s="455"/>
      <c r="U63" s="455"/>
      <c r="V63" s="456"/>
      <c r="W63" s="456"/>
      <c r="X63" s="456"/>
      <c r="Y63" s="456"/>
      <c r="Z63" s="455"/>
      <c r="AA63" s="455"/>
      <c r="AB63" s="455"/>
      <c r="AC63" s="455"/>
      <c r="AD63" s="455"/>
    </row>
    <row r="64" spans="1:30" x14ac:dyDescent="0.25">
      <c r="A64" s="456"/>
      <c r="B64" s="456"/>
      <c r="C64" s="456"/>
      <c r="D64" s="456"/>
      <c r="E64" s="456"/>
      <c r="F64" s="456"/>
      <c r="G64" s="456"/>
      <c r="H64" s="456"/>
      <c r="I64" s="456"/>
      <c r="J64" s="456"/>
      <c r="K64" s="456"/>
      <c r="L64" s="456"/>
      <c r="M64" s="456"/>
      <c r="N64" s="456"/>
      <c r="O64" s="456"/>
      <c r="P64" s="456"/>
      <c r="Q64" s="456"/>
      <c r="R64" s="456"/>
      <c r="S64" s="456"/>
      <c r="T64" s="456"/>
      <c r="U64" s="456"/>
      <c r="V64" s="456"/>
      <c r="W64" s="456"/>
      <c r="X64" s="456"/>
      <c r="Y64" s="456"/>
      <c r="Z64" s="456"/>
      <c r="AA64" s="456"/>
      <c r="AB64" s="456"/>
      <c r="AC64" s="456"/>
      <c r="AD64" s="456"/>
    </row>
    <row r="65" spans="1:30" x14ac:dyDescent="0.25">
      <c r="A65" s="456"/>
      <c r="B65" s="456"/>
      <c r="C65" s="456"/>
      <c r="D65" s="456"/>
      <c r="E65" s="456"/>
      <c r="F65" s="456"/>
      <c r="G65" s="456"/>
      <c r="H65" s="456"/>
      <c r="I65" s="456"/>
      <c r="J65" s="456"/>
      <c r="K65" s="456"/>
      <c r="L65" s="456"/>
      <c r="M65" s="456"/>
      <c r="N65" s="456"/>
      <c r="O65" s="456"/>
      <c r="P65" s="456"/>
      <c r="Q65" s="456"/>
      <c r="R65" s="456"/>
      <c r="S65" s="456"/>
      <c r="T65" s="456"/>
      <c r="U65" s="456"/>
      <c r="V65" s="456"/>
      <c r="W65" s="456"/>
      <c r="X65" s="456"/>
      <c r="Y65" s="456"/>
      <c r="Z65" s="456"/>
      <c r="AA65" s="456"/>
      <c r="AB65" s="456"/>
      <c r="AC65" s="456"/>
      <c r="AD65" s="456"/>
    </row>
    <row r="66" spans="1:30" x14ac:dyDescent="0.25">
      <c r="A66" s="456"/>
      <c r="B66" s="456"/>
      <c r="C66" s="456"/>
      <c r="D66" s="456"/>
      <c r="E66" s="456"/>
      <c r="F66" s="456"/>
      <c r="G66" s="456"/>
      <c r="H66" s="456"/>
      <c r="I66" s="456"/>
      <c r="J66" s="456"/>
      <c r="K66" s="456"/>
      <c r="L66" s="456"/>
      <c r="M66" s="456"/>
      <c r="N66" s="456"/>
      <c r="O66" s="456"/>
      <c r="P66" s="456"/>
      <c r="Q66" s="456"/>
      <c r="R66" s="456"/>
      <c r="S66" s="456"/>
      <c r="T66" s="456"/>
      <c r="U66" s="456"/>
      <c r="V66" s="456"/>
      <c r="W66" s="456"/>
      <c r="X66" s="456"/>
      <c r="Y66" s="456"/>
      <c r="Z66" s="456"/>
      <c r="AA66" s="456"/>
      <c r="AB66" s="456"/>
      <c r="AC66" s="456"/>
      <c r="AD66" s="456"/>
    </row>
    <row r="67" spans="1:30" x14ac:dyDescent="0.25">
      <c r="A67" s="456"/>
      <c r="B67" s="456"/>
      <c r="C67" s="456"/>
      <c r="D67" s="456"/>
      <c r="E67" s="456"/>
      <c r="F67" s="456"/>
      <c r="G67" s="456"/>
      <c r="H67" s="456"/>
      <c r="I67" s="456"/>
      <c r="J67" s="456"/>
      <c r="K67" s="456"/>
      <c r="L67" s="456"/>
      <c r="M67" s="456"/>
      <c r="N67" s="456"/>
      <c r="O67" s="456"/>
      <c r="P67" s="456"/>
      <c r="Q67" s="456"/>
      <c r="R67" s="456"/>
      <c r="S67" s="456"/>
      <c r="T67" s="456"/>
      <c r="U67" s="456"/>
      <c r="V67" s="456"/>
      <c r="W67" s="456"/>
      <c r="X67" s="456"/>
      <c r="Y67" s="456"/>
      <c r="Z67" s="456"/>
      <c r="AA67" s="456"/>
      <c r="AB67" s="456"/>
      <c r="AC67" s="456"/>
      <c r="AD67" s="456"/>
    </row>
    <row r="68" spans="1:30" x14ac:dyDescent="0.25">
      <c r="A68" s="456"/>
      <c r="B68" s="456"/>
      <c r="C68" s="456"/>
      <c r="D68" s="456"/>
      <c r="E68" s="456"/>
      <c r="F68" s="456"/>
      <c r="G68" s="456"/>
      <c r="H68" s="456"/>
      <c r="I68" s="456"/>
      <c r="J68" s="456"/>
      <c r="K68" s="456"/>
      <c r="L68" s="456"/>
      <c r="M68" s="456"/>
      <c r="N68" s="456"/>
      <c r="O68" s="456"/>
      <c r="P68" s="456"/>
      <c r="Q68" s="456"/>
      <c r="R68" s="456"/>
      <c r="S68" s="456"/>
      <c r="T68" s="456"/>
      <c r="U68" s="456"/>
      <c r="V68" s="456"/>
      <c r="W68" s="456"/>
      <c r="X68" s="456"/>
      <c r="Y68" s="456"/>
      <c r="Z68" s="456"/>
      <c r="AA68" s="456"/>
      <c r="AB68" s="456"/>
      <c r="AC68" s="456"/>
      <c r="AD68" s="456"/>
    </row>
    <row r="69" spans="1:30" x14ac:dyDescent="0.25">
      <c r="A69" s="456"/>
      <c r="B69" s="456"/>
      <c r="C69" s="456"/>
      <c r="D69" s="456"/>
      <c r="E69" s="456"/>
      <c r="F69" s="456"/>
      <c r="G69" s="456"/>
      <c r="H69" s="456"/>
      <c r="I69" s="456"/>
      <c r="J69" s="456"/>
      <c r="K69" s="456"/>
      <c r="L69" s="456"/>
      <c r="M69" s="456"/>
      <c r="N69" s="456"/>
      <c r="O69" s="456"/>
      <c r="P69" s="456"/>
      <c r="Q69" s="456"/>
      <c r="R69" s="456"/>
      <c r="S69" s="456"/>
      <c r="T69" s="456"/>
      <c r="U69" s="456"/>
      <c r="V69" s="456"/>
      <c r="W69" s="456"/>
      <c r="X69" s="456"/>
      <c r="Y69" s="456"/>
      <c r="Z69" s="456"/>
      <c r="AA69" s="456"/>
      <c r="AB69" s="456"/>
      <c r="AC69" s="456"/>
      <c r="AD69" s="456"/>
    </row>
    <row r="70" spans="1:30" x14ac:dyDescent="0.25">
      <c r="A70" s="456"/>
      <c r="B70" s="456"/>
      <c r="C70" s="456"/>
      <c r="D70" s="456"/>
      <c r="E70" s="456"/>
      <c r="F70" s="456"/>
      <c r="G70" s="456"/>
      <c r="H70" s="456"/>
      <c r="I70" s="456"/>
      <c r="J70" s="456"/>
      <c r="K70" s="456"/>
      <c r="L70" s="456"/>
      <c r="M70" s="456"/>
      <c r="N70" s="456"/>
      <c r="O70" s="456"/>
      <c r="P70" s="456"/>
      <c r="Q70" s="456"/>
      <c r="R70" s="456"/>
      <c r="S70" s="456"/>
      <c r="T70" s="456"/>
      <c r="U70" s="456"/>
      <c r="V70" s="456"/>
      <c r="W70" s="456"/>
      <c r="X70" s="456"/>
      <c r="Y70" s="456"/>
      <c r="Z70" s="456"/>
      <c r="AA70" s="456"/>
      <c r="AB70" s="456"/>
      <c r="AC70" s="456"/>
      <c r="AD70" s="456"/>
    </row>
    <row r="71" spans="1:30" x14ac:dyDescent="0.25">
      <c r="A71" s="456"/>
      <c r="B71" s="456"/>
      <c r="C71" s="456"/>
      <c r="D71" s="456"/>
      <c r="E71" s="456"/>
      <c r="F71" s="456"/>
      <c r="G71" s="456"/>
      <c r="H71" s="456"/>
      <c r="I71" s="456"/>
      <c r="J71" s="456"/>
      <c r="K71" s="456"/>
      <c r="L71" s="456"/>
      <c r="M71" s="456"/>
      <c r="N71" s="456"/>
      <c r="O71" s="456"/>
      <c r="P71" s="456"/>
      <c r="Q71" s="456"/>
      <c r="R71" s="456"/>
      <c r="S71" s="456"/>
      <c r="T71" s="456"/>
      <c r="U71" s="456"/>
      <c r="V71" s="456"/>
      <c r="W71" s="456"/>
      <c r="X71" s="456"/>
      <c r="Y71" s="456"/>
      <c r="Z71" s="456"/>
      <c r="AA71" s="456"/>
      <c r="AB71" s="456"/>
      <c r="AC71" s="456"/>
      <c r="AD71" s="456"/>
    </row>
    <row r="72" spans="1:30" x14ac:dyDescent="0.25">
      <c r="A72" s="456"/>
      <c r="B72" s="456"/>
      <c r="C72" s="456"/>
      <c r="D72" s="456"/>
      <c r="E72" s="456"/>
      <c r="F72" s="456"/>
      <c r="G72" s="456"/>
      <c r="H72" s="456"/>
      <c r="I72" s="456"/>
      <c r="J72" s="456"/>
      <c r="K72" s="456"/>
      <c r="L72" s="456"/>
      <c r="M72" s="456"/>
      <c r="N72" s="456"/>
      <c r="O72" s="456"/>
      <c r="P72" s="456"/>
      <c r="Q72" s="456"/>
      <c r="R72" s="456"/>
      <c r="S72" s="456"/>
      <c r="T72" s="456"/>
      <c r="U72" s="456"/>
      <c r="V72" s="456"/>
      <c r="W72" s="456"/>
      <c r="X72" s="456"/>
      <c r="Y72" s="456"/>
      <c r="Z72" s="456"/>
      <c r="AA72" s="456"/>
      <c r="AB72" s="456"/>
      <c r="AC72" s="456"/>
      <c r="AD72" s="456"/>
    </row>
    <row r="73" spans="1:30" x14ac:dyDescent="0.25">
      <c r="A73" s="456"/>
      <c r="B73" s="456"/>
      <c r="C73" s="456"/>
      <c r="D73" s="456"/>
      <c r="E73" s="456"/>
      <c r="F73" s="456"/>
      <c r="G73" s="456"/>
      <c r="H73" s="456"/>
      <c r="I73" s="456"/>
      <c r="J73" s="456"/>
      <c r="K73" s="456"/>
      <c r="L73" s="456"/>
      <c r="M73" s="456"/>
      <c r="N73" s="456"/>
      <c r="O73" s="456"/>
      <c r="P73" s="456"/>
      <c r="Q73" s="456"/>
      <c r="R73" s="456"/>
      <c r="S73" s="456"/>
      <c r="T73" s="456"/>
      <c r="U73" s="456"/>
      <c r="V73" s="456"/>
      <c r="W73" s="456"/>
      <c r="X73" s="456"/>
      <c r="Y73" s="456"/>
      <c r="Z73" s="456"/>
      <c r="AA73" s="456"/>
      <c r="AB73" s="456"/>
      <c r="AC73" s="456"/>
      <c r="AD73" s="456"/>
    </row>
    <row r="74" spans="1:30" x14ac:dyDescent="0.25">
      <c r="A74" s="456"/>
      <c r="B74" s="456"/>
      <c r="C74" s="456"/>
      <c r="D74" s="456"/>
      <c r="E74" s="456"/>
      <c r="F74" s="456"/>
      <c r="G74" s="456"/>
      <c r="H74" s="456"/>
      <c r="I74" s="456"/>
      <c r="J74" s="456"/>
      <c r="K74" s="456"/>
      <c r="L74" s="456"/>
      <c r="M74" s="456"/>
      <c r="N74" s="456"/>
      <c r="O74" s="456"/>
      <c r="P74" s="456"/>
      <c r="Q74" s="456"/>
      <c r="R74" s="456"/>
      <c r="S74" s="456"/>
      <c r="T74" s="456"/>
      <c r="U74" s="456"/>
      <c r="V74" s="456"/>
      <c r="W74" s="456"/>
      <c r="X74" s="456"/>
      <c r="Y74" s="456"/>
      <c r="Z74" s="456"/>
      <c r="AA74" s="456"/>
      <c r="AB74" s="456"/>
      <c r="AC74" s="456"/>
      <c r="AD74" s="456"/>
    </row>
    <row r="75" spans="1:30" x14ac:dyDescent="0.25">
      <c r="A75" s="456"/>
      <c r="B75" s="456"/>
      <c r="C75" s="456"/>
      <c r="D75" s="456"/>
      <c r="E75" s="456"/>
      <c r="F75" s="456"/>
      <c r="G75" s="456"/>
      <c r="H75" s="456"/>
      <c r="I75" s="456"/>
      <c r="J75" s="456"/>
      <c r="K75" s="456"/>
      <c r="L75" s="456"/>
      <c r="M75" s="456"/>
      <c r="N75" s="456"/>
      <c r="O75" s="456"/>
      <c r="P75" s="456"/>
      <c r="Q75" s="456"/>
      <c r="R75" s="456"/>
      <c r="S75" s="456"/>
      <c r="T75" s="456"/>
      <c r="U75" s="456"/>
      <c r="V75" s="456"/>
      <c r="W75" s="456"/>
      <c r="X75" s="456"/>
      <c r="Y75" s="456"/>
      <c r="Z75" s="456"/>
      <c r="AA75" s="456"/>
      <c r="AB75" s="456"/>
      <c r="AC75" s="456"/>
      <c r="AD75" s="456"/>
    </row>
    <row r="76" spans="1:30" x14ac:dyDescent="0.25">
      <c r="A76" s="456"/>
      <c r="B76" s="456"/>
      <c r="C76" s="456"/>
      <c r="D76" s="456"/>
      <c r="E76" s="456"/>
      <c r="F76" s="456"/>
      <c r="G76" s="456"/>
      <c r="H76" s="456"/>
      <c r="I76" s="456"/>
      <c r="J76" s="456"/>
      <c r="K76" s="456"/>
      <c r="L76" s="456"/>
      <c r="M76" s="456"/>
      <c r="N76" s="456"/>
      <c r="O76" s="456"/>
      <c r="P76" s="456"/>
      <c r="Q76" s="456"/>
      <c r="R76" s="456"/>
      <c r="S76" s="456"/>
      <c r="T76" s="456"/>
      <c r="U76" s="456"/>
      <c r="V76" s="456"/>
      <c r="W76" s="456"/>
      <c r="X76" s="456"/>
      <c r="Y76" s="456"/>
      <c r="Z76" s="456"/>
      <c r="AA76" s="456"/>
      <c r="AB76" s="456"/>
      <c r="AC76" s="456"/>
      <c r="AD76" s="456"/>
    </row>
    <row r="77" spans="1:30" x14ac:dyDescent="0.25">
      <c r="A77" s="456"/>
      <c r="B77" s="456"/>
      <c r="C77" s="456"/>
      <c r="D77" s="456"/>
      <c r="E77" s="456"/>
      <c r="F77" s="456"/>
      <c r="G77" s="456"/>
      <c r="H77" s="456"/>
      <c r="I77" s="456"/>
      <c r="J77" s="456"/>
      <c r="K77" s="456"/>
      <c r="L77" s="456"/>
      <c r="M77" s="456"/>
      <c r="N77" s="456"/>
      <c r="O77" s="456"/>
      <c r="P77" s="456"/>
      <c r="Q77" s="456"/>
      <c r="R77" s="456"/>
      <c r="S77" s="456"/>
      <c r="T77" s="456"/>
      <c r="U77" s="456"/>
      <c r="V77" s="456"/>
      <c r="W77" s="456"/>
      <c r="X77" s="456"/>
      <c r="Y77" s="456"/>
      <c r="Z77" s="456"/>
      <c r="AA77" s="456"/>
      <c r="AB77" s="456"/>
      <c r="AC77" s="456"/>
      <c r="AD77" s="456"/>
    </row>
    <row r="78" spans="1:30" x14ac:dyDescent="0.25">
      <c r="A78" s="456"/>
      <c r="B78" s="456"/>
      <c r="C78" s="456"/>
      <c r="D78" s="456"/>
      <c r="E78" s="456"/>
      <c r="F78" s="456"/>
      <c r="G78" s="456"/>
      <c r="H78" s="456"/>
      <c r="I78" s="456"/>
      <c r="J78" s="456"/>
      <c r="K78" s="456"/>
      <c r="L78" s="456"/>
      <c r="M78" s="456"/>
      <c r="N78" s="456"/>
      <c r="O78" s="456"/>
      <c r="P78" s="456"/>
      <c r="Q78" s="456"/>
      <c r="R78" s="456"/>
      <c r="S78" s="456"/>
      <c r="T78" s="456"/>
      <c r="U78" s="456"/>
      <c r="V78" s="456"/>
      <c r="W78" s="456"/>
      <c r="X78" s="456"/>
      <c r="Y78" s="456"/>
      <c r="Z78" s="456"/>
      <c r="AA78" s="456"/>
      <c r="AB78" s="456"/>
      <c r="AC78" s="456"/>
      <c r="AD78" s="456"/>
    </row>
    <row r="79" spans="1:30" x14ac:dyDescent="0.25">
      <c r="A79" s="456"/>
      <c r="B79" s="456"/>
      <c r="C79" s="456"/>
      <c r="D79" s="456"/>
      <c r="E79" s="456"/>
      <c r="F79" s="456"/>
      <c r="G79" s="456"/>
      <c r="H79" s="456"/>
      <c r="I79" s="456"/>
      <c r="J79" s="456"/>
      <c r="K79" s="456"/>
      <c r="L79" s="456"/>
      <c r="M79" s="456"/>
      <c r="N79" s="456"/>
      <c r="O79" s="456"/>
      <c r="P79" s="456"/>
      <c r="Q79" s="456"/>
      <c r="R79" s="456"/>
      <c r="S79" s="456"/>
      <c r="T79" s="456"/>
      <c r="U79" s="456"/>
      <c r="V79" s="456"/>
      <c r="W79" s="456"/>
      <c r="X79" s="456"/>
      <c r="Y79" s="456"/>
      <c r="Z79" s="456"/>
      <c r="AA79" s="456"/>
      <c r="AB79" s="456"/>
      <c r="AC79" s="456"/>
      <c r="AD79" s="456"/>
    </row>
    <row r="80" spans="1:30" x14ac:dyDescent="0.25">
      <c r="A80" s="456"/>
      <c r="B80" s="456"/>
      <c r="C80" s="456"/>
      <c r="D80" s="456"/>
      <c r="E80" s="456"/>
      <c r="F80" s="456"/>
      <c r="G80" s="456"/>
      <c r="H80" s="456"/>
      <c r="I80" s="456"/>
      <c r="J80" s="456"/>
      <c r="K80" s="456"/>
      <c r="L80" s="456"/>
      <c r="M80" s="456"/>
      <c r="N80" s="456"/>
      <c r="O80" s="456"/>
      <c r="P80" s="456"/>
      <c r="Q80" s="456"/>
      <c r="R80" s="456"/>
      <c r="S80" s="456"/>
      <c r="T80" s="456"/>
      <c r="U80" s="456"/>
      <c r="V80" s="456"/>
      <c r="W80" s="456"/>
      <c r="X80" s="456"/>
      <c r="Y80" s="456"/>
      <c r="Z80" s="456"/>
      <c r="AA80" s="456"/>
      <c r="AB80" s="456"/>
      <c r="AC80" s="456"/>
      <c r="AD80" s="456"/>
    </row>
    <row r="81" spans="1:30" x14ac:dyDescent="0.25">
      <c r="A81" s="456"/>
      <c r="B81" s="456"/>
      <c r="C81" s="456"/>
      <c r="D81" s="456"/>
      <c r="E81" s="456"/>
      <c r="F81" s="456"/>
      <c r="G81" s="456"/>
      <c r="H81" s="456"/>
      <c r="I81" s="456"/>
      <c r="J81" s="456"/>
      <c r="K81" s="456"/>
      <c r="L81" s="456"/>
      <c r="M81" s="456"/>
      <c r="N81" s="456"/>
      <c r="O81" s="456"/>
      <c r="P81" s="456"/>
      <c r="Q81" s="456"/>
      <c r="R81" s="456"/>
      <c r="S81" s="456"/>
      <c r="T81" s="456"/>
      <c r="U81" s="456"/>
      <c r="V81" s="456"/>
      <c r="W81" s="456"/>
      <c r="X81" s="456"/>
      <c r="Y81" s="456"/>
      <c r="Z81" s="456"/>
      <c r="AA81" s="456"/>
      <c r="AB81" s="456"/>
      <c r="AC81" s="456"/>
      <c r="AD81" s="456"/>
    </row>
    <row r="82" spans="1:30" x14ac:dyDescent="0.25">
      <c r="A82" s="456"/>
      <c r="B82" s="456"/>
      <c r="C82" s="456"/>
      <c r="D82" s="456"/>
      <c r="E82" s="456"/>
      <c r="F82" s="456"/>
      <c r="G82" s="456"/>
      <c r="H82" s="456"/>
      <c r="I82" s="456"/>
      <c r="J82" s="456"/>
      <c r="K82" s="456"/>
      <c r="L82" s="456"/>
      <c r="M82" s="456"/>
      <c r="N82" s="456"/>
      <c r="O82" s="456"/>
      <c r="P82" s="456"/>
      <c r="Q82" s="456"/>
      <c r="R82" s="456"/>
      <c r="S82" s="456"/>
      <c r="T82" s="456"/>
      <c r="U82" s="456"/>
      <c r="V82" s="456"/>
      <c r="W82" s="456"/>
      <c r="X82" s="456"/>
      <c r="Y82" s="456"/>
      <c r="Z82" s="456"/>
      <c r="AA82" s="456"/>
      <c r="AB82" s="456"/>
      <c r="AC82" s="456"/>
      <c r="AD82" s="456"/>
    </row>
    <row r="83" spans="1:30" x14ac:dyDescent="0.25">
      <c r="A83" s="456"/>
      <c r="B83" s="456"/>
      <c r="C83" s="456"/>
      <c r="D83" s="456"/>
      <c r="E83" s="456"/>
      <c r="F83" s="456"/>
      <c r="G83" s="456"/>
      <c r="H83" s="456"/>
      <c r="I83" s="456"/>
      <c r="J83" s="456"/>
      <c r="K83" s="456"/>
      <c r="L83" s="456"/>
      <c r="M83" s="456"/>
      <c r="N83" s="456"/>
      <c r="O83" s="456"/>
      <c r="P83" s="456"/>
      <c r="Q83" s="456"/>
      <c r="R83" s="456"/>
      <c r="S83" s="456"/>
      <c r="T83" s="456"/>
      <c r="U83" s="456"/>
      <c r="V83" s="456"/>
      <c r="W83" s="456"/>
      <c r="X83" s="456"/>
      <c r="Y83" s="456"/>
      <c r="Z83" s="456"/>
      <c r="AA83" s="456"/>
      <c r="AB83" s="456"/>
      <c r="AC83" s="456"/>
      <c r="AD83" s="456"/>
    </row>
    <row r="84" spans="1:30" x14ac:dyDescent="0.25">
      <c r="A84" s="456"/>
      <c r="B84" s="456"/>
      <c r="C84" s="456"/>
      <c r="D84" s="456"/>
      <c r="E84" s="456"/>
      <c r="F84" s="456"/>
      <c r="G84" s="456"/>
      <c r="H84" s="456"/>
      <c r="I84" s="456"/>
      <c r="J84" s="456"/>
      <c r="K84" s="456"/>
      <c r="L84" s="456"/>
      <c r="M84" s="456"/>
      <c r="N84" s="456"/>
      <c r="O84" s="456"/>
      <c r="P84" s="456"/>
      <c r="Q84" s="456"/>
      <c r="R84" s="456"/>
      <c r="S84" s="456"/>
      <c r="T84" s="456"/>
      <c r="U84" s="456"/>
      <c r="V84" s="456"/>
      <c r="W84" s="456"/>
      <c r="X84" s="456"/>
      <c r="Y84" s="456"/>
      <c r="Z84" s="456"/>
      <c r="AA84" s="456"/>
      <c r="AB84" s="456"/>
      <c r="AC84" s="456"/>
      <c r="AD84" s="456"/>
    </row>
    <row r="85" spans="1:30" x14ac:dyDescent="0.25">
      <c r="A85" s="456"/>
      <c r="B85" s="456"/>
      <c r="C85" s="456"/>
      <c r="D85" s="456"/>
      <c r="E85" s="456"/>
      <c r="F85" s="456"/>
      <c r="G85" s="456"/>
      <c r="H85" s="456"/>
      <c r="I85" s="456"/>
      <c r="J85" s="456"/>
      <c r="K85" s="456"/>
      <c r="L85" s="456"/>
      <c r="M85" s="456"/>
      <c r="N85" s="456"/>
      <c r="O85" s="456"/>
      <c r="P85" s="456"/>
      <c r="Q85" s="456"/>
      <c r="R85" s="456"/>
      <c r="S85" s="456"/>
      <c r="T85" s="456"/>
      <c r="U85" s="456"/>
      <c r="V85" s="456"/>
      <c r="W85" s="456"/>
      <c r="X85" s="456"/>
      <c r="Y85" s="456"/>
      <c r="Z85" s="456"/>
      <c r="AA85" s="456"/>
      <c r="AB85" s="456"/>
      <c r="AC85" s="456"/>
      <c r="AD85" s="456"/>
    </row>
    <row r="86" spans="1:30" x14ac:dyDescent="0.25">
      <c r="A86" s="456"/>
      <c r="B86" s="456"/>
      <c r="C86" s="456"/>
      <c r="D86" s="456"/>
      <c r="E86" s="456"/>
      <c r="F86" s="456"/>
      <c r="G86" s="456"/>
      <c r="H86" s="456"/>
      <c r="I86" s="456"/>
      <c r="J86" s="456"/>
      <c r="K86" s="456"/>
      <c r="L86" s="456"/>
      <c r="M86" s="456"/>
      <c r="N86" s="456"/>
      <c r="O86" s="456"/>
      <c r="P86" s="456"/>
      <c r="Q86" s="456"/>
      <c r="R86" s="456"/>
      <c r="S86" s="456"/>
      <c r="T86" s="456"/>
      <c r="U86" s="456"/>
      <c r="V86" s="456"/>
      <c r="W86" s="456"/>
      <c r="X86" s="456"/>
      <c r="Y86" s="456"/>
      <c r="Z86" s="456"/>
      <c r="AA86" s="456"/>
      <c r="AB86" s="456"/>
      <c r="AC86" s="456"/>
      <c r="AD86" s="456"/>
    </row>
    <row r="87" spans="1:30" x14ac:dyDescent="0.25">
      <c r="A87" s="456"/>
      <c r="B87" s="456"/>
      <c r="C87" s="456"/>
      <c r="D87" s="456"/>
      <c r="E87" s="456"/>
      <c r="F87" s="456"/>
      <c r="G87" s="456"/>
      <c r="H87" s="456"/>
      <c r="I87" s="456"/>
      <c r="J87" s="456"/>
      <c r="K87" s="456"/>
      <c r="L87" s="456"/>
      <c r="M87" s="456"/>
      <c r="N87" s="456"/>
      <c r="O87" s="456"/>
      <c r="P87" s="456"/>
      <c r="Q87" s="456"/>
      <c r="R87" s="456"/>
      <c r="S87" s="456"/>
      <c r="T87" s="456"/>
      <c r="U87" s="456"/>
      <c r="V87" s="456"/>
      <c r="W87" s="456"/>
      <c r="X87" s="456"/>
      <c r="Y87" s="456"/>
      <c r="Z87" s="456"/>
      <c r="AA87" s="456"/>
      <c r="AB87" s="456"/>
      <c r="AC87" s="456"/>
      <c r="AD87" s="456"/>
    </row>
    <row r="88" spans="1:30" x14ac:dyDescent="0.25">
      <c r="A88" s="456"/>
      <c r="B88" s="456"/>
      <c r="C88" s="456"/>
      <c r="D88" s="456"/>
      <c r="E88" s="456"/>
      <c r="F88" s="456"/>
      <c r="G88" s="456"/>
      <c r="H88" s="456"/>
      <c r="I88" s="456"/>
      <c r="J88" s="456"/>
      <c r="K88" s="456"/>
      <c r="L88" s="456"/>
      <c r="M88" s="456"/>
      <c r="N88" s="456"/>
      <c r="O88" s="456"/>
      <c r="P88" s="456"/>
      <c r="Q88" s="456"/>
      <c r="R88" s="456"/>
      <c r="S88" s="456"/>
      <c r="T88" s="456"/>
      <c r="U88" s="456"/>
      <c r="V88" s="456"/>
      <c r="W88" s="456"/>
      <c r="X88" s="456"/>
      <c r="Y88" s="456"/>
      <c r="Z88" s="456"/>
      <c r="AA88" s="456"/>
      <c r="AB88" s="456"/>
      <c r="AC88" s="456"/>
      <c r="AD88" s="456"/>
    </row>
    <row r="89" spans="1:30" x14ac:dyDescent="0.25">
      <c r="A89" s="456"/>
      <c r="B89" s="456"/>
      <c r="C89" s="456"/>
      <c r="D89" s="456"/>
      <c r="E89" s="456"/>
      <c r="F89" s="456"/>
      <c r="G89" s="456"/>
      <c r="H89" s="456"/>
      <c r="I89" s="456"/>
      <c r="J89" s="456"/>
      <c r="K89" s="456"/>
      <c r="L89" s="456"/>
      <c r="M89" s="456"/>
      <c r="N89" s="456"/>
      <c r="O89" s="456"/>
      <c r="P89" s="456"/>
      <c r="Q89" s="456"/>
      <c r="R89" s="456"/>
      <c r="S89" s="456"/>
      <c r="T89" s="456"/>
      <c r="U89" s="456"/>
      <c r="V89" s="456"/>
      <c r="W89" s="456"/>
      <c r="X89" s="456"/>
      <c r="Y89" s="456"/>
      <c r="Z89" s="456"/>
      <c r="AA89" s="456"/>
      <c r="AB89" s="456"/>
      <c r="AC89" s="456"/>
      <c r="AD89" s="456"/>
    </row>
    <row r="90" spans="1:30" x14ac:dyDescent="0.25">
      <c r="A90" s="456"/>
      <c r="B90" s="456"/>
      <c r="C90" s="456"/>
      <c r="D90" s="456"/>
      <c r="E90" s="456"/>
      <c r="F90" s="456"/>
      <c r="G90" s="456"/>
      <c r="H90" s="456"/>
      <c r="I90" s="456"/>
      <c r="J90" s="456"/>
      <c r="K90" s="456"/>
      <c r="L90" s="456"/>
      <c r="M90" s="456"/>
      <c r="N90" s="456"/>
      <c r="O90" s="456"/>
      <c r="P90" s="456"/>
      <c r="Q90" s="456"/>
      <c r="R90" s="456"/>
      <c r="S90" s="456"/>
      <c r="T90" s="456"/>
      <c r="U90" s="456"/>
      <c r="V90" s="456"/>
      <c r="W90" s="456"/>
      <c r="X90" s="456"/>
      <c r="Y90" s="456"/>
      <c r="Z90" s="456"/>
      <c r="AA90" s="456"/>
      <c r="AB90" s="456"/>
      <c r="AC90" s="456"/>
      <c r="AD90" s="456"/>
    </row>
    <row r="91" spans="1:30" x14ac:dyDescent="0.25">
      <c r="A91" s="456"/>
      <c r="B91" s="456"/>
      <c r="C91" s="456"/>
      <c r="D91" s="456"/>
      <c r="E91" s="456"/>
      <c r="F91" s="456"/>
      <c r="G91" s="456"/>
      <c r="H91" s="456"/>
      <c r="I91" s="456"/>
      <c r="J91" s="456"/>
      <c r="K91" s="456"/>
      <c r="L91" s="456"/>
      <c r="M91" s="456"/>
      <c r="N91" s="456"/>
      <c r="O91" s="456"/>
      <c r="P91" s="456"/>
      <c r="Q91" s="456"/>
      <c r="R91" s="456"/>
      <c r="S91" s="456"/>
      <c r="T91" s="456"/>
      <c r="U91" s="456"/>
      <c r="V91" s="456"/>
      <c r="W91" s="456"/>
      <c r="X91" s="456"/>
      <c r="Y91" s="456"/>
      <c r="Z91" s="456"/>
      <c r="AA91" s="456"/>
      <c r="AB91" s="456"/>
      <c r="AC91" s="456"/>
      <c r="AD91" s="456"/>
    </row>
    <row r="92" spans="1:30" x14ac:dyDescent="0.25">
      <c r="A92" s="456"/>
      <c r="B92" s="456"/>
      <c r="C92" s="456"/>
      <c r="D92" s="456"/>
      <c r="E92" s="456"/>
      <c r="F92" s="456"/>
      <c r="G92" s="456"/>
      <c r="H92" s="456"/>
      <c r="I92" s="456"/>
      <c r="J92" s="456"/>
      <c r="K92" s="456"/>
      <c r="L92" s="456"/>
      <c r="M92" s="456"/>
      <c r="N92" s="456"/>
      <c r="O92" s="456"/>
      <c r="P92" s="456"/>
      <c r="Q92" s="456"/>
      <c r="R92" s="456"/>
      <c r="S92" s="456"/>
      <c r="T92" s="456"/>
      <c r="U92" s="456"/>
      <c r="V92" s="456"/>
      <c r="W92" s="456"/>
      <c r="X92" s="456"/>
      <c r="Y92" s="456"/>
      <c r="Z92" s="456"/>
      <c r="AA92" s="456"/>
      <c r="AB92" s="456"/>
      <c r="AC92" s="456"/>
      <c r="AD92" s="456"/>
    </row>
    <row r="93" spans="1:30" x14ac:dyDescent="0.25">
      <c r="A93" s="456"/>
      <c r="B93" s="456"/>
    </row>
    <row r="94" spans="1:30" x14ac:dyDescent="0.25">
      <c r="A94" s="456"/>
      <c r="B94" s="456"/>
    </row>
    <row r="95" spans="1:30" x14ac:dyDescent="0.25">
      <c r="A95" s="456"/>
      <c r="B95" s="456"/>
    </row>
    <row r="96" spans="1:30" x14ac:dyDescent="0.25">
      <c r="A96" s="456"/>
      <c r="B96" s="456"/>
    </row>
    <row r="97" spans="1:2" x14ac:dyDescent="0.25">
      <c r="A97" s="456"/>
      <c r="B97" s="456"/>
    </row>
    <row r="98" spans="1:2" x14ac:dyDescent="0.25">
      <c r="A98" s="456"/>
      <c r="B98" s="456"/>
    </row>
    <row r="99" spans="1:2" x14ac:dyDescent="0.25">
      <c r="A99" s="456"/>
      <c r="B99" s="456"/>
    </row>
    <row r="100" spans="1:2" x14ac:dyDescent="0.25">
      <c r="A100" s="456"/>
      <c r="B100" s="456"/>
    </row>
    <row r="101" spans="1:2" x14ac:dyDescent="0.25">
      <c r="A101" s="456"/>
      <c r="B101" s="456"/>
    </row>
    <row r="102" spans="1:2" x14ac:dyDescent="0.25">
      <c r="A102" s="456"/>
      <c r="B102" s="456"/>
    </row>
    <row r="103" spans="1:2" x14ac:dyDescent="0.25">
      <c r="A103" s="456"/>
      <c r="B103" s="456"/>
    </row>
    <row r="104" spans="1:2" x14ac:dyDescent="0.25">
      <c r="A104" s="456"/>
      <c r="B104" s="456"/>
    </row>
    <row r="105" spans="1:2" x14ac:dyDescent="0.25">
      <c r="A105" s="456"/>
      <c r="B105" s="456"/>
    </row>
    <row r="106" spans="1:2" x14ac:dyDescent="0.25">
      <c r="A106" s="456"/>
      <c r="B106" s="456"/>
    </row>
    <row r="107" spans="1:2" x14ac:dyDescent="0.25">
      <c r="A107" s="456"/>
      <c r="B107" s="456"/>
    </row>
    <row r="108" spans="1:2" x14ac:dyDescent="0.25">
      <c r="A108" s="456"/>
      <c r="B108" s="456"/>
    </row>
    <row r="109" spans="1:2" x14ac:dyDescent="0.25">
      <c r="A109" s="456"/>
      <c r="B109" s="456"/>
    </row>
    <row r="110" spans="1:2" x14ac:dyDescent="0.25">
      <c r="A110" s="456"/>
      <c r="B110" s="456"/>
    </row>
    <row r="111" spans="1:2" x14ac:dyDescent="0.25">
      <c r="A111" s="456"/>
      <c r="B111" s="456"/>
    </row>
    <row r="112" spans="1:2" x14ac:dyDescent="0.25">
      <c r="A112" s="456"/>
      <c r="B112" s="456"/>
    </row>
    <row r="113" spans="1:2" x14ac:dyDescent="0.25">
      <c r="A113" s="456"/>
      <c r="B113" s="456"/>
    </row>
    <row r="114" spans="1:2" x14ac:dyDescent="0.25">
      <c r="A114" s="456"/>
      <c r="B114" s="456"/>
    </row>
    <row r="115" spans="1:2" x14ac:dyDescent="0.25">
      <c r="A115" s="456"/>
      <c r="B115" s="456"/>
    </row>
    <row r="116" spans="1:2" x14ac:dyDescent="0.25">
      <c r="A116" s="456"/>
      <c r="B116" s="456"/>
    </row>
    <row r="117" spans="1:2" x14ac:dyDescent="0.25">
      <c r="A117" s="456"/>
      <c r="B117" s="456"/>
    </row>
    <row r="118" spans="1:2" x14ac:dyDescent="0.25">
      <c r="A118" s="456"/>
      <c r="B118" s="456"/>
    </row>
    <row r="119" spans="1:2" x14ac:dyDescent="0.25">
      <c r="A119" s="456"/>
      <c r="B119" s="456"/>
    </row>
    <row r="120" spans="1:2" x14ac:dyDescent="0.25">
      <c r="A120" s="456"/>
      <c r="B120" s="456"/>
    </row>
    <row r="121" spans="1:2" x14ac:dyDescent="0.25">
      <c r="A121" s="456"/>
      <c r="B121" s="456"/>
    </row>
    <row r="122" spans="1:2" x14ac:dyDescent="0.25">
      <c r="A122" s="456"/>
      <c r="B122" s="456"/>
    </row>
    <row r="123" spans="1:2" x14ac:dyDescent="0.25">
      <c r="A123" s="456"/>
      <c r="B123" s="456"/>
    </row>
    <row r="124" spans="1:2" x14ac:dyDescent="0.25">
      <c r="A124" s="456"/>
      <c r="B124" s="456"/>
    </row>
    <row r="125" spans="1:2" x14ac:dyDescent="0.25">
      <c r="A125" s="456"/>
      <c r="B125" s="456"/>
    </row>
    <row r="126" spans="1:2" x14ac:dyDescent="0.25">
      <c r="A126" s="456"/>
      <c r="B126" s="456"/>
    </row>
    <row r="127" spans="1:2" x14ac:dyDescent="0.25">
      <c r="A127" s="456"/>
      <c r="B127" s="456"/>
    </row>
    <row r="128" spans="1:2" x14ac:dyDescent="0.25">
      <c r="A128" s="456"/>
      <c r="B128" s="456"/>
    </row>
    <row r="129" spans="1:2" x14ac:dyDescent="0.25">
      <c r="A129" s="456"/>
      <c r="B129" s="456"/>
    </row>
    <row r="130" spans="1:2" x14ac:dyDescent="0.25">
      <c r="A130" s="456"/>
      <c r="B130" s="456"/>
    </row>
    <row r="131" spans="1:2" x14ac:dyDescent="0.25">
      <c r="A131" s="456"/>
      <c r="B131" s="456"/>
    </row>
    <row r="132" spans="1:2" x14ac:dyDescent="0.25">
      <c r="A132" s="456"/>
      <c r="B132" s="456"/>
    </row>
    <row r="133" spans="1:2" x14ac:dyDescent="0.25">
      <c r="A133" s="456"/>
      <c r="B133" s="456"/>
    </row>
    <row r="134" spans="1:2" x14ac:dyDescent="0.25">
      <c r="A134" s="456"/>
      <c r="B134" s="456"/>
    </row>
    <row r="135" spans="1:2" x14ac:dyDescent="0.25">
      <c r="A135" s="456"/>
      <c r="B135" s="456"/>
    </row>
    <row r="136" spans="1:2" x14ac:dyDescent="0.25">
      <c r="A136" s="456"/>
      <c r="B136" s="456"/>
    </row>
    <row r="137" spans="1:2" x14ac:dyDescent="0.25">
      <c r="A137" s="456"/>
      <c r="B137" s="456"/>
    </row>
    <row r="138" spans="1:2" x14ac:dyDescent="0.25">
      <c r="A138" s="456"/>
      <c r="B138" s="456"/>
    </row>
    <row r="139" spans="1:2" x14ac:dyDescent="0.25">
      <c r="A139" s="456"/>
      <c r="B139" s="456"/>
    </row>
    <row r="140" spans="1:2" x14ac:dyDescent="0.25">
      <c r="A140" s="456"/>
      <c r="B140" s="456"/>
    </row>
    <row r="141" spans="1:2" x14ac:dyDescent="0.25">
      <c r="A141" s="456"/>
      <c r="B141" s="456"/>
    </row>
    <row r="142" spans="1:2" x14ac:dyDescent="0.25">
      <c r="A142" s="456"/>
      <c r="B142" s="456"/>
    </row>
    <row r="143" spans="1:2" x14ac:dyDescent="0.25">
      <c r="A143" s="456"/>
      <c r="B143" s="456"/>
    </row>
    <row r="144" spans="1:2" x14ac:dyDescent="0.25">
      <c r="A144" s="456"/>
      <c r="B144" s="456"/>
    </row>
    <row r="145" spans="1:2" x14ac:dyDescent="0.25">
      <c r="A145" s="456"/>
      <c r="B145" s="456"/>
    </row>
    <row r="146" spans="1:2" x14ac:dyDescent="0.25">
      <c r="A146" s="456"/>
      <c r="B146" s="456"/>
    </row>
    <row r="147" spans="1:2" x14ac:dyDescent="0.25">
      <c r="A147" s="456"/>
      <c r="B147" s="456"/>
    </row>
    <row r="148" spans="1:2" x14ac:dyDescent="0.25">
      <c r="A148" s="456"/>
      <c r="B148" s="456"/>
    </row>
    <row r="149" spans="1:2" x14ac:dyDescent="0.25">
      <c r="A149" s="456"/>
      <c r="B149" s="456"/>
    </row>
    <row r="150" spans="1:2" x14ac:dyDescent="0.25">
      <c r="A150" s="456"/>
      <c r="B150" s="456"/>
    </row>
    <row r="151" spans="1:2" x14ac:dyDescent="0.25">
      <c r="A151" s="456"/>
      <c r="B151" s="456"/>
    </row>
    <row r="152" spans="1:2" x14ac:dyDescent="0.25">
      <c r="A152" s="456"/>
      <c r="B152" s="456"/>
    </row>
    <row r="153" spans="1:2" x14ac:dyDescent="0.25">
      <c r="A153" s="456"/>
      <c r="B153" s="456"/>
    </row>
    <row r="154" spans="1:2" x14ac:dyDescent="0.25">
      <c r="A154" s="456"/>
      <c r="B154" s="456"/>
    </row>
    <row r="155" spans="1:2" x14ac:dyDescent="0.25">
      <c r="A155" s="456"/>
      <c r="B155" s="456"/>
    </row>
    <row r="156" spans="1:2" x14ac:dyDescent="0.25">
      <c r="A156" s="456"/>
      <c r="B156" s="456"/>
    </row>
    <row r="157" spans="1:2" x14ac:dyDescent="0.25">
      <c r="A157" s="456"/>
      <c r="B157" s="456"/>
    </row>
    <row r="158" spans="1:2" x14ac:dyDescent="0.25">
      <c r="A158" s="456"/>
      <c r="B158" s="456"/>
    </row>
    <row r="159" spans="1:2" x14ac:dyDescent="0.25">
      <c r="A159" s="456"/>
      <c r="B159" s="456"/>
    </row>
    <row r="160" spans="1:2" x14ac:dyDescent="0.25">
      <c r="A160" s="456"/>
      <c r="B160" s="456"/>
    </row>
    <row r="161" spans="1:2" x14ac:dyDescent="0.25">
      <c r="A161" s="456"/>
      <c r="B161" s="456"/>
    </row>
    <row r="162" spans="1:2" x14ac:dyDescent="0.25">
      <c r="A162" s="456"/>
      <c r="B162" s="456"/>
    </row>
    <row r="163" spans="1:2" x14ac:dyDescent="0.25">
      <c r="A163" s="456"/>
      <c r="B163" s="456"/>
    </row>
    <row r="164" spans="1:2" x14ac:dyDescent="0.25">
      <c r="A164" s="456"/>
      <c r="B164" s="456"/>
    </row>
    <row r="165" spans="1:2" x14ac:dyDescent="0.25">
      <c r="A165" s="456"/>
      <c r="B165" s="456"/>
    </row>
    <row r="166" spans="1:2" x14ac:dyDescent="0.25">
      <c r="A166" s="456"/>
      <c r="B166" s="456"/>
    </row>
    <row r="167" spans="1:2" x14ac:dyDescent="0.25">
      <c r="A167" s="456"/>
      <c r="B167" s="456"/>
    </row>
    <row r="168" spans="1:2" x14ac:dyDescent="0.25">
      <c r="A168" s="456"/>
      <c r="B168" s="456"/>
    </row>
    <row r="169" spans="1:2" x14ac:dyDescent="0.25">
      <c r="A169" s="456"/>
      <c r="B169" s="456"/>
    </row>
    <row r="170" spans="1:2" x14ac:dyDescent="0.25">
      <c r="A170" s="456"/>
      <c r="B170" s="456"/>
    </row>
    <row r="171" spans="1:2" x14ac:dyDescent="0.25">
      <c r="A171" s="456"/>
      <c r="B171" s="456"/>
    </row>
    <row r="172" spans="1:2" x14ac:dyDescent="0.25">
      <c r="A172" s="456"/>
      <c r="B172" s="456"/>
    </row>
    <row r="173" spans="1:2" x14ac:dyDescent="0.25">
      <c r="A173" s="456"/>
      <c r="B173" s="456"/>
    </row>
    <row r="174" spans="1:2" x14ac:dyDescent="0.25">
      <c r="A174" s="456"/>
      <c r="B174" s="456"/>
    </row>
    <row r="175" spans="1:2" x14ac:dyDescent="0.25">
      <c r="A175" s="456"/>
      <c r="B175" s="456"/>
    </row>
    <row r="176" spans="1:2" x14ac:dyDescent="0.25">
      <c r="A176" s="456"/>
      <c r="B176" s="456"/>
    </row>
    <row r="177" spans="1:2" x14ac:dyDescent="0.25">
      <c r="A177" s="456"/>
      <c r="B177" s="456"/>
    </row>
    <row r="178" spans="1:2" x14ac:dyDescent="0.25">
      <c r="A178" s="456"/>
      <c r="B178" s="456"/>
    </row>
    <row r="179" spans="1:2" x14ac:dyDescent="0.25">
      <c r="A179" s="456"/>
      <c r="B179" s="456"/>
    </row>
    <row r="180" spans="1:2" x14ac:dyDescent="0.25">
      <c r="A180" s="456"/>
      <c r="B180" s="456"/>
    </row>
    <row r="181" spans="1:2" x14ac:dyDescent="0.25">
      <c r="A181" s="456"/>
      <c r="B181" s="456"/>
    </row>
    <row r="182" spans="1:2" x14ac:dyDescent="0.25">
      <c r="A182" s="456"/>
      <c r="B182" s="456"/>
    </row>
    <row r="183" spans="1:2" x14ac:dyDescent="0.25">
      <c r="A183" s="456"/>
      <c r="B183" s="456"/>
    </row>
    <row r="184" spans="1:2" x14ac:dyDescent="0.25">
      <c r="A184" s="456"/>
      <c r="B184" s="456"/>
    </row>
    <row r="185" spans="1:2" x14ac:dyDescent="0.25">
      <c r="A185" s="456"/>
      <c r="B185" s="456"/>
    </row>
    <row r="186" spans="1:2" x14ac:dyDescent="0.25">
      <c r="A186" s="456"/>
      <c r="B186" s="456"/>
    </row>
    <row r="187" spans="1:2" x14ac:dyDescent="0.25">
      <c r="A187" s="456"/>
      <c r="B187" s="456"/>
    </row>
    <row r="188" spans="1:2" x14ac:dyDescent="0.25">
      <c r="A188" s="456"/>
      <c r="B188" s="456"/>
    </row>
    <row r="189" spans="1:2" x14ac:dyDescent="0.25">
      <c r="A189" s="456"/>
      <c r="B189" s="456"/>
    </row>
    <row r="190" spans="1:2" x14ac:dyDescent="0.25">
      <c r="A190" s="456"/>
      <c r="B190" s="456"/>
    </row>
    <row r="191" spans="1:2" x14ac:dyDescent="0.25">
      <c r="A191" s="456"/>
      <c r="B191" s="456"/>
    </row>
    <row r="192" spans="1:2" x14ac:dyDescent="0.25">
      <c r="A192" s="456"/>
      <c r="B192" s="456"/>
    </row>
    <row r="193" spans="1:2" x14ac:dyDescent="0.25">
      <c r="A193" s="456"/>
      <c r="B193" s="456"/>
    </row>
    <row r="194" spans="1:2" x14ac:dyDescent="0.25">
      <c r="A194" s="456"/>
      <c r="B194" s="456"/>
    </row>
    <row r="195" spans="1:2" x14ac:dyDescent="0.25">
      <c r="A195" s="456"/>
      <c r="B195" s="456"/>
    </row>
    <row r="196" spans="1:2" x14ac:dyDescent="0.25">
      <c r="A196" s="456"/>
      <c r="B196" s="456"/>
    </row>
    <row r="197" spans="1:2" x14ac:dyDescent="0.25">
      <c r="A197" s="456"/>
      <c r="B197" s="456"/>
    </row>
    <row r="198" spans="1:2" x14ac:dyDescent="0.25">
      <c r="A198" s="456"/>
      <c r="B198" s="456"/>
    </row>
    <row r="199" spans="1:2" x14ac:dyDescent="0.25">
      <c r="A199" s="456"/>
      <c r="B199" s="456"/>
    </row>
    <row r="200" spans="1:2" x14ac:dyDescent="0.25">
      <c r="A200" s="456"/>
      <c r="B200" s="456"/>
    </row>
    <row r="201" spans="1:2" x14ac:dyDescent="0.25">
      <c r="A201" s="456"/>
      <c r="B201" s="456"/>
    </row>
    <row r="202" spans="1:2" x14ac:dyDescent="0.25">
      <c r="A202" s="456"/>
      <c r="B202" s="456"/>
    </row>
    <row r="203" spans="1:2" x14ac:dyDescent="0.25">
      <c r="A203" s="456"/>
      <c r="B203" s="456"/>
    </row>
    <row r="204" spans="1:2" x14ac:dyDescent="0.25">
      <c r="A204" s="456"/>
      <c r="B204" s="456"/>
    </row>
    <row r="205" spans="1:2" x14ac:dyDescent="0.25">
      <c r="A205" s="456"/>
      <c r="B205" s="456"/>
    </row>
    <row r="206" spans="1:2" x14ac:dyDescent="0.25">
      <c r="A206" s="456"/>
      <c r="B206" s="456"/>
    </row>
    <row r="207" spans="1:2" x14ac:dyDescent="0.25">
      <c r="A207" s="456"/>
      <c r="B207" s="456"/>
    </row>
    <row r="208" spans="1:2" x14ac:dyDescent="0.25">
      <c r="A208" s="456"/>
      <c r="B208" s="456"/>
    </row>
    <row r="209" spans="1:2" x14ac:dyDescent="0.25">
      <c r="A209" s="456"/>
      <c r="B209" s="456"/>
    </row>
    <row r="210" spans="1:2" x14ac:dyDescent="0.25">
      <c r="A210" s="456"/>
      <c r="B210" s="456"/>
    </row>
    <row r="211" spans="1:2" x14ac:dyDescent="0.25">
      <c r="A211" s="456"/>
      <c r="B211" s="456"/>
    </row>
    <row r="212" spans="1:2" x14ac:dyDescent="0.25">
      <c r="A212" s="456"/>
      <c r="B212" s="456"/>
    </row>
    <row r="213" spans="1:2" x14ac:dyDescent="0.25">
      <c r="A213" s="456"/>
      <c r="B213" s="456"/>
    </row>
    <row r="214" spans="1:2" x14ac:dyDescent="0.25">
      <c r="A214" s="456"/>
      <c r="B214" s="456"/>
    </row>
    <row r="215" spans="1:2" x14ac:dyDescent="0.25">
      <c r="A215" s="456"/>
      <c r="B215" s="456"/>
    </row>
    <row r="216" spans="1:2" x14ac:dyDescent="0.25">
      <c r="A216" s="456"/>
      <c r="B216" s="456"/>
    </row>
    <row r="217" spans="1:2" x14ac:dyDescent="0.25">
      <c r="A217" s="456"/>
      <c r="B217" s="456"/>
    </row>
    <row r="218" spans="1:2" x14ac:dyDescent="0.25">
      <c r="A218" s="456"/>
      <c r="B218" s="456"/>
    </row>
    <row r="219" spans="1:2" x14ac:dyDescent="0.25">
      <c r="A219" s="456"/>
      <c r="B219" s="456"/>
    </row>
    <row r="220" spans="1:2" x14ac:dyDescent="0.25">
      <c r="A220" s="456"/>
      <c r="B220" s="456"/>
    </row>
    <row r="221" spans="1:2" x14ac:dyDescent="0.25">
      <c r="A221" s="456"/>
      <c r="B221" s="456"/>
    </row>
    <row r="222" spans="1:2" x14ac:dyDescent="0.25">
      <c r="A222" s="456"/>
      <c r="B222" s="456"/>
    </row>
    <row r="223" spans="1:2" x14ac:dyDescent="0.25">
      <c r="A223" s="456"/>
      <c r="B223" s="456"/>
    </row>
    <row r="224" spans="1:2" x14ac:dyDescent="0.25">
      <c r="A224" s="456"/>
      <c r="B224" s="456"/>
    </row>
    <row r="225" spans="1:2" x14ac:dyDescent="0.25">
      <c r="A225" s="456"/>
      <c r="B225" s="456"/>
    </row>
    <row r="226" spans="1:2" x14ac:dyDescent="0.25">
      <c r="A226" s="456"/>
      <c r="B226" s="456"/>
    </row>
    <row r="227" spans="1:2" x14ac:dyDescent="0.25">
      <c r="A227" s="456"/>
      <c r="B227" s="456"/>
    </row>
    <row r="228" spans="1:2" x14ac:dyDescent="0.25">
      <c r="A228" s="456"/>
      <c r="B228" s="456"/>
    </row>
    <row r="229" spans="1:2" x14ac:dyDescent="0.25">
      <c r="A229" s="456"/>
      <c r="B229" s="456"/>
    </row>
    <row r="230" spans="1:2" x14ac:dyDescent="0.25">
      <c r="A230" s="456"/>
      <c r="B230" s="456"/>
    </row>
    <row r="231" spans="1:2" x14ac:dyDescent="0.25">
      <c r="A231" s="456"/>
      <c r="B231" s="456"/>
    </row>
    <row r="232" spans="1:2" x14ac:dyDescent="0.25">
      <c r="A232" s="456"/>
      <c r="B232" s="456"/>
    </row>
    <row r="233" spans="1:2" x14ac:dyDescent="0.25">
      <c r="A233" s="456"/>
      <c r="B233" s="456"/>
    </row>
    <row r="234" spans="1:2" x14ac:dyDescent="0.25">
      <c r="A234" s="456"/>
      <c r="B234" s="456"/>
    </row>
    <row r="235" spans="1:2" x14ac:dyDescent="0.25">
      <c r="A235" s="456"/>
      <c r="B235" s="456"/>
    </row>
    <row r="236" spans="1:2" x14ac:dyDescent="0.25">
      <c r="A236" s="456"/>
      <c r="B236" s="456"/>
    </row>
    <row r="237" spans="1:2" x14ac:dyDescent="0.25">
      <c r="A237" s="456"/>
      <c r="B237" s="456"/>
    </row>
    <row r="238" spans="1:2" x14ac:dyDescent="0.25">
      <c r="A238" s="456"/>
      <c r="B238" s="456"/>
    </row>
    <row r="239" spans="1:2" x14ac:dyDescent="0.25">
      <c r="A239" s="456"/>
      <c r="B239" s="456"/>
    </row>
    <row r="240" spans="1:2" x14ac:dyDescent="0.25">
      <c r="A240" s="456"/>
      <c r="B240" s="456"/>
    </row>
    <row r="241" spans="1:2" x14ac:dyDescent="0.25">
      <c r="A241" s="456"/>
      <c r="B241" s="456"/>
    </row>
    <row r="242" spans="1:2" x14ac:dyDescent="0.25">
      <c r="A242" s="456"/>
      <c r="B242" s="456"/>
    </row>
    <row r="243" spans="1:2" x14ac:dyDescent="0.25">
      <c r="A243" s="456"/>
      <c r="B243" s="456"/>
    </row>
    <row r="244" spans="1:2" x14ac:dyDescent="0.25">
      <c r="A244" s="456"/>
      <c r="B244" s="456"/>
    </row>
    <row r="245" spans="1:2" x14ac:dyDescent="0.25">
      <c r="A245" s="456"/>
      <c r="B245" s="456"/>
    </row>
    <row r="246" spans="1:2" x14ac:dyDescent="0.25">
      <c r="A246" s="456"/>
      <c r="B246" s="456"/>
    </row>
    <row r="247" spans="1:2" x14ac:dyDescent="0.25">
      <c r="A247" s="456"/>
      <c r="B247" s="456"/>
    </row>
    <row r="248" spans="1:2" x14ac:dyDescent="0.25">
      <c r="A248" s="456"/>
      <c r="B248" s="456"/>
    </row>
    <row r="249" spans="1:2" x14ac:dyDescent="0.25">
      <c r="A249" s="456"/>
      <c r="B249" s="456"/>
    </row>
    <row r="250" spans="1:2" x14ac:dyDescent="0.25">
      <c r="A250" s="456"/>
      <c r="B250" s="456"/>
    </row>
    <row r="251" spans="1:2" x14ac:dyDescent="0.25">
      <c r="A251" s="456"/>
      <c r="B251" s="456"/>
    </row>
    <row r="257" s="30" customFormat="1" x14ac:dyDescent="0.25"/>
    <row r="258" s="30" customFormat="1" x14ac:dyDescent="0.25"/>
    <row r="259" s="30" customFormat="1" x14ac:dyDescent="0.25"/>
    <row r="260" s="30" customFormat="1" x14ac:dyDescent="0.25"/>
    <row r="261" s="30" customFormat="1" x14ac:dyDescent="0.25"/>
    <row r="262" s="30" customFormat="1" x14ac:dyDescent="0.25"/>
    <row r="263" s="30" customFormat="1" x14ac:dyDescent="0.25"/>
    <row r="264" s="30" customFormat="1" x14ac:dyDescent="0.25"/>
    <row r="265" s="30" customFormat="1" x14ac:dyDescent="0.25"/>
    <row r="266" s="30" customFormat="1" x14ac:dyDescent="0.25"/>
    <row r="267" s="30" customFormat="1" x14ac:dyDescent="0.25"/>
    <row r="268" s="30" customFormat="1" x14ac:dyDescent="0.25"/>
    <row r="269" s="30" customFormat="1" x14ac:dyDescent="0.25"/>
    <row r="270" s="30" customFormat="1" x14ac:dyDescent="0.25"/>
    <row r="271" s="30" customFormat="1" x14ac:dyDescent="0.25"/>
    <row r="272" s="30" customFormat="1" x14ac:dyDescent="0.25"/>
    <row r="273" s="30" customFormat="1" x14ac:dyDescent="0.25"/>
    <row r="274" s="30" customFormat="1" x14ac:dyDescent="0.25"/>
    <row r="275" s="30" customFormat="1" x14ac:dyDescent="0.25"/>
    <row r="276" s="30" customFormat="1" x14ac:dyDescent="0.25"/>
    <row r="277" s="30" customFormat="1" x14ac:dyDescent="0.25"/>
    <row r="278" s="30" customFormat="1" x14ac:dyDescent="0.25"/>
    <row r="279" s="30" customFormat="1" x14ac:dyDescent="0.25"/>
    <row r="280" s="30" customFormat="1" x14ac:dyDescent="0.25"/>
    <row r="281" s="30" customFormat="1" x14ac:dyDescent="0.25"/>
    <row r="282" s="30" customFormat="1" x14ac:dyDescent="0.25"/>
    <row r="283" s="30" customFormat="1" x14ac:dyDescent="0.25"/>
    <row r="284" s="30" customFormat="1" x14ac:dyDescent="0.25"/>
    <row r="285" s="30" customFormat="1" x14ac:dyDescent="0.25"/>
    <row r="286" s="30" customFormat="1" x14ac:dyDescent="0.25"/>
    <row r="287" s="30" customFormat="1" x14ac:dyDescent="0.25"/>
    <row r="288" s="30" customFormat="1" x14ac:dyDescent="0.25"/>
    <row r="289" s="30" customFormat="1" x14ac:dyDescent="0.25"/>
    <row r="290" s="30" customFormat="1" x14ac:dyDescent="0.25"/>
    <row r="291" s="30" customFormat="1" x14ac:dyDescent="0.25"/>
    <row r="292" s="30" customFormat="1" x14ac:dyDescent="0.25"/>
    <row r="293" s="30" customFormat="1" x14ac:dyDescent="0.25"/>
    <row r="294" s="30" customFormat="1" x14ac:dyDescent="0.25"/>
    <row r="295" s="30" customFormat="1" x14ac:dyDescent="0.25"/>
    <row r="296" s="30" customFormat="1" x14ac:dyDescent="0.25"/>
    <row r="297" s="30" customFormat="1" x14ac:dyDescent="0.25"/>
    <row r="298" s="30" customFormat="1" x14ac:dyDescent="0.25"/>
    <row r="299" s="30" customFormat="1" x14ac:dyDescent="0.25"/>
    <row r="300" s="30" customFormat="1" x14ac:dyDescent="0.25"/>
    <row r="301" s="30" customFormat="1" x14ac:dyDescent="0.25"/>
    <row r="302" s="30" customFormat="1" x14ac:dyDescent="0.25"/>
    <row r="303" s="30" customFormat="1" x14ac:dyDescent="0.25"/>
    <row r="304" s="30" customFormat="1" x14ac:dyDescent="0.25"/>
    <row r="305" s="30" customFormat="1" x14ac:dyDescent="0.25"/>
    <row r="306" s="30" customFormat="1" x14ac:dyDescent="0.25"/>
    <row r="307" s="30" customFormat="1" x14ac:dyDescent="0.25"/>
    <row r="308" s="30" customFormat="1" x14ac:dyDescent="0.25"/>
    <row r="309" s="30" customFormat="1" x14ac:dyDescent="0.25"/>
    <row r="310" s="30" customFormat="1" x14ac:dyDescent="0.25"/>
    <row r="311" s="30" customFormat="1" x14ac:dyDescent="0.25"/>
    <row r="312" s="30" customFormat="1" x14ac:dyDescent="0.25"/>
    <row r="313" s="30" customFormat="1" x14ac:dyDescent="0.25"/>
    <row r="314" s="30" customFormat="1" x14ac:dyDescent="0.25"/>
    <row r="315" s="30" customFormat="1" x14ac:dyDescent="0.25"/>
    <row r="316" s="30" customFormat="1" x14ac:dyDescent="0.25"/>
    <row r="317" s="30" customFormat="1" x14ac:dyDescent="0.25"/>
    <row r="318" s="30" customFormat="1" x14ac:dyDescent="0.25"/>
    <row r="319" s="30" customFormat="1" x14ac:dyDescent="0.25"/>
    <row r="320" s="30" customFormat="1" x14ac:dyDescent="0.25"/>
    <row r="321" s="30" customFormat="1" x14ac:dyDescent="0.25"/>
    <row r="322" s="30" customFormat="1" x14ac:dyDescent="0.25"/>
    <row r="323" s="30" customFormat="1" x14ac:dyDescent="0.25"/>
    <row r="324" s="30" customFormat="1" x14ac:dyDescent="0.25"/>
    <row r="325" s="30" customFormat="1" x14ac:dyDescent="0.25"/>
    <row r="326" s="30" customFormat="1" x14ac:dyDescent="0.25"/>
    <row r="327" s="30" customFormat="1" x14ac:dyDescent="0.25"/>
    <row r="328" s="30" customFormat="1" x14ac:dyDescent="0.25"/>
    <row r="329" s="30" customFormat="1" x14ac:dyDescent="0.25"/>
    <row r="330" s="30" customFormat="1" x14ac:dyDescent="0.25"/>
    <row r="331" s="30" customFormat="1" x14ac:dyDescent="0.25"/>
    <row r="332" s="30" customFormat="1" x14ac:dyDescent="0.25"/>
    <row r="333" s="30" customFormat="1" x14ac:dyDescent="0.25"/>
    <row r="334" s="30" customFormat="1" x14ac:dyDescent="0.25"/>
    <row r="335" s="30" customFormat="1" x14ac:dyDescent="0.25"/>
    <row r="336" s="30" customFormat="1" x14ac:dyDescent="0.25"/>
    <row r="337" s="30" customFormat="1" x14ac:dyDescent="0.25"/>
    <row r="338" s="30" customFormat="1" x14ac:dyDescent="0.25"/>
  </sheetData>
  <sheetProtection password="BCD8" sheet="1" objects="1" scenarios="1"/>
  <phoneticPr fontId="0" type="noConversion"/>
  <conditionalFormatting sqref="I13:I21 C7 C13 C15:C21 C9">
    <cfRule type="cellIs" dxfId="37" priority="6" stopIfTrue="1" operator="notEqual">
      <formula>""</formula>
    </cfRule>
  </conditionalFormatting>
  <conditionalFormatting sqref="L12">
    <cfRule type="expression" dxfId="36" priority="50" stopIfTrue="1">
      <formula>X23=TRUE</formula>
    </cfRule>
  </conditionalFormatting>
  <conditionalFormatting sqref="E9">
    <cfRule type="expression" dxfId="35" priority="52" stopIfTrue="1">
      <formula>W23=TRUE</formula>
    </cfRule>
  </conditionalFormatting>
  <conditionalFormatting sqref="K13:L13 K16:L17 L14:L15 K20:L20">
    <cfRule type="expression" dxfId="34" priority="55" stopIfTrue="1">
      <formula>#REF!=TRUE</formula>
    </cfRule>
  </conditionalFormatting>
  <conditionalFormatting sqref="K21:L21">
    <cfRule type="expression" dxfId="33" priority="59" stopIfTrue="1">
      <formula>#REF!=TRUE</formula>
    </cfRule>
  </conditionalFormatting>
  <pageMargins left="0.7" right="0.7" top="0.75" bottom="0.75" header="0.3" footer="0.3"/>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from>
                    <xdr:col>4</xdr:col>
                    <xdr:colOff>0</xdr:colOff>
                    <xdr:row>8</xdr:row>
                    <xdr:rowOff>82550</xdr:rowOff>
                  </from>
                  <to>
                    <xdr:col>4</xdr:col>
                    <xdr:colOff>2298700</xdr:colOff>
                    <xdr:row>8</xdr:row>
                    <xdr:rowOff>266700</xdr:rowOff>
                  </to>
                </anchor>
              </controlPr>
            </control>
          </mc:Choice>
        </mc:AlternateContent>
        <mc:AlternateContent xmlns:mc="http://schemas.openxmlformats.org/markup-compatibility/2006">
          <mc:Choice Requires="x14">
            <control shapeId="28674" r:id="rId5" name="Button 2">
              <controlPr defaultSize="0" print="0" autoFill="0" autoPict="0" macro="[0]!returnfrommemorysetup">
                <anchor moveWithCells="1" sizeWithCells="1">
                  <from>
                    <xdr:col>1</xdr:col>
                    <xdr:colOff>6350</xdr:colOff>
                    <xdr:row>0</xdr:row>
                    <xdr:rowOff>101600</xdr:rowOff>
                  </from>
                  <to>
                    <xdr:col>3</xdr:col>
                    <xdr:colOff>44450</xdr:colOff>
                    <xdr:row>2</xdr:row>
                    <xdr:rowOff>88900</xdr:rowOff>
                  </to>
                </anchor>
              </controlPr>
            </control>
          </mc:Choice>
        </mc:AlternateContent>
        <mc:AlternateContent xmlns:mc="http://schemas.openxmlformats.org/markup-compatibility/2006">
          <mc:Choice Requires="x14">
            <control shapeId="28675" r:id="rId6" name="Button 3">
              <controlPr defaultSize="0" print="0" autoFill="0" autoPict="0" macro="[0]!check_default_file_path">
                <anchor moveWithCells="1" sizeWithCells="1">
                  <from>
                    <xdr:col>9</xdr:col>
                    <xdr:colOff>107950</xdr:colOff>
                    <xdr:row>7</xdr:row>
                    <xdr:rowOff>44450</xdr:rowOff>
                  </from>
                  <to>
                    <xdr:col>9</xdr:col>
                    <xdr:colOff>2247900</xdr:colOff>
                    <xdr:row>11</xdr:row>
                    <xdr:rowOff>114300</xdr:rowOff>
                  </to>
                </anchor>
              </controlPr>
            </control>
          </mc:Choice>
        </mc:AlternateContent>
        <mc:AlternateContent xmlns:mc="http://schemas.openxmlformats.org/markup-compatibility/2006">
          <mc:Choice Requires="x14">
            <control shapeId="28677" r:id="rId7" name="Button 5">
              <controlPr defaultSize="0" print="0" autoFill="0" autoPict="0" macro="[0]!open_memory_folder">
                <anchor moveWithCells="1" sizeWithCells="1">
                  <from>
                    <xdr:col>11</xdr:col>
                    <xdr:colOff>25400</xdr:colOff>
                    <xdr:row>12</xdr:row>
                    <xdr:rowOff>228600</xdr:rowOff>
                  </from>
                  <to>
                    <xdr:col>12</xdr:col>
                    <xdr:colOff>565150</xdr:colOff>
                    <xdr:row>14</xdr:row>
                    <xdr:rowOff>120650</xdr:rowOff>
                  </to>
                </anchor>
              </controlPr>
            </control>
          </mc:Choice>
        </mc:AlternateContent>
        <mc:AlternateContent xmlns:mc="http://schemas.openxmlformats.org/markup-compatibility/2006">
          <mc:Choice Requires="x14">
            <control shapeId="28679" r:id="rId8" name="Button 7">
              <controlPr defaultSize="0" print="0" autoFill="0" autoPict="0" macro="[0]!open_client_memory">
                <anchor moveWithCells="1" sizeWithCells="1">
                  <from>
                    <xdr:col>10</xdr:col>
                    <xdr:colOff>12700</xdr:colOff>
                    <xdr:row>19</xdr:row>
                    <xdr:rowOff>69850</xdr:rowOff>
                  </from>
                  <to>
                    <xdr:col>10</xdr:col>
                    <xdr:colOff>711200</xdr:colOff>
                    <xdr:row>21</xdr:row>
                    <xdr:rowOff>38100</xdr:rowOff>
                  </to>
                </anchor>
              </controlPr>
            </control>
          </mc:Choice>
        </mc:AlternateContent>
        <mc:AlternateContent xmlns:mc="http://schemas.openxmlformats.org/markup-compatibility/2006">
          <mc:Choice Requires="x14">
            <control shapeId="28680" r:id="rId9" name="Button 8">
              <controlPr defaultSize="0" print="0" autoFill="0" autoPict="0" macro="[0]!download_memory_file">
                <anchor moveWithCells="1" sizeWithCells="1">
                  <from>
                    <xdr:col>10</xdr:col>
                    <xdr:colOff>12700</xdr:colOff>
                    <xdr:row>21</xdr:row>
                    <xdr:rowOff>114300</xdr:rowOff>
                  </from>
                  <to>
                    <xdr:col>12</xdr:col>
                    <xdr:colOff>69850</xdr:colOff>
                    <xdr:row>23</xdr:row>
                    <xdr:rowOff>107950</xdr:rowOff>
                  </to>
                </anchor>
              </controlPr>
            </control>
          </mc:Choice>
        </mc:AlternateContent>
        <mc:AlternateContent xmlns:mc="http://schemas.openxmlformats.org/markup-compatibility/2006">
          <mc:Choice Requires="x14">
            <control shapeId="28681" r:id="rId10" name="Button 9">
              <controlPr defaultSize="0" print="0" autoFill="0" autoPict="0" macro="[0]!returnfrommemorysetup">
                <anchor moveWithCells="1" sizeWithCells="1">
                  <from>
                    <xdr:col>17</xdr:col>
                    <xdr:colOff>107950</xdr:colOff>
                    <xdr:row>3</xdr:row>
                    <xdr:rowOff>0</xdr:rowOff>
                  </from>
                  <to>
                    <xdr:col>18</xdr:col>
                    <xdr:colOff>304800</xdr:colOff>
                    <xdr:row>5</xdr:row>
                    <xdr:rowOff>76200</xdr:rowOff>
                  </to>
                </anchor>
              </controlPr>
            </control>
          </mc:Choice>
        </mc:AlternateContent>
        <mc:AlternateContent xmlns:mc="http://schemas.openxmlformats.org/markup-compatibility/2006">
          <mc:Choice Requires="x14">
            <control shapeId="28682" r:id="rId11" name="Button 10">
              <controlPr defaultSize="0" print="0" autoFill="0" autoPict="0" macro="[0]!open_doc_folder">
                <anchor moveWithCells="1" sizeWithCells="1">
                  <from>
                    <xdr:col>9</xdr:col>
                    <xdr:colOff>2292350</xdr:colOff>
                    <xdr:row>7</xdr:row>
                    <xdr:rowOff>63500</xdr:rowOff>
                  </from>
                  <to>
                    <xdr:col>10</xdr:col>
                    <xdr:colOff>882650</xdr:colOff>
                    <xdr:row>11</xdr:row>
                    <xdr:rowOff>114300</xdr:rowOff>
                  </to>
                </anchor>
              </controlPr>
            </control>
          </mc:Choice>
        </mc:AlternateContent>
        <mc:AlternateContent xmlns:mc="http://schemas.openxmlformats.org/markup-compatibility/2006">
          <mc:Choice Requires="x14">
            <control shapeId="28685" r:id="rId12" name="Button 13">
              <controlPr defaultSize="0" print="0" autoFill="0" autoPict="0" macro="[0]!make_default_folder_and_file">
                <anchor moveWithCells="1" sizeWithCells="1">
                  <from>
                    <xdr:col>12</xdr:col>
                    <xdr:colOff>603250</xdr:colOff>
                    <xdr:row>12</xdr:row>
                    <xdr:rowOff>228600</xdr:rowOff>
                  </from>
                  <to>
                    <xdr:col>16</xdr:col>
                    <xdr:colOff>38100</xdr:colOff>
                    <xdr:row>14</xdr:row>
                    <xdr:rowOff>114300</xdr:rowOff>
                  </to>
                </anchor>
              </controlPr>
            </control>
          </mc:Choice>
        </mc:AlternateContent>
        <mc:AlternateContent xmlns:mc="http://schemas.openxmlformats.org/markup-compatibility/2006">
          <mc:Choice Requires="x14">
            <control shapeId="28686" r:id="rId13" name="Button 14">
              <controlPr defaultSize="0" print="0" autoFill="0" autoPict="0" macro="[0]!make_client_folder_and_file">
                <anchor moveWithCells="1" sizeWithCells="1">
                  <from>
                    <xdr:col>10</xdr:col>
                    <xdr:colOff>755650</xdr:colOff>
                    <xdr:row>19</xdr:row>
                    <xdr:rowOff>50800</xdr:rowOff>
                  </from>
                  <to>
                    <xdr:col>12</xdr:col>
                    <xdr:colOff>69850</xdr:colOff>
                    <xdr:row>21</xdr:row>
                    <xdr:rowOff>38100</xdr:rowOff>
                  </to>
                </anchor>
              </controlPr>
            </control>
          </mc:Choice>
        </mc:AlternateContent>
        <mc:AlternateContent xmlns:mc="http://schemas.openxmlformats.org/markup-compatibility/2006">
          <mc:Choice Requires="x14">
            <control shapeId="28818" r:id="rId14" name="Button 146">
              <controlPr defaultSize="0" print="0" autoFill="0" autoPict="0" macro="[0]!goto_memhelp">
                <anchor moveWithCells="1" sizeWithCells="1">
                  <from>
                    <xdr:col>12</xdr:col>
                    <xdr:colOff>317500</xdr:colOff>
                    <xdr:row>20</xdr:row>
                    <xdr:rowOff>82550</xdr:rowOff>
                  </from>
                  <to>
                    <xdr:col>13</xdr:col>
                    <xdr:colOff>107950</xdr:colOff>
                    <xdr:row>21</xdr:row>
                    <xdr:rowOff>190500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1D2C2-D17A-49B2-8437-655F6F0723B0}">
  <sheetPr codeName="Sheet27">
    <pageSetUpPr fitToPage="1"/>
  </sheetPr>
  <dimension ref="A1:Z75"/>
  <sheetViews>
    <sheetView showGridLines="0" workbookViewId="0">
      <selection activeCell="C4" sqref="C4"/>
    </sheetView>
  </sheetViews>
  <sheetFormatPr defaultColWidth="9.08984375" defaultRowHeight="12.5" x14ac:dyDescent="0.25"/>
  <cols>
    <col min="1" max="1" width="12.36328125" style="132" customWidth="1"/>
    <col min="2" max="2" width="2.54296875" style="132" customWidth="1"/>
    <col min="3" max="3" width="11.6328125" style="132" customWidth="1"/>
    <col min="4" max="4" width="11" style="132" customWidth="1"/>
    <col min="5" max="5" width="12.08984375" style="132" customWidth="1"/>
    <col min="6" max="6" width="9.08984375" style="132"/>
    <col min="7" max="7" width="10.453125" style="132" customWidth="1"/>
    <col min="8" max="8" width="10.08984375" style="132" customWidth="1"/>
    <col min="9" max="9" width="11.453125" style="132" customWidth="1"/>
    <col min="10" max="10" width="9.08984375" style="132"/>
    <col min="11" max="11" width="2.6328125" style="132" customWidth="1"/>
    <col min="12" max="12" width="1.453125" style="132" customWidth="1"/>
    <col min="13" max="13" width="1" style="132" customWidth="1"/>
    <col min="14" max="14" width="2.08984375" style="132" customWidth="1"/>
    <col min="15" max="15" width="24" style="132" customWidth="1"/>
    <col min="16" max="25" width="9.08984375" style="132"/>
    <col min="26" max="26" width="113" style="132" customWidth="1"/>
    <col min="27" max="16384" width="9.08984375" style="132"/>
  </cols>
  <sheetData>
    <row r="1" spans="1:26" x14ac:dyDescent="0.25">
      <c r="A1" s="130"/>
      <c r="B1" s="130"/>
      <c r="C1" s="130"/>
      <c r="D1" s="130"/>
      <c r="E1" s="130"/>
      <c r="F1" s="130"/>
      <c r="G1" s="130"/>
      <c r="H1" s="130"/>
      <c r="I1" s="130"/>
      <c r="J1" s="130"/>
      <c r="K1" s="130"/>
      <c r="L1" s="130"/>
      <c r="M1" s="130"/>
      <c r="N1" s="130"/>
      <c r="O1" s="130"/>
      <c r="P1" s="130"/>
      <c r="Q1" s="130"/>
      <c r="R1" s="130"/>
      <c r="S1" s="130"/>
      <c r="T1" s="130"/>
      <c r="U1" s="130"/>
      <c r="V1" s="130"/>
      <c r="W1" s="130"/>
      <c r="X1" s="130"/>
      <c r="Y1" s="130"/>
      <c r="Z1" s="130"/>
    </row>
    <row r="2" spans="1:26" x14ac:dyDescent="0.25">
      <c r="A2" s="130"/>
      <c r="O2" s="130"/>
      <c r="P2" s="130"/>
      <c r="Q2" s="130"/>
      <c r="R2" s="130"/>
      <c r="S2" s="130"/>
      <c r="T2" s="130"/>
      <c r="U2" s="130"/>
      <c r="V2" s="130"/>
      <c r="W2" s="130"/>
      <c r="X2" s="130"/>
      <c r="Y2" s="130"/>
      <c r="Z2" s="130"/>
    </row>
    <row r="3" spans="1:26" ht="13" x14ac:dyDescent="0.3">
      <c r="A3" s="130"/>
      <c r="K3" s="1071"/>
      <c r="O3" s="130"/>
      <c r="P3" s="130"/>
      <c r="Q3" s="130"/>
      <c r="R3" s="130"/>
      <c r="S3" s="130"/>
      <c r="T3" s="130"/>
      <c r="U3" s="130"/>
      <c r="V3" s="130"/>
      <c r="W3" s="130"/>
      <c r="X3" s="130"/>
      <c r="Y3" s="130"/>
      <c r="Z3" s="130"/>
    </row>
    <row r="4" spans="1:26" x14ac:dyDescent="0.25">
      <c r="A4" s="130"/>
      <c r="O4" s="130"/>
      <c r="P4" s="130"/>
      <c r="Q4" s="130"/>
      <c r="R4" s="130"/>
      <c r="S4" s="130"/>
      <c r="T4" s="130"/>
      <c r="U4" s="130"/>
      <c r="V4" s="130"/>
      <c r="W4" s="130"/>
      <c r="X4" s="130"/>
      <c r="Y4" s="130"/>
      <c r="Z4" s="130"/>
    </row>
    <row r="5" spans="1:26" x14ac:dyDescent="0.25">
      <c r="A5" s="130"/>
      <c r="O5" s="130"/>
      <c r="P5" s="130"/>
      <c r="Q5" s="130"/>
      <c r="R5" s="130"/>
      <c r="S5" s="130"/>
      <c r="T5" s="130"/>
      <c r="U5" s="130"/>
      <c r="V5" s="130"/>
      <c r="W5" s="130"/>
      <c r="X5" s="130"/>
      <c r="Y5" s="130"/>
      <c r="Z5" s="130"/>
    </row>
    <row r="6" spans="1:26" ht="24" customHeight="1" x14ac:dyDescent="0.35">
      <c r="A6" s="130"/>
      <c r="C6" s="145" t="str">
        <f>"Business Rates Data Sheet for the "&amp;text!E9&amp;" Rating List"</f>
        <v>Business Rates Data Sheet for the 2023 Rating List</v>
      </c>
      <c r="M6" s="1072"/>
      <c r="O6" s="130"/>
      <c r="P6" s="130"/>
      <c r="Q6" s="130"/>
      <c r="R6" s="130"/>
      <c r="S6" s="130"/>
      <c r="T6" s="130"/>
      <c r="U6" s="130"/>
      <c r="V6" s="130"/>
      <c r="W6" s="130"/>
      <c r="X6" s="130"/>
      <c r="Y6" s="130"/>
      <c r="Z6" s="130"/>
    </row>
    <row r="7" spans="1:26" ht="13" x14ac:dyDescent="0.3">
      <c r="A7" s="130"/>
      <c r="C7" s="1073" t="str">
        <f ca="1">"confirmed or estimated as at "&amp;TEXT(codes!I15,"dd/mm/yyy")</f>
        <v>confirmed or estimated as at 13/05/2026</v>
      </c>
      <c r="D7" s="150"/>
      <c r="E7" s="150"/>
      <c r="F7" s="150"/>
      <c r="G7" s="150"/>
      <c r="H7" s="150"/>
      <c r="I7" s="150"/>
      <c r="J7" s="150"/>
      <c r="K7" s="150"/>
      <c r="M7" s="1072"/>
      <c r="O7" s="130"/>
      <c r="P7" s="130"/>
      <c r="Q7" s="130"/>
      <c r="R7" s="130"/>
      <c r="S7" s="130"/>
      <c r="T7" s="130"/>
      <c r="U7" s="130"/>
      <c r="V7" s="130"/>
      <c r="W7" s="130"/>
      <c r="X7" s="130"/>
      <c r="Y7" s="130"/>
      <c r="Z7" s="130"/>
    </row>
    <row r="8" spans="1:26" ht="11.25" customHeight="1" x14ac:dyDescent="0.35">
      <c r="A8" s="130"/>
      <c r="C8" s="145"/>
      <c r="O8" s="130"/>
      <c r="P8" s="130"/>
      <c r="Q8" s="130"/>
      <c r="R8" s="130"/>
      <c r="S8" s="130"/>
      <c r="T8" s="130"/>
      <c r="U8" s="130"/>
      <c r="V8" s="130"/>
      <c r="W8" s="130"/>
      <c r="X8" s="130"/>
      <c r="Y8" s="130"/>
      <c r="Z8" s="130"/>
    </row>
    <row r="9" spans="1:26" ht="18.75" customHeight="1" x14ac:dyDescent="0.3">
      <c r="A9" s="130"/>
      <c r="C9" s="138" t="s">
        <v>802</v>
      </c>
      <c r="D9" s="135" t="s">
        <v>803</v>
      </c>
      <c r="E9" s="1219" t="s">
        <v>2157</v>
      </c>
      <c r="F9" s="1219" t="s">
        <v>2158</v>
      </c>
      <c r="G9" s="135" t="s">
        <v>432</v>
      </c>
      <c r="H9" s="135" t="s">
        <v>433</v>
      </c>
      <c r="I9" s="135" t="s">
        <v>639</v>
      </c>
      <c r="J9" s="135" t="s">
        <v>1335</v>
      </c>
      <c r="O9" s="130"/>
      <c r="P9" s="130"/>
      <c r="Q9" s="130"/>
      <c r="R9" s="130"/>
      <c r="S9" s="130"/>
      <c r="T9" s="130"/>
      <c r="U9" s="130"/>
      <c r="V9" s="130"/>
      <c r="W9" s="130"/>
      <c r="X9" s="130"/>
      <c r="Y9" s="130"/>
      <c r="Z9" s="130"/>
    </row>
    <row r="10" spans="1:26" ht="18" customHeight="1" x14ac:dyDescent="0.25">
      <c r="A10" s="130"/>
      <c r="C10" s="133" t="str">
        <f>text!F9</f>
        <v xml:space="preserve">2023/24 </v>
      </c>
      <c r="D10" s="136">
        <f>update!H21</f>
        <v>0.499</v>
      </c>
      <c r="E10" s="136">
        <f>update!I21</f>
        <v>1.2999999999999999E-2</v>
      </c>
      <c r="F10" s="136">
        <f>D10+E10</f>
        <v>0.51200000000000001</v>
      </c>
      <c r="G10" s="136">
        <f>update!L21</f>
        <v>1.4E-2</v>
      </c>
      <c r="H10" s="134">
        <f>update!J21</f>
        <v>0.02</v>
      </c>
      <c r="I10" s="1061">
        <f>update!K21</f>
        <v>75000</v>
      </c>
      <c r="J10" s="1897">
        <f>update!M6</f>
        <v>0.03</v>
      </c>
      <c r="O10" s="130"/>
      <c r="P10" s="130"/>
      <c r="Q10" s="130"/>
      <c r="R10" s="130"/>
      <c r="S10" s="130"/>
      <c r="T10" s="130"/>
      <c r="U10" s="130"/>
      <c r="V10" s="130"/>
      <c r="W10" s="130"/>
      <c r="X10" s="130"/>
      <c r="Y10" s="130"/>
      <c r="Z10" s="130"/>
    </row>
    <row r="11" spans="1:26" ht="12.9" customHeight="1" x14ac:dyDescent="0.25">
      <c r="A11" s="130"/>
      <c r="C11" s="133" t="str">
        <f>text!F10</f>
        <v xml:space="preserve">2024/25 </v>
      </c>
      <c r="D11" s="136">
        <f>update!H22</f>
        <v>0.499</v>
      </c>
      <c r="E11" s="136">
        <f>update!I22</f>
        <v>4.7000000000000042E-2</v>
      </c>
      <c r="F11" s="136">
        <f>D11+E11</f>
        <v>0.54600000000000004</v>
      </c>
      <c r="G11" s="136">
        <f>update!L22</f>
        <v>1.8000000000000002E-2</v>
      </c>
      <c r="H11" s="134">
        <f>update!J22</f>
        <v>0.02</v>
      </c>
      <c r="I11" s="1061">
        <f>update!K22</f>
        <v>75000</v>
      </c>
      <c r="J11" s="1897">
        <f>update!M7</f>
        <v>4.2500000000000003E-2</v>
      </c>
      <c r="O11" s="130"/>
      <c r="P11" s="130"/>
      <c r="Q11" s="130"/>
      <c r="R11" s="130"/>
      <c r="S11" s="130"/>
      <c r="T11" s="130"/>
      <c r="U11" s="130"/>
      <c r="V11" s="130"/>
      <c r="W11" s="130"/>
      <c r="X11" s="130"/>
      <c r="Y11" s="130"/>
      <c r="Z11" s="130"/>
    </row>
    <row r="12" spans="1:26" ht="12.9" customHeight="1" x14ac:dyDescent="0.25">
      <c r="A12" s="130"/>
      <c r="C12" s="133" t="str">
        <f>text!F11</f>
        <v xml:space="preserve">2025/26 </v>
      </c>
      <c r="D12" s="136">
        <f>update!H23</f>
        <v>0.499</v>
      </c>
      <c r="E12" s="136">
        <f>update!I23</f>
        <v>5.600000000000005E-2</v>
      </c>
      <c r="F12" s="136">
        <f>D12+E12</f>
        <v>0.55500000000000005</v>
      </c>
      <c r="G12" s="136">
        <f>update!L23</f>
        <v>2.1999999999999999E-2</v>
      </c>
      <c r="H12" s="134">
        <f>update!J23</f>
        <v>0.02</v>
      </c>
      <c r="I12" s="1061">
        <f>update!K23</f>
        <v>75000</v>
      </c>
      <c r="J12" s="1897">
        <f>update!M8</f>
        <v>3.5000000000000003E-2</v>
      </c>
      <c r="O12" s="130"/>
      <c r="P12" s="130"/>
      <c r="Q12" s="130"/>
      <c r="R12" s="130"/>
      <c r="S12" s="130"/>
      <c r="T12" s="130"/>
      <c r="U12" s="130"/>
      <c r="V12" s="130"/>
      <c r="W12" s="130"/>
      <c r="X12" s="130"/>
      <c r="Y12" s="130"/>
      <c r="Z12" s="130"/>
    </row>
    <row r="13" spans="1:26" ht="12.9" customHeight="1" x14ac:dyDescent="0.3">
      <c r="A13" s="130"/>
      <c r="C13" s="2289" t="str">
        <f>C11&amp; "small"</f>
        <v>2024/25 small</v>
      </c>
      <c r="D13" s="136"/>
      <c r="E13" s="136"/>
      <c r="F13" s="136"/>
      <c r="G13" s="2290">
        <f>update!L36</f>
        <v>1.6E-2</v>
      </c>
      <c r="H13" s="134"/>
      <c r="I13" s="133"/>
      <c r="J13" s="133"/>
      <c r="O13" s="130"/>
      <c r="P13" s="130"/>
      <c r="Q13" s="130"/>
      <c r="R13" s="130"/>
      <c r="S13" s="130"/>
      <c r="T13" s="130"/>
      <c r="U13" s="130"/>
      <c r="V13" s="130"/>
      <c r="W13" s="130"/>
      <c r="X13" s="130"/>
      <c r="Y13" s="130"/>
      <c r="Z13" s="130"/>
    </row>
    <row r="14" spans="1:26" ht="12.9" customHeight="1" x14ac:dyDescent="0.3">
      <c r="A14" s="130"/>
      <c r="C14" s="2289" t="str">
        <f>C12&amp; " small"</f>
        <v>2025/26  small</v>
      </c>
      <c r="D14" s="136"/>
      <c r="E14" s="136"/>
      <c r="F14" s="136"/>
      <c r="G14" s="2290">
        <f>update!L37</f>
        <v>0.02</v>
      </c>
      <c r="H14" s="134"/>
      <c r="I14" s="133"/>
      <c r="J14" s="133"/>
      <c r="O14" s="130"/>
      <c r="P14" s="130"/>
      <c r="Q14" s="130"/>
      <c r="R14" s="130"/>
      <c r="S14" s="130"/>
      <c r="T14" s="130"/>
      <c r="U14" s="130"/>
      <c r="V14" s="130"/>
      <c r="W14" s="130"/>
      <c r="X14" s="130"/>
      <c r="Y14" s="130"/>
      <c r="Z14" s="130"/>
    </row>
    <row r="15" spans="1:26" ht="7.5" customHeight="1" x14ac:dyDescent="0.25">
      <c r="A15" s="130"/>
      <c r="O15" s="130"/>
      <c r="P15" s="130"/>
      <c r="Q15" s="130"/>
      <c r="R15" s="130"/>
      <c r="S15" s="130"/>
      <c r="T15" s="130"/>
      <c r="U15" s="130"/>
      <c r="V15" s="130"/>
      <c r="W15" s="130"/>
      <c r="X15" s="130"/>
      <c r="Y15" s="130"/>
      <c r="Z15" s="130"/>
    </row>
    <row r="16" spans="1:26" ht="16.5" customHeight="1" x14ac:dyDescent="0.3">
      <c r="A16" s="130"/>
      <c r="C16" s="137" t="s">
        <v>805</v>
      </c>
      <c r="D16" s="143"/>
      <c r="E16" s="143"/>
      <c r="F16" s="143"/>
      <c r="G16" s="144"/>
      <c r="H16" s="137" t="s">
        <v>807</v>
      </c>
      <c r="I16" s="143"/>
      <c r="J16" s="143"/>
      <c r="K16" s="143"/>
      <c r="L16" s="143"/>
      <c r="M16" s="144"/>
      <c r="O16" s="130"/>
      <c r="P16" s="130"/>
      <c r="Q16" s="130"/>
      <c r="R16" s="130"/>
      <c r="S16" s="130"/>
      <c r="T16" s="130"/>
      <c r="U16" s="130"/>
      <c r="V16" s="130"/>
      <c r="W16" s="130"/>
      <c r="X16" s="130"/>
      <c r="Y16" s="130"/>
      <c r="Z16" s="130"/>
    </row>
    <row r="17" spans="1:26" ht="21" customHeight="1" x14ac:dyDescent="0.3">
      <c r="A17" s="130"/>
      <c r="C17" s="140" t="str">
        <f>"RV "&amp;TEXT(data!C33,"#,###")&amp;" and Under"</f>
        <v>RV 12,000 and Under</v>
      </c>
      <c r="D17" s="141"/>
      <c r="E17" s="142" t="s">
        <v>806</v>
      </c>
      <c r="F17" s="146"/>
      <c r="G17" s="141"/>
      <c r="H17" s="158" t="s">
        <v>808</v>
      </c>
      <c r="I17" s="146"/>
      <c r="J17" s="146"/>
      <c r="K17" s="146"/>
      <c r="L17" s="146"/>
      <c r="M17" s="141"/>
      <c r="O17" s="130"/>
      <c r="P17" s="130"/>
      <c r="Q17" s="130"/>
      <c r="R17" s="130"/>
      <c r="S17" s="130"/>
      <c r="T17" s="130"/>
      <c r="U17" s="130"/>
      <c r="V17" s="130"/>
      <c r="W17" s="130"/>
      <c r="X17" s="130"/>
      <c r="Y17" s="130"/>
      <c r="Z17" s="130"/>
    </row>
    <row r="18" spans="1:26" ht="28.5" customHeight="1" x14ac:dyDescent="0.35">
      <c r="A18" s="130"/>
      <c r="C18" s="139" t="str">
        <f>"RV "&amp;TEXT(data!C33+1,"#,###")&amp;" to "&amp;TEXT(data!D33,"#,###")</f>
        <v>RV 12,001 to 15,000</v>
      </c>
      <c r="D18" s="141"/>
      <c r="E18" s="142" t="s">
        <v>812</v>
      </c>
      <c r="F18" s="146"/>
      <c r="G18" s="141"/>
      <c r="H18" s="2447" t="str">
        <f>"E = " &amp; TEXT((data!D33-data!C33),"#,000")&amp; " / (RV - " &amp; TEXT(data!C33,"#,000") &amp; " ) rounded to 3 places (5's round down)"</f>
        <v>E = 3,000 / (RV - 12,000 ) rounded to 3 places (5's round down)</v>
      </c>
      <c r="I18" s="2448"/>
      <c r="J18" s="2448"/>
      <c r="K18" s="2448"/>
      <c r="L18" s="146"/>
      <c r="M18" s="141"/>
      <c r="O18" s="130"/>
      <c r="P18" s="130"/>
      <c r="Q18" s="130"/>
      <c r="R18" s="130"/>
      <c r="S18" s="130"/>
      <c r="T18" s="130"/>
      <c r="U18" s="130"/>
      <c r="V18" s="130"/>
      <c r="W18" s="130"/>
      <c r="X18" s="130"/>
      <c r="Y18" s="130"/>
      <c r="Z18" s="130"/>
    </row>
    <row r="19" spans="1:26" ht="14.25" customHeight="1" x14ac:dyDescent="0.3">
      <c r="A19" s="130"/>
      <c r="C19" s="139" t="str">
        <f>"RV "&amp;TEXT(data!D33+1,"#,###")&amp;" to "&amp;TEXT(data!E33-1,"#,###")</f>
        <v>RV 15,001 to 50,999</v>
      </c>
      <c r="D19" s="141"/>
      <c r="E19" s="159" t="s">
        <v>813</v>
      </c>
      <c r="F19" s="146"/>
      <c r="G19" s="141"/>
      <c r="H19" s="158" t="s">
        <v>809</v>
      </c>
      <c r="I19" s="146"/>
      <c r="J19" s="146"/>
      <c r="K19" s="146"/>
      <c r="L19" s="146"/>
      <c r="M19" s="141"/>
      <c r="O19" s="130"/>
      <c r="P19" s="130"/>
      <c r="Q19" s="130"/>
      <c r="R19" s="130"/>
      <c r="S19" s="130"/>
      <c r="T19" s="130"/>
      <c r="U19" s="130"/>
      <c r="V19" s="130"/>
      <c r="W19" s="130"/>
      <c r="X19" s="130"/>
      <c r="Y19" s="130"/>
      <c r="Z19" s="130"/>
    </row>
    <row r="20" spans="1:26" ht="18" customHeight="1" x14ac:dyDescent="0.3">
      <c r="A20" s="130"/>
      <c r="C20" s="140" t="str">
        <f>"RV "&amp;TEXT(data!E33,"#,###")&amp;" or Over"</f>
        <v>RV 51,000 or Over</v>
      </c>
      <c r="D20" s="141"/>
      <c r="E20" s="159" t="s">
        <v>814</v>
      </c>
      <c r="F20" s="146"/>
      <c r="G20" s="141"/>
      <c r="H20" s="158" t="s">
        <v>810</v>
      </c>
      <c r="I20" s="146"/>
      <c r="J20" s="146"/>
      <c r="K20" s="146"/>
      <c r="L20" s="146"/>
      <c r="M20" s="141"/>
      <c r="O20" s="130"/>
      <c r="P20" s="130"/>
      <c r="Q20" s="130"/>
      <c r="R20" s="130"/>
      <c r="S20" s="130"/>
      <c r="T20" s="130"/>
      <c r="U20" s="130"/>
      <c r="V20" s="130"/>
      <c r="W20" s="130"/>
      <c r="X20" s="130"/>
      <c r="Y20" s="130"/>
      <c r="Z20" s="130"/>
    </row>
    <row r="21" spans="1:26" ht="6" customHeight="1" x14ac:dyDescent="0.25">
      <c r="A21" s="130"/>
      <c r="O21" s="130"/>
      <c r="P21" s="130"/>
      <c r="Q21" s="130"/>
      <c r="R21" s="130"/>
      <c r="S21" s="130"/>
      <c r="T21" s="130"/>
      <c r="U21" s="130"/>
      <c r="V21" s="130"/>
      <c r="W21" s="130"/>
      <c r="X21" s="130"/>
      <c r="Y21" s="130"/>
      <c r="Z21" s="130"/>
    </row>
    <row r="22" spans="1:26" ht="12" customHeight="1" x14ac:dyDescent="0.3">
      <c r="A22" s="130"/>
      <c r="C22" s="131" t="s">
        <v>815</v>
      </c>
      <c r="O22" s="130"/>
      <c r="P22" s="130"/>
      <c r="Q22" s="130"/>
      <c r="R22" s="130"/>
      <c r="S22" s="130"/>
      <c r="T22" s="130"/>
      <c r="U22" s="130"/>
      <c r="V22" s="130"/>
      <c r="W22" s="130"/>
      <c r="X22" s="130"/>
      <c r="Y22" s="130"/>
      <c r="Z22" s="130"/>
    </row>
    <row r="23" spans="1:26" ht="14.25" customHeight="1" x14ac:dyDescent="0.3">
      <c r="A23" s="130"/>
      <c r="C23" s="138" t="s">
        <v>825</v>
      </c>
      <c r="D23" s="151" t="s">
        <v>797</v>
      </c>
      <c r="E23" s="152"/>
      <c r="F23" s="151" t="s">
        <v>826</v>
      </c>
      <c r="G23" s="154"/>
      <c r="H23" s="154"/>
      <c r="I23" s="152"/>
      <c r="O23" s="130"/>
      <c r="P23" s="130"/>
      <c r="Q23" s="130"/>
      <c r="R23" s="130"/>
      <c r="S23" s="130"/>
      <c r="T23" s="130"/>
      <c r="U23" s="130"/>
      <c r="V23" s="130"/>
      <c r="W23" s="130"/>
      <c r="X23" s="130"/>
      <c r="Y23" s="130"/>
      <c r="Z23" s="130"/>
    </row>
    <row r="24" spans="1:26" ht="12.9" customHeight="1" x14ac:dyDescent="0.25">
      <c r="A24" s="130"/>
      <c r="C24" s="133" t="s">
        <v>803</v>
      </c>
      <c r="D24" s="142" t="str">
        <f>"RV &lt;= "&amp;TEXT(data!C23,"#,###")</f>
        <v>RV &lt;= 20,000</v>
      </c>
      <c r="E24" s="141"/>
      <c r="F24" s="142" t="str">
        <f>"RV &lt;= "&amp;TEXT(data!D23,"#,###")</f>
        <v>RV &lt;= 28,000</v>
      </c>
      <c r="G24" s="146"/>
      <c r="H24" s="146"/>
      <c r="I24" s="141"/>
      <c r="O24" s="130"/>
      <c r="P24" s="130"/>
      <c r="Q24" s="130"/>
      <c r="R24" s="130"/>
      <c r="S24" s="130"/>
      <c r="T24" s="130"/>
      <c r="U24" s="130"/>
      <c r="V24" s="130"/>
      <c r="W24" s="130"/>
      <c r="X24" s="130"/>
      <c r="Y24" s="130"/>
      <c r="Z24" s="130"/>
    </row>
    <row r="25" spans="1:26" ht="12.9" customHeight="1" x14ac:dyDescent="0.25">
      <c r="A25" s="130"/>
      <c r="C25" s="133" t="s">
        <v>824</v>
      </c>
      <c r="D25" s="142" t="str">
        <f>"RV "&amp;TEXT(data!C23+1,"#,###")&amp;" to RV "&amp;TEXT(data!F23,"#,###")</f>
        <v>RV 20,001 to RV 100,000</v>
      </c>
      <c r="E25" s="153"/>
      <c r="F25" s="142" t="str">
        <f>"RV "&amp;TEXT(data!D23+1,"#,###")&amp;" to RV "&amp;TEXT(data!F23,"#,###")</f>
        <v>RV 28,001 to RV 100,000</v>
      </c>
      <c r="G25" s="146"/>
      <c r="H25" s="146"/>
      <c r="I25" s="141"/>
      <c r="O25" s="130"/>
      <c r="P25" s="130"/>
      <c r="Q25" s="130"/>
      <c r="R25" s="130"/>
      <c r="S25" s="130"/>
      <c r="T25" s="130"/>
      <c r="U25" s="130"/>
      <c r="V25" s="130"/>
      <c r="W25" s="130"/>
      <c r="X25" s="130"/>
      <c r="Y25" s="130"/>
      <c r="Z25" s="130"/>
    </row>
    <row r="26" spans="1:26" ht="12.9" customHeight="1" x14ac:dyDescent="0.25">
      <c r="A26" s="130"/>
      <c r="C26" s="133" t="s">
        <v>804</v>
      </c>
      <c r="D26" s="142" t="str">
        <f>"RV &gt; "&amp;TEXT(data!F23,"#,###")</f>
        <v>RV &gt; 100,000</v>
      </c>
      <c r="E26" s="141"/>
      <c r="F26" s="142" t="str">
        <f>D26</f>
        <v>RV &gt; 100,000</v>
      </c>
      <c r="G26" s="146"/>
      <c r="H26" s="146"/>
      <c r="I26" s="141"/>
      <c r="O26" s="130"/>
      <c r="P26" s="130"/>
      <c r="Q26" s="130"/>
      <c r="R26" s="130"/>
      <c r="S26" s="130"/>
      <c r="T26" s="130"/>
      <c r="U26" s="130"/>
      <c r="V26" s="130"/>
      <c r="W26" s="130"/>
      <c r="X26" s="130"/>
      <c r="Y26" s="130"/>
      <c r="Z26" s="130"/>
    </row>
    <row r="27" spans="1:26" ht="7.5" customHeight="1" x14ac:dyDescent="0.25">
      <c r="A27" s="130"/>
      <c r="O27" s="130"/>
      <c r="P27" s="130"/>
      <c r="Q27" s="130"/>
      <c r="R27" s="130"/>
      <c r="S27" s="130"/>
      <c r="T27" s="130"/>
      <c r="U27" s="130"/>
      <c r="V27" s="130"/>
      <c r="W27" s="130"/>
      <c r="X27" s="130"/>
      <c r="Y27" s="130"/>
      <c r="Z27" s="130"/>
    </row>
    <row r="28" spans="1:26" ht="30.75" customHeight="1" x14ac:dyDescent="0.35">
      <c r="A28" s="130"/>
      <c r="C28" s="147" t="s">
        <v>816</v>
      </c>
      <c r="D28" s="147" t="s">
        <v>817</v>
      </c>
      <c r="E28" s="147" t="s">
        <v>818</v>
      </c>
      <c r="F28" s="147" t="s">
        <v>819</v>
      </c>
      <c r="G28" s="147" t="s">
        <v>820</v>
      </c>
      <c r="H28" s="147" t="s">
        <v>821</v>
      </c>
      <c r="I28" s="147" t="s">
        <v>822</v>
      </c>
      <c r="J28" s="148" t="s">
        <v>823</v>
      </c>
      <c r="K28" s="149"/>
      <c r="L28"/>
      <c r="O28" s="130"/>
      <c r="P28" s="130"/>
      <c r="Q28" s="130"/>
      <c r="R28" s="130"/>
      <c r="S28" s="130"/>
      <c r="T28" s="130"/>
      <c r="U28" s="130"/>
      <c r="V28" s="130"/>
      <c r="W28" s="130"/>
      <c r="X28" s="130"/>
      <c r="Y28" s="130"/>
      <c r="Z28" s="130"/>
    </row>
    <row r="29" spans="1:26" ht="15.75" customHeight="1" x14ac:dyDescent="0.25">
      <c r="A29" s="130"/>
      <c r="C29" s="133" t="str">
        <f>C10</f>
        <v xml:space="preserve">2023/24 </v>
      </c>
      <c r="D29" s="134">
        <f>data!C3</f>
        <v>0</v>
      </c>
      <c r="E29" s="134">
        <f>data!D3</f>
        <v>0</v>
      </c>
      <c r="F29" s="134">
        <f>data!E3</f>
        <v>0</v>
      </c>
      <c r="G29" s="134">
        <f>data!F3</f>
        <v>130</v>
      </c>
      <c r="H29" s="134">
        <f>data!G3</f>
        <v>115</v>
      </c>
      <c r="I29" s="134">
        <f>data!H3</f>
        <v>105</v>
      </c>
      <c r="J29" s="136">
        <f>data!D53</f>
        <v>1</v>
      </c>
      <c r="O29" s="130"/>
      <c r="P29" s="130"/>
      <c r="Q29" s="130"/>
      <c r="R29" s="130"/>
      <c r="S29" s="130"/>
      <c r="T29" s="130"/>
      <c r="U29" s="130"/>
      <c r="V29" s="130"/>
      <c r="W29" s="130"/>
      <c r="X29" s="130"/>
      <c r="Y29" s="130"/>
      <c r="Z29" s="130"/>
    </row>
    <row r="30" spans="1:26" ht="12.9" customHeight="1" x14ac:dyDescent="0.25">
      <c r="A30" s="130"/>
      <c r="C30" s="133" t="str">
        <f>C11</f>
        <v xml:space="preserve">2024/25 </v>
      </c>
      <c r="D30" s="134">
        <f>data!C4</f>
        <v>0</v>
      </c>
      <c r="E30" s="134">
        <f>data!D4</f>
        <v>0</v>
      </c>
      <c r="F30" s="134">
        <f>data!E4</f>
        <v>0</v>
      </c>
      <c r="G30" s="134">
        <f>data!F4</f>
        <v>140</v>
      </c>
      <c r="H30" s="134">
        <f>data!G4</f>
        <v>125</v>
      </c>
      <c r="I30" s="134">
        <f>data!H4</f>
        <v>110</v>
      </c>
      <c r="J30" s="136">
        <f>data!D54</f>
        <v>1</v>
      </c>
      <c r="O30" s="130"/>
      <c r="P30" s="130"/>
      <c r="Q30" s="130"/>
      <c r="R30" s="130"/>
      <c r="S30" s="130"/>
      <c r="T30" s="130"/>
      <c r="U30" s="130"/>
      <c r="V30" s="130"/>
      <c r="W30" s="130"/>
      <c r="X30" s="130"/>
      <c r="Y30" s="130"/>
      <c r="Z30" s="130"/>
    </row>
    <row r="31" spans="1:26" ht="12.9" customHeight="1" x14ac:dyDescent="0.25">
      <c r="A31" s="130"/>
      <c r="C31" s="133" t="str">
        <f>C12</f>
        <v xml:space="preserve">2025/26 </v>
      </c>
      <c r="D31" s="134">
        <f>data!C5</f>
        <v>0</v>
      </c>
      <c r="E31" s="134">
        <f>data!D5</f>
        <v>0</v>
      </c>
      <c r="F31" s="134">
        <f>data!E5</f>
        <v>0</v>
      </c>
      <c r="G31" s="134">
        <f>data!F5</f>
        <v>155</v>
      </c>
      <c r="H31" s="134">
        <f>data!G5</f>
        <v>140</v>
      </c>
      <c r="I31" s="134">
        <f>data!H5</f>
        <v>125</v>
      </c>
      <c r="J31" s="136">
        <f>data!D55</f>
        <v>1</v>
      </c>
      <c r="O31" s="130"/>
      <c r="P31" s="130"/>
      <c r="Q31" s="130"/>
      <c r="R31" s="130"/>
      <c r="S31" s="130"/>
      <c r="T31" s="130"/>
      <c r="U31" s="130"/>
      <c r="V31" s="130"/>
      <c r="W31" s="130"/>
      <c r="X31" s="130"/>
      <c r="Y31" s="130"/>
      <c r="Z31" s="130"/>
    </row>
    <row r="32" spans="1:26" ht="12.9" customHeight="1" x14ac:dyDescent="0.25">
      <c r="A32" s="130"/>
      <c r="C32" s="133"/>
      <c r="D32" s="134"/>
      <c r="E32" s="134"/>
      <c r="F32" s="134"/>
      <c r="G32" s="134"/>
      <c r="H32" s="134"/>
      <c r="I32" s="134"/>
      <c r="J32" s="136"/>
      <c r="O32" s="130"/>
      <c r="P32" s="130"/>
      <c r="Q32" s="130"/>
      <c r="R32" s="130"/>
      <c r="S32" s="130"/>
      <c r="T32" s="130"/>
      <c r="U32" s="130"/>
      <c r="V32" s="130"/>
      <c r="W32" s="130"/>
      <c r="X32" s="130"/>
      <c r="Y32" s="130"/>
      <c r="Z32" s="130"/>
    </row>
    <row r="33" spans="1:26" ht="12.9" customHeight="1" x14ac:dyDescent="0.25">
      <c r="A33" s="130"/>
      <c r="C33" s="133"/>
      <c r="D33" s="134"/>
      <c r="E33" s="134"/>
      <c r="F33" s="134"/>
      <c r="G33" s="134"/>
      <c r="H33" s="134"/>
      <c r="I33" s="134"/>
      <c r="J33" s="136"/>
      <c r="O33" s="130"/>
      <c r="P33" s="130"/>
      <c r="Q33" s="130"/>
      <c r="R33" s="130"/>
      <c r="S33" s="130"/>
      <c r="T33" s="130"/>
      <c r="U33" s="130"/>
      <c r="V33" s="130"/>
      <c r="W33" s="130"/>
      <c r="X33" s="130"/>
      <c r="Y33" s="130"/>
      <c r="Z33" s="130"/>
    </row>
    <row r="34" spans="1:26" ht="6.75" customHeight="1" x14ac:dyDescent="0.25">
      <c r="A34" s="130"/>
      <c r="O34" s="130"/>
      <c r="P34" s="130"/>
      <c r="Q34" s="130"/>
      <c r="R34" s="130"/>
      <c r="S34" s="130"/>
      <c r="T34" s="130"/>
      <c r="U34" s="130"/>
      <c r="V34" s="130"/>
      <c r="W34" s="130"/>
      <c r="X34" s="130"/>
      <c r="Y34" s="130"/>
      <c r="Z34" s="130"/>
    </row>
    <row r="35" spans="1:26" ht="30" customHeight="1" x14ac:dyDescent="0.3">
      <c r="A35" s="130"/>
      <c r="C35" s="157" t="s">
        <v>827</v>
      </c>
      <c r="D35" s="147" t="s">
        <v>817</v>
      </c>
      <c r="E35" s="147" t="s">
        <v>818</v>
      </c>
      <c r="F35" s="147" t="s">
        <v>819</v>
      </c>
      <c r="G35" s="147" t="s">
        <v>820</v>
      </c>
      <c r="H35" s="147" t="s">
        <v>821</v>
      </c>
      <c r="I35" s="147" t="s">
        <v>822</v>
      </c>
      <c r="O35" s="130"/>
      <c r="P35" s="130"/>
      <c r="Q35" s="130"/>
      <c r="R35" s="130"/>
      <c r="S35" s="130"/>
      <c r="T35" s="130"/>
      <c r="U35" s="130"/>
      <c r="V35" s="130"/>
      <c r="W35" s="130"/>
      <c r="X35" s="130"/>
      <c r="Y35" s="130"/>
      <c r="Z35" s="130"/>
    </row>
    <row r="36" spans="1:26" ht="15" customHeight="1" x14ac:dyDescent="0.25">
      <c r="A36" s="130"/>
      <c r="C36" s="156" t="str">
        <f>C29</f>
        <v xml:space="preserve">2023/24 </v>
      </c>
      <c r="D36" s="155">
        <f t="shared" ref="D36:I36" si="0">D29*$J29/100</f>
        <v>0</v>
      </c>
      <c r="E36" s="155">
        <f t="shared" si="0"/>
        <v>0</v>
      </c>
      <c r="F36" s="155">
        <f t="shared" si="0"/>
        <v>0</v>
      </c>
      <c r="G36" s="155">
        <f t="shared" si="0"/>
        <v>1.3</v>
      </c>
      <c r="H36" s="155">
        <f t="shared" si="0"/>
        <v>1.1499999999999999</v>
      </c>
      <c r="I36" s="155">
        <f t="shared" si="0"/>
        <v>1.05</v>
      </c>
      <c r="O36" s="130"/>
      <c r="P36" s="130"/>
      <c r="Q36" s="130"/>
      <c r="R36" s="130"/>
      <c r="S36" s="130"/>
      <c r="T36" s="130"/>
      <c r="U36" s="130"/>
      <c r="V36" s="130"/>
      <c r="W36" s="130"/>
      <c r="X36" s="130"/>
      <c r="Y36" s="130"/>
      <c r="Z36" s="130"/>
    </row>
    <row r="37" spans="1:26" ht="12.9" customHeight="1" x14ac:dyDescent="0.25">
      <c r="A37" s="130"/>
      <c r="C37" s="156" t="str">
        <f>C30</f>
        <v xml:space="preserve">2024/25 </v>
      </c>
      <c r="D37" s="155">
        <f t="shared" ref="D37:I37" si="1">D30*$J30/100</f>
        <v>0</v>
      </c>
      <c r="E37" s="155">
        <f t="shared" si="1"/>
        <v>0</v>
      </c>
      <c r="F37" s="155">
        <f t="shared" si="1"/>
        <v>0</v>
      </c>
      <c r="G37" s="155">
        <f t="shared" si="1"/>
        <v>1.4</v>
      </c>
      <c r="H37" s="155">
        <f t="shared" si="1"/>
        <v>1.25</v>
      </c>
      <c r="I37" s="155">
        <f t="shared" si="1"/>
        <v>1.1000000000000001</v>
      </c>
      <c r="O37" s="130"/>
      <c r="P37" s="130"/>
      <c r="Q37" s="130"/>
      <c r="R37" s="130"/>
      <c r="S37" s="130"/>
      <c r="T37" s="130"/>
      <c r="U37" s="130"/>
      <c r="V37" s="130"/>
      <c r="W37" s="130"/>
      <c r="X37" s="130"/>
      <c r="Y37" s="130"/>
      <c r="Z37" s="130"/>
    </row>
    <row r="38" spans="1:26" ht="12.9" customHeight="1" x14ac:dyDescent="0.25">
      <c r="A38" s="130"/>
      <c r="C38" s="156" t="str">
        <f>C31</f>
        <v xml:space="preserve">2025/26 </v>
      </c>
      <c r="D38" s="155">
        <f t="shared" ref="D38:I38" si="2">D31*$J31/100</f>
        <v>0</v>
      </c>
      <c r="E38" s="155">
        <f t="shared" si="2"/>
        <v>0</v>
      </c>
      <c r="F38" s="155">
        <f t="shared" si="2"/>
        <v>0</v>
      </c>
      <c r="G38" s="155">
        <f t="shared" si="2"/>
        <v>1.55</v>
      </c>
      <c r="H38" s="155">
        <f t="shared" si="2"/>
        <v>1.4</v>
      </c>
      <c r="I38" s="155">
        <f t="shared" si="2"/>
        <v>1.25</v>
      </c>
      <c r="O38" s="130"/>
      <c r="P38" s="130"/>
      <c r="Q38" s="130"/>
      <c r="R38" s="130"/>
      <c r="S38" s="130"/>
      <c r="T38" s="130"/>
      <c r="U38" s="130"/>
      <c r="V38" s="130"/>
      <c r="W38" s="130"/>
      <c r="X38" s="130"/>
      <c r="Y38" s="130"/>
      <c r="Z38" s="130"/>
    </row>
    <row r="39" spans="1:26" ht="12.9" customHeight="1" x14ac:dyDescent="0.25">
      <c r="A39" s="130"/>
      <c r="C39" s="156"/>
      <c r="D39" s="155"/>
      <c r="E39" s="155"/>
      <c r="F39" s="155"/>
      <c r="G39" s="155"/>
      <c r="H39" s="155"/>
      <c r="I39" s="155"/>
      <c r="O39" s="130"/>
      <c r="P39" s="130"/>
      <c r="Q39" s="130"/>
      <c r="R39" s="130"/>
      <c r="S39" s="130"/>
      <c r="T39" s="130"/>
      <c r="U39" s="130"/>
      <c r="V39" s="130"/>
      <c r="W39" s="130"/>
      <c r="X39" s="130"/>
      <c r="Y39" s="130"/>
      <c r="Z39" s="130"/>
    </row>
    <row r="40" spans="1:26" ht="12.9" customHeight="1" x14ac:dyDescent="0.25">
      <c r="A40" s="130"/>
      <c r="C40" s="156"/>
      <c r="D40" s="155"/>
      <c r="E40" s="155"/>
      <c r="F40" s="155"/>
      <c r="G40" s="155"/>
      <c r="H40" s="155"/>
      <c r="I40" s="155"/>
      <c r="O40" s="130"/>
      <c r="P40" s="130"/>
      <c r="Q40" s="130"/>
      <c r="R40" s="130"/>
      <c r="S40" s="130"/>
      <c r="T40" s="130"/>
      <c r="U40" s="130"/>
      <c r="V40" s="130"/>
      <c r="W40" s="130"/>
      <c r="X40" s="130"/>
      <c r="Y40" s="130"/>
      <c r="Z40" s="130"/>
    </row>
    <row r="41" spans="1:26" ht="8.25" customHeight="1" x14ac:dyDescent="0.25">
      <c r="A41" s="130"/>
      <c r="C41" s="1065"/>
      <c r="D41" s="1066"/>
      <c r="E41" s="1066"/>
      <c r="F41" s="1066"/>
      <c r="G41" s="1066"/>
      <c r="H41" s="1066"/>
      <c r="I41" s="1066"/>
      <c r="O41" s="130"/>
      <c r="P41" s="130"/>
      <c r="Q41" s="130"/>
      <c r="R41" s="130"/>
      <c r="S41" s="130"/>
      <c r="T41" s="130"/>
      <c r="U41" s="130"/>
      <c r="V41" s="130"/>
      <c r="W41" s="130"/>
      <c r="X41" s="130"/>
      <c r="Y41" s="130"/>
      <c r="Z41" s="130"/>
    </row>
    <row r="42" spans="1:26" ht="11.25" customHeight="1" x14ac:dyDescent="0.3">
      <c r="A42" s="130"/>
      <c r="C42" s="1068" t="s">
        <v>410</v>
      </c>
      <c r="D42" s="1066"/>
      <c r="E42" s="1066"/>
      <c r="F42" s="1066"/>
      <c r="G42" s="1066"/>
      <c r="H42" s="1066"/>
      <c r="I42" s="1066"/>
      <c r="O42" s="130"/>
      <c r="P42" s="130"/>
      <c r="Q42" s="130"/>
      <c r="R42" s="130"/>
      <c r="S42" s="130"/>
      <c r="T42" s="130"/>
      <c r="U42" s="130"/>
      <c r="V42" s="130"/>
      <c r="W42" s="130"/>
      <c r="X42" s="130"/>
      <c r="Y42" s="130"/>
      <c r="Z42" s="130"/>
    </row>
    <row r="43" spans="1:26" ht="4.5" customHeight="1" x14ac:dyDescent="0.3">
      <c r="A43" s="130"/>
      <c r="C43" s="1068"/>
      <c r="D43" s="1066"/>
      <c r="E43" s="1066"/>
      <c r="F43" s="1066"/>
      <c r="G43" s="1066"/>
      <c r="H43" s="1066"/>
      <c r="I43" s="1066"/>
      <c r="O43" s="130"/>
      <c r="P43" s="130"/>
      <c r="Q43" s="130"/>
      <c r="R43" s="130"/>
      <c r="S43" s="130"/>
      <c r="T43" s="130"/>
      <c r="U43" s="130"/>
      <c r="V43" s="130"/>
      <c r="W43" s="130"/>
      <c r="X43" s="130"/>
      <c r="Y43" s="130"/>
      <c r="Z43" s="130"/>
    </row>
    <row r="44" spans="1:26" ht="12.9" customHeight="1" x14ac:dyDescent="0.3">
      <c r="A44" s="130"/>
      <c r="D44" s="1063" t="str">
        <f>D47</f>
        <v xml:space="preserve">2023/24 </v>
      </c>
      <c r="E44" s="1063" t="str">
        <f>E47</f>
        <v xml:space="preserve">2024/25 </v>
      </c>
      <c r="F44" s="1063" t="str">
        <f>F47</f>
        <v xml:space="preserve">2025/26 </v>
      </c>
      <c r="G44" s="1063"/>
      <c r="H44" s="1063"/>
      <c r="I44" s="1066"/>
      <c r="O44" s="130"/>
      <c r="P44" s="130"/>
      <c r="Q44" s="130"/>
      <c r="R44" s="130"/>
      <c r="S44" s="130"/>
      <c r="T44" s="130"/>
      <c r="U44" s="130"/>
      <c r="V44" s="130"/>
      <c r="W44" s="130"/>
      <c r="X44" s="130"/>
      <c r="Y44" s="130"/>
      <c r="Z44" s="130"/>
    </row>
    <row r="45" spans="1:26" ht="12.9" customHeight="1" x14ac:dyDescent="0.25">
      <c r="A45" s="130"/>
      <c r="C45" s="1067" t="s">
        <v>901</v>
      </c>
      <c r="D45" s="1069">
        <f>data!C43</f>
        <v>2900</v>
      </c>
      <c r="E45" s="1069">
        <f>data!C44</f>
        <v>2900</v>
      </c>
      <c r="F45" s="1069">
        <f>data!C45</f>
        <v>2900</v>
      </c>
      <c r="G45" s="1069"/>
      <c r="H45" s="1069"/>
      <c r="I45" s="1066"/>
      <c r="O45" s="130"/>
      <c r="P45" s="130"/>
      <c r="Q45" s="130"/>
      <c r="R45" s="130"/>
      <c r="S45" s="130"/>
      <c r="T45" s="130"/>
      <c r="U45" s="130"/>
      <c r="V45" s="130"/>
      <c r="W45" s="130"/>
      <c r="X45" s="130"/>
      <c r="Y45" s="130"/>
      <c r="Z45" s="130"/>
    </row>
    <row r="46" spans="1:26" ht="9" customHeight="1" x14ac:dyDescent="0.25">
      <c r="A46" s="130"/>
      <c r="O46" s="130"/>
      <c r="P46" s="130"/>
      <c r="Q46" s="130"/>
      <c r="R46" s="130"/>
      <c r="S46" s="130"/>
      <c r="T46" s="130"/>
      <c r="U46" s="130"/>
      <c r="V46" s="130"/>
      <c r="W46" s="130"/>
      <c r="X46" s="130"/>
      <c r="Y46" s="130"/>
      <c r="Z46" s="130"/>
    </row>
    <row r="47" spans="1:26" ht="14.25" customHeight="1" x14ac:dyDescent="0.3">
      <c r="A47" s="130"/>
      <c r="C47" s="131" t="s">
        <v>1694</v>
      </c>
      <c r="D47" s="1063" t="str">
        <f>C36</f>
        <v xml:space="preserve">2023/24 </v>
      </c>
      <c r="E47" s="1063" t="str">
        <f>C37</f>
        <v xml:space="preserve">2024/25 </v>
      </c>
      <c r="F47" s="1063" t="str">
        <f>C38</f>
        <v xml:space="preserve">2025/26 </v>
      </c>
      <c r="G47" s="1063"/>
      <c r="H47" s="1063"/>
      <c r="I47" s="1060"/>
      <c r="O47" s="130"/>
      <c r="P47" s="130"/>
      <c r="Q47" s="130"/>
      <c r="R47" s="130"/>
      <c r="S47" s="130"/>
      <c r="T47" s="130"/>
      <c r="U47" s="130"/>
      <c r="V47" s="130"/>
      <c r="W47" s="130"/>
      <c r="X47" s="130"/>
      <c r="Y47" s="130"/>
      <c r="Z47" s="130"/>
    </row>
    <row r="48" spans="1:26" ht="14.25" customHeight="1" x14ac:dyDescent="0.3">
      <c r="A48" s="130"/>
      <c r="C48" s="1064" t="str">
        <f>reliefs!C3</f>
        <v>Retail</v>
      </c>
      <c r="D48" s="134" t="str">
        <f>reliefs!D8</f>
        <v>75%</v>
      </c>
      <c r="E48" s="134" t="str">
        <f>reliefs!E8</f>
        <v>75%</v>
      </c>
      <c r="F48" s="134" t="str">
        <f>reliefs!F8</f>
        <v>40%</v>
      </c>
      <c r="G48" s="134"/>
      <c r="H48" s="134"/>
      <c r="I48" s="559" t="str">
        <f>reliefs!$C$4</f>
        <v>Applies after TA and SBRR</v>
      </c>
      <c r="O48" s="130"/>
      <c r="P48" s="130"/>
      <c r="Q48" s="130"/>
      <c r="R48" s="130"/>
      <c r="S48" s="130"/>
      <c r="T48" s="130"/>
      <c r="U48" s="130"/>
      <c r="V48" s="130"/>
      <c r="W48" s="130"/>
      <c r="X48" s="130"/>
      <c r="Y48" s="130"/>
      <c r="Z48" s="130"/>
    </row>
    <row r="49" spans="1:26" ht="14.25" customHeight="1" x14ac:dyDescent="0.25">
      <c r="A49" s="130"/>
      <c r="C49" s="133" t="str">
        <f>reliefs!C6</f>
        <v>RV less than</v>
      </c>
      <c r="D49" s="1061" t="str">
        <f>IF(reliefs!D6&gt;1000000000,"N/A",reliefs!D6)</f>
        <v>N/A</v>
      </c>
      <c r="E49" s="1061" t="str">
        <f>IF(reliefs!E6&gt;1000000000,"N/A",reliefs!E6)</f>
        <v>N/A</v>
      </c>
      <c r="F49" s="1061" t="str">
        <f>IF(reliefs!F6&gt;1000000000,"N/A",reliefs!F6)</f>
        <v>N/A</v>
      </c>
      <c r="G49" s="1061"/>
      <c r="H49" s="1061"/>
      <c r="I49" s="1060"/>
      <c r="O49" s="130"/>
      <c r="P49" s="130"/>
      <c r="Q49" s="130"/>
      <c r="R49" s="130"/>
      <c r="S49" s="130"/>
      <c r="T49" s="130"/>
      <c r="U49" s="130"/>
      <c r="V49" s="130"/>
      <c r="W49" s="130"/>
      <c r="X49" s="130"/>
      <c r="Y49" s="130"/>
      <c r="Z49" s="130"/>
    </row>
    <row r="50" spans="1:26" ht="7.5" customHeight="1" x14ac:dyDescent="0.25">
      <c r="A50" s="130"/>
      <c r="D50" s="1060"/>
      <c r="E50" s="1060"/>
      <c r="F50" s="1060"/>
      <c r="G50" s="1060"/>
      <c r="H50" s="1060"/>
      <c r="I50" s="1060"/>
      <c r="O50" s="130"/>
      <c r="P50" s="130"/>
      <c r="Q50" s="130"/>
      <c r="R50" s="130"/>
      <c r="S50" s="130"/>
      <c r="T50" s="130"/>
      <c r="U50" s="130"/>
      <c r="V50" s="130"/>
      <c r="W50" s="130"/>
      <c r="X50" s="130"/>
      <c r="Y50" s="130"/>
      <c r="Z50" s="130"/>
    </row>
    <row r="51" spans="1:26" ht="14.25" customHeight="1" x14ac:dyDescent="0.3">
      <c r="A51" s="130"/>
      <c r="C51" s="131" t="str">
        <f>C47</f>
        <v>Relief</v>
      </c>
      <c r="D51" s="1063" t="str">
        <f>D47</f>
        <v xml:space="preserve">2023/24 </v>
      </c>
      <c r="E51" s="1063" t="str">
        <f>E47</f>
        <v xml:space="preserve">2024/25 </v>
      </c>
      <c r="F51" s="1063" t="str">
        <f>F47</f>
        <v xml:space="preserve">2025/26 </v>
      </c>
      <c r="G51" s="1063"/>
      <c r="H51" s="1063"/>
      <c r="I51" s="1060"/>
      <c r="O51" s="130"/>
      <c r="P51" s="130"/>
      <c r="Q51" s="130"/>
      <c r="R51" s="130"/>
      <c r="S51" s="130"/>
      <c r="T51" s="130"/>
      <c r="U51" s="130"/>
      <c r="V51" s="130"/>
      <c r="W51" s="130"/>
      <c r="X51" s="130"/>
      <c r="Y51" s="130"/>
      <c r="Z51" s="130"/>
    </row>
    <row r="52" spans="1:26" ht="14.25" customHeight="1" x14ac:dyDescent="0.3">
      <c r="A52" s="130"/>
      <c r="C52" s="1064"/>
      <c r="D52" s="1062"/>
      <c r="E52" s="1062"/>
      <c r="F52" s="1062"/>
      <c r="G52" s="1062"/>
      <c r="H52" s="1062"/>
      <c r="O52" s="130"/>
      <c r="P52" s="130"/>
      <c r="Q52" s="130"/>
      <c r="R52" s="130"/>
      <c r="S52" s="130"/>
      <c r="T52" s="130"/>
      <c r="U52" s="130"/>
      <c r="V52" s="130"/>
      <c r="W52" s="130"/>
      <c r="X52" s="130"/>
      <c r="Y52" s="130"/>
      <c r="Z52" s="130"/>
    </row>
    <row r="53" spans="1:26" ht="14.25" customHeight="1" x14ac:dyDescent="0.25">
      <c r="A53" s="130"/>
      <c r="C53" s="133"/>
      <c r="D53" s="1061"/>
      <c r="E53" s="1061"/>
      <c r="F53" s="1061"/>
      <c r="G53" s="1061"/>
      <c r="H53" s="1061"/>
      <c r="I53" s="1060"/>
      <c r="O53" s="130"/>
      <c r="P53" s="130"/>
      <c r="Q53" s="130"/>
      <c r="R53" s="130"/>
      <c r="S53" s="130"/>
      <c r="T53" s="130"/>
      <c r="U53" s="130"/>
      <c r="V53" s="130"/>
      <c r="W53" s="130"/>
      <c r="X53" s="130"/>
      <c r="Y53" s="130"/>
      <c r="Z53" s="130"/>
    </row>
    <row r="54" spans="1:26" ht="9" customHeight="1" x14ac:dyDescent="0.25">
      <c r="A54" s="130"/>
      <c r="D54" s="1070"/>
      <c r="E54" s="1070"/>
      <c r="F54" s="1070"/>
      <c r="G54" s="1070"/>
      <c r="H54" s="1060"/>
      <c r="I54" s="1060"/>
      <c r="O54" s="130"/>
      <c r="P54" s="130"/>
      <c r="Q54" s="130"/>
      <c r="R54" s="130"/>
      <c r="S54" s="130"/>
      <c r="T54" s="130"/>
      <c r="U54" s="130"/>
      <c r="V54" s="130"/>
      <c r="W54" s="130"/>
      <c r="X54" s="130"/>
      <c r="Y54" s="130"/>
      <c r="Z54" s="130"/>
    </row>
    <row r="55" spans="1:26" ht="9" customHeight="1" x14ac:dyDescent="0.25">
      <c r="A55" s="130"/>
      <c r="D55" s="1060"/>
      <c r="E55" s="1060"/>
      <c r="F55" s="1060"/>
      <c r="G55" s="1060"/>
      <c r="H55" s="1060"/>
      <c r="I55" s="1060"/>
      <c r="O55" s="130"/>
      <c r="P55" s="130"/>
      <c r="Q55" s="130"/>
      <c r="R55" s="130"/>
      <c r="S55" s="130"/>
      <c r="T55" s="130"/>
      <c r="U55" s="130"/>
      <c r="V55" s="130"/>
      <c r="W55" s="130"/>
      <c r="X55" s="130"/>
      <c r="Y55" s="130"/>
      <c r="Z55" s="130"/>
    </row>
    <row r="56" spans="1:26" ht="9.75" customHeight="1" x14ac:dyDescent="0.25">
      <c r="A56" s="130"/>
      <c r="B56" s="161"/>
      <c r="C56" s="161"/>
      <c r="D56" s="161"/>
      <c r="E56" s="161"/>
      <c r="F56" s="161"/>
      <c r="G56" s="161"/>
      <c r="H56" s="161"/>
      <c r="I56" s="161"/>
      <c r="J56" s="161"/>
      <c r="K56" s="161"/>
      <c r="L56" s="161"/>
      <c r="M56" s="161"/>
      <c r="N56" s="161"/>
      <c r="O56" s="130"/>
      <c r="P56" s="130"/>
      <c r="Q56" s="130"/>
      <c r="R56" s="130"/>
      <c r="S56" s="130"/>
      <c r="T56" s="130"/>
      <c r="U56" s="130"/>
      <c r="V56" s="130"/>
      <c r="W56" s="130"/>
      <c r="X56" s="130"/>
      <c r="Y56" s="130"/>
      <c r="Z56" s="130"/>
    </row>
    <row r="57" spans="1:26" ht="18.75" customHeight="1" x14ac:dyDescent="0.35">
      <c r="A57" s="130"/>
      <c r="C57" s="160" t="str">
        <f>codes!F4</f>
        <v>CBRE</v>
      </c>
      <c r="O57" s="130"/>
      <c r="P57" s="130"/>
      <c r="Q57" s="130"/>
      <c r="R57" s="130"/>
      <c r="S57" s="130"/>
      <c r="T57" s="130"/>
      <c r="U57" s="130"/>
      <c r="V57" s="130"/>
      <c r="W57" s="130"/>
      <c r="X57" s="130"/>
      <c r="Y57" s="130"/>
      <c r="Z57" s="130"/>
    </row>
    <row r="58" spans="1:26" ht="5.25" customHeight="1" x14ac:dyDescent="0.25">
      <c r="A58" s="130"/>
      <c r="O58" s="130"/>
      <c r="P58" s="130"/>
      <c r="Q58" s="130"/>
      <c r="R58" s="130"/>
      <c r="S58" s="130"/>
      <c r="T58" s="130"/>
      <c r="U58" s="130"/>
      <c r="V58" s="130"/>
      <c r="W58" s="130"/>
      <c r="X58" s="130"/>
      <c r="Y58" s="130"/>
      <c r="Z58" s="130"/>
    </row>
    <row r="59" spans="1:26" x14ac:dyDescent="0.25">
      <c r="A59" s="130"/>
      <c r="B59" s="130"/>
      <c r="C59" s="130"/>
      <c r="D59" s="130"/>
      <c r="E59" s="130"/>
      <c r="F59" s="130"/>
      <c r="G59" s="130"/>
      <c r="H59" s="130"/>
      <c r="I59" s="130"/>
      <c r="J59" s="130"/>
      <c r="K59" s="130"/>
      <c r="L59" s="130"/>
      <c r="M59" s="130"/>
      <c r="N59" s="130"/>
      <c r="O59" s="130"/>
      <c r="P59" s="130"/>
      <c r="Q59" s="130"/>
      <c r="R59" s="130"/>
      <c r="S59" s="130"/>
      <c r="T59" s="130"/>
      <c r="U59" s="130"/>
      <c r="V59" s="130"/>
      <c r="W59" s="130"/>
      <c r="X59" s="130"/>
      <c r="Y59" s="130"/>
      <c r="Z59" s="130"/>
    </row>
    <row r="60" spans="1:26" x14ac:dyDescent="0.25">
      <c r="A60" s="130"/>
      <c r="B60" s="130"/>
      <c r="C60" s="130"/>
      <c r="D60" s="130"/>
      <c r="E60" s="130"/>
      <c r="F60" s="130"/>
      <c r="G60" s="130"/>
      <c r="H60" s="130"/>
      <c r="I60" s="130"/>
      <c r="J60" s="130"/>
      <c r="K60" s="130"/>
      <c r="L60" s="130"/>
      <c r="M60" s="130"/>
      <c r="N60" s="130"/>
      <c r="O60" s="130"/>
      <c r="P60" s="130"/>
      <c r="Q60" s="130"/>
      <c r="R60" s="130"/>
      <c r="S60" s="130"/>
      <c r="T60" s="130"/>
      <c r="U60" s="130"/>
      <c r="V60" s="130"/>
      <c r="W60" s="130"/>
      <c r="X60" s="130"/>
      <c r="Y60" s="130"/>
      <c r="Z60" s="130"/>
    </row>
    <row r="61" spans="1:26" x14ac:dyDescent="0.25">
      <c r="A61" s="130"/>
      <c r="B61" s="130"/>
      <c r="C61" s="130"/>
      <c r="D61" s="130"/>
      <c r="E61" s="130"/>
      <c r="F61" s="130"/>
      <c r="G61" s="130"/>
      <c r="H61" s="130"/>
      <c r="I61" s="130"/>
      <c r="J61" s="130"/>
      <c r="K61" s="130"/>
      <c r="L61" s="130"/>
      <c r="M61" s="130"/>
      <c r="N61" s="130"/>
      <c r="O61" s="130"/>
      <c r="P61" s="130"/>
      <c r="Q61" s="130"/>
      <c r="R61" s="130"/>
      <c r="S61" s="130"/>
      <c r="T61" s="130"/>
      <c r="U61" s="130"/>
      <c r="V61" s="130"/>
      <c r="W61" s="130"/>
      <c r="X61" s="130"/>
      <c r="Y61" s="130"/>
      <c r="Z61" s="130"/>
    </row>
    <row r="62" spans="1:26" x14ac:dyDescent="0.25">
      <c r="A62" s="130"/>
      <c r="B62" s="130"/>
      <c r="C62" s="130"/>
      <c r="D62" s="130"/>
      <c r="E62" s="130"/>
      <c r="F62" s="130"/>
      <c r="G62" s="130"/>
      <c r="H62" s="130"/>
      <c r="I62" s="130"/>
      <c r="J62" s="130"/>
      <c r="K62" s="130"/>
      <c r="L62" s="130"/>
      <c r="M62" s="130"/>
      <c r="N62" s="130"/>
      <c r="O62" s="130"/>
      <c r="P62" s="130"/>
      <c r="Q62" s="130"/>
      <c r="R62" s="130"/>
      <c r="S62" s="130"/>
      <c r="T62" s="130"/>
      <c r="U62" s="130"/>
      <c r="V62" s="130"/>
      <c r="W62" s="130"/>
      <c r="X62" s="130"/>
      <c r="Y62" s="130"/>
      <c r="Z62" s="130"/>
    </row>
    <row r="63" spans="1:26" x14ac:dyDescent="0.25">
      <c r="A63" s="130"/>
      <c r="B63" s="130"/>
      <c r="C63" s="130"/>
      <c r="D63" s="130"/>
      <c r="E63" s="130"/>
      <c r="F63" s="130"/>
      <c r="G63" s="130"/>
      <c r="H63" s="130"/>
      <c r="I63" s="130"/>
      <c r="J63" s="130"/>
      <c r="K63" s="130"/>
      <c r="L63" s="130"/>
      <c r="M63" s="130"/>
      <c r="N63" s="130"/>
      <c r="O63" s="130"/>
      <c r="P63" s="130"/>
      <c r="Q63" s="130"/>
      <c r="R63" s="130"/>
      <c r="S63" s="130"/>
      <c r="T63" s="130"/>
      <c r="U63" s="130"/>
      <c r="V63" s="130"/>
      <c r="W63" s="130"/>
      <c r="X63" s="130"/>
      <c r="Y63" s="130"/>
      <c r="Z63" s="130"/>
    </row>
    <row r="64" spans="1:26" x14ac:dyDescent="0.25">
      <c r="A64" s="130"/>
      <c r="B64" s="130"/>
      <c r="C64" s="130"/>
      <c r="D64" s="130"/>
      <c r="E64" s="130"/>
      <c r="F64" s="130"/>
      <c r="G64" s="130"/>
      <c r="H64" s="130"/>
      <c r="I64" s="130"/>
      <c r="J64" s="130"/>
      <c r="K64" s="130"/>
      <c r="L64" s="130"/>
      <c r="M64" s="130"/>
      <c r="N64" s="130"/>
      <c r="O64" s="130"/>
      <c r="P64" s="130"/>
      <c r="Q64" s="130"/>
      <c r="R64" s="130"/>
      <c r="S64" s="130"/>
      <c r="T64" s="130"/>
      <c r="U64" s="130"/>
      <c r="V64" s="130"/>
      <c r="W64" s="130"/>
      <c r="X64" s="130"/>
      <c r="Y64" s="130"/>
      <c r="Z64" s="130"/>
    </row>
    <row r="65" spans="1:26" x14ac:dyDescent="0.25">
      <c r="A65" s="130"/>
      <c r="B65" s="130"/>
      <c r="C65" s="130"/>
      <c r="D65" s="130"/>
      <c r="E65" s="130"/>
      <c r="F65" s="130"/>
      <c r="G65" s="130"/>
      <c r="H65" s="130"/>
      <c r="I65" s="130"/>
      <c r="J65" s="130"/>
      <c r="K65" s="130"/>
      <c r="L65" s="130"/>
      <c r="M65" s="130"/>
      <c r="N65" s="130"/>
      <c r="O65" s="130"/>
      <c r="P65" s="130"/>
      <c r="Q65" s="130"/>
      <c r="R65" s="130"/>
      <c r="S65" s="130"/>
      <c r="T65" s="130"/>
      <c r="U65" s="130"/>
      <c r="V65" s="130"/>
      <c r="W65" s="130"/>
      <c r="X65" s="130"/>
      <c r="Y65" s="130"/>
      <c r="Z65" s="130"/>
    </row>
    <row r="66" spans="1:26" x14ac:dyDescent="0.25">
      <c r="A66" s="130"/>
      <c r="B66" s="130"/>
      <c r="C66" s="130"/>
      <c r="D66" s="130"/>
      <c r="E66" s="130"/>
      <c r="F66" s="130"/>
      <c r="G66" s="130"/>
      <c r="H66" s="130"/>
      <c r="I66" s="130"/>
      <c r="J66" s="130"/>
      <c r="K66" s="130"/>
      <c r="L66" s="130"/>
      <c r="M66" s="130"/>
      <c r="N66" s="130"/>
      <c r="O66" s="130"/>
      <c r="P66" s="130"/>
      <c r="Q66" s="130"/>
      <c r="R66" s="130"/>
      <c r="S66" s="130"/>
      <c r="T66" s="130"/>
      <c r="U66" s="130"/>
      <c r="V66" s="130"/>
      <c r="W66" s="130"/>
      <c r="X66" s="130"/>
      <c r="Y66" s="130"/>
      <c r="Z66" s="130"/>
    </row>
    <row r="67" spans="1:26" x14ac:dyDescent="0.25">
      <c r="A67" s="130"/>
      <c r="B67" s="130"/>
      <c r="C67" s="130"/>
      <c r="D67" s="130"/>
      <c r="E67" s="130"/>
      <c r="F67" s="130"/>
      <c r="G67" s="130"/>
      <c r="H67" s="130"/>
      <c r="I67" s="130"/>
      <c r="J67" s="130"/>
      <c r="K67" s="130"/>
      <c r="L67" s="130"/>
      <c r="M67" s="130"/>
      <c r="N67" s="130"/>
      <c r="O67" s="130"/>
      <c r="P67" s="130"/>
      <c r="Q67" s="130"/>
      <c r="R67" s="130"/>
      <c r="S67" s="130"/>
      <c r="T67" s="130"/>
      <c r="U67" s="130"/>
      <c r="V67" s="130"/>
      <c r="W67" s="130"/>
      <c r="X67" s="130"/>
      <c r="Y67" s="130"/>
      <c r="Z67" s="130"/>
    </row>
    <row r="68" spans="1:26" x14ac:dyDescent="0.25">
      <c r="A68" s="130"/>
      <c r="B68" s="130"/>
      <c r="C68" s="130"/>
      <c r="D68" s="130"/>
      <c r="E68" s="130"/>
      <c r="F68" s="130"/>
      <c r="G68" s="130"/>
      <c r="H68" s="130"/>
      <c r="I68" s="130"/>
      <c r="J68" s="130"/>
      <c r="K68" s="130"/>
      <c r="L68" s="130"/>
      <c r="M68" s="130"/>
      <c r="N68" s="130"/>
      <c r="O68" s="130"/>
      <c r="P68" s="130"/>
      <c r="Q68" s="130"/>
      <c r="R68" s="130"/>
      <c r="S68" s="130"/>
      <c r="T68" s="130"/>
      <c r="U68" s="130"/>
      <c r="V68" s="130"/>
      <c r="W68" s="130"/>
      <c r="X68" s="130"/>
      <c r="Y68" s="130"/>
      <c r="Z68" s="130"/>
    </row>
    <row r="69" spans="1:26" x14ac:dyDescent="0.25">
      <c r="A69" s="130"/>
      <c r="B69" s="130"/>
      <c r="C69" s="130"/>
      <c r="D69" s="130"/>
      <c r="E69" s="130"/>
      <c r="F69" s="130"/>
      <c r="G69" s="130"/>
      <c r="H69" s="130"/>
      <c r="I69" s="130"/>
      <c r="J69" s="130"/>
      <c r="K69" s="130"/>
      <c r="L69" s="130"/>
      <c r="M69" s="130"/>
      <c r="N69" s="130"/>
      <c r="O69" s="130"/>
      <c r="P69" s="130"/>
      <c r="Q69" s="130"/>
      <c r="R69" s="130"/>
      <c r="S69" s="130"/>
      <c r="T69" s="130"/>
      <c r="U69" s="130"/>
      <c r="V69" s="130"/>
      <c r="W69" s="130"/>
      <c r="X69" s="130"/>
      <c r="Y69" s="130"/>
      <c r="Z69" s="130"/>
    </row>
    <row r="70" spans="1:26" x14ac:dyDescent="0.25">
      <c r="A70" s="130"/>
      <c r="B70" s="130"/>
      <c r="C70" s="130"/>
      <c r="D70" s="130"/>
      <c r="E70" s="130"/>
      <c r="F70" s="130"/>
      <c r="G70" s="130"/>
      <c r="H70" s="130"/>
      <c r="I70" s="130"/>
      <c r="J70" s="130"/>
      <c r="K70" s="130"/>
      <c r="L70" s="130"/>
      <c r="M70" s="130"/>
      <c r="N70" s="130"/>
      <c r="O70" s="130"/>
      <c r="P70" s="130"/>
      <c r="Q70" s="130"/>
      <c r="R70" s="130"/>
      <c r="S70" s="130"/>
      <c r="T70" s="130"/>
      <c r="U70" s="130"/>
      <c r="V70" s="130"/>
      <c r="W70" s="130"/>
      <c r="X70" s="130"/>
      <c r="Y70" s="130"/>
      <c r="Z70" s="130"/>
    </row>
    <row r="71" spans="1:26" x14ac:dyDescent="0.25">
      <c r="A71" s="130"/>
      <c r="B71" s="130"/>
      <c r="C71" s="130"/>
      <c r="D71" s="130"/>
      <c r="E71" s="130"/>
      <c r="F71" s="130"/>
      <c r="G71" s="130"/>
      <c r="H71" s="130"/>
      <c r="I71" s="130"/>
      <c r="J71" s="130"/>
      <c r="K71" s="130"/>
      <c r="L71" s="130"/>
      <c r="M71" s="130"/>
      <c r="N71" s="130"/>
      <c r="O71" s="130"/>
      <c r="P71" s="130"/>
      <c r="Q71" s="130"/>
      <c r="R71" s="130"/>
      <c r="S71" s="130"/>
      <c r="T71" s="130"/>
      <c r="U71" s="130"/>
      <c r="V71" s="130"/>
      <c r="W71" s="130"/>
      <c r="X71" s="130"/>
      <c r="Y71" s="130"/>
      <c r="Z71" s="130"/>
    </row>
    <row r="72" spans="1:26" x14ac:dyDescent="0.25">
      <c r="A72" s="130"/>
      <c r="B72" s="130"/>
      <c r="C72" s="130"/>
      <c r="D72" s="130"/>
      <c r="E72" s="130"/>
      <c r="F72" s="130"/>
      <c r="G72" s="130"/>
      <c r="H72" s="130"/>
      <c r="I72" s="130"/>
      <c r="J72" s="130"/>
      <c r="K72" s="130"/>
      <c r="L72" s="130"/>
      <c r="M72" s="130"/>
      <c r="N72" s="130"/>
      <c r="O72" s="130"/>
      <c r="P72" s="130"/>
      <c r="Q72" s="130"/>
      <c r="R72" s="130"/>
      <c r="S72" s="130"/>
      <c r="T72" s="130"/>
      <c r="U72" s="130"/>
      <c r="V72" s="130"/>
      <c r="W72" s="130"/>
      <c r="X72" s="130"/>
      <c r="Y72" s="130"/>
      <c r="Z72" s="130"/>
    </row>
    <row r="73" spans="1:26" x14ac:dyDescent="0.25">
      <c r="A73" s="130"/>
      <c r="B73" s="130"/>
      <c r="C73" s="130"/>
      <c r="D73" s="130"/>
      <c r="E73" s="130"/>
      <c r="F73" s="130"/>
      <c r="G73" s="130"/>
      <c r="H73" s="130"/>
      <c r="I73" s="130"/>
      <c r="J73" s="130"/>
      <c r="K73" s="130"/>
      <c r="L73" s="130"/>
      <c r="M73" s="130"/>
      <c r="N73" s="130"/>
      <c r="O73" s="130"/>
      <c r="P73" s="130"/>
      <c r="Q73" s="130"/>
      <c r="R73" s="130"/>
      <c r="S73" s="130"/>
      <c r="T73" s="130"/>
      <c r="U73" s="130"/>
      <c r="V73" s="130"/>
      <c r="W73" s="130"/>
      <c r="X73" s="130"/>
      <c r="Y73" s="130"/>
      <c r="Z73" s="130"/>
    </row>
    <row r="74" spans="1:26" x14ac:dyDescent="0.25">
      <c r="A74" s="130"/>
      <c r="B74" s="130"/>
      <c r="C74" s="130"/>
      <c r="D74" s="130"/>
      <c r="E74" s="130"/>
      <c r="F74" s="130"/>
      <c r="G74" s="130"/>
      <c r="H74" s="130"/>
      <c r="I74" s="130"/>
      <c r="J74" s="130"/>
      <c r="K74" s="130"/>
      <c r="L74" s="130"/>
      <c r="M74" s="130"/>
      <c r="N74" s="130"/>
      <c r="O74" s="130"/>
      <c r="P74" s="130"/>
      <c r="Q74" s="130"/>
      <c r="R74" s="130"/>
      <c r="S74" s="130"/>
      <c r="T74" s="130"/>
      <c r="U74" s="130"/>
      <c r="V74" s="130"/>
      <c r="W74" s="130"/>
      <c r="X74" s="130"/>
      <c r="Y74" s="130"/>
      <c r="Z74" s="130"/>
    </row>
    <row r="75" spans="1:26" x14ac:dyDescent="0.25">
      <c r="A75" s="130"/>
      <c r="B75" s="130"/>
      <c r="C75" s="130"/>
      <c r="D75" s="130"/>
      <c r="E75" s="130"/>
      <c r="F75" s="130"/>
      <c r="G75" s="130"/>
      <c r="H75" s="130"/>
      <c r="I75" s="130"/>
      <c r="J75" s="130"/>
      <c r="K75" s="130"/>
      <c r="L75" s="130"/>
      <c r="M75" s="130"/>
      <c r="N75" s="130"/>
      <c r="O75" s="130"/>
      <c r="P75" s="130"/>
      <c r="Q75" s="130"/>
      <c r="R75" s="130"/>
      <c r="S75" s="130"/>
      <c r="T75" s="130"/>
      <c r="U75" s="130"/>
      <c r="V75" s="130"/>
      <c r="W75" s="130"/>
      <c r="X75" s="130"/>
      <c r="Y75" s="130"/>
      <c r="Z75" s="130"/>
    </row>
  </sheetData>
  <sheetProtection password="BCD8" sheet="1" objects="1" scenarios="1"/>
  <mergeCells count="1">
    <mergeCell ref="H18:K18"/>
  </mergeCells>
  <phoneticPr fontId="0" type="noConversion"/>
  <pageMargins left="0.23622047244094491" right="0.23622047244094491" top="0.46" bottom="0.67" header="0.31496062992125984" footer="0.31496062992125984"/>
  <pageSetup paperSize="9" orientation="portrait" r:id="rId1"/>
  <headerFooter>
    <oddFooter>&amp;R&amp;"Arial,Italic"&amp;10Calcurate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5" r:id="rId4" name="home">
              <controlPr defaultSize="0" print="0" autoFill="0" autoPict="0" macro="[0]!globalgoto">
                <anchor moveWithCells="1" sizeWithCells="1">
                  <from>
                    <xdr:col>0</xdr:col>
                    <xdr:colOff>69850</xdr:colOff>
                    <xdr:row>0</xdr:row>
                    <xdr:rowOff>139700</xdr:rowOff>
                  </from>
                  <to>
                    <xdr:col>0</xdr:col>
                    <xdr:colOff>736600</xdr:colOff>
                    <xdr:row>3</xdr:row>
                    <xdr:rowOff>25400</xdr:rowOff>
                  </to>
                </anchor>
              </controlPr>
            </control>
          </mc:Choice>
        </mc:AlternateContent>
        <mc:AlternateContent xmlns:mc="http://schemas.openxmlformats.org/markup-compatibility/2006">
          <mc:Choice Requires="x14">
            <control shapeId="21236" r:id="rId5" name="globalbacktobutton">
              <controlPr defaultSize="0" print="0" autoFill="0" autoPict="0" macro="[0]!backto">
                <anchor moveWithCells="1" sizeWithCells="1">
                  <from>
                    <xdr:col>0</xdr:col>
                    <xdr:colOff>76200</xdr:colOff>
                    <xdr:row>3</xdr:row>
                    <xdr:rowOff>146050</xdr:rowOff>
                  </from>
                  <to>
                    <xdr:col>0</xdr:col>
                    <xdr:colOff>711200</xdr:colOff>
                    <xdr:row>5</xdr:row>
                    <xdr:rowOff>266700</xdr:rowOff>
                  </to>
                </anchor>
              </controlPr>
            </control>
          </mc:Choice>
        </mc:AlternateContent>
        <mc:AlternateContent xmlns:mc="http://schemas.openxmlformats.org/markup-compatibility/2006">
          <mc:Choice Requires="x14">
            <control shapeId="21268" r:id="rId6" name="Button 788">
              <controlPr defaultSize="0" print="0" autoFill="0" autoPict="0" macro="[0]!pdflauncher">
                <anchor moveWithCells="1" sizeWithCells="1">
                  <from>
                    <xdr:col>14</xdr:col>
                    <xdr:colOff>88900</xdr:colOff>
                    <xdr:row>2</xdr:row>
                    <xdr:rowOff>146050</xdr:rowOff>
                  </from>
                  <to>
                    <xdr:col>14</xdr:col>
                    <xdr:colOff>774700</xdr:colOff>
                    <xdr:row>5</xdr:row>
                    <xdr:rowOff>44450</xdr:rowOff>
                  </to>
                </anchor>
              </controlPr>
            </control>
          </mc:Choice>
        </mc:AlternateContent>
        <mc:AlternateContent xmlns:mc="http://schemas.openxmlformats.org/markup-compatibility/2006">
          <mc:Choice Requires="x14">
            <control shapeId="21269" r:id="rId7" name="Button 789">
              <controlPr defaultSize="0" print="0" autoFill="0" autoPict="0" macro="[0]!openfolder">
                <anchor moveWithCells="1" sizeWithCells="1">
                  <from>
                    <xdr:col>14</xdr:col>
                    <xdr:colOff>787400</xdr:colOff>
                    <xdr:row>2</xdr:row>
                    <xdr:rowOff>146050</xdr:rowOff>
                  </from>
                  <to>
                    <xdr:col>14</xdr:col>
                    <xdr:colOff>1308100</xdr:colOff>
                    <xdr:row>5</xdr:row>
                    <xdr:rowOff>44450</xdr:rowOff>
                  </to>
                </anchor>
              </controlPr>
            </control>
          </mc:Choice>
        </mc:AlternateContent>
        <mc:AlternateContent xmlns:mc="http://schemas.openxmlformats.org/markup-compatibility/2006">
          <mc:Choice Requires="x14">
            <control shapeId="21270" r:id="rId8" name="Button 790">
              <controlPr defaultSize="0" print="0" autoFill="0" autoPict="0" macro="[0]!goto_folder_settings">
                <anchor moveWithCells="1" sizeWithCells="1">
                  <from>
                    <xdr:col>14</xdr:col>
                    <xdr:colOff>1327150</xdr:colOff>
                    <xdr:row>2</xdr:row>
                    <xdr:rowOff>146050</xdr:rowOff>
                  </from>
                  <to>
                    <xdr:col>15</xdr:col>
                    <xdr:colOff>203200</xdr:colOff>
                    <xdr:row>5</xdr:row>
                    <xdr:rowOff>44450</xdr:rowOff>
                  </to>
                </anchor>
              </controlPr>
            </control>
          </mc:Choice>
        </mc:AlternateContent>
        <mc:AlternateContent xmlns:mc="http://schemas.openxmlformats.org/markup-compatibility/2006">
          <mc:Choice Requires="x14">
            <control shapeId="21271" r:id="rId9" name="Button 791">
              <controlPr defaultSize="0" print="0" autoFill="0" autoPict="0" macro="[0]!email_pdf_launch">
                <anchor moveWithCells="1" sizeWithCells="1">
                  <from>
                    <xdr:col>14</xdr:col>
                    <xdr:colOff>101600</xdr:colOff>
                    <xdr:row>1</xdr:row>
                    <xdr:rowOff>0</xdr:rowOff>
                  </from>
                  <to>
                    <xdr:col>14</xdr:col>
                    <xdr:colOff>920750</xdr:colOff>
                    <xdr:row>2</xdr:row>
                    <xdr:rowOff>139700</xdr:rowOff>
                  </to>
                </anchor>
              </controlPr>
            </control>
          </mc:Choice>
        </mc:AlternateContent>
        <mc:AlternateContent xmlns:mc="http://schemas.openxmlformats.org/markup-compatibility/2006">
          <mc:Choice Requires="x14">
            <control shapeId="21273" r:id="rId10" name="Button 793">
              <controlPr defaultSize="0" print="0" autoFill="0" autoPict="0" macro="[0]!emailsettings">
                <anchor moveWithCells="1" sizeWithCells="1">
                  <from>
                    <xdr:col>14</xdr:col>
                    <xdr:colOff>927100</xdr:colOff>
                    <xdr:row>1</xdr:row>
                    <xdr:rowOff>0</xdr:rowOff>
                  </from>
                  <to>
                    <xdr:col>15</xdr:col>
                    <xdr:colOff>203200</xdr:colOff>
                    <xdr:row>2</xdr:row>
                    <xdr:rowOff>139700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776EA-F16E-4330-9236-BF87FB4E70C4}">
  <sheetPr codeName="Sheet28"/>
  <dimension ref="A1:L30"/>
  <sheetViews>
    <sheetView workbookViewId="0"/>
  </sheetViews>
  <sheetFormatPr defaultColWidth="9.08984375" defaultRowHeight="12.5" x14ac:dyDescent="0.25"/>
  <cols>
    <col min="1" max="1" width="9.08984375" style="117"/>
    <col min="2" max="2" width="14.36328125" style="117" customWidth="1"/>
    <col min="3" max="3" width="14.90625" style="117" customWidth="1"/>
    <col min="4" max="4" width="20.6328125" style="117" customWidth="1"/>
    <col min="5" max="16384" width="9.08984375" style="117"/>
  </cols>
  <sheetData>
    <row r="1" spans="1:12" x14ac:dyDescent="0.25">
      <c r="A1" s="114"/>
      <c r="B1" s="115"/>
      <c r="C1" s="115"/>
      <c r="D1" s="115"/>
      <c r="E1" s="115"/>
      <c r="F1" s="115"/>
      <c r="G1" s="115"/>
      <c r="H1" s="115"/>
      <c r="I1" s="115"/>
      <c r="J1" s="115"/>
      <c r="K1" s="115"/>
      <c r="L1" s="116"/>
    </row>
    <row r="2" spans="1:12" ht="13" x14ac:dyDescent="0.3">
      <c r="A2" s="118"/>
      <c r="C2" s="119"/>
      <c r="D2" s="120" t="str">
        <f>VLOOKUP(D4,E4:G6,3,FALSE)</f>
        <v>England</v>
      </c>
      <c r="E2" s="119"/>
      <c r="F2" s="119"/>
      <c r="J2" s="182" t="s">
        <v>847</v>
      </c>
      <c r="L2" s="121"/>
    </row>
    <row r="3" spans="1:12" ht="13" x14ac:dyDescent="0.3">
      <c r="A3" s="118"/>
      <c r="C3" s="122" t="s">
        <v>792</v>
      </c>
      <c r="D3" s="122" t="s">
        <v>793</v>
      </c>
      <c r="F3" s="122" t="s">
        <v>794</v>
      </c>
      <c r="J3" s="123">
        <v>3</v>
      </c>
      <c r="L3" s="121"/>
    </row>
    <row r="4" spans="1:12" x14ac:dyDescent="0.25">
      <c r="A4" s="118"/>
      <c r="C4" s="117" t="s">
        <v>795</v>
      </c>
      <c r="D4" s="123">
        <v>3</v>
      </c>
      <c r="E4" s="117">
        <v>1</v>
      </c>
      <c r="F4" s="117" t="s">
        <v>294</v>
      </c>
      <c r="G4" s="117" t="str">
        <f>C4</f>
        <v>City of London</v>
      </c>
      <c r="L4" s="121"/>
    </row>
    <row r="5" spans="1:12" x14ac:dyDescent="0.25">
      <c r="A5" s="118"/>
      <c r="C5" s="117" t="s">
        <v>796</v>
      </c>
      <c r="E5" s="117">
        <v>2</v>
      </c>
      <c r="F5" s="117" t="s">
        <v>293</v>
      </c>
      <c r="G5" s="117" t="str">
        <f>C5</f>
        <v>Greater London</v>
      </c>
      <c r="L5" s="121"/>
    </row>
    <row r="6" spans="1:12" x14ac:dyDescent="0.25">
      <c r="A6" s="118"/>
      <c r="C6" s="117" t="s">
        <v>797</v>
      </c>
      <c r="E6" s="117">
        <v>3</v>
      </c>
      <c r="F6" s="117" t="s">
        <v>274</v>
      </c>
      <c r="G6" s="117" t="str">
        <f>C6</f>
        <v>England</v>
      </c>
      <c r="L6" s="121"/>
    </row>
    <row r="7" spans="1:12" x14ac:dyDescent="0.25">
      <c r="A7" s="118"/>
      <c r="L7" s="121"/>
    </row>
    <row r="8" spans="1:12" x14ac:dyDescent="0.25">
      <c r="A8" s="118"/>
      <c r="D8" s="124" t="s">
        <v>793</v>
      </c>
      <c r="E8" s="124" t="str">
        <f>VLOOKUP(D4,E4:F6,2,FALSE)</f>
        <v>e</v>
      </c>
      <c r="F8" s="182" t="s">
        <v>496</v>
      </c>
      <c r="L8" s="121"/>
    </row>
    <row r="9" spans="1:12" x14ac:dyDescent="0.25">
      <c r="A9" s="125"/>
      <c r="B9" s="126"/>
      <c r="C9" s="126"/>
      <c r="D9" s="126"/>
      <c r="E9" s="126"/>
      <c r="F9" s="126"/>
      <c r="G9" s="126"/>
      <c r="H9" s="126"/>
      <c r="I9" s="126"/>
      <c r="J9" s="126"/>
      <c r="K9" s="126"/>
      <c r="L9" s="127"/>
    </row>
    <row r="11" spans="1:12" x14ac:dyDescent="0.25">
      <c r="A11" s="125"/>
      <c r="B11" s="126"/>
      <c r="C11" s="126"/>
      <c r="D11" s="126"/>
      <c r="E11" s="126"/>
      <c r="F11" s="126"/>
      <c r="G11" s="126"/>
      <c r="H11" s="126"/>
      <c r="I11" s="126"/>
      <c r="J11" s="126"/>
      <c r="K11" s="127"/>
    </row>
    <row r="13" spans="1:12" x14ac:dyDescent="0.25">
      <c r="A13" s="128" t="s">
        <v>798</v>
      </c>
      <c r="B13" s="129"/>
      <c r="C13" s="115"/>
      <c r="D13" s="115"/>
      <c r="E13" s="115"/>
      <c r="F13" s="115"/>
      <c r="G13" s="986" t="s">
        <v>794</v>
      </c>
      <c r="H13" s="986" t="s">
        <v>2426</v>
      </c>
      <c r="I13" s="115"/>
      <c r="J13" s="115"/>
      <c r="K13" s="116"/>
    </row>
    <row r="14" spans="1:12" x14ac:dyDescent="0.25">
      <c r="A14" s="118"/>
      <c r="B14" s="117" t="s">
        <v>799</v>
      </c>
      <c r="C14" s="117" t="b">
        <f>OR(D4=1,D4=2)</f>
        <v>0</v>
      </c>
      <c r="D14" s="117" t="s">
        <v>800</v>
      </c>
      <c r="E14" s="117">
        <v>1</v>
      </c>
      <c r="F14" s="117" t="s">
        <v>801</v>
      </c>
      <c r="G14" s="987">
        <v>1</v>
      </c>
      <c r="H14" s="988" t="str">
        <f>INDEX(authorities!A:A,G14)</f>
        <v>Enter Levying Authority</v>
      </c>
      <c r="K14" s="121"/>
    </row>
    <row r="15" spans="1:12" x14ac:dyDescent="0.25">
      <c r="A15" s="118"/>
      <c r="K15" s="121"/>
    </row>
    <row r="16" spans="1:12" x14ac:dyDescent="0.25">
      <c r="A16" s="125"/>
      <c r="B16" s="126"/>
      <c r="C16" s="126"/>
      <c r="D16" s="126"/>
      <c r="E16" s="126"/>
      <c r="F16" s="126"/>
      <c r="G16" s="126"/>
      <c r="H16" s="126"/>
      <c r="I16" s="126"/>
      <c r="J16" s="126"/>
      <c r="K16" s="127"/>
    </row>
    <row r="30" spans="7:7" x14ac:dyDescent="0.25">
      <c r="G30" s="117">
        <v>1</v>
      </c>
    </row>
  </sheetData>
  <sheetProtection password="BCD8" sheet="1" objects="1" scenarios="1"/>
  <phoneticPr fontId="0" type="noConversion"/>
  <pageMargins left="0.75" right="0.75" top="1" bottom="1" header="0.5" footer="0.5"/>
  <pageSetup orientation="portrait" horizontalDpi="200" verticalDpi="200" r:id="rId1"/>
  <headerFooter alignWithMargins="0"/>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D47E0-FBE9-4BD4-BC59-735D84B0672D}">
  <sheetPr codeName="Sheet5"/>
  <dimension ref="A1:BA75"/>
  <sheetViews>
    <sheetView showGridLines="0" workbookViewId="0">
      <selection activeCell="E6" sqref="E6"/>
    </sheetView>
  </sheetViews>
  <sheetFormatPr defaultColWidth="9.08984375" defaultRowHeight="14.5" x14ac:dyDescent="0.35"/>
  <cols>
    <col min="1" max="1" width="14" style="149" customWidth="1"/>
    <col min="2" max="2" width="1.6328125" style="149" customWidth="1"/>
    <col min="3" max="3" width="5.6328125" style="149" customWidth="1"/>
    <col min="4" max="4" width="12.6328125" style="149" customWidth="1"/>
    <col min="5" max="5" width="11.90625" style="149" customWidth="1"/>
    <col min="6" max="7" width="8.453125" style="416" customWidth="1"/>
    <col min="8" max="8" width="20.90625" style="416" customWidth="1"/>
    <col min="9" max="9" width="13.54296875" style="416" customWidth="1"/>
    <col min="10" max="10" width="18.90625" style="416" customWidth="1"/>
    <col min="11" max="11" width="13.54296875" style="416" customWidth="1"/>
    <col min="12" max="12" width="13.453125" style="416" customWidth="1"/>
    <col min="13" max="13" width="11.6328125" style="416" customWidth="1"/>
    <col min="14" max="14" width="12.54296875" style="416" customWidth="1"/>
    <col min="15" max="16" width="10.453125" style="416" customWidth="1"/>
    <col min="17" max="17" width="10.453125" style="416" hidden="1" customWidth="1"/>
    <col min="18" max="19" width="8.453125" style="416" hidden="1" customWidth="1"/>
    <col min="20" max="20" width="24" style="149" hidden="1" customWidth="1"/>
    <col min="21" max="21" width="10.36328125" style="149" hidden="1" customWidth="1"/>
    <col min="22" max="22" width="22.08984375" style="149" hidden="1" customWidth="1"/>
    <col min="23" max="23" width="10.6328125" style="416" hidden="1" customWidth="1"/>
    <col min="24" max="24" width="31.453125" style="149" hidden="1" customWidth="1"/>
    <col min="25" max="25" width="9.08984375" style="416" hidden="1" customWidth="1"/>
    <col min="26" max="26" width="10.6328125" style="416" hidden="1" customWidth="1"/>
    <col min="27" max="27" width="13.6328125" style="149" hidden="1" customWidth="1"/>
    <col min="28" max="29" width="9.08984375" style="149" hidden="1" customWidth="1"/>
    <col min="30" max="30" width="9.08984375" style="149"/>
    <col min="31" max="31" width="11.90625" style="149" customWidth="1"/>
    <col min="32" max="32" width="10.08984375" style="149" customWidth="1"/>
    <col min="33" max="33" width="9.08984375" style="416"/>
    <col min="34" max="37" width="9.08984375" style="149"/>
    <col min="38" max="38" width="11.08984375" style="149" customWidth="1"/>
    <col min="39" max="16384" width="9.08984375" style="149"/>
  </cols>
  <sheetData>
    <row r="1" spans="1:53" ht="14.2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1"/>
      <c r="AT1" s="71"/>
      <c r="AU1" s="71"/>
      <c r="AV1" s="71"/>
      <c r="AW1" s="71"/>
      <c r="AX1" s="71"/>
      <c r="AY1" s="71"/>
      <c r="AZ1" s="71"/>
      <c r="BA1" s="71"/>
    </row>
    <row r="2" spans="1:53" ht="30" customHeight="1" x14ac:dyDescent="0.35">
      <c r="A2" s="71"/>
      <c r="B2" s="442"/>
      <c r="C2" s="443"/>
      <c r="D2" s="444" t="s">
        <v>778</v>
      </c>
      <c r="E2" s="443"/>
      <c r="F2" s="443"/>
      <c r="G2" s="443"/>
      <c r="H2" s="443"/>
      <c r="I2" s="443"/>
      <c r="J2" s="443"/>
      <c r="K2" s="443"/>
      <c r="L2" s="443"/>
      <c r="M2" s="443"/>
      <c r="N2" s="445"/>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row>
    <row r="3" spans="1:53" ht="20.25" customHeight="1" x14ac:dyDescent="0.35">
      <c r="A3" s="71"/>
      <c r="B3" s="446"/>
      <c r="D3" s="149" t="s">
        <v>783</v>
      </c>
      <c r="N3" s="447"/>
      <c r="O3" s="71"/>
      <c r="P3" s="71"/>
      <c r="AD3" s="71"/>
      <c r="AE3" s="71"/>
      <c r="AF3" s="71"/>
      <c r="AG3" s="71"/>
      <c r="AH3" s="71"/>
      <c r="AI3" s="71"/>
      <c r="AJ3" s="71"/>
      <c r="AK3" s="71"/>
      <c r="AL3" s="71"/>
      <c r="AM3" s="71"/>
      <c r="AN3" s="71"/>
      <c r="AO3" s="71"/>
      <c r="AP3" s="71"/>
      <c r="AQ3" s="71"/>
      <c r="AR3" s="71"/>
      <c r="AS3" s="71"/>
      <c r="AT3" s="71"/>
      <c r="AU3" s="71"/>
      <c r="AV3" s="71"/>
      <c r="AW3" s="71"/>
      <c r="AX3" s="71"/>
      <c r="AY3" s="71"/>
      <c r="AZ3" s="71"/>
      <c r="BA3" s="71"/>
    </row>
    <row r="4" spans="1:53" ht="32.25" customHeight="1" x14ac:dyDescent="0.35">
      <c r="A4" s="71"/>
      <c r="B4" s="446"/>
      <c r="D4" s="417"/>
      <c r="E4" s="418" t="s">
        <v>739</v>
      </c>
      <c r="F4" s="419"/>
      <c r="G4" s="419"/>
      <c r="H4" s="420" t="s">
        <v>422</v>
      </c>
      <c r="I4" s="421" t="s">
        <v>423</v>
      </c>
      <c r="J4" s="419"/>
      <c r="K4" s="421" t="s">
        <v>262</v>
      </c>
      <c r="L4" s="422" t="s">
        <v>425</v>
      </c>
      <c r="M4" s="422" t="s">
        <v>1701</v>
      </c>
      <c r="N4" s="447"/>
      <c r="O4" s="71"/>
      <c r="P4" s="71"/>
      <c r="Q4" s="416" t="s">
        <v>782</v>
      </c>
      <c r="Z4" s="416" t="s">
        <v>397</v>
      </c>
      <c r="AD4" s="71"/>
      <c r="AE4" s="71"/>
      <c r="AF4" s="71"/>
      <c r="AG4" s="71"/>
      <c r="AH4" s="71"/>
      <c r="AI4" s="71"/>
      <c r="AJ4" s="71"/>
      <c r="AK4" s="71"/>
      <c r="AL4" s="71"/>
      <c r="AM4" s="71"/>
      <c r="AN4" s="71"/>
      <c r="AO4" s="71"/>
      <c r="AP4" s="71"/>
      <c r="AQ4" s="71"/>
      <c r="AR4" s="71"/>
      <c r="AS4" s="71"/>
      <c r="AT4" s="71"/>
      <c r="AU4" s="71"/>
      <c r="AV4" s="71"/>
      <c r="AW4" s="71"/>
      <c r="AX4" s="71"/>
      <c r="AY4" s="71"/>
      <c r="AZ4" s="71"/>
      <c r="BA4" s="71"/>
    </row>
    <row r="5" spans="1:53" ht="20.25" customHeight="1" x14ac:dyDescent="0.35">
      <c r="A5" s="71"/>
      <c r="B5" s="446"/>
      <c r="D5" s="423" t="s">
        <v>430</v>
      </c>
      <c r="E5" s="424" t="s">
        <v>738</v>
      </c>
      <c r="F5" s="424" t="s">
        <v>424</v>
      </c>
      <c r="G5" s="425" t="s">
        <v>399</v>
      </c>
      <c r="H5" s="425"/>
      <c r="I5" s="441">
        <v>112.4</v>
      </c>
      <c r="J5" s="425"/>
      <c r="K5" s="441">
        <v>308.60000000000002</v>
      </c>
      <c r="L5" s="426"/>
      <c r="M5" s="1896" t="s">
        <v>1702</v>
      </c>
      <c r="N5" s="448"/>
      <c r="O5" s="71"/>
      <c r="P5" s="71"/>
      <c r="Q5" s="416" t="str">
        <f>VLOOKUP(R5,Q6:R18,2,FALSE)</f>
        <v>2025</v>
      </c>
      <c r="R5" s="149">
        <f>MIN(Q6:Q18)</f>
        <v>9</v>
      </c>
      <c r="T5" s="149" t="s">
        <v>398</v>
      </c>
      <c r="U5" s="416">
        <f>K5</f>
        <v>308.60000000000002</v>
      </c>
      <c r="W5" s="416">
        <f>I5</f>
        <v>112.4</v>
      </c>
      <c r="Y5" s="416">
        <f>U5</f>
        <v>308.60000000000002</v>
      </c>
      <c r="Z5" s="416" t="s">
        <v>390</v>
      </c>
      <c r="AD5" s="71"/>
      <c r="AE5" s="71"/>
      <c r="AF5" s="71"/>
      <c r="AG5" s="71"/>
      <c r="AH5" s="71"/>
      <c r="AI5" s="71"/>
      <c r="AJ5" s="71"/>
      <c r="AK5" s="71"/>
      <c r="AL5" s="71"/>
      <c r="AM5" s="71"/>
      <c r="AN5" s="71"/>
      <c r="AO5" s="71"/>
      <c r="AP5" s="71"/>
      <c r="AQ5" s="71"/>
      <c r="AR5" s="71"/>
      <c r="AS5" s="71"/>
      <c r="AT5" s="71"/>
      <c r="AU5" s="71"/>
      <c r="AV5" s="71"/>
      <c r="AW5" s="71"/>
      <c r="AX5" s="71"/>
      <c r="AY5" s="71"/>
      <c r="AZ5" s="71"/>
      <c r="BA5" s="71"/>
    </row>
    <row r="6" spans="1:53" x14ac:dyDescent="0.35">
      <c r="A6" s="71"/>
      <c r="B6" s="446"/>
      <c r="D6" s="427" t="str">
        <f>text!D9</f>
        <v>2023/24</v>
      </c>
      <c r="E6" s="414">
        <v>0.01</v>
      </c>
      <c r="F6" s="22" t="s">
        <v>426</v>
      </c>
      <c r="G6" s="440">
        <f t="shared" ref="G6:G18" si="0">IF(I6&lt;&gt;"",(I6-I5)/I5*100,"-")</f>
        <v>10.14234875444839</v>
      </c>
      <c r="H6" s="429" t="str">
        <f>V6</f>
        <v>CPI September 2022</v>
      </c>
      <c r="I6" s="22">
        <v>123.8</v>
      </c>
      <c r="J6" s="427" t="str">
        <f>T6</f>
        <v>RPI September 2022</v>
      </c>
      <c r="K6" s="22">
        <v>347.6</v>
      </c>
      <c r="L6" s="22">
        <v>308.60000000000002</v>
      </c>
      <c r="M6" s="414">
        <v>0.03</v>
      </c>
      <c r="N6" s="447"/>
      <c r="O6" s="71"/>
      <c r="P6" s="71"/>
      <c r="Q6" s="416">
        <f>IF(L6="",ROW(),100)</f>
        <v>100</v>
      </c>
      <c r="R6" s="416" t="str">
        <f>RIGHT(T6,4)</f>
        <v>2022</v>
      </c>
      <c r="S6" s="430"/>
      <c r="T6" s="427" t="str">
        <f>"RPI September "&amp;text!E8</f>
        <v>RPI September 2022</v>
      </c>
      <c r="U6" s="428">
        <f t="shared" ref="U6:U18" si="1">IF(K6&lt;&gt;"",K6,ROUND(U5+(U5*E6),1))</f>
        <v>347.6</v>
      </c>
      <c r="V6" s="427" t="str">
        <f>"CPI September "&amp;text!E8</f>
        <v>CPI September 2022</v>
      </c>
      <c r="W6" s="428">
        <f t="shared" ref="W6:W18" si="2">IF(I6&lt;&gt;"",I6,ROUND(W5+(W5*E6),1))</f>
        <v>123.8</v>
      </c>
      <c r="X6" s="427" t="str">
        <f>AA6&amp;" Value of B for "&amp;text!D9</f>
        <v>Confirmed Value of B for 2023/24</v>
      </c>
      <c r="Y6" s="428">
        <f>IF(L6&lt;&gt;"",L6,ROUND(U5*W6/W5,1))</f>
        <v>308.60000000000002</v>
      </c>
      <c r="Z6" s="428" t="str">
        <f>IF(OR(F6="",F6=" ",UPPER(LEFT(F6,1)="N"),UPPER(LEFT(F6,1)="C")),"c",F6)</f>
        <v>c</v>
      </c>
      <c r="AA6" s="149" t="str">
        <f>VLOOKUP(Z6,$T$21:$U$25,2,FALSE)</f>
        <v>Confirmed</v>
      </c>
      <c r="AD6" s="71"/>
      <c r="AE6" s="71"/>
      <c r="AF6" s="71"/>
      <c r="AG6" s="71"/>
      <c r="AH6" s="71"/>
      <c r="AI6" s="71"/>
      <c r="AJ6" s="71"/>
      <c r="AK6" s="71"/>
      <c r="AL6" s="71"/>
      <c r="AM6" s="71"/>
      <c r="AN6" s="71"/>
      <c r="AO6" s="71"/>
      <c r="AP6" s="71"/>
      <c r="AQ6" s="71"/>
      <c r="AR6" s="71"/>
      <c r="AS6" s="71"/>
      <c r="AT6" s="71"/>
      <c r="AU6" s="71"/>
      <c r="AV6" s="71"/>
      <c r="AW6" s="71"/>
      <c r="AX6" s="71"/>
      <c r="AY6" s="71"/>
      <c r="AZ6" s="71"/>
      <c r="BA6" s="71"/>
    </row>
    <row r="7" spans="1:53" x14ac:dyDescent="0.35">
      <c r="A7" s="71"/>
      <c r="B7" s="446"/>
      <c r="D7" s="427" t="str">
        <f>text!D10</f>
        <v>2024/25</v>
      </c>
      <c r="E7" s="414">
        <v>6.6199999999999995E-2</v>
      </c>
      <c r="F7" s="22" t="s">
        <v>426</v>
      </c>
      <c r="G7" s="440">
        <f t="shared" si="0"/>
        <v>6.6235864297253659</v>
      </c>
      <c r="H7" s="429" t="str">
        <f t="shared" ref="H7:H18" si="3">V7</f>
        <v>CPI September 2023</v>
      </c>
      <c r="I7" s="22">
        <v>132</v>
      </c>
      <c r="J7" s="427" t="str">
        <f t="shared" ref="J7:J18" si="4">T7</f>
        <v>RPI September 2023</v>
      </c>
      <c r="K7" s="22">
        <v>378.4</v>
      </c>
      <c r="L7" s="22">
        <v>347.6</v>
      </c>
      <c r="M7" s="414">
        <v>4.2500000000000003E-2</v>
      </c>
      <c r="N7" s="447"/>
      <c r="O7" s="71"/>
      <c r="P7" s="71"/>
      <c r="Q7" s="416">
        <f t="shared" ref="Q7:Q18" si="5">IF(L7="",ROW(),100)</f>
        <v>100</v>
      </c>
      <c r="R7" s="416" t="str">
        <f t="shared" ref="R7:R18" si="6">RIGHT(T7,4)</f>
        <v>2023</v>
      </c>
      <c r="S7" s="430"/>
      <c r="T7" s="427" t="str">
        <f>"RPI September "&amp;text!E9</f>
        <v>RPI September 2023</v>
      </c>
      <c r="U7" s="428">
        <f t="shared" si="1"/>
        <v>378.4</v>
      </c>
      <c r="V7" s="427" t="str">
        <f>"CPI September "&amp;text!E9</f>
        <v>CPI September 2023</v>
      </c>
      <c r="W7" s="428">
        <f t="shared" si="2"/>
        <v>132</v>
      </c>
      <c r="X7" s="427" t="str">
        <f>AA7&amp;" Value of B for "&amp;text!D10</f>
        <v>Confirmed Value of B for 2024/25</v>
      </c>
      <c r="Y7" s="428">
        <f t="shared" ref="Y7:Y18" si="7">IF(L7&lt;&gt;"",L7,ROUND(U6*W7/W6,1))</f>
        <v>347.6</v>
      </c>
      <c r="Z7" s="428" t="str">
        <f t="shared" ref="Z7:Z18" si="8">IF(OR(F7="",F7=" ",UPPER(LEFT(F7,1)="N"),UPPER(LEFT(F7,1)="C")),"c",F7)</f>
        <v>c</v>
      </c>
      <c r="AA7" s="149" t="str">
        <f t="shared" ref="AA7:AA17" si="9">VLOOKUP(Z7,$T$21:$U$25,2,FALSE)</f>
        <v>Confirmed</v>
      </c>
      <c r="AD7" s="71"/>
      <c r="AE7" s="71"/>
      <c r="AF7" s="71"/>
      <c r="AG7" s="71"/>
      <c r="AH7" s="71"/>
      <c r="AI7" s="71"/>
      <c r="AJ7" s="71"/>
      <c r="AK7" s="71"/>
      <c r="AL7" s="71"/>
      <c r="AM7" s="71"/>
      <c r="AN7" s="71"/>
      <c r="AO7" s="71"/>
      <c r="AP7" s="71"/>
      <c r="AQ7" s="71"/>
      <c r="AR7" s="71"/>
      <c r="AS7" s="71"/>
      <c r="AT7" s="71"/>
      <c r="AU7" s="71"/>
      <c r="AV7" s="71"/>
      <c r="AW7" s="71"/>
      <c r="AX7" s="71"/>
      <c r="AY7" s="71"/>
      <c r="AZ7" s="71"/>
      <c r="BA7" s="71"/>
    </row>
    <row r="8" spans="1:53" x14ac:dyDescent="0.35">
      <c r="A8" s="71"/>
      <c r="B8" s="446"/>
      <c r="D8" s="427" t="str">
        <f>text!D11</f>
        <v>2025/26</v>
      </c>
      <c r="E8" s="414">
        <v>4.0999999999999995E-2</v>
      </c>
      <c r="F8" s="22" t="s">
        <v>426</v>
      </c>
      <c r="G8" s="440">
        <f t="shared" si="0"/>
        <v>1.6666666666666581</v>
      </c>
      <c r="H8" s="429" t="str">
        <f t="shared" si="3"/>
        <v>CPI September 2024</v>
      </c>
      <c r="I8" s="22">
        <v>134.19999999999999</v>
      </c>
      <c r="J8" s="427" t="str">
        <f t="shared" si="4"/>
        <v>RPI September 2024</v>
      </c>
      <c r="K8" s="22">
        <v>388.6</v>
      </c>
      <c r="L8" s="22">
        <v>378.4</v>
      </c>
      <c r="M8" s="414">
        <v>3.5000000000000003E-2</v>
      </c>
      <c r="N8" s="447"/>
      <c r="O8" s="71"/>
      <c r="P8" s="71"/>
      <c r="Q8" s="416">
        <f t="shared" si="5"/>
        <v>100</v>
      </c>
      <c r="R8" s="416" t="str">
        <f t="shared" si="6"/>
        <v>2024</v>
      </c>
      <c r="S8" s="430"/>
      <c r="T8" s="427" t="str">
        <f>"RPI September "&amp;text!E10</f>
        <v>RPI September 2024</v>
      </c>
      <c r="U8" s="428">
        <f t="shared" si="1"/>
        <v>388.6</v>
      </c>
      <c r="V8" s="427" t="str">
        <f>"CPI September "&amp;text!E10</f>
        <v>CPI September 2024</v>
      </c>
      <c r="W8" s="428">
        <f t="shared" si="2"/>
        <v>134.19999999999999</v>
      </c>
      <c r="X8" s="427" t="str">
        <f>AA8&amp;" Value of B for "&amp;text!D11</f>
        <v>Confirmed Value of B for 2025/26</v>
      </c>
      <c r="Y8" s="428">
        <f t="shared" si="7"/>
        <v>378.4</v>
      </c>
      <c r="Z8" s="428" t="str">
        <f t="shared" si="8"/>
        <v>c</v>
      </c>
      <c r="AA8" s="149" t="str">
        <f t="shared" si="9"/>
        <v>Confirmed</v>
      </c>
      <c r="AD8" s="71"/>
      <c r="AE8" s="71"/>
      <c r="AF8" s="71"/>
      <c r="AG8" s="71"/>
      <c r="AH8" s="71"/>
      <c r="AI8" s="71"/>
      <c r="AJ8" s="71"/>
      <c r="AK8" s="71"/>
      <c r="AL8" s="71"/>
      <c r="AM8" s="71"/>
      <c r="AN8" s="71"/>
      <c r="AO8" s="71"/>
      <c r="AP8" s="71"/>
      <c r="AQ8" s="71"/>
      <c r="AR8" s="71"/>
      <c r="AS8" s="71"/>
      <c r="AT8" s="71"/>
      <c r="AU8" s="71"/>
      <c r="AV8" s="71"/>
      <c r="AW8" s="71"/>
      <c r="AX8" s="71"/>
      <c r="AY8" s="71"/>
      <c r="AZ8" s="71"/>
      <c r="BA8" s="71"/>
    </row>
    <row r="9" spans="1:53" hidden="1" x14ac:dyDescent="0.35">
      <c r="A9" s="1901"/>
      <c r="B9" s="446"/>
      <c r="D9" s="427" t="str">
        <f>text!D12</f>
        <v>2026/27</v>
      </c>
      <c r="E9" s="414">
        <f t="shared" ref="E9:E18" si="10">E8</f>
        <v>4.0999999999999995E-2</v>
      </c>
      <c r="F9" s="22" t="str">
        <f t="shared" ref="F9:F18" si="11">F8</f>
        <v>n</v>
      </c>
      <c r="G9" s="440" t="str">
        <f t="shared" si="0"/>
        <v>-</v>
      </c>
      <c r="H9" s="429" t="str">
        <f t="shared" si="3"/>
        <v>CPI September 2025</v>
      </c>
      <c r="I9" s="22"/>
      <c r="J9" s="427" t="str">
        <f t="shared" si="4"/>
        <v>RPI September 2025</v>
      </c>
      <c r="K9" s="22"/>
      <c r="L9" s="22"/>
      <c r="M9" s="414">
        <f t="shared" ref="M9:M18" si="12">M8</f>
        <v>3.5000000000000003E-2</v>
      </c>
      <c r="N9" s="447"/>
      <c r="O9" s="71"/>
      <c r="P9" s="71"/>
      <c r="Q9" s="416">
        <f t="shared" si="5"/>
        <v>9</v>
      </c>
      <c r="R9" s="416" t="str">
        <f t="shared" si="6"/>
        <v>2025</v>
      </c>
      <c r="S9" s="430"/>
      <c r="T9" s="427" t="str">
        <f>"RPI September "&amp;text!E11</f>
        <v>RPI September 2025</v>
      </c>
      <c r="U9" s="428">
        <f t="shared" si="1"/>
        <v>404.5</v>
      </c>
      <c r="V9" s="427" t="str">
        <f>"CPI September "&amp;text!E11</f>
        <v>CPI September 2025</v>
      </c>
      <c r="W9" s="428">
        <f t="shared" si="2"/>
        <v>139.69999999999999</v>
      </c>
      <c r="X9" s="427" t="str">
        <f>AA9&amp;" Value of B for "&amp;text!D12</f>
        <v>Confirmed Value of B for 2026/27</v>
      </c>
      <c r="Y9" s="428">
        <f t="shared" si="7"/>
        <v>404.5</v>
      </c>
      <c r="Z9" s="428" t="str">
        <f t="shared" si="8"/>
        <v>c</v>
      </c>
      <c r="AA9" s="149" t="str">
        <f t="shared" si="9"/>
        <v>Confirmed</v>
      </c>
      <c r="AD9" s="71"/>
      <c r="AE9" s="71"/>
      <c r="AF9" s="71"/>
      <c r="AG9" s="71"/>
      <c r="AH9" s="71"/>
      <c r="AI9" s="71"/>
      <c r="AJ9" s="71"/>
      <c r="AK9" s="71"/>
      <c r="AL9" s="71"/>
      <c r="AM9" s="71"/>
      <c r="AN9" s="71"/>
      <c r="AO9" s="71"/>
      <c r="AP9" s="71"/>
      <c r="AQ9" s="71"/>
      <c r="AR9" s="71"/>
      <c r="AS9" s="71"/>
      <c r="AT9" s="71"/>
      <c r="AU9" s="71"/>
      <c r="AV9" s="71"/>
      <c r="AW9" s="71"/>
      <c r="AX9" s="71"/>
      <c r="AY9" s="71"/>
      <c r="AZ9" s="71"/>
      <c r="BA9" s="71"/>
    </row>
    <row r="10" spans="1:53" hidden="1" x14ac:dyDescent="0.35">
      <c r="A10" s="1901"/>
      <c r="B10" s="446"/>
      <c r="D10" s="427" t="str">
        <f>text!D13</f>
        <v>2027/28</v>
      </c>
      <c r="E10" s="414">
        <f t="shared" si="10"/>
        <v>4.0999999999999995E-2</v>
      </c>
      <c r="F10" s="22" t="str">
        <f t="shared" si="11"/>
        <v>n</v>
      </c>
      <c r="G10" s="440" t="str">
        <f t="shared" si="0"/>
        <v>-</v>
      </c>
      <c r="H10" s="429" t="str">
        <f t="shared" si="3"/>
        <v>CPI September 2026</v>
      </c>
      <c r="I10" s="22"/>
      <c r="J10" s="427" t="str">
        <f t="shared" si="4"/>
        <v>RPI September 2026</v>
      </c>
      <c r="K10" s="22"/>
      <c r="L10" s="22"/>
      <c r="M10" s="414">
        <f t="shared" si="12"/>
        <v>3.5000000000000003E-2</v>
      </c>
      <c r="N10" s="447"/>
      <c r="O10" s="71"/>
      <c r="P10" s="71"/>
      <c r="Q10" s="416">
        <f t="shared" si="5"/>
        <v>10</v>
      </c>
      <c r="R10" s="416" t="str">
        <f t="shared" si="6"/>
        <v>2026</v>
      </c>
      <c r="S10" s="430"/>
      <c r="T10" s="427" t="str">
        <f>"RPI September "&amp;text!E12</f>
        <v>RPI September 2026</v>
      </c>
      <c r="U10" s="428">
        <f t="shared" si="1"/>
        <v>421.1</v>
      </c>
      <c r="V10" s="427" t="str">
        <f>"CPI September "&amp;text!E12</f>
        <v>CPI September 2026</v>
      </c>
      <c r="W10" s="428">
        <f t="shared" si="2"/>
        <v>145.4</v>
      </c>
      <c r="X10" s="427" t="str">
        <f>AA10&amp;" Value of B for "&amp;text!D13</f>
        <v>Confirmed Value of B for 2027/28</v>
      </c>
      <c r="Y10" s="428">
        <f t="shared" si="7"/>
        <v>421</v>
      </c>
      <c r="Z10" s="428" t="str">
        <f t="shared" si="8"/>
        <v>c</v>
      </c>
      <c r="AA10" s="149" t="str">
        <f t="shared" si="9"/>
        <v>Confirmed</v>
      </c>
      <c r="AD10" s="71"/>
      <c r="AE10" s="71"/>
      <c r="AF10" s="71"/>
      <c r="AG10" s="71"/>
      <c r="AH10" s="71"/>
      <c r="AI10" s="71"/>
      <c r="AJ10" s="71"/>
      <c r="AK10" s="71"/>
      <c r="AL10" s="71"/>
      <c r="AM10" s="71"/>
      <c r="AN10" s="71"/>
      <c r="AO10" s="71"/>
      <c r="AP10" s="71"/>
      <c r="AQ10" s="71"/>
      <c r="AR10" s="71"/>
      <c r="AS10" s="71"/>
      <c r="AT10" s="71"/>
      <c r="AU10" s="71"/>
      <c r="AV10" s="71"/>
      <c r="AW10" s="71"/>
      <c r="AX10" s="71"/>
      <c r="AY10" s="71"/>
      <c r="AZ10" s="71"/>
      <c r="BA10" s="71"/>
    </row>
    <row r="11" spans="1:53" hidden="1" x14ac:dyDescent="0.35">
      <c r="A11" s="1901"/>
      <c r="B11" s="446"/>
      <c r="D11" s="427" t="str">
        <f>text!D14</f>
        <v>2028/29</v>
      </c>
      <c r="E11" s="414">
        <f t="shared" si="10"/>
        <v>4.0999999999999995E-2</v>
      </c>
      <c r="F11" s="22" t="str">
        <f t="shared" si="11"/>
        <v>n</v>
      </c>
      <c r="G11" s="440" t="str">
        <f t="shared" si="0"/>
        <v>-</v>
      </c>
      <c r="H11" s="429" t="str">
        <f t="shared" si="3"/>
        <v>CPI September 2027</v>
      </c>
      <c r="I11" s="22"/>
      <c r="J11" s="427" t="str">
        <f t="shared" si="4"/>
        <v>RPI September 2027</v>
      </c>
      <c r="K11" s="22"/>
      <c r="L11" s="22"/>
      <c r="M11" s="414">
        <f t="shared" si="12"/>
        <v>3.5000000000000003E-2</v>
      </c>
      <c r="N11" s="447"/>
      <c r="O11" s="71"/>
      <c r="P11" s="71"/>
      <c r="Q11" s="416">
        <f t="shared" si="5"/>
        <v>11</v>
      </c>
      <c r="R11" s="416" t="str">
        <f t="shared" si="6"/>
        <v>2027</v>
      </c>
      <c r="S11" s="430"/>
      <c r="T11" s="427" t="str">
        <f>"RPI September "&amp;text!E13</f>
        <v>RPI September 2027</v>
      </c>
      <c r="U11" s="428">
        <f t="shared" si="1"/>
        <v>438.4</v>
      </c>
      <c r="V11" s="427" t="str">
        <f>"CPI September "&amp;text!E13</f>
        <v>CPI September 2027</v>
      </c>
      <c r="W11" s="428">
        <f t="shared" si="2"/>
        <v>151.4</v>
      </c>
      <c r="X11" s="427" t="str">
        <f>AA11&amp;" Value of B for "&amp;text!D14</f>
        <v>Confirmed Value of B for 2028/29</v>
      </c>
      <c r="Y11" s="428">
        <f t="shared" si="7"/>
        <v>438.5</v>
      </c>
      <c r="Z11" s="428" t="str">
        <f t="shared" si="8"/>
        <v>c</v>
      </c>
      <c r="AA11" s="149" t="str">
        <f t="shared" si="9"/>
        <v>Confirmed</v>
      </c>
      <c r="AD11" s="71"/>
      <c r="AE11" s="71"/>
      <c r="AF11" s="71"/>
      <c r="AG11" s="71"/>
      <c r="AH11" s="71"/>
      <c r="AI11" s="71"/>
      <c r="AJ11" s="71"/>
      <c r="AK11" s="71"/>
      <c r="AL11" s="71"/>
      <c r="AM11" s="71"/>
      <c r="AN11" s="71"/>
      <c r="AO11" s="71"/>
      <c r="AP11" s="71"/>
      <c r="AQ11" s="71"/>
      <c r="AR11" s="71"/>
      <c r="AS11" s="71"/>
      <c r="AT11" s="71"/>
      <c r="AU11" s="71"/>
      <c r="AV11" s="71"/>
      <c r="AW11" s="71"/>
      <c r="AX11" s="71"/>
      <c r="AY11" s="71"/>
      <c r="AZ11" s="71"/>
      <c r="BA11" s="71"/>
    </row>
    <row r="12" spans="1:53" hidden="1" x14ac:dyDescent="0.35">
      <c r="A12" s="1901"/>
      <c r="B12" s="446"/>
      <c r="D12" s="427" t="str">
        <f>text!D15</f>
        <v>2029/30</v>
      </c>
      <c r="E12" s="414">
        <f t="shared" si="10"/>
        <v>4.0999999999999995E-2</v>
      </c>
      <c r="F12" s="22" t="str">
        <f t="shared" si="11"/>
        <v>n</v>
      </c>
      <c r="G12" s="440" t="str">
        <f t="shared" si="0"/>
        <v>-</v>
      </c>
      <c r="H12" s="429" t="str">
        <f t="shared" si="3"/>
        <v>CPI September 2028</v>
      </c>
      <c r="I12" s="22"/>
      <c r="J12" s="427" t="str">
        <f t="shared" si="4"/>
        <v>RPI September 2028</v>
      </c>
      <c r="K12" s="22"/>
      <c r="L12" s="22"/>
      <c r="M12" s="414">
        <f t="shared" si="12"/>
        <v>3.5000000000000003E-2</v>
      </c>
      <c r="N12" s="447"/>
      <c r="O12" s="71"/>
      <c r="P12" s="71"/>
      <c r="Q12" s="416">
        <f t="shared" si="5"/>
        <v>12</v>
      </c>
      <c r="R12" s="416" t="str">
        <f t="shared" si="6"/>
        <v>2028</v>
      </c>
      <c r="S12" s="430"/>
      <c r="T12" s="427" t="str">
        <f>"RPI September "&amp;text!E14</f>
        <v>RPI September 2028</v>
      </c>
      <c r="U12" s="428">
        <f t="shared" si="1"/>
        <v>456.4</v>
      </c>
      <c r="V12" s="427" t="str">
        <f>"CPI September "&amp;text!E14</f>
        <v>CPI September 2028</v>
      </c>
      <c r="W12" s="428">
        <f t="shared" si="2"/>
        <v>157.6</v>
      </c>
      <c r="X12" s="427" t="str">
        <f>AA12&amp;" Value of B for "&amp;text!D15</f>
        <v>Confirmed Value of B for 2029/30</v>
      </c>
      <c r="Y12" s="428">
        <f t="shared" si="7"/>
        <v>456.4</v>
      </c>
      <c r="Z12" s="428" t="str">
        <f t="shared" si="8"/>
        <v>c</v>
      </c>
      <c r="AA12" s="149" t="str">
        <f t="shared" si="9"/>
        <v>Confirmed</v>
      </c>
      <c r="AD12" s="71"/>
      <c r="AE12" s="71"/>
      <c r="AF12" s="71"/>
      <c r="AG12" s="71"/>
      <c r="AH12" s="71"/>
      <c r="AI12" s="71"/>
      <c r="AJ12" s="71"/>
      <c r="AK12" s="71"/>
      <c r="AL12" s="71"/>
      <c r="AM12" s="71"/>
      <c r="AN12" s="71"/>
      <c r="AO12" s="71"/>
      <c r="AP12" s="71"/>
      <c r="AQ12" s="71"/>
      <c r="AR12" s="71"/>
      <c r="AS12" s="71"/>
      <c r="AT12" s="71"/>
      <c r="AU12" s="71"/>
      <c r="AV12" s="71"/>
      <c r="AW12" s="71"/>
      <c r="AX12" s="71"/>
      <c r="AY12" s="71"/>
      <c r="AZ12" s="71"/>
      <c r="BA12" s="71"/>
    </row>
    <row r="13" spans="1:53" hidden="1" x14ac:dyDescent="0.35">
      <c r="A13" s="1901"/>
      <c r="B13" s="446"/>
      <c r="D13" s="427" t="str">
        <f>text!D16</f>
        <v>2030/31</v>
      </c>
      <c r="E13" s="414">
        <f t="shared" si="10"/>
        <v>4.0999999999999995E-2</v>
      </c>
      <c r="F13" s="22" t="str">
        <f t="shared" si="11"/>
        <v>n</v>
      </c>
      <c r="G13" s="440" t="str">
        <f t="shared" si="0"/>
        <v>-</v>
      </c>
      <c r="H13" s="429" t="str">
        <f t="shared" si="3"/>
        <v>CPI September 2029</v>
      </c>
      <c r="I13" s="22"/>
      <c r="J13" s="427" t="str">
        <f t="shared" si="4"/>
        <v>RPI September 2029</v>
      </c>
      <c r="K13" s="22"/>
      <c r="L13" s="22"/>
      <c r="M13" s="414">
        <f t="shared" si="12"/>
        <v>3.5000000000000003E-2</v>
      </c>
      <c r="N13" s="447"/>
      <c r="O13" s="71"/>
      <c r="P13" s="71"/>
      <c r="Q13" s="416">
        <f t="shared" si="5"/>
        <v>13</v>
      </c>
      <c r="R13" s="416" t="str">
        <f t="shared" si="6"/>
        <v>2029</v>
      </c>
      <c r="S13" s="430"/>
      <c r="T13" s="427" t="str">
        <f>"RPI September "&amp;text!E15</f>
        <v>RPI September 2029</v>
      </c>
      <c r="U13" s="428">
        <f t="shared" si="1"/>
        <v>475.1</v>
      </c>
      <c r="V13" s="427" t="str">
        <f>"CPI September "&amp;text!E15</f>
        <v>CPI September 2029</v>
      </c>
      <c r="W13" s="428">
        <f t="shared" si="2"/>
        <v>164.1</v>
      </c>
      <c r="X13" s="427" t="str">
        <f>AA13&amp;" Value of B for "&amp;text!D16</f>
        <v>Confirmed Value of B for 2030/31</v>
      </c>
      <c r="Y13" s="428">
        <f t="shared" si="7"/>
        <v>475.2</v>
      </c>
      <c r="Z13" s="428" t="str">
        <f t="shared" si="8"/>
        <v>c</v>
      </c>
      <c r="AA13" s="149" t="str">
        <f t="shared" si="9"/>
        <v>Confirmed</v>
      </c>
      <c r="AD13" s="71"/>
      <c r="AE13" s="71"/>
      <c r="AF13" s="71"/>
      <c r="AG13" s="71"/>
      <c r="AH13" s="71"/>
      <c r="AI13" s="71"/>
      <c r="AJ13" s="71"/>
      <c r="AK13" s="71"/>
      <c r="AL13" s="71"/>
      <c r="AM13" s="71"/>
      <c r="AN13" s="71"/>
      <c r="AO13" s="71"/>
      <c r="AP13" s="71"/>
      <c r="AQ13" s="71"/>
      <c r="AR13" s="71"/>
      <c r="AS13" s="71"/>
      <c r="AT13" s="71"/>
      <c r="AU13" s="71"/>
      <c r="AV13" s="71"/>
      <c r="AW13" s="71"/>
      <c r="AX13" s="71"/>
      <c r="AY13" s="71"/>
      <c r="AZ13" s="71"/>
      <c r="BA13" s="71"/>
    </row>
    <row r="14" spans="1:53" hidden="1" x14ac:dyDescent="0.35">
      <c r="A14" s="1901"/>
      <c r="B14" s="446"/>
      <c r="D14" s="427" t="str">
        <f>text!D17</f>
        <v>2031/32</v>
      </c>
      <c r="E14" s="414">
        <f t="shared" si="10"/>
        <v>4.0999999999999995E-2</v>
      </c>
      <c r="F14" s="22" t="str">
        <f t="shared" si="11"/>
        <v>n</v>
      </c>
      <c r="G14" s="440" t="str">
        <f t="shared" si="0"/>
        <v>-</v>
      </c>
      <c r="H14" s="429" t="str">
        <f t="shared" si="3"/>
        <v>CPI September 2030</v>
      </c>
      <c r="I14" s="22"/>
      <c r="J14" s="427" t="str">
        <f t="shared" si="4"/>
        <v>RPI September 2030</v>
      </c>
      <c r="K14" s="22"/>
      <c r="L14" s="22"/>
      <c r="M14" s="414">
        <f t="shared" si="12"/>
        <v>3.5000000000000003E-2</v>
      </c>
      <c r="N14" s="447"/>
      <c r="O14" s="71"/>
      <c r="P14" s="71"/>
      <c r="Q14" s="416">
        <f t="shared" si="5"/>
        <v>14</v>
      </c>
      <c r="R14" s="416" t="str">
        <f t="shared" si="6"/>
        <v>2030</v>
      </c>
      <c r="S14" s="430"/>
      <c r="T14" s="427" t="str">
        <f>"RPI September "&amp;text!E16</f>
        <v>RPI September 2030</v>
      </c>
      <c r="U14" s="428">
        <f t="shared" si="1"/>
        <v>494.6</v>
      </c>
      <c r="V14" s="427" t="str">
        <f>"CPI September "&amp;text!E16</f>
        <v>CPI September 2030</v>
      </c>
      <c r="W14" s="428">
        <f t="shared" si="2"/>
        <v>170.8</v>
      </c>
      <c r="X14" s="427" t="str">
        <f>AA14&amp;" Value of B for "&amp;text!D17</f>
        <v>Confirmed Value of B for 2031/32</v>
      </c>
      <c r="Y14" s="428">
        <f t="shared" si="7"/>
        <v>494.5</v>
      </c>
      <c r="Z14" s="428" t="str">
        <f t="shared" si="8"/>
        <v>c</v>
      </c>
      <c r="AA14" s="149" t="str">
        <f t="shared" si="9"/>
        <v>Confirmed</v>
      </c>
      <c r="AD14" s="71"/>
      <c r="AE14" s="71"/>
      <c r="AF14" s="71"/>
      <c r="AG14" s="71"/>
      <c r="AH14" s="71"/>
      <c r="AI14" s="71"/>
      <c r="AJ14" s="71"/>
      <c r="AK14" s="71"/>
      <c r="AL14" s="71"/>
      <c r="AM14" s="71"/>
      <c r="AN14" s="71"/>
      <c r="AO14" s="71"/>
      <c r="AP14" s="71"/>
      <c r="AQ14" s="71"/>
      <c r="AR14" s="71"/>
      <c r="AS14" s="71"/>
      <c r="AT14" s="71"/>
      <c r="AU14" s="71"/>
      <c r="AV14" s="71"/>
      <c r="AW14" s="71"/>
      <c r="AX14" s="71"/>
      <c r="AY14" s="71"/>
      <c r="AZ14" s="71"/>
      <c r="BA14" s="71"/>
    </row>
    <row r="15" spans="1:53" hidden="1" x14ac:dyDescent="0.35">
      <c r="A15" s="1901"/>
      <c r="B15" s="446"/>
      <c r="D15" s="427" t="str">
        <f>text!D18</f>
        <v>2032/33</v>
      </c>
      <c r="E15" s="414">
        <f t="shared" si="10"/>
        <v>4.0999999999999995E-2</v>
      </c>
      <c r="F15" s="22" t="str">
        <f t="shared" si="11"/>
        <v>n</v>
      </c>
      <c r="G15" s="440" t="str">
        <f t="shared" si="0"/>
        <v>-</v>
      </c>
      <c r="H15" s="429" t="str">
        <f t="shared" si="3"/>
        <v>CPI September 2031</v>
      </c>
      <c r="I15" s="22"/>
      <c r="J15" s="427" t="str">
        <f t="shared" si="4"/>
        <v>RPI September 2031</v>
      </c>
      <c r="K15" s="22"/>
      <c r="L15" s="22"/>
      <c r="M15" s="414">
        <f t="shared" si="12"/>
        <v>3.5000000000000003E-2</v>
      </c>
      <c r="N15" s="447"/>
      <c r="O15" s="71"/>
      <c r="P15" s="71"/>
      <c r="Q15" s="416">
        <f t="shared" si="5"/>
        <v>15</v>
      </c>
      <c r="R15" s="416" t="str">
        <f t="shared" si="6"/>
        <v>2031</v>
      </c>
      <c r="S15" s="430"/>
      <c r="T15" s="427" t="str">
        <f>"RPI September "&amp;text!E17</f>
        <v>RPI September 2031</v>
      </c>
      <c r="U15" s="428">
        <f t="shared" si="1"/>
        <v>514.9</v>
      </c>
      <c r="V15" s="427" t="str">
        <f>"CPI September "&amp;text!E17</f>
        <v>CPI September 2031</v>
      </c>
      <c r="W15" s="428">
        <f t="shared" si="2"/>
        <v>177.8</v>
      </c>
      <c r="X15" s="427" t="str">
        <f>AA15&amp;" Value of B for "&amp;text!D18</f>
        <v>Confirmed Value of B for 2032/33</v>
      </c>
      <c r="Y15" s="428">
        <f t="shared" si="7"/>
        <v>514.9</v>
      </c>
      <c r="Z15" s="428" t="str">
        <f t="shared" si="8"/>
        <v>c</v>
      </c>
      <c r="AA15" s="149" t="str">
        <f t="shared" si="9"/>
        <v>Confirmed</v>
      </c>
      <c r="AD15" s="71"/>
      <c r="AE15" s="71"/>
      <c r="AF15" s="71"/>
      <c r="AG15" s="71"/>
      <c r="AH15" s="71"/>
      <c r="AI15" s="71"/>
      <c r="AJ15" s="71"/>
      <c r="AK15" s="71"/>
      <c r="AL15" s="71"/>
      <c r="AM15" s="71"/>
      <c r="AN15" s="71"/>
      <c r="AO15" s="71"/>
      <c r="AP15" s="71"/>
      <c r="AQ15" s="71"/>
      <c r="AR15" s="71"/>
      <c r="AS15" s="71"/>
      <c r="AT15" s="71"/>
      <c r="AU15" s="71"/>
      <c r="AV15" s="71"/>
      <c r="AW15" s="71"/>
      <c r="AX15" s="71"/>
      <c r="AY15" s="71"/>
      <c r="AZ15" s="71"/>
      <c r="BA15" s="71"/>
    </row>
    <row r="16" spans="1:53" hidden="1" x14ac:dyDescent="0.35">
      <c r="A16" s="1901"/>
      <c r="B16" s="446"/>
      <c r="D16" s="427" t="str">
        <f>text!D19</f>
        <v>2033/34</v>
      </c>
      <c r="E16" s="414">
        <f t="shared" si="10"/>
        <v>4.0999999999999995E-2</v>
      </c>
      <c r="F16" s="22" t="str">
        <f t="shared" si="11"/>
        <v>n</v>
      </c>
      <c r="G16" s="440" t="str">
        <f t="shared" si="0"/>
        <v>-</v>
      </c>
      <c r="H16" s="429" t="str">
        <f t="shared" si="3"/>
        <v>CPI September 2032</v>
      </c>
      <c r="I16" s="22"/>
      <c r="J16" s="427" t="str">
        <f t="shared" si="4"/>
        <v>RPI September 2032</v>
      </c>
      <c r="K16" s="22"/>
      <c r="L16" s="22"/>
      <c r="M16" s="414">
        <f t="shared" si="12"/>
        <v>3.5000000000000003E-2</v>
      </c>
      <c r="N16" s="447"/>
      <c r="O16" s="71"/>
      <c r="P16" s="71"/>
      <c r="Q16" s="416">
        <f t="shared" si="5"/>
        <v>16</v>
      </c>
      <c r="R16" s="416" t="str">
        <f t="shared" si="6"/>
        <v>2032</v>
      </c>
      <c r="S16" s="430"/>
      <c r="T16" s="427" t="str">
        <f>"RPI September "&amp;text!E18</f>
        <v>RPI September 2032</v>
      </c>
      <c r="U16" s="428">
        <f t="shared" si="1"/>
        <v>536</v>
      </c>
      <c r="V16" s="427" t="str">
        <f>"CPI September "&amp;text!E18</f>
        <v>CPI September 2032</v>
      </c>
      <c r="W16" s="428">
        <f t="shared" si="2"/>
        <v>185.1</v>
      </c>
      <c r="X16" s="427" t="str">
        <f>AA16&amp;" Value of B for "&amp;text!D19</f>
        <v>Confirmed Value of B for 2033/34</v>
      </c>
      <c r="Y16" s="428">
        <f t="shared" si="7"/>
        <v>536</v>
      </c>
      <c r="Z16" s="428" t="str">
        <f t="shared" si="8"/>
        <v>c</v>
      </c>
      <c r="AA16" s="149" t="str">
        <f t="shared" si="9"/>
        <v>Confirmed</v>
      </c>
      <c r="AD16" s="71"/>
      <c r="AE16" s="71"/>
      <c r="AF16" s="71"/>
      <c r="AG16" s="71"/>
      <c r="AH16" s="71"/>
      <c r="AI16" s="71"/>
      <c r="AJ16" s="71"/>
      <c r="AK16" s="71"/>
      <c r="AL16" s="71"/>
      <c r="AM16" s="71"/>
      <c r="AN16" s="71"/>
      <c r="AO16" s="71"/>
      <c r="AP16" s="71"/>
      <c r="AQ16" s="71"/>
      <c r="AR16" s="71"/>
      <c r="AS16" s="71"/>
      <c r="AT16" s="71"/>
      <c r="AU16" s="71"/>
      <c r="AV16" s="71"/>
      <c r="AW16" s="71"/>
      <c r="AX16" s="71"/>
      <c r="AY16" s="71"/>
      <c r="AZ16" s="71"/>
      <c r="BA16" s="71"/>
    </row>
    <row r="17" spans="1:53" hidden="1" x14ac:dyDescent="0.35">
      <c r="A17" s="1901"/>
      <c r="B17" s="446"/>
      <c r="D17" s="427">
        <f>text!D20</f>
        <v>0</v>
      </c>
      <c r="E17" s="414">
        <f t="shared" si="10"/>
        <v>4.0999999999999995E-2</v>
      </c>
      <c r="F17" s="22" t="str">
        <f t="shared" si="11"/>
        <v>n</v>
      </c>
      <c r="G17" s="440" t="str">
        <f t="shared" si="0"/>
        <v>-</v>
      </c>
      <c r="H17" s="429" t="str">
        <f t="shared" si="3"/>
        <v>CPI September 2033</v>
      </c>
      <c r="I17" s="22"/>
      <c r="J17" s="427" t="str">
        <f t="shared" si="4"/>
        <v>RPI September 2033</v>
      </c>
      <c r="K17" s="22"/>
      <c r="L17" s="22"/>
      <c r="M17" s="414">
        <f t="shared" si="12"/>
        <v>3.5000000000000003E-2</v>
      </c>
      <c r="N17" s="447"/>
      <c r="O17" s="71"/>
      <c r="P17" s="71"/>
      <c r="Q17" s="416">
        <f t="shared" si="5"/>
        <v>17</v>
      </c>
      <c r="R17" s="416" t="str">
        <f t="shared" si="6"/>
        <v>2033</v>
      </c>
      <c r="S17" s="430"/>
      <c r="T17" s="427" t="str">
        <f>"RPI September "&amp;text!E19</f>
        <v>RPI September 2033</v>
      </c>
      <c r="U17" s="428">
        <f t="shared" si="1"/>
        <v>558</v>
      </c>
      <c r="V17" s="427" t="str">
        <f>"CPI September "&amp;text!E19</f>
        <v>CPI September 2033</v>
      </c>
      <c r="W17" s="428">
        <f t="shared" si="2"/>
        <v>192.7</v>
      </c>
      <c r="X17" s="427" t="str">
        <f>AA17&amp;" Value of B for "&amp;text!D20</f>
        <v xml:space="preserve">Confirmed Value of B for </v>
      </c>
      <c r="Y17" s="428">
        <f t="shared" si="7"/>
        <v>558</v>
      </c>
      <c r="Z17" s="428" t="str">
        <f t="shared" si="8"/>
        <v>c</v>
      </c>
      <c r="AA17" s="149" t="str">
        <f t="shared" si="9"/>
        <v>Confirmed</v>
      </c>
      <c r="AD17" s="71"/>
      <c r="AE17" s="71"/>
      <c r="AF17" s="71"/>
      <c r="AG17" s="71"/>
      <c r="AH17" s="71"/>
      <c r="AI17" s="71"/>
      <c r="AJ17" s="71"/>
      <c r="AK17" s="71"/>
      <c r="AL17" s="71"/>
      <c r="AM17" s="71"/>
      <c r="AN17" s="71"/>
      <c r="AO17" s="71"/>
      <c r="AP17" s="71"/>
      <c r="AQ17" s="71"/>
      <c r="AR17" s="71"/>
      <c r="AS17" s="71"/>
      <c r="AT17" s="71"/>
      <c r="AU17" s="71"/>
      <c r="AV17" s="71"/>
      <c r="AW17" s="71"/>
      <c r="AX17" s="71"/>
      <c r="AY17" s="71"/>
      <c r="AZ17" s="71"/>
      <c r="BA17" s="71"/>
    </row>
    <row r="18" spans="1:53" hidden="1" x14ac:dyDescent="0.35">
      <c r="A18" s="1901"/>
      <c r="B18" s="446"/>
      <c r="D18" s="427">
        <f>text!D21</f>
        <v>0</v>
      </c>
      <c r="E18" s="414">
        <f t="shared" si="10"/>
        <v>4.0999999999999995E-2</v>
      </c>
      <c r="F18" s="22" t="str">
        <f t="shared" si="11"/>
        <v>n</v>
      </c>
      <c r="G18" s="440" t="str">
        <f t="shared" si="0"/>
        <v>-</v>
      </c>
      <c r="H18" s="429" t="str">
        <f t="shared" si="3"/>
        <v>CPI September 2034</v>
      </c>
      <c r="I18" s="22"/>
      <c r="J18" s="427" t="str">
        <f t="shared" si="4"/>
        <v>RPI September 2034</v>
      </c>
      <c r="K18" s="22"/>
      <c r="L18" s="22"/>
      <c r="M18" s="414">
        <f t="shared" si="12"/>
        <v>3.5000000000000003E-2</v>
      </c>
      <c r="N18" s="447"/>
      <c r="O18" s="71"/>
      <c r="P18" s="71"/>
      <c r="Q18" s="416">
        <f t="shared" si="5"/>
        <v>18</v>
      </c>
      <c r="R18" s="416" t="str">
        <f t="shared" si="6"/>
        <v>2034</v>
      </c>
      <c r="S18" s="430"/>
      <c r="T18" s="427" t="str">
        <f>"RPI September "&amp;text!E20</f>
        <v>RPI September 2034</v>
      </c>
      <c r="U18" s="428">
        <f t="shared" si="1"/>
        <v>580.9</v>
      </c>
      <c r="V18" s="427" t="str">
        <f>"CPI September "&amp;text!E20</f>
        <v>CPI September 2034</v>
      </c>
      <c r="W18" s="428">
        <f t="shared" si="2"/>
        <v>200.6</v>
      </c>
      <c r="X18" s="427" t="str">
        <f>AA18&amp;" Value of B for "&amp;text!D21</f>
        <v xml:space="preserve"> Value of B for </v>
      </c>
      <c r="Y18" s="428">
        <f t="shared" si="7"/>
        <v>580.9</v>
      </c>
      <c r="Z18" s="428" t="str">
        <f t="shared" si="8"/>
        <v>c</v>
      </c>
      <c r="AD18" s="71"/>
      <c r="AE18" s="71"/>
      <c r="AF18" s="71"/>
      <c r="AG18" s="71"/>
      <c r="AH18" s="71"/>
      <c r="AI18" s="71"/>
      <c r="AJ18" s="71"/>
      <c r="AK18" s="71"/>
      <c r="AL18" s="71"/>
      <c r="AM18" s="71"/>
      <c r="AN18" s="71"/>
      <c r="AO18" s="71"/>
      <c r="AP18" s="71"/>
      <c r="AQ18" s="71"/>
      <c r="AR18" s="71"/>
      <c r="AS18" s="71"/>
      <c r="AT18" s="71"/>
      <c r="AU18" s="71"/>
      <c r="AV18" s="71"/>
      <c r="AW18" s="71"/>
      <c r="AX18" s="71"/>
      <c r="AY18" s="71"/>
      <c r="AZ18" s="71"/>
      <c r="BA18" s="71"/>
    </row>
    <row r="19" spans="1:53" x14ac:dyDescent="0.35">
      <c r="A19" s="71"/>
      <c r="B19" s="446"/>
      <c r="N19" s="447"/>
      <c r="O19" s="71"/>
      <c r="P19" s="71"/>
      <c r="AD19" s="71"/>
      <c r="AE19" s="71"/>
      <c r="AF19" s="71"/>
      <c r="AG19" s="71"/>
      <c r="AH19" s="71"/>
      <c r="AI19" s="71"/>
      <c r="AJ19" s="71"/>
      <c r="AK19" s="71"/>
      <c r="AL19" s="71"/>
      <c r="AM19" s="71"/>
      <c r="AN19" s="71"/>
      <c r="AO19" s="71"/>
      <c r="AP19" s="71"/>
      <c r="AQ19" s="71"/>
      <c r="AR19" s="71"/>
      <c r="AS19" s="71"/>
      <c r="AT19" s="71"/>
      <c r="AU19" s="71"/>
      <c r="AV19" s="71"/>
      <c r="AW19" s="71"/>
      <c r="AX19" s="71"/>
      <c r="AY19" s="71"/>
      <c r="AZ19" s="71"/>
      <c r="BA19" s="71"/>
    </row>
    <row r="20" spans="1:53" x14ac:dyDescent="0.35">
      <c r="A20" s="71"/>
      <c r="B20" s="446"/>
      <c r="C20" s="416" t="s">
        <v>436</v>
      </c>
      <c r="D20" s="431" t="s">
        <v>435</v>
      </c>
      <c r="E20" s="432" t="s">
        <v>427</v>
      </c>
      <c r="F20" s="433" t="s">
        <v>400</v>
      </c>
      <c r="G20" s="433" t="s">
        <v>428</v>
      </c>
      <c r="H20" s="433" t="s">
        <v>275</v>
      </c>
      <c r="I20" s="434" t="s">
        <v>431</v>
      </c>
      <c r="J20" s="435" t="s">
        <v>433</v>
      </c>
      <c r="K20" s="435" t="s">
        <v>434</v>
      </c>
      <c r="L20" s="436" t="s">
        <v>432</v>
      </c>
      <c r="M20" s="433" t="s">
        <v>314</v>
      </c>
      <c r="N20" s="449"/>
      <c r="O20" s="71"/>
      <c r="P20" s="71"/>
      <c r="Q20" s="437"/>
      <c r="X20" s="416" t="s">
        <v>429</v>
      </c>
      <c r="AD20" s="71"/>
      <c r="AE20" s="71"/>
      <c r="AF20" s="71"/>
      <c r="AG20" s="71"/>
      <c r="AH20" s="71"/>
      <c r="AI20" s="71"/>
      <c r="AJ20" s="71"/>
      <c r="AK20" s="71"/>
      <c r="AL20" s="71"/>
      <c r="AM20" s="71"/>
      <c r="AN20" s="71"/>
      <c r="AO20" s="71"/>
      <c r="AP20" s="71"/>
      <c r="AQ20" s="71"/>
      <c r="AR20" s="71"/>
      <c r="AS20" s="71"/>
      <c r="AT20" s="71"/>
      <c r="AU20" s="71"/>
      <c r="AV20" s="71"/>
      <c r="AW20" s="71"/>
      <c r="AX20" s="71"/>
      <c r="AY20" s="71"/>
      <c r="AZ20" s="71"/>
      <c r="BA20" s="71"/>
    </row>
    <row r="21" spans="1:53" x14ac:dyDescent="0.35">
      <c r="A21" s="71"/>
      <c r="B21" s="446"/>
      <c r="C21" s="416" t="str">
        <f>F6</f>
        <v>n</v>
      </c>
      <c r="D21" s="427" t="str">
        <f>D6</f>
        <v>2023/24</v>
      </c>
      <c r="E21" s="1738"/>
      <c r="F21" s="1739"/>
      <c r="G21" s="1739"/>
      <c r="H21" s="1559">
        <f>data!C53</f>
        <v>0.499</v>
      </c>
      <c r="I21" s="415">
        <v>1.2999999999999999E-2</v>
      </c>
      <c r="J21" s="415">
        <v>0.02</v>
      </c>
      <c r="K21" s="415">
        <v>75000</v>
      </c>
      <c r="L21" s="415">
        <v>1.4E-2</v>
      </c>
      <c r="M21" s="438">
        <f>data!D53</f>
        <v>1</v>
      </c>
      <c r="N21" s="450"/>
      <c r="O21" s="71"/>
      <c r="P21" s="71"/>
      <c r="Q21" s="439"/>
      <c r="T21" s="427" t="s">
        <v>274</v>
      </c>
      <c r="U21" s="427" t="s">
        <v>393</v>
      </c>
      <c r="W21" s="149" t="str">
        <f t="shared" ref="W21:W31" si="13">AA7</f>
        <v>Confirmed</v>
      </c>
      <c r="X21" s="416"/>
      <c r="AD21" s="71"/>
      <c r="AE21" s="71"/>
      <c r="AF21" s="71"/>
      <c r="AG21" s="71"/>
      <c r="AH21" s="71"/>
      <c r="AI21" s="71"/>
      <c r="AJ21" s="71"/>
      <c r="AK21" s="71"/>
      <c r="AL21" s="71"/>
      <c r="AM21" s="71"/>
      <c r="AN21" s="71"/>
      <c r="AO21" s="71"/>
      <c r="AP21" s="71"/>
      <c r="AQ21" s="71"/>
      <c r="AR21" s="71"/>
      <c r="AS21" s="71"/>
      <c r="AT21" s="71"/>
      <c r="AU21" s="71"/>
      <c r="AV21" s="71"/>
      <c r="AW21" s="71"/>
      <c r="AX21" s="71"/>
      <c r="AY21" s="71"/>
      <c r="AZ21" s="71"/>
      <c r="BA21" s="71"/>
    </row>
    <row r="22" spans="1:53" x14ac:dyDescent="0.35">
      <c r="A22" s="71"/>
      <c r="B22" s="446"/>
      <c r="C22" s="416" t="str">
        <f t="shared" ref="C22:C33" si="14">F7</f>
        <v>n</v>
      </c>
      <c r="D22" s="427" t="str">
        <f t="shared" ref="D22:D33" si="15">D7</f>
        <v>2024/25</v>
      </c>
      <c r="E22" s="1558">
        <f t="shared" ref="E22:E33" si="16">H21</f>
        <v>0.499</v>
      </c>
      <c r="F22" s="428">
        <f t="shared" ref="F22:F33" si="17">Y7</f>
        <v>347.6</v>
      </c>
      <c r="G22" s="428">
        <f t="shared" ref="G22:G33" si="18">U6</f>
        <v>347.6</v>
      </c>
      <c r="H22" s="1559">
        <f>IF(MID(X22,6,1)="5",ROUND((X22-0.0001),3),ROUND(X22,3))</f>
        <v>0.499</v>
      </c>
      <c r="I22" s="2244">
        <f>H36-H22</f>
        <v>4.7000000000000042E-2</v>
      </c>
      <c r="J22" s="415">
        <f>J21</f>
        <v>0.02</v>
      </c>
      <c r="K22" s="415">
        <f>K21</f>
        <v>75000</v>
      </c>
      <c r="L22" s="415">
        <f>L21+0.004</f>
        <v>1.8000000000000002E-2</v>
      </c>
      <c r="M22" s="438">
        <f>data!D54</f>
        <v>1</v>
      </c>
      <c r="N22" s="450"/>
      <c r="O22" s="71"/>
      <c r="P22" s="71"/>
      <c r="Q22" s="439"/>
      <c r="T22" s="427" t="s">
        <v>391</v>
      </c>
      <c r="U22" s="427" t="s">
        <v>394</v>
      </c>
      <c r="W22" s="149" t="str">
        <f t="shared" si="13"/>
        <v>Confirmed</v>
      </c>
      <c r="X22" s="416">
        <f t="shared" ref="X22:X33" si="19">E22*F22/G22</f>
        <v>0.499</v>
      </c>
      <c r="AB22" s="416"/>
      <c r="AD22" s="71"/>
      <c r="AE22" s="71"/>
      <c r="AF22" s="71"/>
      <c r="AG22" s="71"/>
      <c r="AH22" s="71"/>
      <c r="AI22" s="71"/>
      <c r="AJ22" s="71"/>
      <c r="AK22" s="71"/>
      <c r="AL22" s="71"/>
      <c r="AM22" s="71"/>
      <c r="AN22" s="71"/>
      <c r="AO22" s="71"/>
      <c r="AP22" s="71"/>
      <c r="AQ22" s="71"/>
      <c r="AR22" s="71"/>
      <c r="AS22" s="71"/>
      <c r="AT22" s="71"/>
      <c r="AU22" s="71"/>
      <c r="AV22" s="71"/>
      <c r="AW22" s="71"/>
      <c r="AX22" s="71"/>
      <c r="AY22" s="71"/>
      <c r="AZ22" s="71"/>
      <c r="BA22" s="71"/>
    </row>
    <row r="23" spans="1:53" x14ac:dyDescent="0.35">
      <c r="A23" s="71"/>
      <c r="B23" s="446"/>
      <c r="C23" s="416" t="str">
        <f t="shared" si="14"/>
        <v>n</v>
      </c>
      <c r="D23" s="427" t="str">
        <f t="shared" si="15"/>
        <v>2025/26</v>
      </c>
      <c r="E23" s="1558">
        <f t="shared" si="16"/>
        <v>0.499</v>
      </c>
      <c r="F23" s="428">
        <f t="shared" si="17"/>
        <v>378.4</v>
      </c>
      <c r="G23" s="428">
        <f t="shared" si="18"/>
        <v>378.4</v>
      </c>
      <c r="H23" s="1559">
        <f>IF(MID(X23,6,1)="5",ROUND((X23-0.0001),3),ROUND(X23,3))</f>
        <v>0.499</v>
      </c>
      <c r="I23" s="2244">
        <f>H37-H23</f>
        <v>5.600000000000005E-2</v>
      </c>
      <c r="J23" s="415">
        <f t="shared" ref="J23:J33" si="20">J22</f>
        <v>0.02</v>
      </c>
      <c r="K23" s="415">
        <f t="shared" ref="K23:K33" si="21">K22</f>
        <v>75000</v>
      </c>
      <c r="L23" s="415">
        <v>2.1999999999999999E-2</v>
      </c>
      <c r="M23" s="438">
        <f>data!D55</f>
        <v>1</v>
      </c>
      <c r="N23" s="450"/>
      <c r="O23" s="71"/>
      <c r="P23" s="71"/>
      <c r="Q23" s="439"/>
      <c r="T23" s="427" t="s">
        <v>392</v>
      </c>
      <c r="U23" s="427" t="s">
        <v>395</v>
      </c>
      <c r="W23" s="149" t="str">
        <f t="shared" si="13"/>
        <v>Confirmed</v>
      </c>
      <c r="X23" s="416">
        <f t="shared" si="19"/>
        <v>0.499</v>
      </c>
      <c r="AB23" s="416"/>
      <c r="AD23" s="71"/>
      <c r="AE23" s="71"/>
      <c r="AF23" s="71"/>
      <c r="AG23" s="71"/>
      <c r="AH23" s="71"/>
      <c r="AI23" s="71"/>
      <c r="AJ23" s="71"/>
      <c r="AK23" s="71"/>
      <c r="AL23" s="71"/>
      <c r="AM23" s="71"/>
      <c r="AN23" s="71"/>
      <c r="AO23" s="71"/>
      <c r="AP23" s="71"/>
      <c r="AQ23" s="71"/>
      <c r="AR23" s="71"/>
      <c r="AS23" s="71"/>
      <c r="AT23" s="71"/>
      <c r="AU23" s="71"/>
      <c r="AV23" s="71"/>
      <c r="AW23" s="71"/>
      <c r="AX23" s="71"/>
      <c r="AY23" s="71"/>
      <c r="AZ23" s="71"/>
      <c r="BA23" s="71"/>
    </row>
    <row r="24" spans="1:53" hidden="1" x14ac:dyDescent="0.35">
      <c r="A24" s="71"/>
      <c r="B24" s="446"/>
      <c r="C24" s="416" t="str">
        <f t="shared" si="14"/>
        <v>n</v>
      </c>
      <c r="D24" s="427" t="str">
        <f t="shared" si="15"/>
        <v>2026/27</v>
      </c>
      <c r="E24" s="428">
        <f t="shared" si="16"/>
        <v>0.499</v>
      </c>
      <c r="F24" s="428">
        <f t="shared" si="17"/>
        <v>404.5</v>
      </c>
      <c r="G24" s="428">
        <f t="shared" si="18"/>
        <v>388.6</v>
      </c>
      <c r="H24" s="438">
        <f t="shared" ref="H24:H33" si="22">IF(MID(X24,6,1)="5",ROUND((X24+0.0001),3),ROUND(X24,3))</f>
        <v>0.51900000000000002</v>
      </c>
      <c r="I24" s="415">
        <f t="shared" ref="I24:I33" si="23">I23</f>
        <v>5.600000000000005E-2</v>
      </c>
      <c r="J24" s="415">
        <f t="shared" si="20"/>
        <v>0.02</v>
      </c>
      <c r="K24" s="415">
        <f t="shared" si="21"/>
        <v>75000</v>
      </c>
      <c r="L24" s="415">
        <v>8.0000000000000002E-3</v>
      </c>
      <c r="M24" s="438">
        <f>data!D56</f>
        <v>1.04</v>
      </c>
      <c r="N24" s="450"/>
      <c r="O24" s="71"/>
      <c r="P24" s="71"/>
      <c r="Q24" s="439"/>
      <c r="T24" s="427" t="s">
        <v>294</v>
      </c>
      <c r="U24" s="427" t="s">
        <v>396</v>
      </c>
      <c r="W24" s="149" t="str">
        <f t="shared" si="13"/>
        <v>Confirmed</v>
      </c>
      <c r="X24" s="416">
        <f t="shared" si="19"/>
        <v>0.51941713844570248</v>
      </c>
      <c r="AB24" s="416"/>
      <c r="AD24" s="71"/>
      <c r="AE24" s="71"/>
      <c r="AF24" s="71"/>
      <c r="AG24" s="71"/>
      <c r="AH24" s="71"/>
      <c r="AI24" s="71"/>
      <c r="AJ24" s="71"/>
      <c r="AK24" s="71"/>
      <c r="AL24" s="71"/>
      <c r="AM24" s="71"/>
      <c r="AN24" s="71"/>
      <c r="AO24" s="71"/>
      <c r="AP24" s="71"/>
      <c r="AQ24" s="71"/>
      <c r="AR24" s="71"/>
      <c r="AS24" s="71"/>
      <c r="AT24" s="71"/>
      <c r="AU24" s="71"/>
      <c r="AV24" s="71"/>
      <c r="AW24" s="71"/>
      <c r="AX24" s="71"/>
      <c r="AY24" s="71"/>
      <c r="AZ24" s="71"/>
      <c r="BA24" s="71"/>
    </row>
    <row r="25" spans="1:53" hidden="1" x14ac:dyDescent="0.35">
      <c r="A25" s="71"/>
      <c r="B25" s="446"/>
      <c r="C25" s="416" t="str">
        <f t="shared" si="14"/>
        <v>n</v>
      </c>
      <c r="D25" s="427" t="str">
        <f t="shared" si="15"/>
        <v>2027/28</v>
      </c>
      <c r="E25" s="428">
        <f t="shared" si="16"/>
        <v>0.51900000000000002</v>
      </c>
      <c r="F25" s="428">
        <f t="shared" si="17"/>
        <v>421</v>
      </c>
      <c r="G25" s="428">
        <f t="shared" si="18"/>
        <v>404.5</v>
      </c>
      <c r="H25" s="438">
        <f t="shared" si="22"/>
        <v>0.54</v>
      </c>
      <c r="I25" s="415">
        <f t="shared" si="23"/>
        <v>5.600000000000005E-2</v>
      </c>
      <c r="J25" s="415">
        <f t="shared" si="20"/>
        <v>0.02</v>
      </c>
      <c r="K25" s="415">
        <f t="shared" si="21"/>
        <v>75000</v>
      </c>
      <c r="L25" s="415">
        <f t="shared" ref="L25:L33" si="24">L24</f>
        <v>8.0000000000000002E-3</v>
      </c>
      <c r="M25" s="438">
        <f>data!D57</f>
        <v>1.04</v>
      </c>
      <c r="N25" s="450"/>
      <c r="O25" s="71"/>
      <c r="P25" s="71"/>
      <c r="Q25" s="439"/>
      <c r="T25" s="427" t="s">
        <v>1021</v>
      </c>
      <c r="U25" s="427" t="s">
        <v>393</v>
      </c>
      <c r="W25" s="149" t="str">
        <f t="shared" si="13"/>
        <v>Confirmed</v>
      </c>
      <c r="X25" s="416">
        <f t="shared" si="19"/>
        <v>0.54017058096415327</v>
      </c>
      <c r="AB25" s="416"/>
      <c r="AD25" s="71"/>
      <c r="AE25" s="71"/>
      <c r="AF25" s="71"/>
      <c r="AG25" s="71"/>
      <c r="AH25" s="71"/>
      <c r="AI25" s="71"/>
      <c r="AJ25" s="71"/>
      <c r="AK25" s="71"/>
      <c r="AL25" s="71"/>
      <c r="AM25" s="71"/>
      <c r="AN25" s="71"/>
      <c r="AO25" s="71"/>
      <c r="AP25" s="71"/>
      <c r="AQ25" s="71"/>
      <c r="AR25" s="71"/>
      <c r="AS25" s="71"/>
      <c r="AT25" s="71"/>
      <c r="AU25" s="71"/>
      <c r="AV25" s="71"/>
      <c r="AW25" s="71"/>
      <c r="AX25" s="71"/>
      <c r="AY25" s="71"/>
      <c r="AZ25" s="71"/>
      <c r="BA25" s="71"/>
    </row>
    <row r="26" spans="1:53" hidden="1" x14ac:dyDescent="0.35">
      <c r="A26" s="71"/>
      <c r="B26" s="446"/>
      <c r="C26" s="416" t="str">
        <f t="shared" si="14"/>
        <v>n</v>
      </c>
      <c r="D26" s="427" t="str">
        <f t="shared" si="15"/>
        <v>2028/29</v>
      </c>
      <c r="E26" s="428">
        <f t="shared" si="16"/>
        <v>0.54</v>
      </c>
      <c r="F26" s="428">
        <f t="shared" si="17"/>
        <v>438.5</v>
      </c>
      <c r="G26" s="428">
        <f t="shared" si="18"/>
        <v>421.1</v>
      </c>
      <c r="H26" s="438">
        <f t="shared" si="22"/>
        <v>0.56200000000000006</v>
      </c>
      <c r="I26" s="415">
        <f t="shared" si="23"/>
        <v>5.600000000000005E-2</v>
      </c>
      <c r="J26" s="415">
        <f t="shared" si="20"/>
        <v>0.02</v>
      </c>
      <c r="K26" s="415">
        <f t="shared" si="21"/>
        <v>75000</v>
      </c>
      <c r="L26" s="415">
        <v>1.2E-2</v>
      </c>
      <c r="M26" s="438">
        <f>data!D58</f>
        <v>1.0409999999999999</v>
      </c>
      <c r="N26" s="450"/>
      <c r="O26" s="71"/>
      <c r="P26" s="71"/>
      <c r="Q26" s="439"/>
      <c r="W26" s="149" t="str">
        <f t="shared" si="13"/>
        <v>Confirmed</v>
      </c>
      <c r="X26" s="416">
        <f t="shared" si="19"/>
        <v>0.56231298978864874</v>
      </c>
      <c r="AB26" s="416"/>
      <c r="AD26" s="71"/>
      <c r="AE26" s="71"/>
      <c r="AF26" s="71"/>
      <c r="AG26" s="71"/>
      <c r="AH26" s="71"/>
      <c r="AI26" s="71"/>
      <c r="AJ26" s="71"/>
      <c r="AK26" s="71"/>
      <c r="AL26" s="71"/>
      <c r="AM26" s="71"/>
      <c r="AN26" s="71"/>
      <c r="AO26" s="71"/>
      <c r="AP26" s="71"/>
      <c r="AQ26" s="71"/>
      <c r="AR26" s="71"/>
      <c r="AS26" s="71"/>
      <c r="AT26" s="71"/>
      <c r="AU26" s="71"/>
      <c r="AV26" s="71"/>
      <c r="AW26" s="71"/>
      <c r="AX26" s="71"/>
      <c r="AY26" s="71"/>
      <c r="AZ26" s="71"/>
      <c r="BA26" s="71"/>
    </row>
    <row r="27" spans="1:53" hidden="1" x14ac:dyDescent="0.35">
      <c r="A27" s="71"/>
      <c r="B27" s="446"/>
      <c r="C27" s="416" t="str">
        <f t="shared" si="14"/>
        <v>n</v>
      </c>
      <c r="D27" s="427" t="str">
        <f t="shared" si="15"/>
        <v>2029/30</v>
      </c>
      <c r="E27" s="428">
        <f t="shared" si="16"/>
        <v>0.56200000000000006</v>
      </c>
      <c r="F27" s="428">
        <f t="shared" si="17"/>
        <v>456.4</v>
      </c>
      <c r="G27" s="428">
        <f t="shared" si="18"/>
        <v>438.4</v>
      </c>
      <c r="H27" s="438">
        <f t="shared" si="22"/>
        <v>0.58499999999999996</v>
      </c>
      <c r="I27" s="415">
        <f t="shared" si="23"/>
        <v>5.600000000000005E-2</v>
      </c>
      <c r="J27" s="415">
        <f t="shared" si="20"/>
        <v>0.02</v>
      </c>
      <c r="K27" s="415">
        <f t="shared" si="21"/>
        <v>75000</v>
      </c>
      <c r="L27" s="415">
        <f t="shared" si="24"/>
        <v>1.2E-2</v>
      </c>
      <c r="M27" s="438">
        <f>data!D59</f>
        <v>1.0409999999999999</v>
      </c>
      <c r="N27" s="450"/>
      <c r="O27" s="71"/>
      <c r="P27" s="71"/>
      <c r="Q27" s="439"/>
      <c r="W27" s="149" t="str">
        <f t="shared" si="13"/>
        <v>Confirmed</v>
      </c>
      <c r="X27" s="416">
        <f t="shared" si="19"/>
        <v>0.58507481751824819</v>
      </c>
      <c r="AB27" s="416"/>
      <c r="AD27" s="71"/>
      <c r="AE27" s="71"/>
      <c r="AF27" s="71"/>
      <c r="AG27" s="71"/>
      <c r="AH27" s="71"/>
      <c r="AI27" s="71"/>
      <c r="AJ27" s="71"/>
      <c r="AK27" s="71"/>
      <c r="AL27" s="71"/>
      <c r="AM27" s="71"/>
      <c r="AN27" s="71"/>
      <c r="AO27" s="71"/>
      <c r="AP27" s="71"/>
      <c r="AQ27" s="71"/>
      <c r="AR27" s="71"/>
      <c r="AS27" s="71"/>
      <c r="AT27" s="71"/>
      <c r="AU27" s="71"/>
      <c r="AV27" s="71"/>
      <c r="AW27" s="71"/>
      <c r="AX27" s="71"/>
      <c r="AY27" s="71"/>
      <c r="AZ27" s="71"/>
      <c r="BA27" s="71"/>
    </row>
    <row r="28" spans="1:53" hidden="1" x14ac:dyDescent="0.35">
      <c r="A28" s="71"/>
      <c r="B28" s="446"/>
      <c r="C28" s="416" t="str">
        <f t="shared" si="14"/>
        <v>n</v>
      </c>
      <c r="D28" s="427" t="str">
        <f t="shared" si="15"/>
        <v>2030/31</v>
      </c>
      <c r="E28" s="428">
        <f t="shared" si="16"/>
        <v>0.58499999999999996</v>
      </c>
      <c r="F28" s="428">
        <f t="shared" si="17"/>
        <v>475.2</v>
      </c>
      <c r="G28" s="428">
        <f t="shared" si="18"/>
        <v>456.4</v>
      </c>
      <c r="H28" s="438">
        <f t="shared" si="22"/>
        <v>0.60899999999999999</v>
      </c>
      <c r="I28" s="415">
        <f t="shared" si="23"/>
        <v>5.600000000000005E-2</v>
      </c>
      <c r="J28" s="415">
        <f t="shared" si="20"/>
        <v>0.02</v>
      </c>
      <c r="K28" s="415">
        <f t="shared" si="21"/>
        <v>75000</v>
      </c>
      <c r="L28" s="415">
        <f t="shared" si="24"/>
        <v>1.2E-2</v>
      </c>
      <c r="M28" s="438">
        <f>data!D60</f>
        <v>0</v>
      </c>
      <c r="N28" s="450"/>
      <c r="O28" s="71"/>
      <c r="P28" s="71"/>
      <c r="Q28" s="439"/>
      <c r="W28" s="149" t="str">
        <f t="shared" si="13"/>
        <v>Confirmed</v>
      </c>
      <c r="X28" s="416">
        <f t="shared" si="19"/>
        <v>0.6090972830850131</v>
      </c>
      <c r="AB28" s="416"/>
      <c r="AD28" s="71"/>
      <c r="AE28" s="71"/>
      <c r="AF28" s="71"/>
      <c r="AG28" s="71"/>
      <c r="AH28" s="71"/>
      <c r="AI28" s="71"/>
      <c r="AJ28" s="71"/>
      <c r="AK28" s="71"/>
      <c r="AL28" s="71"/>
      <c r="AM28" s="71"/>
      <c r="AN28" s="71"/>
      <c r="AO28" s="71"/>
      <c r="AP28" s="71"/>
      <c r="AQ28" s="71"/>
      <c r="AR28" s="71"/>
      <c r="AS28" s="71"/>
      <c r="AT28" s="71"/>
      <c r="AU28" s="71"/>
      <c r="AV28" s="71"/>
      <c r="AW28" s="71"/>
      <c r="AX28" s="71"/>
      <c r="AY28" s="71"/>
      <c r="AZ28" s="71"/>
      <c r="BA28" s="71"/>
    </row>
    <row r="29" spans="1:53" hidden="1" x14ac:dyDescent="0.35">
      <c r="A29" s="71"/>
      <c r="B29" s="446"/>
      <c r="C29" s="416" t="str">
        <f t="shared" si="14"/>
        <v>n</v>
      </c>
      <c r="D29" s="427" t="str">
        <f t="shared" si="15"/>
        <v>2031/32</v>
      </c>
      <c r="E29" s="428">
        <f t="shared" si="16"/>
        <v>0.60899999999999999</v>
      </c>
      <c r="F29" s="428">
        <f t="shared" si="17"/>
        <v>494.5</v>
      </c>
      <c r="G29" s="428">
        <f t="shared" si="18"/>
        <v>475.1</v>
      </c>
      <c r="H29" s="438">
        <f t="shared" si="22"/>
        <v>0.63400000000000001</v>
      </c>
      <c r="I29" s="415">
        <f t="shared" si="23"/>
        <v>5.600000000000005E-2</v>
      </c>
      <c r="J29" s="415">
        <f t="shared" si="20"/>
        <v>0.02</v>
      </c>
      <c r="K29" s="415">
        <f t="shared" si="21"/>
        <v>75000</v>
      </c>
      <c r="L29" s="415">
        <f t="shared" si="24"/>
        <v>1.2E-2</v>
      </c>
      <c r="M29" s="438">
        <f>data!D61</f>
        <v>0</v>
      </c>
      <c r="N29" s="450"/>
      <c r="O29" s="71"/>
      <c r="P29" s="71"/>
      <c r="Q29" s="439"/>
      <c r="W29" s="149" t="str">
        <f t="shared" si="13"/>
        <v>Confirmed</v>
      </c>
      <c r="X29" s="416">
        <f t="shared" si="19"/>
        <v>0.63386760681961685</v>
      </c>
      <c r="AB29" s="416"/>
      <c r="AD29" s="71"/>
      <c r="AE29" s="71"/>
      <c r="AF29" s="71"/>
      <c r="AG29" s="71"/>
      <c r="AH29" s="71"/>
      <c r="AI29" s="71"/>
      <c r="AJ29" s="71"/>
      <c r="AK29" s="71"/>
      <c r="AL29" s="71"/>
      <c r="AM29" s="71"/>
      <c r="AN29" s="71"/>
      <c r="AO29" s="71"/>
      <c r="AP29" s="71"/>
      <c r="AQ29" s="71"/>
      <c r="AR29" s="71"/>
      <c r="AS29" s="71"/>
      <c r="AT29" s="71"/>
      <c r="AU29" s="71"/>
      <c r="AV29" s="71"/>
      <c r="AW29" s="71"/>
      <c r="AX29" s="71"/>
      <c r="AY29" s="71"/>
      <c r="AZ29" s="71"/>
      <c r="BA29" s="71"/>
    </row>
    <row r="30" spans="1:53" hidden="1" x14ac:dyDescent="0.35">
      <c r="A30" s="71"/>
      <c r="B30" s="446"/>
      <c r="C30" s="416" t="str">
        <f t="shared" si="14"/>
        <v>n</v>
      </c>
      <c r="D30" s="427" t="str">
        <f t="shared" si="15"/>
        <v>2032/33</v>
      </c>
      <c r="E30" s="428">
        <f t="shared" si="16"/>
        <v>0.63400000000000001</v>
      </c>
      <c r="F30" s="428">
        <f t="shared" si="17"/>
        <v>514.9</v>
      </c>
      <c r="G30" s="428">
        <f t="shared" si="18"/>
        <v>494.6</v>
      </c>
      <c r="H30" s="438">
        <f t="shared" si="22"/>
        <v>0.66</v>
      </c>
      <c r="I30" s="415">
        <f t="shared" si="23"/>
        <v>5.600000000000005E-2</v>
      </c>
      <c r="J30" s="415">
        <f t="shared" si="20"/>
        <v>0.02</v>
      </c>
      <c r="K30" s="415">
        <f t="shared" si="21"/>
        <v>75000</v>
      </c>
      <c r="L30" s="415">
        <f t="shared" si="24"/>
        <v>1.2E-2</v>
      </c>
      <c r="M30" s="438">
        <f>data!D62</f>
        <v>0</v>
      </c>
      <c r="N30" s="450"/>
      <c r="O30" s="71"/>
      <c r="P30" s="71"/>
      <c r="Q30" s="439"/>
      <c r="W30" s="149" t="str">
        <f t="shared" si="13"/>
        <v>Confirmed</v>
      </c>
      <c r="X30" s="416">
        <f t="shared" si="19"/>
        <v>0.66002143145976544</v>
      </c>
      <c r="AB30" s="416"/>
      <c r="AD30" s="71"/>
      <c r="AE30" s="71"/>
      <c r="AF30" s="71"/>
      <c r="AG30" s="71"/>
      <c r="AH30" s="71"/>
      <c r="AI30" s="71"/>
      <c r="AJ30" s="71"/>
      <c r="AK30" s="71"/>
      <c r="AL30" s="71"/>
      <c r="AM30" s="71"/>
      <c r="AN30" s="71"/>
      <c r="AO30" s="71"/>
      <c r="AP30" s="71"/>
      <c r="AQ30" s="71"/>
      <c r="AR30" s="71"/>
      <c r="AS30" s="71"/>
      <c r="AT30" s="71"/>
      <c r="AU30" s="71"/>
      <c r="AV30" s="71"/>
      <c r="AW30" s="71"/>
      <c r="AX30" s="71"/>
      <c r="AY30" s="71"/>
      <c r="AZ30" s="71"/>
      <c r="BA30" s="71"/>
    </row>
    <row r="31" spans="1:53" hidden="1" x14ac:dyDescent="0.35">
      <c r="A31" s="71"/>
      <c r="B31" s="446"/>
      <c r="C31" s="416" t="str">
        <f t="shared" si="14"/>
        <v>n</v>
      </c>
      <c r="D31" s="427" t="str">
        <f t="shared" si="15"/>
        <v>2033/34</v>
      </c>
      <c r="E31" s="428">
        <f t="shared" si="16"/>
        <v>0.66</v>
      </c>
      <c r="F31" s="428">
        <f t="shared" si="17"/>
        <v>536</v>
      </c>
      <c r="G31" s="428">
        <f t="shared" si="18"/>
        <v>514.9</v>
      </c>
      <c r="H31" s="438">
        <f t="shared" si="22"/>
        <v>0.68700000000000006</v>
      </c>
      <c r="I31" s="415">
        <f t="shared" si="23"/>
        <v>5.600000000000005E-2</v>
      </c>
      <c r="J31" s="415">
        <f t="shared" si="20"/>
        <v>0.02</v>
      </c>
      <c r="K31" s="415">
        <f t="shared" si="21"/>
        <v>75000</v>
      </c>
      <c r="L31" s="415">
        <f t="shared" si="24"/>
        <v>1.2E-2</v>
      </c>
      <c r="M31" s="438" t="str">
        <f>data!D63</f>
        <v>&lt;</v>
      </c>
      <c r="N31" s="450"/>
      <c r="O31" s="71"/>
      <c r="P31" s="71"/>
      <c r="Q31" s="439"/>
      <c r="W31" s="149" t="str">
        <f t="shared" si="13"/>
        <v>Confirmed</v>
      </c>
      <c r="X31" s="416">
        <f t="shared" si="19"/>
        <v>0.68704602835502038</v>
      </c>
      <c r="AB31" s="416"/>
      <c r="AD31" s="71"/>
      <c r="AE31" s="71"/>
      <c r="AF31" s="71"/>
      <c r="AG31" s="71"/>
      <c r="AH31" s="71"/>
      <c r="AI31" s="71"/>
      <c r="AJ31" s="71"/>
      <c r="AK31" s="71"/>
      <c r="AL31" s="71"/>
      <c r="AM31" s="71"/>
      <c r="AN31" s="71"/>
      <c r="AO31" s="71"/>
      <c r="AP31" s="71"/>
      <c r="AQ31" s="71"/>
      <c r="AR31" s="71"/>
      <c r="AS31" s="71"/>
      <c r="AT31" s="71"/>
      <c r="AU31" s="71"/>
      <c r="AV31" s="71"/>
      <c r="AW31" s="71"/>
      <c r="AX31" s="71"/>
      <c r="AY31" s="71"/>
      <c r="AZ31" s="71"/>
      <c r="BA31" s="71"/>
    </row>
    <row r="32" spans="1:53" hidden="1" x14ac:dyDescent="0.35">
      <c r="A32" s="71"/>
      <c r="B32" s="446"/>
      <c r="C32" s="416" t="str">
        <f t="shared" si="14"/>
        <v>n</v>
      </c>
      <c r="D32" s="427">
        <f t="shared" si="15"/>
        <v>0</v>
      </c>
      <c r="E32" s="428">
        <f t="shared" si="16"/>
        <v>0.68700000000000006</v>
      </c>
      <c r="F32" s="428">
        <f t="shared" si="17"/>
        <v>558</v>
      </c>
      <c r="G32" s="428">
        <f t="shared" si="18"/>
        <v>536</v>
      </c>
      <c r="H32" s="438">
        <f t="shared" si="22"/>
        <v>0.71499999999999997</v>
      </c>
      <c r="I32" s="415">
        <f t="shared" si="23"/>
        <v>5.600000000000005E-2</v>
      </c>
      <c r="J32" s="415">
        <f t="shared" si="20"/>
        <v>0.02</v>
      </c>
      <c r="K32" s="415">
        <f t="shared" si="21"/>
        <v>75000</v>
      </c>
      <c r="L32" s="415">
        <f t="shared" si="24"/>
        <v>1.2E-2</v>
      </c>
      <c r="M32" s="438" t="str">
        <f>data!D64</f>
        <v>&lt;</v>
      </c>
      <c r="N32" s="450"/>
      <c r="O32" s="71"/>
      <c r="P32" s="71"/>
      <c r="Q32" s="439"/>
      <c r="X32" s="416">
        <f t="shared" si="19"/>
        <v>0.71519776119402989</v>
      </c>
      <c r="AB32" s="416"/>
      <c r="AD32" s="71"/>
      <c r="AE32" s="71"/>
      <c r="AF32" s="71"/>
      <c r="AG32" s="71"/>
      <c r="AH32" s="71"/>
      <c r="AI32" s="71"/>
      <c r="AJ32" s="71"/>
      <c r="AK32" s="71"/>
      <c r="AL32" s="71"/>
      <c r="AM32" s="71"/>
      <c r="AN32" s="71"/>
      <c r="AO32" s="71"/>
      <c r="AP32" s="71"/>
      <c r="AQ32" s="71"/>
      <c r="AR32" s="71"/>
      <c r="AS32" s="71"/>
      <c r="AT32" s="71"/>
      <c r="AU32" s="71"/>
      <c r="AV32" s="71"/>
      <c r="AW32" s="71"/>
      <c r="AX32" s="71"/>
      <c r="AY32" s="71"/>
      <c r="AZ32" s="71"/>
      <c r="BA32" s="71"/>
    </row>
    <row r="33" spans="1:53" hidden="1" x14ac:dyDescent="0.35">
      <c r="A33" s="71"/>
      <c r="B33" s="446"/>
      <c r="C33" s="416" t="str">
        <f t="shared" si="14"/>
        <v>n</v>
      </c>
      <c r="D33" s="427">
        <f t="shared" si="15"/>
        <v>0</v>
      </c>
      <c r="E33" s="428">
        <f t="shared" si="16"/>
        <v>0.71499999999999997</v>
      </c>
      <c r="F33" s="428">
        <f t="shared" si="17"/>
        <v>580.9</v>
      </c>
      <c r="G33" s="428">
        <f t="shared" si="18"/>
        <v>558</v>
      </c>
      <c r="H33" s="438">
        <f t="shared" si="22"/>
        <v>0.74399999999999999</v>
      </c>
      <c r="I33" s="415">
        <f t="shared" si="23"/>
        <v>5.600000000000005E-2</v>
      </c>
      <c r="J33" s="415">
        <f t="shared" si="20"/>
        <v>0.02</v>
      </c>
      <c r="K33" s="415">
        <f t="shared" si="21"/>
        <v>75000</v>
      </c>
      <c r="L33" s="415">
        <f t="shared" si="24"/>
        <v>1.2E-2</v>
      </c>
      <c r="M33" s="438" t="str">
        <f>data!D65</f>
        <v>&lt;</v>
      </c>
      <c r="N33" s="450"/>
      <c r="O33" s="71"/>
      <c r="P33" s="71"/>
      <c r="Q33" s="439"/>
      <c r="X33" s="416">
        <f t="shared" si="19"/>
        <v>0.7443431899641576</v>
      </c>
      <c r="AD33" s="71"/>
      <c r="AE33" s="71"/>
      <c r="AF33" s="71"/>
      <c r="AG33" s="71"/>
      <c r="AH33" s="71"/>
      <c r="AI33" s="71"/>
      <c r="AJ33" s="71"/>
      <c r="AK33" s="71"/>
      <c r="AL33" s="71"/>
      <c r="AM33" s="71"/>
      <c r="AN33" s="71"/>
      <c r="AO33" s="71"/>
      <c r="AP33" s="71"/>
      <c r="AQ33" s="71"/>
      <c r="AR33" s="71"/>
      <c r="AS33" s="71"/>
      <c r="AT33" s="71"/>
      <c r="AU33" s="71"/>
      <c r="AV33" s="71"/>
      <c r="AW33" s="71"/>
      <c r="AX33" s="71"/>
      <c r="AY33" s="71"/>
      <c r="AZ33" s="71"/>
      <c r="BA33" s="71"/>
    </row>
    <row r="34" spans="1:53" x14ac:dyDescent="0.35">
      <c r="A34" s="71"/>
      <c r="B34" s="446"/>
      <c r="N34" s="447"/>
      <c r="O34" s="71"/>
      <c r="P34" s="71"/>
      <c r="AD34" s="71"/>
      <c r="AE34" s="71"/>
      <c r="AF34" s="71"/>
      <c r="AG34" s="71"/>
      <c r="AH34" s="71"/>
      <c r="AI34" s="71"/>
      <c r="AJ34" s="71"/>
      <c r="AK34" s="71"/>
      <c r="AL34" s="71"/>
      <c r="AM34" s="71"/>
      <c r="AN34" s="71"/>
      <c r="AO34" s="71"/>
      <c r="AP34" s="71"/>
      <c r="AQ34" s="71"/>
      <c r="AR34" s="71"/>
      <c r="AS34" s="71"/>
      <c r="AT34" s="71"/>
      <c r="AU34" s="71"/>
      <c r="AV34" s="71"/>
      <c r="AW34" s="71"/>
      <c r="AX34" s="71"/>
      <c r="AY34" s="71"/>
      <c r="AZ34" s="71"/>
      <c r="BA34" s="71"/>
    </row>
    <row r="35" spans="1:53" x14ac:dyDescent="0.35">
      <c r="A35" s="71"/>
      <c r="B35" s="446"/>
      <c r="D35" s="149" t="str">
        <f>D21</f>
        <v>2023/24</v>
      </c>
      <c r="G35" s="2243" t="s">
        <v>549</v>
      </c>
      <c r="H35" s="438">
        <f>H21+I21</f>
        <v>0.51200000000000001</v>
      </c>
      <c r="L35" s="436" t="s">
        <v>2807</v>
      </c>
      <c r="N35" s="447"/>
      <c r="O35" s="71"/>
      <c r="P35" s="71"/>
      <c r="AD35" s="71"/>
      <c r="AE35" s="71"/>
      <c r="AF35" s="71"/>
      <c r="AG35" s="71"/>
      <c r="AH35" s="71"/>
      <c r="AI35" s="71"/>
      <c r="AJ35" s="71"/>
      <c r="AK35" s="71"/>
      <c r="AL35" s="71"/>
      <c r="AM35" s="71"/>
      <c r="AN35" s="71"/>
      <c r="AO35" s="71"/>
      <c r="AP35" s="71"/>
      <c r="AQ35" s="71"/>
      <c r="AR35" s="71"/>
      <c r="AS35" s="71"/>
      <c r="AT35" s="71"/>
      <c r="AU35" s="71"/>
      <c r="AV35" s="71"/>
      <c r="AW35" s="71"/>
      <c r="AX35" s="71"/>
      <c r="AY35" s="71"/>
      <c r="AZ35" s="71"/>
      <c r="BA35" s="71"/>
    </row>
    <row r="36" spans="1:53" x14ac:dyDescent="0.35">
      <c r="A36" s="71"/>
      <c r="B36" s="446"/>
      <c r="C36" s="427" t="s">
        <v>545</v>
      </c>
      <c r="D36" s="427" t="str">
        <f>D7</f>
        <v>2024/25</v>
      </c>
      <c r="E36" s="414">
        <f>E7</f>
        <v>6.6199999999999995E-2</v>
      </c>
      <c r="F36" s="22" t="s">
        <v>426</v>
      </c>
      <c r="G36" s="2243"/>
      <c r="H36" s="428">
        <f>ROUND(H35+(H35*E36),3)+G36</f>
        <v>0.54600000000000004</v>
      </c>
      <c r="I36" s="428"/>
      <c r="J36" s="428"/>
      <c r="K36" s="428"/>
      <c r="L36" s="415">
        <v>1.6E-2</v>
      </c>
      <c r="M36" s="428"/>
      <c r="N36" s="447"/>
      <c r="O36" s="71"/>
      <c r="P36" s="71"/>
      <c r="AD36" s="71"/>
      <c r="AE36" s="71"/>
      <c r="AF36" s="71"/>
      <c r="AG36" s="71"/>
      <c r="AH36" s="71"/>
      <c r="AI36" s="71"/>
      <c r="AJ36" s="71"/>
      <c r="AK36" s="71"/>
      <c r="AL36" s="71"/>
      <c r="AM36" s="71"/>
      <c r="AN36" s="71"/>
      <c r="AO36" s="71"/>
      <c r="AP36" s="71"/>
      <c r="AQ36" s="71"/>
      <c r="AR36" s="71"/>
      <c r="AS36" s="71"/>
      <c r="AT36" s="71"/>
      <c r="AU36" s="71"/>
      <c r="AV36" s="71"/>
      <c r="AW36" s="71"/>
      <c r="AX36" s="71"/>
      <c r="AY36" s="71"/>
      <c r="AZ36" s="71"/>
      <c r="BA36" s="71"/>
    </row>
    <row r="37" spans="1:53" x14ac:dyDescent="0.35">
      <c r="A37" s="71"/>
      <c r="B37" s="446"/>
      <c r="C37" s="427" t="s">
        <v>545</v>
      </c>
      <c r="D37" s="427" t="str">
        <f>D8</f>
        <v>2025/26</v>
      </c>
      <c r="E37" s="414">
        <v>1.67E-2</v>
      </c>
      <c r="F37" s="22" t="s">
        <v>1021</v>
      </c>
      <c r="G37" s="2243"/>
      <c r="H37" s="428">
        <f>ROUND(H36+(H36*E37),3)+G37</f>
        <v>0.55500000000000005</v>
      </c>
      <c r="I37" s="428"/>
      <c r="J37" s="428"/>
      <c r="K37" s="428"/>
      <c r="L37" s="2244">
        <v>0.02</v>
      </c>
      <c r="M37" s="428"/>
      <c r="N37" s="447"/>
      <c r="O37" s="71"/>
      <c r="P37" s="71"/>
      <c r="AD37" s="71"/>
      <c r="AE37" s="71"/>
      <c r="AF37" s="71"/>
      <c r="AG37" s="71"/>
      <c r="AH37" s="71"/>
      <c r="AI37" s="71"/>
      <c r="AJ37" s="71"/>
      <c r="AK37" s="71"/>
      <c r="AL37" s="71"/>
      <c r="AM37" s="71"/>
      <c r="AN37" s="71"/>
      <c r="AO37" s="71"/>
      <c r="AP37" s="71"/>
      <c r="AQ37" s="71"/>
      <c r="AR37" s="71"/>
      <c r="AS37" s="71"/>
      <c r="AT37" s="71"/>
      <c r="AU37" s="71"/>
      <c r="AV37" s="71"/>
      <c r="AW37" s="71"/>
      <c r="AX37" s="71"/>
      <c r="AY37" s="71"/>
      <c r="AZ37" s="71"/>
      <c r="BA37" s="71"/>
    </row>
    <row r="38" spans="1:53" x14ac:dyDescent="0.35">
      <c r="A38" s="71"/>
      <c r="B38" s="451"/>
      <c r="C38" s="452"/>
      <c r="D38" s="452"/>
      <c r="E38" s="452"/>
      <c r="F38" s="453"/>
      <c r="G38" s="453"/>
      <c r="H38" s="453"/>
      <c r="I38" s="453"/>
      <c r="J38" s="453"/>
      <c r="K38" s="453"/>
      <c r="L38" s="453"/>
      <c r="M38" s="453"/>
      <c r="N38" s="454"/>
      <c r="O38" s="71"/>
      <c r="P38" s="71"/>
      <c r="AD38" s="71"/>
      <c r="AE38" s="71"/>
      <c r="AF38" s="71"/>
      <c r="AG38" s="71"/>
      <c r="AH38" s="71"/>
      <c r="AI38" s="71"/>
      <c r="AJ38" s="71"/>
      <c r="AK38" s="71"/>
      <c r="AL38" s="71"/>
      <c r="AM38" s="71"/>
      <c r="AN38" s="71"/>
      <c r="AO38" s="71"/>
      <c r="AP38" s="71"/>
      <c r="AQ38" s="71"/>
      <c r="AR38" s="71"/>
      <c r="AS38" s="71"/>
      <c r="AT38" s="71"/>
      <c r="AU38" s="71"/>
      <c r="AV38" s="71"/>
      <c r="AW38" s="71"/>
      <c r="AX38" s="71"/>
      <c r="AY38" s="71"/>
      <c r="AZ38" s="71"/>
      <c r="BA38" s="71"/>
    </row>
    <row r="39" spans="1:53" x14ac:dyDescent="0.35">
      <c r="A39" s="71"/>
      <c r="B39" s="71"/>
      <c r="C39" s="71"/>
      <c r="D39" s="71"/>
      <c r="E39" s="71"/>
      <c r="F39" s="71"/>
      <c r="G39" s="71"/>
      <c r="H39" s="71"/>
      <c r="I39" s="71"/>
      <c r="J39" s="71"/>
      <c r="K39" s="71"/>
      <c r="L39" s="71"/>
      <c r="M39" s="71"/>
      <c r="N39" s="71"/>
      <c r="O39" s="71"/>
      <c r="P39" s="71"/>
      <c r="AD39" s="71"/>
      <c r="AE39" s="71"/>
      <c r="AF39" s="71"/>
      <c r="AG39" s="71"/>
      <c r="AH39" s="71"/>
      <c r="AI39" s="71"/>
      <c r="AJ39" s="71"/>
      <c r="AK39" s="71"/>
      <c r="AL39" s="71"/>
      <c r="AM39" s="71"/>
      <c r="AN39" s="71"/>
      <c r="AO39" s="71"/>
      <c r="AP39" s="71"/>
      <c r="AQ39" s="71"/>
      <c r="AR39" s="71"/>
      <c r="AS39" s="71"/>
      <c r="AT39" s="71"/>
      <c r="AU39" s="71"/>
      <c r="AV39" s="71"/>
      <c r="AW39" s="71"/>
      <c r="AX39" s="71"/>
      <c r="AY39" s="71"/>
      <c r="AZ39" s="71"/>
      <c r="BA39" s="71"/>
    </row>
    <row r="40" spans="1:53" x14ac:dyDescent="0.35">
      <c r="A40" s="71"/>
      <c r="B40" s="71"/>
      <c r="C40" s="71"/>
      <c r="D40" s="71"/>
      <c r="E40" s="71"/>
      <c r="F40" s="71"/>
      <c r="G40" s="71"/>
      <c r="H40" s="71"/>
      <c r="I40" s="71"/>
      <c r="J40" s="71"/>
      <c r="K40" s="71"/>
      <c r="L40" s="71"/>
      <c r="M40" s="71"/>
      <c r="N40" s="71"/>
      <c r="O40" s="71"/>
      <c r="P40" s="71"/>
      <c r="AD40" s="71"/>
      <c r="AE40" s="71"/>
      <c r="AF40" s="71"/>
      <c r="AG40" s="71"/>
      <c r="AH40" s="71"/>
      <c r="AI40" s="71"/>
      <c r="AJ40" s="71"/>
      <c r="AK40" s="71"/>
      <c r="AL40" s="71"/>
      <c r="AM40" s="71"/>
      <c r="AN40" s="71"/>
      <c r="AO40" s="71"/>
      <c r="AP40" s="71"/>
      <c r="AQ40" s="71"/>
      <c r="AR40" s="71"/>
      <c r="AS40" s="71"/>
      <c r="AT40" s="71"/>
      <c r="AU40" s="71"/>
      <c r="AV40" s="71"/>
      <c r="AW40" s="71"/>
      <c r="AX40" s="71"/>
      <c r="AY40" s="71"/>
      <c r="AZ40" s="71"/>
      <c r="BA40" s="71"/>
    </row>
    <row r="41" spans="1:53" x14ac:dyDescent="0.35">
      <c r="A41" s="71"/>
      <c r="B41" s="71"/>
      <c r="C41" s="71"/>
      <c r="D41" s="71"/>
      <c r="E41" s="71"/>
      <c r="F41" s="71"/>
      <c r="G41" s="71"/>
      <c r="H41" s="71"/>
      <c r="I41" s="71"/>
      <c r="J41" s="71"/>
      <c r="K41" s="71"/>
      <c r="L41" s="71"/>
      <c r="M41" s="71"/>
      <c r="N41" s="71"/>
      <c r="O41" s="71"/>
      <c r="P41" s="71"/>
      <c r="AD41" s="71"/>
      <c r="AE41" s="71"/>
      <c r="AF41" s="71"/>
      <c r="AG41" s="71"/>
      <c r="AH41" s="71"/>
      <c r="AI41" s="71"/>
      <c r="AJ41" s="71"/>
      <c r="AK41" s="71"/>
      <c r="AL41" s="71"/>
      <c r="AM41" s="71"/>
      <c r="AN41" s="71"/>
      <c r="AO41" s="71"/>
      <c r="AP41" s="71"/>
      <c r="AQ41" s="71"/>
      <c r="AR41" s="71"/>
      <c r="AS41" s="71"/>
      <c r="AT41" s="71"/>
      <c r="AU41" s="71"/>
      <c r="AV41" s="71"/>
      <c r="AW41" s="71"/>
      <c r="AX41" s="71"/>
      <c r="AY41" s="71"/>
      <c r="AZ41" s="71"/>
      <c r="BA41" s="71"/>
    </row>
    <row r="42" spans="1:53" x14ac:dyDescent="0.35">
      <c r="A42" s="71"/>
      <c r="B42" s="71"/>
      <c r="C42" s="71"/>
      <c r="D42" s="71"/>
      <c r="E42" s="71"/>
      <c r="F42" s="71"/>
      <c r="G42" s="71"/>
      <c r="H42" s="71"/>
      <c r="I42" s="71"/>
      <c r="J42" s="71"/>
      <c r="K42" s="71"/>
      <c r="L42" s="71"/>
      <c r="M42" s="71"/>
      <c r="N42" s="71"/>
      <c r="O42" s="71"/>
      <c r="P42" s="71"/>
      <c r="AD42" s="71"/>
      <c r="AE42" s="71"/>
      <c r="AF42" s="71"/>
      <c r="AG42" s="71"/>
      <c r="AH42" s="71"/>
      <c r="AI42" s="71"/>
      <c r="AJ42" s="71"/>
      <c r="AK42" s="71"/>
      <c r="AL42" s="71"/>
      <c r="AM42" s="71"/>
      <c r="AN42" s="71"/>
      <c r="AO42" s="71"/>
      <c r="AP42" s="71"/>
      <c r="AQ42" s="71"/>
      <c r="AR42" s="71"/>
      <c r="AS42" s="71"/>
      <c r="AT42" s="71"/>
      <c r="AU42" s="71"/>
      <c r="AV42" s="71"/>
      <c r="AW42" s="71"/>
      <c r="AX42" s="71"/>
      <c r="AY42" s="71"/>
      <c r="AZ42" s="71"/>
      <c r="BA42" s="71"/>
    </row>
    <row r="43" spans="1:53" x14ac:dyDescent="0.35">
      <c r="A43" s="71"/>
      <c r="B43" s="71"/>
      <c r="C43" s="71"/>
      <c r="D43" s="71"/>
      <c r="E43" s="71"/>
      <c r="F43" s="71"/>
      <c r="G43" s="71"/>
      <c r="H43" s="71"/>
      <c r="I43" s="71"/>
      <c r="J43" s="71"/>
      <c r="K43" s="71"/>
      <c r="L43" s="71"/>
      <c r="M43" s="71"/>
      <c r="N43" s="71"/>
      <c r="O43" s="71"/>
      <c r="P43" s="71"/>
      <c r="AD43" s="71"/>
      <c r="AE43" s="71"/>
      <c r="AF43" s="71"/>
      <c r="AG43" s="71"/>
      <c r="AH43" s="71"/>
      <c r="AI43" s="71"/>
      <c r="AJ43" s="71"/>
      <c r="AK43" s="71"/>
      <c r="AL43" s="71"/>
      <c r="AM43" s="71"/>
      <c r="AN43" s="71"/>
      <c r="AO43" s="71"/>
      <c r="AP43" s="71"/>
      <c r="AQ43" s="71"/>
      <c r="AR43" s="71"/>
      <c r="AS43" s="71"/>
      <c r="AT43" s="71"/>
      <c r="AU43" s="71"/>
      <c r="AV43" s="71"/>
      <c r="AW43" s="71"/>
      <c r="AX43" s="71"/>
      <c r="AY43" s="71"/>
      <c r="AZ43" s="71"/>
      <c r="BA43" s="71"/>
    </row>
    <row r="44" spans="1:53" x14ac:dyDescent="0.35">
      <c r="A44" s="71"/>
      <c r="B44" s="71"/>
      <c r="C44" s="71"/>
      <c r="D44" s="71"/>
      <c r="E44" s="71"/>
      <c r="F44" s="71"/>
      <c r="G44" s="71"/>
      <c r="H44" s="71"/>
      <c r="I44" s="71"/>
      <c r="J44" s="71"/>
      <c r="K44" s="71"/>
      <c r="L44" s="71"/>
      <c r="M44" s="71"/>
      <c r="N44" s="71"/>
      <c r="O44" s="71"/>
      <c r="P44" s="71"/>
      <c r="AD44" s="71"/>
      <c r="AE44" s="71"/>
      <c r="AF44" s="71"/>
      <c r="AG44" s="71"/>
      <c r="AH44" s="71"/>
      <c r="AI44" s="71"/>
      <c r="AJ44" s="71"/>
      <c r="AK44" s="71"/>
      <c r="AL44" s="71"/>
      <c r="AM44" s="71"/>
      <c r="AN44" s="71"/>
      <c r="AO44" s="71"/>
      <c r="AP44" s="71"/>
      <c r="AQ44" s="71"/>
      <c r="AR44" s="71"/>
      <c r="AS44" s="71"/>
      <c r="AT44" s="71"/>
      <c r="AU44" s="71"/>
      <c r="AV44" s="71"/>
      <c r="AW44" s="71"/>
      <c r="AX44" s="71"/>
      <c r="AY44" s="71"/>
      <c r="AZ44" s="71"/>
      <c r="BA44" s="71"/>
    </row>
    <row r="45" spans="1:53" x14ac:dyDescent="0.35">
      <c r="A45" s="71"/>
      <c r="B45" s="71"/>
      <c r="C45" s="71"/>
      <c r="D45" s="71"/>
      <c r="E45" s="71"/>
      <c r="F45" s="71"/>
      <c r="G45" s="71"/>
      <c r="H45" s="71"/>
      <c r="I45" s="71"/>
      <c r="J45" s="71"/>
      <c r="K45" s="71"/>
      <c r="L45" s="71"/>
      <c r="M45" s="71"/>
      <c r="N45" s="71"/>
      <c r="O45" s="71"/>
      <c r="P45" s="71"/>
      <c r="AD45" s="71"/>
      <c r="AE45" s="71"/>
      <c r="AF45" s="71"/>
      <c r="AG45" s="71"/>
      <c r="AH45" s="71"/>
      <c r="AI45" s="71"/>
      <c r="AJ45" s="71"/>
      <c r="AK45" s="71"/>
      <c r="AL45" s="71"/>
      <c r="AM45" s="71"/>
      <c r="AN45" s="71"/>
      <c r="AO45" s="71"/>
      <c r="AP45" s="71"/>
      <c r="AQ45" s="71"/>
      <c r="AR45" s="71"/>
      <c r="AS45" s="71"/>
      <c r="AT45" s="71"/>
      <c r="AU45" s="71"/>
      <c r="AV45" s="71"/>
      <c r="AW45" s="71"/>
      <c r="AX45" s="71"/>
      <c r="AY45" s="71"/>
      <c r="AZ45" s="71"/>
      <c r="BA45" s="71"/>
    </row>
    <row r="46" spans="1:53" x14ac:dyDescent="0.35">
      <c r="A46" s="71"/>
      <c r="B46" s="71"/>
      <c r="C46" s="71"/>
      <c r="D46" s="71"/>
      <c r="E46" s="71"/>
      <c r="F46" s="71"/>
      <c r="G46" s="71"/>
      <c r="H46" s="71"/>
      <c r="I46" s="71"/>
      <c r="J46" s="71"/>
      <c r="K46" s="71"/>
      <c r="L46" s="71"/>
      <c r="M46" s="71"/>
      <c r="N46" s="71"/>
      <c r="O46" s="71"/>
      <c r="P46" s="71"/>
      <c r="AD46" s="71"/>
      <c r="AE46" s="71"/>
      <c r="AF46" s="71"/>
      <c r="AG46" s="71"/>
      <c r="AH46" s="71"/>
      <c r="AI46" s="71"/>
      <c r="AJ46" s="71"/>
      <c r="AK46" s="71"/>
      <c r="AL46" s="71"/>
      <c r="AM46" s="71"/>
      <c r="AN46" s="71"/>
      <c r="AO46" s="71"/>
      <c r="AP46" s="71"/>
      <c r="AQ46" s="71"/>
      <c r="AR46" s="71"/>
      <c r="AS46" s="71"/>
      <c r="AT46" s="71"/>
      <c r="AU46" s="71"/>
      <c r="AV46" s="71"/>
      <c r="AW46" s="71"/>
      <c r="AX46" s="71"/>
      <c r="AY46" s="71"/>
      <c r="AZ46" s="71"/>
      <c r="BA46" s="71"/>
    </row>
    <row r="47" spans="1:53" x14ac:dyDescent="0.35">
      <c r="A47" s="71"/>
      <c r="B47" s="71"/>
      <c r="C47" s="71"/>
      <c r="D47" s="71"/>
      <c r="E47" s="71"/>
      <c r="F47" s="71"/>
      <c r="G47" s="71"/>
      <c r="H47" s="71"/>
      <c r="I47" s="71"/>
      <c r="J47" s="71"/>
      <c r="K47" s="71"/>
      <c r="L47" s="71"/>
      <c r="M47" s="71"/>
      <c r="N47" s="71"/>
      <c r="O47" s="71"/>
      <c r="P47" s="71"/>
      <c r="AD47" s="71"/>
      <c r="AE47" s="71"/>
      <c r="AF47" s="71"/>
      <c r="AG47" s="71"/>
      <c r="AH47" s="71"/>
      <c r="AI47" s="71"/>
      <c r="AJ47" s="71"/>
      <c r="AK47" s="71"/>
      <c r="AL47" s="71"/>
      <c r="AM47" s="71"/>
      <c r="AN47" s="71"/>
      <c r="AO47" s="71"/>
      <c r="AP47" s="71"/>
      <c r="AQ47" s="71"/>
      <c r="AR47" s="71"/>
      <c r="AS47" s="71"/>
      <c r="AT47" s="71"/>
      <c r="AU47" s="71"/>
      <c r="AV47" s="71"/>
      <c r="AW47" s="71"/>
      <c r="AX47" s="71"/>
      <c r="AY47" s="71"/>
      <c r="AZ47" s="71"/>
      <c r="BA47" s="71"/>
    </row>
    <row r="48" spans="1:53" x14ac:dyDescent="0.35">
      <c r="A48" s="71"/>
      <c r="B48" s="71"/>
      <c r="C48" s="71"/>
      <c r="D48" s="71"/>
      <c r="E48" s="71"/>
      <c r="F48" s="71"/>
      <c r="G48" s="71"/>
      <c r="H48" s="71"/>
      <c r="I48" s="71"/>
      <c r="J48" s="71"/>
      <c r="K48" s="71"/>
      <c r="L48" s="71"/>
      <c r="M48" s="71"/>
      <c r="N48" s="71"/>
      <c r="O48" s="71"/>
      <c r="P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71"/>
      <c r="BA48" s="71"/>
    </row>
    <row r="49" spans="1:53" x14ac:dyDescent="0.35">
      <c r="A49" s="71"/>
      <c r="B49" s="71"/>
      <c r="C49" s="71"/>
      <c r="D49" s="71"/>
      <c r="E49" s="71"/>
      <c r="F49" s="71"/>
      <c r="G49" s="71"/>
      <c r="H49" s="71"/>
      <c r="I49" s="71"/>
      <c r="J49" s="71"/>
      <c r="K49" s="71"/>
      <c r="L49" s="71"/>
      <c r="M49" s="71"/>
      <c r="N49" s="71"/>
      <c r="O49" s="71"/>
      <c r="P49" s="71"/>
      <c r="AD49" s="71"/>
      <c r="AE49" s="71"/>
      <c r="AF49" s="71"/>
      <c r="AG49" s="71"/>
      <c r="AH49" s="71"/>
      <c r="AI49" s="71"/>
      <c r="AJ49" s="71"/>
      <c r="AK49" s="71"/>
      <c r="AL49" s="71"/>
      <c r="AM49" s="71"/>
      <c r="AN49" s="71"/>
      <c r="AO49" s="71"/>
      <c r="AP49" s="71"/>
      <c r="AQ49" s="71"/>
      <c r="AR49" s="71"/>
      <c r="AS49" s="71"/>
      <c r="AT49" s="71"/>
      <c r="AU49" s="71"/>
      <c r="AV49" s="71"/>
      <c r="AW49" s="71"/>
      <c r="AX49" s="71"/>
      <c r="AY49" s="71"/>
      <c r="AZ49" s="71"/>
      <c r="BA49" s="71"/>
    </row>
    <row r="50" spans="1:53" x14ac:dyDescent="0.35">
      <c r="A50" s="71"/>
      <c r="B50" s="71"/>
      <c r="C50" s="71"/>
      <c r="D50" s="71"/>
      <c r="E50" s="71"/>
      <c r="F50" s="71"/>
      <c r="G50" s="71"/>
      <c r="H50" s="71"/>
      <c r="I50" s="71"/>
      <c r="J50" s="71"/>
      <c r="K50" s="71"/>
      <c r="L50" s="71"/>
      <c r="M50" s="71"/>
      <c r="N50" s="71"/>
      <c r="O50" s="71"/>
      <c r="P50" s="71"/>
      <c r="AD50" s="71"/>
      <c r="AE50" s="71"/>
      <c r="AF50" s="71"/>
      <c r="AG50" s="71"/>
      <c r="AH50" s="71"/>
      <c r="AI50" s="71"/>
      <c r="AJ50" s="71"/>
      <c r="AK50" s="71"/>
      <c r="AL50" s="71"/>
      <c r="AM50" s="71"/>
      <c r="AN50" s="71"/>
      <c r="AO50" s="71"/>
      <c r="AP50" s="71"/>
      <c r="AQ50" s="71"/>
      <c r="AR50" s="71"/>
      <c r="AS50" s="71"/>
      <c r="AT50" s="71"/>
      <c r="AU50" s="71"/>
      <c r="AV50" s="71"/>
      <c r="AW50" s="71"/>
      <c r="AX50" s="71"/>
      <c r="AY50" s="71"/>
      <c r="AZ50" s="71"/>
      <c r="BA50" s="71"/>
    </row>
    <row r="51" spans="1:53" x14ac:dyDescent="0.35">
      <c r="A51" s="71"/>
      <c r="B51" s="71"/>
      <c r="C51" s="71"/>
      <c r="D51" s="71"/>
      <c r="E51" s="71"/>
      <c r="F51" s="71"/>
      <c r="G51" s="71"/>
      <c r="H51" s="71"/>
      <c r="I51" s="71"/>
      <c r="J51" s="71"/>
      <c r="K51" s="71"/>
      <c r="L51" s="71"/>
      <c r="M51" s="71"/>
      <c r="N51" s="71"/>
      <c r="O51" s="71"/>
      <c r="P51" s="71"/>
      <c r="AD51" s="71"/>
      <c r="AE51" s="71"/>
      <c r="AF51" s="71"/>
      <c r="AG51" s="71"/>
      <c r="AH51" s="71"/>
      <c r="AI51" s="71"/>
      <c r="AJ51" s="71"/>
      <c r="AK51" s="71"/>
      <c r="AL51" s="71"/>
      <c r="AM51" s="71"/>
      <c r="AN51" s="71"/>
      <c r="AO51" s="71"/>
      <c r="AP51" s="71"/>
      <c r="AQ51" s="71"/>
      <c r="AR51" s="71"/>
      <c r="AS51" s="71"/>
      <c r="AT51" s="71"/>
      <c r="AU51" s="71"/>
      <c r="AV51" s="71"/>
      <c r="AW51" s="71"/>
      <c r="AX51" s="71"/>
      <c r="AY51" s="71"/>
      <c r="AZ51" s="71"/>
      <c r="BA51" s="71"/>
    </row>
    <row r="52" spans="1:53" x14ac:dyDescent="0.35">
      <c r="A52" s="71"/>
      <c r="B52" s="71"/>
      <c r="C52" s="71"/>
      <c r="D52" s="71"/>
      <c r="E52" s="71"/>
      <c r="F52" s="71"/>
      <c r="G52" s="71"/>
      <c r="H52" s="71"/>
      <c r="I52" s="71"/>
      <c r="J52" s="71"/>
      <c r="K52" s="71"/>
      <c r="L52" s="71"/>
      <c r="M52" s="71"/>
      <c r="N52" s="71"/>
      <c r="O52" s="71"/>
      <c r="P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71"/>
      <c r="BA52" s="71"/>
    </row>
    <row r="53" spans="1:53" x14ac:dyDescent="0.35">
      <c r="A53" s="71"/>
      <c r="B53" s="71"/>
      <c r="C53" s="71"/>
      <c r="D53" s="71"/>
      <c r="E53" s="71"/>
      <c r="F53" s="71"/>
      <c r="G53" s="71"/>
      <c r="H53" s="71"/>
      <c r="I53" s="71"/>
      <c r="J53" s="71"/>
      <c r="K53" s="71"/>
      <c r="L53" s="71"/>
      <c r="M53" s="71"/>
      <c r="N53" s="71"/>
      <c r="O53" s="71"/>
      <c r="P53" s="71"/>
      <c r="AD53" s="71"/>
      <c r="AE53" s="71"/>
      <c r="AF53" s="71"/>
      <c r="AG53" s="71"/>
      <c r="AH53" s="71"/>
      <c r="AI53" s="71"/>
      <c r="AJ53" s="71"/>
      <c r="AK53" s="71"/>
      <c r="AL53" s="71"/>
      <c r="AM53" s="71"/>
      <c r="AN53" s="71"/>
      <c r="AO53" s="71"/>
      <c r="AP53" s="71"/>
      <c r="AQ53" s="71"/>
      <c r="AR53" s="71"/>
      <c r="AS53" s="71"/>
      <c r="AT53" s="71"/>
      <c r="AU53" s="71"/>
      <c r="AV53" s="71"/>
      <c r="AW53" s="71"/>
      <c r="AX53" s="71"/>
      <c r="AY53" s="71"/>
      <c r="AZ53" s="71"/>
      <c r="BA53" s="71"/>
    </row>
    <row r="54" spans="1:53" x14ac:dyDescent="0.35">
      <c r="A54" s="71"/>
      <c r="B54" s="71"/>
      <c r="C54" s="71"/>
      <c r="D54" s="71"/>
      <c r="E54" s="71"/>
      <c r="F54" s="71"/>
      <c r="G54" s="71"/>
      <c r="H54" s="71"/>
      <c r="I54" s="71"/>
      <c r="J54" s="71"/>
      <c r="K54" s="71"/>
      <c r="L54" s="71"/>
      <c r="M54" s="71"/>
      <c r="N54" s="71"/>
      <c r="O54" s="71"/>
      <c r="P54" s="71"/>
      <c r="AD54" s="71"/>
      <c r="AE54" s="71"/>
      <c r="AF54" s="71"/>
      <c r="AG54" s="71"/>
      <c r="AH54" s="71"/>
      <c r="AI54" s="71"/>
      <c r="AJ54" s="71"/>
      <c r="AK54" s="71"/>
      <c r="AL54" s="71"/>
      <c r="AM54" s="71"/>
      <c r="AN54" s="71"/>
      <c r="AO54" s="71"/>
      <c r="AP54" s="71"/>
      <c r="AQ54" s="71"/>
      <c r="AR54" s="71"/>
      <c r="AS54" s="71"/>
      <c r="AT54" s="71"/>
      <c r="AU54" s="71"/>
      <c r="AV54" s="71"/>
      <c r="AW54" s="71"/>
      <c r="AX54" s="71"/>
      <c r="AY54" s="71"/>
      <c r="AZ54" s="71"/>
      <c r="BA54" s="71"/>
    </row>
    <row r="55" spans="1:53" x14ac:dyDescent="0.35">
      <c r="A55" s="71"/>
      <c r="B55" s="71"/>
      <c r="C55" s="71"/>
      <c r="D55" s="71"/>
      <c r="E55" s="71"/>
      <c r="F55" s="71"/>
      <c r="G55" s="71"/>
      <c r="H55" s="71"/>
      <c r="I55" s="71"/>
      <c r="J55" s="71"/>
      <c r="K55" s="71"/>
      <c r="L55" s="71"/>
      <c r="M55" s="71"/>
      <c r="N55" s="71"/>
      <c r="O55" s="71"/>
      <c r="P55" s="71"/>
      <c r="AD55" s="71"/>
      <c r="AE55" s="71"/>
      <c r="AF55" s="71"/>
      <c r="AG55" s="71"/>
      <c r="AH55" s="71"/>
      <c r="AI55" s="71"/>
      <c r="AJ55" s="71"/>
      <c r="AK55" s="71"/>
      <c r="AL55" s="71"/>
      <c r="AM55" s="71"/>
      <c r="AN55" s="71"/>
      <c r="AO55" s="71"/>
      <c r="AP55" s="71"/>
      <c r="AQ55" s="71"/>
      <c r="AR55" s="71"/>
      <c r="AS55" s="71"/>
      <c r="AT55" s="71"/>
      <c r="AU55" s="71"/>
      <c r="AV55" s="71"/>
      <c r="AW55" s="71"/>
      <c r="AX55" s="71"/>
      <c r="AY55" s="71"/>
      <c r="AZ55" s="71"/>
      <c r="BA55" s="71"/>
    </row>
    <row r="56" spans="1:53" x14ac:dyDescent="0.35">
      <c r="A56" s="71"/>
      <c r="B56" s="71"/>
      <c r="C56" s="71"/>
      <c r="D56" s="71"/>
      <c r="E56" s="71"/>
      <c r="F56" s="71"/>
      <c r="G56" s="71"/>
      <c r="H56" s="71"/>
      <c r="I56" s="71"/>
      <c r="J56" s="71"/>
      <c r="K56" s="71"/>
      <c r="L56" s="71"/>
      <c r="M56" s="71"/>
      <c r="N56" s="71"/>
      <c r="O56" s="71"/>
      <c r="P56" s="71"/>
      <c r="AD56" s="71"/>
      <c r="AE56" s="71"/>
      <c r="AF56" s="71"/>
      <c r="AG56" s="71"/>
      <c r="AH56" s="71"/>
      <c r="AI56" s="71"/>
      <c r="AJ56" s="71"/>
      <c r="AK56" s="71"/>
      <c r="AL56" s="71"/>
      <c r="AM56" s="71"/>
      <c r="AN56" s="71"/>
      <c r="AO56" s="71"/>
      <c r="AP56" s="71"/>
      <c r="AQ56" s="71"/>
      <c r="AR56" s="71"/>
      <c r="AS56" s="71"/>
      <c r="AT56" s="71"/>
      <c r="AU56" s="71"/>
      <c r="AV56" s="71"/>
      <c r="AW56" s="71"/>
      <c r="AX56" s="71"/>
      <c r="AY56" s="71"/>
      <c r="AZ56" s="71"/>
      <c r="BA56" s="71"/>
    </row>
    <row r="57" spans="1:53" x14ac:dyDescent="0.35">
      <c r="A57" s="71"/>
      <c r="B57" s="71"/>
      <c r="C57" s="71"/>
      <c r="D57" s="71"/>
      <c r="E57" s="71"/>
      <c r="F57" s="71"/>
      <c r="G57" s="71"/>
      <c r="H57" s="71"/>
      <c r="I57" s="71"/>
      <c r="J57" s="71"/>
      <c r="K57" s="71"/>
      <c r="L57" s="71"/>
      <c r="M57" s="71"/>
      <c r="N57" s="71"/>
      <c r="O57" s="71"/>
      <c r="P57" s="71"/>
      <c r="AD57" s="71"/>
      <c r="AE57" s="71"/>
      <c r="AF57" s="71"/>
      <c r="AG57" s="71"/>
      <c r="AH57" s="71"/>
      <c r="AI57" s="71"/>
      <c r="AJ57" s="71"/>
      <c r="AK57" s="71"/>
      <c r="AL57" s="71"/>
      <c r="AM57" s="71"/>
      <c r="AN57" s="71"/>
      <c r="AO57" s="71"/>
      <c r="AP57" s="71"/>
      <c r="AQ57" s="71"/>
      <c r="AR57" s="71"/>
      <c r="AS57" s="71"/>
      <c r="AT57" s="71"/>
      <c r="AU57" s="71"/>
      <c r="AV57" s="71"/>
      <c r="AW57" s="71"/>
      <c r="AX57" s="71"/>
      <c r="AY57" s="71"/>
      <c r="AZ57" s="71"/>
      <c r="BA57" s="71"/>
    </row>
    <row r="58" spans="1:53" x14ac:dyDescent="0.35">
      <c r="A58" s="71"/>
      <c r="B58" s="71"/>
      <c r="C58" s="71"/>
      <c r="D58" s="71"/>
      <c r="E58" s="71"/>
      <c r="F58" s="71"/>
      <c r="G58" s="71"/>
      <c r="H58" s="71"/>
      <c r="I58" s="71"/>
      <c r="J58" s="71"/>
      <c r="K58" s="71"/>
      <c r="L58" s="71"/>
      <c r="M58" s="71"/>
      <c r="N58" s="71"/>
      <c r="O58" s="71"/>
      <c r="P58" s="71"/>
      <c r="AD58" s="71"/>
      <c r="AE58" s="71"/>
      <c r="AF58" s="71"/>
      <c r="AG58" s="71"/>
      <c r="AH58" s="71"/>
      <c r="AI58" s="71"/>
      <c r="AJ58" s="71"/>
      <c r="AK58" s="71"/>
      <c r="AL58" s="71"/>
      <c r="AM58" s="71"/>
      <c r="AN58" s="71"/>
      <c r="AO58" s="71"/>
      <c r="AP58" s="71"/>
      <c r="AQ58" s="71"/>
      <c r="AR58" s="71"/>
      <c r="AS58" s="71"/>
      <c r="AT58" s="71"/>
      <c r="AU58" s="71"/>
      <c r="AV58" s="71"/>
      <c r="AW58" s="71"/>
      <c r="AX58" s="71"/>
      <c r="AY58" s="71"/>
      <c r="AZ58" s="71"/>
      <c r="BA58" s="71"/>
    </row>
    <row r="59" spans="1:53" x14ac:dyDescent="0.35">
      <c r="A59" s="71"/>
      <c r="B59" s="71"/>
      <c r="C59" s="71"/>
      <c r="D59" s="71"/>
      <c r="E59" s="71"/>
      <c r="F59" s="71"/>
      <c r="G59" s="71"/>
      <c r="H59" s="71"/>
      <c r="I59" s="71"/>
      <c r="J59" s="71"/>
      <c r="K59" s="71"/>
      <c r="L59" s="71"/>
      <c r="M59" s="71"/>
      <c r="N59" s="71"/>
      <c r="O59" s="71"/>
      <c r="P59" s="71"/>
      <c r="AD59" s="71"/>
      <c r="AE59" s="71"/>
      <c r="AF59" s="71"/>
      <c r="AG59" s="71"/>
      <c r="AH59" s="71"/>
      <c r="AI59" s="71"/>
      <c r="AJ59" s="71"/>
      <c r="AK59" s="71"/>
      <c r="AL59" s="71"/>
      <c r="AM59" s="71"/>
      <c r="AN59" s="71"/>
      <c r="AO59" s="71"/>
      <c r="AP59" s="71"/>
      <c r="AQ59" s="71"/>
      <c r="AR59" s="71"/>
      <c r="AS59" s="71"/>
      <c r="AT59" s="71"/>
      <c r="AU59" s="71"/>
      <c r="AV59" s="71"/>
      <c r="AW59" s="71"/>
      <c r="AX59" s="71"/>
      <c r="AY59" s="71"/>
      <c r="AZ59" s="71"/>
      <c r="BA59" s="71"/>
    </row>
    <row r="60" spans="1:53" x14ac:dyDescent="0.35">
      <c r="A60" s="71"/>
      <c r="B60" s="71"/>
      <c r="C60" s="71"/>
      <c r="D60" s="71"/>
      <c r="E60" s="71"/>
      <c r="F60" s="71"/>
      <c r="G60" s="71"/>
      <c r="H60" s="71"/>
      <c r="I60" s="71"/>
      <c r="J60" s="71"/>
      <c r="K60" s="71"/>
      <c r="L60" s="71"/>
      <c r="M60" s="71"/>
      <c r="N60" s="71"/>
      <c r="O60" s="71"/>
      <c r="P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row>
    <row r="61" spans="1:53" x14ac:dyDescent="0.35">
      <c r="A61" s="71"/>
      <c r="B61" s="71"/>
      <c r="C61" s="71"/>
      <c r="D61" s="71"/>
      <c r="E61" s="71"/>
      <c r="F61" s="71"/>
      <c r="G61" s="71"/>
      <c r="H61" s="71"/>
      <c r="I61" s="71"/>
      <c r="J61" s="71"/>
      <c r="K61" s="71"/>
      <c r="L61" s="71"/>
      <c r="M61" s="71"/>
      <c r="N61" s="71"/>
      <c r="O61" s="71"/>
      <c r="P61" s="71"/>
      <c r="AD61" s="71"/>
      <c r="AE61" s="71"/>
      <c r="AF61" s="71"/>
      <c r="AG61" s="71"/>
      <c r="AH61" s="71"/>
      <c r="AI61" s="71"/>
      <c r="AJ61" s="71"/>
      <c r="AK61" s="71"/>
      <c r="AL61" s="71"/>
      <c r="AM61" s="71"/>
      <c r="AN61" s="71"/>
      <c r="AO61" s="71"/>
      <c r="AP61" s="71"/>
      <c r="AQ61" s="71"/>
      <c r="AR61" s="71"/>
      <c r="AS61" s="71"/>
      <c r="AT61" s="71"/>
      <c r="AU61" s="71"/>
      <c r="AV61" s="71"/>
      <c r="AW61" s="71"/>
      <c r="AX61" s="71"/>
      <c r="AY61" s="71"/>
      <c r="AZ61" s="71"/>
      <c r="BA61" s="71"/>
    </row>
    <row r="62" spans="1:53" x14ac:dyDescent="0.35">
      <c r="A62" s="71"/>
      <c r="B62" s="71"/>
      <c r="C62" s="71"/>
      <c r="D62" s="71"/>
      <c r="E62" s="71"/>
      <c r="F62" s="71"/>
      <c r="G62" s="71"/>
      <c r="H62" s="71"/>
      <c r="I62" s="71"/>
      <c r="J62" s="71"/>
      <c r="K62" s="71"/>
      <c r="L62" s="71"/>
      <c r="M62" s="71"/>
      <c r="N62" s="71"/>
      <c r="O62" s="71"/>
      <c r="P62" s="71"/>
      <c r="AD62" s="71"/>
      <c r="AE62" s="71"/>
      <c r="AF62" s="71"/>
      <c r="AG62" s="71"/>
      <c r="AH62" s="71"/>
      <c r="AI62" s="71"/>
      <c r="AJ62" s="71"/>
      <c r="AK62" s="71"/>
      <c r="AL62" s="71"/>
      <c r="AM62" s="71"/>
      <c r="AN62" s="71"/>
      <c r="AO62" s="71"/>
      <c r="AP62" s="71"/>
      <c r="AQ62" s="71"/>
      <c r="AR62" s="71"/>
      <c r="AS62" s="71"/>
      <c r="AT62" s="71"/>
      <c r="AU62" s="71"/>
      <c r="AV62" s="71"/>
      <c r="AW62" s="71"/>
      <c r="AX62" s="71"/>
      <c r="AY62" s="71"/>
      <c r="AZ62" s="71"/>
      <c r="BA62" s="71"/>
    </row>
    <row r="63" spans="1:53" x14ac:dyDescent="0.35">
      <c r="A63" s="71"/>
      <c r="B63" s="71"/>
      <c r="C63" s="71"/>
      <c r="D63" s="71"/>
      <c r="E63" s="71"/>
      <c r="F63" s="71"/>
      <c r="G63" s="71"/>
      <c r="H63" s="71"/>
      <c r="I63" s="71"/>
      <c r="J63" s="71"/>
      <c r="K63" s="71"/>
      <c r="L63" s="71"/>
      <c r="M63" s="71"/>
      <c r="N63" s="71"/>
      <c r="O63" s="71"/>
      <c r="P63" s="71"/>
      <c r="AD63" s="71"/>
      <c r="AE63" s="71"/>
      <c r="AF63" s="71"/>
      <c r="AG63" s="71"/>
      <c r="AH63" s="71"/>
      <c r="AI63" s="71"/>
      <c r="AJ63" s="71"/>
      <c r="AK63" s="71"/>
      <c r="AL63" s="71"/>
      <c r="AM63" s="71"/>
      <c r="AN63" s="71"/>
      <c r="AO63" s="71"/>
      <c r="AP63" s="71"/>
      <c r="AQ63" s="71"/>
      <c r="AR63" s="71"/>
      <c r="AS63" s="71"/>
      <c r="AT63" s="71"/>
      <c r="AU63" s="71"/>
      <c r="AV63" s="71"/>
      <c r="AW63" s="71"/>
      <c r="AX63" s="71"/>
      <c r="AY63" s="71"/>
      <c r="AZ63" s="71"/>
      <c r="BA63" s="71"/>
    </row>
    <row r="64" spans="1:53" x14ac:dyDescent="0.35">
      <c r="A64" s="71"/>
      <c r="B64" s="71"/>
      <c r="C64" s="71"/>
      <c r="D64" s="71"/>
      <c r="E64" s="71"/>
      <c r="F64" s="71"/>
      <c r="G64" s="71"/>
      <c r="H64" s="71"/>
      <c r="I64" s="71"/>
      <c r="J64" s="71"/>
      <c r="K64" s="71"/>
      <c r="L64" s="71"/>
      <c r="M64" s="71"/>
      <c r="N64" s="71"/>
      <c r="O64" s="71"/>
      <c r="P64" s="71"/>
      <c r="AD64" s="71"/>
      <c r="AE64" s="71"/>
      <c r="AF64" s="71"/>
      <c r="AG64" s="71"/>
      <c r="AH64" s="71"/>
      <c r="AI64" s="71"/>
      <c r="AJ64" s="71"/>
      <c r="AK64" s="71"/>
      <c r="AL64" s="71"/>
      <c r="AM64" s="71"/>
      <c r="AN64" s="71"/>
      <c r="AO64" s="71"/>
      <c r="AP64" s="71"/>
      <c r="AQ64" s="71"/>
      <c r="AR64" s="71"/>
      <c r="AS64" s="71"/>
      <c r="AT64" s="71"/>
      <c r="AU64" s="71"/>
      <c r="AV64" s="71"/>
      <c r="AW64" s="71"/>
      <c r="AX64" s="71"/>
      <c r="AY64" s="71"/>
      <c r="AZ64" s="71"/>
      <c r="BA64" s="71"/>
    </row>
    <row r="65" spans="1:53" x14ac:dyDescent="0.35">
      <c r="A65" s="71"/>
      <c r="B65" s="71"/>
      <c r="C65" s="71"/>
      <c r="D65" s="71"/>
      <c r="E65" s="71"/>
      <c r="F65" s="71"/>
      <c r="G65" s="71"/>
      <c r="H65" s="71"/>
      <c r="I65" s="71"/>
      <c r="J65" s="71"/>
      <c r="K65" s="71"/>
      <c r="L65" s="71"/>
      <c r="M65" s="71"/>
      <c r="N65" s="71"/>
      <c r="O65" s="71"/>
      <c r="P65" s="71"/>
      <c r="AD65" s="71"/>
      <c r="AE65" s="71"/>
      <c r="AF65" s="71"/>
      <c r="AG65" s="71"/>
      <c r="AH65" s="71"/>
      <c r="AI65" s="71"/>
      <c r="AJ65" s="71"/>
      <c r="AK65" s="71"/>
      <c r="AL65" s="71"/>
      <c r="AM65" s="71"/>
      <c r="AN65" s="71"/>
      <c r="AO65" s="71"/>
      <c r="AP65" s="71"/>
      <c r="AQ65" s="71"/>
      <c r="AR65" s="71"/>
      <c r="AS65" s="71"/>
      <c r="AT65" s="71"/>
      <c r="AU65" s="71"/>
      <c r="AV65" s="71"/>
      <c r="AW65" s="71"/>
      <c r="AX65" s="71"/>
      <c r="AY65" s="71"/>
      <c r="AZ65" s="71"/>
      <c r="BA65" s="71"/>
    </row>
    <row r="66" spans="1:53" x14ac:dyDescent="0.35">
      <c r="A66" s="71"/>
      <c r="B66" s="71"/>
      <c r="C66" s="71"/>
      <c r="D66" s="71"/>
      <c r="E66" s="71"/>
      <c r="F66" s="71"/>
      <c r="G66" s="71"/>
      <c r="H66" s="71"/>
      <c r="I66" s="71"/>
      <c r="J66" s="71"/>
      <c r="K66" s="71"/>
      <c r="L66" s="71"/>
      <c r="M66" s="71"/>
      <c r="N66" s="71"/>
      <c r="O66" s="71"/>
      <c r="P66" s="71"/>
      <c r="AD66" s="71"/>
      <c r="AE66" s="71"/>
      <c r="AF66" s="71"/>
      <c r="AG66" s="71"/>
      <c r="AH66" s="71"/>
      <c r="AI66" s="71"/>
      <c r="AJ66" s="71"/>
      <c r="AK66" s="71"/>
      <c r="AL66" s="71"/>
      <c r="AM66" s="71"/>
      <c r="AN66" s="71"/>
      <c r="AO66" s="71"/>
      <c r="AP66" s="71"/>
      <c r="AQ66" s="71"/>
      <c r="AR66" s="71"/>
      <c r="AS66" s="71"/>
      <c r="AT66" s="71"/>
      <c r="AU66" s="71"/>
      <c r="AV66" s="71"/>
      <c r="AW66" s="71"/>
      <c r="AX66" s="71"/>
      <c r="AY66" s="71"/>
      <c r="AZ66" s="71"/>
      <c r="BA66" s="71"/>
    </row>
    <row r="67" spans="1:53" x14ac:dyDescent="0.35">
      <c r="A67" s="71"/>
      <c r="B67" s="71"/>
      <c r="C67" s="71"/>
      <c r="D67" s="71"/>
      <c r="E67" s="71"/>
      <c r="F67" s="71"/>
      <c r="G67" s="71"/>
      <c r="H67" s="71"/>
      <c r="I67" s="71"/>
      <c r="J67" s="71"/>
      <c r="K67" s="71"/>
      <c r="L67" s="71"/>
      <c r="M67" s="71"/>
      <c r="N67" s="71"/>
      <c r="O67" s="71"/>
      <c r="P67" s="71"/>
      <c r="AD67" s="71"/>
      <c r="AE67" s="71"/>
      <c r="AF67" s="71"/>
      <c r="AG67" s="71"/>
      <c r="AH67" s="71"/>
      <c r="AI67" s="71"/>
      <c r="AJ67" s="71"/>
      <c r="AK67" s="71"/>
      <c r="AL67" s="71"/>
      <c r="AM67" s="71"/>
      <c r="AN67" s="71"/>
      <c r="AO67" s="71"/>
      <c r="AP67" s="71"/>
      <c r="AQ67" s="71"/>
      <c r="AR67" s="71"/>
      <c r="AS67" s="71"/>
      <c r="AT67" s="71"/>
      <c r="AU67" s="71"/>
      <c r="AV67" s="71"/>
      <c r="AW67" s="71"/>
      <c r="AX67" s="71"/>
      <c r="AY67" s="71"/>
      <c r="AZ67" s="71"/>
      <c r="BA67" s="71"/>
    </row>
    <row r="68" spans="1:53" x14ac:dyDescent="0.35">
      <c r="A68" s="71"/>
      <c r="B68" s="71"/>
      <c r="C68" s="71"/>
      <c r="D68" s="71"/>
      <c r="E68" s="71"/>
      <c r="F68" s="71"/>
      <c r="G68" s="71"/>
      <c r="H68" s="71"/>
      <c r="I68" s="71"/>
      <c r="J68" s="71"/>
      <c r="K68" s="71"/>
      <c r="L68" s="71"/>
      <c r="M68" s="71"/>
      <c r="N68" s="71"/>
      <c r="O68" s="71"/>
      <c r="P68" s="71"/>
      <c r="AD68" s="71"/>
      <c r="AE68" s="71"/>
      <c r="AF68" s="71"/>
      <c r="AG68" s="71"/>
      <c r="AH68" s="71"/>
      <c r="AI68" s="71"/>
      <c r="AJ68" s="71"/>
      <c r="AK68" s="71"/>
      <c r="AL68" s="71"/>
      <c r="AM68" s="71"/>
      <c r="AN68" s="71"/>
      <c r="AO68" s="71"/>
      <c r="AP68" s="71"/>
      <c r="AQ68" s="71"/>
      <c r="AR68" s="71"/>
      <c r="AS68" s="71"/>
      <c r="AT68" s="71"/>
      <c r="AU68" s="71"/>
      <c r="AV68" s="71"/>
      <c r="AW68" s="71"/>
      <c r="AX68" s="71"/>
      <c r="AY68" s="71"/>
      <c r="AZ68" s="71"/>
      <c r="BA68" s="71"/>
    </row>
    <row r="69" spans="1:53" x14ac:dyDescent="0.35">
      <c r="A69" s="71"/>
      <c r="B69" s="71"/>
      <c r="C69" s="71"/>
      <c r="D69" s="71"/>
      <c r="E69" s="71"/>
      <c r="F69" s="71"/>
      <c r="G69" s="71"/>
      <c r="H69" s="71"/>
      <c r="I69" s="71"/>
      <c r="J69" s="71"/>
      <c r="K69" s="71"/>
      <c r="L69" s="71"/>
      <c r="M69" s="71"/>
      <c r="N69" s="71"/>
      <c r="O69" s="71"/>
      <c r="P69" s="71"/>
      <c r="AD69" s="71"/>
      <c r="AE69" s="71"/>
      <c r="AF69" s="71"/>
      <c r="AG69" s="71"/>
      <c r="AH69" s="71"/>
      <c r="AI69" s="71"/>
      <c r="AJ69" s="71"/>
      <c r="AK69" s="71"/>
      <c r="AL69" s="71"/>
      <c r="AM69" s="71"/>
      <c r="AN69" s="71"/>
      <c r="AO69" s="71"/>
      <c r="AP69" s="71"/>
      <c r="AQ69" s="71"/>
      <c r="AR69" s="71"/>
      <c r="AS69" s="71"/>
      <c r="AT69" s="71"/>
      <c r="AU69" s="71"/>
      <c r="AV69" s="71"/>
      <c r="AW69" s="71"/>
      <c r="AX69" s="71"/>
      <c r="AY69" s="71"/>
      <c r="AZ69" s="71"/>
      <c r="BA69" s="71"/>
    </row>
    <row r="70" spans="1:53" x14ac:dyDescent="0.35">
      <c r="A70" s="71"/>
      <c r="B70" s="71"/>
      <c r="C70" s="71"/>
      <c r="D70" s="71"/>
      <c r="E70" s="71"/>
      <c r="F70" s="71"/>
      <c r="G70" s="71"/>
      <c r="H70" s="71"/>
      <c r="I70" s="71"/>
      <c r="J70" s="71"/>
      <c r="K70" s="71"/>
      <c r="L70" s="71"/>
      <c r="M70" s="71"/>
      <c r="N70" s="71"/>
      <c r="O70" s="71"/>
      <c r="P70" s="71"/>
      <c r="AD70" s="71"/>
      <c r="AE70" s="71"/>
      <c r="AF70" s="71"/>
      <c r="AG70" s="71"/>
      <c r="AH70" s="71"/>
      <c r="AI70" s="71"/>
      <c r="AJ70" s="71"/>
      <c r="AK70" s="71"/>
      <c r="AL70" s="71"/>
      <c r="AM70" s="71"/>
      <c r="AN70" s="71"/>
      <c r="AO70" s="71"/>
      <c r="AP70" s="71"/>
      <c r="AQ70" s="71"/>
      <c r="AR70" s="71"/>
      <c r="AS70" s="71"/>
      <c r="AT70" s="71"/>
      <c r="AU70" s="71"/>
      <c r="AV70" s="71"/>
      <c r="AW70" s="71"/>
      <c r="AX70" s="71"/>
      <c r="AY70" s="71"/>
      <c r="AZ70" s="71"/>
      <c r="BA70" s="71"/>
    </row>
    <row r="71" spans="1:53" x14ac:dyDescent="0.35">
      <c r="A71" s="71"/>
      <c r="B71" s="71"/>
      <c r="C71" s="71"/>
      <c r="D71" s="71"/>
      <c r="E71" s="71"/>
      <c r="F71" s="71"/>
      <c r="G71" s="71"/>
      <c r="H71" s="71"/>
      <c r="I71" s="71"/>
      <c r="J71" s="71"/>
      <c r="K71" s="71"/>
      <c r="L71" s="71"/>
      <c r="M71" s="71"/>
      <c r="N71" s="71"/>
      <c r="O71" s="71"/>
      <c r="P71" s="71"/>
      <c r="AD71" s="71"/>
      <c r="AE71" s="71"/>
      <c r="AF71" s="71"/>
      <c r="AG71" s="71"/>
      <c r="AH71" s="71"/>
      <c r="AI71" s="71"/>
      <c r="AJ71" s="71"/>
      <c r="AK71" s="71"/>
      <c r="AL71" s="71"/>
      <c r="AM71" s="71"/>
      <c r="AN71" s="71"/>
      <c r="AO71" s="71"/>
      <c r="AP71" s="71"/>
      <c r="AQ71" s="71"/>
      <c r="AR71" s="71"/>
      <c r="AS71" s="71"/>
      <c r="AT71" s="71"/>
      <c r="AU71" s="71"/>
      <c r="AV71" s="71"/>
      <c r="AW71" s="71"/>
      <c r="AX71" s="71"/>
      <c r="AY71" s="71"/>
      <c r="AZ71" s="71"/>
      <c r="BA71" s="71"/>
    </row>
    <row r="72" spans="1:53" x14ac:dyDescent="0.35">
      <c r="A72" s="71"/>
      <c r="B72" s="71"/>
      <c r="C72" s="71"/>
      <c r="D72" s="71"/>
      <c r="E72" s="71"/>
      <c r="F72" s="71"/>
      <c r="G72" s="71"/>
      <c r="H72" s="71"/>
      <c r="I72" s="71"/>
      <c r="J72" s="71"/>
      <c r="K72" s="71"/>
      <c r="L72" s="71"/>
      <c r="M72" s="71"/>
      <c r="N72" s="71"/>
      <c r="O72" s="71"/>
      <c r="P72" s="71"/>
      <c r="AD72" s="71"/>
      <c r="AE72" s="71"/>
      <c r="AF72" s="71"/>
      <c r="AG72" s="71"/>
      <c r="AH72" s="71"/>
      <c r="AI72" s="71"/>
      <c r="AJ72" s="71"/>
      <c r="AK72" s="71"/>
      <c r="AL72" s="71"/>
      <c r="AM72" s="71"/>
      <c r="AN72" s="71"/>
      <c r="AO72" s="71"/>
      <c r="AP72" s="71"/>
      <c r="AQ72" s="71"/>
      <c r="AR72" s="71"/>
      <c r="AS72" s="71"/>
      <c r="AT72" s="71"/>
      <c r="AU72" s="71"/>
      <c r="AV72" s="71"/>
      <c r="AW72" s="71"/>
      <c r="AX72" s="71"/>
      <c r="AY72" s="71"/>
      <c r="AZ72" s="71"/>
      <c r="BA72" s="71"/>
    </row>
    <row r="73" spans="1:53" x14ac:dyDescent="0.35">
      <c r="A73" s="71"/>
      <c r="B73" s="71"/>
      <c r="C73" s="71"/>
      <c r="D73" s="71"/>
      <c r="E73" s="71"/>
      <c r="F73" s="71"/>
      <c r="G73" s="71"/>
      <c r="H73" s="71"/>
      <c r="I73" s="71"/>
      <c r="J73" s="71"/>
      <c r="K73" s="71"/>
      <c r="L73" s="71"/>
      <c r="M73" s="71"/>
      <c r="N73" s="71"/>
      <c r="O73" s="71"/>
      <c r="P73" s="71"/>
      <c r="AD73" s="71"/>
      <c r="AE73" s="71"/>
      <c r="AF73" s="71"/>
      <c r="AG73" s="71"/>
      <c r="AH73" s="71"/>
      <c r="AI73" s="71"/>
      <c r="AJ73" s="71"/>
      <c r="AK73" s="71"/>
      <c r="AL73" s="71"/>
      <c r="AM73" s="71"/>
      <c r="AN73" s="71"/>
      <c r="AO73" s="71"/>
      <c r="AP73" s="71"/>
      <c r="AQ73" s="71"/>
      <c r="AR73" s="71"/>
      <c r="AS73" s="71"/>
      <c r="AT73" s="71"/>
      <c r="AU73" s="71"/>
      <c r="AV73" s="71"/>
      <c r="AW73" s="71"/>
      <c r="AX73" s="71"/>
      <c r="AY73" s="71"/>
      <c r="AZ73" s="71"/>
      <c r="BA73" s="71"/>
    </row>
    <row r="74" spans="1:53" x14ac:dyDescent="0.35">
      <c r="A74" s="71"/>
      <c r="B74" s="71"/>
      <c r="C74" s="71"/>
      <c r="D74" s="71"/>
      <c r="E74" s="71"/>
      <c r="F74" s="71"/>
      <c r="G74" s="71"/>
      <c r="H74" s="71"/>
      <c r="I74" s="71"/>
      <c r="J74" s="71"/>
      <c r="K74" s="71"/>
      <c r="L74" s="71"/>
      <c r="M74" s="71"/>
      <c r="N74" s="71"/>
      <c r="O74" s="71"/>
      <c r="P74" s="71"/>
      <c r="AD74" s="71"/>
      <c r="AE74" s="71"/>
      <c r="AF74" s="71"/>
      <c r="AG74" s="71"/>
      <c r="AH74" s="71"/>
      <c r="AI74" s="71"/>
      <c r="AJ74" s="71"/>
      <c r="AK74" s="71"/>
      <c r="AL74" s="71"/>
      <c r="AM74" s="71"/>
      <c r="AN74" s="71"/>
      <c r="AO74" s="71"/>
      <c r="AP74" s="71"/>
      <c r="AQ74" s="71"/>
      <c r="AR74" s="71"/>
      <c r="AS74" s="71"/>
      <c r="AT74" s="71"/>
      <c r="AU74" s="71"/>
      <c r="AV74" s="71"/>
      <c r="AW74" s="71"/>
      <c r="AX74" s="71"/>
      <c r="AY74" s="71"/>
      <c r="AZ74" s="71"/>
      <c r="BA74" s="71"/>
    </row>
    <row r="75" spans="1:53" x14ac:dyDescent="0.35">
      <c r="A75" s="71"/>
      <c r="B75" s="71"/>
      <c r="C75" s="71"/>
      <c r="D75" s="71"/>
      <c r="E75" s="71"/>
      <c r="F75" s="71"/>
      <c r="G75" s="71"/>
      <c r="H75" s="71"/>
      <c r="I75" s="71"/>
      <c r="J75" s="71"/>
      <c r="K75" s="71"/>
      <c r="L75" s="71"/>
      <c r="M75" s="71"/>
      <c r="N75" s="71"/>
      <c r="O75" s="71"/>
      <c r="P75" s="71"/>
      <c r="AD75" s="71"/>
      <c r="AE75" s="71"/>
      <c r="AF75" s="71"/>
      <c r="AG75" s="71"/>
      <c r="AH75" s="71"/>
      <c r="AI75" s="71"/>
      <c r="AJ75" s="71"/>
      <c r="AK75" s="71"/>
      <c r="AL75" s="71"/>
      <c r="AM75" s="71"/>
      <c r="AN75" s="71"/>
      <c r="AO75" s="71"/>
      <c r="AP75" s="71"/>
      <c r="AQ75" s="71"/>
      <c r="AR75" s="71"/>
      <c r="AS75" s="71"/>
      <c r="AT75" s="71"/>
      <c r="AU75" s="71"/>
      <c r="AV75" s="71"/>
      <c r="AW75" s="71"/>
      <c r="AX75" s="71"/>
      <c r="AY75" s="71"/>
      <c r="AZ75" s="71"/>
      <c r="BA75" s="71"/>
    </row>
  </sheetData>
  <sheetProtection password="BCD8" sheet="1" objects="1" scenarios="1"/>
  <phoneticPr fontId="0"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goto_home">
                <anchor moveWithCells="1" sizeWithCells="1">
                  <from>
                    <xdr:col>0</xdr:col>
                    <xdr:colOff>63500</xdr:colOff>
                    <xdr:row>0</xdr:row>
                    <xdr:rowOff>82550</xdr:rowOff>
                  </from>
                  <to>
                    <xdr:col>0</xdr:col>
                    <xdr:colOff>831850</xdr:colOff>
                    <xdr:row>2</xdr:row>
                    <xdr:rowOff>31750</xdr:rowOff>
                  </to>
                </anchor>
              </controlPr>
            </control>
          </mc:Choice>
        </mc:AlternateContent>
        <mc:AlternateContent xmlns:mc="http://schemas.openxmlformats.org/markup-compatibility/2006">
          <mc:Choice Requires="x14">
            <control shapeId="7172" r:id="rId5" name="Button 4">
              <controlPr defaultSize="0" print="0" autoFill="0" autoPict="0" macro="[0]!goto_riverlake">
                <anchor moveWithCells="1" sizeWithCells="1">
                  <from>
                    <xdr:col>13</xdr:col>
                    <xdr:colOff>146050</xdr:colOff>
                    <xdr:row>2</xdr:row>
                    <xdr:rowOff>101600</xdr:rowOff>
                  </from>
                  <to>
                    <xdr:col>14</xdr:col>
                    <xdr:colOff>419100</xdr:colOff>
                    <xdr:row>4</xdr:row>
                    <xdr:rowOff>152400</xdr:rowOff>
                  </to>
                </anchor>
              </controlPr>
            </control>
          </mc:Choice>
        </mc:AlternateContent>
        <mc:AlternateContent xmlns:mc="http://schemas.openxmlformats.org/markup-compatibility/2006">
          <mc:Choice Requires="x14">
            <control shapeId="7173" r:id="rId6" name="Button 5">
              <controlPr defaultSize="0" print="0" autoFill="0" autoPict="0" macro="[0]!goto_riverlake">
                <anchor moveWithCells="1" sizeWithCells="1">
                  <from>
                    <xdr:col>0</xdr:col>
                    <xdr:colOff>63500</xdr:colOff>
                    <xdr:row>2</xdr:row>
                    <xdr:rowOff>76200</xdr:rowOff>
                  </from>
                  <to>
                    <xdr:col>0</xdr:col>
                    <xdr:colOff>825500</xdr:colOff>
                    <xdr:row>3</xdr:row>
                    <xdr:rowOff>349250</xdr:rowOff>
                  </to>
                </anchor>
              </controlPr>
            </control>
          </mc:Choice>
        </mc:AlternateContent>
        <mc:AlternateContent xmlns:mc="http://schemas.openxmlformats.org/markup-compatibility/2006">
          <mc:Choice Requires="x14">
            <control shapeId="7174" r:id="rId7" name="Button 6">
              <controlPr defaultSize="0" print="0" autoFill="0" autoPict="0" macro="[0]!goto_ons_cpi_rpi">
                <anchor moveWithCells="1" sizeWithCells="1">
                  <from>
                    <xdr:col>9</xdr:col>
                    <xdr:colOff>38100</xdr:colOff>
                    <xdr:row>3</xdr:row>
                    <xdr:rowOff>222250</xdr:rowOff>
                  </from>
                  <to>
                    <xdr:col>9</xdr:col>
                    <xdr:colOff>1263650</xdr:colOff>
                    <xdr:row>4</xdr:row>
                    <xdr:rowOff>44450</xdr:rowOff>
                  </to>
                </anchor>
              </controlPr>
            </control>
          </mc:Choice>
        </mc:AlternateContent>
        <mc:AlternateContent xmlns:mc="http://schemas.openxmlformats.org/markup-compatibility/2006">
          <mc:Choice Requires="x14">
            <control shapeId="7179" r:id="rId8" name="Button 11">
              <controlPr defaultSize="0" print="0" autoFill="0" autoPict="0" macro="[0]!goto_contact_us">
                <anchor moveWithCells="1" sizeWithCells="1">
                  <from>
                    <xdr:col>10</xdr:col>
                    <xdr:colOff>482600</xdr:colOff>
                    <xdr:row>2</xdr:row>
                    <xdr:rowOff>44450</xdr:rowOff>
                  </from>
                  <to>
                    <xdr:col>11</xdr:col>
                    <xdr:colOff>647700</xdr:colOff>
                    <xdr:row>2</xdr:row>
                    <xdr:rowOff>254000</xdr:rowOff>
                  </to>
                </anchor>
              </controlPr>
            </control>
          </mc:Choice>
        </mc:AlternateContent>
        <mc:AlternateContent xmlns:mc="http://schemas.openxmlformats.org/markup-compatibility/2006">
          <mc:Choice Requires="x14">
            <control shapeId="7381" r:id="rId9" name="Button 213">
              <controlPr defaultSize="0" print="0" autoFill="0" autoPict="0" macro="[0]!help_inflation_estimates">
                <anchor moveWithCells="1" sizeWithCells="1">
                  <from>
                    <xdr:col>3</xdr:col>
                    <xdr:colOff>69850</xdr:colOff>
                    <xdr:row>3</xdr:row>
                    <xdr:rowOff>107950</xdr:rowOff>
                  </from>
                  <to>
                    <xdr:col>3</xdr:col>
                    <xdr:colOff>698500</xdr:colOff>
                    <xdr:row>3</xdr:row>
                    <xdr:rowOff>393700</xdr:rowOff>
                  </to>
                </anchor>
              </controlPr>
            </control>
          </mc:Choice>
        </mc:AlternateContent>
        <mc:AlternateContent xmlns:mc="http://schemas.openxmlformats.org/markup-compatibility/2006">
          <mc:Choice Requires="x14">
            <control shapeId="7384" r:id="rId10" name="Button 216">
              <controlPr defaultSize="0" print="0" autoFill="0" autoPict="0" macro="[0]!help_inflation_estimates">
                <anchor moveWithCells="1" sizeWithCells="1">
                  <from>
                    <xdr:col>0</xdr:col>
                    <xdr:colOff>63500</xdr:colOff>
                    <xdr:row>6</xdr:row>
                    <xdr:rowOff>12700</xdr:rowOff>
                  </from>
                  <to>
                    <xdr:col>0</xdr:col>
                    <xdr:colOff>825500</xdr:colOff>
                    <xdr:row>7</xdr:row>
                    <xdr:rowOff>107950</xdr:rowOff>
                  </to>
                </anchor>
              </controlPr>
            </control>
          </mc:Choice>
        </mc:AlternateContent>
        <mc:AlternateContent xmlns:mc="http://schemas.openxmlformats.org/markup-compatibility/2006">
          <mc:Choice Requires="x14">
            <control shapeId="7959" r:id="rId11" name="globalbacktobutton">
              <controlPr defaultSize="0" print="0" autoFill="0" autoPict="0" macro="[0]!backto">
                <anchor moveWithCells="1" sizeWithCells="1">
                  <from>
                    <xdr:col>13</xdr:col>
                    <xdr:colOff>127000</xdr:colOff>
                    <xdr:row>0</xdr:row>
                    <xdr:rowOff>69850</xdr:rowOff>
                  </from>
                  <to>
                    <xdr:col>13</xdr:col>
                    <xdr:colOff>755650</xdr:colOff>
                    <xdr:row>1</xdr:row>
                    <xdr:rowOff>336550</xdr:rowOff>
                  </to>
                </anchor>
              </controlPr>
            </control>
          </mc:Choice>
        </mc:AlternateContent>
        <mc:AlternateContent xmlns:mc="http://schemas.openxmlformats.org/markup-compatibility/2006">
          <mc:Choice Requires="x14">
            <control shapeId="7999" r:id="rId12" name="Button 831">
              <controlPr defaultSize="0" print="0" autoFill="0" autoPict="0" macro="[0]!goto_infosheet">
                <anchor moveWithCells="1" sizeWithCells="1">
                  <from>
                    <xdr:col>0</xdr:col>
                    <xdr:colOff>63500</xdr:colOff>
                    <xdr:row>4</xdr:row>
                    <xdr:rowOff>0</xdr:rowOff>
                  </from>
                  <to>
                    <xdr:col>0</xdr:col>
                    <xdr:colOff>825500</xdr:colOff>
                    <xdr:row>5</xdr:row>
                    <xdr:rowOff>165100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DA2AC-60E6-4BE6-89AA-E7506B50522E}">
  <sheetPr codeName="Sheet6"/>
  <dimension ref="A1:Z71"/>
  <sheetViews>
    <sheetView workbookViewId="0">
      <selection activeCell="A4" sqref="A4"/>
    </sheetView>
  </sheetViews>
  <sheetFormatPr defaultRowHeight="14.5" x14ac:dyDescent="0.35"/>
  <cols>
    <col min="1" max="1" width="15.453125" customWidth="1"/>
    <col min="2" max="2" width="21.36328125" customWidth="1"/>
    <col min="3" max="3" width="17.36328125" style="5" customWidth="1"/>
    <col min="4" max="5" width="10.6328125" style="5" customWidth="1"/>
    <col min="6" max="6" width="10.36328125" style="5" customWidth="1"/>
    <col min="7" max="7" width="12.36328125" style="5" customWidth="1"/>
    <col min="8" max="8" width="9.08984375" style="5" customWidth="1"/>
    <col min="12" max="12" width="10.453125" customWidth="1"/>
    <col min="13" max="18" width="5.453125" customWidth="1"/>
    <col min="20" max="20" width="13.36328125" customWidth="1"/>
    <col min="21" max="21" width="12.08984375" customWidth="1"/>
    <col min="22" max="22" width="10.6328125" customWidth="1"/>
  </cols>
  <sheetData>
    <row r="1" spans="1:26" x14ac:dyDescent="0.35">
      <c r="A1" s="1746"/>
      <c r="K1" s="1746"/>
      <c r="S1" s="1746"/>
      <c r="Z1" s="1746"/>
    </row>
    <row r="2" spans="1:26" x14ac:dyDescent="0.35">
      <c r="A2" s="9" t="s">
        <v>303</v>
      </c>
      <c r="B2" s="9" t="s">
        <v>284</v>
      </c>
      <c r="C2" s="7" t="s">
        <v>285</v>
      </c>
      <c r="D2" s="7" t="s">
        <v>286</v>
      </c>
      <c r="E2" s="7" t="s">
        <v>287</v>
      </c>
      <c r="F2" s="7" t="s">
        <v>288</v>
      </c>
      <c r="G2" s="7" t="s">
        <v>289</v>
      </c>
      <c r="H2" s="7" t="s">
        <v>290</v>
      </c>
      <c r="T2" s="738" t="s">
        <v>679</v>
      </c>
      <c r="U2" s="509" t="s">
        <v>2058</v>
      </c>
      <c r="V2" s="510"/>
      <c r="W2" s="5" t="s">
        <v>902</v>
      </c>
      <c r="X2" s="5" t="s">
        <v>660</v>
      </c>
      <c r="Y2" s="5" t="s">
        <v>903</v>
      </c>
    </row>
    <row r="3" spans="1:26" x14ac:dyDescent="0.35">
      <c r="A3">
        <v>1</v>
      </c>
      <c r="B3" s="16">
        <v>45017</v>
      </c>
      <c r="C3" s="8">
        <v>0</v>
      </c>
      <c r="D3" s="8">
        <v>0</v>
      </c>
      <c r="E3" s="8">
        <v>0</v>
      </c>
      <c r="F3" s="8">
        <v>130</v>
      </c>
      <c r="G3" s="8">
        <v>115</v>
      </c>
      <c r="H3" s="8">
        <v>105</v>
      </c>
      <c r="T3" s="739">
        <f ca="1">IF(TODAY()&lt;U3,U3,TODAY())</f>
        <v>46155</v>
      </c>
      <c r="U3" s="1">
        <f>B3</f>
        <v>45017</v>
      </c>
      <c r="V3" s="514" t="s">
        <v>2059</v>
      </c>
      <c r="W3" s="5">
        <f ca="1">MONTH(T3)</f>
        <v>5</v>
      </c>
      <c r="X3" s="5">
        <f ca="1">VLOOKUP(T3,B13:D17,3,TRUE)</f>
        <v>4</v>
      </c>
      <c r="Y3" s="12">
        <v>4</v>
      </c>
    </row>
    <row r="4" spans="1:26" x14ac:dyDescent="0.35">
      <c r="A4">
        <f>A3+1</f>
        <v>2</v>
      </c>
      <c r="B4" s="6">
        <f>text!B10</f>
        <v>45383</v>
      </c>
      <c r="C4" s="8">
        <v>0</v>
      </c>
      <c r="D4" s="8">
        <v>0</v>
      </c>
      <c r="E4" s="8">
        <v>0</v>
      </c>
      <c r="F4" s="8">
        <v>140</v>
      </c>
      <c r="G4" s="8">
        <v>125</v>
      </c>
      <c r="H4" s="8">
        <v>110</v>
      </c>
      <c r="T4" s="1076" t="str">
        <f ca="1">VLOOKUP(T3+W4,U3:V9,2)</f>
        <v>year4</v>
      </c>
      <c r="U4" s="1">
        <f t="shared" ref="U4:U9" si="0">B4</f>
        <v>45383</v>
      </c>
      <c r="V4" s="514" t="s">
        <v>2060</v>
      </c>
      <c r="W4" s="5">
        <f ca="1">IF(X3=Y3,0,IF(W3=3,31,0))</f>
        <v>0</v>
      </c>
    </row>
    <row r="5" spans="1:26" x14ac:dyDescent="0.35">
      <c r="A5">
        <f t="shared" ref="A5:A10" si="1">A4+1</f>
        <v>3</v>
      </c>
      <c r="B5" s="6">
        <f>text!B11</f>
        <v>45748</v>
      </c>
      <c r="C5" s="8">
        <v>0</v>
      </c>
      <c r="D5" s="8">
        <v>0</v>
      </c>
      <c r="E5" s="8">
        <v>0</v>
      </c>
      <c r="F5" s="8">
        <v>155</v>
      </c>
      <c r="G5" s="8">
        <v>140</v>
      </c>
      <c r="H5" s="8">
        <v>125</v>
      </c>
      <c r="T5" s="511"/>
      <c r="U5" s="1">
        <f t="shared" si="0"/>
        <v>45748</v>
      </c>
      <c r="V5" s="514" t="s">
        <v>2061</v>
      </c>
      <c r="W5" s="29" t="s">
        <v>904</v>
      </c>
    </row>
    <row r="6" spans="1:26" x14ac:dyDescent="0.35">
      <c r="A6">
        <f t="shared" si="1"/>
        <v>4</v>
      </c>
      <c r="B6" s="6">
        <f>text!B12</f>
        <v>46113</v>
      </c>
      <c r="C6" s="8">
        <v>94.2</v>
      </c>
      <c r="D6" s="8">
        <v>75</v>
      </c>
      <c r="E6" s="8">
        <v>45</v>
      </c>
      <c r="F6" s="8">
        <v>116</v>
      </c>
      <c r="G6" s="8">
        <v>125</v>
      </c>
      <c r="H6" s="8">
        <v>115</v>
      </c>
      <c r="T6" s="511"/>
      <c r="U6" s="1">
        <f t="shared" si="0"/>
        <v>46113</v>
      </c>
      <c r="V6" s="514" t="s">
        <v>2062</v>
      </c>
      <c r="W6" s="29" t="s">
        <v>905</v>
      </c>
    </row>
    <row r="7" spans="1:26" x14ac:dyDescent="0.35">
      <c r="A7">
        <f t="shared" si="1"/>
        <v>5</v>
      </c>
      <c r="B7" s="6">
        <f>text!B13</f>
        <v>46478</v>
      </c>
      <c r="C7" s="8">
        <v>95.2</v>
      </c>
      <c r="D7" s="8">
        <v>75</v>
      </c>
      <c r="E7" s="8">
        <v>45</v>
      </c>
      <c r="F7" s="8">
        <v>106</v>
      </c>
      <c r="G7" s="8">
        <v>125</v>
      </c>
      <c r="H7" s="8">
        <v>115</v>
      </c>
      <c r="T7" s="511"/>
      <c r="U7" s="1">
        <f t="shared" si="0"/>
        <v>46478</v>
      </c>
      <c r="V7" s="514" t="s">
        <v>2063</v>
      </c>
      <c r="W7" s="29" t="s">
        <v>906</v>
      </c>
    </row>
    <row r="8" spans="1:26" x14ac:dyDescent="0.35">
      <c r="A8">
        <f t="shared" si="1"/>
        <v>6</v>
      </c>
      <c r="B8" s="6">
        <f>text!B14</f>
        <v>46844</v>
      </c>
      <c r="C8" s="8">
        <v>0</v>
      </c>
      <c r="D8" s="8">
        <v>0</v>
      </c>
      <c r="E8" s="8">
        <v>0</v>
      </c>
      <c r="F8" s="8">
        <v>0</v>
      </c>
      <c r="G8" s="8">
        <v>125</v>
      </c>
      <c r="H8" s="8">
        <v>115</v>
      </c>
      <c r="T8" s="511"/>
      <c r="U8" s="1">
        <f t="shared" si="0"/>
        <v>46844</v>
      </c>
      <c r="V8" s="514" t="s">
        <v>2064</v>
      </c>
      <c r="W8" s="29" t="s">
        <v>907</v>
      </c>
    </row>
    <row r="9" spans="1:26" x14ac:dyDescent="0.35">
      <c r="A9">
        <f t="shared" si="1"/>
        <v>7</v>
      </c>
      <c r="B9" s="6">
        <f>text!B15</f>
        <v>47209</v>
      </c>
      <c r="C9" s="8">
        <v>0</v>
      </c>
      <c r="D9" s="8">
        <v>0</v>
      </c>
      <c r="E9" s="8">
        <v>0</v>
      </c>
      <c r="F9" s="8">
        <v>0</v>
      </c>
      <c r="G9" s="8">
        <v>0</v>
      </c>
      <c r="H9" s="8">
        <v>0</v>
      </c>
      <c r="T9" s="515"/>
      <c r="U9" s="740">
        <f t="shared" si="0"/>
        <v>47209</v>
      </c>
      <c r="V9" s="517" t="s">
        <v>2065</v>
      </c>
    </row>
    <row r="10" spans="1:26" x14ac:dyDescent="0.35">
      <c r="A10">
        <f t="shared" si="1"/>
        <v>8</v>
      </c>
      <c r="B10" s="6">
        <f>text!B16</f>
        <v>47574</v>
      </c>
      <c r="C10" s="8">
        <v>0</v>
      </c>
      <c r="D10" s="8">
        <v>0</v>
      </c>
      <c r="E10" s="8">
        <v>0</v>
      </c>
      <c r="F10" s="8">
        <v>0</v>
      </c>
      <c r="G10" s="8">
        <v>0</v>
      </c>
      <c r="H10" s="8">
        <v>0</v>
      </c>
    </row>
    <row r="12" spans="1:26" x14ac:dyDescent="0.35">
      <c r="B12" s="10" t="s">
        <v>291</v>
      </c>
      <c r="C12" s="7"/>
      <c r="D12" s="7" t="s">
        <v>269</v>
      </c>
      <c r="E12" s="7" t="s">
        <v>267</v>
      </c>
      <c r="F12" s="7" t="s">
        <v>2174</v>
      </c>
      <c r="G12" s="7" t="s">
        <v>832</v>
      </c>
    </row>
    <row r="13" spans="1:26" x14ac:dyDescent="0.35">
      <c r="A13">
        <f>A3</f>
        <v>1</v>
      </c>
      <c r="B13" s="6">
        <f>B3</f>
        <v>45017</v>
      </c>
      <c r="C13" s="7">
        <f>B14-B13</f>
        <v>366</v>
      </c>
      <c r="D13" s="7">
        <f>A13</f>
        <v>1</v>
      </c>
      <c r="E13" s="1024">
        <f>B13+C13-1</f>
        <v>45382</v>
      </c>
      <c r="F13" s="7" t="b">
        <v>1</v>
      </c>
      <c r="G13" s="7" t="b">
        <v>1</v>
      </c>
    </row>
    <row r="14" spans="1:26" x14ac:dyDescent="0.35">
      <c r="A14">
        <f t="shared" ref="A14:A20" si="2">A4</f>
        <v>2</v>
      </c>
      <c r="B14" s="6">
        <f t="shared" ref="B14:B20" si="3">B4</f>
        <v>45383</v>
      </c>
      <c r="C14" s="7">
        <f t="shared" ref="C14:C19" si="4">B15-B14</f>
        <v>365</v>
      </c>
      <c r="D14" s="7">
        <f t="shared" ref="D14:D19" si="5">A14</f>
        <v>2</v>
      </c>
      <c r="E14" s="1024">
        <f t="shared" ref="E14:E19" si="6">B14+C14-1</f>
        <v>45747</v>
      </c>
      <c r="F14" s="7" t="b">
        <v>1</v>
      </c>
      <c r="G14" s="7" t="b">
        <v>1</v>
      </c>
    </row>
    <row r="15" spans="1:26" x14ac:dyDescent="0.35">
      <c r="A15">
        <f t="shared" si="2"/>
        <v>3</v>
      </c>
      <c r="B15" s="6">
        <f t="shared" si="3"/>
        <v>45748</v>
      </c>
      <c r="C15" s="7">
        <f t="shared" si="4"/>
        <v>365</v>
      </c>
      <c r="D15" s="7">
        <f t="shared" si="5"/>
        <v>3</v>
      </c>
      <c r="E15" s="1024">
        <f t="shared" si="6"/>
        <v>46112</v>
      </c>
      <c r="F15" s="7" t="b">
        <v>1</v>
      </c>
      <c r="G15" s="7" t="b">
        <v>1</v>
      </c>
    </row>
    <row r="16" spans="1:26" x14ac:dyDescent="0.35">
      <c r="A16">
        <f t="shared" si="2"/>
        <v>4</v>
      </c>
      <c r="B16" s="6">
        <f t="shared" si="3"/>
        <v>46113</v>
      </c>
      <c r="C16" s="7">
        <f t="shared" si="4"/>
        <v>365</v>
      </c>
      <c r="D16" s="7">
        <f t="shared" si="5"/>
        <v>4</v>
      </c>
      <c r="E16" s="1024">
        <f t="shared" si="6"/>
        <v>46477</v>
      </c>
      <c r="F16" s="7" t="b">
        <v>1</v>
      </c>
      <c r="G16" s="7" t="b">
        <v>0</v>
      </c>
    </row>
    <row r="17" spans="1:7" x14ac:dyDescent="0.35">
      <c r="A17">
        <f t="shared" si="2"/>
        <v>5</v>
      </c>
      <c r="B17" s="6">
        <f t="shared" si="3"/>
        <v>46478</v>
      </c>
      <c r="C17" s="7">
        <f t="shared" si="4"/>
        <v>366</v>
      </c>
      <c r="D17" s="7">
        <f t="shared" si="5"/>
        <v>5</v>
      </c>
      <c r="E17" s="1024">
        <f t="shared" si="6"/>
        <v>46843</v>
      </c>
      <c r="F17" s="7" t="b">
        <v>1</v>
      </c>
      <c r="G17" s="7" t="b">
        <v>0</v>
      </c>
    </row>
    <row r="18" spans="1:7" x14ac:dyDescent="0.35">
      <c r="A18">
        <f t="shared" si="2"/>
        <v>6</v>
      </c>
      <c r="B18" s="6">
        <f t="shared" si="3"/>
        <v>46844</v>
      </c>
      <c r="C18" s="7">
        <f t="shared" si="4"/>
        <v>365</v>
      </c>
      <c r="D18" s="7">
        <f t="shared" si="5"/>
        <v>6</v>
      </c>
      <c r="E18" s="1024">
        <f t="shared" si="6"/>
        <v>47208</v>
      </c>
      <c r="F18" s="7" t="b">
        <v>1</v>
      </c>
      <c r="G18" s="7" t="b">
        <v>0</v>
      </c>
    </row>
    <row r="19" spans="1:7" x14ac:dyDescent="0.35">
      <c r="A19">
        <f t="shared" si="2"/>
        <v>7</v>
      </c>
      <c r="B19" s="6">
        <f t="shared" si="3"/>
        <v>47209</v>
      </c>
      <c r="C19" s="7">
        <f t="shared" si="4"/>
        <v>365</v>
      </c>
      <c r="D19" s="7">
        <f t="shared" si="5"/>
        <v>7</v>
      </c>
      <c r="E19" s="1024">
        <f t="shared" si="6"/>
        <v>47573</v>
      </c>
      <c r="F19" s="7" t="b">
        <v>0</v>
      </c>
      <c r="G19" s="7" t="b">
        <v>0</v>
      </c>
    </row>
    <row r="20" spans="1:7" x14ac:dyDescent="0.35">
      <c r="A20">
        <f t="shared" si="2"/>
        <v>8</v>
      </c>
      <c r="B20" s="6">
        <f t="shared" si="3"/>
        <v>47574</v>
      </c>
      <c r="C20" s="7"/>
      <c r="D20" s="7"/>
      <c r="E20" s="7"/>
      <c r="F20" s="7"/>
      <c r="G20" s="7"/>
    </row>
    <row r="21" spans="1:7" x14ac:dyDescent="0.35">
      <c r="B21" s="1"/>
    </row>
    <row r="22" spans="1:7" x14ac:dyDescent="0.35">
      <c r="B22" s="11" t="s">
        <v>292</v>
      </c>
      <c r="C22" s="7" t="s">
        <v>897</v>
      </c>
      <c r="D22" s="7" t="s">
        <v>898</v>
      </c>
      <c r="E22" s="7" t="s">
        <v>899</v>
      </c>
      <c r="F22" s="7" t="s">
        <v>896</v>
      </c>
    </row>
    <row r="23" spans="1:7" x14ac:dyDescent="0.35">
      <c r="A23">
        <f>A13</f>
        <v>1</v>
      </c>
      <c r="B23" s="6">
        <f>B13</f>
        <v>45017</v>
      </c>
      <c r="C23" s="8">
        <v>20000</v>
      </c>
      <c r="D23" s="8">
        <v>28000</v>
      </c>
      <c r="E23" s="8">
        <v>28000</v>
      </c>
      <c r="F23" s="8">
        <v>100000</v>
      </c>
    </row>
    <row r="24" spans="1:7" x14ac:dyDescent="0.35">
      <c r="A24">
        <f t="shared" ref="A24:A30" si="7">A14</f>
        <v>2</v>
      </c>
      <c r="B24" s="6">
        <f t="shared" ref="B24:B30" si="8">B14</f>
        <v>45383</v>
      </c>
      <c r="C24" s="7">
        <f>C23</f>
        <v>20000</v>
      </c>
      <c r="D24" s="7">
        <f>D23</f>
        <v>28000</v>
      </c>
      <c r="E24" s="7">
        <f>E23</f>
        <v>28000</v>
      </c>
      <c r="F24" s="7">
        <f>F23</f>
        <v>100000</v>
      </c>
    </row>
    <row r="25" spans="1:7" x14ac:dyDescent="0.35">
      <c r="A25">
        <f t="shared" si="7"/>
        <v>3</v>
      </c>
      <c r="B25" s="6">
        <f t="shared" si="8"/>
        <v>45748</v>
      </c>
      <c r="C25" s="7">
        <f t="shared" ref="C25:C30" si="9">C24</f>
        <v>20000</v>
      </c>
      <c r="D25" s="7">
        <f t="shared" ref="D25:D30" si="10">D24</f>
        <v>28000</v>
      </c>
      <c r="E25" s="7">
        <f t="shared" ref="E25:E30" si="11">E24</f>
        <v>28000</v>
      </c>
      <c r="F25" s="7">
        <f t="shared" ref="F25:F30" si="12">F24</f>
        <v>100000</v>
      </c>
    </row>
    <row r="26" spans="1:7" x14ac:dyDescent="0.35">
      <c r="A26">
        <f t="shared" si="7"/>
        <v>4</v>
      </c>
      <c r="B26" s="6">
        <f t="shared" si="8"/>
        <v>46113</v>
      </c>
      <c r="C26" s="7">
        <f t="shared" si="9"/>
        <v>20000</v>
      </c>
      <c r="D26" s="7">
        <f t="shared" si="10"/>
        <v>28000</v>
      </c>
      <c r="E26" s="7">
        <f t="shared" si="11"/>
        <v>28000</v>
      </c>
      <c r="F26" s="7">
        <f t="shared" si="12"/>
        <v>100000</v>
      </c>
    </row>
    <row r="27" spans="1:7" x14ac:dyDescent="0.35">
      <c r="A27">
        <f t="shared" si="7"/>
        <v>5</v>
      </c>
      <c r="B27" s="6">
        <f t="shared" si="8"/>
        <v>46478</v>
      </c>
      <c r="C27" s="7">
        <f t="shared" si="9"/>
        <v>20000</v>
      </c>
      <c r="D27" s="7">
        <f t="shared" si="10"/>
        <v>28000</v>
      </c>
      <c r="E27" s="7">
        <f t="shared" si="11"/>
        <v>28000</v>
      </c>
      <c r="F27" s="7">
        <f t="shared" si="12"/>
        <v>100000</v>
      </c>
    </row>
    <row r="28" spans="1:7" x14ac:dyDescent="0.35">
      <c r="A28">
        <f t="shared" si="7"/>
        <v>6</v>
      </c>
      <c r="B28" s="6">
        <f t="shared" si="8"/>
        <v>46844</v>
      </c>
      <c r="C28" s="7">
        <f t="shared" si="9"/>
        <v>20000</v>
      </c>
      <c r="D28" s="7">
        <f t="shared" si="10"/>
        <v>28000</v>
      </c>
      <c r="E28" s="7">
        <f t="shared" si="11"/>
        <v>28000</v>
      </c>
      <c r="F28" s="7">
        <f t="shared" si="12"/>
        <v>100000</v>
      </c>
    </row>
    <row r="29" spans="1:7" x14ac:dyDescent="0.35">
      <c r="A29">
        <f t="shared" si="7"/>
        <v>7</v>
      </c>
      <c r="B29" s="6">
        <f t="shared" si="8"/>
        <v>47209</v>
      </c>
      <c r="C29" s="7">
        <f t="shared" si="9"/>
        <v>20000</v>
      </c>
      <c r="D29" s="7">
        <f t="shared" si="10"/>
        <v>28000</v>
      </c>
      <c r="E29" s="7">
        <f t="shared" si="11"/>
        <v>28000</v>
      </c>
      <c r="F29" s="7">
        <f t="shared" si="12"/>
        <v>100000</v>
      </c>
    </row>
    <row r="30" spans="1:7" x14ac:dyDescent="0.35">
      <c r="A30">
        <f t="shared" si="7"/>
        <v>8</v>
      </c>
      <c r="B30" s="6">
        <f t="shared" si="8"/>
        <v>47574</v>
      </c>
      <c r="C30" s="7">
        <f t="shared" si="9"/>
        <v>20000</v>
      </c>
      <c r="D30" s="7">
        <f t="shared" si="10"/>
        <v>28000</v>
      </c>
      <c r="E30" s="7">
        <f t="shared" si="11"/>
        <v>28000</v>
      </c>
      <c r="F30" s="7">
        <f t="shared" si="12"/>
        <v>100000</v>
      </c>
    </row>
    <row r="32" spans="1:7" x14ac:dyDescent="0.35">
      <c r="B32" s="9" t="s">
        <v>295</v>
      </c>
      <c r="C32" s="7" t="s">
        <v>296</v>
      </c>
      <c r="D32" s="7" t="s">
        <v>811</v>
      </c>
      <c r="E32" s="7" t="s">
        <v>297</v>
      </c>
      <c r="F32" s="7" t="s">
        <v>310</v>
      </c>
      <c r="G32" s="5" t="s">
        <v>2943</v>
      </c>
    </row>
    <row r="33" spans="1:7" x14ac:dyDescent="0.35">
      <c r="A33">
        <f>A23</f>
        <v>1</v>
      </c>
      <c r="B33" s="6">
        <f>B23</f>
        <v>45017</v>
      </c>
      <c r="C33" s="8">
        <v>12000</v>
      </c>
      <c r="D33" s="8">
        <v>15000</v>
      </c>
      <c r="E33" s="8">
        <v>51000</v>
      </c>
      <c r="F33" s="7">
        <f>update!I21</f>
        <v>1.2999999999999999E-2</v>
      </c>
      <c r="G33" s="8">
        <v>15000</v>
      </c>
    </row>
    <row r="34" spans="1:7" x14ac:dyDescent="0.35">
      <c r="A34">
        <f t="shared" ref="A34:A40" si="13">A24</f>
        <v>2</v>
      </c>
      <c r="B34" s="6">
        <f t="shared" ref="B34:B40" si="14">B24</f>
        <v>45383</v>
      </c>
      <c r="C34" s="7">
        <f>C33</f>
        <v>12000</v>
      </c>
      <c r="D34" s="7">
        <f>D33</f>
        <v>15000</v>
      </c>
      <c r="E34" s="7">
        <f>E33</f>
        <v>51000</v>
      </c>
      <c r="F34" s="7">
        <f>update!I22</f>
        <v>4.7000000000000042E-2</v>
      </c>
    </row>
    <row r="35" spans="1:7" x14ac:dyDescent="0.35">
      <c r="A35">
        <f t="shared" si="13"/>
        <v>3</v>
      </c>
      <c r="B35" s="6">
        <f t="shared" si="14"/>
        <v>45748</v>
      </c>
      <c r="C35" s="7">
        <f t="shared" ref="C35:C40" si="15">C34</f>
        <v>12000</v>
      </c>
      <c r="D35" s="7">
        <f t="shared" ref="D35:D40" si="16">D34</f>
        <v>15000</v>
      </c>
      <c r="E35" s="7">
        <f t="shared" ref="E35:E40" si="17">E34</f>
        <v>51000</v>
      </c>
      <c r="F35" s="7">
        <f>update!I23</f>
        <v>5.600000000000005E-2</v>
      </c>
    </row>
    <row r="36" spans="1:7" x14ac:dyDescent="0.35">
      <c r="A36">
        <f t="shared" si="13"/>
        <v>4</v>
      </c>
      <c r="B36" s="6">
        <f t="shared" si="14"/>
        <v>46113</v>
      </c>
      <c r="C36" s="7">
        <f t="shared" si="15"/>
        <v>12000</v>
      </c>
      <c r="D36" s="7">
        <f t="shared" si="16"/>
        <v>15000</v>
      </c>
      <c r="E36" s="7">
        <f t="shared" si="17"/>
        <v>51000</v>
      </c>
      <c r="F36" s="7">
        <f>update!I24</f>
        <v>5.600000000000005E-2</v>
      </c>
    </row>
    <row r="37" spans="1:7" x14ac:dyDescent="0.35">
      <c r="A37">
        <f t="shared" si="13"/>
        <v>5</v>
      </c>
      <c r="B37" s="6">
        <f t="shared" si="14"/>
        <v>46478</v>
      </c>
      <c r="C37" s="7">
        <f t="shared" si="15"/>
        <v>12000</v>
      </c>
      <c r="D37" s="7">
        <f t="shared" si="16"/>
        <v>15000</v>
      </c>
      <c r="E37" s="7">
        <f t="shared" si="17"/>
        <v>51000</v>
      </c>
      <c r="F37" s="7">
        <f>update!I25</f>
        <v>5.600000000000005E-2</v>
      </c>
    </row>
    <row r="38" spans="1:7" x14ac:dyDescent="0.35">
      <c r="A38">
        <f t="shared" si="13"/>
        <v>6</v>
      </c>
      <c r="B38" s="6">
        <f t="shared" si="14"/>
        <v>46844</v>
      </c>
      <c r="C38" s="7">
        <f t="shared" si="15"/>
        <v>12000</v>
      </c>
      <c r="D38" s="7">
        <f t="shared" si="16"/>
        <v>15000</v>
      </c>
      <c r="E38" s="7">
        <f t="shared" si="17"/>
        <v>51000</v>
      </c>
      <c r="F38" s="7">
        <f>update!I26</f>
        <v>5.600000000000005E-2</v>
      </c>
    </row>
    <row r="39" spans="1:7" x14ac:dyDescent="0.35">
      <c r="A39">
        <f t="shared" si="13"/>
        <v>7</v>
      </c>
      <c r="B39" s="6">
        <f t="shared" si="14"/>
        <v>47209</v>
      </c>
      <c r="C39" s="7">
        <f t="shared" si="15"/>
        <v>12000</v>
      </c>
      <c r="D39" s="7">
        <f t="shared" si="16"/>
        <v>15000</v>
      </c>
      <c r="E39" s="7">
        <f t="shared" si="17"/>
        <v>51000</v>
      </c>
      <c r="F39" s="7">
        <f>update!I27</f>
        <v>5.600000000000005E-2</v>
      </c>
    </row>
    <row r="40" spans="1:7" x14ac:dyDescent="0.35">
      <c r="A40">
        <f t="shared" si="13"/>
        <v>8</v>
      </c>
      <c r="B40" s="6">
        <f t="shared" si="14"/>
        <v>47574</v>
      </c>
      <c r="C40" s="7">
        <f t="shared" si="15"/>
        <v>12000</v>
      </c>
      <c r="D40" s="7">
        <f t="shared" si="16"/>
        <v>15000</v>
      </c>
      <c r="E40" s="7">
        <f t="shared" si="17"/>
        <v>51000</v>
      </c>
      <c r="F40" s="7">
        <f>update!I28</f>
        <v>5.600000000000005E-2</v>
      </c>
    </row>
    <row r="42" spans="1:7" x14ac:dyDescent="0.35">
      <c r="B42" s="9" t="s">
        <v>298</v>
      </c>
      <c r="C42" s="7" t="s">
        <v>299</v>
      </c>
    </row>
    <row r="43" spans="1:7" x14ac:dyDescent="0.35">
      <c r="A43">
        <f>A33</f>
        <v>1</v>
      </c>
      <c r="B43" s="6">
        <f>B33</f>
        <v>45017</v>
      </c>
      <c r="C43" s="8">
        <v>2900</v>
      </c>
    </row>
    <row r="44" spans="1:7" x14ac:dyDescent="0.35">
      <c r="A44">
        <f t="shared" ref="A44:A50" si="18">A34</f>
        <v>2</v>
      </c>
      <c r="B44" s="6">
        <f t="shared" ref="B44:B50" si="19">B34</f>
        <v>45383</v>
      </c>
      <c r="C44" s="7">
        <f>C43</f>
        <v>2900</v>
      </c>
    </row>
    <row r="45" spans="1:7" x14ac:dyDescent="0.35">
      <c r="A45">
        <f t="shared" si="18"/>
        <v>3</v>
      </c>
      <c r="B45" s="6">
        <f t="shared" si="19"/>
        <v>45748</v>
      </c>
      <c r="C45" s="7">
        <f t="shared" ref="C45:C50" si="20">C44</f>
        <v>2900</v>
      </c>
    </row>
    <row r="46" spans="1:7" x14ac:dyDescent="0.35">
      <c r="A46">
        <f t="shared" si="18"/>
        <v>4</v>
      </c>
      <c r="B46" s="6">
        <f t="shared" si="19"/>
        <v>46113</v>
      </c>
      <c r="C46" s="7">
        <f t="shared" si="20"/>
        <v>2900</v>
      </c>
    </row>
    <row r="47" spans="1:7" x14ac:dyDescent="0.35">
      <c r="A47">
        <f t="shared" si="18"/>
        <v>5</v>
      </c>
      <c r="B47" s="6">
        <f t="shared" si="19"/>
        <v>46478</v>
      </c>
      <c r="C47" s="7">
        <f t="shared" si="20"/>
        <v>2900</v>
      </c>
    </row>
    <row r="48" spans="1:7" x14ac:dyDescent="0.35">
      <c r="A48">
        <f t="shared" si="18"/>
        <v>6</v>
      </c>
      <c r="B48" s="6">
        <f t="shared" si="19"/>
        <v>46844</v>
      </c>
      <c r="C48" s="7">
        <f t="shared" si="20"/>
        <v>2900</v>
      </c>
    </row>
    <row r="49" spans="1:12" x14ac:dyDescent="0.35">
      <c r="A49">
        <f t="shared" si="18"/>
        <v>7</v>
      </c>
      <c r="B49" s="6">
        <f t="shared" si="19"/>
        <v>47209</v>
      </c>
      <c r="C49" s="7">
        <f t="shared" si="20"/>
        <v>2900</v>
      </c>
    </row>
    <row r="50" spans="1:12" x14ac:dyDescent="0.35">
      <c r="A50">
        <f t="shared" si="18"/>
        <v>8</v>
      </c>
      <c r="B50" s="6">
        <f t="shared" si="19"/>
        <v>47574</v>
      </c>
      <c r="C50" s="7">
        <f t="shared" si="20"/>
        <v>2900</v>
      </c>
    </row>
    <row r="52" spans="1:12" x14ac:dyDescent="0.35">
      <c r="B52" t="s">
        <v>315</v>
      </c>
      <c r="C52" s="21">
        <v>0.499</v>
      </c>
      <c r="D52" s="5" t="s">
        <v>314</v>
      </c>
      <c r="E52" s="5" t="s">
        <v>320</v>
      </c>
      <c r="F52" s="5" t="s">
        <v>321</v>
      </c>
      <c r="G52" s="5" t="s">
        <v>323</v>
      </c>
      <c r="H52" s="5" t="s">
        <v>338</v>
      </c>
      <c r="I52" s="5" t="s">
        <v>339</v>
      </c>
      <c r="J52" s="5" t="s">
        <v>340</v>
      </c>
      <c r="K52" s="29" t="s">
        <v>2808</v>
      </c>
      <c r="L52" s="29" t="s">
        <v>2814</v>
      </c>
    </row>
    <row r="53" spans="1:12" x14ac:dyDescent="0.35">
      <c r="A53">
        <f t="shared" ref="A53:B60" si="21">A43</f>
        <v>1</v>
      </c>
      <c r="B53" s="1">
        <f t="shared" si="21"/>
        <v>45017</v>
      </c>
      <c r="C53" s="21">
        <v>0.499</v>
      </c>
      <c r="D53" s="5">
        <f>ROUND(H53+J53,3)</f>
        <v>1</v>
      </c>
      <c r="E53" s="5">
        <f>update!L21</f>
        <v>1.4E-2</v>
      </c>
      <c r="F53" s="5">
        <f>update!J21</f>
        <v>0.02</v>
      </c>
      <c r="G53" s="5">
        <f>update!K21</f>
        <v>75000</v>
      </c>
      <c r="H53" s="12">
        <v>1</v>
      </c>
      <c r="I53" s="5" t="str">
        <f>MID(H53,6,1)</f>
        <v/>
      </c>
      <c r="J53">
        <f>IF(I53="5",-0.0001,0)</f>
        <v>0</v>
      </c>
      <c r="K53" s="2292">
        <f>E53</f>
        <v>1.4E-2</v>
      </c>
      <c r="L53">
        <f>E53-K53</f>
        <v>0</v>
      </c>
    </row>
    <row r="54" spans="1:12" x14ac:dyDescent="0.35">
      <c r="A54">
        <f t="shared" si="21"/>
        <v>2</v>
      </c>
      <c r="B54" s="1">
        <f t="shared" si="21"/>
        <v>45383</v>
      </c>
      <c r="C54" s="17">
        <f>update!H22</f>
        <v>0.499</v>
      </c>
      <c r="D54" s="5">
        <f t="shared" ref="D54:D59" si="22">ROUND(H54+J54,3)</f>
        <v>1</v>
      </c>
      <c r="E54" s="5">
        <f>update!L22</f>
        <v>1.8000000000000002E-2</v>
      </c>
      <c r="F54" s="5">
        <f>update!J22</f>
        <v>0.02</v>
      </c>
      <c r="G54" s="5">
        <f>update!K22</f>
        <v>75000</v>
      </c>
      <c r="H54" s="5">
        <f t="shared" ref="H54:H59" si="23">C54/C53</f>
        <v>1</v>
      </c>
      <c r="I54" s="5" t="str">
        <f t="shared" ref="I54:I59" si="24">MID(H54,6,1)</f>
        <v/>
      </c>
      <c r="J54">
        <f t="shared" ref="J54:J59" si="25">IF(I54="5",-0.0001,0)</f>
        <v>0</v>
      </c>
      <c r="K54">
        <f>update!L36</f>
        <v>1.6E-2</v>
      </c>
      <c r="L54">
        <f t="shared" ref="L54:L59" si="26">E54-K54</f>
        <v>2.0000000000000018E-3</v>
      </c>
    </row>
    <row r="55" spans="1:12" x14ac:dyDescent="0.35">
      <c r="A55">
        <f t="shared" si="21"/>
        <v>3</v>
      </c>
      <c r="B55" s="1">
        <f t="shared" si="21"/>
        <v>45748</v>
      </c>
      <c r="C55" s="17">
        <f>update!H23</f>
        <v>0.499</v>
      </c>
      <c r="D55" s="5">
        <f t="shared" si="22"/>
        <v>1</v>
      </c>
      <c r="E55" s="5">
        <f>update!L23</f>
        <v>2.1999999999999999E-2</v>
      </c>
      <c r="F55" s="5">
        <f>update!J23</f>
        <v>0.02</v>
      </c>
      <c r="G55" s="5">
        <f>update!K23</f>
        <v>75000</v>
      </c>
      <c r="H55" s="5">
        <f t="shared" si="23"/>
        <v>1</v>
      </c>
      <c r="I55" s="5" t="str">
        <f t="shared" si="24"/>
        <v/>
      </c>
      <c r="J55">
        <f t="shared" si="25"/>
        <v>0</v>
      </c>
      <c r="K55">
        <f>update!L37</f>
        <v>0.02</v>
      </c>
      <c r="L55">
        <f t="shared" si="26"/>
        <v>1.9999999999999983E-3</v>
      </c>
    </row>
    <row r="56" spans="1:12" x14ac:dyDescent="0.35">
      <c r="A56">
        <f t="shared" si="21"/>
        <v>4</v>
      </c>
      <c r="B56" s="1">
        <f t="shared" si="21"/>
        <v>46113</v>
      </c>
      <c r="C56" s="17">
        <f>update!H24</f>
        <v>0.51900000000000002</v>
      </c>
      <c r="D56" s="5">
        <f t="shared" si="22"/>
        <v>1.04</v>
      </c>
      <c r="E56" s="5">
        <f>update!L24</f>
        <v>8.0000000000000002E-3</v>
      </c>
      <c r="F56" s="5">
        <f>update!J24</f>
        <v>0.02</v>
      </c>
      <c r="G56" s="5">
        <f>update!K24</f>
        <v>75000</v>
      </c>
      <c r="H56" s="5">
        <f t="shared" si="23"/>
        <v>1.0400801603206413</v>
      </c>
      <c r="I56" s="5" t="str">
        <f t="shared" si="24"/>
        <v>0</v>
      </c>
      <c r="J56">
        <f t="shared" si="25"/>
        <v>0</v>
      </c>
      <c r="K56">
        <f>update!L38</f>
        <v>0</v>
      </c>
      <c r="L56">
        <f t="shared" si="26"/>
        <v>8.0000000000000002E-3</v>
      </c>
    </row>
    <row r="57" spans="1:12" x14ac:dyDescent="0.35">
      <c r="A57">
        <f t="shared" si="21"/>
        <v>5</v>
      </c>
      <c r="B57" s="1">
        <f t="shared" si="21"/>
        <v>46478</v>
      </c>
      <c r="C57" s="17">
        <f>update!H25</f>
        <v>0.54</v>
      </c>
      <c r="D57" s="5">
        <f t="shared" si="22"/>
        <v>1.04</v>
      </c>
      <c r="E57" s="5">
        <f>update!L25</f>
        <v>8.0000000000000002E-3</v>
      </c>
      <c r="F57" s="5">
        <f>update!J25</f>
        <v>0.02</v>
      </c>
      <c r="G57" s="5">
        <f>update!K25</f>
        <v>75000</v>
      </c>
      <c r="H57" s="5">
        <f t="shared" si="23"/>
        <v>1.0404624277456647</v>
      </c>
      <c r="I57" s="5" t="str">
        <f t="shared" si="24"/>
        <v>4</v>
      </c>
      <c r="J57">
        <f t="shared" si="25"/>
        <v>0</v>
      </c>
      <c r="K57">
        <f>update!L39</f>
        <v>0</v>
      </c>
      <c r="L57">
        <f t="shared" si="26"/>
        <v>8.0000000000000002E-3</v>
      </c>
    </row>
    <row r="58" spans="1:12" x14ac:dyDescent="0.35">
      <c r="A58">
        <f t="shared" si="21"/>
        <v>6</v>
      </c>
      <c r="B58" s="1">
        <f t="shared" si="21"/>
        <v>46844</v>
      </c>
      <c r="C58" s="17">
        <f>update!H26</f>
        <v>0.56200000000000006</v>
      </c>
      <c r="D58" s="5">
        <f t="shared" si="22"/>
        <v>1.0409999999999999</v>
      </c>
      <c r="E58" s="5">
        <f>update!L26</f>
        <v>1.2E-2</v>
      </c>
      <c r="F58" s="5">
        <f>update!J26</f>
        <v>0.02</v>
      </c>
      <c r="G58" s="5">
        <f>update!K26</f>
        <v>75000</v>
      </c>
      <c r="H58" s="5">
        <f t="shared" si="23"/>
        <v>1.0407407407407407</v>
      </c>
      <c r="I58" s="5" t="str">
        <f t="shared" si="24"/>
        <v>7</v>
      </c>
      <c r="J58">
        <f t="shared" si="25"/>
        <v>0</v>
      </c>
      <c r="K58">
        <f>update!L40</f>
        <v>0</v>
      </c>
      <c r="L58">
        <f t="shared" si="26"/>
        <v>1.2E-2</v>
      </c>
    </row>
    <row r="59" spans="1:12" x14ac:dyDescent="0.35">
      <c r="A59">
        <f t="shared" si="21"/>
        <v>7</v>
      </c>
      <c r="B59" s="1">
        <f t="shared" si="21"/>
        <v>47209</v>
      </c>
      <c r="C59" s="17">
        <f>update!H27</f>
        <v>0.58499999999999996</v>
      </c>
      <c r="D59" s="5">
        <f t="shared" si="22"/>
        <v>1.0409999999999999</v>
      </c>
      <c r="E59" s="5">
        <f>update!L27</f>
        <v>1.2E-2</v>
      </c>
      <c r="F59" s="5">
        <f>update!J27</f>
        <v>0.02</v>
      </c>
      <c r="G59" s="5">
        <f>update!K27</f>
        <v>75000</v>
      </c>
      <c r="H59" s="5">
        <f t="shared" si="23"/>
        <v>1.0409252669039144</v>
      </c>
      <c r="I59" s="5" t="str">
        <f t="shared" si="24"/>
        <v>9</v>
      </c>
      <c r="J59">
        <f t="shared" si="25"/>
        <v>0</v>
      </c>
      <c r="K59">
        <f>update!L41</f>
        <v>0</v>
      </c>
      <c r="L59">
        <f t="shared" si="26"/>
        <v>1.2E-2</v>
      </c>
    </row>
    <row r="60" spans="1:12" x14ac:dyDescent="0.35">
      <c r="A60">
        <f t="shared" si="21"/>
        <v>8</v>
      </c>
      <c r="B60" s="1">
        <f t="shared" si="21"/>
        <v>47574</v>
      </c>
    </row>
    <row r="62" spans="1:12" x14ac:dyDescent="0.35">
      <c r="A62" s="1202" t="s">
        <v>220</v>
      </c>
      <c r="B62" t="s">
        <v>384</v>
      </c>
      <c r="C62" s="5" t="s">
        <v>383</v>
      </c>
    </row>
    <row r="63" spans="1:12" x14ac:dyDescent="0.35">
      <c r="A63">
        <f t="shared" ref="A63:B70" si="27">A53</f>
        <v>1</v>
      </c>
      <c r="B63" s="1">
        <f t="shared" si="27"/>
        <v>45017</v>
      </c>
      <c r="C63" s="5">
        <f>reliefs!D6</f>
        <v>1000000000000</v>
      </c>
      <c r="D63" s="5" t="s">
        <v>927</v>
      </c>
    </row>
    <row r="64" spans="1:12" x14ac:dyDescent="0.35">
      <c r="A64">
        <f t="shared" si="27"/>
        <v>2</v>
      </c>
      <c r="B64" s="1">
        <f t="shared" si="27"/>
        <v>45383</v>
      </c>
      <c r="C64" s="5">
        <f>reliefs!E6</f>
        <v>1000000000000</v>
      </c>
      <c r="D64" s="5" t="s">
        <v>927</v>
      </c>
    </row>
    <row r="65" spans="1:4" x14ac:dyDescent="0.35">
      <c r="A65">
        <f t="shared" si="27"/>
        <v>3</v>
      </c>
      <c r="B65" s="1">
        <f t="shared" si="27"/>
        <v>45748</v>
      </c>
      <c r="C65" s="5">
        <f>reliefs!F6</f>
        <v>1000000000000</v>
      </c>
      <c r="D65" s="5" t="s">
        <v>927</v>
      </c>
    </row>
    <row r="66" spans="1:4" x14ac:dyDescent="0.35">
      <c r="A66">
        <f t="shared" si="27"/>
        <v>4</v>
      </c>
      <c r="B66" s="1">
        <f t="shared" si="27"/>
        <v>46113</v>
      </c>
      <c r="C66" s="5">
        <f>reliefs!G6</f>
        <v>1000000000000</v>
      </c>
      <c r="D66" s="5" t="s">
        <v>927</v>
      </c>
    </row>
    <row r="67" spans="1:4" x14ac:dyDescent="0.35">
      <c r="A67">
        <f t="shared" si="27"/>
        <v>5</v>
      </c>
      <c r="B67" s="1">
        <f t="shared" si="27"/>
        <v>46478</v>
      </c>
      <c r="C67" s="5">
        <f>reliefs!H6</f>
        <v>1000000000000</v>
      </c>
      <c r="D67" s="5" t="s">
        <v>927</v>
      </c>
    </row>
    <row r="68" spans="1:4" x14ac:dyDescent="0.35">
      <c r="A68">
        <f t="shared" si="27"/>
        <v>6</v>
      </c>
      <c r="B68" s="1">
        <f t="shared" si="27"/>
        <v>46844</v>
      </c>
      <c r="C68" s="5">
        <f>reliefs!I6</f>
        <v>1000000000000</v>
      </c>
    </row>
    <row r="69" spans="1:4" x14ac:dyDescent="0.35">
      <c r="A69">
        <f t="shared" si="27"/>
        <v>7</v>
      </c>
      <c r="B69" s="1">
        <f t="shared" si="27"/>
        <v>47209</v>
      </c>
      <c r="C69" s="5">
        <f>C68</f>
        <v>1000000000000</v>
      </c>
    </row>
    <row r="70" spans="1:4" x14ac:dyDescent="0.35">
      <c r="A70">
        <f t="shared" si="27"/>
        <v>8</v>
      </c>
      <c r="B70" s="1">
        <f t="shared" si="27"/>
        <v>47574</v>
      </c>
      <c r="C70" s="5">
        <f>C69</f>
        <v>1000000000000</v>
      </c>
    </row>
    <row r="71" spans="1:4" x14ac:dyDescent="0.35">
      <c r="B71" s="1"/>
    </row>
  </sheetData>
  <sheetProtection algorithmName="SHA-512" hashValue="Urjhmmb2S6rFwCVgMeYrOnpxXZCbZL98AobuTMCl8FbeLbOD/CVL7ESlsLWXW1KWU0szdJR2odPDM/xS/WU7kw==" saltValue="tpsyEDAfOVcTOpoovqaCRw==" spinCount="100000" sheet="1" objects="1" scenarios="1"/>
  <phoneticPr fontId="0" type="noConversion"/>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D0BBB-2927-4154-95A3-0D34EAE03A55}">
  <sheetPr codeName="Sheet29"/>
  <dimension ref="A1:C11"/>
  <sheetViews>
    <sheetView workbookViewId="0"/>
  </sheetViews>
  <sheetFormatPr defaultRowHeight="14.5" x14ac:dyDescent="0.35"/>
  <cols>
    <col min="1" max="1" width="53.08984375" customWidth="1"/>
    <col min="2" max="2" width="54.6328125" customWidth="1"/>
    <col min="3" max="3" width="54.90625" customWidth="1"/>
  </cols>
  <sheetData>
    <row r="1" spans="1:3" x14ac:dyDescent="0.35">
      <c r="A1" t="s">
        <v>1227</v>
      </c>
      <c r="B1" t="s">
        <v>1238</v>
      </c>
      <c r="C1" t="s">
        <v>1249</v>
      </c>
    </row>
    <row r="2" spans="1:3" x14ac:dyDescent="0.35">
      <c r="A2" t="s">
        <v>1228</v>
      </c>
      <c r="B2" t="s">
        <v>1239</v>
      </c>
      <c r="C2" t="s">
        <v>1250</v>
      </c>
    </row>
    <row r="3" spans="1:3" x14ac:dyDescent="0.35">
      <c r="A3" t="s">
        <v>1229</v>
      </c>
      <c r="B3" t="s">
        <v>1240</v>
      </c>
      <c r="C3" t="s">
        <v>1251</v>
      </c>
    </row>
    <row r="4" spans="1:3" x14ac:dyDescent="0.35">
      <c r="A4" t="s">
        <v>1230</v>
      </c>
      <c r="B4" t="s">
        <v>1241</v>
      </c>
      <c r="C4" t="s">
        <v>1252</v>
      </c>
    </row>
    <row r="5" spans="1:3" x14ac:dyDescent="0.35">
      <c r="A5" t="s">
        <v>1231</v>
      </c>
      <c r="B5" t="s">
        <v>1242</v>
      </c>
      <c r="C5" t="s">
        <v>1253</v>
      </c>
    </row>
    <row r="6" spans="1:3" x14ac:dyDescent="0.35">
      <c r="A6" t="s">
        <v>1232</v>
      </c>
      <c r="B6" t="s">
        <v>1243</v>
      </c>
      <c r="C6" t="s">
        <v>1254</v>
      </c>
    </row>
    <row r="7" spans="1:3" x14ac:dyDescent="0.35">
      <c r="A7" t="s">
        <v>1233</v>
      </c>
      <c r="B7" t="s">
        <v>1244</v>
      </c>
      <c r="C7" t="s">
        <v>1255</v>
      </c>
    </row>
    <row r="8" spans="1:3" x14ac:dyDescent="0.35">
      <c r="A8" t="s">
        <v>1234</v>
      </c>
      <c r="B8" t="s">
        <v>1245</v>
      </c>
      <c r="C8" t="s">
        <v>1256</v>
      </c>
    </row>
    <row r="9" spans="1:3" x14ac:dyDescent="0.35">
      <c r="A9" t="s">
        <v>1235</v>
      </c>
      <c r="B9" t="s">
        <v>1246</v>
      </c>
      <c r="C9" t="s">
        <v>1257</v>
      </c>
    </row>
    <row r="10" spans="1:3" x14ac:dyDescent="0.35">
      <c r="A10" t="s">
        <v>1236</v>
      </c>
      <c r="B10" t="s">
        <v>1247</v>
      </c>
      <c r="C10" t="s">
        <v>1258</v>
      </c>
    </row>
    <row r="11" spans="1:3" x14ac:dyDescent="0.35">
      <c r="A11" t="s">
        <v>1237</v>
      </c>
      <c r="B11" t="s">
        <v>1248</v>
      </c>
    </row>
  </sheetData>
  <sheetProtection password="BCD8" sheet="1" objects="1" scenarios="1"/>
  <phoneticPr fontId="0" type="noConversion"/>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1F2C4-A4F6-410D-87A4-274C10725D84}">
  <sheetPr codeName="Sheet23"/>
  <dimension ref="A1:J16"/>
  <sheetViews>
    <sheetView workbookViewId="0"/>
  </sheetViews>
  <sheetFormatPr defaultRowHeight="14.5" x14ac:dyDescent="0.35"/>
  <cols>
    <col min="2" max="2" width="13.08984375" customWidth="1"/>
  </cols>
  <sheetData>
    <row r="1" spans="1:10" ht="21.75" customHeight="1" x14ac:dyDescent="0.35">
      <c r="A1" s="73" t="s">
        <v>746</v>
      </c>
      <c r="C1" s="9" t="s">
        <v>758</v>
      </c>
    </row>
    <row r="2" spans="1:10" x14ac:dyDescent="0.35">
      <c r="A2" s="5">
        <f>ROW()</f>
        <v>2</v>
      </c>
      <c r="B2" t="s">
        <v>740</v>
      </c>
      <c r="C2" s="72" t="s">
        <v>745</v>
      </c>
    </row>
    <row r="3" spans="1:10" x14ac:dyDescent="0.35">
      <c r="A3" s="5">
        <f>ROW()</f>
        <v>3</v>
      </c>
      <c r="B3" t="s">
        <v>741</v>
      </c>
      <c r="C3" s="72" t="s">
        <v>744</v>
      </c>
      <c r="J3" t="s">
        <v>737</v>
      </c>
    </row>
    <row r="4" spans="1:10" x14ac:dyDescent="0.35">
      <c r="A4" s="5">
        <f>ROW()</f>
        <v>4</v>
      </c>
      <c r="B4" t="s">
        <v>742</v>
      </c>
      <c r="C4" s="72" t="s">
        <v>1007</v>
      </c>
      <c r="J4" t="s">
        <v>747</v>
      </c>
    </row>
    <row r="5" spans="1:10" x14ac:dyDescent="0.35">
      <c r="A5" s="5">
        <f>ROW()</f>
        <v>5</v>
      </c>
      <c r="B5" t="s">
        <v>743</v>
      </c>
      <c r="C5" s="72" t="s">
        <v>600</v>
      </c>
    </row>
    <row r="6" spans="1:10" x14ac:dyDescent="0.35">
      <c r="A6" s="5">
        <f>ROW()</f>
        <v>6</v>
      </c>
      <c r="B6" t="s">
        <v>317</v>
      </c>
      <c r="C6" s="72" t="s">
        <v>2083</v>
      </c>
      <c r="J6" t="s">
        <v>748</v>
      </c>
    </row>
    <row r="7" spans="1:10" x14ac:dyDescent="0.35">
      <c r="A7" s="5">
        <f>ROW()</f>
        <v>7</v>
      </c>
      <c r="B7" t="s">
        <v>757</v>
      </c>
      <c r="C7" s="72" t="s">
        <v>2900</v>
      </c>
    </row>
    <row r="8" spans="1:10" x14ac:dyDescent="0.35">
      <c r="A8" s="5">
        <f>ROW()</f>
        <v>8</v>
      </c>
      <c r="B8" t="s">
        <v>780</v>
      </c>
      <c r="C8" s="72" t="s">
        <v>779</v>
      </c>
    </row>
    <row r="9" spans="1:10" x14ac:dyDescent="0.35">
      <c r="A9" s="5">
        <f>ROW()</f>
        <v>9</v>
      </c>
      <c r="B9" t="s">
        <v>781</v>
      </c>
      <c r="C9" t="str">
        <f>"https://www.google.co.uk/search?hl=en&amp;ie=UTF-8&amp;q=The%20Local%20Government%20Finance%20Act%201988%20(Non-Domestic%20Rating%20Multipliers)%20(England)%20Order%20"&amp;update!Q5</f>
        <v>https://www.google.co.uk/search?hl=en&amp;ie=UTF-8&amp;q=The%20Local%20Government%20Finance%20Act%201988%20(Non-Domestic%20Rating%20Multipliers)%20(England)%20Order%202025</v>
      </c>
    </row>
    <row r="10" spans="1:10" x14ac:dyDescent="0.35">
      <c r="A10" s="5">
        <f>ROW()</f>
        <v>10</v>
      </c>
      <c r="B10" t="s">
        <v>784</v>
      </c>
      <c r="C10" s="72" t="s">
        <v>1006</v>
      </c>
    </row>
    <row r="11" spans="1:10" x14ac:dyDescent="0.35">
      <c r="A11" s="5">
        <f>ROW()</f>
        <v>11</v>
      </c>
      <c r="B11" t="s">
        <v>1270</v>
      </c>
      <c r="C11" s="72" t="s">
        <v>1271</v>
      </c>
    </row>
    <row r="12" spans="1:10" x14ac:dyDescent="0.35">
      <c r="A12" s="5">
        <f>ROW()</f>
        <v>12</v>
      </c>
      <c r="B12" t="s">
        <v>1700</v>
      </c>
      <c r="C12" s="72" t="s">
        <v>2404</v>
      </c>
    </row>
    <row r="13" spans="1:10" x14ac:dyDescent="0.35">
      <c r="A13" s="5">
        <f>ROW()</f>
        <v>13</v>
      </c>
      <c r="B13" t="s">
        <v>1061</v>
      </c>
      <c r="C13" s="72" t="s">
        <v>2084</v>
      </c>
    </row>
    <row r="14" spans="1:10" x14ac:dyDescent="0.35">
      <c r="A14" s="5">
        <f>ROW()</f>
        <v>14</v>
      </c>
      <c r="B14" t="s">
        <v>2309</v>
      </c>
      <c r="C14" s="72" t="s">
        <v>2310</v>
      </c>
    </row>
    <row r="15" spans="1:10" x14ac:dyDescent="0.35">
      <c r="A15" s="5">
        <f>ROW()</f>
        <v>15</v>
      </c>
      <c r="B15" t="s">
        <v>2311</v>
      </c>
      <c r="C15" t="s">
        <v>2312</v>
      </c>
    </row>
    <row r="16" spans="1:10" x14ac:dyDescent="0.35">
      <c r="A16" s="5">
        <f>ROW()</f>
        <v>16</v>
      </c>
      <c r="B16" t="s">
        <v>2835</v>
      </c>
      <c r="C16" s="72" t="s">
        <v>2834</v>
      </c>
    </row>
  </sheetData>
  <sheetProtection password="BCD8" sheet="1" objects="1" scenarios="1"/>
  <phoneticPr fontId="0" type="noConversion"/>
  <hyperlinks>
    <hyperlink ref="C3" r:id="rId1" xr:uid="{213FD187-2780-46FE-8AEA-2071DCDE2153}"/>
    <hyperlink ref="C4" r:id="rId2" xr:uid="{8D1260B7-6AC4-4044-9941-AF08D8240CEE}"/>
    <hyperlink ref="C2" r:id="rId3" xr:uid="{3517AFD0-4E66-4CD1-A1A3-5CB27A6B3411}"/>
    <hyperlink ref="C6" r:id="rId4" xr:uid="{9E75DDBE-7B2D-40E0-B662-7D7D8589FFCC}"/>
    <hyperlink ref="C7" r:id="rId5" xr:uid="{3AB25C2A-F426-4602-AEA8-29D0F52540F3}"/>
    <hyperlink ref="C8" r:id="rId6" xr:uid="{4A323265-9CC2-4030-BEE6-FAD290CF26FC}"/>
    <hyperlink ref="C10" r:id="rId7" xr:uid="{190544C4-52A8-4360-832B-609935B43C7D}"/>
    <hyperlink ref="C11" r:id="rId8" xr:uid="{C958F9F7-1B32-41DF-ADAC-3F23BE464803}"/>
    <hyperlink ref="C12" r:id="rId9" xr:uid="{375FF162-F17C-4876-883A-0E6972C64B8B}"/>
    <hyperlink ref="C13" r:id="rId10" xr:uid="{189076A2-E9C0-421B-8726-8D1C731B5317}"/>
    <hyperlink ref="C5" r:id="rId11" xr:uid="{7D3C3EC9-01D2-4A6F-BE41-32622A47C044}"/>
    <hyperlink ref="C14" r:id="rId12" xr:uid="{305D5B8A-A536-41F1-8F62-04F6E3DC97B0}"/>
    <hyperlink ref="C16" r:id="rId13" xr:uid="{D67B4604-36CC-4388-9FBE-150122DF4605}"/>
  </hyperlinks>
  <pageMargins left="0.7" right="0.7" top="0.75" bottom="0.75" header="0.3" footer="0.3"/>
  <pageSetup paperSize="9" orientation="portrait" r:id="rId14"/>
  <drawing r:id="rId15"/>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A304A-97BF-4112-968F-C14C35CC7885}">
  <sheetPr codeName="Sheet13"/>
  <dimension ref="B2:M32"/>
  <sheetViews>
    <sheetView workbookViewId="0">
      <selection activeCell="F30" sqref="F30"/>
    </sheetView>
  </sheetViews>
  <sheetFormatPr defaultRowHeight="14.5" x14ac:dyDescent="0.35"/>
  <cols>
    <col min="3" max="3" width="51.36328125" customWidth="1"/>
    <col min="4" max="4" width="16.453125" style="5" bestFit="1" customWidth="1"/>
    <col min="5" max="5" width="16.6328125" style="5" customWidth="1"/>
    <col min="6" max="6" width="19.6328125" style="5" customWidth="1"/>
    <col min="7" max="7" width="13.54296875" style="5" customWidth="1"/>
    <col min="8" max="8" width="11" style="5" customWidth="1"/>
    <col min="9" max="9" width="12.08984375" style="5" customWidth="1"/>
  </cols>
  <sheetData>
    <row r="2" spans="2:13" x14ac:dyDescent="0.35">
      <c r="D2" s="5" t="s">
        <v>661</v>
      </c>
      <c r="E2" s="5" t="s">
        <v>1357</v>
      </c>
      <c r="F2" s="5" t="s">
        <v>1358</v>
      </c>
      <c r="G2" s="5" t="s">
        <v>1359</v>
      </c>
      <c r="H2" s="5" t="s">
        <v>1360</v>
      </c>
      <c r="I2" s="5" t="s">
        <v>1362</v>
      </c>
    </row>
    <row r="3" spans="2:13" x14ac:dyDescent="0.35">
      <c r="B3" s="1018"/>
      <c r="C3" s="1018" t="s">
        <v>548</v>
      </c>
    </row>
    <row r="4" spans="2:13" x14ac:dyDescent="0.35">
      <c r="B4" s="1018"/>
      <c r="C4" t="s">
        <v>264</v>
      </c>
    </row>
    <row r="5" spans="2:13" x14ac:dyDescent="0.35">
      <c r="B5" s="1018"/>
      <c r="C5" t="s">
        <v>1361</v>
      </c>
    </row>
    <row r="6" spans="2:13" x14ac:dyDescent="0.35">
      <c r="B6" s="1018"/>
      <c r="C6" t="s">
        <v>901</v>
      </c>
      <c r="D6" s="27">
        <v>1000000000000</v>
      </c>
      <c r="E6" s="27">
        <f t="shared" ref="E6:I8" si="0">D6</f>
        <v>1000000000000</v>
      </c>
      <c r="F6" s="27">
        <f t="shared" si="0"/>
        <v>1000000000000</v>
      </c>
      <c r="G6" s="27">
        <f t="shared" si="0"/>
        <v>1000000000000</v>
      </c>
      <c r="H6" s="27">
        <f t="shared" si="0"/>
        <v>1000000000000</v>
      </c>
      <c r="I6" s="27">
        <f t="shared" si="0"/>
        <v>1000000000000</v>
      </c>
    </row>
    <row r="7" spans="2:13" x14ac:dyDescent="0.35">
      <c r="B7" s="1018"/>
      <c r="C7" t="s">
        <v>1356</v>
      </c>
      <c r="D7" s="5">
        <v>1.3333333329999999</v>
      </c>
      <c r="E7" s="5">
        <f>D7</f>
        <v>1.3333333329999999</v>
      </c>
      <c r="F7" s="5">
        <v>2.5</v>
      </c>
      <c r="G7" s="5">
        <f t="shared" si="0"/>
        <v>2.5</v>
      </c>
      <c r="H7" s="5">
        <f t="shared" si="0"/>
        <v>2.5</v>
      </c>
      <c r="I7" s="5">
        <f t="shared" si="0"/>
        <v>2.5</v>
      </c>
    </row>
    <row r="8" spans="2:13" x14ac:dyDescent="0.35">
      <c r="B8" s="1018"/>
      <c r="C8" t="s">
        <v>829</v>
      </c>
      <c r="D8" s="1556" t="s">
        <v>454</v>
      </c>
      <c r="E8" s="1556" t="str">
        <f>D8</f>
        <v>75%</v>
      </c>
      <c r="F8" s="1556" t="s">
        <v>2869</v>
      </c>
      <c r="G8" s="5" t="str">
        <f t="shared" si="0"/>
        <v>40%</v>
      </c>
      <c r="H8" s="5" t="str">
        <f t="shared" si="0"/>
        <v>40%</v>
      </c>
      <c r="I8" s="5" t="str">
        <f t="shared" si="0"/>
        <v>40%</v>
      </c>
    </row>
    <row r="9" spans="2:13" hidden="1" x14ac:dyDescent="0.35">
      <c r="B9" s="1018"/>
      <c r="C9" s="1200" t="s">
        <v>900</v>
      </c>
    </row>
    <row r="10" spans="2:13" hidden="1" x14ac:dyDescent="0.35">
      <c r="B10" s="1018"/>
      <c r="C10" t="s">
        <v>266</v>
      </c>
    </row>
    <row r="11" spans="2:13" hidden="1" x14ac:dyDescent="0.35">
      <c r="B11" s="1018"/>
      <c r="C11" t="s">
        <v>1361</v>
      </c>
    </row>
    <row r="12" spans="2:13" hidden="1" x14ac:dyDescent="0.35">
      <c r="B12" s="1018"/>
      <c r="C12" t="s">
        <v>901</v>
      </c>
      <c r="D12" s="5">
        <v>100000</v>
      </c>
      <c r="E12" s="5">
        <f>D12</f>
        <v>100000</v>
      </c>
      <c r="F12" s="5">
        <f>E12</f>
        <v>100000</v>
      </c>
      <c r="G12" s="5">
        <f>F12</f>
        <v>100000</v>
      </c>
      <c r="H12" s="5">
        <v>0</v>
      </c>
      <c r="I12" s="5">
        <f>H12</f>
        <v>0</v>
      </c>
      <c r="M12" s="5"/>
    </row>
    <row r="13" spans="2:13" hidden="1" x14ac:dyDescent="0.35">
      <c r="B13" s="1018"/>
      <c r="C13" t="s">
        <v>1692</v>
      </c>
      <c r="D13" s="5">
        <v>0</v>
      </c>
      <c r="E13" s="5">
        <v>0</v>
      </c>
      <c r="F13" s="5">
        <v>0</v>
      </c>
      <c r="G13" s="5">
        <v>0</v>
      </c>
      <c r="H13" s="5">
        <v>0</v>
      </c>
      <c r="I13" s="5">
        <v>0</v>
      </c>
    </row>
    <row r="14" spans="2:13" hidden="1" x14ac:dyDescent="0.35">
      <c r="B14" s="1018"/>
      <c r="C14" t="s">
        <v>829</v>
      </c>
      <c r="D14" s="1059"/>
      <c r="E14" s="1059"/>
      <c r="G14" s="1059"/>
      <c r="H14" s="1059"/>
      <c r="I14" s="1059"/>
    </row>
    <row r="15" spans="2:13" x14ac:dyDescent="0.35">
      <c r="B15" s="1018"/>
      <c r="C15" t="s">
        <v>455</v>
      </c>
      <c r="D15" s="15">
        <v>110000</v>
      </c>
      <c r="E15" s="15">
        <f>D15</f>
        <v>110000</v>
      </c>
      <c r="F15" s="15">
        <f>E15</f>
        <v>110000</v>
      </c>
    </row>
    <row r="16" spans="2:13" x14ac:dyDescent="0.35">
      <c r="B16" s="1018"/>
      <c r="C16" t="s">
        <v>2872</v>
      </c>
      <c r="D16" s="15">
        <v>315000</v>
      </c>
      <c r="E16" s="15">
        <v>315000</v>
      </c>
      <c r="F16" s="15">
        <v>315000</v>
      </c>
    </row>
    <row r="17" spans="2:9" ht="36" customHeight="1" x14ac:dyDescent="0.6">
      <c r="B17" s="1200"/>
      <c r="C17" s="1557" t="s">
        <v>68</v>
      </c>
      <c r="D17" s="1218"/>
      <c r="E17" s="1218"/>
      <c r="F17" s="1218"/>
      <c r="G17" s="1218"/>
      <c r="H17" s="1218"/>
      <c r="I17" s="1218"/>
    </row>
    <row r="18" spans="2:9" x14ac:dyDescent="0.35">
      <c r="B18" s="1200"/>
      <c r="C18" s="1200"/>
      <c r="D18" s="1218"/>
      <c r="E18" s="1218"/>
      <c r="F18" s="1218"/>
      <c r="G18" s="1218"/>
      <c r="H18" s="1218"/>
      <c r="I18" s="1218"/>
    </row>
    <row r="19" spans="2:9" x14ac:dyDescent="0.35">
      <c r="B19" s="1200"/>
      <c r="C19" s="1200"/>
      <c r="D19" s="1218"/>
      <c r="E19" s="1218"/>
      <c r="F19" s="1218"/>
      <c r="G19" s="1218"/>
      <c r="H19" s="1218"/>
      <c r="I19" s="1218"/>
    </row>
    <row r="21" spans="2:9" x14ac:dyDescent="0.35">
      <c r="C21" t="s">
        <v>2839</v>
      </c>
      <c r="D21" s="13">
        <v>45383</v>
      </c>
    </row>
    <row r="22" spans="2:9" x14ac:dyDescent="0.35">
      <c r="D22" s="5">
        <f>global!D4</f>
        <v>3</v>
      </c>
      <c r="E22" s="5" t="s">
        <v>2880</v>
      </c>
      <c r="F22" s="5" t="s">
        <v>2881</v>
      </c>
      <c r="H22" s="5">
        <v>3</v>
      </c>
      <c r="I22" s="17">
        <f>D23</f>
        <v>0.51200000000000001</v>
      </c>
    </row>
    <row r="23" spans="2:9" x14ac:dyDescent="0.35">
      <c r="C23" t="s">
        <v>2879</v>
      </c>
      <c r="D23" s="438">
        <v>0.51200000000000001</v>
      </c>
      <c r="E23" s="428">
        <v>1.2E-2</v>
      </c>
      <c r="F23" s="428">
        <v>0.02</v>
      </c>
      <c r="H23" s="5">
        <v>2</v>
      </c>
      <c r="I23" s="17">
        <f>D23+F23</f>
        <v>0.53200000000000003</v>
      </c>
    </row>
    <row r="24" spans="2:9" x14ac:dyDescent="0.35">
      <c r="D24" s="5" t="s">
        <v>2882</v>
      </c>
      <c r="E24" s="5" t="s">
        <v>2883</v>
      </c>
      <c r="H24" s="5">
        <v>1</v>
      </c>
      <c r="I24" s="17">
        <f>D23+E23+F23</f>
        <v>0.54400000000000004</v>
      </c>
    </row>
    <row r="25" spans="2:9" x14ac:dyDescent="0.35">
      <c r="C25" s="28" t="s">
        <v>2884</v>
      </c>
      <c r="D25" s="5">
        <f>VLOOKUP(D22,H22:I24,2,FALSE)</f>
        <v>0.51200000000000001</v>
      </c>
      <c r="E25" s="5">
        <f>D25</f>
        <v>0.51200000000000001</v>
      </c>
      <c r="F25" s="5">
        <f>E25</f>
        <v>0.51200000000000001</v>
      </c>
    </row>
    <row r="26" spans="2:9" x14ac:dyDescent="0.35">
      <c r="C26" s="28" t="s">
        <v>308</v>
      </c>
      <c r="D26" s="27">
        <f>basic!I5</f>
        <v>0</v>
      </c>
      <c r="E26" s="27">
        <f>advanced!I9</f>
        <v>0</v>
      </c>
      <c r="F26" s="27">
        <f>advanced!M9</f>
        <v>0</v>
      </c>
    </row>
    <row r="27" spans="2:9" x14ac:dyDescent="0.35">
      <c r="C27" s="28" t="s">
        <v>2885</v>
      </c>
      <c r="D27" s="5">
        <v>0.5</v>
      </c>
      <c r="E27" s="5">
        <f>D27</f>
        <v>0.5</v>
      </c>
      <c r="F27" s="5">
        <f>E27</f>
        <v>0.5</v>
      </c>
    </row>
    <row r="28" spans="2:9" x14ac:dyDescent="0.35">
      <c r="C28" s="28" t="s">
        <v>2885</v>
      </c>
      <c r="D28" s="5">
        <f>D26*D25*D27</f>
        <v>0</v>
      </c>
      <c r="E28" s="5">
        <f>E26*E25*E27</f>
        <v>0</v>
      </c>
      <c r="F28" s="5">
        <f>F26*F25*F27</f>
        <v>0</v>
      </c>
    </row>
    <row r="29" spans="2:9" x14ac:dyDescent="0.35">
      <c r="C29" s="28" t="s">
        <v>456</v>
      </c>
      <c r="D29" s="15">
        <f>D15</f>
        <v>110000</v>
      </c>
      <c r="E29" s="15">
        <f>E15</f>
        <v>110000</v>
      </c>
      <c r="F29" s="15">
        <f>F15</f>
        <v>110000</v>
      </c>
    </row>
    <row r="30" spans="2:9" x14ac:dyDescent="0.35">
      <c r="C30" s="28" t="s">
        <v>2886</v>
      </c>
      <c r="D30" s="5">
        <f>IF(D28&gt;D29,D29,D28)</f>
        <v>0</v>
      </c>
      <c r="E30" s="5">
        <f>IF(E28&gt;E29,E29,E28)</f>
        <v>0</v>
      </c>
      <c r="F30" s="5">
        <f>IF(F28&gt;F29,F29,F28)</f>
        <v>0</v>
      </c>
    </row>
    <row r="31" spans="2:9" x14ac:dyDescent="0.35">
      <c r="C31" s="28" t="s">
        <v>2887</v>
      </c>
      <c r="D31" s="5">
        <v>95000</v>
      </c>
      <c r="E31" s="5">
        <f>D31</f>
        <v>95000</v>
      </c>
      <c r="F31" s="5">
        <f>E31</f>
        <v>95000</v>
      </c>
    </row>
    <row r="32" spans="2:9" x14ac:dyDescent="0.35">
      <c r="C32" s="28" t="s">
        <v>2888</v>
      </c>
      <c r="D32" s="5" t="b">
        <f>D30&gt;D31</f>
        <v>0</v>
      </c>
      <c r="E32" s="5" t="b">
        <f>E30&gt;E31</f>
        <v>0</v>
      </c>
      <c r="F32" s="5" t="b">
        <f>F30&gt;F31</f>
        <v>0</v>
      </c>
    </row>
  </sheetData>
  <sheetProtection password="BCD8" sheet="1" objects="1" scenarios="1"/>
  <phoneticPr fontId="0" type="noConversion"/>
  <pageMargins left="0.7" right="0.7" top="0.75" bottom="0.75" header="0.3" footer="0.3"/>
  <pageSetup paperSize="9" orientation="portrait" horizontalDpi="4294967293" verticalDpi="0"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6E1BA-7D33-4690-9494-AE0BD2CBB2B8}">
  <sheetPr codeName="Sheet88"/>
  <dimension ref="A1:AA358"/>
  <sheetViews>
    <sheetView workbookViewId="0"/>
  </sheetViews>
  <sheetFormatPr defaultColWidth="9.08984375" defaultRowHeight="12.5" x14ac:dyDescent="0.25"/>
  <cols>
    <col min="1" max="1" width="11.54296875" style="359" customWidth="1"/>
    <col min="2" max="2" width="9.08984375" style="359"/>
    <col min="3" max="3" width="21.54296875" style="359" customWidth="1"/>
    <col min="4" max="7" width="9.08984375" style="359"/>
    <col min="8" max="8" width="18.6328125" style="359" customWidth="1"/>
    <col min="9" max="9" width="31.90625" style="359" customWidth="1"/>
    <col min="10" max="16384" width="9.08984375" style="359"/>
  </cols>
  <sheetData>
    <row r="1" spans="1:27" x14ac:dyDescent="0.25">
      <c r="A1" s="358"/>
    </row>
    <row r="4" spans="1:27" ht="13" x14ac:dyDescent="0.3">
      <c r="C4" s="359" t="e">
        <f>LEFT(A1,A5-1)</f>
        <v>#VALUE!</v>
      </c>
      <c r="E4" s="360" t="s">
        <v>1348</v>
      </c>
      <c r="F4" s="361"/>
      <c r="G4" s="361"/>
      <c r="H4" s="361"/>
      <c r="I4" s="361"/>
    </row>
    <row r="5" spans="1:27" ht="13" thickBot="1" x14ac:dyDescent="0.3">
      <c r="A5" s="359" t="e">
        <f>FIND(",",A1)</f>
        <v>#VALUE!</v>
      </c>
      <c r="C5" s="359" t="e">
        <f>MID($A$1,A5+2,A6-(A5+2))</f>
        <v>#VALUE!</v>
      </c>
    </row>
    <row r="6" spans="1:27" ht="13" x14ac:dyDescent="0.3">
      <c r="A6" s="359" t="e">
        <f t="shared" ref="A6:A18" si="0">FIND(",",$A$1,A5+1)</f>
        <v>#VALUE!</v>
      </c>
      <c r="C6" s="359" t="e">
        <f>MID($A$1,A6+2,A7-(A6+2))</f>
        <v>#VALUE!</v>
      </c>
      <c r="N6" s="362"/>
      <c r="O6" s="363"/>
      <c r="P6" s="363"/>
      <c r="Q6" s="364"/>
      <c r="V6" s="365"/>
      <c r="W6" s="366"/>
      <c r="X6" s="366"/>
      <c r="Y6" s="366"/>
      <c r="Z6" s="366"/>
      <c r="AA6" s="367"/>
    </row>
    <row r="7" spans="1:27" ht="13" x14ac:dyDescent="0.3">
      <c r="A7" s="359" t="e">
        <f t="shared" si="0"/>
        <v>#VALUE!</v>
      </c>
      <c r="C7" s="359" t="e">
        <f>MID($A$1,A7+2,(LEN(A1)-A7))</f>
        <v>#VALUE!</v>
      </c>
      <c r="N7" s="362"/>
      <c r="P7" s="368"/>
      <c r="Q7" s="364"/>
      <c r="V7" s="369"/>
      <c r="AA7" s="370"/>
    </row>
    <row r="8" spans="1:27" ht="13" x14ac:dyDescent="0.3">
      <c r="A8" s="359" t="e">
        <f t="shared" si="0"/>
        <v>#VALUE!</v>
      </c>
      <c r="C8" s="359" t="e">
        <f>MID($A$1,A8+2,(LEN(A2)-A8))</f>
        <v>#VALUE!</v>
      </c>
      <c r="H8" s="359" t="s">
        <v>665</v>
      </c>
      <c r="N8" s="362"/>
      <c r="Q8" s="364"/>
      <c r="V8" s="369"/>
      <c r="W8" s="368" t="s">
        <v>1349</v>
      </c>
      <c r="AA8" s="370"/>
    </row>
    <row r="9" spans="1:27" ht="13" x14ac:dyDescent="0.3">
      <c r="A9" s="359" t="e">
        <f t="shared" si="0"/>
        <v>#VALUE!</v>
      </c>
      <c r="C9" s="359" t="e">
        <f t="shared" ref="C9:C18" si="1">MID($A$1,A9+2,A10-(A9+3))</f>
        <v>#VALUE!</v>
      </c>
      <c r="H9" s="359" t="s">
        <v>666</v>
      </c>
      <c r="N9" s="362"/>
      <c r="Q9" s="364"/>
      <c r="V9" s="369"/>
      <c r="AA9" s="370"/>
    </row>
    <row r="10" spans="1:27" ht="13" x14ac:dyDescent="0.3">
      <c r="A10" s="359" t="e">
        <f t="shared" si="0"/>
        <v>#VALUE!</v>
      </c>
      <c r="C10" s="359" t="e">
        <f t="shared" si="1"/>
        <v>#VALUE!</v>
      </c>
      <c r="H10" s="359" t="s">
        <v>667</v>
      </c>
      <c r="I10" s="359" t="e">
        <f>TRIM(PROPER(C4&amp;", "&amp;C5))</f>
        <v>#VALUE!</v>
      </c>
      <c r="N10" s="362"/>
      <c r="Q10" s="364"/>
      <c r="V10" s="369"/>
      <c r="AA10" s="370"/>
    </row>
    <row r="11" spans="1:27" ht="13" x14ac:dyDescent="0.3">
      <c r="A11" s="359" t="e">
        <f t="shared" si="0"/>
        <v>#VALUE!</v>
      </c>
      <c r="C11" s="359" t="e">
        <f t="shared" si="1"/>
        <v>#VALUE!</v>
      </c>
      <c r="H11" s="359" t="s">
        <v>668</v>
      </c>
      <c r="I11" s="359" t="e">
        <f>PROPER(C6)</f>
        <v>#VALUE!</v>
      </c>
      <c r="N11" s="362"/>
      <c r="Q11" s="364"/>
      <c r="V11" s="369"/>
      <c r="AA11" s="370"/>
    </row>
    <row r="12" spans="1:27" ht="13.5" thickBot="1" x14ac:dyDescent="0.35">
      <c r="A12" s="359" t="e">
        <f t="shared" si="0"/>
        <v>#VALUE!</v>
      </c>
      <c r="C12" s="359" t="e">
        <f t="shared" si="1"/>
        <v>#VALUE!</v>
      </c>
      <c r="H12" s="359" t="s">
        <v>669</v>
      </c>
      <c r="I12" s="359" t="e">
        <f>IF(H17=0,C7,PROPER(LEFT(I15,H17-1)&amp;", ")&amp;RIGHT(I15,(LEN(I15)-H17-1)))</f>
        <v>#VALUE!</v>
      </c>
      <c r="N12" s="362"/>
      <c r="Q12" s="364"/>
      <c r="V12" s="371"/>
      <c r="W12" s="372"/>
      <c r="X12" s="372"/>
      <c r="Y12" s="372"/>
      <c r="Z12" s="372"/>
      <c r="AA12" s="373"/>
    </row>
    <row r="13" spans="1:27" ht="13" x14ac:dyDescent="0.3">
      <c r="A13" s="359" t="e">
        <f t="shared" si="0"/>
        <v>#VALUE!</v>
      </c>
      <c r="C13" s="359" t="e">
        <f t="shared" si="1"/>
        <v>#VALUE!</v>
      </c>
      <c r="N13" s="362"/>
      <c r="Q13" s="364"/>
    </row>
    <row r="14" spans="1:27" ht="13" x14ac:dyDescent="0.3">
      <c r="A14" s="359" t="e">
        <f t="shared" si="0"/>
        <v>#VALUE!</v>
      </c>
      <c r="C14" s="359" t="e">
        <f t="shared" si="1"/>
        <v>#VALUE!</v>
      </c>
      <c r="N14" s="362"/>
      <c r="Q14" s="364"/>
    </row>
    <row r="15" spans="1:27" ht="13" x14ac:dyDescent="0.3">
      <c r="A15" s="359" t="e">
        <f t="shared" si="0"/>
        <v>#VALUE!</v>
      </c>
      <c r="C15" s="359" t="e">
        <f t="shared" si="1"/>
        <v>#VALUE!</v>
      </c>
      <c r="H15" s="359" t="e">
        <f>FIND(",",I15)</f>
        <v>#VALUE!</v>
      </c>
      <c r="I15" s="359" t="e">
        <f>C7</f>
        <v>#VALUE!</v>
      </c>
      <c r="N15" s="362"/>
      <c r="Q15" s="364"/>
    </row>
    <row r="16" spans="1:27" ht="13" x14ac:dyDescent="0.3">
      <c r="A16" s="359" t="e">
        <f t="shared" si="0"/>
        <v>#VALUE!</v>
      </c>
      <c r="C16" s="359" t="e">
        <f t="shared" si="1"/>
        <v>#VALUE!</v>
      </c>
      <c r="H16" s="359" t="b">
        <f>ISERR(H15)</f>
        <v>1</v>
      </c>
      <c r="N16" s="362"/>
      <c r="P16" s="368"/>
      <c r="Q16" s="364"/>
    </row>
    <row r="17" spans="1:17" ht="13" x14ac:dyDescent="0.3">
      <c r="A17" s="359" t="e">
        <f t="shared" si="0"/>
        <v>#VALUE!</v>
      </c>
      <c r="C17" s="359" t="e">
        <f t="shared" si="1"/>
        <v>#VALUE!</v>
      </c>
      <c r="H17" s="359">
        <f>IF(H16=FALSE,H15,0)</f>
        <v>0</v>
      </c>
      <c r="N17" s="362"/>
      <c r="Q17" s="364"/>
    </row>
    <row r="18" spans="1:17" ht="13" x14ac:dyDescent="0.3">
      <c r="A18" s="359" t="e">
        <f t="shared" si="0"/>
        <v>#VALUE!</v>
      </c>
      <c r="C18" s="359" t="e">
        <f t="shared" si="1"/>
        <v>#VALUE!</v>
      </c>
      <c r="N18" s="362"/>
      <c r="P18" s="368"/>
      <c r="Q18" s="364"/>
    </row>
    <row r="19" spans="1:17" ht="13" x14ac:dyDescent="0.3">
      <c r="N19" s="362"/>
      <c r="P19" s="368"/>
      <c r="Q19" s="364"/>
    </row>
    <row r="20" spans="1:17" ht="13" x14ac:dyDescent="0.3">
      <c r="N20" s="362"/>
      <c r="Q20" s="364"/>
    </row>
    <row r="21" spans="1:17" ht="13" x14ac:dyDescent="0.3">
      <c r="N21" s="362"/>
      <c r="Q21" s="364"/>
    </row>
    <row r="22" spans="1:17" ht="13" x14ac:dyDescent="0.3">
      <c r="N22" s="362"/>
      <c r="Q22" s="364"/>
    </row>
    <row r="23" spans="1:17" ht="13" x14ac:dyDescent="0.3">
      <c r="N23" s="362"/>
      <c r="Q23" s="364"/>
    </row>
    <row r="24" spans="1:17" ht="13" x14ac:dyDescent="0.3">
      <c r="N24" s="362"/>
      <c r="Q24" s="364"/>
    </row>
    <row r="25" spans="1:17" ht="13" x14ac:dyDescent="0.3">
      <c r="N25" s="362"/>
      <c r="Q25" s="364"/>
    </row>
    <row r="26" spans="1:17" ht="13" x14ac:dyDescent="0.3">
      <c r="N26" s="362"/>
      <c r="P26" s="368"/>
      <c r="Q26" s="364"/>
    </row>
    <row r="27" spans="1:17" ht="13" x14ac:dyDescent="0.3">
      <c r="N27" s="362"/>
      <c r="P27" s="368"/>
      <c r="Q27" s="364"/>
    </row>
    <row r="28" spans="1:17" ht="13" x14ac:dyDescent="0.3">
      <c r="N28" s="362"/>
      <c r="Q28" s="364"/>
    </row>
    <row r="29" spans="1:17" ht="13" x14ac:dyDescent="0.3">
      <c r="N29" s="362"/>
      <c r="P29" s="368"/>
      <c r="Q29" s="364"/>
    </row>
    <row r="30" spans="1:17" ht="13" x14ac:dyDescent="0.3">
      <c r="N30" s="362"/>
      <c r="P30" s="368"/>
      <c r="Q30" s="364"/>
    </row>
    <row r="31" spans="1:17" ht="13" x14ac:dyDescent="0.3">
      <c r="N31" s="362"/>
      <c r="Q31" s="364"/>
    </row>
    <row r="32" spans="1:17" ht="13" x14ac:dyDescent="0.3">
      <c r="N32" s="362"/>
      <c r="Q32" s="364"/>
    </row>
    <row r="33" spans="14:17" ht="13" x14ac:dyDescent="0.3">
      <c r="N33" s="362"/>
      <c r="Q33" s="364"/>
    </row>
    <row r="34" spans="14:17" ht="13" x14ac:dyDescent="0.3">
      <c r="N34" s="362"/>
      <c r="Q34" s="364"/>
    </row>
    <row r="35" spans="14:17" ht="13" x14ac:dyDescent="0.3">
      <c r="N35" s="362"/>
      <c r="Q35" s="364"/>
    </row>
    <row r="36" spans="14:17" ht="13" x14ac:dyDescent="0.3">
      <c r="N36" s="362"/>
      <c r="P36" s="368"/>
      <c r="Q36" s="364"/>
    </row>
    <row r="37" spans="14:17" ht="13" x14ac:dyDescent="0.3">
      <c r="N37" s="362"/>
      <c r="Q37" s="364"/>
    </row>
    <row r="38" spans="14:17" ht="13" x14ac:dyDescent="0.3">
      <c r="N38" s="362"/>
      <c r="Q38" s="364"/>
    </row>
    <row r="39" spans="14:17" ht="13" x14ac:dyDescent="0.3">
      <c r="N39" s="362"/>
      <c r="Q39" s="364"/>
    </row>
    <row r="40" spans="14:17" ht="13" x14ac:dyDescent="0.3">
      <c r="N40" s="362"/>
      <c r="Q40" s="364"/>
    </row>
    <row r="41" spans="14:17" ht="13" x14ac:dyDescent="0.3">
      <c r="N41" s="362"/>
      <c r="Q41" s="364"/>
    </row>
    <row r="42" spans="14:17" ht="13" x14ac:dyDescent="0.3">
      <c r="N42" s="362"/>
      <c r="P42" s="368"/>
      <c r="Q42" s="364"/>
    </row>
    <row r="43" spans="14:17" ht="13" x14ac:dyDescent="0.3">
      <c r="N43" s="362"/>
      <c r="Q43" s="364"/>
    </row>
    <row r="44" spans="14:17" ht="13" x14ac:dyDescent="0.3">
      <c r="N44" s="362"/>
      <c r="Q44" s="364"/>
    </row>
    <row r="45" spans="14:17" ht="13" x14ac:dyDescent="0.3">
      <c r="N45" s="362"/>
      <c r="Q45" s="364"/>
    </row>
    <row r="46" spans="14:17" ht="13" x14ac:dyDescent="0.3">
      <c r="N46" s="362"/>
      <c r="Q46" s="364"/>
    </row>
    <row r="47" spans="14:17" ht="13" x14ac:dyDescent="0.3">
      <c r="N47" s="362"/>
      <c r="Q47" s="364"/>
    </row>
    <row r="48" spans="14:17" ht="13" x14ac:dyDescent="0.3">
      <c r="N48" s="362"/>
      <c r="Q48" s="364"/>
    </row>
    <row r="49" spans="14:17" ht="13" x14ac:dyDescent="0.3">
      <c r="N49" s="362"/>
      <c r="Q49" s="364"/>
    </row>
    <row r="50" spans="14:17" ht="13" x14ac:dyDescent="0.3">
      <c r="N50" s="362"/>
      <c r="Q50" s="364"/>
    </row>
    <row r="51" spans="14:17" ht="13" x14ac:dyDescent="0.3">
      <c r="N51" s="362"/>
      <c r="Q51" s="364"/>
    </row>
    <row r="52" spans="14:17" ht="13" x14ac:dyDescent="0.3">
      <c r="N52" s="362"/>
      <c r="Q52" s="364"/>
    </row>
    <row r="53" spans="14:17" ht="13" x14ac:dyDescent="0.3">
      <c r="N53" s="362"/>
      <c r="Q53" s="364"/>
    </row>
    <row r="54" spans="14:17" ht="13" x14ac:dyDescent="0.3">
      <c r="N54" s="362"/>
      <c r="Q54" s="364"/>
    </row>
    <row r="55" spans="14:17" ht="13" x14ac:dyDescent="0.3">
      <c r="N55" s="362"/>
      <c r="Q55" s="364"/>
    </row>
    <row r="56" spans="14:17" ht="13" x14ac:dyDescent="0.3">
      <c r="N56" s="362"/>
      <c r="Q56" s="364"/>
    </row>
    <row r="57" spans="14:17" ht="13" x14ac:dyDescent="0.3">
      <c r="N57" s="362"/>
      <c r="P57" s="368"/>
      <c r="Q57" s="364"/>
    </row>
    <row r="58" spans="14:17" ht="13" x14ac:dyDescent="0.3">
      <c r="N58" s="362"/>
      <c r="Q58" s="364"/>
    </row>
    <row r="59" spans="14:17" ht="13" x14ac:dyDescent="0.3">
      <c r="N59" s="362"/>
      <c r="Q59" s="364"/>
    </row>
    <row r="60" spans="14:17" ht="13" x14ac:dyDescent="0.3">
      <c r="N60" s="362"/>
      <c r="Q60" s="364"/>
    </row>
    <row r="61" spans="14:17" ht="13" x14ac:dyDescent="0.3">
      <c r="N61" s="362"/>
      <c r="P61" s="368"/>
      <c r="Q61" s="364"/>
    </row>
    <row r="62" spans="14:17" ht="13" x14ac:dyDescent="0.3">
      <c r="N62" s="362"/>
      <c r="Q62" s="364"/>
    </row>
    <row r="63" spans="14:17" ht="13" x14ac:dyDescent="0.3">
      <c r="N63" s="362"/>
      <c r="Q63" s="364"/>
    </row>
    <row r="64" spans="14:17" ht="13" x14ac:dyDescent="0.3">
      <c r="N64" s="362"/>
      <c r="Q64" s="364"/>
    </row>
    <row r="65" spans="14:17" ht="13" x14ac:dyDescent="0.3">
      <c r="N65" s="362"/>
      <c r="P65" s="368"/>
      <c r="Q65" s="364"/>
    </row>
    <row r="66" spans="14:17" ht="13" x14ac:dyDescent="0.3">
      <c r="N66" s="362"/>
      <c r="Q66" s="364"/>
    </row>
    <row r="67" spans="14:17" ht="13" x14ac:dyDescent="0.3">
      <c r="N67" s="362"/>
      <c r="Q67" s="364"/>
    </row>
    <row r="68" spans="14:17" ht="13" x14ac:dyDescent="0.3">
      <c r="N68" s="362"/>
      <c r="Q68" s="364"/>
    </row>
    <row r="69" spans="14:17" ht="13" x14ac:dyDescent="0.3">
      <c r="N69" s="362"/>
      <c r="Q69" s="364"/>
    </row>
    <row r="70" spans="14:17" ht="13" x14ac:dyDescent="0.3">
      <c r="N70" s="362"/>
      <c r="Q70" s="364"/>
    </row>
    <row r="71" spans="14:17" ht="13" x14ac:dyDescent="0.3">
      <c r="N71" s="362"/>
      <c r="Q71" s="364"/>
    </row>
    <row r="72" spans="14:17" ht="13" x14ac:dyDescent="0.3">
      <c r="N72" s="362"/>
      <c r="Q72" s="364"/>
    </row>
    <row r="73" spans="14:17" ht="13" x14ac:dyDescent="0.3">
      <c r="N73" s="362"/>
      <c r="Q73" s="364"/>
    </row>
    <row r="74" spans="14:17" ht="13" x14ac:dyDescent="0.3">
      <c r="N74" s="362"/>
      <c r="Q74" s="364"/>
    </row>
    <row r="75" spans="14:17" ht="13" x14ac:dyDescent="0.3">
      <c r="N75" s="362"/>
      <c r="P75" s="368"/>
      <c r="Q75" s="364"/>
    </row>
    <row r="76" spans="14:17" ht="13" x14ac:dyDescent="0.3">
      <c r="N76" s="362"/>
      <c r="Q76" s="364"/>
    </row>
    <row r="77" spans="14:17" ht="13" x14ac:dyDescent="0.3">
      <c r="N77" s="362"/>
      <c r="Q77" s="364"/>
    </row>
    <row r="78" spans="14:17" ht="13" x14ac:dyDescent="0.3">
      <c r="N78" s="362"/>
      <c r="Q78" s="364"/>
    </row>
    <row r="79" spans="14:17" ht="13" x14ac:dyDescent="0.3">
      <c r="N79" s="362"/>
      <c r="Q79" s="364"/>
    </row>
    <row r="80" spans="14:17" ht="13" x14ac:dyDescent="0.3">
      <c r="N80" s="362"/>
      <c r="Q80" s="364"/>
    </row>
    <row r="81" spans="14:17" ht="13" x14ac:dyDescent="0.3">
      <c r="N81" s="362"/>
      <c r="Q81" s="364"/>
    </row>
    <row r="82" spans="14:17" ht="13" x14ac:dyDescent="0.3">
      <c r="N82" s="362"/>
      <c r="P82" s="368"/>
      <c r="Q82" s="364"/>
    </row>
    <row r="83" spans="14:17" ht="13" x14ac:dyDescent="0.3">
      <c r="N83" s="362"/>
      <c r="P83" s="368"/>
      <c r="Q83" s="364"/>
    </row>
    <row r="84" spans="14:17" ht="13" x14ac:dyDescent="0.3">
      <c r="N84" s="362"/>
      <c r="Q84" s="364"/>
    </row>
    <row r="85" spans="14:17" ht="13" x14ac:dyDescent="0.3">
      <c r="N85" s="362"/>
      <c r="P85" s="368"/>
      <c r="Q85" s="364"/>
    </row>
    <row r="86" spans="14:17" ht="13" x14ac:dyDescent="0.3">
      <c r="N86" s="362"/>
      <c r="Q86" s="364"/>
    </row>
    <row r="87" spans="14:17" ht="13" x14ac:dyDescent="0.3">
      <c r="N87" s="362"/>
      <c r="Q87" s="364"/>
    </row>
    <row r="88" spans="14:17" ht="13" x14ac:dyDescent="0.3">
      <c r="N88" s="362"/>
      <c r="P88" s="368"/>
      <c r="Q88" s="364"/>
    </row>
    <row r="89" spans="14:17" ht="13" x14ac:dyDescent="0.3">
      <c r="N89" s="362"/>
      <c r="Q89" s="364"/>
    </row>
    <row r="90" spans="14:17" ht="13" x14ac:dyDescent="0.3">
      <c r="N90" s="362"/>
      <c r="Q90" s="364"/>
    </row>
    <row r="91" spans="14:17" ht="13" x14ac:dyDescent="0.3">
      <c r="N91" s="362"/>
      <c r="Q91" s="364"/>
    </row>
    <row r="92" spans="14:17" ht="13" x14ac:dyDescent="0.3">
      <c r="N92" s="362"/>
      <c r="P92" s="368"/>
      <c r="Q92" s="364"/>
    </row>
    <row r="93" spans="14:17" ht="13" x14ac:dyDescent="0.3">
      <c r="N93" s="362"/>
      <c r="Q93" s="364"/>
    </row>
    <row r="94" spans="14:17" ht="13" x14ac:dyDescent="0.3">
      <c r="N94" s="362"/>
      <c r="Q94" s="364"/>
    </row>
    <row r="95" spans="14:17" ht="13" x14ac:dyDescent="0.3">
      <c r="N95" s="362"/>
      <c r="Q95" s="364"/>
    </row>
    <row r="96" spans="14:17" ht="13" x14ac:dyDescent="0.3">
      <c r="N96" s="362"/>
      <c r="P96" s="368"/>
      <c r="Q96" s="364"/>
    </row>
    <row r="97" spans="14:17" ht="13" x14ac:dyDescent="0.3">
      <c r="N97" s="362"/>
      <c r="Q97" s="364"/>
    </row>
    <row r="98" spans="14:17" ht="13" x14ac:dyDescent="0.3">
      <c r="N98" s="362"/>
      <c r="Q98" s="364"/>
    </row>
    <row r="99" spans="14:17" ht="13" x14ac:dyDescent="0.3">
      <c r="N99" s="362"/>
      <c r="Q99" s="364"/>
    </row>
    <row r="100" spans="14:17" ht="13" x14ac:dyDescent="0.3">
      <c r="N100" s="362"/>
      <c r="Q100" s="364"/>
    </row>
    <row r="101" spans="14:17" ht="13" x14ac:dyDescent="0.3">
      <c r="N101" s="362"/>
      <c r="P101" s="368"/>
      <c r="Q101" s="364"/>
    </row>
    <row r="102" spans="14:17" ht="13" x14ac:dyDescent="0.3">
      <c r="N102" s="362"/>
      <c r="P102" s="368"/>
      <c r="Q102" s="364"/>
    </row>
    <row r="103" spans="14:17" ht="13" x14ac:dyDescent="0.3">
      <c r="N103" s="362"/>
      <c r="P103" s="368"/>
      <c r="Q103" s="364"/>
    </row>
    <row r="104" spans="14:17" ht="13" x14ac:dyDescent="0.3">
      <c r="N104" s="362"/>
      <c r="Q104" s="364"/>
    </row>
    <row r="105" spans="14:17" ht="13" x14ac:dyDescent="0.3">
      <c r="N105" s="362"/>
      <c r="Q105" s="364"/>
    </row>
    <row r="106" spans="14:17" ht="13" x14ac:dyDescent="0.3">
      <c r="N106" s="362"/>
      <c r="Q106" s="364"/>
    </row>
    <row r="107" spans="14:17" ht="13" x14ac:dyDescent="0.3">
      <c r="N107" s="362"/>
      <c r="Q107" s="364"/>
    </row>
    <row r="108" spans="14:17" ht="13" x14ac:dyDescent="0.3">
      <c r="N108" s="362"/>
      <c r="Q108" s="364"/>
    </row>
    <row r="109" spans="14:17" ht="13" x14ac:dyDescent="0.3">
      <c r="N109" s="362"/>
      <c r="Q109" s="364"/>
    </row>
    <row r="110" spans="14:17" ht="13" x14ac:dyDescent="0.3">
      <c r="N110" s="362"/>
      <c r="Q110" s="364"/>
    </row>
    <row r="111" spans="14:17" ht="13" x14ac:dyDescent="0.3">
      <c r="N111" s="362"/>
      <c r="Q111" s="364"/>
    </row>
    <row r="112" spans="14:17" ht="13" x14ac:dyDescent="0.3">
      <c r="N112" s="362"/>
      <c r="Q112" s="364"/>
    </row>
    <row r="113" spans="14:17" ht="13" x14ac:dyDescent="0.3">
      <c r="N113" s="362"/>
      <c r="Q113" s="364"/>
    </row>
    <row r="114" spans="14:17" ht="13" x14ac:dyDescent="0.3">
      <c r="N114" s="362"/>
      <c r="Q114" s="364"/>
    </row>
    <row r="115" spans="14:17" ht="13" x14ac:dyDescent="0.3">
      <c r="N115" s="362"/>
      <c r="Q115" s="364"/>
    </row>
    <row r="116" spans="14:17" ht="13" x14ac:dyDescent="0.3">
      <c r="N116" s="362"/>
      <c r="Q116" s="364"/>
    </row>
    <row r="117" spans="14:17" ht="13" x14ac:dyDescent="0.3">
      <c r="N117" s="362"/>
      <c r="Q117" s="364"/>
    </row>
    <row r="118" spans="14:17" ht="13" x14ac:dyDescent="0.3">
      <c r="N118" s="362"/>
      <c r="Q118" s="364"/>
    </row>
    <row r="119" spans="14:17" ht="13" x14ac:dyDescent="0.3">
      <c r="N119" s="362"/>
      <c r="P119" s="368"/>
      <c r="Q119" s="364"/>
    </row>
    <row r="120" spans="14:17" ht="13" x14ac:dyDescent="0.3">
      <c r="N120" s="362"/>
      <c r="Q120" s="364"/>
    </row>
    <row r="121" spans="14:17" ht="13" x14ac:dyDescent="0.3">
      <c r="N121" s="362"/>
      <c r="P121" s="368"/>
      <c r="Q121" s="364"/>
    </row>
    <row r="122" spans="14:17" ht="13" x14ac:dyDescent="0.3">
      <c r="N122" s="362"/>
      <c r="Q122" s="364"/>
    </row>
    <row r="123" spans="14:17" ht="13" x14ac:dyDescent="0.3">
      <c r="N123" s="362"/>
      <c r="Q123" s="364"/>
    </row>
    <row r="124" spans="14:17" ht="13" x14ac:dyDescent="0.3">
      <c r="N124" s="362"/>
      <c r="P124" s="368"/>
      <c r="Q124" s="364"/>
    </row>
    <row r="125" spans="14:17" ht="13" x14ac:dyDescent="0.3">
      <c r="N125" s="362"/>
      <c r="P125" s="368"/>
      <c r="Q125" s="364"/>
    </row>
    <row r="126" spans="14:17" ht="13" x14ac:dyDescent="0.3">
      <c r="N126" s="362"/>
      <c r="Q126" s="364"/>
    </row>
    <row r="127" spans="14:17" ht="13" x14ac:dyDescent="0.3">
      <c r="N127" s="362"/>
      <c r="Q127" s="364"/>
    </row>
    <row r="128" spans="14:17" ht="13" x14ac:dyDescent="0.3">
      <c r="N128" s="362"/>
      <c r="Q128" s="364"/>
    </row>
    <row r="129" spans="14:17" ht="13" x14ac:dyDescent="0.3">
      <c r="N129" s="362"/>
      <c r="Q129" s="364"/>
    </row>
    <row r="130" spans="14:17" ht="13" x14ac:dyDescent="0.3">
      <c r="N130" s="362"/>
      <c r="Q130" s="364"/>
    </row>
    <row r="131" spans="14:17" ht="13" x14ac:dyDescent="0.3">
      <c r="N131" s="362"/>
      <c r="Q131" s="364"/>
    </row>
    <row r="132" spans="14:17" ht="13" x14ac:dyDescent="0.3">
      <c r="N132" s="362"/>
      <c r="Q132" s="364"/>
    </row>
    <row r="133" spans="14:17" ht="13" x14ac:dyDescent="0.3">
      <c r="N133" s="362"/>
      <c r="Q133" s="364"/>
    </row>
    <row r="134" spans="14:17" ht="13" x14ac:dyDescent="0.3">
      <c r="N134" s="362"/>
      <c r="Q134" s="364"/>
    </row>
    <row r="135" spans="14:17" ht="13" x14ac:dyDescent="0.3">
      <c r="N135" s="362"/>
      <c r="Q135" s="364"/>
    </row>
    <row r="136" spans="14:17" ht="13" x14ac:dyDescent="0.3">
      <c r="N136" s="362"/>
      <c r="Q136" s="364"/>
    </row>
    <row r="137" spans="14:17" ht="13" x14ac:dyDescent="0.3">
      <c r="N137" s="362"/>
      <c r="Q137" s="364"/>
    </row>
    <row r="138" spans="14:17" ht="13" x14ac:dyDescent="0.3">
      <c r="N138" s="362"/>
      <c r="Q138" s="364"/>
    </row>
    <row r="139" spans="14:17" ht="13" x14ac:dyDescent="0.3">
      <c r="N139" s="362"/>
      <c r="Q139" s="364"/>
    </row>
    <row r="140" spans="14:17" ht="13" x14ac:dyDescent="0.3">
      <c r="N140" s="362"/>
      <c r="Q140" s="364"/>
    </row>
    <row r="141" spans="14:17" ht="13" x14ac:dyDescent="0.3">
      <c r="N141" s="362"/>
      <c r="Q141" s="364"/>
    </row>
    <row r="142" spans="14:17" ht="13" x14ac:dyDescent="0.3">
      <c r="N142" s="362"/>
      <c r="Q142" s="364"/>
    </row>
    <row r="143" spans="14:17" ht="13" x14ac:dyDescent="0.3">
      <c r="N143" s="362"/>
      <c r="Q143" s="364"/>
    </row>
    <row r="144" spans="14:17" ht="13" x14ac:dyDescent="0.3">
      <c r="N144" s="362"/>
      <c r="Q144" s="364"/>
    </row>
    <row r="145" spans="14:17" ht="13" x14ac:dyDescent="0.3">
      <c r="N145" s="362"/>
      <c r="P145" s="368"/>
      <c r="Q145" s="364"/>
    </row>
    <row r="146" spans="14:17" ht="13" x14ac:dyDescent="0.3">
      <c r="N146" s="362"/>
      <c r="Q146" s="364"/>
    </row>
    <row r="147" spans="14:17" ht="13" x14ac:dyDescent="0.3">
      <c r="N147" s="362"/>
      <c r="Q147" s="364"/>
    </row>
    <row r="148" spans="14:17" ht="13" x14ac:dyDescent="0.3">
      <c r="N148" s="362"/>
      <c r="Q148" s="364"/>
    </row>
    <row r="149" spans="14:17" ht="13" x14ac:dyDescent="0.3">
      <c r="N149" s="362"/>
      <c r="Q149" s="364"/>
    </row>
    <row r="150" spans="14:17" ht="13" x14ac:dyDescent="0.3">
      <c r="N150" s="362"/>
      <c r="Q150" s="364"/>
    </row>
    <row r="151" spans="14:17" ht="13" x14ac:dyDescent="0.3">
      <c r="N151" s="362"/>
      <c r="P151" s="368"/>
      <c r="Q151" s="364"/>
    </row>
    <row r="152" spans="14:17" ht="13" x14ac:dyDescent="0.3">
      <c r="N152" s="362"/>
      <c r="Q152" s="364"/>
    </row>
    <row r="153" spans="14:17" ht="13" x14ac:dyDescent="0.3">
      <c r="N153" s="362"/>
      <c r="P153" s="368"/>
      <c r="Q153" s="364"/>
    </row>
    <row r="154" spans="14:17" ht="13" x14ac:dyDescent="0.3">
      <c r="N154" s="362"/>
      <c r="Q154" s="364"/>
    </row>
    <row r="155" spans="14:17" ht="13" x14ac:dyDescent="0.3">
      <c r="N155" s="362"/>
      <c r="Q155" s="364"/>
    </row>
    <row r="156" spans="14:17" ht="13" x14ac:dyDescent="0.3">
      <c r="N156" s="362"/>
      <c r="Q156" s="364"/>
    </row>
    <row r="157" spans="14:17" ht="13" x14ac:dyDescent="0.3">
      <c r="N157" s="362"/>
      <c r="P157" s="368"/>
      <c r="Q157" s="364"/>
    </row>
    <row r="158" spans="14:17" ht="13" x14ac:dyDescent="0.3">
      <c r="N158" s="362"/>
      <c r="P158" s="368"/>
      <c r="Q158" s="364"/>
    </row>
    <row r="159" spans="14:17" ht="13" x14ac:dyDescent="0.3">
      <c r="N159" s="362"/>
      <c r="P159" s="368"/>
      <c r="Q159" s="364"/>
    </row>
    <row r="160" spans="14:17" ht="13" x14ac:dyDescent="0.3">
      <c r="N160" s="362"/>
      <c r="Q160" s="364"/>
    </row>
    <row r="161" spans="14:17" ht="13" x14ac:dyDescent="0.3">
      <c r="N161" s="362"/>
      <c r="Q161" s="364"/>
    </row>
    <row r="162" spans="14:17" ht="13" x14ac:dyDescent="0.3">
      <c r="N162" s="362"/>
      <c r="P162" s="368"/>
      <c r="Q162" s="364"/>
    </row>
    <row r="163" spans="14:17" ht="13" x14ac:dyDescent="0.3">
      <c r="N163" s="362"/>
      <c r="Q163" s="364"/>
    </row>
    <row r="164" spans="14:17" ht="13" x14ac:dyDescent="0.3">
      <c r="N164" s="362"/>
      <c r="P164" s="368"/>
      <c r="Q164" s="364"/>
    </row>
    <row r="165" spans="14:17" ht="13" x14ac:dyDescent="0.3">
      <c r="N165" s="362"/>
      <c r="Q165" s="364"/>
    </row>
    <row r="166" spans="14:17" ht="13" x14ac:dyDescent="0.3">
      <c r="N166" s="362"/>
      <c r="P166" s="368"/>
      <c r="Q166" s="364"/>
    </row>
    <row r="167" spans="14:17" ht="13" x14ac:dyDescent="0.3">
      <c r="N167" s="362"/>
      <c r="P167" s="368"/>
      <c r="Q167" s="364"/>
    </row>
    <row r="168" spans="14:17" ht="13" x14ac:dyDescent="0.3">
      <c r="N168" s="362"/>
      <c r="P168" s="368"/>
      <c r="Q168" s="364"/>
    </row>
    <row r="169" spans="14:17" ht="13" x14ac:dyDescent="0.3">
      <c r="N169" s="362"/>
      <c r="Q169" s="364"/>
    </row>
    <row r="170" spans="14:17" ht="13" x14ac:dyDescent="0.3">
      <c r="N170" s="362"/>
      <c r="Q170" s="364"/>
    </row>
    <row r="171" spans="14:17" ht="13" x14ac:dyDescent="0.3">
      <c r="N171" s="362"/>
      <c r="Q171" s="364"/>
    </row>
    <row r="172" spans="14:17" ht="13" x14ac:dyDescent="0.3">
      <c r="N172" s="362"/>
      <c r="Q172" s="364"/>
    </row>
    <row r="173" spans="14:17" ht="13" x14ac:dyDescent="0.3">
      <c r="N173" s="362"/>
      <c r="Q173" s="364"/>
    </row>
    <row r="174" spans="14:17" ht="13" x14ac:dyDescent="0.3">
      <c r="N174" s="362"/>
      <c r="P174" s="368"/>
      <c r="Q174" s="364"/>
    </row>
    <row r="175" spans="14:17" ht="13" x14ac:dyDescent="0.3">
      <c r="N175" s="362"/>
      <c r="P175" s="368"/>
      <c r="Q175" s="364"/>
    </row>
    <row r="176" spans="14:17" ht="13" x14ac:dyDescent="0.3">
      <c r="N176" s="362"/>
      <c r="Q176" s="364"/>
    </row>
    <row r="177" spans="14:17" ht="13" x14ac:dyDescent="0.3">
      <c r="N177" s="362"/>
      <c r="Q177" s="364"/>
    </row>
    <row r="178" spans="14:17" ht="13" x14ac:dyDescent="0.3">
      <c r="N178" s="362"/>
      <c r="P178" s="368"/>
      <c r="Q178" s="364"/>
    </row>
    <row r="179" spans="14:17" ht="13" x14ac:dyDescent="0.3">
      <c r="N179" s="362"/>
      <c r="P179" s="368"/>
      <c r="Q179" s="364"/>
    </row>
    <row r="180" spans="14:17" ht="13" x14ac:dyDescent="0.3">
      <c r="N180" s="362"/>
      <c r="P180" s="368"/>
      <c r="Q180" s="364"/>
    </row>
    <row r="181" spans="14:17" ht="13" x14ac:dyDescent="0.3">
      <c r="N181" s="362"/>
      <c r="P181" s="368"/>
      <c r="Q181" s="364"/>
    </row>
    <row r="182" spans="14:17" ht="13" x14ac:dyDescent="0.3">
      <c r="N182" s="362"/>
      <c r="P182" s="368"/>
      <c r="Q182" s="364"/>
    </row>
    <row r="183" spans="14:17" ht="13" x14ac:dyDescent="0.3">
      <c r="N183" s="362"/>
      <c r="P183" s="368"/>
      <c r="Q183" s="364"/>
    </row>
    <row r="184" spans="14:17" ht="13" x14ac:dyDescent="0.3">
      <c r="N184" s="362"/>
      <c r="Q184" s="364"/>
    </row>
    <row r="185" spans="14:17" ht="13" x14ac:dyDescent="0.3">
      <c r="N185" s="362"/>
      <c r="Q185" s="364"/>
    </row>
    <row r="186" spans="14:17" ht="13" x14ac:dyDescent="0.3">
      <c r="N186" s="362"/>
      <c r="Q186" s="364"/>
    </row>
    <row r="187" spans="14:17" ht="13" x14ac:dyDescent="0.3">
      <c r="N187" s="362"/>
      <c r="Q187" s="364"/>
    </row>
    <row r="188" spans="14:17" ht="13" x14ac:dyDescent="0.3">
      <c r="N188" s="362"/>
      <c r="P188" s="368"/>
      <c r="Q188" s="364"/>
    </row>
    <row r="189" spans="14:17" ht="13" x14ac:dyDescent="0.3">
      <c r="N189" s="362"/>
      <c r="Q189" s="364"/>
    </row>
    <row r="190" spans="14:17" ht="13" x14ac:dyDescent="0.3">
      <c r="N190" s="362"/>
      <c r="P190" s="368"/>
      <c r="Q190" s="364"/>
    </row>
    <row r="191" spans="14:17" ht="13" x14ac:dyDescent="0.3">
      <c r="N191" s="362"/>
      <c r="Q191" s="364"/>
    </row>
    <row r="192" spans="14:17" ht="13" x14ac:dyDescent="0.3">
      <c r="N192" s="362"/>
      <c r="Q192" s="364"/>
    </row>
    <row r="193" spans="14:17" ht="13" x14ac:dyDescent="0.3">
      <c r="N193" s="362"/>
      <c r="P193" s="368"/>
      <c r="Q193" s="364"/>
    </row>
    <row r="194" spans="14:17" ht="13" x14ac:dyDescent="0.3">
      <c r="N194" s="362"/>
      <c r="Q194" s="364"/>
    </row>
    <row r="195" spans="14:17" ht="13" x14ac:dyDescent="0.3">
      <c r="N195" s="362"/>
      <c r="Q195" s="364"/>
    </row>
    <row r="196" spans="14:17" ht="13" x14ac:dyDescent="0.3">
      <c r="N196" s="362"/>
      <c r="Q196" s="364"/>
    </row>
    <row r="197" spans="14:17" ht="13" x14ac:dyDescent="0.3">
      <c r="N197" s="362"/>
      <c r="Q197" s="364"/>
    </row>
    <row r="198" spans="14:17" ht="13" x14ac:dyDescent="0.3">
      <c r="N198" s="362"/>
      <c r="Q198" s="364"/>
    </row>
    <row r="199" spans="14:17" ht="13" x14ac:dyDescent="0.3">
      <c r="N199" s="362"/>
      <c r="P199" s="368"/>
      <c r="Q199" s="364"/>
    </row>
    <row r="200" spans="14:17" ht="13" x14ac:dyDescent="0.3">
      <c r="N200" s="362"/>
      <c r="Q200" s="364"/>
    </row>
    <row r="201" spans="14:17" ht="13" x14ac:dyDescent="0.3">
      <c r="N201" s="362"/>
      <c r="Q201" s="364"/>
    </row>
    <row r="202" spans="14:17" ht="13" x14ac:dyDescent="0.3">
      <c r="N202" s="362"/>
      <c r="Q202" s="364"/>
    </row>
    <row r="203" spans="14:17" ht="13" x14ac:dyDescent="0.3">
      <c r="N203" s="362"/>
      <c r="Q203" s="364"/>
    </row>
    <row r="204" spans="14:17" ht="13" x14ac:dyDescent="0.3">
      <c r="N204" s="362"/>
      <c r="Q204" s="364"/>
    </row>
    <row r="205" spans="14:17" ht="13" x14ac:dyDescent="0.3">
      <c r="N205" s="362"/>
      <c r="Q205" s="364"/>
    </row>
    <row r="206" spans="14:17" ht="13" x14ac:dyDescent="0.3">
      <c r="N206" s="362"/>
      <c r="P206" s="368"/>
      <c r="Q206" s="364"/>
    </row>
    <row r="207" spans="14:17" ht="13" x14ac:dyDescent="0.3">
      <c r="N207" s="362"/>
      <c r="Q207" s="364"/>
    </row>
    <row r="208" spans="14:17" ht="13" x14ac:dyDescent="0.3">
      <c r="N208" s="362"/>
      <c r="Q208" s="364"/>
    </row>
    <row r="209" spans="14:17" ht="13" x14ac:dyDescent="0.3">
      <c r="N209" s="362"/>
      <c r="P209" s="368"/>
      <c r="Q209" s="364"/>
    </row>
    <row r="210" spans="14:17" ht="13" x14ac:dyDescent="0.3">
      <c r="N210" s="362"/>
      <c r="P210" s="368"/>
      <c r="Q210" s="364"/>
    </row>
    <row r="211" spans="14:17" ht="13" x14ac:dyDescent="0.3">
      <c r="N211" s="362"/>
      <c r="Q211" s="364"/>
    </row>
    <row r="212" spans="14:17" ht="13" x14ac:dyDescent="0.3">
      <c r="N212" s="362"/>
      <c r="Q212" s="364"/>
    </row>
    <row r="213" spans="14:17" ht="13" x14ac:dyDescent="0.3">
      <c r="N213" s="362"/>
      <c r="Q213" s="364"/>
    </row>
    <row r="214" spans="14:17" ht="13" x14ac:dyDescent="0.3">
      <c r="N214" s="362"/>
      <c r="Q214" s="364"/>
    </row>
    <row r="215" spans="14:17" ht="13" x14ac:dyDescent="0.3">
      <c r="N215" s="362"/>
      <c r="Q215" s="364"/>
    </row>
    <row r="216" spans="14:17" ht="13" x14ac:dyDescent="0.3">
      <c r="N216" s="362"/>
      <c r="Q216" s="364"/>
    </row>
    <row r="217" spans="14:17" ht="13" x14ac:dyDescent="0.3">
      <c r="N217" s="362"/>
      <c r="Q217" s="364"/>
    </row>
    <row r="218" spans="14:17" ht="13" x14ac:dyDescent="0.3">
      <c r="N218" s="362"/>
      <c r="Q218" s="364"/>
    </row>
    <row r="219" spans="14:17" ht="13" x14ac:dyDescent="0.3">
      <c r="N219" s="362"/>
      <c r="Q219" s="364"/>
    </row>
    <row r="220" spans="14:17" ht="13" x14ac:dyDescent="0.3">
      <c r="N220" s="362"/>
      <c r="Q220" s="364"/>
    </row>
    <row r="221" spans="14:17" ht="13" x14ac:dyDescent="0.3">
      <c r="N221" s="362"/>
      <c r="Q221" s="364"/>
    </row>
    <row r="222" spans="14:17" ht="13" x14ac:dyDescent="0.3">
      <c r="N222" s="362"/>
      <c r="Q222" s="364"/>
    </row>
    <row r="223" spans="14:17" ht="13" x14ac:dyDescent="0.3">
      <c r="N223" s="362"/>
      <c r="Q223" s="364"/>
    </row>
    <row r="224" spans="14:17" ht="13" x14ac:dyDescent="0.3">
      <c r="N224" s="362"/>
      <c r="Q224" s="364"/>
    </row>
    <row r="225" spans="14:17" ht="13" x14ac:dyDescent="0.3">
      <c r="N225" s="362"/>
      <c r="Q225" s="364"/>
    </row>
    <row r="226" spans="14:17" ht="13" x14ac:dyDescent="0.3">
      <c r="N226" s="362"/>
      <c r="Q226" s="364"/>
    </row>
    <row r="227" spans="14:17" ht="13" x14ac:dyDescent="0.3">
      <c r="N227" s="362"/>
      <c r="Q227" s="364"/>
    </row>
    <row r="228" spans="14:17" ht="13" x14ac:dyDescent="0.3">
      <c r="N228" s="362"/>
      <c r="Q228" s="364"/>
    </row>
    <row r="229" spans="14:17" ht="13" x14ac:dyDescent="0.3">
      <c r="N229" s="362"/>
      <c r="P229" s="368"/>
      <c r="Q229" s="364"/>
    </row>
    <row r="230" spans="14:17" ht="13" x14ac:dyDescent="0.3">
      <c r="N230" s="362"/>
      <c r="P230" s="368"/>
      <c r="Q230" s="364"/>
    </row>
    <row r="231" spans="14:17" ht="13" x14ac:dyDescent="0.3">
      <c r="N231" s="362"/>
      <c r="Q231" s="364"/>
    </row>
    <row r="232" spans="14:17" ht="13" x14ac:dyDescent="0.3">
      <c r="N232" s="362"/>
      <c r="Q232" s="364"/>
    </row>
    <row r="233" spans="14:17" ht="13" x14ac:dyDescent="0.3">
      <c r="N233" s="362"/>
      <c r="Q233" s="364"/>
    </row>
    <row r="234" spans="14:17" ht="13" x14ac:dyDescent="0.3">
      <c r="N234" s="362"/>
      <c r="P234" s="368"/>
      <c r="Q234" s="364"/>
    </row>
    <row r="235" spans="14:17" ht="13" x14ac:dyDescent="0.3">
      <c r="N235" s="362"/>
      <c r="Q235" s="364"/>
    </row>
    <row r="236" spans="14:17" ht="13" x14ac:dyDescent="0.3">
      <c r="N236" s="362"/>
      <c r="Q236" s="364"/>
    </row>
    <row r="237" spans="14:17" ht="13" x14ac:dyDescent="0.3">
      <c r="N237" s="362"/>
      <c r="Q237" s="364"/>
    </row>
    <row r="238" spans="14:17" ht="13" x14ac:dyDescent="0.3">
      <c r="N238" s="362"/>
      <c r="Q238" s="364"/>
    </row>
    <row r="239" spans="14:17" ht="13" x14ac:dyDescent="0.3">
      <c r="N239" s="362"/>
      <c r="Q239" s="364"/>
    </row>
    <row r="240" spans="14:17" ht="13" x14ac:dyDescent="0.3">
      <c r="N240" s="362"/>
      <c r="Q240" s="364"/>
    </row>
    <row r="241" spans="14:17" ht="13" x14ac:dyDescent="0.3">
      <c r="N241" s="362"/>
      <c r="Q241" s="364"/>
    </row>
    <row r="242" spans="14:17" ht="13" x14ac:dyDescent="0.3">
      <c r="N242" s="362"/>
      <c r="P242" s="368"/>
      <c r="Q242" s="364"/>
    </row>
    <row r="243" spans="14:17" ht="13" x14ac:dyDescent="0.3">
      <c r="N243" s="362"/>
      <c r="Q243" s="364"/>
    </row>
    <row r="244" spans="14:17" ht="13" x14ac:dyDescent="0.3">
      <c r="N244" s="362"/>
      <c r="Q244" s="364"/>
    </row>
    <row r="245" spans="14:17" ht="13" x14ac:dyDescent="0.3">
      <c r="N245" s="362"/>
      <c r="Q245" s="364"/>
    </row>
    <row r="246" spans="14:17" ht="13" x14ac:dyDescent="0.3">
      <c r="N246" s="362"/>
      <c r="Q246" s="364"/>
    </row>
    <row r="247" spans="14:17" ht="13" x14ac:dyDescent="0.3">
      <c r="N247" s="362"/>
      <c r="Q247" s="364"/>
    </row>
    <row r="248" spans="14:17" ht="13" x14ac:dyDescent="0.3">
      <c r="N248" s="362"/>
      <c r="Q248" s="364"/>
    </row>
    <row r="249" spans="14:17" ht="13" x14ac:dyDescent="0.3">
      <c r="N249" s="362"/>
      <c r="Q249" s="364"/>
    </row>
    <row r="250" spans="14:17" ht="13" x14ac:dyDescent="0.3">
      <c r="N250" s="362"/>
      <c r="Q250" s="364"/>
    </row>
    <row r="251" spans="14:17" ht="13" x14ac:dyDescent="0.3">
      <c r="N251" s="362"/>
      <c r="P251" s="368"/>
      <c r="Q251" s="364"/>
    </row>
    <row r="252" spans="14:17" ht="13" x14ac:dyDescent="0.3">
      <c r="N252" s="362"/>
      <c r="P252" s="368"/>
      <c r="Q252" s="364"/>
    </row>
    <row r="253" spans="14:17" ht="13" x14ac:dyDescent="0.3">
      <c r="N253" s="362"/>
      <c r="P253" s="368"/>
      <c r="Q253" s="364"/>
    </row>
    <row r="254" spans="14:17" ht="13" x14ac:dyDescent="0.3">
      <c r="N254" s="362"/>
      <c r="P254" s="368"/>
      <c r="Q254" s="364"/>
    </row>
    <row r="255" spans="14:17" ht="13" x14ac:dyDescent="0.3">
      <c r="N255" s="362"/>
      <c r="Q255" s="364"/>
    </row>
    <row r="256" spans="14:17" ht="13" x14ac:dyDescent="0.3">
      <c r="N256" s="362"/>
      <c r="Q256" s="364"/>
    </row>
    <row r="257" spans="14:17" ht="13" x14ac:dyDescent="0.3">
      <c r="N257" s="362"/>
      <c r="Q257" s="364"/>
    </row>
    <row r="258" spans="14:17" ht="13" x14ac:dyDescent="0.3">
      <c r="N258" s="362"/>
      <c r="Q258" s="364"/>
    </row>
    <row r="259" spans="14:17" ht="13" x14ac:dyDescent="0.3">
      <c r="N259" s="362"/>
      <c r="Q259" s="364"/>
    </row>
    <row r="260" spans="14:17" ht="13" x14ac:dyDescent="0.3">
      <c r="N260" s="362"/>
      <c r="Q260" s="364"/>
    </row>
    <row r="261" spans="14:17" ht="13" x14ac:dyDescent="0.3">
      <c r="N261" s="362"/>
      <c r="Q261" s="364"/>
    </row>
    <row r="262" spans="14:17" ht="13" x14ac:dyDescent="0.3">
      <c r="N262" s="362"/>
      <c r="Q262" s="364"/>
    </row>
    <row r="263" spans="14:17" ht="13" x14ac:dyDescent="0.3">
      <c r="N263" s="362"/>
      <c r="Q263" s="364"/>
    </row>
    <row r="264" spans="14:17" ht="13" x14ac:dyDescent="0.3">
      <c r="N264" s="362"/>
      <c r="P264" s="368"/>
      <c r="Q264" s="364"/>
    </row>
    <row r="265" spans="14:17" ht="13" x14ac:dyDescent="0.3">
      <c r="N265" s="362"/>
      <c r="P265" s="368"/>
      <c r="Q265" s="364"/>
    </row>
    <row r="266" spans="14:17" ht="13" x14ac:dyDescent="0.3">
      <c r="N266" s="362"/>
      <c r="Q266" s="364"/>
    </row>
    <row r="267" spans="14:17" ht="13" x14ac:dyDescent="0.3">
      <c r="N267" s="362"/>
      <c r="Q267" s="364"/>
    </row>
    <row r="268" spans="14:17" ht="13" x14ac:dyDescent="0.3">
      <c r="N268" s="362"/>
      <c r="Q268" s="364"/>
    </row>
    <row r="269" spans="14:17" ht="13" x14ac:dyDescent="0.3">
      <c r="N269" s="362"/>
      <c r="P269" s="368"/>
      <c r="Q269" s="364"/>
    </row>
    <row r="270" spans="14:17" ht="13" x14ac:dyDescent="0.3">
      <c r="N270" s="362"/>
      <c r="P270" s="368"/>
      <c r="Q270" s="364"/>
    </row>
    <row r="271" spans="14:17" ht="13" x14ac:dyDescent="0.3">
      <c r="N271" s="362"/>
      <c r="Q271" s="364"/>
    </row>
    <row r="272" spans="14:17" ht="13" x14ac:dyDescent="0.3">
      <c r="N272" s="362"/>
      <c r="Q272" s="364"/>
    </row>
    <row r="273" spans="14:17" ht="13" x14ac:dyDescent="0.3">
      <c r="N273" s="362"/>
      <c r="Q273" s="364"/>
    </row>
    <row r="274" spans="14:17" ht="13" x14ac:dyDescent="0.3">
      <c r="N274" s="362"/>
      <c r="Q274" s="364"/>
    </row>
    <row r="275" spans="14:17" ht="13" x14ac:dyDescent="0.3">
      <c r="N275" s="362"/>
      <c r="Q275" s="364"/>
    </row>
    <row r="276" spans="14:17" ht="13" x14ac:dyDescent="0.3">
      <c r="N276" s="362"/>
      <c r="Q276" s="364"/>
    </row>
    <row r="277" spans="14:17" ht="13" x14ac:dyDescent="0.3">
      <c r="N277" s="362"/>
      <c r="Q277" s="364"/>
    </row>
    <row r="278" spans="14:17" ht="13" x14ac:dyDescent="0.3">
      <c r="N278" s="362"/>
      <c r="P278" s="368"/>
      <c r="Q278" s="364"/>
    </row>
    <row r="279" spans="14:17" ht="13" x14ac:dyDescent="0.3">
      <c r="N279" s="362"/>
      <c r="P279" s="368"/>
      <c r="Q279" s="364"/>
    </row>
    <row r="280" spans="14:17" ht="13" x14ac:dyDescent="0.3">
      <c r="N280" s="362"/>
      <c r="Q280" s="364"/>
    </row>
    <row r="281" spans="14:17" ht="13" x14ac:dyDescent="0.3">
      <c r="N281" s="362"/>
      <c r="Q281" s="364"/>
    </row>
    <row r="282" spans="14:17" ht="13" x14ac:dyDescent="0.3">
      <c r="N282" s="362"/>
      <c r="Q282" s="364"/>
    </row>
    <row r="283" spans="14:17" ht="13" x14ac:dyDescent="0.3">
      <c r="N283" s="362"/>
      <c r="P283" s="368"/>
      <c r="Q283" s="364"/>
    </row>
    <row r="284" spans="14:17" ht="13" x14ac:dyDescent="0.3">
      <c r="N284" s="362"/>
      <c r="Q284" s="364"/>
    </row>
    <row r="285" spans="14:17" ht="13" x14ac:dyDescent="0.3">
      <c r="N285" s="362"/>
      <c r="Q285" s="364"/>
    </row>
    <row r="286" spans="14:17" ht="13" x14ac:dyDescent="0.3">
      <c r="N286" s="362"/>
      <c r="Q286" s="364"/>
    </row>
    <row r="287" spans="14:17" ht="13" x14ac:dyDescent="0.3">
      <c r="N287" s="362"/>
      <c r="Q287" s="364"/>
    </row>
    <row r="288" spans="14:17" ht="13" x14ac:dyDescent="0.3">
      <c r="N288" s="362"/>
      <c r="Q288" s="364"/>
    </row>
    <row r="289" spans="14:17" ht="13" x14ac:dyDescent="0.3">
      <c r="N289" s="362"/>
      <c r="Q289" s="364"/>
    </row>
    <row r="290" spans="14:17" ht="13" x14ac:dyDescent="0.3">
      <c r="N290" s="362"/>
      <c r="Q290" s="364"/>
    </row>
    <row r="291" spans="14:17" ht="13" x14ac:dyDescent="0.3">
      <c r="N291" s="362"/>
      <c r="Q291" s="364"/>
    </row>
    <row r="292" spans="14:17" ht="13" x14ac:dyDescent="0.3">
      <c r="N292" s="362"/>
      <c r="P292" s="368"/>
      <c r="Q292" s="364"/>
    </row>
    <row r="293" spans="14:17" ht="13" x14ac:dyDescent="0.3">
      <c r="N293" s="362"/>
      <c r="Q293" s="364"/>
    </row>
    <row r="294" spans="14:17" ht="13" x14ac:dyDescent="0.3">
      <c r="N294" s="362"/>
      <c r="P294" s="368"/>
      <c r="Q294" s="364"/>
    </row>
    <row r="295" spans="14:17" ht="13" x14ac:dyDescent="0.3">
      <c r="N295" s="362"/>
      <c r="P295" s="368"/>
      <c r="Q295" s="364"/>
    </row>
    <row r="296" spans="14:17" ht="13" x14ac:dyDescent="0.3">
      <c r="N296" s="362"/>
      <c r="Q296" s="364"/>
    </row>
    <row r="297" spans="14:17" ht="13" x14ac:dyDescent="0.3">
      <c r="N297" s="362"/>
      <c r="Q297" s="364"/>
    </row>
    <row r="298" spans="14:17" ht="13" x14ac:dyDescent="0.3">
      <c r="N298" s="362"/>
      <c r="Q298" s="364"/>
    </row>
    <row r="299" spans="14:17" ht="13" x14ac:dyDescent="0.3">
      <c r="N299" s="362"/>
      <c r="Q299" s="364"/>
    </row>
    <row r="300" spans="14:17" ht="13" x14ac:dyDescent="0.3">
      <c r="N300" s="362"/>
      <c r="Q300" s="364"/>
    </row>
    <row r="301" spans="14:17" ht="13" x14ac:dyDescent="0.3">
      <c r="N301" s="362"/>
      <c r="Q301" s="364"/>
    </row>
    <row r="302" spans="14:17" ht="13" x14ac:dyDescent="0.3">
      <c r="N302" s="362"/>
      <c r="Q302" s="364"/>
    </row>
    <row r="303" spans="14:17" ht="13" x14ac:dyDescent="0.3">
      <c r="N303" s="362"/>
      <c r="Q303" s="364"/>
    </row>
    <row r="304" spans="14:17" ht="13" x14ac:dyDescent="0.3">
      <c r="N304" s="362"/>
      <c r="Q304" s="364"/>
    </row>
    <row r="305" spans="14:17" ht="13" x14ac:dyDescent="0.3">
      <c r="N305" s="362"/>
      <c r="Q305" s="364"/>
    </row>
    <row r="306" spans="14:17" ht="13" x14ac:dyDescent="0.3">
      <c r="N306" s="362"/>
      <c r="Q306" s="364"/>
    </row>
    <row r="307" spans="14:17" ht="13" x14ac:dyDescent="0.3">
      <c r="N307" s="362"/>
      <c r="Q307" s="364"/>
    </row>
    <row r="308" spans="14:17" ht="13" x14ac:dyDescent="0.3">
      <c r="N308" s="362"/>
      <c r="Q308" s="364"/>
    </row>
    <row r="309" spans="14:17" ht="13" x14ac:dyDescent="0.3">
      <c r="N309" s="362"/>
      <c r="Q309" s="364"/>
    </row>
    <row r="310" spans="14:17" ht="13" x14ac:dyDescent="0.3">
      <c r="N310" s="362"/>
      <c r="Q310" s="364"/>
    </row>
    <row r="311" spans="14:17" ht="13" x14ac:dyDescent="0.3">
      <c r="N311" s="362"/>
      <c r="Q311" s="364"/>
    </row>
    <row r="312" spans="14:17" ht="13" x14ac:dyDescent="0.3">
      <c r="N312" s="362"/>
      <c r="Q312" s="364"/>
    </row>
    <row r="313" spans="14:17" ht="13" x14ac:dyDescent="0.3">
      <c r="N313" s="362"/>
      <c r="P313" s="368"/>
      <c r="Q313" s="364"/>
    </row>
    <row r="314" spans="14:17" ht="13" x14ac:dyDescent="0.3">
      <c r="N314" s="362"/>
      <c r="P314" s="368"/>
      <c r="Q314" s="364"/>
    </row>
    <row r="315" spans="14:17" ht="13" x14ac:dyDescent="0.3">
      <c r="N315" s="362"/>
      <c r="Q315" s="364"/>
    </row>
    <row r="316" spans="14:17" ht="13" x14ac:dyDescent="0.3">
      <c r="N316" s="362"/>
      <c r="P316" s="368"/>
      <c r="Q316" s="364"/>
    </row>
    <row r="317" spans="14:17" ht="13" x14ac:dyDescent="0.3">
      <c r="N317" s="362"/>
      <c r="Q317" s="364"/>
    </row>
    <row r="318" spans="14:17" ht="13" x14ac:dyDescent="0.3">
      <c r="N318" s="362"/>
      <c r="Q318" s="364"/>
    </row>
    <row r="319" spans="14:17" ht="13" x14ac:dyDescent="0.3">
      <c r="N319" s="362"/>
      <c r="Q319" s="364"/>
    </row>
    <row r="320" spans="14:17" ht="13" x14ac:dyDescent="0.3">
      <c r="N320" s="362"/>
      <c r="Q320" s="364"/>
    </row>
    <row r="321" spans="14:17" ht="13" x14ac:dyDescent="0.3">
      <c r="N321" s="362"/>
      <c r="Q321" s="364"/>
    </row>
    <row r="322" spans="14:17" ht="13" x14ac:dyDescent="0.3">
      <c r="N322" s="362"/>
      <c r="Q322" s="364"/>
    </row>
    <row r="323" spans="14:17" ht="13" x14ac:dyDescent="0.3">
      <c r="N323" s="362"/>
      <c r="Q323" s="364"/>
    </row>
    <row r="324" spans="14:17" ht="13" x14ac:dyDescent="0.3">
      <c r="N324" s="362"/>
      <c r="Q324" s="364"/>
    </row>
    <row r="325" spans="14:17" ht="13" x14ac:dyDescent="0.3">
      <c r="N325" s="362"/>
      <c r="Q325" s="364"/>
    </row>
    <row r="326" spans="14:17" ht="13" x14ac:dyDescent="0.3">
      <c r="N326" s="362"/>
      <c r="Q326" s="364"/>
    </row>
    <row r="327" spans="14:17" ht="13" x14ac:dyDescent="0.3">
      <c r="N327" s="362"/>
      <c r="P327" s="368"/>
      <c r="Q327" s="364"/>
    </row>
    <row r="328" spans="14:17" ht="13" x14ac:dyDescent="0.3">
      <c r="N328" s="362"/>
      <c r="P328" s="368"/>
      <c r="Q328" s="364"/>
    </row>
    <row r="329" spans="14:17" ht="13" x14ac:dyDescent="0.3">
      <c r="N329" s="362"/>
      <c r="Q329" s="364"/>
    </row>
    <row r="330" spans="14:17" ht="13" x14ac:dyDescent="0.3">
      <c r="N330" s="362"/>
      <c r="Q330" s="364"/>
    </row>
    <row r="331" spans="14:17" ht="13" x14ac:dyDescent="0.3">
      <c r="N331" s="362"/>
      <c r="P331" s="368"/>
      <c r="Q331" s="364"/>
    </row>
    <row r="332" spans="14:17" ht="13" x14ac:dyDescent="0.3">
      <c r="N332" s="362"/>
      <c r="Q332" s="364"/>
    </row>
    <row r="333" spans="14:17" ht="13" x14ac:dyDescent="0.3">
      <c r="N333" s="362"/>
      <c r="Q333" s="364"/>
    </row>
    <row r="334" spans="14:17" ht="13" x14ac:dyDescent="0.3">
      <c r="N334" s="362"/>
      <c r="Q334" s="364"/>
    </row>
    <row r="335" spans="14:17" ht="13" x14ac:dyDescent="0.3">
      <c r="N335" s="362"/>
      <c r="Q335" s="364"/>
    </row>
    <row r="336" spans="14:17" ht="13" x14ac:dyDescent="0.3">
      <c r="N336" s="362"/>
      <c r="P336" s="368"/>
      <c r="Q336" s="364"/>
    </row>
    <row r="337" spans="14:17" ht="13" x14ac:dyDescent="0.3">
      <c r="N337" s="362"/>
      <c r="Q337" s="364"/>
    </row>
    <row r="338" spans="14:17" ht="13" x14ac:dyDescent="0.3">
      <c r="N338" s="362"/>
      <c r="Q338" s="364"/>
    </row>
    <row r="339" spans="14:17" ht="13" x14ac:dyDescent="0.3">
      <c r="N339" s="362"/>
      <c r="Q339" s="364"/>
    </row>
    <row r="340" spans="14:17" ht="13" x14ac:dyDescent="0.3">
      <c r="N340" s="362"/>
      <c r="Q340" s="364"/>
    </row>
    <row r="341" spans="14:17" ht="13" x14ac:dyDescent="0.3">
      <c r="N341" s="362"/>
      <c r="Q341" s="364"/>
    </row>
    <row r="342" spans="14:17" ht="13" x14ac:dyDescent="0.3">
      <c r="N342" s="362"/>
      <c r="Q342" s="364"/>
    </row>
    <row r="343" spans="14:17" ht="13" x14ac:dyDescent="0.3">
      <c r="N343" s="362"/>
      <c r="Q343" s="364"/>
    </row>
    <row r="344" spans="14:17" ht="13" x14ac:dyDescent="0.3">
      <c r="N344" s="362"/>
      <c r="P344" s="368"/>
      <c r="Q344" s="364"/>
    </row>
    <row r="345" spans="14:17" ht="13" x14ac:dyDescent="0.3">
      <c r="N345" s="362"/>
      <c r="Q345" s="364"/>
    </row>
    <row r="346" spans="14:17" ht="13" x14ac:dyDescent="0.3">
      <c r="N346" s="362"/>
      <c r="Q346" s="364"/>
    </row>
    <row r="347" spans="14:17" ht="13" x14ac:dyDescent="0.3">
      <c r="N347" s="362"/>
      <c r="Q347" s="364"/>
    </row>
    <row r="348" spans="14:17" ht="13" x14ac:dyDescent="0.3">
      <c r="N348" s="362"/>
      <c r="P348" s="368"/>
      <c r="Q348" s="364"/>
    </row>
    <row r="349" spans="14:17" ht="13" x14ac:dyDescent="0.3">
      <c r="N349" s="362"/>
      <c r="Q349" s="364"/>
    </row>
    <row r="350" spans="14:17" ht="13" x14ac:dyDescent="0.3">
      <c r="N350" s="362"/>
      <c r="Q350" s="364"/>
    </row>
    <row r="351" spans="14:17" ht="13" x14ac:dyDescent="0.3">
      <c r="N351" s="362"/>
      <c r="Q351" s="364"/>
    </row>
    <row r="352" spans="14:17" ht="13" x14ac:dyDescent="0.3">
      <c r="N352" s="362"/>
      <c r="Q352" s="364"/>
    </row>
    <row r="353" spans="14:17" ht="13" x14ac:dyDescent="0.3">
      <c r="N353" s="362"/>
      <c r="Q353" s="364"/>
    </row>
    <row r="354" spans="14:17" ht="13" x14ac:dyDescent="0.3">
      <c r="N354" s="362"/>
      <c r="Q354" s="364"/>
    </row>
    <row r="355" spans="14:17" ht="13" x14ac:dyDescent="0.3">
      <c r="N355" s="362"/>
      <c r="P355" s="368"/>
      <c r="Q355" s="364"/>
    </row>
    <row r="356" spans="14:17" ht="13" x14ac:dyDescent="0.3">
      <c r="N356" s="362"/>
      <c r="Q356" s="364"/>
    </row>
    <row r="357" spans="14:17" ht="13" x14ac:dyDescent="0.3">
      <c r="N357" s="362"/>
      <c r="Q357" s="364"/>
    </row>
    <row r="358" spans="14:17" ht="13" x14ac:dyDescent="0.3">
      <c r="N358" s="362"/>
      <c r="Q358" s="364"/>
    </row>
  </sheetData>
  <sheetProtection password="BCD8" sheet="1" objects="1" scenarios="1"/>
  <phoneticPr fontId="0" type="noConversion"/>
  <pageMargins left="0.7" right="0.7" top="0.75" bottom="0.75" header="0.3" footer="0.3"/>
  <pageSetup paperSize="9" orientation="portrait" verticalDpi="300" r:id="rId1"/>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89315-B512-4577-AF22-3743D785373A}">
  <sheetPr codeName="Sheet87"/>
  <dimension ref="A1:AA358"/>
  <sheetViews>
    <sheetView showGridLines="0" workbookViewId="0">
      <selection activeCell="W22" sqref="W22"/>
    </sheetView>
  </sheetViews>
  <sheetFormatPr defaultColWidth="9.08984375" defaultRowHeight="12.5" x14ac:dyDescent="0.25"/>
  <cols>
    <col min="1" max="1" width="18.81640625" style="401" customWidth="1"/>
    <col min="2" max="7" width="9.08984375" style="401" hidden="1" customWidth="1"/>
    <col min="8" max="8" width="15.36328125" style="401" hidden="1" customWidth="1"/>
    <col min="9" max="9" width="24.1796875" style="401" hidden="1" customWidth="1"/>
    <col min="10" max="17" width="9.08984375" style="401" hidden="1" customWidth="1"/>
    <col min="18" max="18" width="3.81640625" style="401" hidden="1" customWidth="1"/>
    <col min="19" max="19" width="9.08984375" style="401" hidden="1" customWidth="1"/>
    <col min="20" max="16384" width="9.08984375" style="401"/>
  </cols>
  <sheetData>
    <row r="1" spans="1:27" x14ac:dyDescent="0.25">
      <c r="A1" s="2242"/>
    </row>
    <row r="4" spans="1:27" x14ac:dyDescent="0.25">
      <c r="H4" s="402" t="s">
        <v>1372</v>
      </c>
      <c r="I4" s="403" t="str">
        <f>IF(I37=TRUE,"basic","advanced")</f>
        <v>advanced</v>
      </c>
      <c r="J4" s="2437" t="b">
        <f>ISERROR(K4)</f>
        <v>1</v>
      </c>
      <c r="K4" s="2437" t="e">
        <f>FIND(I5,A1)</f>
        <v>#VALUE!</v>
      </c>
      <c r="L4" s="2439" t="s">
        <v>3023</v>
      </c>
    </row>
    <row r="5" spans="1:27" ht="13" thickBot="1" x14ac:dyDescent="0.3">
      <c r="A5" s="401" t="e">
        <f>FIND(",""",A1)</f>
        <v>#VALUE!</v>
      </c>
      <c r="C5" s="401" t="e">
        <f t="shared" ref="C5:C27" si="0">MID($A$1,A5+2,A6-(A5+3))</f>
        <v>#VALUE!</v>
      </c>
      <c r="D5" s="401" t="e">
        <f t="shared" ref="D5:D27" si="1">C6</f>
        <v>#VALUE!</v>
      </c>
      <c r="E5" s="401">
        <f t="shared" ref="E5:E27" si="2">C4</f>
        <v>0</v>
      </c>
      <c r="F5" s="401">
        <f t="shared" ref="F5:F27" si="3">C3</f>
        <v>0</v>
      </c>
      <c r="H5" s="2437" t="str">
        <f>text!F29</f>
        <v>2023</v>
      </c>
      <c r="I5" s="2437" t="str">
        <f>J5&amp;H5&amp;"START"&amp;K5&amp;L5</f>
        <v>"2023START","","","",</v>
      </c>
      <c r="J5" s="2438" t="str">
        <f>CHAR(34)</f>
        <v>"</v>
      </c>
      <c r="K5" s="2438" t="str">
        <f>J5&amp;","</f>
        <v>",</v>
      </c>
      <c r="L5" s="2438" t="str">
        <f>J5&amp;K5&amp;J5&amp;K5&amp;J5&amp;K5</f>
        <v>"","","",</v>
      </c>
    </row>
    <row r="6" spans="1:27" ht="13" x14ac:dyDescent="0.3">
      <c r="A6" s="401" t="e">
        <f t="shared" ref="A6:A69" si="4">FIND(",""",$A$1,A5+1)</f>
        <v>#VALUE!</v>
      </c>
      <c r="C6" s="401" t="e">
        <f t="shared" si="0"/>
        <v>#VALUE!</v>
      </c>
      <c r="D6" s="401" t="e">
        <f t="shared" si="1"/>
        <v>#VALUE!</v>
      </c>
      <c r="E6" s="401" t="e">
        <f t="shared" si="2"/>
        <v>#VALUE!</v>
      </c>
      <c r="F6" s="401">
        <f t="shared" si="3"/>
        <v>0</v>
      </c>
      <c r="N6" s="404" t="s">
        <v>1373</v>
      </c>
      <c r="O6" s="405" t="s">
        <v>359</v>
      </c>
      <c r="P6" s="405" t="s">
        <v>1374</v>
      </c>
      <c r="Q6" s="406" t="s">
        <v>1375</v>
      </c>
      <c r="V6" s="2405"/>
      <c r="W6" s="2406"/>
      <c r="X6" s="2406"/>
      <c r="Y6" s="2406"/>
      <c r="Z6" s="2406"/>
      <c r="AA6" s="2407"/>
    </row>
    <row r="7" spans="1:27" ht="13" x14ac:dyDescent="0.3">
      <c r="A7" s="401" t="e">
        <f t="shared" si="4"/>
        <v>#VALUE!</v>
      </c>
      <c r="C7" s="401" t="e">
        <f t="shared" si="0"/>
        <v>#VALUE!</v>
      </c>
      <c r="D7" s="401" t="e">
        <f t="shared" si="1"/>
        <v>#VALUE!</v>
      </c>
      <c r="E7" s="401" t="e">
        <f t="shared" si="2"/>
        <v>#VALUE!</v>
      </c>
      <c r="F7" s="401" t="e">
        <f t="shared" si="3"/>
        <v>#VALUE!</v>
      </c>
      <c r="M7" s="401" t="str">
        <f t="shared" ref="M7:M70" si="5">"CODE "&amp;N7</f>
        <v>CODE 3805</v>
      </c>
      <c r="N7" s="404" t="s">
        <v>1376</v>
      </c>
      <c r="O7" s="401" t="s">
        <v>1377</v>
      </c>
      <c r="P7" s="407" t="s">
        <v>1378</v>
      </c>
      <c r="Q7" s="406" t="s">
        <v>274</v>
      </c>
      <c r="V7" s="2408"/>
      <c r="W7" s="2409"/>
      <c r="X7" s="2409"/>
      <c r="Y7" s="2409"/>
      <c r="Z7" s="2409"/>
      <c r="AA7" s="2410"/>
    </row>
    <row r="8" spans="1:27" ht="13" x14ac:dyDescent="0.3">
      <c r="A8" s="401" t="e">
        <f t="shared" si="4"/>
        <v>#VALUE!</v>
      </c>
      <c r="C8" s="401" t="e">
        <f t="shared" si="0"/>
        <v>#VALUE!</v>
      </c>
      <c r="D8" s="401" t="e">
        <f t="shared" si="1"/>
        <v>#VALUE!</v>
      </c>
      <c r="E8" s="401" t="e">
        <f t="shared" si="2"/>
        <v>#VALUE!</v>
      </c>
      <c r="F8" s="401" t="e">
        <f t="shared" si="3"/>
        <v>#VALUE!</v>
      </c>
      <c r="H8" s="401" t="s">
        <v>665</v>
      </c>
      <c r="I8" s="401" t="e">
        <f>C7</f>
        <v>#VALUE!</v>
      </c>
      <c r="M8" s="401" t="str">
        <f t="shared" si="5"/>
        <v>CODE 0905</v>
      </c>
      <c r="N8" s="404" t="s">
        <v>1379</v>
      </c>
      <c r="O8" s="401" t="s">
        <v>1380</v>
      </c>
      <c r="P8" s="401" t="s">
        <v>1381</v>
      </c>
      <c r="Q8" s="406" t="s">
        <v>274</v>
      </c>
      <c r="V8" s="2408"/>
      <c r="W8" s="2411" t="s">
        <v>1382</v>
      </c>
      <c r="X8" s="2409"/>
      <c r="Y8" s="2409"/>
      <c r="Z8" s="2409"/>
      <c r="AA8" s="2410"/>
    </row>
    <row r="9" spans="1:27" ht="13" x14ac:dyDescent="0.3">
      <c r="A9" s="401" t="e">
        <f t="shared" si="4"/>
        <v>#VALUE!</v>
      </c>
      <c r="C9" s="401" t="e">
        <f t="shared" si="0"/>
        <v>#VALUE!</v>
      </c>
      <c r="D9" s="401" t="e">
        <f t="shared" si="1"/>
        <v>#VALUE!</v>
      </c>
      <c r="E9" s="401" t="e">
        <f t="shared" si="2"/>
        <v>#VALUE!</v>
      </c>
      <c r="F9" s="401" t="e">
        <f t="shared" si="3"/>
        <v>#VALUE!</v>
      </c>
      <c r="H9" s="401" t="s">
        <v>666</v>
      </c>
      <c r="M9" s="401" t="str">
        <f t="shared" si="5"/>
        <v>CODE 1005</v>
      </c>
      <c r="N9" s="404" t="s">
        <v>1383</v>
      </c>
      <c r="O9" s="401" t="s">
        <v>1384</v>
      </c>
      <c r="P9" s="401" t="s">
        <v>1385</v>
      </c>
      <c r="Q9" s="406" t="s">
        <v>274</v>
      </c>
      <c r="V9" s="2408"/>
      <c r="W9" s="2409"/>
      <c r="X9" s="2409"/>
      <c r="Y9" s="2409"/>
      <c r="Z9" s="2409"/>
      <c r="AA9" s="2410"/>
    </row>
    <row r="10" spans="1:27" ht="13" x14ac:dyDescent="0.3">
      <c r="A10" s="401" t="e">
        <f t="shared" si="4"/>
        <v>#VALUE!</v>
      </c>
      <c r="C10" s="401" t="e">
        <f t="shared" si="0"/>
        <v>#VALUE!</v>
      </c>
      <c r="D10" s="401" t="e">
        <f t="shared" si="1"/>
        <v>#VALUE!</v>
      </c>
      <c r="E10" s="401" t="e">
        <f t="shared" si="2"/>
        <v>#VALUE!</v>
      </c>
      <c r="F10" s="401" t="e">
        <f t="shared" si="3"/>
        <v>#VALUE!</v>
      </c>
      <c r="H10" s="401" t="s">
        <v>667</v>
      </c>
      <c r="I10" s="401" t="e">
        <f>TRIM(PROPER(C9&amp;", "&amp;C10&amp;", "&amp;C11))</f>
        <v>#VALUE!</v>
      </c>
      <c r="M10" s="401" t="str">
        <f t="shared" si="5"/>
        <v>CODE 3810</v>
      </c>
      <c r="N10" s="404" t="s">
        <v>1386</v>
      </c>
      <c r="O10" s="401" t="s">
        <v>1387</v>
      </c>
      <c r="P10" s="401" t="s">
        <v>1388</v>
      </c>
      <c r="Q10" s="406" t="s">
        <v>274</v>
      </c>
      <c r="V10" s="2408"/>
      <c r="W10" s="2409"/>
      <c r="X10" s="2409"/>
      <c r="Y10" s="2409"/>
      <c r="Z10" s="2409"/>
      <c r="AA10" s="2410"/>
    </row>
    <row r="11" spans="1:27" ht="13" x14ac:dyDescent="0.3">
      <c r="A11" s="401" t="e">
        <f t="shared" si="4"/>
        <v>#VALUE!</v>
      </c>
      <c r="C11" s="401" t="e">
        <f t="shared" si="0"/>
        <v>#VALUE!</v>
      </c>
      <c r="D11" s="401" t="e">
        <f t="shared" si="1"/>
        <v>#VALUE!</v>
      </c>
      <c r="E11" s="401" t="e">
        <f t="shared" si="2"/>
        <v>#VALUE!</v>
      </c>
      <c r="F11" s="401" t="e">
        <f t="shared" si="3"/>
        <v>#VALUE!</v>
      </c>
      <c r="H11" s="401" t="s">
        <v>668</v>
      </c>
      <c r="I11" s="401" t="e">
        <f>PROPER(C12)</f>
        <v>#VALUE!</v>
      </c>
      <c r="M11" s="401" t="str">
        <f t="shared" si="5"/>
        <v>CODE 3005</v>
      </c>
      <c r="N11" s="404" t="s">
        <v>1389</v>
      </c>
      <c r="O11" s="401" t="s">
        <v>1390</v>
      </c>
      <c r="P11" s="401" t="s">
        <v>1391</v>
      </c>
      <c r="Q11" s="406" t="s">
        <v>274</v>
      </c>
      <c r="V11" s="2408"/>
      <c r="W11" s="2409"/>
      <c r="X11" s="2409"/>
      <c r="Y11" s="2409"/>
      <c r="Z11" s="2409"/>
      <c r="AA11" s="2410"/>
    </row>
    <row r="12" spans="1:27" ht="13.5" thickBot="1" x14ac:dyDescent="0.35">
      <c r="A12" s="401" t="e">
        <f t="shared" si="4"/>
        <v>#VALUE!</v>
      </c>
      <c r="C12" s="401" t="e">
        <f t="shared" si="0"/>
        <v>#VALUE!</v>
      </c>
      <c r="D12" s="401" t="e">
        <f t="shared" si="1"/>
        <v>#VALUE!</v>
      </c>
      <c r="E12" s="401" t="e">
        <f t="shared" si="2"/>
        <v>#VALUE!</v>
      </c>
      <c r="F12" s="401" t="e">
        <f t="shared" si="3"/>
        <v>#VALUE!</v>
      </c>
      <c r="H12" s="401" t="s">
        <v>669</v>
      </c>
      <c r="I12" s="401" t="e">
        <f>C14</f>
        <v>#VALUE!</v>
      </c>
      <c r="M12" s="401" t="str">
        <f t="shared" si="5"/>
        <v>CODE 2205</v>
      </c>
      <c r="N12" s="404" t="s">
        <v>1393</v>
      </c>
      <c r="O12" s="401" t="s">
        <v>1394</v>
      </c>
      <c r="P12" s="401" t="s">
        <v>1395</v>
      </c>
      <c r="Q12" s="406" t="s">
        <v>274</v>
      </c>
      <c r="V12" s="2412"/>
      <c r="W12" s="2413"/>
      <c r="X12" s="2413"/>
      <c r="Y12" s="2413"/>
      <c r="Z12" s="2413"/>
      <c r="AA12" s="2414"/>
    </row>
    <row r="13" spans="1:27" ht="13" x14ac:dyDescent="0.3">
      <c r="A13" s="401" t="e">
        <f t="shared" si="4"/>
        <v>#VALUE!</v>
      </c>
      <c r="C13" s="401" t="e">
        <f t="shared" si="0"/>
        <v>#VALUE!</v>
      </c>
      <c r="D13" s="401" t="e">
        <f t="shared" si="1"/>
        <v>#VALUE!</v>
      </c>
      <c r="E13" s="401" t="e">
        <f t="shared" si="2"/>
        <v>#VALUE!</v>
      </c>
      <c r="F13" s="401" t="e">
        <f t="shared" si="3"/>
        <v>#VALUE!</v>
      </c>
      <c r="M13" s="401" t="str">
        <f t="shared" si="5"/>
        <v>CODE 0405</v>
      </c>
      <c r="N13" s="404" t="s">
        <v>1396</v>
      </c>
      <c r="O13" s="401" t="s">
        <v>1397</v>
      </c>
      <c r="P13" s="401" t="s">
        <v>1398</v>
      </c>
      <c r="Q13" s="406" t="s">
        <v>274</v>
      </c>
    </row>
    <row r="14" spans="1:27" ht="13" x14ac:dyDescent="0.3">
      <c r="A14" s="401" t="e">
        <f t="shared" si="4"/>
        <v>#VALUE!</v>
      </c>
      <c r="C14" s="401" t="e">
        <f t="shared" si="0"/>
        <v>#VALUE!</v>
      </c>
      <c r="D14" s="401" t="e">
        <f t="shared" si="1"/>
        <v>#VALUE!</v>
      </c>
      <c r="E14" s="401" t="e">
        <f t="shared" si="2"/>
        <v>#VALUE!</v>
      </c>
      <c r="F14" s="401" t="e">
        <f t="shared" si="3"/>
        <v>#VALUE!</v>
      </c>
      <c r="H14" s="401" t="e">
        <f>"CODE "&amp;C6</f>
        <v>#VALUE!</v>
      </c>
      <c r="I14" s="401" t="e">
        <f>VLOOKUP(H14,M:Q,5,FALSE)</f>
        <v>#VALUE!</v>
      </c>
      <c r="M14" s="401" t="str">
        <f t="shared" si="5"/>
        <v>CODE 3505</v>
      </c>
      <c r="N14" s="404" t="s">
        <v>1399</v>
      </c>
      <c r="O14" s="401" t="s">
        <v>1400</v>
      </c>
      <c r="P14" s="401" t="s">
        <v>1401</v>
      </c>
      <c r="Q14" s="406" t="s">
        <v>274</v>
      </c>
    </row>
    <row r="15" spans="1:27" ht="13" x14ac:dyDescent="0.3">
      <c r="A15" s="401" t="e">
        <f t="shared" si="4"/>
        <v>#VALUE!</v>
      </c>
      <c r="C15" s="401" t="e">
        <f t="shared" si="0"/>
        <v>#VALUE!</v>
      </c>
      <c r="D15" s="401" t="e">
        <f t="shared" si="1"/>
        <v>#VALUE!</v>
      </c>
      <c r="E15" s="401" t="e">
        <f t="shared" si="2"/>
        <v>#VALUE!</v>
      </c>
      <c r="F15" s="401" t="e">
        <f t="shared" si="3"/>
        <v>#VALUE!</v>
      </c>
      <c r="H15" s="401" t="s">
        <v>1402</v>
      </c>
      <c r="I15" s="401" t="e">
        <f>VLOOKUP(text!C42,C:D,2,FALSE)</f>
        <v>#N/A</v>
      </c>
      <c r="J15" s="401" t="e">
        <f>IF(I15="",0,VALUE(I15))</f>
        <v>#N/A</v>
      </c>
      <c r="M15" s="401" t="str">
        <f t="shared" si="5"/>
        <v>CODE 4405</v>
      </c>
      <c r="N15" s="404" t="s">
        <v>1403</v>
      </c>
      <c r="O15" s="401" t="s">
        <v>1404</v>
      </c>
      <c r="P15" s="401" t="s">
        <v>1404</v>
      </c>
      <c r="Q15" s="406" t="s">
        <v>274</v>
      </c>
      <c r="X15" s="2404"/>
    </row>
    <row r="16" spans="1:27" ht="13" x14ac:dyDescent="0.3">
      <c r="A16" s="401" t="e">
        <f t="shared" si="4"/>
        <v>#VALUE!</v>
      </c>
      <c r="C16" s="401" t="e">
        <f t="shared" si="0"/>
        <v>#VALUE!</v>
      </c>
      <c r="D16" s="401" t="e">
        <f t="shared" si="1"/>
        <v>#VALUE!</v>
      </c>
      <c r="E16" s="401" t="e">
        <f t="shared" si="2"/>
        <v>#VALUE!</v>
      </c>
      <c r="F16" s="401" t="e">
        <f t="shared" si="3"/>
        <v>#VALUE!</v>
      </c>
      <c r="H16" s="401" t="s">
        <v>251</v>
      </c>
      <c r="I16" s="401" t="e">
        <f>VLOOKUP(text!C41,E:F,2,FALSE)</f>
        <v>#N/A</v>
      </c>
      <c r="J16" s="401">
        <f>IF(ISNA(I16),0,VALUE(I16))</f>
        <v>0</v>
      </c>
      <c r="M16" s="401" t="str">
        <f t="shared" si="5"/>
        <v>CODE 0910</v>
      </c>
      <c r="N16" s="404" t="s">
        <v>1405</v>
      </c>
      <c r="O16" s="401" t="s">
        <v>1406</v>
      </c>
      <c r="P16" s="407" t="s">
        <v>1407</v>
      </c>
      <c r="Q16" s="406" t="s">
        <v>274</v>
      </c>
    </row>
    <row r="17" spans="1:17" ht="13" x14ac:dyDescent="0.3">
      <c r="A17" s="401" t="e">
        <f t="shared" si="4"/>
        <v>#VALUE!</v>
      </c>
      <c r="C17" s="401" t="e">
        <f t="shared" si="0"/>
        <v>#VALUE!</v>
      </c>
      <c r="D17" s="401" t="e">
        <f t="shared" si="1"/>
        <v>#VALUE!</v>
      </c>
      <c r="E17" s="401" t="e">
        <f t="shared" si="2"/>
        <v>#VALUE!</v>
      </c>
      <c r="F17" s="401" t="e">
        <f t="shared" si="3"/>
        <v>#VALUE!</v>
      </c>
      <c r="M17" s="401" t="str">
        <f t="shared" si="5"/>
        <v>CODE 1505</v>
      </c>
      <c r="N17" s="404" t="s">
        <v>1408</v>
      </c>
      <c r="O17" s="401" t="s">
        <v>1409</v>
      </c>
      <c r="P17" s="401" t="s">
        <v>1410</v>
      </c>
      <c r="Q17" s="406" t="s">
        <v>274</v>
      </c>
    </row>
    <row r="18" spans="1:17" ht="13" x14ac:dyDescent="0.3">
      <c r="A18" s="401" t="e">
        <f t="shared" si="4"/>
        <v>#VALUE!</v>
      </c>
      <c r="C18" s="401" t="e">
        <f t="shared" si="0"/>
        <v>#VALUE!</v>
      </c>
      <c r="D18" s="401" t="e">
        <f t="shared" si="1"/>
        <v>#VALUE!</v>
      </c>
      <c r="E18" s="401" t="e">
        <f t="shared" si="2"/>
        <v>#VALUE!</v>
      </c>
      <c r="F18" s="401" t="e">
        <f t="shared" si="3"/>
        <v>#VALUE!</v>
      </c>
      <c r="M18" s="401" t="str">
        <f t="shared" si="5"/>
        <v>CODE 1705</v>
      </c>
      <c r="N18" s="404" t="s">
        <v>1411</v>
      </c>
      <c r="O18" s="401" t="s">
        <v>1412</v>
      </c>
      <c r="P18" s="407" t="s">
        <v>1413</v>
      </c>
      <c r="Q18" s="406" t="s">
        <v>274</v>
      </c>
    </row>
    <row r="19" spans="1:17" ht="13" x14ac:dyDescent="0.3">
      <c r="A19" s="401" t="e">
        <f t="shared" si="4"/>
        <v>#VALUE!</v>
      </c>
      <c r="C19" s="401" t="e">
        <f t="shared" si="0"/>
        <v>#VALUE!</v>
      </c>
      <c r="D19" s="401" t="e">
        <f t="shared" si="1"/>
        <v>#VALUE!</v>
      </c>
      <c r="E19" s="401" t="e">
        <f t="shared" si="2"/>
        <v>#VALUE!</v>
      </c>
      <c r="F19" s="401" t="e">
        <f t="shared" si="3"/>
        <v>#VALUE!</v>
      </c>
      <c r="H19" s="408"/>
      <c r="I19" s="403" t="s">
        <v>1414</v>
      </c>
      <c r="J19" s="403"/>
      <c r="M19" s="401" t="str">
        <f t="shared" si="5"/>
        <v>CODE 0114</v>
      </c>
      <c r="N19" s="404" t="s">
        <v>1415</v>
      </c>
      <c r="O19" s="401" t="s">
        <v>1416</v>
      </c>
      <c r="P19" s="407" t="s">
        <v>1417</v>
      </c>
      <c r="Q19" s="406" t="s">
        <v>274</v>
      </c>
    </row>
    <row r="20" spans="1:17" ht="13" x14ac:dyDescent="0.3">
      <c r="A20" s="401" t="e">
        <f t="shared" si="4"/>
        <v>#VALUE!</v>
      </c>
      <c r="C20" s="401" t="e">
        <f t="shared" si="0"/>
        <v>#VALUE!</v>
      </c>
      <c r="D20" s="401" t="e">
        <f t="shared" si="1"/>
        <v>#VALUE!</v>
      </c>
      <c r="E20" s="401" t="e">
        <f t="shared" si="2"/>
        <v>#VALUE!</v>
      </c>
      <c r="F20" s="401" t="e">
        <f t="shared" si="3"/>
        <v>#VALUE!</v>
      </c>
      <c r="H20" s="409"/>
      <c r="I20" s="409"/>
      <c r="J20" s="410">
        <f t="shared" ref="J20:J29" si="6">VALUE(H20)</f>
        <v>0</v>
      </c>
      <c r="K20" s="401">
        <f t="shared" ref="K20:K29" si="7">IF(I20="",0,VALUE(I20))</f>
        <v>0</v>
      </c>
      <c r="M20" s="401" t="str">
        <f t="shared" si="5"/>
        <v>CODE 0235</v>
      </c>
      <c r="N20" s="404" t="s">
        <v>1418</v>
      </c>
      <c r="O20" s="401" t="s">
        <v>1419</v>
      </c>
      <c r="P20" s="401" t="s">
        <v>1420</v>
      </c>
      <c r="Q20" s="406" t="s">
        <v>274</v>
      </c>
    </row>
    <row r="21" spans="1:17" ht="13" x14ac:dyDescent="0.3">
      <c r="A21" s="401" t="e">
        <f t="shared" si="4"/>
        <v>#VALUE!</v>
      </c>
      <c r="C21" s="401" t="e">
        <f t="shared" si="0"/>
        <v>#VALUE!</v>
      </c>
      <c r="D21" s="401" t="e">
        <f t="shared" si="1"/>
        <v>#VALUE!</v>
      </c>
      <c r="E21" s="401" t="e">
        <f t="shared" si="2"/>
        <v>#VALUE!</v>
      </c>
      <c r="F21" s="401" t="e">
        <f t="shared" si="3"/>
        <v>#VALUE!</v>
      </c>
      <c r="H21" s="409"/>
      <c r="I21" s="409"/>
      <c r="J21" s="410">
        <f t="shared" si="6"/>
        <v>0</v>
      </c>
      <c r="K21" s="401">
        <f t="shared" si="7"/>
        <v>0</v>
      </c>
      <c r="M21" s="401" t="str">
        <f t="shared" si="5"/>
        <v>CODE 1010</v>
      </c>
      <c r="N21" s="404" t="s">
        <v>1421</v>
      </c>
      <c r="O21" s="401" t="s">
        <v>1422</v>
      </c>
      <c r="P21" s="401" t="s">
        <v>1423</v>
      </c>
      <c r="Q21" s="406" t="s">
        <v>274</v>
      </c>
    </row>
    <row r="22" spans="1:17" ht="13" x14ac:dyDescent="0.3">
      <c r="A22" s="401" t="e">
        <f t="shared" si="4"/>
        <v>#VALUE!</v>
      </c>
      <c r="C22" s="401" t="e">
        <f t="shared" si="0"/>
        <v>#VALUE!</v>
      </c>
      <c r="D22" s="401" t="e">
        <f t="shared" si="1"/>
        <v>#VALUE!</v>
      </c>
      <c r="E22" s="401" t="e">
        <f t="shared" si="2"/>
        <v>#VALUE!</v>
      </c>
      <c r="F22" s="401" t="e">
        <f t="shared" si="3"/>
        <v>#VALUE!</v>
      </c>
      <c r="H22" s="409"/>
      <c r="I22" s="409"/>
      <c r="J22" s="410">
        <f t="shared" si="6"/>
        <v>0</v>
      </c>
      <c r="K22" s="401">
        <f t="shared" si="7"/>
        <v>0</v>
      </c>
      <c r="M22" s="401" t="str">
        <f t="shared" si="5"/>
        <v>CODE 1250</v>
      </c>
      <c r="N22" s="404" t="s">
        <v>1424</v>
      </c>
      <c r="O22" s="401" t="s">
        <v>1425</v>
      </c>
      <c r="P22" s="401" t="s">
        <v>1426</v>
      </c>
      <c r="Q22" s="406" t="s">
        <v>274</v>
      </c>
    </row>
    <row r="23" spans="1:17" ht="13" x14ac:dyDescent="0.3">
      <c r="A23" s="401" t="e">
        <f t="shared" si="4"/>
        <v>#VALUE!</v>
      </c>
      <c r="C23" s="401" t="e">
        <f t="shared" si="0"/>
        <v>#VALUE!</v>
      </c>
      <c r="D23" s="401" t="e">
        <f t="shared" si="1"/>
        <v>#VALUE!</v>
      </c>
      <c r="E23" s="401" t="e">
        <f t="shared" si="2"/>
        <v>#VALUE!</v>
      </c>
      <c r="F23" s="401" t="e">
        <f t="shared" si="3"/>
        <v>#VALUE!</v>
      </c>
      <c r="H23" s="409"/>
      <c r="I23" s="409"/>
      <c r="J23" s="410">
        <f t="shared" si="6"/>
        <v>0</v>
      </c>
      <c r="K23" s="401">
        <f t="shared" si="7"/>
        <v>0</v>
      </c>
      <c r="M23" s="401" t="str">
        <f t="shared" si="5"/>
        <v>CODE 0335</v>
      </c>
      <c r="N23" s="404" t="s">
        <v>1427</v>
      </c>
      <c r="O23" s="401" t="s">
        <v>1428</v>
      </c>
      <c r="P23" s="401" t="s">
        <v>1429</v>
      </c>
      <c r="Q23" s="406" t="s">
        <v>274</v>
      </c>
    </row>
    <row r="24" spans="1:17" ht="13" x14ac:dyDescent="0.3">
      <c r="A24" s="401" t="e">
        <f t="shared" si="4"/>
        <v>#VALUE!</v>
      </c>
      <c r="C24" s="401" t="e">
        <f t="shared" si="0"/>
        <v>#VALUE!</v>
      </c>
      <c r="D24" s="401" t="e">
        <f t="shared" si="1"/>
        <v>#VALUE!</v>
      </c>
      <c r="E24" s="401" t="e">
        <f t="shared" si="2"/>
        <v>#VALUE!</v>
      </c>
      <c r="F24" s="401" t="e">
        <f t="shared" si="3"/>
        <v>#VALUE!</v>
      </c>
      <c r="H24" s="409"/>
      <c r="I24" s="409"/>
      <c r="J24" s="410">
        <f t="shared" si="6"/>
        <v>0</v>
      </c>
      <c r="K24" s="401">
        <f t="shared" si="7"/>
        <v>0</v>
      </c>
      <c r="M24" s="401" t="str">
        <f t="shared" si="5"/>
        <v>CODE 1510</v>
      </c>
      <c r="N24" s="404" t="s">
        <v>1430</v>
      </c>
      <c r="O24" s="401" t="s">
        <v>1431</v>
      </c>
      <c r="P24" s="401" t="s">
        <v>1432</v>
      </c>
      <c r="Q24" s="406" t="s">
        <v>274</v>
      </c>
    </row>
    <row r="25" spans="1:17" ht="13" x14ac:dyDescent="0.3">
      <c r="A25" s="401" t="e">
        <f t="shared" si="4"/>
        <v>#VALUE!</v>
      </c>
      <c r="C25" s="401" t="e">
        <f t="shared" si="0"/>
        <v>#VALUE!</v>
      </c>
      <c r="D25" s="401" t="e">
        <f t="shared" si="1"/>
        <v>#VALUE!</v>
      </c>
      <c r="E25" s="401" t="e">
        <f t="shared" si="2"/>
        <v>#VALUE!</v>
      </c>
      <c r="F25" s="401" t="e">
        <f t="shared" si="3"/>
        <v>#VALUE!</v>
      </c>
      <c r="H25" s="409"/>
      <c r="I25" s="409"/>
      <c r="J25" s="410">
        <f t="shared" si="6"/>
        <v>0</v>
      </c>
      <c r="K25" s="401">
        <f t="shared" si="7"/>
        <v>0</v>
      </c>
      <c r="M25" s="401" t="str">
        <f t="shared" si="5"/>
        <v>CODE 1515</v>
      </c>
      <c r="N25" s="404" t="s">
        <v>1433</v>
      </c>
      <c r="O25" s="401" t="s">
        <v>1434</v>
      </c>
      <c r="P25" s="401" t="s">
        <v>1435</v>
      </c>
      <c r="Q25" s="406" t="s">
        <v>274</v>
      </c>
    </row>
    <row r="26" spans="1:17" ht="13" x14ac:dyDescent="0.3">
      <c r="A26" s="401" t="e">
        <f t="shared" si="4"/>
        <v>#VALUE!</v>
      </c>
      <c r="C26" s="401" t="e">
        <f t="shared" si="0"/>
        <v>#VALUE!</v>
      </c>
      <c r="D26" s="401" t="e">
        <f t="shared" si="1"/>
        <v>#VALUE!</v>
      </c>
      <c r="E26" s="401" t="e">
        <f t="shared" si="2"/>
        <v>#VALUE!</v>
      </c>
      <c r="F26" s="401" t="e">
        <f t="shared" si="3"/>
        <v>#VALUE!</v>
      </c>
      <c r="H26" s="409"/>
      <c r="I26" s="409"/>
      <c r="J26" s="410">
        <f t="shared" si="6"/>
        <v>0</v>
      </c>
      <c r="K26" s="401">
        <f t="shared" si="7"/>
        <v>0</v>
      </c>
      <c r="M26" s="401" t="str">
        <f t="shared" si="5"/>
        <v>CODE 1445</v>
      </c>
      <c r="N26" s="404" t="s">
        <v>1436</v>
      </c>
      <c r="O26" s="401" t="s">
        <v>1437</v>
      </c>
      <c r="P26" s="407" t="s">
        <v>1438</v>
      </c>
      <c r="Q26" s="406" t="s">
        <v>274</v>
      </c>
    </row>
    <row r="27" spans="1:17" ht="13" x14ac:dyDescent="0.3">
      <c r="A27" s="401" t="e">
        <f t="shared" si="4"/>
        <v>#VALUE!</v>
      </c>
      <c r="C27" s="401" t="e">
        <f t="shared" si="0"/>
        <v>#VALUE!</v>
      </c>
      <c r="D27" s="401" t="e">
        <f t="shared" si="1"/>
        <v>#VALUE!</v>
      </c>
      <c r="E27" s="401" t="e">
        <f t="shared" si="2"/>
        <v>#VALUE!</v>
      </c>
      <c r="F27" s="401" t="e">
        <f t="shared" si="3"/>
        <v>#VALUE!</v>
      </c>
      <c r="H27" s="409"/>
      <c r="I27" s="409"/>
      <c r="J27" s="410">
        <f t="shared" si="6"/>
        <v>0</v>
      </c>
      <c r="K27" s="401">
        <f t="shared" si="7"/>
        <v>0</v>
      </c>
      <c r="M27" s="401" t="str">
        <f t="shared" si="5"/>
        <v>CODE 0116</v>
      </c>
      <c r="N27" s="404" t="s">
        <v>1439</v>
      </c>
      <c r="O27" s="401" t="s">
        <v>1440</v>
      </c>
      <c r="P27" s="407" t="s">
        <v>1441</v>
      </c>
      <c r="Q27" s="406" t="s">
        <v>274</v>
      </c>
    </row>
    <row r="28" spans="1:17" ht="13" x14ac:dyDescent="0.3">
      <c r="A28" s="401" t="e">
        <f t="shared" si="4"/>
        <v>#VALUE!</v>
      </c>
      <c r="C28" s="401" t="e">
        <f t="shared" ref="C28:C91" si="8">MID($A$1,A28+2,A29-(A28+3))</f>
        <v>#VALUE!</v>
      </c>
      <c r="D28" s="401" t="e">
        <f t="shared" ref="D28:D91" si="9">C29</f>
        <v>#VALUE!</v>
      </c>
      <c r="E28" s="401" t="e">
        <f t="shared" ref="E28:E91" si="10">C27</f>
        <v>#VALUE!</v>
      </c>
      <c r="F28" s="401" t="e">
        <f t="shared" ref="F28:F91" si="11">C26</f>
        <v>#VALUE!</v>
      </c>
      <c r="H28" s="409"/>
      <c r="I28" s="409"/>
      <c r="J28" s="410">
        <f t="shared" si="6"/>
        <v>0</v>
      </c>
      <c r="K28" s="401">
        <f t="shared" si="7"/>
        <v>0</v>
      </c>
      <c r="M28" s="401" t="str">
        <f t="shared" si="5"/>
        <v>CODE 1805</v>
      </c>
      <c r="N28" s="404" t="s">
        <v>1442</v>
      </c>
      <c r="O28" s="401" t="s">
        <v>1443</v>
      </c>
      <c r="P28" s="401" t="s">
        <v>1444</v>
      </c>
      <c r="Q28" s="406" t="s">
        <v>274</v>
      </c>
    </row>
    <row r="29" spans="1:17" ht="13" x14ac:dyDescent="0.3">
      <c r="A29" s="401" t="e">
        <f t="shared" si="4"/>
        <v>#VALUE!</v>
      </c>
      <c r="C29" s="401" t="e">
        <f t="shared" si="8"/>
        <v>#VALUE!</v>
      </c>
      <c r="D29" s="401" t="e">
        <f t="shared" si="9"/>
        <v>#VALUE!</v>
      </c>
      <c r="E29" s="401" t="e">
        <f t="shared" si="10"/>
        <v>#VALUE!</v>
      </c>
      <c r="F29" s="401" t="e">
        <f t="shared" si="11"/>
        <v>#VALUE!</v>
      </c>
      <c r="H29" s="409"/>
      <c r="I29" s="409"/>
      <c r="J29" s="410">
        <f t="shared" si="6"/>
        <v>0</v>
      </c>
      <c r="K29" s="401">
        <f t="shared" si="7"/>
        <v>0</v>
      </c>
      <c r="M29" s="401" t="str">
        <f t="shared" si="5"/>
        <v>CODE 0505</v>
      </c>
      <c r="N29" s="404" t="s">
        <v>1445</v>
      </c>
      <c r="O29" s="401" t="s">
        <v>1446</v>
      </c>
      <c r="P29" s="407" t="s">
        <v>1447</v>
      </c>
      <c r="Q29" s="406" t="s">
        <v>274</v>
      </c>
    </row>
    <row r="30" spans="1:17" ht="13" x14ac:dyDescent="0.3">
      <c r="A30" s="401" t="e">
        <f t="shared" si="4"/>
        <v>#VALUE!</v>
      </c>
      <c r="C30" s="401" t="e">
        <f t="shared" si="8"/>
        <v>#VALUE!</v>
      </c>
      <c r="D30" s="401" t="e">
        <f t="shared" si="9"/>
        <v>#VALUE!</v>
      </c>
      <c r="E30" s="401" t="e">
        <f t="shared" si="10"/>
        <v>#VALUE!</v>
      </c>
      <c r="F30" s="401" t="e">
        <f t="shared" si="11"/>
        <v>#VALUE!</v>
      </c>
      <c r="H30" s="411"/>
      <c r="I30" s="411"/>
      <c r="J30" s="410"/>
      <c r="M30" s="401" t="str">
        <f t="shared" si="5"/>
        <v>CODE 0915</v>
      </c>
      <c r="N30" s="404" t="s">
        <v>1448</v>
      </c>
      <c r="O30" s="401" t="s">
        <v>1449</v>
      </c>
      <c r="P30" s="407" t="s">
        <v>1450</v>
      </c>
      <c r="Q30" s="406" t="s">
        <v>274</v>
      </c>
    </row>
    <row r="31" spans="1:17" ht="13" x14ac:dyDescent="0.3">
      <c r="A31" s="401" t="e">
        <f t="shared" si="4"/>
        <v>#VALUE!</v>
      </c>
      <c r="C31" s="401" t="e">
        <f t="shared" si="8"/>
        <v>#VALUE!</v>
      </c>
      <c r="D31" s="401" t="e">
        <f t="shared" si="9"/>
        <v>#VALUE!</v>
      </c>
      <c r="E31" s="401" t="e">
        <f t="shared" si="10"/>
        <v>#VALUE!</v>
      </c>
      <c r="F31" s="401" t="e">
        <f t="shared" si="11"/>
        <v>#VALUE!</v>
      </c>
      <c r="H31" s="411"/>
      <c r="I31" s="411"/>
      <c r="J31" s="410"/>
      <c r="M31" s="401" t="str">
        <f t="shared" si="5"/>
        <v>CODE 1520</v>
      </c>
      <c r="N31" s="404" t="s">
        <v>1451</v>
      </c>
      <c r="O31" s="401" t="s">
        <v>1452</v>
      </c>
      <c r="P31" s="401" t="s">
        <v>1453</v>
      </c>
      <c r="Q31" s="406" t="s">
        <v>274</v>
      </c>
    </row>
    <row r="32" spans="1:17" ht="13" x14ac:dyDescent="0.3">
      <c r="A32" s="401" t="e">
        <f t="shared" si="4"/>
        <v>#VALUE!</v>
      </c>
      <c r="C32" s="401" t="e">
        <f t="shared" si="8"/>
        <v>#VALUE!</v>
      </c>
      <c r="D32" s="401" t="e">
        <f t="shared" si="9"/>
        <v>#VALUE!</v>
      </c>
      <c r="E32" s="401" t="e">
        <f t="shared" si="10"/>
        <v>#VALUE!</v>
      </c>
      <c r="F32" s="401" t="e">
        <f t="shared" si="11"/>
        <v>#VALUE!</v>
      </c>
      <c r="H32" s="411"/>
      <c r="I32" s="411"/>
      <c r="J32" s="410"/>
      <c r="M32" s="401" t="str">
        <f t="shared" si="5"/>
        <v>CODE 0240</v>
      </c>
      <c r="N32" s="404" t="s">
        <v>1454</v>
      </c>
      <c r="O32" s="401" t="s">
        <v>1455</v>
      </c>
      <c r="P32" s="401" t="s">
        <v>1456</v>
      </c>
      <c r="Q32" s="406" t="s">
        <v>274</v>
      </c>
    </row>
    <row r="33" spans="1:17" ht="13" x14ac:dyDescent="0.3">
      <c r="A33" s="401" t="e">
        <f t="shared" si="4"/>
        <v>#VALUE!</v>
      </c>
      <c r="C33" s="401" t="e">
        <f t="shared" si="8"/>
        <v>#VALUE!</v>
      </c>
      <c r="D33" s="401" t="e">
        <f t="shared" si="9"/>
        <v>#VALUE!</v>
      </c>
      <c r="E33" s="401" t="e">
        <f t="shared" si="10"/>
        <v>#VALUE!</v>
      </c>
      <c r="F33" s="401" t="e">
        <f t="shared" si="11"/>
        <v>#VALUE!</v>
      </c>
      <c r="G33" s="403"/>
      <c r="H33" s="412" t="s">
        <v>1457</v>
      </c>
      <c r="I33" s="403" t="b">
        <f>H19=1</f>
        <v>0</v>
      </c>
      <c r="M33" s="401" t="str">
        <f t="shared" si="5"/>
        <v>CODE 1525</v>
      </c>
      <c r="N33" s="404" t="s">
        <v>1458</v>
      </c>
      <c r="O33" s="401" t="s">
        <v>1459</v>
      </c>
      <c r="P33" s="401" t="s">
        <v>1460</v>
      </c>
      <c r="Q33" s="406" t="s">
        <v>274</v>
      </c>
    </row>
    <row r="34" spans="1:17" ht="13" x14ac:dyDescent="0.3">
      <c r="A34" s="401" t="e">
        <f t="shared" si="4"/>
        <v>#VALUE!</v>
      </c>
      <c r="C34" s="401" t="e">
        <f t="shared" si="8"/>
        <v>#VALUE!</v>
      </c>
      <c r="D34" s="401" t="e">
        <f t="shared" si="9"/>
        <v>#VALUE!</v>
      </c>
      <c r="E34" s="401" t="e">
        <f t="shared" si="10"/>
        <v>#VALUE!</v>
      </c>
      <c r="F34" s="401" t="e">
        <f t="shared" si="11"/>
        <v>#VALUE!</v>
      </c>
      <c r="G34" s="403"/>
      <c r="H34" s="412" t="s">
        <v>1461</v>
      </c>
      <c r="I34" s="403" t="b">
        <f>J16&gt;0</f>
        <v>0</v>
      </c>
      <c r="M34" s="401" t="str">
        <f t="shared" si="5"/>
        <v>CODE 1605</v>
      </c>
      <c r="N34" s="404" t="s">
        <v>1462</v>
      </c>
      <c r="O34" s="401" t="s">
        <v>1463</v>
      </c>
      <c r="P34" s="401" t="s">
        <v>1464</v>
      </c>
      <c r="Q34" s="406" t="s">
        <v>274</v>
      </c>
    </row>
    <row r="35" spans="1:17" ht="13" x14ac:dyDescent="0.3">
      <c r="A35" s="401" t="e">
        <f t="shared" si="4"/>
        <v>#VALUE!</v>
      </c>
      <c r="C35" s="401" t="e">
        <f t="shared" si="8"/>
        <v>#VALUE!</v>
      </c>
      <c r="D35" s="401" t="e">
        <f t="shared" si="9"/>
        <v>#VALUE!</v>
      </c>
      <c r="E35" s="401" t="e">
        <f t="shared" si="10"/>
        <v>#VALUE!</v>
      </c>
      <c r="F35" s="401" t="e">
        <f t="shared" si="11"/>
        <v>#VALUE!</v>
      </c>
      <c r="G35" s="403"/>
      <c r="H35" s="413" t="s">
        <v>1465</v>
      </c>
      <c r="I35" s="403" t="b">
        <f>AND(H19=2,H20=text!C41,H21=text!C41)</f>
        <v>0</v>
      </c>
      <c r="M35" s="401" t="str">
        <f t="shared" si="5"/>
        <v>CODE 0660</v>
      </c>
      <c r="N35" s="404" t="s">
        <v>1466</v>
      </c>
      <c r="O35" s="401" t="s">
        <v>1467</v>
      </c>
      <c r="P35" s="401" t="s">
        <v>1468</v>
      </c>
      <c r="Q35" s="406" t="s">
        <v>274</v>
      </c>
    </row>
    <row r="36" spans="1:17" ht="13" x14ac:dyDescent="0.3">
      <c r="A36" s="401" t="e">
        <f t="shared" si="4"/>
        <v>#VALUE!</v>
      </c>
      <c r="C36" s="401" t="e">
        <f t="shared" si="8"/>
        <v>#VALUE!</v>
      </c>
      <c r="D36" s="401" t="e">
        <f t="shared" si="9"/>
        <v>#VALUE!</v>
      </c>
      <c r="E36" s="401" t="e">
        <f t="shared" si="10"/>
        <v>#VALUE!</v>
      </c>
      <c r="F36" s="401" t="e">
        <f t="shared" si="11"/>
        <v>#VALUE!</v>
      </c>
      <c r="G36" s="403"/>
      <c r="H36" s="403"/>
      <c r="I36" s="403"/>
      <c r="M36" s="401" t="str">
        <f t="shared" si="5"/>
        <v>CODE 0665</v>
      </c>
      <c r="N36" s="404" t="s">
        <v>1469</v>
      </c>
      <c r="O36" s="401" t="s">
        <v>1470</v>
      </c>
      <c r="P36" s="407" t="s">
        <v>1471</v>
      </c>
      <c r="Q36" s="406" t="s">
        <v>274</v>
      </c>
    </row>
    <row r="37" spans="1:17" ht="13" x14ac:dyDescent="0.3">
      <c r="A37" s="401" t="e">
        <f t="shared" si="4"/>
        <v>#VALUE!</v>
      </c>
      <c r="C37" s="401" t="e">
        <f t="shared" si="8"/>
        <v>#VALUE!</v>
      </c>
      <c r="D37" s="401" t="e">
        <f t="shared" si="9"/>
        <v>#VALUE!</v>
      </c>
      <c r="E37" s="401" t="e">
        <f t="shared" si="10"/>
        <v>#VALUE!</v>
      </c>
      <c r="F37" s="401" t="e">
        <f t="shared" si="11"/>
        <v>#VALUE!</v>
      </c>
      <c r="G37" s="403"/>
      <c r="H37" s="412" t="s">
        <v>1472</v>
      </c>
      <c r="I37" s="403" t="b">
        <f>AND(I34=TRUE,OR(I33=TRUE,I35=TRUE))</f>
        <v>0</v>
      </c>
      <c r="M37" s="401" t="str">
        <f t="shared" si="5"/>
        <v>CODE 1015</v>
      </c>
      <c r="N37" s="404" t="s">
        <v>1473</v>
      </c>
      <c r="O37" s="401" t="s">
        <v>1474</v>
      </c>
      <c r="P37" s="401" t="s">
        <v>1475</v>
      </c>
      <c r="Q37" s="406" t="s">
        <v>274</v>
      </c>
    </row>
    <row r="38" spans="1:17" ht="13" x14ac:dyDescent="0.3">
      <c r="A38" s="401" t="e">
        <f t="shared" si="4"/>
        <v>#VALUE!</v>
      </c>
      <c r="C38" s="401" t="e">
        <f t="shared" si="8"/>
        <v>#VALUE!</v>
      </c>
      <c r="D38" s="401" t="e">
        <f t="shared" si="9"/>
        <v>#VALUE!</v>
      </c>
      <c r="E38" s="401" t="e">
        <f t="shared" si="10"/>
        <v>#VALUE!</v>
      </c>
      <c r="F38" s="401" t="e">
        <f t="shared" si="11"/>
        <v>#VALUE!</v>
      </c>
      <c r="M38" s="401" t="str">
        <f t="shared" si="5"/>
        <v>CODE 0415</v>
      </c>
      <c r="N38" s="404" t="s">
        <v>1476</v>
      </c>
      <c r="O38" s="401" t="s">
        <v>1477</v>
      </c>
      <c r="P38" s="401" t="s">
        <v>1478</v>
      </c>
      <c r="Q38" s="406" t="s">
        <v>274</v>
      </c>
    </row>
    <row r="39" spans="1:17" ht="13" x14ac:dyDescent="0.3">
      <c r="A39" s="401" t="e">
        <f t="shared" si="4"/>
        <v>#VALUE!</v>
      </c>
      <c r="C39" s="401" t="e">
        <f t="shared" si="8"/>
        <v>#VALUE!</v>
      </c>
      <c r="D39" s="401" t="e">
        <f t="shared" si="9"/>
        <v>#VALUE!</v>
      </c>
      <c r="E39" s="401" t="e">
        <f t="shared" si="10"/>
        <v>#VALUE!</v>
      </c>
      <c r="F39" s="401" t="e">
        <f t="shared" si="11"/>
        <v>#VALUE!</v>
      </c>
      <c r="M39" s="401" t="str">
        <f t="shared" si="5"/>
        <v>CODE 1210</v>
      </c>
      <c r="N39" s="404" t="s">
        <v>1479</v>
      </c>
      <c r="O39" s="401" t="s">
        <v>1480</v>
      </c>
      <c r="P39" s="401" t="s">
        <v>1481</v>
      </c>
      <c r="Q39" s="406" t="s">
        <v>274</v>
      </c>
    </row>
    <row r="40" spans="1:17" ht="13" x14ac:dyDescent="0.3">
      <c r="A40" s="401" t="e">
        <f t="shared" si="4"/>
        <v>#VALUE!</v>
      </c>
      <c r="C40" s="401" t="e">
        <f t="shared" si="8"/>
        <v>#VALUE!</v>
      </c>
      <c r="D40" s="401" t="e">
        <f t="shared" si="9"/>
        <v>#VALUE!</v>
      </c>
      <c r="E40" s="401" t="e">
        <f t="shared" si="10"/>
        <v>#VALUE!</v>
      </c>
      <c r="F40" s="401" t="e">
        <f t="shared" si="11"/>
        <v>#VALUE!</v>
      </c>
      <c r="M40" s="401" t="str">
        <f t="shared" si="5"/>
        <v>CODE 1530</v>
      </c>
      <c r="N40" s="404" t="s">
        <v>1482</v>
      </c>
      <c r="O40" s="401" t="s">
        <v>1483</v>
      </c>
      <c r="P40" s="401" t="s">
        <v>1484</v>
      </c>
      <c r="Q40" s="406" t="s">
        <v>274</v>
      </c>
    </row>
    <row r="41" spans="1:17" ht="13" x14ac:dyDescent="0.3">
      <c r="A41" s="401" t="e">
        <f t="shared" si="4"/>
        <v>#VALUE!</v>
      </c>
      <c r="C41" s="401" t="e">
        <f t="shared" si="8"/>
        <v>#VALUE!</v>
      </c>
      <c r="D41" s="401" t="e">
        <f t="shared" si="9"/>
        <v>#VALUE!</v>
      </c>
      <c r="E41" s="401" t="e">
        <f t="shared" si="10"/>
        <v>#VALUE!</v>
      </c>
      <c r="F41" s="401" t="e">
        <f t="shared" si="11"/>
        <v>#VALUE!</v>
      </c>
      <c r="M41" s="401" t="str">
        <f t="shared" si="5"/>
        <v>CODE 0920</v>
      </c>
      <c r="N41" s="404" t="s">
        <v>1485</v>
      </c>
      <c r="O41" s="401" t="s">
        <v>1486</v>
      </c>
      <c r="P41" s="401" t="s">
        <v>1487</v>
      </c>
      <c r="Q41" s="406" t="s">
        <v>274</v>
      </c>
    </row>
    <row r="42" spans="1:17" ht="13" x14ac:dyDescent="0.3">
      <c r="A42" s="401" t="e">
        <f t="shared" si="4"/>
        <v>#VALUE!</v>
      </c>
      <c r="C42" s="401" t="e">
        <f t="shared" si="8"/>
        <v>#VALUE!</v>
      </c>
      <c r="D42" s="401" t="e">
        <f t="shared" si="9"/>
        <v>#VALUE!</v>
      </c>
      <c r="E42" s="401" t="e">
        <f t="shared" si="10"/>
        <v>#VALUE!</v>
      </c>
      <c r="F42" s="401" t="e">
        <f t="shared" si="11"/>
        <v>#VALUE!</v>
      </c>
      <c r="M42" s="401" t="str">
        <f t="shared" si="5"/>
        <v>CODE 0840</v>
      </c>
      <c r="N42" s="404" t="s">
        <v>1488</v>
      </c>
      <c r="O42" s="401" t="s">
        <v>1489</v>
      </c>
      <c r="P42" s="407" t="s">
        <v>1490</v>
      </c>
      <c r="Q42" s="406" t="s">
        <v>274</v>
      </c>
    </row>
    <row r="43" spans="1:17" ht="13" x14ac:dyDescent="0.3">
      <c r="A43" s="401" t="e">
        <f t="shared" si="4"/>
        <v>#VALUE!</v>
      </c>
      <c r="C43" s="401" t="e">
        <f t="shared" si="8"/>
        <v>#VALUE!</v>
      </c>
      <c r="D43" s="401" t="e">
        <f t="shared" si="9"/>
        <v>#VALUE!</v>
      </c>
      <c r="E43" s="401" t="e">
        <f t="shared" si="10"/>
        <v>#VALUE!</v>
      </c>
      <c r="F43" s="401" t="e">
        <f t="shared" si="11"/>
        <v>#VALUE!</v>
      </c>
      <c r="M43" s="401" t="str">
        <f t="shared" si="5"/>
        <v>CODE 1610</v>
      </c>
      <c r="N43" s="404" t="s">
        <v>1491</v>
      </c>
      <c r="O43" s="401" t="s">
        <v>1492</v>
      </c>
      <c r="P43" s="401" t="s">
        <v>1493</v>
      </c>
      <c r="Q43" s="406" t="s">
        <v>274</v>
      </c>
    </row>
    <row r="44" spans="1:17" ht="13" x14ac:dyDescent="0.3">
      <c r="A44" s="401" t="e">
        <f t="shared" si="4"/>
        <v>#VALUE!</v>
      </c>
      <c r="C44" s="401" t="e">
        <f t="shared" si="8"/>
        <v>#VALUE!</v>
      </c>
      <c r="D44" s="401" t="e">
        <f t="shared" si="9"/>
        <v>#VALUE!</v>
      </c>
      <c r="E44" s="401" t="e">
        <f t="shared" si="10"/>
        <v>#VALUE!</v>
      </c>
      <c r="F44" s="401" t="e">
        <f t="shared" si="11"/>
        <v>#VALUE!</v>
      </c>
      <c r="M44" s="401" t="str">
        <f t="shared" si="5"/>
        <v>CODE 1350</v>
      </c>
      <c r="N44" s="404" t="s">
        <v>1494</v>
      </c>
      <c r="O44" s="401" t="s">
        <v>1495</v>
      </c>
      <c r="P44" s="401" t="s">
        <v>1496</v>
      </c>
      <c r="Q44" s="406" t="s">
        <v>274</v>
      </c>
    </row>
    <row r="45" spans="1:17" ht="13" x14ac:dyDescent="0.3">
      <c r="A45" s="401" t="e">
        <f t="shared" si="4"/>
        <v>#VALUE!</v>
      </c>
      <c r="C45" s="401" t="e">
        <f t="shared" si="8"/>
        <v>#VALUE!</v>
      </c>
      <c r="D45" s="401" t="e">
        <f t="shared" si="9"/>
        <v>#VALUE!</v>
      </c>
      <c r="E45" s="401" t="e">
        <f t="shared" si="10"/>
        <v>#VALUE!</v>
      </c>
      <c r="F45" s="401" t="e">
        <f t="shared" si="11"/>
        <v>#VALUE!</v>
      </c>
      <c r="M45" s="401" t="str">
        <f t="shared" si="5"/>
        <v>CODE 1055</v>
      </c>
      <c r="N45" s="404" t="s">
        <v>1497</v>
      </c>
      <c r="O45" s="401" t="s">
        <v>1498</v>
      </c>
      <c r="P45" s="401" t="s">
        <v>1498</v>
      </c>
      <c r="Q45" s="406" t="s">
        <v>274</v>
      </c>
    </row>
    <row r="46" spans="1:17" ht="13" x14ac:dyDescent="0.3">
      <c r="A46" s="401" t="e">
        <f t="shared" si="4"/>
        <v>#VALUE!</v>
      </c>
      <c r="C46" s="401" t="e">
        <f t="shared" si="8"/>
        <v>#VALUE!</v>
      </c>
      <c r="D46" s="401" t="e">
        <f t="shared" si="9"/>
        <v>#VALUE!</v>
      </c>
      <c r="E46" s="401" t="e">
        <f t="shared" si="10"/>
        <v>#VALUE!</v>
      </c>
      <c r="F46" s="401" t="e">
        <f t="shared" si="11"/>
        <v>#VALUE!</v>
      </c>
      <c r="M46" s="401" t="str">
        <f t="shared" si="5"/>
        <v>CODE 1045</v>
      </c>
      <c r="N46" s="404" t="s">
        <v>1499</v>
      </c>
      <c r="O46" s="401" t="s">
        <v>1500</v>
      </c>
      <c r="P46" s="401" t="s">
        <v>1500</v>
      </c>
      <c r="Q46" s="406" t="s">
        <v>274</v>
      </c>
    </row>
    <row r="47" spans="1:17" ht="13" x14ac:dyDescent="0.3">
      <c r="A47" s="401" t="e">
        <f t="shared" si="4"/>
        <v>#VALUE!</v>
      </c>
      <c r="C47" s="401" t="e">
        <f t="shared" si="8"/>
        <v>#VALUE!</v>
      </c>
      <c r="D47" s="401" t="e">
        <f t="shared" si="9"/>
        <v>#VALUE!</v>
      </c>
      <c r="E47" s="401" t="e">
        <f t="shared" si="10"/>
        <v>#VALUE!</v>
      </c>
      <c r="F47" s="401" t="e">
        <f t="shared" si="11"/>
        <v>#VALUE!</v>
      </c>
      <c r="M47" s="401" t="str">
        <f t="shared" si="5"/>
        <v>CODE 1355</v>
      </c>
      <c r="N47" s="404" t="s">
        <v>1501</v>
      </c>
      <c r="O47" s="401" t="s">
        <v>1502</v>
      </c>
      <c r="P47" s="401" t="s">
        <v>1503</v>
      </c>
      <c r="Q47" s="406" t="s">
        <v>274</v>
      </c>
    </row>
    <row r="48" spans="1:17" ht="13" x14ac:dyDescent="0.3">
      <c r="A48" s="401" t="e">
        <f t="shared" si="4"/>
        <v>#VALUE!</v>
      </c>
      <c r="C48" s="401" t="e">
        <f t="shared" si="8"/>
        <v>#VALUE!</v>
      </c>
      <c r="D48" s="401" t="e">
        <f t="shared" si="9"/>
        <v>#VALUE!</v>
      </c>
      <c r="E48" s="401" t="e">
        <f t="shared" si="10"/>
        <v>#VALUE!</v>
      </c>
      <c r="F48" s="401" t="e">
        <f t="shared" si="11"/>
        <v>#VALUE!</v>
      </c>
      <c r="M48" s="401" t="str">
        <f t="shared" si="5"/>
        <v>CODE 0510</v>
      </c>
      <c r="N48" s="404" t="s">
        <v>1504</v>
      </c>
      <c r="O48" s="401" t="s">
        <v>1505</v>
      </c>
      <c r="P48" s="401" t="s">
        <v>1505</v>
      </c>
      <c r="Q48" s="406" t="s">
        <v>274</v>
      </c>
    </row>
    <row r="49" spans="1:17" ht="13" x14ac:dyDescent="0.3">
      <c r="A49" s="401" t="e">
        <f t="shared" si="4"/>
        <v>#VALUE!</v>
      </c>
      <c r="C49" s="401" t="e">
        <f t="shared" si="8"/>
        <v>#VALUE!</v>
      </c>
      <c r="D49" s="401" t="e">
        <f t="shared" si="9"/>
        <v>#VALUE!</v>
      </c>
      <c r="E49" s="401" t="e">
        <f t="shared" si="10"/>
        <v>#VALUE!</v>
      </c>
      <c r="F49" s="401" t="e">
        <f t="shared" si="11"/>
        <v>#VALUE!</v>
      </c>
      <c r="M49" s="401" t="str">
        <f t="shared" si="5"/>
        <v>CODE 1105</v>
      </c>
      <c r="N49" s="404" t="s">
        <v>1506</v>
      </c>
      <c r="O49" s="401" t="s">
        <v>1507</v>
      </c>
      <c r="P49" s="401" t="s">
        <v>1508</v>
      </c>
      <c r="Q49" s="406" t="s">
        <v>274</v>
      </c>
    </row>
    <row r="50" spans="1:17" ht="13" x14ac:dyDescent="0.3">
      <c r="A50" s="401" t="e">
        <f t="shared" si="4"/>
        <v>#VALUE!</v>
      </c>
      <c r="C50" s="401" t="e">
        <f t="shared" si="8"/>
        <v>#VALUE!</v>
      </c>
      <c r="D50" s="401" t="e">
        <f t="shared" si="9"/>
        <v>#VALUE!</v>
      </c>
      <c r="E50" s="401" t="e">
        <f t="shared" si="10"/>
        <v>#VALUE!</v>
      </c>
      <c r="F50" s="401" t="e">
        <f t="shared" si="11"/>
        <v>#VALUE!</v>
      </c>
      <c r="M50" s="401" t="str">
        <f t="shared" si="5"/>
        <v>CODE 1240</v>
      </c>
      <c r="N50" s="404" t="s">
        <v>1509</v>
      </c>
      <c r="O50" s="401" t="s">
        <v>1510</v>
      </c>
      <c r="P50" s="401" t="s">
        <v>1511</v>
      </c>
      <c r="Q50" s="406" t="s">
        <v>274</v>
      </c>
    </row>
    <row r="51" spans="1:17" ht="13" x14ac:dyDescent="0.3">
      <c r="A51" s="401" t="e">
        <f t="shared" si="4"/>
        <v>#VALUE!</v>
      </c>
      <c r="C51" s="401" t="e">
        <f t="shared" si="8"/>
        <v>#VALUE!</v>
      </c>
      <c r="D51" s="401" t="e">
        <f t="shared" si="9"/>
        <v>#VALUE!</v>
      </c>
      <c r="E51" s="401" t="e">
        <f t="shared" si="10"/>
        <v>#VALUE!</v>
      </c>
      <c r="F51" s="401" t="e">
        <f t="shared" si="11"/>
        <v>#VALUE!</v>
      </c>
      <c r="M51" s="401" t="str">
        <f t="shared" si="5"/>
        <v>CODE 1710</v>
      </c>
      <c r="N51" s="404" t="s">
        <v>1512</v>
      </c>
      <c r="O51" s="401" t="s">
        <v>1513</v>
      </c>
      <c r="P51" s="401" t="s">
        <v>1514</v>
      </c>
      <c r="Q51" s="406" t="s">
        <v>274</v>
      </c>
    </row>
    <row r="52" spans="1:17" ht="13" x14ac:dyDescent="0.3">
      <c r="A52" s="401" t="e">
        <f t="shared" si="4"/>
        <v>#VALUE!</v>
      </c>
      <c r="C52" s="401" t="e">
        <f t="shared" si="8"/>
        <v>#VALUE!</v>
      </c>
      <c r="D52" s="401" t="e">
        <f t="shared" si="9"/>
        <v>#VALUE!</v>
      </c>
      <c r="E52" s="401" t="e">
        <f t="shared" si="10"/>
        <v>#VALUE!</v>
      </c>
      <c r="F52" s="401" t="e">
        <f t="shared" si="11"/>
        <v>#VALUE!</v>
      </c>
      <c r="M52" s="401" t="str">
        <f t="shared" si="5"/>
        <v>CODE 1410</v>
      </c>
      <c r="N52" s="404" t="s">
        <v>1515</v>
      </c>
      <c r="O52" s="401" t="s">
        <v>1516</v>
      </c>
      <c r="P52" s="401" t="s">
        <v>1517</v>
      </c>
      <c r="Q52" s="406" t="s">
        <v>274</v>
      </c>
    </row>
    <row r="53" spans="1:17" ht="13" x14ac:dyDescent="0.3">
      <c r="A53" s="401" t="e">
        <f t="shared" si="4"/>
        <v>#VALUE!</v>
      </c>
      <c r="C53" s="401" t="e">
        <f t="shared" si="8"/>
        <v>#VALUE!</v>
      </c>
      <c r="D53" s="401" t="e">
        <f t="shared" si="9"/>
        <v>#VALUE!</v>
      </c>
      <c r="E53" s="401" t="e">
        <f t="shared" si="10"/>
        <v>#VALUE!</v>
      </c>
      <c r="F53" s="401" t="e">
        <f t="shared" si="11"/>
        <v>#VALUE!</v>
      </c>
      <c r="M53" s="401" t="str">
        <f t="shared" si="5"/>
        <v>CODE 1715</v>
      </c>
      <c r="N53" s="404" t="s">
        <v>1518</v>
      </c>
      <c r="O53" s="401" t="s">
        <v>1519</v>
      </c>
      <c r="P53" s="401" t="s">
        <v>1520</v>
      </c>
      <c r="Q53" s="406" t="s">
        <v>274</v>
      </c>
    </row>
    <row r="54" spans="1:17" ht="13" x14ac:dyDescent="0.3">
      <c r="A54" s="401" t="e">
        <f t="shared" si="4"/>
        <v>#VALUE!</v>
      </c>
      <c r="C54" s="401" t="e">
        <f t="shared" si="8"/>
        <v>#VALUE!</v>
      </c>
      <c r="D54" s="401" t="e">
        <f t="shared" si="9"/>
        <v>#VALUE!</v>
      </c>
      <c r="E54" s="401" t="e">
        <f t="shared" si="10"/>
        <v>#VALUE!</v>
      </c>
      <c r="F54" s="401" t="e">
        <f t="shared" si="11"/>
        <v>#VALUE!</v>
      </c>
      <c r="M54" s="401" t="str">
        <f t="shared" si="5"/>
        <v>CODE 0925</v>
      </c>
      <c r="N54" s="404" t="s">
        <v>1521</v>
      </c>
      <c r="O54" s="401" t="s">
        <v>1522</v>
      </c>
      <c r="P54" s="401" t="s">
        <v>1523</v>
      </c>
      <c r="Q54" s="406" t="s">
        <v>274</v>
      </c>
    </row>
    <row r="55" spans="1:17" ht="13" x14ac:dyDescent="0.3">
      <c r="A55" s="401" t="e">
        <f t="shared" si="4"/>
        <v>#VALUE!</v>
      </c>
      <c r="C55" s="401" t="e">
        <f t="shared" si="8"/>
        <v>#VALUE!</v>
      </c>
      <c r="D55" s="401" t="e">
        <f t="shared" si="9"/>
        <v>#VALUE!</v>
      </c>
      <c r="E55" s="401" t="e">
        <f t="shared" si="10"/>
        <v>#VALUE!</v>
      </c>
      <c r="F55" s="401" t="e">
        <f t="shared" si="11"/>
        <v>#VALUE!</v>
      </c>
      <c r="M55" s="401" t="str">
        <f t="shared" si="5"/>
        <v>CODE 1535</v>
      </c>
      <c r="N55" s="404" t="s">
        <v>1524</v>
      </c>
      <c r="O55" s="401" t="s">
        <v>1525</v>
      </c>
      <c r="P55" s="401" t="s">
        <v>1526</v>
      </c>
      <c r="Q55" s="406" t="s">
        <v>274</v>
      </c>
    </row>
    <row r="56" spans="1:17" ht="13" x14ac:dyDescent="0.3">
      <c r="A56" s="401" t="e">
        <f t="shared" si="4"/>
        <v>#VALUE!</v>
      </c>
      <c r="C56" s="401" t="e">
        <f t="shared" si="8"/>
        <v>#VALUE!</v>
      </c>
      <c r="D56" s="401" t="e">
        <f t="shared" si="9"/>
        <v>#VALUE!</v>
      </c>
      <c r="E56" s="401" t="e">
        <f t="shared" si="10"/>
        <v>#VALUE!</v>
      </c>
      <c r="F56" s="401" t="e">
        <f t="shared" si="11"/>
        <v>#VALUE!</v>
      </c>
      <c r="M56" s="401" t="str">
        <f t="shared" si="5"/>
        <v>CODE 1025</v>
      </c>
      <c r="N56" s="404" t="s">
        <v>1527</v>
      </c>
      <c r="O56" s="401" t="s">
        <v>1528</v>
      </c>
      <c r="P56" s="401" t="s">
        <v>1529</v>
      </c>
      <c r="Q56" s="406" t="s">
        <v>274</v>
      </c>
    </row>
    <row r="57" spans="1:17" ht="13" x14ac:dyDescent="0.3">
      <c r="A57" s="401" t="e">
        <f t="shared" si="4"/>
        <v>#VALUE!</v>
      </c>
      <c r="C57" s="401" t="e">
        <f t="shared" si="8"/>
        <v>#VALUE!</v>
      </c>
      <c r="D57" s="401" t="e">
        <f t="shared" si="9"/>
        <v>#VALUE!</v>
      </c>
      <c r="E57" s="401" t="e">
        <f t="shared" si="10"/>
        <v>#VALUE!</v>
      </c>
      <c r="F57" s="401" t="e">
        <f t="shared" si="11"/>
        <v>#VALUE!</v>
      </c>
      <c r="M57" s="401" t="str">
        <f t="shared" si="5"/>
        <v>CODE 1110</v>
      </c>
      <c r="N57" s="404" t="s">
        <v>1530</v>
      </c>
      <c r="O57" s="401" t="s">
        <v>1531</v>
      </c>
      <c r="P57" s="407" t="s">
        <v>1532</v>
      </c>
      <c r="Q57" s="406" t="s">
        <v>274</v>
      </c>
    </row>
    <row r="58" spans="1:17" ht="13" x14ac:dyDescent="0.3">
      <c r="A58" s="401" t="e">
        <f t="shared" si="4"/>
        <v>#VALUE!</v>
      </c>
      <c r="C58" s="401" t="e">
        <f t="shared" si="8"/>
        <v>#VALUE!</v>
      </c>
      <c r="D58" s="401" t="e">
        <f t="shared" si="9"/>
        <v>#VALUE!</v>
      </c>
      <c r="E58" s="401" t="e">
        <f t="shared" si="10"/>
        <v>#VALUE!</v>
      </c>
      <c r="F58" s="401" t="e">
        <f t="shared" si="11"/>
        <v>#VALUE!</v>
      </c>
      <c r="M58" s="401" t="str">
        <f t="shared" si="5"/>
        <v>CODE 1720</v>
      </c>
      <c r="N58" s="404" t="s">
        <v>1533</v>
      </c>
      <c r="O58" s="401" t="s">
        <v>1534</v>
      </c>
      <c r="P58" s="401" t="s">
        <v>1535</v>
      </c>
      <c r="Q58" s="406" t="s">
        <v>274</v>
      </c>
    </row>
    <row r="59" spans="1:17" ht="13" x14ac:dyDescent="0.3">
      <c r="A59" s="401" t="e">
        <f t="shared" si="4"/>
        <v>#VALUE!</v>
      </c>
      <c r="C59" s="401" t="e">
        <f t="shared" si="8"/>
        <v>#VALUE!</v>
      </c>
      <c r="D59" s="401" t="e">
        <f t="shared" si="9"/>
        <v>#VALUE!</v>
      </c>
      <c r="E59" s="401" t="e">
        <f t="shared" si="10"/>
        <v>#VALUE!</v>
      </c>
      <c r="F59" s="401" t="e">
        <f t="shared" si="11"/>
        <v>#VALUE!</v>
      </c>
      <c r="M59" s="401" t="str">
        <f t="shared" si="5"/>
        <v>CODE 0515</v>
      </c>
      <c r="N59" s="404" t="s">
        <v>1536</v>
      </c>
      <c r="O59" s="401" t="s">
        <v>1537</v>
      </c>
      <c r="P59" s="401" t="s">
        <v>1538</v>
      </c>
      <c r="Q59" s="406" t="s">
        <v>274</v>
      </c>
    </row>
    <row r="60" spans="1:17" ht="13" x14ac:dyDescent="0.3">
      <c r="A60" s="401" t="e">
        <f t="shared" si="4"/>
        <v>#VALUE!</v>
      </c>
      <c r="C60" s="401" t="e">
        <f t="shared" si="8"/>
        <v>#VALUE!</v>
      </c>
      <c r="D60" s="401" t="e">
        <f t="shared" si="9"/>
        <v>#VALUE!</v>
      </c>
      <c r="E60" s="401" t="e">
        <f t="shared" si="10"/>
        <v>#VALUE!</v>
      </c>
      <c r="F60" s="401" t="e">
        <f t="shared" si="11"/>
        <v>#VALUE!</v>
      </c>
      <c r="M60" s="401" t="str">
        <f t="shared" si="5"/>
        <v>CODE 1615</v>
      </c>
      <c r="N60" s="404" t="s">
        <v>1539</v>
      </c>
      <c r="O60" s="401" t="s">
        <v>1540</v>
      </c>
      <c r="P60" s="401" t="s">
        <v>1541</v>
      </c>
      <c r="Q60" s="406" t="s">
        <v>274</v>
      </c>
    </row>
    <row r="61" spans="1:17" ht="13" x14ac:dyDescent="0.3">
      <c r="A61" s="401" t="e">
        <f t="shared" si="4"/>
        <v>#VALUE!</v>
      </c>
      <c r="C61" s="401" t="e">
        <f t="shared" si="8"/>
        <v>#VALUE!</v>
      </c>
      <c r="D61" s="401" t="e">
        <f t="shared" si="9"/>
        <v>#VALUE!</v>
      </c>
      <c r="E61" s="401" t="e">
        <f t="shared" si="10"/>
        <v>#VALUE!</v>
      </c>
      <c r="F61" s="401" t="e">
        <f t="shared" si="11"/>
        <v>#VALUE!</v>
      </c>
      <c r="M61" s="401" t="str">
        <f t="shared" si="5"/>
        <v>CODE 1620</v>
      </c>
      <c r="N61" s="404" t="s">
        <v>1542</v>
      </c>
      <c r="O61" s="401" t="s">
        <v>1543</v>
      </c>
      <c r="P61" s="407" t="s">
        <v>1545</v>
      </c>
      <c r="Q61" s="406" t="s">
        <v>274</v>
      </c>
    </row>
    <row r="62" spans="1:17" ht="13" x14ac:dyDescent="0.3">
      <c r="A62" s="401" t="e">
        <f t="shared" si="4"/>
        <v>#VALUE!</v>
      </c>
      <c r="C62" s="401" t="e">
        <f t="shared" si="8"/>
        <v>#VALUE!</v>
      </c>
      <c r="D62" s="401" t="e">
        <f t="shared" si="9"/>
        <v>#VALUE!</v>
      </c>
      <c r="E62" s="401" t="e">
        <f t="shared" si="10"/>
        <v>#VALUE!</v>
      </c>
      <c r="F62" s="401" t="e">
        <f t="shared" si="11"/>
        <v>#VALUE!</v>
      </c>
      <c r="M62" s="401" t="str">
        <f t="shared" si="5"/>
        <v>CODE 1725</v>
      </c>
      <c r="N62" s="404" t="s">
        <v>1546</v>
      </c>
      <c r="O62" s="401" t="s">
        <v>1547</v>
      </c>
      <c r="P62" s="401" t="s">
        <v>1548</v>
      </c>
      <c r="Q62" s="406" t="s">
        <v>274</v>
      </c>
    </row>
    <row r="63" spans="1:17" ht="13" x14ac:dyDescent="0.3">
      <c r="A63" s="401" t="e">
        <f t="shared" si="4"/>
        <v>#VALUE!</v>
      </c>
      <c r="C63" s="401" t="e">
        <f t="shared" si="8"/>
        <v>#VALUE!</v>
      </c>
      <c r="D63" s="401" t="e">
        <f t="shared" si="9"/>
        <v>#VALUE!</v>
      </c>
      <c r="E63" s="401" t="e">
        <f t="shared" si="10"/>
        <v>#VALUE!</v>
      </c>
      <c r="F63" s="401" t="e">
        <f t="shared" si="11"/>
        <v>#VALUE!</v>
      </c>
      <c r="M63" s="401" t="str">
        <f t="shared" si="5"/>
        <v>CODE 0650</v>
      </c>
      <c r="N63" s="404" t="s">
        <v>1549</v>
      </c>
      <c r="O63" s="401" t="s">
        <v>1550</v>
      </c>
      <c r="P63" s="401" t="s">
        <v>1551</v>
      </c>
      <c r="Q63" s="406" t="s">
        <v>274</v>
      </c>
    </row>
    <row r="64" spans="1:17" ht="13" x14ac:dyDescent="0.3">
      <c r="A64" s="401" t="e">
        <f t="shared" si="4"/>
        <v>#VALUE!</v>
      </c>
      <c r="C64" s="401" t="e">
        <f t="shared" si="8"/>
        <v>#VALUE!</v>
      </c>
      <c r="D64" s="401" t="e">
        <f t="shared" si="9"/>
        <v>#VALUE!</v>
      </c>
      <c r="E64" s="401" t="e">
        <f t="shared" si="10"/>
        <v>#VALUE!</v>
      </c>
      <c r="F64" s="401" t="e">
        <f t="shared" si="11"/>
        <v>#VALUE!</v>
      </c>
      <c r="M64" s="401" t="str">
        <f t="shared" si="5"/>
        <v>CODE 1730</v>
      </c>
      <c r="N64" s="404" t="s">
        <v>1552</v>
      </c>
      <c r="O64" s="401" t="s">
        <v>1553</v>
      </c>
      <c r="P64" s="401" t="s">
        <v>1554</v>
      </c>
      <c r="Q64" s="406" t="s">
        <v>274</v>
      </c>
    </row>
    <row r="65" spans="1:17" ht="13" x14ac:dyDescent="0.3">
      <c r="A65" s="401" t="e">
        <f t="shared" si="4"/>
        <v>#VALUE!</v>
      </c>
      <c r="C65" s="401" t="e">
        <f t="shared" si="8"/>
        <v>#VALUE!</v>
      </c>
      <c r="D65" s="401" t="e">
        <f t="shared" si="9"/>
        <v>#VALUE!</v>
      </c>
      <c r="E65" s="401" t="e">
        <f t="shared" si="10"/>
        <v>#VALUE!</v>
      </c>
      <c r="F65" s="401" t="e">
        <f t="shared" si="11"/>
        <v>#VALUE!</v>
      </c>
      <c r="M65" s="401" t="str">
        <f t="shared" si="5"/>
        <v>CODE 0724</v>
      </c>
      <c r="N65" s="404" t="s">
        <v>1555</v>
      </c>
      <c r="O65" s="401" t="s">
        <v>1556</v>
      </c>
      <c r="P65" s="407" t="s">
        <v>1557</v>
      </c>
      <c r="Q65" s="406" t="s">
        <v>274</v>
      </c>
    </row>
    <row r="66" spans="1:17" ht="13" x14ac:dyDescent="0.3">
      <c r="A66" s="401" t="e">
        <f t="shared" si="4"/>
        <v>#VALUE!</v>
      </c>
      <c r="C66" s="401" t="e">
        <f t="shared" si="8"/>
        <v>#VALUE!</v>
      </c>
      <c r="D66" s="401" t="e">
        <f t="shared" si="9"/>
        <v>#VALUE!</v>
      </c>
      <c r="E66" s="401" t="e">
        <f t="shared" si="10"/>
        <v>#VALUE!</v>
      </c>
      <c r="F66" s="401" t="e">
        <f t="shared" si="11"/>
        <v>#VALUE!</v>
      </c>
      <c r="M66" s="401" t="str">
        <f t="shared" si="5"/>
        <v>CODE 1415</v>
      </c>
      <c r="N66" s="404" t="s">
        <v>1558</v>
      </c>
      <c r="O66" s="401" t="s">
        <v>1559</v>
      </c>
      <c r="P66" s="401" t="s">
        <v>1561</v>
      </c>
      <c r="Q66" s="406" t="s">
        <v>274</v>
      </c>
    </row>
    <row r="67" spans="1:17" ht="13" x14ac:dyDescent="0.3">
      <c r="A67" s="401" t="e">
        <f t="shared" si="4"/>
        <v>#VALUE!</v>
      </c>
      <c r="C67" s="401" t="e">
        <f t="shared" si="8"/>
        <v>#VALUE!</v>
      </c>
      <c r="D67" s="401" t="e">
        <f t="shared" si="9"/>
        <v>#VALUE!</v>
      </c>
      <c r="E67" s="401" t="e">
        <f t="shared" si="10"/>
        <v>#VALUE!</v>
      </c>
      <c r="F67" s="401" t="e">
        <f t="shared" si="11"/>
        <v>#VALUE!</v>
      </c>
      <c r="M67" s="401" t="str">
        <f t="shared" si="5"/>
        <v>CODE 1735</v>
      </c>
      <c r="N67" s="404" t="s">
        <v>1562</v>
      </c>
      <c r="O67" s="401" t="s">
        <v>1563</v>
      </c>
      <c r="P67" s="401" t="s">
        <v>1564</v>
      </c>
      <c r="Q67" s="406" t="s">
        <v>274</v>
      </c>
    </row>
    <row r="68" spans="1:17" ht="13" x14ac:dyDescent="0.3">
      <c r="A68" s="401" t="e">
        <f t="shared" si="4"/>
        <v>#VALUE!</v>
      </c>
      <c r="C68" s="401" t="e">
        <f t="shared" si="8"/>
        <v>#VALUE!</v>
      </c>
      <c r="D68" s="401" t="e">
        <f t="shared" si="9"/>
        <v>#VALUE!</v>
      </c>
      <c r="E68" s="401" t="e">
        <f t="shared" si="10"/>
        <v>#VALUE!</v>
      </c>
      <c r="F68" s="401" t="e">
        <f t="shared" si="11"/>
        <v>#VALUE!</v>
      </c>
      <c r="M68" s="401" t="str">
        <f t="shared" si="5"/>
        <v>CODE 1030</v>
      </c>
      <c r="N68" s="404" t="s">
        <v>1565</v>
      </c>
      <c r="O68" s="401" t="s">
        <v>1566</v>
      </c>
      <c r="P68" s="401" t="s">
        <v>1567</v>
      </c>
      <c r="Q68" s="406" t="s">
        <v>274</v>
      </c>
    </row>
    <row r="69" spans="1:17" ht="13" x14ac:dyDescent="0.3">
      <c r="A69" s="401" t="e">
        <f t="shared" si="4"/>
        <v>#VALUE!</v>
      </c>
      <c r="C69" s="401" t="e">
        <f t="shared" si="8"/>
        <v>#VALUE!</v>
      </c>
      <c r="D69" s="401" t="e">
        <f t="shared" si="9"/>
        <v>#VALUE!</v>
      </c>
      <c r="E69" s="401" t="e">
        <f t="shared" si="10"/>
        <v>#VALUE!</v>
      </c>
      <c r="F69" s="401" t="e">
        <f t="shared" si="11"/>
        <v>#VALUE!</v>
      </c>
      <c r="M69" s="401" t="str">
        <f t="shared" si="5"/>
        <v>CODE 0520</v>
      </c>
      <c r="N69" s="404" t="s">
        <v>1568</v>
      </c>
      <c r="O69" s="401" t="s">
        <v>1569</v>
      </c>
      <c r="P69" s="401" t="s">
        <v>1570</v>
      </c>
      <c r="Q69" s="406" t="s">
        <v>274</v>
      </c>
    </row>
    <row r="70" spans="1:17" ht="13" x14ac:dyDescent="0.3">
      <c r="A70" s="401" t="e">
        <f t="shared" ref="A70:A133" si="12">FIND(",""",$A$1,A69+1)</f>
        <v>#VALUE!</v>
      </c>
      <c r="C70" s="401" t="e">
        <f t="shared" si="8"/>
        <v>#VALUE!</v>
      </c>
      <c r="D70" s="401" t="e">
        <f t="shared" si="9"/>
        <v>#VALUE!</v>
      </c>
      <c r="E70" s="401" t="e">
        <f t="shared" si="10"/>
        <v>#VALUE!</v>
      </c>
      <c r="F70" s="401" t="e">
        <f t="shared" si="11"/>
        <v>#VALUE!</v>
      </c>
      <c r="M70" s="401" t="str">
        <f t="shared" si="5"/>
        <v>CODE 0835</v>
      </c>
      <c r="N70" s="404" t="s">
        <v>1571</v>
      </c>
      <c r="O70" s="401" t="s">
        <v>1572</v>
      </c>
      <c r="P70" s="401" t="s">
        <v>1572</v>
      </c>
      <c r="Q70" s="406" t="s">
        <v>274</v>
      </c>
    </row>
    <row r="71" spans="1:17" ht="13" x14ac:dyDescent="0.3">
      <c r="A71" s="401" t="e">
        <f t="shared" si="12"/>
        <v>#VALUE!</v>
      </c>
      <c r="C71" s="401" t="e">
        <f t="shared" si="8"/>
        <v>#VALUE!</v>
      </c>
      <c r="D71" s="401" t="e">
        <f t="shared" si="9"/>
        <v>#VALUE!</v>
      </c>
      <c r="E71" s="401" t="e">
        <f t="shared" si="10"/>
        <v>#VALUE!</v>
      </c>
      <c r="F71" s="401" t="e">
        <f t="shared" si="11"/>
        <v>#VALUE!</v>
      </c>
      <c r="M71" s="401" t="str">
        <f t="shared" ref="M71:M134" si="13">"CODE "&amp;N71</f>
        <v>CODE 1425</v>
      </c>
      <c r="N71" s="404" t="s">
        <v>1573</v>
      </c>
      <c r="O71" s="401" t="s">
        <v>1574</v>
      </c>
      <c r="P71" s="401" t="s">
        <v>1575</v>
      </c>
      <c r="Q71" s="406" t="s">
        <v>274</v>
      </c>
    </row>
    <row r="72" spans="1:17" ht="13" x14ac:dyDescent="0.3">
      <c r="A72" s="401" t="e">
        <f t="shared" si="12"/>
        <v>#VALUE!</v>
      </c>
      <c r="C72" s="401" t="e">
        <f t="shared" si="8"/>
        <v>#VALUE!</v>
      </c>
      <c r="D72" s="401" t="e">
        <f t="shared" si="9"/>
        <v>#VALUE!</v>
      </c>
      <c r="E72" s="401" t="e">
        <f t="shared" si="10"/>
        <v>#VALUE!</v>
      </c>
      <c r="F72" s="401" t="e">
        <f t="shared" si="11"/>
        <v>#VALUE!</v>
      </c>
      <c r="M72" s="401" t="str">
        <f t="shared" si="13"/>
        <v>CODE 0230</v>
      </c>
      <c r="N72" s="404" t="s">
        <v>1576</v>
      </c>
      <c r="O72" s="401" t="s">
        <v>1577</v>
      </c>
      <c r="P72" s="401" t="s">
        <v>1578</v>
      </c>
      <c r="Q72" s="406" t="s">
        <v>274</v>
      </c>
    </row>
    <row r="73" spans="1:17" ht="13" x14ac:dyDescent="0.3">
      <c r="A73" s="401" t="e">
        <f t="shared" si="12"/>
        <v>#VALUE!</v>
      </c>
      <c r="C73" s="401" t="e">
        <f t="shared" si="8"/>
        <v>#VALUE!</v>
      </c>
      <c r="D73" s="401" t="e">
        <f t="shared" si="9"/>
        <v>#VALUE!</v>
      </c>
      <c r="E73" s="401" t="e">
        <f t="shared" si="10"/>
        <v>#VALUE!</v>
      </c>
      <c r="F73" s="401" t="e">
        <f t="shared" si="11"/>
        <v>#VALUE!</v>
      </c>
      <c r="M73" s="401" t="str">
        <f t="shared" si="13"/>
        <v>CODE 1545</v>
      </c>
      <c r="N73" s="404" t="s">
        <v>1579</v>
      </c>
      <c r="O73" s="401" t="s">
        <v>1580</v>
      </c>
      <c r="P73" s="401" t="s">
        <v>1581</v>
      </c>
      <c r="Q73" s="406" t="s">
        <v>274</v>
      </c>
    </row>
    <row r="74" spans="1:17" ht="13" x14ac:dyDescent="0.3">
      <c r="A74" s="401" t="e">
        <f t="shared" si="12"/>
        <v>#VALUE!</v>
      </c>
      <c r="C74" s="401" t="e">
        <f t="shared" si="8"/>
        <v>#VALUE!</v>
      </c>
      <c r="D74" s="401" t="e">
        <f t="shared" si="9"/>
        <v>#VALUE!</v>
      </c>
      <c r="E74" s="401" t="e">
        <f t="shared" si="10"/>
        <v>#VALUE!</v>
      </c>
      <c r="F74" s="401" t="e">
        <f t="shared" si="11"/>
        <v>#VALUE!</v>
      </c>
      <c r="M74" s="401" t="str">
        <f t="shared" si="13"/>
        <v>CODE 1135</v>
      </c>
      <c r="N74" s="404" t="s">
        <v>1582</v>
      </c>
      <c r="O74" s="401" t="s">
        <v>1583</v>
      </c>
      <c r="P74" s="401" t="s">
        <v>1584</v>
      </c>
      <c r="Q74" s="406" t="s">
        <v>274</v>
      </c>
    </row>
    <row r="75" spans="1:17" ht="13" x14ac:dyDescent="0.3">
      <c r="A75" s="401" t="e">
        <f t="shared" si="12"/>
        <v>#VALUE!</v>
      </c>
      <c r="C75" s="401" t="e">
        <f t="shared" si="8"/>
        <v>#VALUE!</v>
      </c>
      <c r="D75" s="401" t="e">
        <f t="shared" si="9"/>
        <v>#VALUE!</v>
      </c>
      <c r="E75" s="401" t="e">
        <f t="shared" si="10"/>
        <v>#VALUE!</v>
      </c>
      <c r="F75" s="401" t="e">
        <f t="shared" si="11"/>
        <v>#VALUE!</v>
      </c>
      <c r="M75" s="401" t="str">
        <f t="shared" si="13"/>
        <v>CODE 0734</v>
      </c>
      <c r="N75" s="404" t="s">
        <v>1585</v>
      </c>
      <c r="O75" s="401" t="s">
        <v>1586</v>
      </c>
      <c r="P75" s="407" t="s">
        <v>1587</v>
      </c>
      <c r="Q75" s="406" t="s">
        <v>274</v>
      </c>
    </row>
    <row r="76" spans="1:17" ht="13" x14ac:dyDescent="0.3">
      <c r="A76" s="401" t="e">
        <f t="shared" si="12"/>
        <v>#VALUE!</v>
      </c>
      <c r="C76" s="401" t="e">
        <f t="shared" si="8"/>
        <v>#VALUE!</v>
      </c>
      <c r="D76" s="401" t="e">
        <f t="shared" si="9"/>
        <v>#VALUE!</v>
      </c>
      <c r="E76" s="401" t="e">
        <f t="shared" si="10"/>
        <v>#VALUE!</v>
      </c>
      <c r="F76" s="401" t="e">
        <f t="shared" si="11"/>
        <v>#VALUE!</v>
      </c>
      <c r="M76" s="401" t="str">
        <f t="shared" si="13"/>
        <v>CODE 0435</v>
      </c>
      <c r="N76" s="404" t="s">
        <v>1588</v>
      </c>
      <c r="O76" s="401" t="s">
        <v>1589</v>
      </c>
      <c r="P76" s="401" t="s">
        <v>1590</v>
      </c>
      <c r="Q76" s="406" t="s">
        <v>274</v>
      </c>
    </row>
    <row r="77" spans="1:17" ht="13" x14ac:dyDescent="0.3">
      <c r="A77" s="401" t="e">
        <f t="shared" si="12"/>
        <v>#VALUE!</v>
      </c>
      <c r="C77" s="401" t="e">
        <f t="shared" si="8"/>
        <v>#VALUE!</v>
      </c>
      <c r="D77" s="401" t="e">
        <f t="shared" si="9"/>
        <v>#VALUE!</v>
      </c>
      <c r="E77" s="401" t="e">
        <f t="shared" si="10"/>
        <v>#VALUE!</v>
      </c>
      <c r="F77" s="401" t="e">
        <f t="shared" si="11"/>
        <v>#VALUE!</v>
      </c>
      <c r="M77" s="401" t="str">
        <f t="shared" si="13"/>
        <v>CODE 1740</v>
      </c>
      <c r="N77" s="404" t="s">
        <v>1591</v>
      </c>
      <c r="O77" s="401" t="s">
        <v>1592</v>
      </c>
      <c r="P77" s="401" t="s">
        <v>1593</v>
      </c>
      <c r="Q77" s="406" t="s">
        <v>274</v>
      </c>
    </row>
    <row r="78" spans="1:17" ht="13" x14ac:dyDescent="0.3">
      <c r="A78" s="401" t="e">
        <f t="shared" si="12"/>
        <v>#VALUE!</v>
      </c>
      <c r="C78" s="401" t="e">
        <f t="shared" si="8"/>
        <v>#VALUE!</v>
      </c>
      <c r="D78" s="401" t="e">
        <f t="shared" si="9"/>
        <v>#VALUE!</v>
      </c>
      <c r="E78" s="401" t="e">
        <f t="shared" si="10"/>
        <v>#VALUE!</v>
      </c>
      <c r="F78" s="401" t="e">
        <f t="shared" si="11"/>
        <v>#VALUE!</v>
      </c>
      <c r="M78" s="401" t="str">
        <f t="shared" si="13"/>
        <v>CODE 1115</v>
      </c>
      <c r="N78" s="404" t="s">
        <v>1594</v>
      </c>
      <c r="O78" s="401" t="s">
        <v>1595</v>
      </c>
      <c r="P78" s="401" t="s">
        <v>1596</v>
      </c>
      <c r="Q78" s="406" t="s">
        <v>274</v>
      </c>
    </row>
    <row r="79" spans="1:17" ht="13" x14ac:dyDescent="0.3">
      <c r="A79" s="401" t="e">
        <f t="shared" si="12"/>
        <v>#VALUE!</v>
      </c>
      <c r="C79" s="401" t="e">
        <f t="shared" si="8"/>
        <v>#VALUE!</v>
      </c>
      <c r="D79" s="401" t="e">
        <f t="shared" si="9"/>
        <v>#VALUE!</v>
      </c>
      <c r="E79" s="401" t="e">
        <f t="shared" si="10"/>
        <v>#VALUE!</v>
      </c>
      <c r="F79" s="401" t="e">
        <f t="shared" si="11"/>
        <v>#VALUE!</v>
      </c>
      <c r="M79" s="401" t="str">
        <f t="shared" si="13"/>
        <v>CODE 1215</v>
      </c>
      <c r="N79" s="404" t="s">
        <v>1597</v>
      </c>
      <c r="O79" s="401" t="s">
        <v>1598</v>
      </c>
      <c r="P79" s="401" t="s">
        <v>1599</v>
      </c>
      <c r="Q79" s="406" t="s">
        <v>274</v>
      </c>
    </row>
    <row r="80" spans="1:17" ht="13" x14ac:dyDescent="0.3">
      <c r="A80" s="401" t="e">
        <f t="shared" si="12"/>
        <v>#VALUE!</v>
      </c>
      <c r="C80" s="401" t="e">
        <f t="shared" si="8"/>
        <v>#VALUE!</v>
      </c>
      <c r="D80" s="401" t="e">
        <f t="shared" si="9"/>
        <v>#VALUE!</v>
      </c>
      <c r="E80" s="401" t="e">
        <f t="shared" si="10"/>
        <v>#VALUE!</v>
      </c>
      <c r="F80" s="401" t="e">
        <f t="shared" si="11"/>
        <v>#VALUE!</v>
      </c>
      <c r="M80" s="401" t="str">
        <f t="shared" si="13"/>
        <v>CODE 1035</v>
      </c>
      <c r="N80" s="404" t="s">
        <v>1600</v>
      </c>
      <c r="O80" s="401" t="s">
        <v>1601</v>
      </c>
      <c r="P80" s="401" t="s">
        <v>1602</v>
      </c>
      <c r="Q80" s="406" t="s">
        <v>274</v>
      </c>
    </row>
    <row r="81" spans="1:17" ht="13" x14ac:dyDescent="0.3">
      <c r="A81" s="401" t="e">
        <f t="shared" si="12"/>
        <v>#VALUE!</v>
      </c>
      <c r="C81" s="401" t="e">
        <f t="shared" si="8"/>
        <v>#VALUE!</v>
      </c>
      <c r="D81" s="401" t="e">
        <f t="shared" si="9"/>
        <v>#VALUE!</v>
      </c>
      <c r="E81" s="401" t="e">
        <f t="shared" si="10"/>
        <v>#VALUE!</v>
      </c>
      <c r="F81" s="401" t="e">
        <f t="shared" si="11"/>
        <v>#VALUE!</v>
      </c>
      <c r="M81" s="401" t="str">
        <f t="shared" si="13"/>
        <v>CODE 0121</v>
      </c>
      <c r="N81" s="404" t="s">
        <v>1603</v>
      </c>
      <c r="O81" s="401" t="s">
        <v>1604</v>
      </c>
      <c r="P81" s="401" t="s">
        <v>1605</v>
      </c>
      <c r="Q81" s="406" t="s">
        <v>274</v>
      </c>
    </row>
    <row r="82" spans="1:17" ht="13" x14ac:dyDescent="0.3">
      <c r="A82" s="401" t="e">
        <f t="shared" si="12"/>
        <v>#VALUE!</v>
      </c>
      <c r="C82" s="401" t="e">
        <f t="shared" si="8"/>
        <v>#VALUE!</v>
      </c>
      <c r="D82" s="401" t="e">
        <f t="shared" si="9"/>
        <v>#VALUE!</v>
      </c>
      <c r="E82" s="401" t="e">
        <f t="shared" si="10"/>
        <v>#VALUE!</v>
      </c>
      <c r="F82" s="401" t="e">
        <f t="shared" si="11"/>
        <v>#VALUE!</v>
      </c>
      <c r="M82" s="401" t="str">
        <f t="shared" si="13"/>
        <v>CODE 0540</v>
      </c>
      <c r="N82" s="404" t="s">
        <v>1606</v>
      </c>
      <c r="O82" s="401" t="s">
        <v>1607</v>
      </c>
      <c r="P82" s="407" t="s">
        <v>1608</v>
      </c>
      <c r="Q82" s="406" t="s">
        <v>274</v>
      </c>
    </row>
    <row r="83" spans="1:17" ht="13" x14ac:dyDescent="0.3">
      <c r="A83" s="401" t="e">
        <f t="shared" si="12"/>
        <v>#VALUE!</v>
      </c>
      <c r="C83" s="401" t="e">
        <f t="shared" si="8"/>
        <v>#VALUE!</v>
      </c>
      <c r="D83" s="401" t="e">
        <f t="shared" si="9"/>
        <v>#VALUE!</v>
      </c>
      <c r="E83" s="401" t="e">
        <f t="shared" si="10"/>
        <v>#VALUE!</v>
      </c>
      <c r="F83" s="401" t="e">
        <f t="shared" si="11"/>
        <v>#VALUE!</v>
      </c>
      <c r="M83" s="401" t="str">
        <f t="shared" si="13"/>
        <v>CODE 1160</v>
      </c>
      <c r="N83" s="404" t="s">
        <v>1609</v>
      </c>
      <c r="O83" s="401" t="s">
        <v>1610</v>
      </c>
      <c r="P83" s="407" t="s">
        <v>1614</v>
      </c>
      <c r="Q83" s="406" t="s">
        <v>274</v>
      </c>
    </row>
    <row r="84" spans="1:17" ht="13" x14ac:dyDescent="0.3">
      <c r="A84" s="401" t="e">
        <f t="shared" si="12"/>
        <v>#VALUE!</v>
      </c>
      <c r="C84" s="401" t="e">
        <f t="shared" si="8"/>
        <v>#VALUE!</v>
      </c>
      <c r="D84" s="401" t="e">
        <f t="shared" si="9"/>
        <v>#VALUE!</v>
      </c>
      <c r="E84" s="401" t="e">
        <f t="shared" si="10"/>
        <v>#VALUE!</v>
      </c>
      <c r="F84" s="401" t="e">
        <f t="shared" si="11"/>
        <v>#VALUE!</v>
      </c>
      <c r="M84" s="401" t="str">
        <f t="shared" si="13"/>
        <v>CODE 1255</v>
      </c>
      <c r="N84" s="404" t="s">
        <v>1615</v>
      </c>
      <c r="O84" s="401" t="s">
        <v>1616</v>
      </c>
      <c r="P84" s="401" t="s">
        <v>1617</v>
      </c>
      <c r="Q84" s="406" t="s">
        <v>274</v>
      </c>
    </row>
    <row r="85" spans="1:17" ht="13" x14ac:dyDescent="0.3">
      <c r="A85" s="401" t="e">
        <f t="shared" si="12"/>
        <v>#VALUE!</v>
      </c>
      <c r="C85" s="401" t="e">
        <f t="shared" si="8"/>
        <v>#VALUE!</v>
      </c>
      <c r="D85" s="401" t="e">
        <f t="shared" si="9"/>
        <v>#VALUE!</v>
      </c>
      <c r="E85" s="401" t="e">
        <f t="shared" si="10"/>
        <v>#VALUE!</v>
      </c>
      <c r="F85" s="401" t="e">
        <f t="shared" si="11"/>
        <v>#VALUE!</v>
      </c>
      <c r="M85" s="401" t="str">
        <f t="shared" si="13"/>
        <v>CODE 1775</v>
      </c>
      <c r="N85" s="404" t="s">
        <v>1618</v>
      </c>
      <c r="O85" s="401" t="s">
        <v>1619</v>
      </c>
      <c r="P85" s="407" t="s">
        <v>1620</v>
      </c>
      <c r="Q85" s="406" t="s">
        <v>274</v>
      </c>
    </row>
    <row r="86" spans="1:17" ht="13" x14ac:dyDescent="0.3">
      <c r="A86" s="401" t="e">
        <f t="shared" si="12"/>
        <v>#VALUE!</v>
      </c>
      <c r="C86" s="401" t="e">
        <f t="shared" si="8"/>
        <v>#VALUE!</v>
      </c>
      <c r="D86" s="401" t="e">
        <f t="shared" si="9"/>
        <v>#VALUE!</v>
      </c>
      <c r="E86" s="401" t="e">
        <f t="shared" si="10"/>
        <v>#VALUE!</v>
      </c>
      <c r="F86" s="401" t="e">
        <f t="shared" si="11"/>
        <v>#VALUE!</v>
      </c>
      <c r="M86" s="401" t="str">
        <f t="shared" si="13"/>
        <v>CODE 1225</v>
      </c>
      <c r="N86" s="404" t="s">
        <v>1621</v>
      </c>
      <c r="O86" s="401" t="s">
        <v>1622</v>
      </c>
      <c r="P86" s="401" t="s">
        <v>1623</v>
      </c>
      <c r="Q86" s="406" t="s">
        <v>274</v>
      </c>
    </row>
    <row r="87" spans="1:17" ht="13" x14ac:dyDescent="0.3">
      <c r="A87" s="401" t="e">
        <f t="shared" si="12"/>
        <v>#VALUE!</v>
      </c>
      <c r="C87" s="401" t="e">
        <f t="shared" si="8"/>
        <v>#VALUE!</v>
      </c>
      <c r="D87" s="401" t="e">
        <f t="shared" si="9"/>
        <v>#VALUE!</v>
      </c>
      <c r="E87" s="401" t="e">
        <f t="shared" si="10"/>
        <v>#VALUE!</v>
      </c>
      <c r="F87" s="401" t="e">
        <f t="shared" si="11"/>
        <v>#VALUE!</v>
      </c>
      <c r="M87" s="401" t="str">
        <f t="shared" si="13"/>
        <v>CODE 0345</v>
      </c>
      <c r="N87" s="404" t="s">
        <v>1624</v>
      </c>
      <c r="O87" s="401" t="s">
        <v>1625</v>
      </c>
      <c r="P87" s="401" t="s">
        <v>1626</v>
      </c>
      <c r="Q87" s="406" t="s">
        <v>274</v>
      </c>
    </row>
    <row r="88" spans="1:17" ht="13" x14ac:dyDescent="0.3">
      <c r="A88" s="401" t="e">
        <f t="shared" si="12"/>
        <v>#VALUE!</v>
      </c>
      <c r="C88" s="401" t="e">
        <f t="shared" si="8"/>
        <v>#VALUE!</v>
      </c>
      <c r="D88" s="401" t="e">
        <f t="shared" si="9"/>
        <v>#VALUE!</v>
      </c>
      <c r="E88" s="401" t="e">
        <f t="shared" si="10"/>
        <v>#VALUE!</v>
      </c>
      <c r="F88" s="401" t="e">
        <f t="shared" si="11"/>
        <v>#VALUE!</v>
      </c>
      <c r="M88" s="401" t="str">
        <f t="shared" si="13"/>
        <v>CODE 0728</v>
      </c>
      <c r="N88" s="404" t="s">
        <v>1627</v>
      </c>
      <c r="O88" s="401" t="s">
        <v>1628</v>
      </c>
      <c r="P88" s="407" t="s">
        <v>1629</v>
      </c>
      <c r="Q88" s="406" t="s">
        <v>274</v>
      </c>
    </row>
    <row r="89" spans="1:17" ht="13" x14ac:dyDescent="0.3">
      <c r="A89" s="401" t="e">
        <f t="shared" si="12"/>
        <v>#VALUE!</v>
      </c>
      <c r="C89" s="401" t="e">
        <f t="shared" si="8"/>
        <v>#VALUE!</v>
      </c>
      <c r="D89" s="401" t="e">
        <f t="shared" si="9"/>
        <v>#VALUE!</v>
      </c>
      <c r="E89" s="401" t="e">
        <f t="shared" si="10"/>
        <v>#VALUE!</v>
      </c>
      <c r="F89" s="401" t="e">
        <f t="shared" si="11"/>
        <v>#VALUE!</v>
      </c>
      <c r="M89" s="401" t="str">
        <f t="shared" si="13"/>
        <v>CODE 1825</v>
      </c>
      <c r="N89" s="404" t="s">
        <v>1630</v>
      </c>
      <c r="O89" s="401" t="s">
        <v>1631</v>
      </c>
      <c r="P89" s="401" t="s">
        <v>1632</v>
      </c>
      <c r="Q89" s="406" t="s">
        <v>274</v>
      </c>
    </row>
    <row r="90" spans="1:17" ht="13" x14ac:dyDescent="0.3">
      <c r="A90" s="401" t="e">
        <f t="shared" si="12"/>
        <v>#VALUE!</v>
      </c>
      <c r="C90" s="401" t="e">
        <f t="shared" si="8"/>
        <v>#VALUE!</v>
      </c>
      <c r="D90" s="401" t="e">
        <f t="shared" si="9"/>
        <v>#VALUE!</v>
      </c>
      <c r="E90" s="401" t="e">
        <f t="shared" si="10"/>
        <v>#VALUE!</v>
      </c>
      <c r="F90" s="401" t="e">
        <f t="shared" si="11"/>
        <v>#VALUE!</v>
      </c>
      <c r="M90" s="401" t="str">
        <f t="shared" si="13"/>
        <v>CODE 1550</v>
      </c>
      <c r="N90" s="404" t="s">
        <v>1633</v>
      </c>
      <c r="O90" s="401" t="s">
        <v>1634</v>
      </c>
      <c r="P90" s="401" t="s">
        <v>1635</v>
      </c>
      <c r="Q90" s="406" t="s">
        <v>274</v>
      </c>
    </row>
    <row r="91" spans="1:17" ht="13" x14ac:dyDescent="0.3">
      <c r="A91" s="401" t="e">
        <f t="shared" si="12"/>
        <v>#VALUE!</v>
      </c>
      <c r="C91" s="401" t="e">
        <f t="shared" si="8"/>
        <v>#VALUE!</v>
      </c>
      <c r="D91" s="401" t="e">
        <f t="shared" si="9"/>
        <v>#VALUE!</v>
      </c>
      <c r="E91" s="401" t="e">
        <f t="shared" si="10"/>
        <v>#VALUE!</v>
      </c>
      <c r="F91" s="401" t="e">
        <f t="shared" si="11"/>
        <v>#VALUE!</v>
      </c>
      <c r="M91" s="401" t="str">
        <f t="shared" si="13"/>
        <v>CODE 1430</v>
      </c>
      <c r="N91" s="404" t="s">
        <v>1636</v>
      </c>
      <c r="O91" s="401" t="s">
        <v>1637</v>
      </c>
      <c r="P91" s="401" t="s">
        <v>1638</v>
      </c>
      <c r="Q91" s="406" t="s">
        <v>274</v>
      </c>
    </row>
    <row r="92" spans="1:17" ht="13" x14ac:dyDescent="0.3">
      <c r="A92" s="401" t="e">
        <f t="shared" si="12"/>
        <v>#VALUE!</v>
      </c>
      <c r="C92" s="401" t="e">
        <f t="shared" ref="C92:C155" si="14">MID($A$1,A92+2,A93-(A92+3))</f>
        <v>#VALUE!</v>
      </c>
      <c r="D92" s="401" t="e">
        <f t="shared" ref="D92:D155" si="15">C93</f>
        <v>#VALUE!</v>
      </c>
      <c r="E92" s="401" t="e">
        <f t="shared" ref="E92:E155" si="16">C91</f>
        <v>#VALUE!</v>
      </c>
      <c r="F92" s="401" t="e">
        <f t="shared" ref="F92:F155" si="17">C90</f>
        <v>#VALUE!</v>
      </c>
      <c r="M92" s="401" t="str">
        <f t="shared" si="13"/>
        <v>CODE 0355</v>
      </c>
      <c r="N92" s="404" t="s">
        <v>1639</v>
      </c>
      <c r="O92" s="401" t="s">
        <v>1640</v>
      </c>
      <c r="P92" s="407" t="s">
        <v>1641</v>
      </c>
      <c r="Q92" s="406" t="s">
        <v>274</v>
      </c>
    </row>
    <row r="93" spans="1:17" ht="13" x14ac:dyDescent="0.3">
      <c r="A93" s="401" t="e">
        <f t="shared" si="12"/>
        <v>#VALUE!</v>
      </c>
      <c r="C93" s="401" t="e">
        <f t="shared" si="14"/>
        <v>#VALUE!</v>
      </c>
      <c r="D93" s="401" t="e">
        <f t="shared" si="15"/>
        <v>#VALUE!</v>
      </c>
      <c r="E93" s="401" t="e">
        <f t="shared" si="16"/>
        <v>#VALUE!</v>
      </c>
      <c r="F93" s="401" t="e">
        <f t="shared" si="17"/>
        <v>#VALUE!</v>
      </c>
      <c r="M93" s="401" t="str">
        <f t="shared" si="13"/>
        <v>CODE 1750</v>
      </c>
      <c r="N93" s="404" t="s">
        <v>1642</v>
      </c>
      <c r="O93" s="401" t="s">
        <v>1643</v>
      </c>
      <c r="P93" s="401" t="s">
        <v>1644</v>
      </c>
      <c r="Q93" s="406" t="s">
        <v>274</v>
      </c>
    </row>
    <row r="94" spans="1:17" ht="13" x14ac:dyDescent="0.3">
      <c r="A94" s="401" t="e">
        <f t="shared" si="12"/>
        <v>#VALUE!</v>
      </c>
      <c r="C94" s="401" t="e">
        <f t="shared" si="14"/>
        <v>#VALUE!</v>
      </c>
      <c r="D94" s="401" t="e">
        <f t="shared" si="15"/>
        <v>#VALUE!</v>
      </c>
      <c r="E94" s="401" t="e">
        <f t="shared" si="16"/>
        <v>#VALUE!</v>
      </c>
      <c r="F94" s="401" t="e">
        <f t="shared" si="17"/>
        <v>#VALUE!</v>
      </c>
      <c r="M94" s="401" t="str">
        <f t="shared" si="13"/>
        <v>CODE 0350</v>
      </c>
      <c r="N94" s="404" t="s">
        <v>1645</v>
      </c>
      <c r="O94" s="401" t="s">
        <v>1646</v>
      </c>
      <c r="P94" s="401" t="s">
        <v>1647</v>
      </c>
      <c r="Q94" s="406" t="s">
        <v>274</v>
      </c>
    </row>
    <row r="95" spans="1:17" ht="13" x14ac:dyDescent="0.3">
      <c r="A95" s="401" t="e">
        <f t="shared" si="12"/>
        <v>#VALUE!</v>
      </c>
      <c r="C95" s="401" t="e">
        <f t="shared" si="14"/>
        <v>#VALUE!</v>
      </c>
      <c r="D95" s="401" t="e">
        <f t="shared" si="15"/>
        <v>#VALUE!</v>
      </c>
      <c r="E95" s="401" t="e">
        <f t="shared" si="16"/>
        <v>#VALUE!</v>
      </c>
      <c r="F95" s="401" t="e">
        <f t="shared" si="17"/>
        <v>#VALUE!</v>
      </c>
      <c r="M95" s="401" t="str">
        <f t="shared" si="13"/>
        <v>CODE 0410</v>
      </c>
      <c r="N95" s="404" t="s">
        <v>1648</v>
      </c>
      <c r="O95" s="401" t="s">
        <v>1649</v>
      </c>
      <c r="P95" s="401" t="s">
        <v>1650</v>
      </c>
      <c r="Q95" s="406" t="s">
        <v>274</v>
      </c>
    </row>
    <row r="96" spans="1:17" ht="13" x14ac:dyDescent="0.3">
      <c r="A96" s="401" t="e">
        <f t="shared" si="12"/>
        <v>#VALUE!</v>
      </c>
      <c r="C96" s="401" t="e">
        <f t="shared" si="14"/>
        <v>#VALUE!</v>
      </c>
      <c r="D96" s="401" t="e">
        <f t="shared" si="15"/>
        <v>#VALUE!</v>
      </c>
      <c r="E96" s="401" t="e">
        <f t="shared" si="16"/>
        <v>#VALUE!</v>
      </c>
      <c r="F96" s="401" t="e">
        <f t="shared" si="17"/>
        <v>#VALUE!</v>
      </c>
      <c r="M96" s="401" t="str">
        <f t="shared" si="13"/>
        <v>CODE 0530</v>
      </c>
      <c r="N96" s="404" t="s">
        <v>1651</v>
      </c>
      <c r="O96" s="401" t="s">
        <v>1652</v>
      </c>
      <c r="P96" s="407" t="s">
        <v>1653</v>
      </c>
      <c r="Q96" s="406" t="s">
        <v>274</v>
      </c>
    </row>
    <row r="97" spans="1:17" ht="13" x14ac:dyDescent="0.3">
      <c r="A97" s="401" t="e">
        <f t="shared" si="12"/>
        <v>#VALUE!</v>
      </c>
      <c r="C97" s="401" t="e">
        <f t="shared" si="14"/>
        <v>#VALUE!</v>
      </c>
      <c r="D97" s="401" t="e">
        <f t="shared" si="15"/>
        <v>#VALUE!</v>
      </c>
      <c r="E97" s="401" t="e">
        <f t="shared" si="16"/>
        <v>#VALUE!</v>
      </c>
      <c r="F97" s="401" t="e">
        <f t="shared" si="17"/>
        <v>#VALUE!</v>
      </c>
      <c r="M97" s="401" t="str">
        <f t="shared" si="13"/>
        <v>CODE 1040</v>
      </c>
      <c r="N97" s="404" t="s">
        <v>1654</v>
      </c>
      <c r="O97" s="401" t="s">
        <v>1655</v>
      </c>
      <c r="P97" s="401" t="s">
        <v>1656</v>
      </c>
      <c r="Q97" s="406" t="s">
        <v>274</v>
      </c>
    </row>
    <row r="98" spans="1:17" ht="13" x14ac:dyDescent="0.3">
      <c r="A98" s="401" t="e">
        <f t="shared" si="12"/>
        <v>#VALUE!</v>
      </c>
      <c r="C98" s="401" t="e">
        <f t="shared" si="14"/>
        <v>#VALUE!</v>
      </c>
      <c r="D98" s="401" t="e">
        <f t="shared" si="15"/>
        <v>#VALUE!</v>
      </c>
      <c r="E98" s="401" t="e">
        <f t="shared" si="16"/>
        <v>#VALUE!</v>
      </c>
      <c r="F98" s="401" t="e">
        <f t="shared" si="17"/>
        <v>#VALUE!</v>
      </c>
      <c r="M98" s="401" t="str">
        <f t="shared" si="13"/>
        <v>CODE 0119</v>
      </c>
      <c r="N98" s="404" t="s">
        <v>1657</v>
      </c>
      <c r="O98" s="401" t="s">
        <v>1658</v>
      </c>
      <c r="P98" s="401" t="s">
        <v>1658</v>
      </c>
      <c r="Q98" s="406" t="s">
        <v>274</v>
      </c>
    </row>
    <row r="99" spans="1:17" ht="13" x14ac:dyDescent="0.3">
      <c r="A99" s="401" t="e">
        <f t="shared" si="12"/>
        <v>#VALUE!</v>
      </c>
      <c r="C99" s="401" t="e">
        <f t="shared" si="14"/>
        <v>#VALUE!</v>
      </c>
      <c r="D99" s="401" t="e">
        <f t="shared" si="15"/>
        <v>#VALUE!</v>
      </c>
      <c r="E99" s="401" t="e">
        <f t="shared" si="16"/>
        <v>#VALUE!</v>
      </c>
      <c r="F99" s="401" t="e">
        <f t="shared" si="17"/>
        <v>#VALUE!</v>
      </c>
      <c r="M99" s="401" t="str">
        <f t="shared" si="13"/>
        <v>CODE 1125</v>
      </c>
      <c r="N99" s="404" t="s">
        <v>1659</v>
      </c>
      <c r="O99" s="401" t="s">
        <v>1660</v>
      </c>
      <c r="P99" s="401" t="s">
        <v>1661</v>
      </c>
      <c r="Q99" s="406" t="s">
        <v>274</v>
      </c>
    </row>
    <row r="100" spans="1:17" ht="13" x14ac:dyDescent="0.3">
      <c r="A100" s="401" t="e">
        <f t="shared" si="12"/>
        <v>#VALUE!</v>
      </c>
      <c r="C100" s="401" t="e">
        <f t="shared" si="14"/>
        <v>#VALUE!</v>
      </c>
      <c r="D100" s="401" t="e">
        <f t="shared" si="15"/>
        <v>#VALUE!</v>
      </c>
      <c r="E100" s="401" t="e">
        <f t="shared" si="16"/>
        <v>#VALUE!</v>
      </c>
      <c r="F100" s="401" t="e">
        <f t="shared" si="17"/>
        <v>#VALUE!</v>
      </c>
      <c r="M100" s="401" t="str">
        <f t="shared" si="13"/>
        <v>CODE 0930</v>
      </c>
      <c r="N100" s="404" t="s">
        <v>1662</v>
      </c>
      <c r="O100" s="401" t="s">
        <v>1663</v>
      </c>
      <c r="P100" s="401" t="s">
        <v>1664</v>
      </c>
      <c r="Q100" s="406" t="s">
        <v>274</v>
      </c>
    </row>
    <row r="101" spans="1:17" ht="13" x14ac:dyDescent="0.3">
      <c r="A101" s="401" t="e">
        <f t="shared" si="12"/>
        <v>#VALUE!</v>
      </c>
      <c r="C101" s="401" t="e">
        <f t="shared" si="14"/>
        <v>#VALUE!</v>
      </c>
      <c r="D101" s="401" t="e">
        <f t="shared" si="15"/>
        <v>#VALUE!</v>
      </c>
      <c r="E101" s="401" t="e">
        <f t="shared" si="16"/>
        <v>#VALUE!</v>
      </c>
      <c r="F101" s="401" t="e">
        <f t="shared" si="17"/>
        <v>#VALUE!</v>
      </c>
      <c r="M101" s="401" t="str">
        <f t="shared" si="13"/>
        <v>CODE 1780</v>
      </c>
      <c r="N101" s="404" t="s">
        <v>1665</v>
      </c>
      <c r="O101" s="401" t="s">
        <v>1666</v>
      </c>
      <c r="P101" s="407" t="s">
        <v>1667</v>
      </c>
      <c r="Q101" s="406" t="s">
        <v>274</v>
      </c>
    </row>
    <row r="102" spans="1:17" ht="13" x14ac:dyDescent="0.3">
      <c r="A102" s="401" t="e">
        <f t="shared" si="12"/>
        <v>#VALUE!</v>
      </c>
      <c r="C102" s="401" t="e">
        <f t="shared" si="14"/>
        <v>#VALUE!</v>
      </c>
      <c r="D102" s="401" t="e">
        <f t="shared" si="15"/>
        <v>#VALUE!</v>
      </c>
      <c r="E102" s="401" t="e">
        <f t="shared" si="16"/>
        <v>#VALUE!</v>
      </c>
      <c r="F102" s="401" t="e">
        <f t="shared" si="17"/>
        <v>#VALUE!</v>
      </c>
      <c r="M102" s="401" t="str">
        <f t="shared" si="13"/>
        <v>CODE 1590</v>
      </c>
      <c r="N102" s="404" t="s">
        <v>1668</v>
      </c>
      <c r="O102" s="401" t="s">
        <v>1669</v>
      </c>
      <c r="P102" s="407" t="s">
        <v>1670</v>
      </c>
      <c r="Q102" s="406" t="s">
        <v>274</v>
      </c>
    </row>
    <row r="103" spans="1:17" ht="13" x14ac:dyDescent="0.3">
      <c r="A103" s="401" t="e">
        <f t="shared" si="12"/>
        <v>#VALUE!</v>
      </c>
      <c r="C103" s="401" t="e">
        <f t="shared" si="14"/>
        <v>#VALUE!</v>
      </c>
      <c r="D103" s="401" t="e">
        <f t="shared" si="15"/>
        <v>#VALUE!</v>
      </c>
      <c r="E103" s="401" t="e">
        <f t="shared" si="16"/>
        <v>#VALUE!</v>
      </c>
      <c r="F103" s="401" t="e">
        <f t="shared" si="17"/>
        <v>#VALUE!</v>
      </c>
      <c r="M103" s="401" t="str">
        <f t="shared" si="13"/>
        <v>CODE 0738</v>
      </c>
      <c r="N103" s="404" t="s">
        <v>1671</v>
      </c>
      <c r="O103" s="401" t="s">
        <v>1672</v>
      </c>
      <c r="P103" s="407" t="s">
        <v>1673</v>
      </c>
      <c r="Q103" s="406" t="s">
        <v>274</v>
      </c>
    </row>
    <row r="104" spans="1:17" ht="13" x14ac:dyDescent="0.3">
      <c r="A104" s="401" t="e">
        <f t="shared" si="12"/>
        <v>#VALUE!</v>
      </c>
      <c r="C104" s="401" t="e">
        <f t="shared" si="14"/>
        <v>#VALUE!</v>
      </c>
      <c r="D104" s="401" t="e">
        <f t="shared" si="15"/>
        <v>#VALUE!</v>
      </c>
      <c r="E104" s="401" t="e">
        <f t="shared" si="16"/>
        <v>#VALUE!</v>
      </c>
      <c r="F104" s="401" t="e">
        <f t="shared" si="17"/>
        <v>#VALUE!</v>
      </c>
      <c r="M104" s="401" t="str">
        <f t="shared" si="13"/>
        <v>CODE 1625</v>
      </c>
      <c r="N104" s="404" t="s">
        <v>1674</v>
      </c>
      <c r="O104" s="401" t="s">
        <v>1675</v>
      </c>
      <c r="P104" s="401" t="s">
        <v>1676</v>
      </c>
      <c r="Q104" s="406" t="s">
        <v>274</v>
      </c>
    </row>
    <row r="105" spans="1:17" ht="13" x14ac:dyDescent="0.3">
      <c r="A105" s="401" t="e">
        <f t="shared" si="12"/>
        <v>#VALUE!</v>
      </c>
      <c r="C105" s="401" t="e">
        <f t="shared" si="14"/>
        <v>#VALUE!</v>
      </c>
      <c r="D105" s="401" t="e">
        <f t="shared" si="15"/>
        <v>#VALUE!</v>
      </c>
      <c r="E105" s="401" t="e">
        <f t="shared" si="16"/>
        <v>#VALUE!</v>
      </c>
      <c r="F105" s="401" t="e">
        <f t="shared" si="17"/>
        <v>#VALUE!</v>
      </c>
      <c r="M105" s="401" t="str">
        <f t="shared" si="13"/>
        <v>CODE 1130</v>
      </c>
      <c r="N105" s="404" t="s">
        <v>1677</v>
      </c>
      <c r="O105" s="401" t="s">
        <v>1678</v>
      </c>
      <c r="P105" s="401" t="s">
        <v>1679</v>
      </c>
      <c r="Q105" s="406" t="s">
        <v>274</v>
      </c>
    </row>
    <row r="106" spans="1:17" ht="13" x14ac:dyDescent="0.3">
      <c r="A106" s="401" t="e">
        <f t="shared" si="12"/>
        <v>#VALUE!</v>
      </c>
      <c r="C106" s="401" t="e">
        <f t="shared" si="14"/>
        <v>#VALUE!</v>
      </c>
      <c r="D106" s="401" t="e">
        <f t="shared" si="15"/>
        <v>#VALUE!</v>
      </c>
      <c r="E106" s="401" t="e">
        <f t="shared" si="16"/>
        <v>#VALUE!</v>
      </c>
      <c r="F106" s="401" t="e">
        <f t="shared" si="17"/>
        <v>#VALUE!</v>
      </c>
      <c r="M106" s="401" t="str">
        <f t="shared" si="13"/>
        <v>CODE 1560</v>
      </c>
      <c r="N106" s="404" t="s">
        <v>1680</v>
      </c>
      <c r="O106" s="401" t="s">
        <v>1681</v>
      </c>
      <c r="P106" s="401" t="s">
        <v>1682</v>
      </c>
      <c r="Q106" s="406" t="s">
        <v>274</v>
      </c>
    </row>
    <row r="107" spans="1:17" ht="13" x14ac:dyDescent="0.3">
      <c r="A107" s="401" t="e">
        <f t="shared" si="12"/>
        <v>#VALUE!</v>
      </c>
      <c r="C107" s="401" t="e">
        <f t="shared" si="14"/>
        <v>#VALUE!</v>
      </c>
      <c r="D107" s="401" t="e">
        <f t="shared" si="15"/>
        <v>#VALUE!</v>
      </c>
      <c r="E107" s="401" t="e">
        <f t="shared" si="16"/>
        <v>#VALUE!</v>
      </c>
      <c r="F107" s="401" t="e">
        <f t="shared" si="17"/>
        <v>#VALUE!</v>
      </c>
      <c r="M107" s="401" t="str">
        <f t="shared" si="13"/>
        <v>CODE 1760</v>
      </c>
      <c r="N107" s="404" t="s">
        <v>1683</v>
      </c>
      <c r="O107" s="401" t="s">
        <v>1684</v>
      </c>
      <c r="P107" s="401" t="s">
        <v>1685</v>
      </c>
      <c r="Q107" s="406" t="s">
        <v>274</v>
      </c>
    </row>
    <row r="108" spans="1:17" ht="13" x14ac:dyDescent="0.3">
      <c r="A108" s="401" t="e">
        <f t="shared" si="12"/>
        <v>#VALUE!</v>
      </c>
      <c r="C108" s="401" t="e">
        <f t="shared" si="14"/>
        <v>#VALUE!</v>
      </c>
      <c r="D108" s="401" t="e">
        <f t="shared" si="15"/>
        <v>#VALUE!</v>
      </c>
      <c r="E108" s="401" t="e">
        <f t="shared" si="16"/>
        <v>#VALUE!</v>
      </c>
      <c r="F108" s="401" t="e">
        <f t="shared" si="17"/>
        <v>#VALUE!</v>
      </c>
      <c r="M108" s="401" t="str">
        <f t="shared" si="13"/>
        <v>CODE 1630</v>
      </c>
      <c r="N108" s="404" t="s">
        <v>1686</v>
      </c>
      <c r="O108" s="401" t="s">
        <v>1687</v>
      </c>
      <c r="P108" s="401" t="s">
        <v>1688</v>
      </c>
      <c r="Q108" s="406" t="s">
        <v>274</v>
      </c>
    </row>
    <row r="109" spans="1:17" ht="13" x14ac:dyDescent="0.3">
      <c r="A109" s="401" t="e">
        <f t="shared" si="12"/>
        <v>#VALUE!</v>
      </c>
      <c r="C109" s="401" t="e">
        <f t="shared" si="14"/>
        <v>#VALUE!</v>
      </c>
      <c r="D109" s="401" t="e">
        <f t="shared" si="15"/>
        <v>#VALUE!</v>
      </c>
      <c r="E109" s="401" t="e">
        <f t="shared" si="16"/>
        <v>#VALUE!</v>
      </c>
      <c r="F109" s="401" t="e">
        <f t="shared" si="17"/>
        <v>#VALUE!</v>
      </c>
      <c r="M109" s="401" t="str">
        <f t="shared" si="13"/>
        <v>CODE 1595</v>
      </c>
      <c r="N109" s="404" t="s">
        <v>1723</v>
      </c>
      <c r="O109" s="401" t="s">
        <v>1724</v>
      </c>
      <c r="P109" s="401" t="s">
        <v>1725</v>
      </c>
      <c r="Q109" s="406" t="s">
        <v>274</v>
      </c>
    </row>
    <row r="110" spans="1:17" ht="13" x14ac:dyDescent="0.3">
      <c r="A110" s="401" t="e">
        <f t="shared" si="12"/>
        <v>#VALUE!</v>
      </c>
      <c r="C110" s="401" t="e">
        <f t="shared" si="14"/>
        <v>#VALUE!</v>
      </c>
      <c r="D110" s="401" t="e">
        <f t="shared" si="15"/>
        <v>#VALUE!</v>
      </c>
      <c r="E110" s="401" t="e">
        <f t="shared" si="16"/>
        <v>#VALUE!</v>
      </c>
      <c r="F110" s="401" t="e">
        <f t="shared" si="17"/>
        <v>#VALUE!</v>
      </c>
      <c r="M110" s="401" t="str">
        <f t="shared" si="13"/>
        <v>CODE 1165</v>
      </c>
      <c r="N110" s="404" t="s">
        <v>1726</v>
      </c>
      <c r="O110" s="401" t="s">
        <v>1727</v>
      </c>
      <c r="P110" s="401" t="s">
        <v>1728</v>
      </c>
      <c r="Q110" s="406" t="s">
        <v>274</v>
      </c>
    </row>
    <row r="111" spans="1:17" ht="13" x14ac:dyDescent="0.3">
      <c r="A111" s="401" t="e">
        <f t="shared" si="12"/>
        <v>#VALUE!</v>
      </c>
      <c r="C111" s="401" t="e">
        <f t="shared" si="14"/>
        <v>#VALUE!</v>
      </c>
      <c r="D111" s="401" t="e">
        <f t="shared" si="15"/>
        <v>#VALUE!</v>
      </c>
      <c r="E111" s="401" t="e">
        <f t="shared" si="16"/>
        <v>#VALUE!</v>
      </c>
      <c r="F111" s="401" t="e">
        <f t="shared" si="17"/>
        <v>#VALUE!</v>
      </c>
      <c r="M111" s="401" t="str">
        <f t="shared" si="13"/>
        <v>CODE 1145</v>
      </c>
      <c r="N111" s="404" t="s">
        <v>1729</v>
      </c>
      <c r="O111" s="401" t="s">
        <v>1731</v>
      </c>
      <c r="P111" s="401" t="s">
        <v>1732</v>
      </c>
      <c r="Q111" s="406" t="s">
        <v>274</v>
      </c>
    </row>
    <row r="112" spans="1:17" ht="13" x14ac:dyDescent="0.3">
      <c r="A112" s="401" t="e">
        <f t="shared" si="12"/>
        <v>#VALUE!</v>
      </c>
      <c r="C112" s="401" t="e">
        <f t="shared" si="14"/>
        <v>#VALUE!</v>
      </c>
      <c r="D112" s="401" t="e">
        <f t="shared" si="15"/>
        <v>#VALUE!</v>
      </c>
      <c r="E112" s="401" t="e">
        <f t="shared" si="16"/>
        <v>#VALUE!</v>
      </c>
      <c r="F112" s="401" t="e">
        <f t="shared" si="17"/>
        <v>#VALUE!</v>
      </c>
      <c r="M112" s="401" t="str">
        <f t="shared" si="13"/>
        <v>CODE 1570</v>
      </c>
      <c r="N112" s="404" t="s">
        <v>1733</v>
      </c>
      <c r="O112" s="401" t="s">
        <v>1734</v>
      </c>
      <c r="P112" s="401" t="s">
        <v>1735</v>
      </c>
      <c r="Q112" s="406" t="s">
        <v>274</v>
      </c>
    </row>
    <row r="113" spans="1:17" ht="13" x14ac:dyDescent="0.3">
      <c r="A113" s="401" t="e">
        <f t="shared" si="12"/>
        <v>#VALUE!</v>
      </c>
      <c r="C113" s="401" t="e">
        <f t="shared" si="14"/>
        <v>#VALUE!</v>
      </c>
      <c r="D113" s="401" t="e">
        <f t="shared" si="15"/>
        <v>#VALUE!</v>
      </c>
      <c r="E113" s="401" t="e">
        <f t="shared" si="16"/>
        <v>#VALUE!</v>
      </c>
      <c r="F113" s="401" t="e">
        <f t="shared" si="17"/>
        <v>#VALUE!</v>
      </c>
      <c r="M113" s="401" t="str">
        <f t="shared" si="13"/>
        <v>CODE 0655</v>
      </c>
      <c r="N113" s="404" t="s">
        <v>1736</v>
      </c>
      <c r="O113" s="401" t="s">
        <v>1737</v>
      </c>
      <c r="P113" s="401" t="s">
        <v>1811</v>
      </c>
      <c r="Q113" s="406" t="s">
        <v>274</v>
      </c>
    </row>
    <row r="114" spans="1:17" ht="13" x14ac:dyDescent="0.3">
      <c r="A114" s="401" t="e">
        <f t="shared" si="12"/>
        <v>#VALUE!</v>
      </c>
      <c r="C114" s="401" t="e">
        <f t="shared" si="14"/>
        <v>#VALUE!</v>
      </c>
      <c r="D114" s="401" t="e">
        <f t="shared" si="15"/>
        <v>#VALUE!</v>
      </c>
      <c r="E114" s="401" t="e">
        <f t="shared" si="16"/>
        <v>#VALUE!</v>
      </c>
      <c r="F114" s="401" t="e">
        <f t="shared" si="17"/>
        <v>#VALUE!</v>
      </c>
      <c r="M114" s="401" t="str">
        <f t="shared" si="13"/>
        <v>CODE 1435</v>
      </c>
      <c r="N114" s="404" t="s">
        <v>1812</v>
      </c>
      <c r="O114" s="401" t="s">
        <v>1813</v>
      </c>
      <c r="P114" s="401" t="s">
        <v>1814</v>
      </c>
      <c r="Q114" s="406" t="s">
        <v>274</v>
      </c>
    </row>
    <row r="115" spans="1:17" ht="13" x14ac:dyDescent="0.3">
      <c r="A115" s="401" t="e">
        <f t="shared" si="12"/>
        <v>#VALUE!</v>
      </c>
      <c r="C115" s="401" t="e">
        <f t="shared" si="14"/>
        <v>#VALUE!</v>
      </c>
      <c r="D115" s="401" t="e">
        <f t="shared" si="15"/>
        <v>#VALUE!</v>
      </c>
      <c r="E115" s="401" t="e">
        <f t="shared" si="16"/>
        <v>#VALUE!</v>
      </c>
      <c r="F115" s="401" t="e">
        <f t="shared" si="17"/>
        <v>#VALUE!</v>
      </c>
      <c r="M115" s="401" t="str">
        <f t="shared" si="13"/>
        <v>CODE 0340</v>
      </c>
      <c r="N115" s="404" t="s">
        <v>1815</v>
      </c>
      <c r="O115" s="401" t="s">
        <v>1816</v>
      </c>
      <c r="P115" s="401" t="s">
        <v>1817</v>
      </c>
      <c r="Q115" s="406" t="s">
        <v>274</v>
      </c>
    </row>
    <row r="116" spans="1:17" ht="13" x14ac:dyDescent="0.3">
      <c r="A116" s="401" t="e">
        <f t="shared" si="12"/>
        <v>#VALUE!</v>
      </c>
      <c r="C116" s="401" t="e">
        <f t="shared" si="14"/>
        <v>#VALUE!</v>
      </c>
      <c r="D116" s="401" t="e">
        <f t="shared" si="15"/>
        <v>#VALUE!</v>
      </c>
      <c r="E116" s="401" t="e">
        <f t="shared" si="16"/>
        <v>#VALUE!</v>
      </c>
      <c r="F116" s="401" t="e">
        <f t="shared" si="17"/>
        <v>#VALUE!</v>
      </c>
      <c r="M116" s="401" t="str">
        <f t="shared" si="13"/>
        <v>CODE 1150</v>
      </c>
      <c r="N116" s="404" t="s">
        <v>1818</v>
      </c>
      <c r="O116" s="401" t="s">
        <v>1819</v>
      </c>
      <c r="P116" s="401" t="s">
        <v>1820</v>
      </c>
      <c r="Q116" s="406" t="s">
        <v>274</v>
      </c>
    </row>
    <row r="117" spans="1:17" ht="13" x14ac:dyDescent="0.3">
      <c r="A117" s="401" t="e">
        <f t="shared" si="12"/>
        <v>#VALUE!</v>
      </c>
      <c r="C117" s="401" t="e">
        <f t="shared" si="14"/>
        <v>#VALUE!</v>
      </c>
      <c r="D117" s="401" t="e">
        <f t="shared" si="15"/>
        <v>#VALUE!</v>
      </c>
      <c r="E117" s="401" t="e">
        <f t="shared" si="16"/>
        <v>#VALUE!</v>
      </c>
      <c r="F117" s="401" t="e">
        <f t="shared" si="17"/>
        <v>#VALUE!</v>
      </c>
      <c r="M117" s="401" t="str">
        <f t="shared" si="13"/>
        <v>CODE 1230</v>
      </c>
      <c r="N117" s="404" t="s">
        <v>1821</v>
      </c>
      <c r="O117" s="401" t="s">
        <v>1822</v>
      </c>
      <c r="P117" s="401" t="s">
        <v>1823</v>
      </c>
      <c r="Q117" s="406" t="s">
        <v>274</v>
      </c>
    </row>
    <row r="118" spans="1:17" ht="13" x14ac:dyDescent="0.3">
      <c r="A118" s="401" t="e">
        <f t="shared" si="12"/>
        <v>#VALUE!</v>
      </c>
      <c r="C118" s="401" t="e">
        <f t="shared" si="14"/>
        <v>#VALUE!</v>
      </c>
      <c r="D118" s="401" t="e">
        <f t="shared" si="15"/>
        <v>#VALUE!</v>
      </c>
      <c r="E118" s="401" t="e">
        <f t="shared" si="16"/>
        <v>#VALUE!</v>
      </c>
      <c r="F118" s="401" t="e">
        <f t="shared" si="17"/>
        <v>#VALUE!</v>
      </c>
      <c r="M118" s="401" t="str">
        <f t="shared" si="13"/>
        <v>CODE 1235</v>
      </c>
      <c r="N118" s="404" t="s">
        <v>1824</v>
      </c>
      <c r="O118" s="401" t="s">
        <v>1827</v>
      </c>
      <c r="P118" s="401" t="s">
        <v>1828</v>
      </c>
      <c r="Q118" s="406" t="s">
        <v>274</v>
      </c>
    </row>
    <row r="119" spans="1:17" ht="13" x14ac:dyDescent="0.3">
      <c r="A119" s="401" t="e">
        <f t="shared" si="12"/>
        <v>#VALUE!</v>
      </c>
      <c r="C119" s="401" t="e">
        <f t="shared" si="14"/>
        <v>#VALUE!</v>
      </c>
      <c r="D119" s="401" t="e">
        <f t="shared" si="15"/>
        <v>#VALUE!</v>
      </c>
      <c r="E119" s="401" t="e">
        <f t="shared" si="16"/>
        <v>#VALUE!</v>
      </c>
      <c r="F119" s="401" t="e">
        <f t="shared" si="17"/>
        <v>#VALUE!</v>
      </c>
      <c r="M119" s="401" t="str">
        <f t="shared" si="13"/>
        <v>CODE 1765</v>
      </c>
      <c r="N119" s="404" t="s">
        <v>1829</v>
      </c>
      <c r="O119" s="401" t="s">
        <v>1830</v>
      </c>
      <c r="P119" s="407" t="s">
        <v>1831</v>
      </c>
      <c r="Q119" s="406" t="s">
        <v>274</v>
      </c>
    </row>
    <row r="120" spans="1:17" ht="13" x14ac:dyDescent="0.3">
      <c r="A120" s="401" t="e">
        <f t="shared" si="12"/>
        <v>#VALUE!</v>
      </c>
      <c r="C120" s="401" t="e">
        <f t="shared" si="14"/>
        <v>#VALUE!</v>
      </c>
      <c r="D120" s="401" t="e">
        <f t="shared" si="15"/>
        <v>#VALUE!</v>
      </c>
      <c r="E120" s="401" t="e">
        <f t="shared" si="16"/>
        <v>#VALUE!</v>
      </c>
      <c r="F120" s="401" t="e">
        <f t="shared" si="17"/>
        <v>#VALUE!</v>
      </c>
      <c r="M120" s="401" t="str">
        <f t="shared" si="13"/>
        <v>CODE 0360</v>
      </c>
      <c r="N120" s="404" t="s">
        <v>1832</v>
      </c>
      <c r="O120" s="401" t="s">
        <v>1833</v>
      </c>
      <c r="P120" s="401" t="s">
        <v>1834</v>
      </c>
      <c r="Q120" s="406" t="s">
        <v>274</v>
      </c>
    </row>
    <row r="121" spans="1:17" ht="13" x14ac:dyDescent="0.3">
      <c r="A121" s="401" t="e">
        <f t="shared" si="12"/>
        <v>#VALUE!</v>
      </c>
      <c r="C121" s="401" t="e">
        <f t="shared" si="14"/>
        <v>#VALUE!</v>
      </c>
      <c r="D121" s="401" t="e">
        <f t="shared" si="15"/>
        <v>#VALUE!</v>
      </c>
      <c r="E121" s="401" t="e">
        <f t="shared" si="16"/>
        <v>#VALUE!</v>
      </c>
      <c r="F121" s="401" t="e">
        <f t="shared" si="17"/>
        <v>#VALUE!</v>
      </c>
      <c r="M121" s="401" t="str">
        <f t="shared" si="13"/>
        <v>CODE 1835</v>
      </c>
      <c r="N121" s="404" t="s">
        <v>1835</v>
      </c>
      <c r="O121" s="401" t="s">
        <v>1836</v>
      </c>
      <c r="P121" s="407" t="s">
        <v>1837</v>
      </c>
      <c r="Q121" s="406" t="s">
        <v>274</v>
      </c>
    </row>
    <row r="122" spans="1:17" ht="13" x14ac:dyDescent="0.3">
      <c r="A122" s="401" t="e">
        <f t="shared" si="12"/>
        <v>#VALUE!</v>
      </c>
      <c r="C122" s="401" t="e">
        <f t="shared" si="14"/>
        <v>#VALUE!</v>
      </c>
      <c r="D122" s="401" t="e">
        <f t="shared" si="15"/>
        <v>#VALUE!</v>
      </c>
      <c r="E122" s="401" t="e">
        <f t="shared" si="16"/>
        <v>#VALUE!</v>
      </c>
      <c r="F122" s="401" t="e">
        <f t="shared" si="17"/>
        <v>#VALUE!</v>
      </c>
      <c r="M122" s="401" t="str">
        <f t="shared" si="13"/>
        <v>CODE 0425</v>
      </c>
      <c r="N122" s="404" t="s">
        <v>1838</v>
      </c>
      <c r="O122" s="401" t="s">
        <v>1839</v>
      </c>
      <c r="P122" s="401" t="s">
        <v>1840</v>
      </c>
      <c r="Q122" s="406" t="s">
        <v>274</v>
      </c>
    </row>
    <row r="123" spans="1:17" ht="13" x14ac:dyDescent="0.3">
      <c r="A123" s="401" t="e">
        <f t="shared" si="12"/>
        <v>#VALUE!</v>
      </c>
      <c r="C123" s="401" t="e">
        <f t="shared" si="14"/>
        <v>#VALUE!</v>
      </c>
      <c r="D123" s="401" t="e">
        <f t="shared" si="15"/>
        <v>#VALUE!</v>
      </c>
      <c r="E123" s="401" t="e">
        <f t="shared" si="16"/>
        <v>#VALUE!</v>
      </c>
      <c r="F123" s="401" t="e">
        <f t="shared" si="17"/>
        <v>#VALUE!</v>
      </c>
      <c r="M123" s="401" t="str">
        <f t="shared" si="13"/>
        <v>CODE 5060</v>
      </c>
      <c r="N123" s="404" t="s">
        <v>1841</v>
      </c>
      <c r="O123" s="401" t="s">
        <v>1842</v>
      </c>
      <c r="P123" s="401" t="s">
        <v>1842</v>
      </c>
      <c r="Q123" s="406" t="s">
        <v>293</v>
      </c>
    </row>
    <row r="124" spans="1:17" ht="13" x14ac:dyDescent="0.3">
      <c r="A124" s="401" t="e">
        <f t="shared" si="12"/>
        <v>#VALUE!</v>
      </c>
      <c r="C124" s="401" t="e">
        <f t="shared" si="14"/>
        <v>#VALUE!</v>
      </c>
      <c r="D124" s="401" t="e">
        <f t="shared" si="15"/>
        <v>#VALUE!</v>
      </c>
      <c r="E124" s="401" t="e">
        <f t="shared" si="16"/>
        <v>#VALUE!</v>
      </c>
      <c r="F124" s="401" t="e">
        <f t="shared" si="17"/>
        <v>#VALUE!</v>
      </c>
      <c r="M124" s="401" t="str">
        <f t="shared" si="13"/>
        <v>CODE 5090</v>
      </c>
      <c r="N124" s="404" t="s">
        <v>1853</v>
      </c>
      <c r="O124" s="401" t="s">
        <v>1854</v>
      </c>
      <c r="P124" s="407" t="s">
        <v>1855</v>
      </c>
      <c r="Q124" s="406" t="s">
        <v>293</v>
      </c>
    </row>
    <row r="125" spans="1:17" ht="13" x14ac:dyDescent="0.3">
      <c r="A125" s="401" t="e">
        <f t="shared" si="12"/>
        <v>#VALUE!</v>
      </c>
      <c r="C125" s="401" t="e">
        <f t="shared" si="14"/>
        <v>#VALUE!</v>
      </c>
      <c r="D125" s="401" t="e">
        <f t="shared" si="15"/>
        <v>#VALUE!</v>
      </c>
      <c r="E125" s="401" t="e">
        <f t="shared" si="16"/>
        <v>#VALUE!</v>
      </c>
      <c r="F125" s="401" t="e">
        <f t="shared" si="17"/>
        <v>#VALUE!</v>
      </c>
      <c r="M125" s="401" t="str">
        <f t="shared" si="13"/>
        <v>CODE 5120</v>
      </c>
      <c r="N125" s="404" t="s">
        <v>1856</v>
      </c>
      <c r="O125" s="401" t="s">
        <v>1858</v>
      </c>
      <c r="P125" s="407" t="s">
        <v>1859</v>
      </c>
      <c r="Q125" s="406" t="s">
        <v>293</v>
      </c>
    </row>
    <row r="126" spans="1:17" ht="13" x14ac:dyDescent="0.3">
      <c r="A126" s="401" t="e">
        <f t="shared" si="12"/>
        <v>#VALUE!</v>
      </c>
      <c r="C126" s="401" t="e">
        <f t="shared" si="14"/>
        <v>#VALUE!</v>
      </c>
      <c r="D126" s="401" t="e">
        <f t="shared" si="15"/>
        <v>#VALUE!</v>
      </c>
      <c r="E126" s="401" t="e">
        <f t="shared" si="16"/>
        <v>#VALUE!</v>
      </c>
      <c r="F126" s="401" t="e">
        <f t="shared" si="17"/>
        <v>#VALUE!</v>
      </c>
      <c r="M126" s="401" t="str">
        <f t="shared" si="13"/>
        <v>CODE 5150</v>
      </c>
      <c r="N126" s="404" t="s">
        <v>1860</v>
      </c>
      <c r="O126" s="401" t="s">
        <v>1861</v>
      </c>
      <c r="P126" s="401" t="s">
        <v>1862</v>
      </c>
      <c r="Q126" s="406" t="s">
        <v>293</v>
      </c>
    </row>
    <row r="127" spans="1:17" ht="13" x14ac:dyDescent="0.3">
      <c r="A127" s="401" t="e">
        <f t="shared" si="12"/>
        <v>#VALUE!</v>
      </c>
      <c r="C127" s="401" t="e">
        <f t="shared" si="14"/>
        <v>#VALUE!</v>
      </c>
      <c r="D127" s="401" t="e">
        <f t="shared" si="15"/>
        <v>#VALUE!</v>
      </c>
      <c r="E127" s="401" t="e">
        <f t="shared" si="16"/>
        <v>#VALUE!</v>
      </c>
      <c r="F127" s="401" t="e">
        <f t="shared" si="17"/>
        <v>#VALUE!</v>
      </c>
      <c r="M127" s="401" t="str">
        <f t="shared" si="13"/>
        <v>CODE 5180</v>
      </c>
      <c r="N127" s="404" t="s">
        <v>1863</v>
      </c>
      <c r="O127" s="401" t="s">
        <v>1864</v>
      </c>
      <c r="P127" s="401" t="s">
        <v>1865</v>
      </c>
      <c r="Q127" s="406" t="s">
        <v>293</v>
      </c>
    </row>
    <row r="128" spans="1:17" ht="13" x14ac:dyDescent="0.3">
      <c r="A128" s="401" t="e">
        <f t="shared" si="12"/>
        <v>#VALUE!</v>
      </c>
      <c r="C128" s="401" t="e">
        <f t="shared" si="14"/>
        <v>#VALUE!</v>
      </c>
      <c r="D128" s="401" t="e">
        <f t="shared" si="15"/>
        <v>#VALUE!</v>
      </c>
      <c r="E128" s="401" t="e">
        <f t="shared" si="16"/>
        <v>#VALUE!</v>
      </c>
      <c r="F128" s="401" t="e">
        <f t="shared" si="17"/>
        <v>#VALUE!</v>
      </c>
      <c r="M128" s="401" t="str">
        <f t="shared" si="13"/>
        <v>CODE 5210</v>
      </c>
      <c r="N128" s="404" t="s">
        <v>1866</v>
      </c>
      <c r="O128" s="401" t="s">
        <v>1867</v>
      </c>
      <c r="P128" s="401" t="s">
        <v>1868</v>
      </c>
      <c r="Q128" s="406" t="s">
        <v>293</v>
      </c>
    </row>
    <row r="129" spans="1:17" ht="13" x14ac:dyDescent="0.3">
      <c r="A129" s="401" t="e">
        <f t="shared" si="12"/>
        <v>#VALUE!</v>
      </c>
      <c r="C129" s="401" t="e">
        <f t="shared" si="14"/>
        <v>#VALUE!</v>
      </c>
      <c r="D129" s="401" t="e">
        <f t="shared" si="15"/>
        <v>#VALUE!</v>
      </c>
      <c r="E129" s="401" t="e">
        <f t="shared" si="16"/>
        <v>#VALUE!</v>
      </c>
      <c r="F129" s="401" t="e">
        <f t="shared" si="17"/>
        <v>#VALUE!</v>
      </c>
      <c r="M129" s="401" t="str">
        <f t="shared" si="13"/>
        <v>CODE 5240</v>
      </c>
      <c r="N129" s="404" t="s">
        <v>1869</v>
      </c>
      <c r="O129" s="401" t="s">
        <v>1870</v>
      </c>
      <c r="P129" s="401" t="s">
        <v>1871</v>
      </c>
      <c r="Q129" s="406" t="s">
        <v>293</v>
      </c>
    </row>
    <row r="130" spans="1:17" ht="13" x14ac:dyDescent="0.3">
      <c r="A130" s="401" t="e">
        <f t="shared" si="12"/>
        <v>#VALUE!</v>
      </c>
      <c r="C130" s="401" t="e">
        <f t="shared" si="14"/>
        <v>#VALUE!</v>
      </c>
      <c r="D130" s="401" t="e">
        <f t="shared" si="15"/>
        <v>#VALUE!</v>
      </c>
      <c r="E130" s="401" t="e">
        <f t="shared" si="16"/>
        <v>#VALUE!</v>
      </c>
      <c r="F130" s="401" t="e">
        <f t="shared" si="17"/>
        <v>#VALUE!</v>
      </c>
      <c r="M130" s="401" t="str">
        <f t="shared" si="13"/>
        <v>CODE 5270</v>
      </c>
      <c r="N130" s="404" t="s">
        <v>1872</v>
      </c>
      <c r="O130" s="401" t="s">
        <v>1873</v>
      </c>
      <c r="P130" s="401" t="s">
        <v>1874</v>
      </c>
      <c r="Q130" s="406" t="s">
        <v>293</v>
      </c>
    </row>
    <row r="131" spans="1:17" ht="13" x14ac:dyDescent="0.3">
      <c r="A131" s="401" t="e">
        <f t="shared" si="12"/>
        <v>#VALUE!</v>
      </c>
      <c r="C131" s="401" t="e">
        <f t="shared" si="14"/>
        <v>#VALUE!</v>
      </c>
      <c r="D131" s="401" t="e">
        <f t="shared" si="15"/>
        <v>#VALUE!</v>
      </c>
      <c r="E131" s="401" t="e">
        <f t="shared" si="16"/>
        <v>#VALUE!</v>
      </c>
      <c r="F131" s="401" t="e">
        <f t="shared" si="17"/>
        <v>#VALUE!</v>
      </c>
      <c r="M131" s="401" t="str">
        <f t="shared" si="13"/>
        <v>CODE 5300</v>
      </c>
      <c r="N131" s="404" t="s">
        <v>1875</v>
      </c>
      <c r="O131" s="401" t="s">
        <v>1876</v>
      </c>
      <c r="P131" s="401" t="s">
        <v>1877</v>
      </c>
      <c r="Q131" s="406" t="s">
        <v>293</v>
      </c>
    </row>
    <row r="132" spans="1:17" ht="13" x14ac:dyDescent="0.3">
      <c r="A132" s="401" t="e">
        <f t="shared" si="12"/>
        <v>#VALUE!</v>
      </c>
      <c r="C132" s="401" t="e">
        <f t="shared" si="14"/>
        <v>#VALUE!</v>
      </c>
      <c r="D132" s="401" t="e">
        <f t="shared" si="15"/>
        <v>#VALUE!</v>
      </c>
      <c r="E132" s="401" t="e">
        <f t="shared" si="16"/>
        <v>#VALUE!</v>
      </c>
      <c r="F132" s="401" t="e">
        <f t="shared" si="17"/>
        <v>#VALUE!</v>
      </c>
      <c r="M132" s="401" t="str">
        <f t="shared" si="13"/>
        <v>CODE 5330</v>
      </c>
      <c r="N132" s="404" t="s">
        <v>1878</v>
      </c>
      <c r="O132" s="401" t="s">
        <v>1879</v>
      </c>
      <c r="P132" s="401" t="s">
        <v>1880</v>
      </c>
      <c r="Q132" s="406" t="s">
        <v>293</v>
      </c>
    </row>
    <row r="133" spans="1:17" ht="13" x14ac:dyDescent="0.3">
      <c r="A133" s="401" t="e">
        <f t="shared" si="12"/>
        <v>#VALUE!</v>
      </c>
      <c r="C133" s="401" t="e">
        <f t="shared" si="14"/>
        <v>#VALUE!</v>
      </c>
      <c r="D133" s="401" t="e">
        <f t="shared" si="15"/>
        <v>#VALUE!</v>
      </c>
      <c r="E133" s="401" t="e">
        <f t="shared" si="16"/>
        <v>#VALUE!</v>
      </c>
      <c r="F133" s="401" t="e">
        <f t="shared" si="17"/>
        <v>#VALUE!</v>
      </c>
      <c r="M133" s="401" t="str">
        <f t="shared" si="13"/>
        <v>CODE 5360</v>
      </c>
      <c r="N133" s="404" t="s">
        <v>1881</v>
      </c>
      <c r="O133" s="401" t="s">
        <v>1882</v>
      </c>
      <c r="P133" s="401" t="s">
        <v>1883</v>
      </c>
      <c r="Q133" s="406" t="s">
        <v>293</v>
      </c>
    </row>
    <row r="134" spans="1:17" ht="13" x14ac:dyDescent="0.3">
      <c r="A134" s="401" t="e">
        <f t="shared" ref="A134:A197" si="18">FIND(",""",$A$1,A133+1)</f>
        <v>#VALUE!</v>
      </c>
      <c r="C134" s="401" t="e">
        <f t="shared" si="14"/>
        <v>#VALUE!</v>
      </c>
      <c r="D134" s="401" t="e">
        <f t="shared" si="15"/>
        <v>#VALUE!</v>
      </c>
      <c r="E134" s="401" t="e">
        <f t="shared" si="16"/>
        <v>#VALUE!</v>
      </c>
      <c r="F134" s="401" t="e">
        <f t="shared" si="17"/>
        <v>#VALUE!</v>
      </c>
      <c r="M134" s="401" t="str">
        <f t="shared" si="13"/>
        <v>CODE 5420</v>
      </c>
      <c r="N134" s="404" t="s">
        <v>1884</v>
      </c>
      <c r="O134" s="401" t="s">
        <v>1885</v>
      </c>
      <c r="P134" s="401" t="s">
        <v>1886</v>
      </c>
      <c r="Q134" s="406" t="s">
        <v>293</v>
      </c>
    </row>
    <row r="135" spans="1:17" ht="13" x14ac:dyDescent="0.3">
      <c r="A135" s="401" t="e">
        <f t="shared" si="18"/>
        <v>#VALUE!</v>
      </c>
      <c r="C135" s="401" t="e">
        <f t="shared" si="14"/>
        <v>#VALUE!</v>
      </c>
      <c r="D135" s="401" t="e">
        <f t="shared" si="15"/>
        <v>#VALUE!</v>
      </c>
      <c r="E135" s="401" t="e">
        <f t="shared" si="16"/>
        <v>#VALUE!</v>
      </c>
      <c r="F135" s="401" t="e">
        <f t="shared" si="17"/>
        <v>#VALUE!</v>
      </c>
      <c r="M135" s="401" t="str">
        <f t="shared" ref="M135:M198" si="19">"CODE "&amp;N135</f>
        <v>CODE 1540</v>
      </c>
      <c r="N135" s="404" t="s">
        <v>1887</v>
      </c>
      <c r="O135" s="401" t="s">
        <v>1888</v>
      </c>
      <c r="P135" s="401" t="s">
        <v>1888</v>
      </c>
      <c r="Q135" s="406" t="s">
        <v>274</v>
      </c>
    </row>
    <row r="136" spans="1:17" ht="13" x14ac:dyDescent="0.3">
      <c r="A136" s="401" t="e">
        <f t="shared" si="18"/>
        <v>#VALUE!</v>
      </c>
      <c r="C136" s="401" t="e">
        <f t="shared" si="14"/>
        <v>#VALUE!</v>
      </c>
      <c r="D136" s="401" t="e">
        <f t="shared" si="15"/>
        <v>#VALUE!</v>
      </c>
      <c r="E136" s="401" t="e">
        <f t="shared" si="16"/>
        <v>#VALUE!</v>
      </c>
      <c r="F136" s="401" t="e">
        <f t="shared" si="17"/>
        <v>#VALUE!</v>
      </c>
      <c r="M136" s="401" t="str">
        <f t="shared" si="19"/>
        <v>CODE 5450</v>
      </c>
      <c r="N136" s="404" t="s">
        <v>1889</v>
      </c>
      <c r="O136" s="401" t="s">
        <v>1890</v>
      </c>
      <c r="P136" s="401" t="s">
        <v>1891</v>
      </c>
      <c r="Q136" s="406" t="s">
        <v>293</v>
      </c>
    </row>
    <row r="137" spans="1:17" ht="13" x14ac:dyDescent="0.3">
      <c r="A137" s="401" t="e">
        <f t="shared" si="18"/>
        <v>#VALUE!</v>
      </c>
      <c r="C137" s="401" t="e">
        <f t="shared" si="14"/>
        <v>#VALUE!</v>
      </c>
      <c r="D137" s="401" t="e">
        <f t="shared" si="15"/>
        <v>#VALUE!</v>
      </c>
      <c r="E137" s="401" t="e">
        <f t="shared" si="16"/>
        <v>#VALUE!</v>
      </c>
      <c r="F137" s="401" t="e">
        <f t="shared" si="17"/>
        <v>#VALUE!</v>
      </c>
      <c r="M137" s="401" t="str">
        <f t="shared" si="19"/>
        <v>CODE 5480</v>
      </c>
      <c r="N137" s="404" t="s">
        <v>1892</v>
      </c>
      <c r="O137" s="401" t="s">
        <v>1893</v>
      </c>
      <c r="P137" s="401" t="s">
        <v>1894</v>
      </c>
      <c r="Q137" s="406" t="s">
        <v>293</v>
      </c>
    </row>
    <row r="138" spans="1:17" ht="13" x14ac:dyDescent="0.3">
      <c r="A138" s="401" t="e">
        <f t="shared" si="18"/>
        <v>#VALUE!</v>
      </c>
      <c r="C138" s="401" t="e">
        <f t="shared" si="14"/>
        <v>#VALUE!</v>
      </c>
      <c r="D138" s="401" t="e">
        <f t="shared" si="15"/>
        <v>#VALUE!</v>
      </c>
      <c r="E138" s="401" t="e">
        <f t="shared" si="16"/>
        <v>#VALUE!</v>
      </c>
      <c r="F138" s="401" t="e">
        <f t="shared" si="17"/>
        <v>#VALUE!</v>
      </c>
      <c r="M138" s="401" t="str">
        <f t="shared" si="19"/>
        <v>CODE 5510</v>
      </c>
      <c r="N138" s="404" t="s">
        <v>1895</v>
      </c>
      <c r="O138" s="401" t="s">
        <v>1896</v>
      </c>
      <c r="P138" s="401" t="s">
        <v>1897</v>
      </c>
      <c r="Q138" s="406" t="s">
        <v>293</v>
      </c>
    </row>
    <row r="139" spans="1:17" ht="13" x14ac:dyDescent="0.3">
      <c r="A139" s="401" t="e">
        <f t="shared" si="18"/>
        <v>#VALUE!</v>
      </c>
      <c r="C139" s="401" t="e">
        <f t="shared" si="14"/>
        <v>#VALUE!</v>
      </c>
      <c r="D139" s="401" t="e">
        <f t="shared" si="15"/>
        <v>#VALUE!</v>
      </c>
      <c r="E139" s="401" t="e">
        <f t="shared" si="16"/>
        <v>#VALUE!</v>
      </c>
      <c r="F139" s="401" t="e">
        <f t="shared" si="17"/>
        <v>#VALUE!</v>
      </c>
      <c r="M139" s="401" t="str">
        <f t="shared" si="19"/>
        <v>CODE 5540</v>
      </c>
      <c r="N139" s="404" t="s">
        <v>1898</v>
      </c>
      <c r="O139" s="401" t="s">
        <v>1899</v>
      </c>
      <c r="P139" s="401" t="s">
        <v>1900</v>
      </c>
      <c r="Q139" s="406" t="s">
        <v>293</v>
      </c>
    </row>
    <row r="140" spans="1:17" ht="13" x14ac:dyDescent="0.3">
      <c r="A140" s="401" t="e">
        <f t="shared" si="18"/>
        <v>#VALUE!</v>
      </c>
      <c r="C140" s="401" t="e">
        <f t="shared" si="14"/>
        <v>#VALUE!</v>
      </c>
      <c r="D140" s="401" t="e">
        <f t="shared" si="15"/>
        <v>#VALUE!</v>
      </c>
      <c r="E140" s="401" t="e">
        <f t="shared" si="16"/>
        <v>#VALUE!</v>
      </c>
      <c r="F140" s="401" t="e">
        <f t="shared" si="17"/>
        <v>#VALUE!</v>
      </c>
      <c r="M140" s="401" t="str">
        <f t="shared" si="19"/>
        <v>CODE 5570</v>
      </c>
      <c r="N140" s="404" t="s">
        <v>1901</v>
      </c>
      <c r="O140" s="401" t="s">
        <v>1902</v>
      </c>
      <c r="P140" s="401" t="s">
        <v>1903</v>
      </c>
      <c r="Q140" s="406" t="s">
        <v>293</v>
      </c>
    </row>
    <row r="141" spans="1:17" ht="13" x14ac:dyDescent="0.3">
      <c r="A141" s="401" t="e">
        <f t="shared" si="18"/>
        <v>#VALUE!</v>
      </c>
      <c r="C141" s="401" t="e">
        <f t="shared" si="14"/>
        <v>#VALUE!</v>
      </c>
      <c r="D141" s="401" t="e">
        <f t="shared" si="15"/>
        <v>#VALUE!</v>
      </c>
      <c r="E141" s="401" t="e">
        <f t="shared" si="16"/>
        <v>#VALUE!</v>
      </c>
      <c r="F141" s="401" t="e">
        <f t="shared" si="17"/>
        <v>#VALUE!</v>
      </c>
      <c r="M141" s="401" t="str">
        <f t="shared" si="19"/>
        <v>CODE 5690</v>
      </c>
      <c r="N141" s="404" t="s">
        <v>1904</v>
      </c>
      <c r="O141" s="401" t="s">
        <v>1905</v>
      </c>
      <c r="P141" s="401" t="s">
        <v>1906</v>
      </c>
      <c r="Q141" s="406" t="s">
        <v>293</v>
      </c>
    </row>
    <row r="142" spans="1:17" ht="13" x14ac:dyDescent="0.3">
      <c r="A142" s="401" t="e">
        <f t="shared" si="18"/>
        <v>#VALUE!</v>
      </c>
      <c r="C142" s="401" t="e">
        <f t="shared" si="14"/>
        <v>#VALUE!</v>
      </c>
      <c r="D142" s="401" t="e">
        <f t="shared" si="15"/>
        <v>#VALUE!</v>
      </c>
      <c r="E142" s="401" t="e">
        <f t="shared" si="16"/>
        <v>#VALUE!</v>
      </c>
      <c r="F142" s="401" t="e">
        <f t="shared" si="17"/>
        <v>#VALUE!</v>
      </c>
      <c r="M142" s="401" t="str">
        <f t="shared" si="19"/>
        <v>CODE 5720</v>
      </c>
      <c r="N142" s="404" t="s">
        <v>1907</v>
      </c>
      <c r="O142" s="401" t="s">
        <v>1908</v>
      </c>
      <c r="P142" s="401" t="s">
        <v>1909</v>
      </c>
      <c r="Q142" s="406" t="s">
        <v>293</v>
      </c>
    </row>
    <row r="143" spans="1:17" ht="13" x14ac:dyDescent="0.3">
      <c r="A143" s="401" t="e">
        <f t="shared" si="18"/>
        <v>#VALUE!</v>
      </c>
      <c r="C143" s="401" t="e">
        <f t="shared" si="14"/>
        <v>#VALUE!</v>
      </c>
      <c r="D143" s="401" t="e">
        <f t="shared" si="15"/>
        <v>#VALUE!</v>
      </c>
      <c r="E143" s="401" t="e">
        <f t="shared" si="16"/>
        <v>#VALUE!</v>
      </c>
      <c r="F143" s="401" t="e">
        <f t="shared" si="17"/>
        <v>#VALUE!</v>
      </c>
      <c r="M143" s="401" t="str">
        <f t="shared" si="19"/>
        <v>CODE 5750</v>
      </c>
      <c r="N143" s="404" t="s">
        <v>1910</v>
      </c>
      <c r="O143" s="401" t="s">
        <v>1911</v>
      </c>
      <c r="P143" s="401" t="s">
        <v>1912</v>
      </c>
      <c r="Q143" s="406" t="s">
        <v>293</v>
      </c>
    </row>
    <row r="144" spans="1:17" ht="13" x14ac:dyDescent="0.3">
      <c r="A144" s="401" t="e">
        <f t="shared" si="18"/>
        <v>#VALUE!</v>
      </c>
      <c r="C144" s="401" t="e">
        <f t="shared" si="14"/>
        <v>#VALUE!</v>
      </c>
      <c r="D144" s="401" t="e">
        <f t="shared" si="15"/>
        <v>#VALUE!</v>
      </c>
      <c r="E144" s="401" t="e">
        <f t="shared" si="16"/>
        <v>#VALUE!</v>
      </c>
      <c r="F144" s="401" t="e">
        <f t="shared" si="17"/>
        <v>#VALUE!</v>
      </c>
      <c r="M144" s="401" t="str">
        <f t="shared" si="19"/>
        <v>CODE 5780</v>
      </c>
      <c r="N144" s="404" t="s">
        <v>1913</v>
      </c>
      <c r="O144" s="401" t="s">
        <v>1914</v>
      </c>
      <c r="P144" s="401" t="s">
        <v>1915</v>
      </c>
      <c r="Q144" s="406" t="s">
        <v>293</v>
      </c>
    </row>
    <row r="145" spans="1:17" ht="13" x14ac:dyDescent="0.3">
      <c r="A145" s="401" t="e">
        <f t="shared" si="18"/>
        <v>#VALUE!</v>
      </c>
      <c r="C145" s="401" t="e">
        <f t="shared" si="14"/>
        <v>#VALUE!</v>
      </c>
      <c r="D145" s="401" t="e">
        <f t="shared" si="15"/>
        <v>#VALUE!</v>
      </c>
      <c r="E145" s="401" t="e">
        <f t="shared" si="16"/>
        <v>#VALUE!</v>
      </c>
      <c r="F145" s="401" t="e">
        <f t="shared" si="17"/>
        <v>#VALUE!</v>
      </c>
      <c r="M145" s="401" t="str">
        <f t="shared" si="19"/>
        <v>CODE 5810</v>
      </c>
      <c r="N145" s="404" t="s">
        <v>1916</v>
      </c>
      <c r="O145" s="401" t="s">
        <v>1917</v>
      </c>
      <c r="P145" s="407" t="s">
        <v>1918</v>
      </c>
      <c r="Q145" s="406" t="s">
        <v>293</v>
      </c>
    </row>
    <row r="146" spans="1:17" ht="13" x14ac:dyDescent="0.3">
      <c r="A146" s="401" t="e">
        <f t="shared" si="18"/>
        <v>#VALUE!</v>
      </c>
      <c r="C146" s="401" t="e">
        <f t="shared" si="14"/>
        <v>#VALUE!</v>
      </c>
      <c r="D146" s="401" t="e">
        <f t="shared" si="15"/>
        <v>#VALUE!</v>
      </c>
      <c r="E146" s="401" t="e">
        <f t="shared" si="16"/>
        <v>#VALUE!</v>
      </c>
      <c r="F146" s="401" t="e">
        <f t="shared" si="17"/>
        <v>#VALUE!</v>
      </c>
      <c r="M146" s="401" t="str">
        <f t="shared" si="19"/>
        <v>CODE 5840</v>
      </c>
      <c r="N146" s="404" t="s">
        <v>1919</v>
      </c>
      <c r="O146" s="401" t="s">
        <v>1920</v>
      </c>
      <c r="P146" s="401" t="s">
        <v>1921</v>
      </c>
      <c r="Q146" s="406" t="s">
        <v>293</v>
      </c>
    </row>
    <row r="147" spans="1:17" ht="13" x14ac:dyDescent="0.3">
      <c r="A147" s="401" t="e">
        <f t="shared" si="18"/>
        <v>#VALUE!</v>
      </c>
      <c r="C147" s="401" t="e">
        <f t="shared" si="14"/>
        <v>#VALUE!</v>
      </c>
      <c r="D147" s="401" t="e">
        <f t="shared" si="15"/>
        <v>#VALUE!</v>
      </c>
      <c r="E147" s="401" t="e">
        <f t="shared" si="16"/>
        <v>#VALUE!</v>
      </c>
      <c r="F147" s="401" t="e">
        <f t="shared" si="17"/>
        <v>#VALUE!</v>
      </c>
      <c r="M147" s="401" t="str">
        <f t="shared" si="19"/>
        <v>CODE 5870</v>
      </c>
      <c r="N147" s="404" t="s">
        <v>1922</v>
      </c>
      <c r="O147" s="401" t="s">
        <v>1923</v>
      </c>
      <c r="P147" s="401" t="s">
        <v>1924</v>
      </c>
      <c r="Q147" s="406" t="s">
        <v>293</v>
      </c>
    </row>
    <row r="148" spans="1:17" ht="13" x14ac:dyDescent="0.3">
      <c r="A148" s="401" t="e">
        <f t="shared" si="18"/>
        <v>#VALUE!</v>
      </c>
      <c r="C148" s="401" t="e">
        <f t="shared" si="14"/>
        <v>#VALUE!</v>
      </c>
      <c r="D148" s="401" t="e">
        <f t="shared" si="15"/>
        <v>#VALUE!</v>
      </c>
      <c r="E148" s="401" t="e">
        <f t="shared" si="16"/>
        <v>#VALUE!</v>
      </c>
      <c r="F148" s="401" t="e">
        <f t="shared" si="17"/>
        <v>#VALUE!</v>
      </c>
      <c r="M148" s="401" t="str">
        <f t="shared" si="19"/>
        <v>CODE 5900</v>
      </c>
      <c r="N148" s="404" t="s">
        <v>1925</v>
      </c>
      <c r="O148" s="401" t="s">
        <v>1926</v>
      </c>
      <c r="P148" s="401" t="s">
        <v>1927</v>
      </c>
      <c r="Q148" s="406" t="s">
        <v>293</v>
      </c>
    </row>
    <row r="149" spans="1:17" ht="13" x14ac:dyDescent="0.3">
      <c r="A149" s="401" t="e">
        <f t="shared" si="18"/>
        <v>#VALUE!</v>
      </c>
      <c r="C149" s="401" t="e">
        <f t="shared" si="14"/>
        <v>#VALUE!</v>
      </c>
      <c r="D149" s="401" t="e">
        <f t="shared" si="15"/>
        <v>#VALUE!</v>
      </c>
      <c r="E149" s="401" t="e">
        <f t="shared" si="16"/>
        <v>#VALUE!</v>
      </c>
      <c r="F149" s="401" t="e">
        <f t="shared" si="17"/>
        <v>#VALUE!</v>
      </c>
      <c r="M149" s="401" t="str">
        <f t="shared" si="19"/>
        <v>CODE 5930</v>
      </c>
      <c r="N149" s="404" t="s">
        <v>1928</v>
      </c>
      <c r="O149" s="401" t="s">
        <v>1929</v>
      </c>
      <c r="P149" s="401" t="s">
        <v>1930</v>
      </c>
      <c r="Q149" s="406" t="s">
        <v>293</v>
      </c>
    </row>
    <row r="150" spans="1:17" ht="13" x14ac:dyDescent="0.3">
      <c r="A150" s="401" t="e">
        <f t="shared" si="18"/>
        <v>#VALUE!</v>
      </c>
      <c r="C150" s="401" t="e">
        <f t="shared" si="14"/>
        <v>#VALUE!</v>
      </c>
      <c r="D150" s="401" t="e">
        <f t="shared" si="15"/>
        <v>#VALUE!</v>
      </c>
      <c r="E150" s="401" t="e">
        <f t="shared" si="16"/>
        <v>#VALUE!</v>
      </c>
      <c r="F150" s="401" t="e">
        <f t="shared" si="17"/>
        <v>#VALUE!</v>
      </c>
      <c r="M150" s="401" t="str">
        <f t="shared" si="19"/>
        <v>CODE 5960</v>
      </c>
      <c r="N150" s="404" t="s">
        <v>1931</v>
      </c>
      <c r="O150" s="401" t="s">
        <v>1932</v>
      </c>
      <c r="P150" s="401" t="s">
        <v>1946</v>
      </c>
      <c r="Q150" s="406" t="s">
        <v>293</v>
      </c>
    </row>
    <row r="151" spans="1:17" ht="13" x14ac:dyDescent="0.3">
      <c r="A151" s="401" t="e">
        <f t="shared" si="18"/>
        <v>#VALUE!</v>
      </c>
      <c r="C151" s="401" t="e">
        <f t="shared" si="14"/>
        <v>#VALUE!</v>
      </c>
      <c r="D151" s="401" t="e">
        <f t="shared" si="15"/>
        <v>#VALUE!</v>
      </c>
      <c r="E151" s="401" t="e">
        <f t="shared" si="16"/>
        <v>#VALUE!</v>
      </c>
      <c r="F151" s="401" t="e">
        <f t="shared" si="17"/>
        <v>#VALUE!</v>
      </c>
      <c r="M151" s="401" t="str">
        <f t="shared" si="19"/>
        <v>CODE 6910</v>
      </c>
      <c r="N151" s="404" t="s">
        <v>1947</v>
      </c>
      <c r="O151" s="401" t="s">
        <v>1948</v>
      </c>
      <c r="P151" s="407" t="s">
        <v>1949</v>
      </c>
      <c r="Q151" s="406" t="s">
        <v>1950</v>
      </c>
    </row>
    <row r="152" spans="1:17" ht="13" x14ac:dyDescent="0.3">
      <c r="A152" s="401" t="e">
        <f t="shared" si="18"/>
        <v>#VALUE!</v>
      </c>
      <c r="C152" s="401" t="e">
        <f t="shared" si="14"/>
        <v>#VALUE!</v>
      </c>
      <c r="D152" s="401" t="e">
        <f t="shared" si="15"/>
        <v>#VALUE!</v>
      </c>
      <c r="E152" s="401" t="e">
        <f t="shared" si="16"/>
        <v>#VALUE!</v>
      </c>
      <c r="F152" s="401" t="e">
        <f t="shared" si="17"/>
        <v>#VALUE!</v>
      </c>
      <c r="M152" s="401" t="str">
        <f t="shared" si="19"/>
        <v>CODE 6915</v>
      </c>
      <c r="N152" s="404" t="s">
        <v>1951</v>
      </c>
      <c r="O152" s="401" t="s">
        <v>1952</v>
      </c>
      <c r="P152" s="401" t="s">
        <v>1953</v>
      </c>
      <c r="Q152" s="406" t="s">
        <v>1950</v>
      </c>
    </row>
    <row r="153" spans="1:17" ht="13" x14ac:dyDescent="0.3">
      <c r="A153" s="401" t="e">
        <f t="shared" si="18"/>
        <v>#VALUE!</v>
      </c>
      <c r="C153" s="401" t="e">
        <f t="shared" si="14"/>
        <v>#VALUE!</v>
      </c>
      <c r="D153" s="401" t="e">
        <f t="shared" si="15"/>
        <v>#VALUE!</v>
      </c>
      <c r="E153" s="401" t="e">
        <f t="shared" si="16"/>
        <v>#VALUE!</v>
      </c>
      <c r="F153" s="401" t="e">
        <f t="shared" si="17"/>
        <v>#VALUE!</v>
      </c>
      <c r="M153" s="401" t="str">
        <f t="shared" si="19"/>
        <v>CODE 6805</v>
      </c>
      <c r="N153" s="404" t="s">
        <v>1954</v>
      </c>
      <c r="O153" s="401" t="s">
        <v>1955</v>
      </c>
      <c r="P153" s="407" t="s">
        <v>1956</v>
      </c>
      <c r="Q153" s="406" t="s">
        <v>1950</v>
      </c>
    </row>
    <row r="154" spans="1:17" ht="13" x14ac:dyDescent="0.3">
      <c r="A154" s="401" t="e">
        <f t="shared" si="18"/>
        <v>#VALUE!</v>
      </c>
      <c r="C154" s="401" t="e">
        <f t="shared" si="14"/>
        <v>#VALUE!</v>
      </c>
      <c r="D154" s="401" t="e">
        <f t="shared" si="15"/>
        <v>#VALUE!</v>
      </c>
      <c r="E154" s="401" t="e">
        <f t="shared" si="16"/>
        <v>#VALUE!</v>
      </c>
      <c r="F154" s="401" t="e">
        <f t="shared" si="17"/>
        <v>#VALUE!</v>
      </c>
      <c r="M154" s="401" t="str">
        <f t="shared" si="19"/>
        <v>CODE 6810</v>
      </c>
      <c r="N154" s="404" t="s">
        <v>1957</v>
      </c>
      <c r="O154" s="401" t="s">
        <v>1958</v>
      </c>
      <c r="P154" s="401" t="s">
        <v>1958</v>
      </c>
      <c r="Q154" s="406" t="s">
        <v>1950</v>
      </c>
    </row>
    <row r="155" spans="1:17" ht="13" x14ac:dyDescent="0.3">
      <c r="A155" s="401" t="e">
        <f t="shared" si="18"/>
        <v>#VALUE!</v>
      </c>
      <c r="C155" s="401" t="e">
        <f t="shared" si="14"/>
        <v>#VALUE!</v>
      </c>
      <c r="D155" s="401" t="e">
        <f t="shared" si="15"/>
        <v>#VALUE!</v>
      </c>
      <c r="E155" s="401" t="e">
        <f t="shared" si="16"/>
        <v>#VALUE!</v>
      </c>
      <c r="F155" s="401" t="e">
        <f t="shared" si="17"/>
        <v>#VALUE!</v>
      </c>
      <c r="M155" s="401" t="str">
        <f t="shared" si="19"/>
        <v>CODE 6930</v>
      </c>
      <c r="N155" s="404" t="s">
        <v>1959</v>
      </c>
      <c r="O155" s="401" t="s">
        <v>1960</v>
      </c>
      <c r="P155" s="401" t="s">
        <v>1961</v>
      </c>
      <c r="Q155" s="406" t="s">
        <v>1950</v>
      </c>
    </row>
    <row r="156" spans="1:17" ht="13" x14ac:dyDescent="0.3">
      <c r="A156" s="401" t="e">
        <f t="shared" si="18"/>
        <v>#VALUE!</v>
      </c>
      <c r="C156" s="401" t="e">
        <f t="shared" ref="C156:C200" si="20">MID($A$1,A156+2,A157-(A156+3))</f>
        <v>#VALUE!</v>
      </c>
      <c r="D156" s="401" t="e">
        <f t="shared" ref="D156:D200" si="21">C157</f>
        <v>#VALUE!</v>
      </c>
      <c r="E156" s="401" t="e">
        <f t="shared" ref="E156:E200" si="22">C155</f>
        <v>#VALUE!</v>
      </c>
      <c r="F156" s="401" t="e">
        <f t="shared" ref="F156:F200" si="23">C154</f>
        <v>#VALUE!</v>
      </c>
      <c r="M156" s="401" t="str">
        <f t="shared" si="19"/>
        <v>CODE 6935</v>
      </c>
      <c r="N156" s="404" t="s">
        <v>1962</v>
      </c>
      <c r="O156" s="401" t="s">
        <v>1963</v>
      </c>
      <c r="P156" s="401" t="s">
        <v>1964</v>
      </c>
      <c r="Q156" s="406" t="s">
        <v>1950</v>
      </c>
    </row>
    <row r="157" spans="1:17" ht="13" x14ac:dyDescent="0.3">
      <c r="A157" s="401" t="e">
        <f t="shared" si="18"/>
        <v>#VALUE!</v>
      </c>
      <c r="C157" s="401" t="e">
        <f t="shared" si="20"/>
        <v>#VALUE!</v>
      </c>
      <c r="D157" s="401" t="e">
        <f t="shared" si="21"/>
        <v>#VALUE!</v>
      </c>
      <c r="E157" s="401" t="e">
        <f t="shared" si="22"/>
        <v>#VALUE!</v>
      </c>
      <c r="F157" s="401" t="e">
        <f t="shared" si="23"/>
        <v>#VALUE!</v>
      </c>
      <c r="M157" s="401" t="str">
        <f t="shared" si="19"/>
        <v>CODE 6850</v>
      </c>
      <c r="N157" s="404" t="s">
        <v>1965</v>
      </c>
      <c r="O157" s="401" t="s">
        <v>1966</v>
      </c>
      <c r="P157" s="407" t="s">
        <v>1967</v>
      </c>
      <c r="Q157" s="406" t="s">
        <v>1950</v>
      </c>
    </row>
    <row r="158" spans="1:17" ht="13" x14ac:dyDescent="0.3">
      <c r="A158" s="401" t="e">
        <f t="shared" si="18"/>
        <v>#VALUE!</v>
      </c>
      <c r="C158" s="401" t="e">
        <f t="shared" si="20"/>
        <v>#VALUE!</v>
      </c>
      <c r="D158" s="401" t="e">
        <f t="shared" si="21"/>
        <v>#VALUE!</v>
      </c>
      <c r="E158" s="401" t="e">
        <f t="shared" si="22"/>
        <v>#VALUE!</v>
      </c>
      <c r="F158" s="401" t="e">
        <f t="shared" si="23"/>
        <v>#VALUE!</v>
      </c>
      <c r="M158" s="401" t="str">
        <f t="shared" si="19"/>
        <v>CODE 6853</v>
      </c>
      <c r="N158" s="404" t="s">
        <v>1968</v>
      </c>
      <c r="O158" s="401" t="s">
        <v>2033</v>
      </c>
      <c r="P158" s="407" t="s">
        <v>1967</v>
      </c>
      <c r="Q158" s="406" t="s">
        <v>1950</v>
      </c>
    </row>
    <row r="159" spans="1:17" ht="13" x14ac:dyDescent="0.3">
      <c r="A159" s="401" t="e">
        <f t="shared" si="18"/>
        <v>#VALUE!</v>
      </c>
      <c r="C159" s="401" t="e">
        <f t="shared" si="20"/>
        <v>#VALUE!</v>
      </c>
      <c r="D159" s="401" t="e">
        <f t="shared" si="21"/>
        <v>#VALUE!</v>
      </c>
      <c r="E159" s="401" t="e">
        <f t="shared" si="22"/>
        <v>#VALUE!</v>
      </c>
      <c r="F159" s="401" t="e">
        <f t="shared" si="23"/>
        <v>#VALUE!</v>
      </c>
      <c r="M159" s="401" t="str">
        <f t="shared" si="19"/>
        <v>CODE 6854</v>
      </c>
      <c r="N159" s="404" t="s">
        <v>2034</v>
      </c>
      <c r="O159" s="401" t="s">
        <v>2035</v>
      </c>
      <c r="P159" s="407" t="s">
        <v>1967</v>
      </c>
      <c r="Q159" s="406" t="s">
        <v>1950</v>
      </c>
    </row>
    <row r="160" spans="1:17" ht="13" x14ac:dyDescent="0.3">
      <c r="A160" s="401" t="e">
        <f t="shared" si="18"/>
        <v>#VALUE!</v>
      </c>
      <c r="C160" s="401" t="e">
        <f t="shared" si="20"/>
        <v>#VALUE!</v>
      </c>
      <c r="D160" s="401" t="e">
        <f t="shared" si="21"/>
        <v>#VALUE!</v>
      </c>
      <c r="E160" s="401" t="e">
        <f t="shared" si="22"/>
        <v>#VALUE!</v>
      </c>
      <c r="F160" s="401" t="e">
        <f t="shared" si="23"/>
        <v>#VALUE!</v>
      </c>
      <c r="M160" s="401" t="str">
        <f t="shared" si="19"/>
        <v>CODE 6940</v>
      </c>
      <c r="N160" s="404" t="s">
        <v>2036</v>
      </c>
      <c r="O160" s="401" t="s">
        <v>2037</v>
      </c>
      <c r="P160" s="401" t="s">
        <v>2038</v>
      </c>
      <c r="Q160" s="406" t="s">
        <v>1950</v>
      </c>
    </row>
    <row r="161" spans="1:17" ht="13" x14ac:dyDescent="0.3">
      <c r="A161" s="401" t="e">
        <f t="shared" si="18"/>
        <v>#VALUE!</v>
      </c>
      <c r="C161" s="401" t="e">
        <f t="shared" si="20"/>
        <v>#VALUE!</v>
      </c>
      <c r="D161" s="401" t="e">
        <f t="shared" si="21"/>
        <v>#VALUE!</v>
      </c>
      <c r="E161" s="401" t="e">
        <f t="shared" si="22"/>
        <v>#VALUE!</v>
      </c>
      <c r="F161" s="401" t="e">
        <f t="shared" si="23"/>
        <v>#VALUE!</v>
      </c>
      <c r="M161" s="401" t="str">
        <f t="shared" si="19"/>
        <v>CODE 3010</v>
      </c>
      <c r="N161" s="404" t="s">
        <v>2039</v>
      </c>
      <c r="O161" s="401" t="s">
        <v>2040</v>
      </c>
      <c r="P161" s="401" t="s">
        <v>2041</v>
      </c>
      <c r="Q161" s="406" t="s">
        <v>274</v>
      </c>
    </row>
    <row r="162" spans="1:17" ht="13" x14ac:dyDescent="0.3">
      <c r="A162" s="401" t="e">
        <f t="shared" si="18"/>
        <v>#VALUE!</v>
      </c>
      <c r="C162" s="401" t="e">
        <f t="shared" si="20"/>
        <v>#VALUE!</v>
      </c>
      <c r="D162" s="401" t="e">
        <f t="shared" si="21"/>
        <v>#VALUE!</v>
      </c>
      <c r="E162" s="401" t="e">
        <f t="shared" si="22"/>
        <v>#VALUE!</v>
      </c>
      <c r="F162" s="401" t="e">
        <f t="shared" si="23"/>
        <v>#VALUE!</v>
      </c>
      <c r="M162" s="401" t="str">
        <f t="shared" si="19"/>
        <v>CODE 4605</v>
      </c>
      <c r="N162" s="404" t="s">
        <v>2042</v>
      </c>
      <c r="O162" s="401" t="s">
        <v>2043</v>
      </c>
      <c r="P162" s="407" t="s">
        <v>2044</v>
      </c>
      <c r="Q162" s="406" t="s">
        <v>274</v>
      </c>
    </row>
    <row r="163" spans="1:17" ht="13" x14ac:dyDescent="0.3">
      <c r="A163" s="401" t="e">
        <f t="shared" si="18"/>
        <v>#VALUE!</v>
      </c>
      <c r="C163" s="401" t="e">
        <f t="shared" si="20"/>
        <v>#VALUE!</v>
      </c>
      <c r="D163" s="401" t="e">
        <f t="shared" si="21"/>
        <v>#VALUE!</v>
      </c>
      <c r="E163" s="401" t="e">
        <f t="shared" si="22"/>
        <v>#VALUE!</v>
      </c>
      <c r="F163" s="401" t="e">
        <f t="shared" si="23"/>
        <v>#VALUE!</v>
      </c>
      <c r="M163" s="401" t="str">
        <f t="shared" si="19"/>
        <v>CODE 2405</v>
      </c>
      <c r="N163" s="404" t="s">
        <v>2045</v>
      </c>
      <c r="O163" s="401" t="s">
        <v>2046</v>
      </c>
      <c r="P163" s="401" t="s">
        <v>2047</v>
      </c>
      <c r="Q163" s="406" t="s">
        <v>274</v>
      </c>
    </row>
    <row r="164" spans="1:17" ht="13" x14ac:dyDescent="0.3">
      <c r="A164" s="401" t="e">
        <f t="shared" si="18"/>
        <v>#VALUE!</v>
      </c>
      <c r="C164" s="401" t="e">
        <f t="shared" si="20"/>
        <v>#VALUE!</v>
      </c>
      <c r="D164" s="401" t="e">
        <f t="shared" si="21"/>
        <v>#VALUE!</v>
      </c>
      <c r="E164" s="401" t="e">
        <f t="shared" si="22"/>
        <v>#VALUE!</v>
      </c>
      <c r="F164" s="401" t="e">
        <f t="shared" si="23"/>
        <v>#VALUE!</v>
      </c>
      <c r="M164" s="401" t="str">
        <f t="shared" si="19"/>
        <v>CODE 2372</v>
      </c>
      <c r="N164" s="404" t="s">
        <v>2048</v>
      </c>
      <c r="O164" s="401" t="s">
        <v>2049</v>
      </c>
      <c r="P164" s="407" t="s">
        <v>2050</v>
      </c>
      <c r="Q164" s="406" t="s">
        <v>274</v>
      </c>
    </row>
    <row r="165" spans="1:17" ht="13" x14ac:dyDescent="0.3">
      <c r="A165" s="401" t="e">
        <f t="shared" si="18"/>
        <v>#VALUE!</v>
      </c>
      <c r="C165" s="401" t="e">
        <f t="shared" si="20"/>
        <v>#VALUE!</v>
      </c>
      <c r="D165" s="401" t="e">
        <f t="shared" si="21"/>
        <v>#VALUE!</v>
      </c>
      <c r="E165" s="401" t="e">
        <f t="shared" si="22"/>
        <v>#VALUE!</v>
      </c>
      <c r="F165" s="401" t="e">
        <f t="shared" si="23"/>
        <v>#VALUE!</v>
      </c>
      <c r="M165" s="401" t="str">
        <f t="shared" si="19"/>
        <v>CODE 2373</v>
      </c>
      <c r="N165" s="404" t="s">
        <v>2051</v>
      </c>
      <c r="O165" s="401" t="s">
        <v>2052</v>
      </c>
      <c r="P165" s="401" t="s">
        <v>2053</v>
      </c>
      <c r="Q165" s="406" t="s">
        <v>274</v>
      </c>
    </row>
    <row r="166" spans="1:17" ht="13" x14ac:dyDescent="0.3">
      <c r="A166" s="401" t="e">
        <f t="shared" si="18"/>
        <v>#VALUE!</v>
      </c>
      <c r="C166" s="401" t="e">
        <f t="shared" si="20"/>
        <v>#VALUE!</v>
      </c>
      <c r="D166" s="401" t="e">
        <f t="shared" si="21"/>
        <v>#VALUE!</v>
      </c>
      <c r="E166" s="401" t="e">
        <f t="shared" si="22"/>
        <v>#VALUE!</v>
      </c>
      <c r="F166" s="401" t="e">
        <f t="shared" si="23"/>
        <v>#VALUE!</v>
      </c>
      <c r="M166" s="401" t="str">
        <f t="shared" si="19"/>
        <v>CODE 4205</v>
      </c>
      <c r="N166" s="404" t="s">
        <v>2054</v>
      </c>
      <c r="O166" s="401" t="s">
        <v>2055</v>
      </c>
      <c r="P166" s="407" t="s">
        <v>2056</v>
      </c>
      <c r="Q166" s="406" t="s">
        <v>274</v>
      </c>
    </row>
    <row r="167" spans="1:17" ht="13" x14ac:dyDescent="0.3">
      <c r="A167" s="401" t="e">
        <f t="shared" si="18"/>
        <v>#VALUE!</v>
      </c>
      <c r="C167" s="401" t="e">
        <f t="shared" si="20"/>
        <v>#VALUE!</v>
      </c>
      <c r="D167" s="401" t="e">
        <f t="shared" si="21"/>
        <v>#VALUE!</v>
      </c>
      <c r="E167" s="401" t="e">
        <f t="shared" si="22"/>
        <v>#VALUE!</v>
      </c>
      <c r="F167" s="401" t="e">
        <f t="shared" si="23"/>
        <v>#VALUE!</v>
      </c>
      <c r="M167" s="401" t="str">
        <f t="shared" si="19"/>
        <v>CODE 2505</v>
      </c>
      <c r="N167" s="404" t="s">
        <v>2057</v>
      </c>
      <c r="O167" s="401" t="s">
        <v>2106</v>
      </c>
      <c r="P167" s="407" t="s">
        <v>2107</v>
      </c>
      <c r="Q167" s="406" t="s">
        <v>274</v>
      </c>
    </row>
    <row r="168" spans="1:17" ht="13" x14ac:dyDescent="0.3">
      <c r="A168" s="401" t="e">
        <f t="shared" si="18"/>
        <v>#VALUE!</v>
      </c>
      <c r="C168" s="401" t="e">
        <f t="shared" si="20"/>
        <v>#VALUE!</v>
      </c>
      <c r="D168" s="401" t="e">
        <f t="shared" si="21"/>
        <v>#VALUE!</v>
      </c>
      <c r="E168" s="401" t="e">
        <f t="shared" si="22"/>
        <v>#VALUE!</v>
      </c>
      <c r="F168" s="401" t="e">
        <f t="shared" si="23"/>
        <v>#VALUE!</v>
      </c>
      <c r="M168" s="401" t="str">
        <f t="shared" si="19"/>
        <v>CODE 4705</v>
      </c>
      <c r="N168" s="404" t="s">
        <v>2108</v>
      </c>
      <c r="O168" s="401" t="s">
        <v>2109</v>
      </c>
      <c r="P168" s="407" t="s">
        <v>2110</v>
      </c>
      <c r="Q168" s="406" t="s">
        <v>274</v>
      </c>
    </row>
    <row r="169" spans="1:17" ht="13" x14ac:dyDescent="0.3">
      <c r="A169" s="401" t="e">
        <f t="shared" si="18"/>
        <v>#VALUE!</v>
      </c>
      <c r="C169" s="401" t="e">
        <f t="shared" si="20"/>
        <v>#VALUE!</v>
      </c>
      <c r="D169" s="401" t="e">
        <f t="shared" si="21"/>
        <v>#VALUE!</v>
      </c>
      <c r="E169" s="401" t="e">
        <f t="shared" si="22"/>
        <v>#VALUE!</v>
      </c>
      <c r="F169" s="401" t="e">
        <f t="shared" si="23"/>
        <v>#VALUE!</v>
      </c>
      <c r="M169" s="401" t="str">
        <f t="shared" si="19"/>
        <v>CODE 2605</v>
      </c>
      <c r="N169" s="404" t="s">
        <v>2111</v>
      </c>
      <c r="O169" s="401" t="s">
        <v>2112</v>
      </c>
      <c r="P169" s="401" t="s">
        <v>2113</v>
      </c>
      <c r="Q169" s="406" t="s">
        <v>274</v>
      </c>
    </row>
    <row r="170" spans="1:17" ht="13" x14ac:dyDescent="0.3">
      <c r="A170" s="401" t="e">
        <f t="shared" si="18"/>
        <v>#VALUE!</v>
      </c>
      <c r="C170" s="401" t="e">
        <f t="shared" si="20"/>
        <v>#VALUE!</v>
      </c>
      <c r="D170" s="401" t="e">
        <f t="shared" si="21"/>
        <v>#VALUE!</v>
      </c>
      <c r="E170" s="401" t="e">
        <f t="shared" si="22"/>
        <v>#VALUE!</v>
      </c>
      <c r="F170" s="401" t="e">
        <f t="shared" si="23"/>
        <v>#VALUE!</v>
      </c>
      <c r="M170" s="401" t="str">
        <f t="shared" si="19"/>
        <v>CODE 2610</v>
      </c>
      <c r="N170" s="404" t="s">
        <v>2114</v>
      </c>
      <c r="O170" s="401" t="s">
        <v>2115</v>
      </c>
      <c r="P170" s="401" t="s">
        <v>2116</v>
      </c>
      <c r="Q170" s="406" t="s">
        <v>274</v>
      </c>
    </row>
    <row r="171" spans="1:17" ht="13" x14ac:dyDescent="0.3">
      <c r="A171" s="401" t="e">
        <f t="shared" si="18"/>
        <v>#VALUE!</v>
      </c>
      <c r="C171" s="401" t="e">
        <f t="shared" si="20"/>
        <v>#VALUE!</v>
      </c>
      <c r="D171" s="401" t="e">
        <f t="shared" si="21"/>
        <v>#VALUE!</v>
      </c>
      <c r="E171" s="401" t="e">
        <f t="shared" si="22"/>
        <v>#VALUE!</v>
      </c>
      <c r="F171" s="401" t="e">
        <f t="shared" si="23"/>
        <v>#VALUE!</v>
      </c>
      <c r="M171" s="401" t="str">
        <f t="shared" si="19"/>
        <v>CODE 1905</v>
      </c>
      <c r="N171" s="404" t="s">
        <v>2117</v>
      </c>
      <c r="O171" s="401" t="s">
        <v>2118</v>
      </c>
      <c r="P171" s="401" t="s">
        <v>2118</v>
      </c>
      <c r="Q171" s="406" t="s">
        <v>274</v>
      </c>
    </row>
    <row r="172" spans="1:17" ht="13" x14ac:dyDescent="0.3">
      <c r="A172" s="401" t="e">
        <f t="shared" si="18"/>
        <v>#VALUE!</v>
      </c>
      <c r="C172" s="401" t="e">
        <f t="shared" si="20"/>
        <v>#VALUE!</v>
      </c>
      <c r="D172" s="401" t="e">
        <f t="shared" si="21"/>
        <v>#VALUE!</v>
      </c>
      <c r="E172" s="401" t="e">
        <f t="shared" si="22"/>
        <v>#VALUE!</v>
      </c>
      <c r="F172" s="401" t="e">
        <f t="shared" si="23"/>
        <v>#VALUE!</v>
      </c>
      <c r="M172" s="401" t="str">
        <f t="shared" si="19"/>
        <v>CODE 3015</v>
      </c>
      <c r="N172" s="404" t="s">
        <v>2119</v>
      </c>
      <c r="O172" s="401" t="s">
        <v>2120</v>
      </c>
      <c r="P172" s="401" t="s">
        <v>2121</v>
      </c>
      <c r="Q172" s="406" t="s">
        <v>274</v>
      </c>
    </row>
    <row r="173" spans="1:17" ht="13" x14ac:dyDescent="0.3">
      <c r="A173" s="401" t="e">
        <f t="shared" si="18"/>
        <v>#VALUE!</v>
      </c>
      <c r="C173" s="401" t="e">
        <f t="shared" si="20"/>
        <v>#VALUE!</v>
      </c>
      <c r="D173" s="401" t="e">
        <f t="shared" si="21"/>
        <v>#VALUE!</v>
      </c>
      <c r="E173" s="401" t="e">
        <f t="shared" si="22"/>
        <v>#VALUE!</v>
      </c>
      <c r="F173" s="401" t="e">
        <f t="shared" si="23"/>
        <v>#VALUE!</v>
      </c>
      <c r="M173" s="401" t="str">
        <f t="shared" si="19"/>
        <v>CODE 2315</v>
      </c>
      <c r="N173" s="404" t="s">
        <v>2122</v>
      </c>
      <c r="O173" s="401" t="s">
        <v>2125</v>
      </c>
      <c r="P173" s="401" t="s">
        <v>2126</v>
      </c>
      <c r="Q173" s="406" t="s">
        <v>274</v>
      </c>
    </row>
    <row r="174" spans="1:17" ht="13" x14ac:dyDescent="0.3">
      <c r="A174" s="401" t="e">
        <f t="shared" si="18"/>
        <v>#VALUE!</v>
      </c>
      <c r="C174" s="401" t="e">
        <f t="shared" si="20"/>
        <v>#VALUE!</v>
      </c>
      <c r="D174" s="401" t="e">
        <f t="shared" si="21"/>
        <v>#VALUE!</v>
      </c>
      <c r="E174" s="401" t="e">
        <f t="shared" si="22"/>
        <v>#VALUE!</v>
      </c>
      <c r="F174" s="401" t="e">
        <f t="shared" si="23"/>
        <v>#VALUE!</v>
      </c>
      <c r="M174" s="401" t="str">
        <f t="shared" si="19"/>
        <v>CODE 4210</v>
      </c>
      <c r="N174" s="404" t="s">
        <v>2127</v>
      </c>
      <c r="O174" s="401" t="s">
        <v>2128</v>
      </c>
      <c r="P174" s="407" t="s">
        <v>2129</v>
      </c>
      <c r="Q174" s="406" t="s">
        <v>274</v>
      </c>
    </row>
    <row r="175" spans="1:17" ht="13" x14ac:dyDescent="0.3">
      <c r="A175" s="401" t="e">
        <f t="shared" si="18"/>
        <v>#VALUE!</v>
      </c>
      <c r="C175" s="401" t="e">
        <f t="shared" si="20"/>
        <v>#VALUE!</v>
      </c>
      <c r="D175" s="401" t="e">
        <f t="shared" si="21"/>
        <v>#VALUE!</v>
      </c>
      <c r="E175" s="401" t="e">
        <f t="shared" si="22"/>
        <v>#VALUE!</v>
      </c>
      <c r="F175" s="401" t="e">
        <f t="shared" si="23"/>
        <v>#VALUE!</v>
      </c>
      <c r="M175" s="401" t="str">
        <f t="shared" si="19"/>
        <v>CODE 6920</v>
      </c>
      <c r="N175" s="404" t="s">
        <v>2130</v>
      </c>
      <c r="O175" s="401" t="s">
        <v>2131</v>
      </c>
      <c r="P175" s="407" t="s">
        <v>2132</v>
      </c>
      <c r="Q175" s="406" t="s">
        <v>1950</v>
      </c>
    </row>
    <row r="176" spans="1:17" ht="13" x14ac:dyDescent="0.3">
      <c r="A176" s="401" t="e">
        <f t="shared" si="18"/>
        <v>#VALUE!</v>
      </c>
      <c r="C176" s="401" t="e">
        <f t="shared" si="20"/>
        <v>#VALUE!</v>
      </c>
      <c r="D176" s="401" t="e">
        <f t="shared" si="21"/>
        <v>#VALUE!</v>
      </c>
      <c r="E176" s="401" t="e">
        <f t="shared" si="22"/>
        <v>#VALUE!</v>
      </c>
      <c r="F176" s="401" t="e">
        <f t="shared" si="23"/>
        <v>#VALUE!</v>
      </c>
      <c r="M176" s="401" t="str">
        <f t="shared" si="19"/>
        <v>CODE 4710</v>
      </c>
      <c r="N176" s="404" t="s">
        <v>2133</v>
      </c>
      <c r="O176" s="401" t="s">
        <v>2134</v>
      </c>
      <c r="P176" s="401" t="s">
        <v>2135</v>
      </c>
      <c r="Q176" s="406" t="s">
        <v>274</v>
      </c>
    </row>
    <row r="177" spans="1:17" ht="13" x14ac:dyDescent="0.3">
      <c r="A177" s="401" t="e">
        <f t="shared" si="18"/>
        <v>#VALUE!</v>
      </c>
      <c r="C177" s="401" t="e">
        <f t="shared" si="20"/>
        <v>#VALUE!</v>
      </c>
      <c r="D177" s="401" t="e">
        <f t="shared" si="21"/>
        <v>#VALUE!</v>
      </c>
      <c r="E177" s="401" t="e">
        <f t="shared" si="22"/>
        <v>#VALUE!</v>
      </c>
      <c r="F177" s="401" t="e">
        <f t="shared" si="23"/>
        <v>#VALUE!</v>
      </c>
      <c r="M177" s="401" t="str">
        <f t="shared" si="19"/>
        <v>CODE 3405</v>
      </c>
      <c r="N177" s="404" t="s">
        <v>2136</v>
      </c>
      <c r="O177" s="401" t="s">
        <v>2137</v>
      </c>
      <c r="P177" s="401" t="s">
        <v>2138</v>
      </c>
      <c r="Q177" s="406" t="s">
        <v>274</v>
      </c>
    </row>
    <row r="178" spans="1:17" ht="13" x14ac:dyDescent="0.3">
      <c r="A178" s="401" t="e">
        <f t="shared" si="18"/>
        <v>#VALUE!</v>
      </c>
      <c r="C178" s="401" t="e">
        <f t="shared" si="20"/>
        <v>#VALUE!</v>
      </c>
      <c r="D178" s="401" t="e">
        <f t="shared" si="21"/>
        <v>#VALUE!</v>
      </c>
      <c r="E178" s="401" t="e">
        <f t="shared" si="22"/>
        <v>#VALUE!</v>
      </c>
      <c r="F178" s="401" t="e">
        <f t="shared" si="23"/>
        <v>#VALUE!</v>
      </c>
      <c r="M178" s="401" t="str">
        <f t="shared" si="19"/>
        <v>CODE 2210</v>
      </c>
      <c r="N178" s="404" t="s">
        <v>2139</v>
      </c>
      <c r="O178" s="401" t="s">
        <v>2140</v>
      </c>
      <c r="P178" s="407" t="s">
        <v>2141</v>
      </c>
      <c r="Q178" s="406" t="s">
        <v>274</v>
      </c>
    </row>
    <row r="179" spans="1:17" ht="13" x14ac:dyDescent="0.3">
      <c r="A179" s="401" t="e">
        <f t="shared" si="18"/>
        <v>#VALUE!</v>
      </c>
      <c r="C179" s="401" t="e">
        <f t="shared" si="20"/>
        <v>#VALUE!</v>
      </c>
      <c r="D179" s="401" t="e">
        <f t="shared" si="21"/>
        <v>#VALUE!</v>
      </c>
      <c r="E179" s="401" t="e">
        <f t="shared" si="22"/>
        <v>#VALUE!</v>
      </c>
      <c r="F179" s="401" t="e">
        <f t="shared" si="23"/>
        <v>#VALUE!</v>
      </c>
      <c r="M179" s="401" t="str">
        <f t="shared" si="19"/>
        <v>CODE 6815</v>
      </c>
      <c r="N179" s="404" t="s">
        <v>2142</v>
      </c>
      <c r="O179" s="401" t="s">
        <v>2143</v>
      </c>
      <c r="P179" s="407" t="s">
        <v>2144</v>
      </c>
      <c r="Q179" s="406" t="s">
        <v>1950</v>
      </c>
    </row>
    <row r="180" spans="1:17" ht="13" x14ac:dyDescent="0.3">
      <c r="A180" s="401" t="e">
        <f t="shared" si="18"/>
        <v>#VALUE!</v>
      </c>
      <c r="C180" s="401" t="e">
        <f t="shared" si="20"/>
        <v>#VALUE!</v>
      </c>
      <c r="D180" s="401" t="e">
        <f t="shared" si="21"/>
        <v>#VALUE!</v>
      </c>
      <c r="E180" s="401" t="e">
        <f t="shared" si="22"/>
        <v>#VALUE!</v>
      </c>
      <c r="F180" s="401" t="e">
        <f t="shared" si="23"/>
        <v>#VALUE!</v>
      </c>
      <c r="M180" s="401" t="str">
        <f t="shared" si="19"/>
        <v>CODE 6825</v>
      </c>
      <c r="N180" s="404" t="s">
        <v>2145</v>
      </c>
      <c r="O180" s="401" t="s">
        <v>2146</v>
      </c>
      <c r="P180" s="407" t="s">
        <v>2147</v>
      </c>
      <c r="Q180" s="406" t="s">
        <v>1950</v>
      </c>
    </row>
    <row r="181" spans="1:17" ht="13" x14ac:dyDescent="0.3">
      <c r="A181" s="401" t="e">
        <f t="shared" si="18"/>
        <v>#VALUE!</v>
      </c>
      <c r="C181" s="401" t="e">
        <f t="shared" si="20"/>
        <v>#VALUE!</v>
      </c>
      <c r="D181" s="401" t="e">
        <f t="shared" si="21"/>
        <v>#VALUE!</v>
      </c>
      <c r="E181" s="401" t="e">
        <f t="shared" si="22"/>
        <v>#VALUE!</v>
      </c>
      <c r="F181" s="401" t="e">
        <f t="shared" si="23"/>
        <v>#VALUE!</v>
      </c>
      <c r="M181" s="401" t="str">
        <f t="shared" si="19"/>
        <v>CODE 6828</v>
      </c>
      <c r="N181" s="404" t="s">
        <v>2148</v>
      </c>
      <c r="O181" s="401" t="s">
        <v>2149</v>
      </c>
      <c r="P181" s="407" t="s">
        <v>2147</v>
      </c>
      <c r="Q181" s="406" t="s">
        <v>1950</v>
      </c>
    </row>
    <row r="182" spans="1:17" ht="13" x14ac:dyDescent="0.3">
      <c r="A182" s="401" t="e">
        <f t="shared" si="18"/>
        <v>#VALUE!</v>
      </c>
      <c r="C182" s="401" t="e">
        <f t="shared" si="20"/>
        <v>#VALUE!</v>
      </c>
      <c r="D182" s="401" t="e">
        <f t="shared" si="21"/>
        <v>#VALUE!</v>
      </c>
      <c r="E182" s="401" t="e">
        <f t="shared" si="22"/>
        <v>#VALUE!</v>
      </c>
      <c r="F182" s="401" t="e">
        <f t="shared" si="23"/>
        <v>#VALUE!</v>
      </c>
      <c r="M182" s="401" t="str">
        <f t="shared" si="19"/>
        <v>CODE 6829</v>
      </c>
      <c r="N182" s="404" t="s">
        <v>2150</v>
      </c>
      <c r="O182" s="401" t="s">
        <v>2151</v>
      </c>
      <c r="P182" s="407" t="s">
        <v>2147</v>
      </c>
      <c r="Q182" s="406" t="s">
        <v>1950</v>
      </c>
    </row>
    <row r="183" spans="1:17" ht="13" x14ac:dyDescent="0.3">
      <c r="A183" s="401" t="e">
        <f t="shared" si="18"/>
        <v>#VALUE!</v>
      </c>
      <c r="C183" s="401" t="e">
        <f t="shared" si="20"/>
        <v>#VALUE!</v>
      </c>
      <c r="D183" s="401" t="e">
        <f t="shared" si="21"/>
        <v>#VALUE!</v>
      </c>
      <c r="E183" s="401" t="e">
        <f t="shared" si="22"/>
        <v>#VALUE!</v>
      </c>
      <c r="F183" s="401" t="e">
        <f t="shared" si="23"/>
        <v>#VALUE!</v>
      </c>
      <c r="M183" s="401" t="str">
        <f t="shared" si="19"/>
        <v>CODE 6820</v>
      </c>
      <c r="N183" s="404" t="s">
        <v>2152</v>
      </c>
      <c r="O183" s="401" t="s">
        <v>2153</v>
      </c>
      <c r="P183" s="407" t="s">
        <v>2154</v>
      </c>
      <c r="Q183" s="406" t="s">
        <v>1950</v>
      </c>
    </row>
    <row r="184" spans="1:17" ht="13" x14ac:dyDescent="0.3">
      <c r="A184" s="401" t="e">
        <f t="shared" si="18"/>
        <v>#VALUE!</v>
      </c>
      <c r="C184" s="401" t="e">
        <f t="shared" si="20"/>
        <v>#VALUE!</v>
      </c>
      <c r="D184" s="401" t="e">
        <f t="shared" si="21"/>
        <v>#VALUE!</v>
      </c>
      <c r="E184" s="401" t="e">
        <f t="shared" si="22"/>
        <v>#VALUE!</v>
      </c>
      <c r="F184" s="401" t="e">
        <f t="shared" si="23"/>
        <v>#VALUE!</v>
      </c>
      <c r="M184" s="401" t="str">
        <f t="shared" si="19"/>
        <v>CODE 2410</v>
      </c>
      <c r="N184" s="404" t="s">
        <v>2155</v>
      </c>
      <c r="O184" s="401" t="s">
        <v>2165</v>
      </c>
      <c r="P184" s="401" t="s">
        <v>2166</v>
      </c>
      <c r="Q184" s="406" t="s">
        <v>274</v>
      </c>
    </row>
    <row r="185" spans="1:17" ht="13" x14ac:dyDescent="0.3">
      <c r="A185" s="401" t="e">
        <f t="shared" si="18"/>
        <v>#VALUE!</v>
      </c>
      <c r="C185" s="401" t="e">
        <f t="shared" si="20"/>
        <v>#VALUE!</v>
      </c>
      <c r="D185" s="401" t="e">
        <f t="shared" si="21"/>
        <v>#VALUE!</v>
      </c>
      <c r="E185" s="401" t="e">
        <f t="shared" si="22"/>
        <v>#VALUE!</v>
      </c>
      <c r="F185" s="401" t="e">
        <f t="shared" si="23"/>
        <v>#VALUE!</v>
      </c>
      <c r="M185" s="401" t="str">
        <f t="shared" si="19"/>
        <v>CODE 3105</v>
      </c>
      <c r="N185" s="404" t="s">
        <v>2167</v>
      </c>
      <c r="O185" s="401" t="s">
        <v>2168</v>
      </c>
      <c r="P185" s="401" t="s">
        <v>2169</v>
      </c>
      <c r="Q185" s="406" t="s">
        <v>274</v>
      </c>
    </row>
    <row r="186" spans="1:17" ht="13" x14ac:dyDescent="0.3">
      <c r="A186" s="401" t="e">
        <f t="shared" si="18"/>
        <v>#VALUE!</v>
      </c>
      <c r="C186" s="401" t="e">
        <f t="shared" si="20"/>
        <v>#VALUE!</v>
      </c>
      <c r="D186" s="401" t="e">
        <f t="shared" si="21"/>
        <v>#VALUE!</v>
      </c>
      <c r="E186" s="401" t="e">
        <f t="shared" si="22"/>
        <v>#VALUE!</v>
      </c>
      <c r="F186" s="401" t="e">
        <f t="shared" si="23"/>
        <v>#VALUE!</v>
      </c>
      <c r="M186" s="401" t="str">
        <f t="shared" si="19"/>
        <v>CODE 3815</v>
      </c>
      <c r="N186" s="404" t="s">
        <v>2170</v>
      </c>
      <c r="O186" s="401" t="s">
        <v>2177</v>
      </c>
      <c r="P186" s="401" t="s">
        <v>2178</v>
      </c>
      <c r="Q186" s="406" t="s">
        <v>274</v>
      </c>
    </row>
    <row r="187" spans="1:17" ht="13" x14ac:dyDescent="0.3">
      <c r="A187" s="401" t="e">
        <f t="shared" si="18"/>
        <v>#VALUE!</v>
      </c>
      <c r="C187" s="401" t="e">
        <f t="shared" si="20"/>
        <v>#VALUE!</v>
      </c>
      <c r="D187" s="401" t="e">
        <f t="shared" si="21"/>
        <v>#VALUE!</v>
      </c>
      <c r="E187" s="401" t="e">
        <f t="shared" si="22"/>
        <v>#VALUE!</v>
      </c>
      <c r="F187" s="401" t="e">
        <f t="shared" si="23"/>
        <v>#VALUE!</v>
      </c>
      <c r="M187" s="401" t="str">
        <f t="shared" si="19"/>
        <v>CODE 2320</v>
      </c>
      <c r="N187" s="404" t="s">
        <v>2179</v>
      </c>
      <c r="O187" s="401" t="s">
        <v>2180</v>
      </c>
      <c r="P187" s="401" t="s">
        <v>2181</v>
      </c>
      <c r="Q187" s="406" t="s">
        <v>274</v>
      </c>
    </row>
    <row r="188" spans="1:17" ht="13" x14ac:dyDescent="0.3">
      <c r="A188" s="401" t="e">
        <f t="shared" si="18"/>
        <v>#VALUE!</v>
      </c>
      <c r="C188" s="401" t="e">
        <f t="shared" si="20"/>
        <v>#VALUE!</v>
      </c>
      <c r="D188" s="401" t="e">
        <f t="shared" si="21"/>
        <v>#VALUE!</v>
      </c>
      <c r="E188" s="401" t="e">
        <f t="shared" si="22"/>
        <v>#VALUE!</v>
      </c>
      <c r="F188" s="401" t="e">
        <f t="shared" si="23"/>
        <v>#VALUE!</v>
      </c>
      <c r="M188" s="401" t="str">
        <f t="shared" si="19"/>
        <v>CODE 2741</v>
      </c>
      <c r="N188" s="404" t="s">
        <v>2182</v>
      </c>
      <c r="O188" s="401" t="s">
        <v>2183</v>
      </c>
      <c r="P188" s="407" t="s">
        <v>2184</v>
      </c>
      <c r="Q188" s="406" t="s">
        <v>274</v>
      </c>
    </row>
    <row r="189" spans="1:17" ht="13" x14ac:dyDescent="0.3">
      <c r="A189" s="401" t="e">
        <f t="shared" si="18"/>
        <v>#VALUE!</v>
      </c>
      <c r="C189" s="401" t="e">
        <f t="shared" si="20"/>
        <v>#VALUE!</v>
      </c>
      <c r="D189" s="401" t="e">
        <f t="shared" si="21"/>
        <v>#VALUE!</v>
      </c>
      <c r="E189" s="401" t="e">
        <f t="shared" si="22"/>
        <v>#VALUE!</v>
      </c>
      <c r="F189" s="401" t="e">
        <f t="shared" si="23"/>
        <v>#VALUE!</v>
      </c>
      <c r="M189" s="401" t="str">
        <f t="shared" si="19"/>
        <v>CODE 5030</v>
      </c>
      <c r="N189" s="404" t="s">
        <v>2185</v>
      </c>
      <c r="O189" s="401" t="s">
        <v>2186</v>
      </c>
      <c r="P189" s="401" t="s">
        <v>2186</v>
      </c>
      <c r="Q189" s="406" t="s">
        <v>294</v>
      </c>
    </row>
    <row r="190" spans="1:17" ht="13" x14ac:dyDescent="0.3">
      <c r="A190" s="401" t="e">
        <f t="shared" si="18"/>
        <v>#VALUE!</v>
      </c>
      <c r="C190" s="401" t="e">
        <f t="shared" si="20"/>
        <v>#VALUE!</v>
      </c>
      <c r="D190" s="401" t="e">
        <f t="shared" si="21"/>
        <v>#VALUE!</v>
      </c>
      <c r="E190" s="401" t="e">
        <f t="shared" si="22"/>
        <v>#VALUE!</v>
      </c>
      <c r="F190" s="401" t="e">
        <f t="shared" si="23"/>
        <v>#VALUE!</v>
      </c>
      <c r="M190" s="401" t="str">
        <f t="shared" si="19"/>
        <v>CODE 3060</v>
      </c>
      <c r="N190" s="404" t="s">
        <v>2187</v>
      </c>
      <c r="O190" s="401" t="s">
        <v>2188</v>
      </c>
      <c r="P190" s="407" t="s">
        <v>2189</v>
      </c>
      <c r="Q190" s="406" t="s">
        <v>274</v>
      </c>
    </row>
    <row r="191" spans="1:17" ht="13" x14ac:dyDescent="0.3">
      <c r="A191" s="401" t="e">
        <f t="shared" si="18"/>
        <v>#VALUE!</v>
      </c>
      <c r="C191" s="401" t="e">
        <f t="shared" si="20"/>
        <v>#VALUE!</v>
      </c>
      <c r="D191" s="401" t="e">
        <f t="shared" si="21"/>
        <v>#VALUE!</v>
      </c>
      <c r="E191" s="401" t="e">
        <f t="shared" si="22"/>
        <v>#VALUE!</v>
      </c>
      <c r="F191" s="401" t="e">
        <f t="shared" si="23"/>
        <v>#VALUE!</v>
      </c>
      <c r="M191" s="401" t="str">
        <f t="shared" si="19"/>
        <v>CODE 6905</v>
      </c>
      <c r="N191" s="404" t="s">
        <v>2190</v>
      </c>
      <c r="O191" s="401" t="s">
        <v>2191</v>
      </c>
      <c r="P191" s="401" t="s">
        <v>2192</v>
      </c>
      <c r="Q191" s="406" t="s">
        <v>1950</v>
      </c>
    </row>
    <row r="192" spans="1:17" ht="13" x14ac:dyDescent="0.3">
      <c r="A192" s="401" t="e">
        <f t="shared" si="18"/>
        <v>#VALUE!</v>
      </c>
      <c r="C192" s="401" t="e">
        <f t="shared" si="20"/>
        <v>#VALUE!</v>
      </c>
      <c r="D192" s="401" t="e">
        <f t="shared" si="21"/>
        <v>#VALUE!</v>
      </c>
      <c r="E192" s="401" t="e">
        <f t="shared" si="22"/>
        <v>#VALUE!</v>
      </c>
      <c r="F192" s="401" t="e">
        <f t="shared" si="23"/>
        <v>#VALUE!</v>
      </c>
      <c r="M192" s="401" t="str">
        <f t="shared" si="19"/>
        <v>CODE 2805</v>
      </c>
      <c r="N192" s="404" t="s">
        <v>2193</v>
      </c>
      <c r="O192" s="401" t="s">
        <v>2194</v>
      </c>
      <c r="P192" s="401" t="s">
        <v>2195</v>
      </c>
      <c r="Q192" s="406" t="s">
        <v>274</v>
      </c>
    </row>
    <row r="193" spans="1:17" ht="13" x14ac:dyDescent="0.3">
      <c r="A193" s="401" t="e">
        <f t="shared" si="18"/>
        <v>#VALUE!</v>
      </c>
      <c r="C193" s="401" t="e">
        <f t="shared" si="20"/>
        <v>#VALUE!</v>
      </c>
      <c r="D193" s="401" t="e">
        <f t="shared" si="21"/>
        <v>#VALUE!</v>
      </c>
      <c r="E193" s="401" t="e">
        <f t="shared" si="22"/>
        <v>#VALUE!</v>
      </c>
      <c r="F193" s="401" t="e">
        <f t="shared" si="23"/>
        <v>#VALUE!</v>
      </c>
      <c r="M193" s="401" t="str">
        <f t="shared" si="19"/>
        <v>CODE 4610</v>
      </c>
      <c r="N193" s="404" t="s">
        <v>2196</v>
      </c>
      <c r="O193" s="401" t="s">
        <v>2197</v>
      </c>
      <c r="P193" s="407" t="s">
        <v>2198</v>
      </c>
      <c r="Q193" s="406" t="s">
        <v>274</v>
      </c>
    </row>
    <row r="194" spans="1:17" ht="13" x14ac:dyDescent="0.3">
      <c r="A194" s="401" t="e">
        <f t="shared" si="18"/>
        <v>#VALUE!</v>
      </c>
      <c r="C194" s="401" t="e">
        <f t="shared" si="20"/>
        <v>#VALUE!</v>
      </c>
      <c r="D194" s="401" t="e">
        <f t="shared" si="21"/>
        <v>#VALUE!</v>
      </c>
      <c r="E194" s="401" t="e">
        <f t="shared" si="22"/>
        <v>#VALUE!</v>
      </c>
      <c r="F194" s="401" t="e">
        <f t="shared" si="23"/>
        <v>#VALUE!</v>
      </c>
      <c r="M194" s="401" t="str">
        <f t="shared" si="19"/>
        <v>CODE 2705</v>
      </c>
      <c r="N194" s="404" t="s">
        <v>2199</v>
      </c>
      <c r="O194" s="401" t="s">
        <v>2200</v>
      </c>
      <c r="P194" s="401" t="s">
        <v>2201</v>
      </c>
      <c r="Q194" s="406" t="s">
        <v>274</v>
      </c>
    </row>
    <row r="195" spans="1:17" ht="13" x14ac:dyDescent="0.3">
      <c r="A195" s="401" t="e">
        <f t="shared" si="18"/>
        <v>#VALUE!</v>
      </c>
      <c r="C195" s="401" t="e">
        <f t="shared" si="20"/>
        <v>#VALUE!</v>
      </c>
      <c r="D195" s="401" t="e">
        <f t="shared" si="21"/>
        <v>#VALUE!</v>
      </c>
      <c r="E195" s="401" t="e">
        <f t="shared" si="22"/>
        <v>#VALUE!</v>
      </c>
      <c r="F195" s="401" t="e">
        <f t="shared" si="23"/>
        <v>#VALUE!</v>
      </c>
      <c r="M195" s="401" t="str">
        <f t="shared" si="19"/>
        <v>CODE 3820</v>
      </c>
      <c r="N195" s="404" t="s">
        <v>2202</v>
      </c>
      <c r="O195" s="401" t="s">
        <v>2203</v>
      </c>
      <c r="P195" s="401" t="s">
        <v>2204</v>
      </c>
      <c r="Q195" s="406" t="s">
        <v>274</v>
      </c>
    </row>
    <row r="196" spans="1:17" ht="13" x14ac:dyDescent="0.3">
      <c r="A196" s="401" t="e">
        <f t="shared" si="18"/>
        <v>#VALUE!</v>
      </c>
      <c r="C196" s="401" t="e">
        <f t="shared" si="20"/>
        <v>#VALUE!</v>
      </c>
      <c r="D196" s="401" t="e">
        <f t="shared" si="21"/>
        <v>#VALUE!</v>
      </c>
      <c r="E196" s="401" t="e">
        <f t="shared" si="22"/>
        <v>#VALUE!</v>
      </c>
      <c r="F196" s="401" t="e">
        <f t="shared" si="23"/>
        <v>#VALUE!</v>
      </c>
      <c r="M196" s="401" t="str">
        <f t="shared" si="19"/>
        <v>CODE 1910</v>
      </c>
      <c r="N196" s="404" t="s">
        <v>2205</v>
      </c>
      <c r="O196" s="401" t="s">
        <v>2206</v>
      </c>
      <c r="P196" s="401" t="s">
        <v>2207</v>
      </c>
      <c r="Q196" s="406" t="s">
        <v>274</v>
      </c>
    </row>
    <row r="197" spans="1:17" ht="13" x14ac:dyDescent="0.3">
      <c r="A197" s="401" t="e">
        <f t="shared" si="18"/>
        <v>#VALUE!</v>
      </c>
      <c r="C197" s="401" t="e">
        <f t="shared" si="20"/>
        <v>#VALUE!</v>
      </c>
      <c r="D197" s="401" t="e">
        <f t="shared" si="21"/>
        <v>#VALUE!</v>
      </c>
      <c r="E197" s="401" t="e">
        <f t="shared" si="22"/>
        <v>#VALUE!</v>
      </c>
      <c r="F197" s="401" t="e">
        <f t="shared" si="23"/>
        <v>#VALUE!</v>
      </c>
      <c r="M197" s="401" t="str">
        <f t="shared" si="19"/>
        <v>CODE 2215</v>
      </c>
      <c r="N197" s="404" t="s">
        <v>2208</v>
      </c>
      <c r="O197" s="401" t="s">
        <v>2209</v>
      </c>
      <c r="P197" s="401" t="s">
        <v>2210</v>
      </c>
      <c r="Q197" s="406" t="s">
        <v>274</v>
      </c>
    </row>
    <row r="198" spans="1:17" ht="13" x14ac:dyDescent="0.3">
      <c r="A198" s="401" t="e">
        <f>FIND(",""",$A$1,A197+1)</f>
        <v>#VALUE!</v>
      </c>
      <c r="C198" s="401" t="e">
        <f t="shared" si="20"/>
        <v>#VALUE!</v>
      </c>
      <c r="D198" s="401" t="e">
        <f t="shared" si="21"/>
        <v>#VALUE!</v>
      </c>
      <c r="E198" s="401" t="e">
        <f t="shared" si="22"/>
        <v>#VALUE!</v>
      </c>
      <c r="F198" s="401" t="e">
        <f t="shared" si="23"/>
        <v>#VALUE!</v>
      </c>
      <c r="M198" s="401" t="str">
        <f t="shared" si="19"/>
        <v>CODE 2810</v>
      </c>
      <c r="N198" s="404" t="s">
        <v>2211</v>
      </c>
      <c r="O198" s="401" t="s">
        <v>2212</v>
      </c>
      <c r="P198" s="401" t="s">
        <v>2213</v>
      </c>
      <c r="Q198" s="406" t="s">
        <v>274</v>
      </c>
    </row>
    <row r="199" spans="1:17" ht="13" x14ac:dyDescent="0.3">
      <c r="A199" s="401" t="e">
        <f>FIND(",""",$A$1,A198+1)</f>
        <v>#VALUE!</v>
      </c>
      <c r="C199" s="401" t="e">
        <f t="shared" si="20"/>
        <v>#VALUE!</v>
      </c>
      <c r="D199" s="401" t="e">
        <f t="shared" si="21"/>
        <v>#VALUE!</v>
      </c>
      <c r="E199" s="401" t="e">
        <f t="shared" si="22"/>
        <v>#VALUE!</v>
      </c>
      <c r="F199" s="401" t="e">
        <f t="shared" si="23"/>
        <v>#VALUE!</v>
      </c>
      <c r="M199" s="401" t="str">
        <f t="shared" ref="M199:M262" si="24">"CODE "&amp;N199</f>
        <v>CODE 6830</v>
      </c>
      <c r="N199" s="404" t="s">
        <v>2214</v>
      </c>
      <c r="O199" s="401" t="s">
        <v>2215</v>
      </c>
      <c r="P199" s="407" t="s">
        <v>2216</v>
      </c>
      <c r="Q199" s="406" t="s">
        <v>1950</v>
      </c>
    </row>
    <row r="200" spans="1:17" ht="13" x14ac:dyDescent="0.3">
      <c r="A200" s="401" t="e">
        <f>FIND(",""",$A$1,A199+1)</f>
        <v>#VALUE!</v>
      </c>
      <c r="C200" s="401" t="e">
        <f t="shared" si="20"/>
        <v>#VALUE!</v>
      </c>
      <c r="D200" s="401">
        <f t="shared" si="21"/>
        <v>0</v>
      </c>
      <c r="E200" s="401" t="e">
        <f t="shared" si="22"/>
        <v>#VALUE!</v>
      </c>
      <c r="F200" s="401" t="e">
        <f t="shared" si="23"/>
        <v>#VALUE!</v>
      </c>
      <c r="M200" s="401" t="str">
        <f t="shared" si="24"/>
        <v>CODE 4410</v>
      </c>
      <c r="N200" s="404" t="s">
        <v>2217</v>
      </c>
      <c r="O200" s="401" t="s">
        <v>2218</v>
      </c>
      <c r="P200" s="401" t="s">
        <v>2218</v>
      </c>
      <c r="Q200" s="406" t="s">
        <v>274</v>
      </c>
    </row>
    <row r="201" spans="1:17" ht="13" x14ac:dyDescent="0.3">
      <c r="M201" s="401" t="str">
        <f t="shared" si="24"/>
        <v>CODE 2220</v>
      </c>
      <c r="N201" s="404" t="s">
        <v>2219</v>
      </c>
      <c r="O201" s="401" t="s">
        <v>2220</v>
      </c>
      <c r="P201" s="401" t="s">
        <v>2221</v>
      </c>
      <c r="Q201" s="406" t="s">
        <v>274</v>
      </c>
    </row>
    <row r="202" spans="1:17" ht="13" x14ac:dyDescent="0.3">
      <c r="M202" s="401" t="str">
        <f t="shared" si="24"/>
        <v>CODE 4615</v>
      </c>
      <c r="N202" s="404" t="s">
        <v>2222</v>
      </c>
      <c r="O202" s="401" t="s">
        <v>2223</v>
      </c>
      <c r="P202" s="401" t="s">
        <v>2223</v>
      </c>
      <c r="Q202" s="406" t="s">
        <v>274</v>
      </c>
    </row>
    <row r="203" spans="1:17" ht="13" x14ac:dyDescent="0.3">
      <c r="M203" s="401" t="str">
        <f t="shared" si="24"/>
        <v>CODE 1915</v>
      </c>
      <c r="N203" s="404" t="s">
        <v>2224</v>
      </c>
      <c r="O203" s="401" t="s">
        <v>2226</v>
      </c>
      <c r="P203" s="401" t="s">
        <v>2227</v>
      </c>
      <c r="Q203" s="406" t="s">
        <v>274</v>
      </c>
    </row>
    <row r="204" spans="1:17" ht="13" x14ac:dyDescent="0.3">
      <c r="M204" s="401" t="str">
        <f t="shared" si="24"/>
        <v>CODE 2510</v>
      </c>
      <c r="N204" s="404" t="s">
        <v>2228</v>
      </c>
      <c r="O204" s="401" t="s">
        <v>2229</v>
      </c>
      <c r="P204" s="401" t="s">
        <v>2230</v>
      </c>
      <c r="Q204" s="406" t="s">
        <v>274</v>
      </c>
    </row>
    <row r="205" spans="1:17" ht="13" x14ac:dyDescent="0.3">
      <c r="M205" s="401" t="str">
        <f t="shared" si="24"/>
        <v>CODE 2815</v>
      </c>
      <c r="N205" s="404" t="s">
        <v>2231</v>
      </c>
      <c r="O205" s="401" t="s">
        <v>2232</v>
      </c>
      <c r="P205" s="401" t="s">
        <v>2233</v>
      </c>
      <c r="Q205" s="406" t="s">
        <v>274</v>
      </c>
    </row>
    <row r="206" spans="1:17" ht="13" x14ac:dyDescent="0.3">
      <c r="M206" s="401" t="str">
        <f t="shared" si="24"/>
        <v>CODE 2001</v>
      </c>
      <c r="N206" s="404" t="s">
        <v>2234</v>
      </c>
      <c r="O206" s="401" t="s">
        <v>2235</v>
      </c>
      <c r="P206" s="407" t="s">
        <v>2236</v>
      </c>
      <c r="Q206" s="406" t="s">
        <v>274</v>
      </c>
    </row>
    <row r="207" spans="1:17" ht="13" x14ac:dyDescent="0.3">
      <c r="M207" s="401" t="str">
        <f t="shared" si="24"/>
        <v>CODE 3410</v>
      </c>
      <c r="N207" s="404" t="s">
        <v>2237</v>
      </c>
      <c r="O207" s="401" t="s">
        <v>2238</v>
      </c>
      <c r="P207" s="401" t="s">
        <v>2239</v>
      </c>
      <c r="Q207" s="406" t="s">
        <v>274</v>
      </c>
    </row>
    <row r="208" spans="1:17" ht="13" x14ac:dyDescent="0.3">
      <c r="M208" s="401" t="str">
        <f t="shared" si="24"/>
        <v>CODE 3605</v>
      </c>
      <c r="N208" s="404" t="s">
        <v>2240</v>
      </c>
      <c r="O208" s="401" t="s">
        <v>2241</v>
      </c>
      <c r="P208" s="401" t="s">
        <v>2242</v>
      </c>
      <c r="Q208" s="406" t="s">
        <v>274</v>
      </c>
    </row>
    <row r="209" spans="13:17" ht="13" x14ac:dyDescent="0.3">
      <c r="M209" s="401" t="str">
        <f t="shared" si="24"/>
        <v>CODE 3610</v>
      </c>
      <c r="N209" s="404" t="s">
        <v>2243</v>
      </c>
      <c r="O209" s="401" t="s">
        <v>2244</v>
      </c>
      <c r="P209" s="407" t="s">
        <v>2245</v>
      </c>
      <c r="Q209" s="406" t="s">
        <v>274</v>
      </c>
    </row>
    <row r="210" spans="13:17" ht="13" x14ac:dyDescent="0.3">
      <c r="M210" s="401" t="str">
        <f t="shared" si="24"/>
        <v>CODE 6835</v>
      </c>
      <c r="N210" s="404" t="s">
        <v>2246</v>
      </c>
      <c r="O210" s="401" t="s">
        <v>2247</v>
      </c>
      <c r="P210" s="407" t="s">
        <v>2248</v>
      </c>
      <c r="Q210" s="406" t="s">
        <v>1950</v>
      </c>
    </row>
    <row r="211" spans="13:17" ht="13" x14ac:dyDescent="0.3">
      <c r="M211" s="401" t="str">
        <f t="shared" si="24"/>
        <v>CODE 3510</v>
      </c>
      <c r="N211" s="404" t="s">
        <v>2249</v>
      </c>
      <c r="O211" s="401" t="s">
        <v>2250</v>
      </c>
      <c r="P211" s="401" t="s">
        <v>2251</v>
      </c>
      <c r="Q211" s="406" t="s">
        <v>274</v>
      </c>
    </row>
    <row r="212" spans="13:17" ht="13" x14ac:dyDescent="0.3">
      <c r="M212" s="401" t="str">
        <f t="shared" si="24"/>
        <v>CODE 2325</v>
      </c>
      <c r="N212" s="404" t="s">
        <v>2252</v>
      </c>
      <c r="O212" s="401" t="s">
        <v>2253</v>
      </c>
      <c r="P212" s="401" t="s">
        <v>2254</v>
      </c>
      <c r="Q212" s="406" t="s">
        <v>274</v>
      </c>
    </row>
    <row r="213" spans="13:17" ht="13" x14ac:dyDescent="0.3">
      <c r="M213" s="401" t="str">
        <f t="shared" si="24"/>
        <v>CODE 4505</v>
      </c>
      <c r="N213" s="404" t="s">
        <v>2255</v>
      </c>
      <c r="O213" s="401" t="s">
        <v>2256</v>
      </c>
      <c r="P213" s="401" t="s">
        <v>2257</v>
      </c>
      <c r="Q213" s="406" t="s">
        <v>274</v>
      </c>
    </row>
    <row r="214" spans="13:17" ht="13" x14ac:dyDescent="0.3">
      <c r="M214" s="401" t="str">
        <f t="shared" si="24"/>
        <v>CODE 3020</v>
      </c>
      <c r="N214" s="404" t="s">
        <v>2258</v>
      </c>
      <c r="O214" s="401" t="s">
        <v>2259</v>
      </c>
      <c r="P214" s="401" t="s">
        <v>2260</v>
      </c>
      <c r="Q214" s="406" t="s">
        <v>274</v>
      </c>
    </row>
    <row r="215" spans="13:17" ht="13" x14ac:dyDescent="0.3">
      <c r="M215" s="401" t="str">
        <f t="shared" si="24"/>
        <v>CODE 2230</v>
      </c>
      <c r="N215" s="404" t="s">
        <v>2261</v>
      </c>
      <c r="O215" s="401" t="s">
        <v>2262</v>
      </c>
      <c r="P215" s="401" t="s">
        <v>2263</v>
      </c>
      <c r="Q215" s="406" t="s">
        <v>274</v>
      </c>
    </row>
    <row r="216" spans="13:17" ht="13" x14ac:dyDescent="0.3">
      <c r="M216" s="401" t="str">
        <f t="shared" si="24"/>
        <v>CODE 2615</v>
      </c>
      <c r="N216" s="404" t="s">
        <v>2264</v>
      </c>
      <c r="O216" s="401" t="s">
        <v>2265</v>
      </c>
      <c r="P216" s="401" t="s">
        <v>2266</v>
      </c>
      <c r="Q216" s="406" t="s">
        <v>274</v>
      </c>
    </row>
    <row r="217" spans="13:17" ht="13" x14ac:dyDescent="0.3">
      <c r="M217" s="401" t="str">
        <f t="shared" si="24"/>
        <v>CODE 3615</v>
      </c>
      <c r="N217" s="404" t="s">
        <v>2267</v>
      </c>
      <c r="O217" s="401" t="s">
        <v>2268</v>
      </c>
      <c r="P217" s="401" t="s">
        <v>2269</v>
      </c>
      <c r="Q217" s="406" t="s">
        <v>274</v>
      </c>
    </row>
    <row r="218" spans="13:17" ht="13" x14ac:dyDescent="0.3">
      <c r="M218" s="401" t="str">
        <f t="shared" si="24"/>
        <v>CODE 2710</v>
      </c>
      <c r="N218" s="404" t="s">
        <v>2270</v>
      </c>
      <c r="O218" s="401" t="s">
        <v>2271</v>
      </c>
      <c r="P218" s="401" t="s">
        <v>2272</v>
      </c>
      <c r="Q218" s="406" t="s">
        <v>274</v>
      </c>
    </row>
    <row r="219" spans="13:17" ht="13" x14ac:dyDescent="0.3">
      <c r="M219" s="401" t="str">
        <f t="shared" si="24"/>
        <v>CODE 2415</v>
      </c>
      <c r="N219" s="404" t="s">
        <v>2273</v>
      </c>
      <c r="O219" s="401" t="s">
        <v>2274</v>
      </c>
      <c r="P219" s="401" t="s">
        <v>2275</v>
      </c>
      <c r="Q219" s="406" t="s">
        <v>274</v>
      </c>
    </row>
    <row r="220" spans="13:17" ht="13" x14ac:dyDescent="0.3">
      <c r="M220" s="401" t="str">
        <f t="shared" si="24"/>
        <v>CODE 2715</v>
      </c>
      <c r="N220" s="404" t="s">
        <v>2276</v>
      </c>
      <c r="O220" s="401" t="s">
        <v>2277</v>
      </c>
      <c r="P220" s="401" t="s">
        <v>2278</v>
      </c>
      <c r="Q220" s="406" t="s">
        <v>274</v>
      </c>
    </row>
    <row r="221" spans="13:17" ht="13" x14ac:dyDescent="0.3">
      <c r="M221" s="401" t="str">
        <f t="shared" si="24"/>
        <v>CODE 1850</v>
      </c>
      <c r="N221" s="404" t="s">
        <v>2279</v>
      </c>
      <c r="O221" s="401" t="s">
        <v>2280</v>
      </c>
      <c r="P221" s="401" t="s">
        <v>2281</v>
      </c>
      <c r="Q221" s="406" t="s">
        <v>274</v>
      </c>
    </row>
    <row r="222" spans="13:17" ht="13" x14ac:dyDescent="0.3">
      <c r="M222" s="401" t="str">
        <f t="shared" si="24"/>
        <v>CODE 1920</v>
      </c>
      <c r="N222" s="404" t="s">
        <v>2282</v>
      </c>
      <c r="O222" s="401" t="s">
        <v>2283</v>
      </c>
      <c r="P222" s="401" t="s">
        <v>2284</v>
      </c>
      <c r="Q222" s="406" t="s">
        <v>274</v>
      </c>
    </row>
    <row r="223" spans="13:17" ht="13" x14ac:dyDescent="0.3">
      <c r="M223" s="401" t="str">
        <f t="shared" si="24"/>
        <v>CODE 2420</v>
      </c>
      <c r="N223" s="404" t="s">
        <v>2285</v>
      </c>
      <c r="O223" s="401" t="s">
        <v>2286</v>
      </c>
      <c r="P223" s="401" t="s">
        <v>2287</v>
      </c>
      <c r="Q223" s="406" t="s">
        <v>274</v>
      </c>
    </row>
    <row r="224" spans="13:17" ht="13" x14ac:dyDescent="0.3">
      <c r="M224" s="401" t="str">
        <f t="shared" si="24"/>
        <v>CODE 3825</v>
      </c>
      <c r="N224" s="404" t="s">
        <v>2288</v>
      </c>
      <c r="O224" s="401" t="s">
        <v>2289</v>
      </c>
      <c r="P224" s="401" t="s">
        <v>2290</v>
      </c>
      <c r="Q224" s="406" t="s">
        <v>274</v>
      </c>
    </row>
    <row r="225" spans="13:17" ht="13" x14ac:dyDescent="0.3">
      <c r="M225" s="401" t="str">
        <f t="shared" si="24"/>
        <v>CODE 2330</v>
      </c>
      <c r="N225" s="404" t="s">
        <v>2291</v>
      </c>
      <c r="O225" s="401" t="s">
        <v>2292</v>
      </c>
      <c r="P225" s="401" t="s">
        <v>2293</v>
      </c>
      <c r="Q225" s="406" t="s">
        <v>274</v>
      </c>
    </row>
    <row r="226" spans="13:17" ht="13" x14ac:dyDescent="0.3">
      <c r="M226" s="401" t="str">
        <f t="shared" si="24"/>
        <v>CODE 3515</v>
      </c>
      <c r="N226" s="404" t="s">
        <v>2294</v>
      </c>
      <c r="O226" s="401" t="s">
        <v>2295</v>
      </c>
      <c r="P226" s="401" t="s">
        <v>2296</v>
      </c>
      <c r="Q226" s="406" t="s">
        <v>274</v>
      </c>
    </row>
    <row r="227" spans="13:17" ht="13" x14ac:dyDescent="0.3">
      <c r="M227" s="401" t="str">
        <f t="shared" si="24"/>
        <v>CODE 2100</v>
      </c>
      <c r="N227" s="404" t="s">
        <v>2297</v>
      </c>
      <c r="O227" s="401" t="s">
        <v>2298</v>
      </c>
      <c r="P227" s="401" t="s">
        <v>2299</v>
      </c>
      <c r="Q227" s="406" t="s">
        <v>274</v>
      </c>
    </row>
    <row r="228" spans="13:17" ht="13" x14ac:dyDescent="0.3">
      <c r="M228" s="401" t="str">
        <f t="shared" si="24"/>
        <v>CODE 2820</v>
      </c>
      <c r="N228" s="404" t="s">
        <v>2300</v>
      </c>
      <c r="O228" s="401" t="s">
        <v>2301</v>
      </c>
      <c r="P228" s="401" t="s">
        <v>2302</v>
      </c>
      <c r="Q228" s="406" t="s">
        <v>274</v>
      </c>
    </row>
    <row r="229" spans="13:17" ht="13" x14ac:dyDescent="0.3">
      <c r="M229" s="401" t="str">
        <f t="shared" si="24"/>
        <v>CODE 2635</v>
      </c>
      <c r="N229" s="404" t="s">
        <v>2303</v>
      </c>
      <c r="O229" s="401" t="s">
        <v>2304</v>
      </c>
      <c r="P229" s="407" t="s">
        <v>2304</v>
      </c>
      <c r="Q229" s="406" t="s">
        <v>274</v>
      </c>
    </row>
    <row r="230" spans="13:17" ht="13" x14ac:dyDescent="0.3">
      <c r="M230" s="401" t="str">
        <f t="shared" si="24"/>
        <v>CODE 2004</v>
      </c>
      <c r="N230" s="404" t="s">
        <v>2305</v>
      </c>
      <c r="O230" s="401" t="s">
        <v>2306</v>
      </c>
      <c r="P230" s="407" t="s">
        <v>2307</v>
      </c>
      <c r="Q230" s="406" t="s">
        <v>274</v>
      </c>
    </row>
    <row r="231" spans="13:17" ht="13" x14ac:dyDescent="0.3">
      <c r="M231" s="401" t="str">
        <f t="shared" si="24"/>
        <v>CODE 4715</v>
      </c>
      <c r="N231" s="404" t="s">
        <v>2330</v>
      </c>
      <c r="O231" s="401" t="s">
        <v>2331</v>
      </c>
      <c r="P231" s="401" t="s">
        <v>2332</v>
      </c>
      <c r="Q231" s="406" t="s">
        <v>274</v>
      </c>
    </row>
    <row r="232" spans="13:17" ht="13" x14ac:dyDescent="0.3">
      <c r="M232" s="401" t="str">
        <f t="shared" si="24"/>
        <v>CODE 4305</v>
      </c>
      <c r="N232" s="404" t="s">
        <v>2333</v>
      </c>
      <c r="O232" s="401" t="s">
        <v>2334</v>
      </c>
      <c r="P232" s="401" t="s">
        <v>2335</v>
      </c>
      <c r="Q232" s="406" t="s">
        <v>274</v>
      </c>
    </row>
    <row r="233" spans="13:17" ht="13" x14ac:dyDescent="0.3">
      <c r="M233" s="401" t="str">
        <f t="shared" si="24"/>
        <v>CODE 5660</v>
      </c>
      <c r="N233" s="404" t="s">
        <v>2336</v>
      </c>
      <c r="O233" s="401" t="s">
        <v>2337</v>
      </c>
      <c r="P233" s="401" t="s">
        <v>2337</v>
      </c>
      <c r="Q233" s="406" t="s">
        <v>293</v>
      </c>
    </row>
    <row r="234" spans="13:17" ht="13" x14ac:dyDescent="0.3">
      <c r="M234" s="401" t="str">
        <f t="shared" si="24"/>
        <v>CODE 2335</v>
      </c>
      <c r="N234" s="404" t="s">
        <v>2338</v>
      </c>
      <c r="O234" s="401" t="s">
        <v>2339</v>
      </c>
      <c r="P234" s="407" t="s">
        <v>2340</v>
      </c>
      <c r="Q234" s="406" t="s">
        <v>274</v>
      </c>
    </row>
    <row r="235" spans="13:17" ht="13" x14ac:dyDescent="0.3">
      <c r="M235" s="401" t="str">
        <f t="shared" si="24"/>
        <v>CODE 4720</v>
      </c>
      <c r="N235" s="404" t="s">
        <v>2341</v>
      </c>
      <c r="O235" s="401" t="s">
        <v>2342</v>
      </c>
      <c r="P235" s="401" t="s">
        <v>2343</v>
      </c>
      <c r="Q235" s="406" t="s">
        <v>274</v>
      </c>
    </row>
    <row r="236" spans="13:17" ht="13" x14ac:dyDescent="0.3">
      <c r="M236" s="401" t="str">
        <f t="shared" si="24"/>
        <v>CODE 2465</v>
      </c>
      <c r="N236" s="404" t="s">
        <v>2344</v>
      </c>
      <c r="O236" s="401" t="s">
        <v>2345</v>
      </c>
      <c r="P236" s="401" t="s">
        <v>2346</v>
      </c>
      <c r="Q236" s="406" t="s">
        <v>274</v>
      </c>
    </row>
    <row r="237" spans="13:17" ht="13" x14ac:dyDescent="0.3">
      <c r="M237" s="401" t="str">
        <f t="shared" si="24"/>
        <v>CODE 3415</v>
      </c>
      <c r="N237" s="404" t="s">
        <v>2347</v>
      </c>
      <c r="O237" s="401" t="s">
        <v>2348</v>
      </c>
      <c r="P237" s="401" t="s">
        <v>2349</v>
      </c>
      <c r="Q237" s="406" t="s">
        <v>274</v>
      </c>
    </row>
    <row r="238" spans="13:17" ht="13" x14ac:dyDescent="0.3">
      <c r="M238" s="401" t="str">
        <f t="shared" si="24"/>
        <v>CODE 2515</v>
      </c>
      <c r="N238" s="404" t="s">
        <v>2350</v>
      </c>
      <c r="O238" s="401" t="s">
        <v>2351</v>
      </c>
      <c r="P238" s="401" t="s">
        <v>2352</v>
      </c>
      <c r="Q238" s="406" t="s">
        <v>274</v>
      </c>
    </row>
    <row r="239" spans="13:17" ht="13" x14ac:dyDescent="0.3">
      <c r="M239" s="401" t="str">
        <f t="shared" si="24"/>
        <v>CODE 4310</v>
      </c>
      <c r="N239" s="404" t="s">
        <v>2353</v>
      </c>
      <c r="O239" s="401" t="s">
        <v>2354</v>
      </c>
      <c r="P239" s="401" t="s">
        <v>2355</v>
      </c>
      <c r="Q239" s="406" t="s">
        <v>274</v>
      </c>
    </row>
    <row r="240" spans="13:17" ht="13" x14ac:dyDescent="0.3">
      <c r="M240" s="401" t="str">
        <f t="shared" si="24"/>
        <v>CODE 2235</v>
      </c>
      <c r="N240" s="404" t="s">
        <v>2356</v>
      </c>
      <c r="O240" s="401" t="s">
        <v>2357</v>
      </c>
      <c r="P240" s="401" t="s">
        <v>2358</v>
      </c>
      <c r="Q240" s="406" t="s">
        <v>274</v>
      </c>
    </row>
    <row r="241" spans="13:17" ht="13" x14ac:dyDescent="0.3">
      <c r="M241" s="401" t="str">
        <f t="shared" si="24"/>
        <v>CODE 1860</v>
      </c>
      <c r="N241" s="404" t="s">
        <v>2430</v>
      </c>
      <c r="O241" s="401" t="s">
        <v>2431</v>
      </c>
      <c r="P241" s="401" t="s">
        <v>2432</v>
      </c>
      <c r="Q241" s="406" t="s">
        <v>274</v>
      </c>
    </row>
    <row r="242" spans="13:17" ht="13" x14ac:dyDescent="0.3">
      <c r="M242" s="401" t="str">
        <f t="shared" si="24"/>
        <v>CODE 4215</v>
      </c>
      <c r="N242" s="404" t="s">
        <v>2433</v>
      </c>
      <c r="O242" s="401" t="s">
        <v>2434</v>
      </c>
      <c r="P242" s="407" t="s">
        <v>2435</v>
      </c>
      <c r="Q242" s="406" t="s">
        <v>274</v>
      </c>
    </row>
    <row r="243" spans="13:17" ht="13" x14ac:dyDescent="0.3">
      <c r="M243" s="401" t="str">
        <f t="shared" si="24"/>
        <v>CODE 3025</v>
      </c>
      <c r="N243" s="404" t="s">
        <v>2436</v>
      </c>
      <c r="O243" s="401" t="s">
        <v>2437</v>
      </c>
      <c r="P243" s="401" t="s">
        <v>2438</v>
      </c>
      <c r="Q243" s="406" t="s">
        <v>274</v>
      </c>
    </row>
    <row r="244" spans="13:17" ht="13" x14ac:dyDescent="0.3">
      <c r="M244" s="401" t="str">
        <f t="shared" si="24"/>
        <v>CODE 2280</v>
      </c>
      <c r="N244" s="404" t="s">
        <v>2439</v>
      </c>
      <c r="O244" s="401" t="s">
        <v>2440</v>
      </c>
      <c r="P244" s="401" t="s">
        <v>2441</v>
      </c>
      <c r="Q244" s="406" t="s">
        <v>274</v>
      </c>
    </row>
    <row r="245" spans="13:17" ht="13" x14ac:dyDescent="0.3">
      <c r="M245" s="401" t="str">
        <f t="shared" si="24"/>
        <v>CODE 2430</v>
      </c>
      <c r="N245" s="404" t="s">
        <v>2442</v>
      </c>
      <c r="O245" s="401" t="s">
        <v>2443</v>
      </c>
      <c r="P245" s="401" t="s">
        <v>2444</v>
      </c>
      <c r="Q245" s="406" t="s">
        <v>274</v>
      </c>
    </row>
    <row r="246" spans="13:17" ht="13" x14ac:dyDescent="0.3">
      <c r="M246" s="401" t="str">
        <f t="shared" si="24"/>
        <v>CODE 3305</v>
      </c>
      <c r="N246" s="404" t="s">
        <v>2445</v>
      </c>
      <c r="O246" s="401" t="s">
        <v>2446</v>
      </c>
      <c r="P246" s="401" t="s">
        <v>2447</v>
      </c>
      <c r="Q246" s="406" t="s">
        <v>274</v>
      </c>
    </row>
    <row r="247" spans="13:17" ht="13" x14ac:dyDescent="0.3">
      <c r="M247" s="401" t="str">
        <f t="shared" si="24"/>
        <v>CODE 6925</v>
      </c>
      <c r="N247" s="404" t="s">
        <v>2448</v>
      </c>
      <c r="O247" s="401" t="s">
        <v>2449</v>
      </c>
      <c r="P247" s="401" t="s">
        <v>2450</v>
      </c>
      <c r="Q247" s="406" t="s">
        <v>1950</v>
      </c>
    </row>
    <row r="248" spans="13:17" ht="13" x14ac:dyDescent="0.3">
      <c r="M248" s="401" t="str">
        <f t="shared" si="24"/>
        <v>CODE 3520</v>
      </c>
      <c r="N248" s="404" t="s">
        <v>2451</v>
      </c>
      <c r="O248" s="401" t="s">
        <v>2452</v>
      </c>
      <c r="P248" s="401" t="s">
        <v>2453</v>
      </c>
      <c r="Q248" s="406" t="s">
        <v>274</v>
      </c>
    </row>
    <row r="249" spans="13:17" ht="13" x14ac:dyDescent="0.3">
      <c r="M249" s="401" t="str">
        <f t="shared" si="24"/>
        <v>CODE 3830</v>
      </c>
      <c r="N249" s="404" t="s">
        <v>2454</v>
      </c>
      <c r="O249" s="401" t="s">
        <v>2455</v>
      </c>
      <c r="P249" s="401" t="s">
        <v>2456</v>
      </c>
      <c r="Q249" s="406" t="s">
        <v>274</v>
      </c>
    </row>
    <row r="250" spans="13:17" ht="13" x14ac:dyDescent="0.3">
      <c r="M250" s="401" t="str">
        <f t="shared" si="24"/>
        <v>CODE 3620</v>
      </c>
      <c r="N250" s="404" t="s">
        <v>2457</v>
      </c>
      <c r="O250" s="401" t="s">
        <v>2458</v>
      </c>
      <c r="P250" s="401" t="s">
        <v>2459</v>
      </c>
      <c r="Q250" s="406" t="s">
        <v>274</v>
      </c>
    </row>
    <row r="251" spans="13:17" ht="13" x14ac:dyDescent="0.3">
      <c r="M251" s="401" t="str">
        <f t="shared" si="24"/>
        <v>CODE 6840</v>
      </c>
      <c r="N251" s="404" t="s">
        <v>2460</v>
      </c>
      <c r="O251" s="401" t="s">
        <v>2461</v>
      </c>
      <c r="P251" s="407" t="s">
        <v>2462</v>
      </c>
      <c r="Q251" s="406" t="s">
        <v>1950</v>
      </c>
    </row>
    <row r="252" spans="13:17" ht="13" x14ac:dyDescent="0.3">
      <c r="M252" s="401" t="str">
        <f t="shared" si="24"/>
        <v>CODE 3030</v>
      </c>
      <c r="N252" s="404" t="s">
        <v>2463</v>
      </c>
      <c r="O252" s="401" t="s">
        <v>2464</v>
      </c>
      <c r="P252" s="407" t="s">
        <v>2465</v>
      </c>
      <c r="Q252" s="406" t="s">
        <v>274</v>
      </c>
    </row>
    <row r="253" spans="13:17" ht="13" x14ac:dyDescent="0.3">
      <c r="M253" s="401" t="str">
        <f t="shared" si="24"/>
        <v>CODE 4510</v>
      </c>
      <c r="N253" s="404" t="s">
        <v>2466</v>
      </c>
      <c r="O253" s="401" t="s">
        <v>2467</v>
      </c>
      <c r="P253" s="407" t="s">
        <v>2468</v>
      </c>
      <c r="Q253" s="406" t="s">
        <v>274</v>
      </c>
    </row>
    <row r="254" spans="13:17" ht="13" x14ac:dyDescent="0.3">
      <c r="M254" s="401" t="str">
        <f t="shared" si="24"/>
        <v>CODE 3420</v>
      </c>
      <c r="N254" s="404" t="s">
        <v>2469</v>
      </c>
      <c r="O254" s="401" t="s">
        <v>2470</v>
      </c>
      <c r="P254" s="407" t="s">
        <v>2471</v>
      </c>
      <c r="Q254" s="406" t="s">
        <v>274</v>
      </c>
    </row>
    <row r="255" spans="13:17" ht="13" x14ac:dyDescent="0.3">
      <c r="M255" s="401" t="str">
        <f t="shared" si="24"/>
        <v>CODE 2002</v>
      </c>
      <c r="N255" s="404" t="s">
        <v>2472</v>
      </c>
      <c r="O255" s="401" t="s">
        <v>2473</v>
      </c>
      <c r="P255" s="401" t="s">
        <v>2474</v>
      </c>
      <c r="Q255" s="406" t="s">
        <v>274</v>
      </c>
    </row>
    <row r="256" spans="13:17" ht="13" x14ac:dyDescent="0.3">
      <c r="M256" s="401" t="str">
        <f t="shared" si="24"/>
        <v>CODE 1925</v>
      </c>
      <c r="N256" s="404" t="s">
        <v>2475</v>
      </c>
      <c r="O256" s="401" t="s">
        <v>2476</v>
      </c>
      <c r="P256" s="401" t="s">
        <v>2477</v>
      </c>
      <c r="Q256" s="406" t="s">
        <v>274</v>
      </c>
    </row>
    <row r="257" spans="13:17" ht="13" x14ac:dyDescent="0.3">
      <c r="M257" s="401" t="str">
        <f t="shared" si="24"/>
        <v>CODE 2520</v>
      </c>
      <c r="N257" s="404" t="s">
        <v>2478</v>
      </c>
      <c r="O257" s="401" t="s">
        <v>2479</v>
      </c>
      <c r="P257" s="401" t="s">
        <v>2480</v>
      </c>
      <c r="Q257" s="406" t="s">
        <v>274</v>
      </c>
    </row>
    <row r="258" spans="13:17" ht="13" x14ac:dyDescent="0.3">
      <c r="M258" s="401" t="str">
        <f t="shared" si="24"/>
        <v>CODE 2003</v>
      </c>
      <c r="N258" s="404" t="s">
        <v>2481</v>
      </c>
      <c r="O258" s="401" t="s">
        <v>2482</v>
      </c>
      <c r="P258" s="401" t="s">
        <v>2483</v>
      </c>
      <c r="Q258" s="406" t="s">
        <v>274</v>
      </c>
    </row>
    <row r="259" spans="13:17" ht="13" x14ac:dyDescent="0.3">
      <c r="M259" s="401" t="str">
        <f t="shared" si="24"/>
        <v>CODE 2620</v>
      </c>
      <c r="N259" s="404" t="s">
        <v>2484</v>
      </c>
      <c r="O259" s="401" t="s">
        <v>2485</v>
      </c>
      <c r="P259" s="401" t="s">
        <v>2486</v>
      </c>
      <c r="Q259" s="406" t="s">
        <v>274</v>
      </c>
    </row>
    <row r="260" spans="13:17" ht="13" x14ac:dyDescent="0.3">
      <c r="M260" s="401" t="str">
        <f t="shared" si="24"/>
        <v>CODE 4515</v>
      </c>
      <c r="N260" s="404" t="s">
        <v>2487</v>
      </c>
      <c r="O260" s="401" t="s">
        <v>2488</v>
      </c>
      <c r="P260" s="401" t="s">
        <v>2488</v>
      </c>
      <c r="Q260" s="406" t="s">
        <v>274</v>
      </c>
    </row>
    <row r="261" spans="13:17" ht="13" x14ac:dyDescent="0.3">
      <c r="M261" s="401" t="str">
        <f t="shared" si="24"/>
        <v>CODE 3705</v>
      </c>
      <c r="N261" s="404" t="s">
        <v>2489</v>
      </c>
      <c r="O261" s="401" t="s">
        <v>2490</v>
      </c>
      <c r="P261" s="401" t="s">
        <v>2491</v>
      </c>
      <c r="Q261" s="406" t="s">
        <v>274</v>
      </c>
    </row>
    <row r="262" spans="13:17" ht="13" x14ac:dyDescent="0.3">
      <c r="M262" s="401" t="str">
        <f t="shared" si="24"/>
        <v>CODE 2435</v>
      </c>
      <c r="N262" s="404" t="s">
        <v>2492</v>
      </c>
      <c r="O262" s="401" t="s">
        <v>2493</v>
      </c>
      <c r="P262" s="401" t="s">
        <v>2494</v>
      </c>
      <c r="Q262" s="406" t="s">
        <v>274</v>
      </c>
    </row>
    <row r="263" spans="13:17" ht="13" x14ac:dyDescent="0.3">
      <c r="M263" s="401" t="str">
        <f t="shared" ref="M263:M326" si="25">"CODE "&amp;N263</f>
        <v>CODE 2825</v>
      </c>
      <c r="N263" s="404" t="s">
        <v>2495</v>
      </c>
      <c r="O263" s="401" t="s">
        <v>2496</v>
      </c>
      <c r="P263" s="401" t="s">
        <v>2497</v>
      </c>
      <c r="Q263" s="406" t="s">
        <v>274</v>
      </c>
    </row>
    <row r="264" spans="13:17" ht="13" x14ac:dyDescent="0.3">
      <c r="M264" s="401" t="str">
        <f t="shared" si="25"/>
        <v>CODE 2935</v>
      </c>
      <c r="N264" s="404" t="s">
        <v>2498</v>
      </c>
      <c r="O264" s="401" t="s">
        <v>2499</v>
      </c>
      <c r="P264" s="407" t="s">
        <v>2502</v>
      </c>
      <c r="Q264" s="406" t="s">
        <v>274</v>
      </c>
    </row>
    <row r="265" spans="13:17" ht="13" x14ac:dyDescent="0.3">
      <c r="M265" s="401" t="str">
        <f t="shared" si="25"/>
        <v>CODE 2625</v>
      </c>
      <c r="N265" s="404" t="s">
        <v>2503</v>
      </c>
      <c r="O265" s="401" t="s">
        <v>2504</v>
      </c>
      <c r="P265" s="407" t="s">
        <v>2505</v>
      </c>
      <c r="Q265" s="406" t="s">
        <v>274</v>
      </c>
    </row>
    <row r="266" spans="13:17" ht="13" x14ac:dyDescent="0.3">
      <c r="M266" s="401" t="str">
        <f t="shared" si="25"/>
        <v>CODE 3710</v>
      </c>
      <c r="N266" s="404" t="s">
        <v>2506</v>
      </c>
      <c r="O266" s="401" t="s">
        <v>2507</v>
      </c>
      <c r="P266" s="401" t="s">
        <v>2508</v>
      </c>
      <c r="Q266" s="406" t="s">
        <v>274</v>
      </c>
    </row>
    <row r="267" spans="13:17" ht="13" x14ac:dyDescent="0.3">
      <c r="M267" s="401" t="str">
        <f t="shared" si="25"/>
        <v>CODE 2440</v>
      </c>
      <c r="N267" s="404" t="s">
        <v>2509</v>
      </c>
      <c r="O267" s="401" t="s">
        <v>2510</v>
      </c>
      <c r="P267" s="401" t="s">
        <v>2511</v>
      </c>
      <c r="Q267" s="406" t="s">
        <v>274</v>
      </c>
    </row>
    <row r="268" spans="13:17" ht="13" x14ac:dyDescent="0.3">
      <c r="M268" s="401" t="str">
        <f t="shared" si="25"/>
        <v>CODE 4220</v>
      </c>
      <c r="N268" s="404" t="s">
        <v>2512</v>
      </c>
      <c r="O268" s="401" t="s">
        <v>2513</v>
      </c>
      <c r="P268" s="401" t="s">
        <v>2514</v>
      </c>
      <c r="Q268" s="406" t="s">
        <v>274</v>
      </c>
    </row>
    <row r="269" spans="13:17" ht="13" x14ac:dyDescent="0.3">
      <c r="M269" s="401" t="str">
        <f t="shared" si="25"/>
        <v>CODE 3110</v>
      </c>
      <c r="N269" s="404" t="s">
        <v>2515</v>
      </c>
      <c r="O269" s="401" t="s">
        <v>2516</v>
      </c>
      <c r="P269" s="407" t="s">
        <v>2517</v>
      </c>
      <c r="Q269" s="406" t="s">
        <v>274</v>
      </c>
    </row>
    <row r="270" spans="13:17" ht="13" x14ac:dyDescent="0.3">
      <c r="M270" s="401" t="str">
        <f t="shared" si="25"/>
        <v>CODE 6845</v>
      </c>
      <c r="N270" s="404" t="s">
        <v>2518</v>
      </c>
      <c r="O270" s="401" t="s">
        <v>2519</v>
      </c>
      <c r="P270" s="407" t="s">
        <v>2520</v>
      </c>
      <c r="Q270" s="406" t="s">
        <v>1950</v>
      </c>
    </row>
    <row r="271" spans="13:17" ht="13" x14ac:dyDescent="0.3">
      <c r="M271" s="401" t="str">
        <f t="shared" si="25"/>
        <v>CODE 2340</v>
      </c>
      <c r="N271" s="404" t="s">
        <v>2521</v>
      </c>
      <c r="O271" s="401" t="s">
        <v>2522</v>
      </c>
      <c r="P271" s="401" t="s">
        <v>2523</v>
      </c>
      <c r="Q271" s="406" t="s">
        <v>274</v>
      </c>
    </row>
    <row r="272" spans="13:17" ht="13" x14ac:dyDescent="0.3">
      <c r="M272" s="401" t="str">
        <f t="shared" si="25"/>
        <v>CODE 2345</v>
      </c>
      <c r="N272" s="404" t="s">
        <v>2524</v>
      </c>
      <c r="O272" s="401" t="s">
        <v>2525</v>
      </c>
      <c r="P272" s="401" t="s">
        <v>2526</v>
      </c>
      <c r="Q272" s="406" t="s">
        <v>274</v>
      </c>
    </row>
    <row r="273" spans="13:17" ht="13" x14ac:dyDescent="0.3">
      <c r="M273" s="401" t="str">
        <f t="shared" si="25"/>
        <v>CODE 3625</v>
      </c>
      <c r="N273" s="404" t="s">
        <v>2527</v>
      </c>
      <c r="O273" s="401" t="s">
        <v>2528</v>
      </c>
      <c r="P273" s="401" t="s">
        <v>2529</v>
      </c>
      <c r="Q273" s="406" t="s">
        <v>274</v>
      </c>
    </row>
    <row r="274" spans="13:17" ht="13" x14ac:dyDescent="0.3">
      <c r="M274" s="401" t="str">
        <f t="shared" si="25"/>
        <v>CODE 2350</v>
      </c>
      <c r="N274" s="404" t="s">
        <v>2530</v>
      </c>
      <c r="O274" s="401" t="s">
        <v>2531</v>
      </c>
      <c r="P274" s="401" t="s">
        <v>2532</v>
      </c>
      <c r="Q274" s="406" t="s">
        <v>274</v>
      </c>
    </row>
    <row r="275" spans="13:17" ht="13" x14ac:dyDescent="0.3">
      <c r="M275" s="401" t="str">
        <f t="shared" si="25"/>
        <v>CODE 2720</v>
      </c>
      <c r="N275" s="404" t="s">
        <v>2533</v>
      </c>
      <c r="O275" s="401" t="s">
        <v>2534</v>
      </c>
      <c r="P275" s="401" t="s">
        <v>2535</v>
      </c>
      <c r="Q275" s="406" t="s">
        <v>274</v>
      </c>
    </row>
    <row r="276" spans="13:17" ht="13" x14ac:dyDescent="0.3">
      <c r="M276" s="401" t="str">
        <f t="shared" si="25"/>
        <v>CODE 4225</v>
      </c>
      <c r="N276" s="404" t="s">
        <v>2536</v>
      </c>
      <c r="O276" s="401" t="s">
        <v>2537</v>
      </c>
      <c r="P276" s="401" t="s">
        <v>2538</v>
      </c>
      <c r="Q276" s="406" t="s">
        <v>274</v>
      </c>
    </row>
    <row r="277" spans="13:17" ht="13" x14ac:dyDescent="0.3">
      <c r="M277" s="401" t="str">
        <f t="shared" si="25"/>
        <v>CODE 2355</v>
      </c>
      <c r="N277" s="404" t="s">
        <v>2539</v>
      </c>
      <c r="O277" s="401" t="s">
        <v>2541</v>
      </c>
      <c r="P277" s="401" t="s">
        <v>2543</v>
      </c>
      <c r="Q277" s="406" t="s">
        <v>274</v>
      </c>
    </row>
    <row r="278" spans="13:17" ht="13" x14ac:dyDescent="0.3">
      <c r="M278" s="401" t="str">
        <f t="shared" si="25"/>
        <v>CODE 4415</v>
      </c>
      <c r="N278" s="404" t="s">
        <v>2544</v>
      </c>
      <c r="O278" s="401" t="s">
        <v>2545</v>
      </c>
      <c r="P278" s="407" t="s">
        <v>2546</v>
      </c>
      <c r="Q278" s="406" t="s">
        <v>274</v>
      </c>
    </row>
    <row r="279" spans="13:17" ht="13" x14ac:dyDescent="0.3">
      <c r="M279" s="401" t="str">
        <f t="shared" si="25"/>
        <v>CODE 5630</v>
      </c>
      <c r="N279" s="404" t="s">
        <v>2547</v>
      </c>
      <c r="O279" s="401" t="s">
        <v>2548</v>
      </c>
      <c r="P279" s="407" t="s">
        <v>2549</v>
      </c>
      <c r="Q279" s="406" t="s">
        <v>293</v>
      </c>
    </row>
    <row r="280" spans="13:17" ht="13" x14ac:dyDescent="0.3">
      <c r="M280" s="401" t="str">
        <f t="shared" si="25"/>
        <v>CODE 3715</v>
      </c>
      <c r="N280" s="404" t="s">
        <v>2550</v>
      </c>
      <c r="O280" s="401" t="s">
        <v>2551</v>
      </c>
      <c r="P280" s="401" t="s">
        <v>2552</v>
      </c>
      <c r="Q280" s="406" t="s">
        <v>274</v>
      </c>
    </row>
    <row r="281" spans="13:17" ht="13" x14ac:dyDescent="0.3">
      <c r="M281" s="401" t="str">
        <f t="shared" si="25"/>
        <v>CODE 3630</v>
      </c>
      <c r="N281" s="404" t="s">
        <v>2553</v>
      </c>
      <c r="O281" s="401" t="s">
        <v>2554</v>
      </c>
      <c r="P281" s="401" t="s">
        <v>2555</v>
      </c>
      <c r="Q281" s="406" t="s">
        <v>274</v>
      </c>
    </row>
    <row r="282" spans="13:17" ht="13" x14ac:dyDescent="0.3">
      <c r="M282" s="401" t="str">
        <f t="shared" si="25"/>
        <v>CODE 3040</v>
      </c>
      <c r="N282" s="404" t="s">
        <v>2556</v>
      </c>
      <c r="O282" s="401" t="s">
        <v>2557</v>
      </c>
      <c r="P282" s="401" t="s">
        <v>2558</v>
      </c>
      <c r="Q282" s="406" t="s">
        <v>274</v>
      </c>
    </row>
    <row r="283" spans="13:17" ht="13" x14ac:dyDescent="0.3">
      <c r="M283" s="401" t="str">
        <f t="shared" si="25"/>
        <v>CODE 2470</v>
      </c>
      <c r="N283" s="404" t="s">
        <v>2559</v>
      </c>
      <c r="O283" s="401" t="s">
        <v>2560</v>
      </c>
      <c r="P283" s="407" t="s">
        <v>2561</v>
      </c>
      <c r="Q283" s="406" t="s">
        <v>274</v>
      </c>
    </row>
    <row r="284" spans="13:17" ht="13" x14ac:dyDescent="0.3">
      <c r="M284" s="401" t="str">
        <f t="shared" si="25"/>
        <v>CODE 2725</v>
      </c>
      <c r="N284" s="404" t="s">
        <v>2562</v>
      </c>
      <c r="O284" s="401" t="s">
        <v>2563</v>
      </c>
      <c r="P284" s="401" t="s">
        <v>2564</v>
      </c>
      <c r="Q284" s="406" t="s">
        <v>274</v>
      </c>
    </row>
    <row r="285" spans="13:17" ht="13" x14ac:dyDescent="0.3">
      <c r="M285" s="401" t="str">
        <f t="shared" si="25"/>
        <v>CODE 4230</v>
      </c>
      <c r="N285" s="404" t="s">
        <v>2565</v>
      </c>
      <c r="O285" s="401" t="s">
        <v>2566</v>
      </c>
      <c r="P285" s="401" t="s">
        <v>2566</v>
      </c>
      <c r="Q285" s="406" t="s">
        <v>274</v>
      </c>
    </row>
    <row r="286" spans="13:17" ht="13" x14ac:dyDescent="0.3">
      <c r="M286" s="401" t="str">
        <f t="shared" si="25"/>
        <v>CODE 4620</v>
      </c>
      <c r="N286" s="404" t="s">
        <v>2567</v>
      </c>
      <c r="O286" s="401" t="s">
        <v>2568</v>
      </c>
      <c r="P286" s="401" t="s">
        <v>2569</v>
      </c>
      <c r="Q286" s="406" t="s">
        <v>274</v>
      </c>
    </row>
    <row r="287" spans="13:17" ht="13" x14ac:dyDescent="0.3">
      <c r="M287" s="401" t="str">
        <f t="shared" si="25"/>
        <v>CODE 2730</v>
      </c>
      <c r="N287" s="404" t="s">
        <v>2570</v>
      </c>
      <c r="O287" s="401" t="s">
        <v>2571</v>
      </c>
      <c r="P287" s="401" t="s">
        <v>2572</v>
      </c>
      <c r="Q287" s="406" t="s">
        <v>274</v>
      </c>
    </row>
    <row r="288" spans="13:17" ht="13" x14ac:dyDescent="0.3">
      <c r="M288" s="401" t="str">
        <f t="shared" si="25"/>
        <v>CODE 3310</v>
      </c>
      <c r="N288" s="404" t="s">
        <v>2573</v>
      </c>
      <c r="O288" s="401" t="s">
        <v>2574</v>
      </c>
      <c r="P288" s="401" t="s">
        <v>2575</v>
      </c>
      <c r="Q288" s="406" t="s">
        <v>274</v>
      </c>
    </row>
    <row r="289" spans="13:17" ht="13" x14ac:dyDescent="0.3">
      <c r="M289" s="401" t="str">
        <f t="shared" si="25"/>
        <v>CODE 4320</v>
      </c>
      <c r="N289" s="404" t="s">
        <v>2576</v>
      </c>
      <c r="O289" s="401" t="s">
        <v>2577</v>
      </c>
      <c r="P289" s="401" t="s">
        <v>2577</v>
      </c>
      <c r="Q289" s="406" t="s">
        <v>274</v>
      </c>
    </row>
    <row r="290" spans="13:17" ht="13" x14ac:dyDescent="0.3">
      <c r="M290" s="401" t="str">
        <f t="shared" si="25"/>
        <v>CODE 2735</v>
      </c>
      <c r="N290" s="404" t="s">
        <v>2578</v>
      </c>
      <c r="O290" s="401" t="s">
        <v>2579</v>
      </c>
      <c r="P290" s="401" t="s">
        <v>2580</v>
      </c>
      <c r="Q290" s="406" t="s">
        <v>274</v>
      </c>
    </row>
    <row r="291" spans="13:17" ht="13" x14ac:dyDescent="0.3">
      <c r="M291" s="401" t="str">
        <f t="shared" si="25"/>
        <v>CODE 2245</v>
      </c>
      <c r="N291" s="404" t="s">
        <v>2581</v>
      </c>
      <c r="O291" s="401" t="s">
        <v>2582</v>
      </c>
      <c r="P291" s="401" t="s">
        <v>2583</v>
      </c>
      <c r="Q291" s="406" t="s">
        <v>274</v>
      </c>
    </row>
    <row r="292" spans="13:17" ht="13" x14ac:dyDescent="0.3">
      <c r="M292" s="401" t="str">
        <f t="shared" si="25"/>
        <v>CODE 4420</v>
      </c>
      <c r="N292" s="404" t="s">
        <v>2584</v>
      </c>
      <c r="O292" s="401" t="s">
        <v>2585</v>
      </c>
      <c r="P292" s="407" t="s">
        <v>2586</v>
      </c>
      <c r="Q292" s="406" t="s">
        <v>274</v>
      </c>
    </row>
    <row r="293" spans="13:17" ht="13" x14ac:dyDescent="0.3">
      <c r="M293" s="401" t="str">
        <f t="shared" si="25"/>
        <v>CODE 2250</v>
      </c>
      <c r="N293" s="404" t="s">
        <v>2587</v>
      </c>
      <c r="O293" s="401" t="s">
        <v>2588</v>
      </c>
      <c r="P293" s="401" t="s">
        <v>2589</v>
      </c>
      <c r="Q293" s="406" t="s">
        <v>274</v>
      </c>
    </row>
    <row r="294" spans="13:17" ht="13" x14ac:dyDescent="0.3">
      <c r="M294" s="401" t="str">
        <f t="shared" si="25"/>
        <v>CODE 3245</v>
      </c>
      <c r="N294" s="404" t="s">
        <v>2590</v>
      </c>
      <c r="O294" s="401" t="s">
        <v>2591</v>
      </c>
      <c r="P294" s="407" t="s">
        <v>2592</v>
      </c>
      <c r="Q294" s="406" t="s">
        <v>274</v>
      </c>
    </row>
    <row r="295" spans="13:17" ht="13" x14ac:dyDescent="0.3">
      <c r="M295" s="401" t="str">
        <f t="shared" si="25"/>
        <v>CODE 4625</v>
      </c>
      <c r="N295" s="404" t="s">
        <v>2593</v>
      </c>
      <c r="O295" s="401" t="s">
        <v>2594</v>
      </c>
      <c r="P295" s="407" t="s">
        <v>2595</v>
      </c>
      <c r="Q295" s="406" t="s">
        <v>274</v>
      </c>
    </row>
    <row r="296" spans="13:17" ht="13" x14ac:dyDescent="0.3">
      <c r="M296" s="401" t="str">
        <f t="shared" si="25"/>
        <v>CODE 2525</v>
      </c>
      <c r="N296" s="404" t="s">
        <v>2596</v>
      </c>
      <c r="O296" s="401" t="s">
        <v>2597</v>
      </c>
      <c r="P296" s="401" t="s">
        <v>2598</v>
      </c>
      <c r="Q296" s="406" t="s">
        <v>274</v>
      </c>
    </row>
    <row r="297" spans="13:17" ht="13" x14ac:dyDescent="0.3">
      <c r="M297" s="401" t="str">
        <f t="shared" si="25"/>
        <v>CODE 2530</v>
      </c>
      <c r="N297" s="404" t="s">
        <v>2599</v>
      </c>
      <c r="O297" s="401" t="s">
        <v>2600</v>
      </c>
      <c r="P297" s="401" t="s">
        <v>2601</v>
      </c>
      <c r="Q297" s="406" t="s">
        <v>274</v>
      </c>
    </row>
    <row r="298" spans="13:17" ht="13" x14ac:dyDescent="0.3">
      <c r="M298" s="401" t="str">
        <f t="shared" si="25"/>
        <v>CODE 2630</v>
      </c>
      <c r="N298" s="404" t="s">
        <v>2602</v>
      </c>
      <c r="O298" s="401" t="s">
        <v>2603</v>
      </c>
      <c r="P298" s="401" t="s">
        <v>2604</v>
      </c>
      <c r="Q298" s="406" t="s">
        <v>274</v>
      </c>
    </row>
    <row r="299" spans="13:17" ht="13" x14ac:dyDescent="0.3">
      <c r="M299" s="401" t="str">
        <f t="shared" si="25"/>
        <v>CODE 2830</v>
      </c>
      <c r="N299" s="404" t="s">
        <v>2605</v>
      </c>
      <c r="O299" s="401" t="s">
        <v>2606</v>
      </c>
      <c r="P299" s="401" t="s">
        <v>2607</v>
      </c>
      <c r="Q299" s="406" t="s">
        <v>274</v>
      </c>
    </row>
    <row r="300" spans="13:17" ht="13" x14ac:dyDescent="0.3">
      <c r="M300" s="401" t="str">
        <f t="shared" si="25"/>
        <v>CODE 3115</v>
      </c>
      <c r="N300" s="404" t="s">
        <v>2608</v>
      </c>
      <c r="O300" s="401" t="s">
        <v>2609</v>
      </c>
      <c r="P300" s="401" t="s">
        <v>2610</v>
      </c>
      <c r="Q300" s="406" t="s">
        <v>274</v>
      </c>
    </row>
    <row r="301" spans="13:17" ht="13" x14ac:dyDescent="0.3">
      <c r="M301" s="401" t="str">
        <f t="shared" si="25"/>
        <v>CODE 2360</v>
      </c>
      <c r="N301" s="404" t="s">
        <v>2611</v>
      </c>
      <c r="O301" s="401" t="s">
        <v>2612</v>
      </c>
      <c r="P301" s="401" t="s">
        <v>2613</v>
      </c>
      <c r="Q301" s="406" t="s">
        <v>274</v>
      </c>
    </row>
    <row r="302" spans="13:17" ht="13" x14ac:dyDescent="0.3">
      <c r="M302" s="401" t="str">
        <f t="shared" si="25"/>
        <v>CODE 3325</v>
      </c>
      <c r="N302" s="404" t="s">
        <v>2614</v>
      </c>
      <c r="O302" s="401" t="s">
        <v>2615</v>
      </c>
      <c r="P302" s="401" t="s">
        <v>2616</v>
      </c>
      <c r="Q302" s="406" t="s">
        <v>274</v>
      </c>
    </row>
    <row r="303" spans="13:17" ht="13" x14ac:dyDescent="0.3">
      <c r="M303" s="401" t="str">
        <f t="shared" si="25"/>
        <v>CODE 3430</v>
      </c>
      <c r="N303" s="404" t="s">
        <v>2617</v>
      </c>
      <c r="O303" s="401" t="s">
        <v>2618</v>
      </c>
      <c r="P303" s="401" t="s">
        <v>2619</v>
      </c>
      <c r="Q303" s="406" t="s">
        <v>274</v>
      </c>
    </row>
    <row r="304" spans="13:17" ht="13" x14ac:dyDescent="0.3">
      <c r="M304" s="401" t="str">
        <f t="shared" si="25"/>
        <v>CODE 4520</v>
      </c>
      <c r="N304" s="404" t="s">
        <v>2620</v>
      </c>
      <c r="O304" s="401" t="s">
        <v>2621</v>
      </c>
      <c r="P304" s="401" t="s">
        <v>2622</v>
      </c>
      <c r="Q304" s="406" t="s">
        <v>274</v>
      </c>
    </row>
    <row r="305" spans="13:17" ht="13" x14ac:dyDescent="0.3">
      <c r="M305" s="401" t="str">
        <f t="shared" si="25"/>
        <v>CODE 3635</v>
      </c>
      <c r="N305" s="404" t="s">
        <v>2623</v>
      </c>
      <c r="O305" s="401" t="s">
        <v>2624</v>
      </c>
      <c r="P305" s="401" t="s">
        <v>2625</v>
      </c>
      <c r="Q305" s="406" t="s">
        <v>274</v>
      </c>
    </row>
    <row r="306" spans="13:17" ht="13" x14ac:dyDescent="0.3">
      <c r="M306" s="401" t="str">
        <f t="shared" si="25"/>
        <v>CODE 1930</v>
      </c>
      <c r="N306" s="404" t="s">
        <v>2626</v>
      </c>
      <c r="O306" s="401" t="s">
        <v>2627</v>
      </c>
      <c r="P306" s="401" t="s">
        <v>2628</v>
      </c>
      <c r="Q306" s="406" t="s">
        <v>274</v>
      </c>
    </row>
    <row r="307" spans="13:17" ht="13" x14ac:dyDescent="0.3">
      <c r="M307" s="401" t="str">
        <f t="shared" si="25"/>
        <v>CODE 3525</v>
      </c>
      <c r="N307" s="404" t="s">
        <v>2629</v>
      </c>
      <c r="O307" s="401" t="s">
        <v>2630</v>
      </c>
      <c r="P307" s="401" t="s">
        <v>2631</v>
      </c>
      <c r="Q307" s="406" t="s">
        <v>274</v>
      </c>
    </row>
    <row r="308" spans="13:17" ht="13" x14ac:dyDescent="0.3">
      <c r="M308" s="401" t="str">
        <f t="shared" si="25"/>
        <v>CODE 4315</v>
      </c>
      <c r="N308" s="404" t="s">
        <v>2632</v>
      </c>
      <c r="O308" s="401" t="s">
        <v>2633</v>
      </c>
      <c r="P308" s="401" t="s">
        <v>2634</v>
      </c>
      <c r="Q308" s="406" t="s">
        <v>274</v>
      </c>
    </row>
    <row r="309" spans="13:17" ht="13" x14ac:dyDescent="0.3">
      <c r="M309" s="401" t="str">
        <f t="shared" si="25"/>
        <v>CODE 3425</v>
      </c>
      <c r="N309" s="404" t="s">
        <v>2635</v>
      </c>
      <c r="O309" s="401" t="s">
        <v>2636</v>
      </c>
      <c r="P309" s="401" t="s">
        <v>2637</v>
      </c>
      <c r="Q309" s="406" t="s">
        <v>274</v>
      </c>
    </row>
    <row r="310" spans="13:17" ht="13" x14ac:dyDescent="0.3">
      <c r="M310" s="401" t="str">
        <f t="shared" si="25"/>
        <v>CODE 3435</v>
      </c>
      <c r="N310" s="404" t="s">
        <v>2638</v>
      </c>
      <c r="O310" s="401" t="s">
        <v>2639</v>
      </c>
      <c r="P310" s="401" t="s">
        <v>2639</v>
      </c>
      <c r="Q310" s="406" t="s">
        <v>274</v>
      </c>
    </row>
    <row r="311" spans="13:17" ht="13" x14ac:dyDescent="0.3">
      <c r="M311" s="401" t="str">
        <f t="shared" si="25"/>
        <v>CODE 1935</v>
      </c>
      <c r="N311" s="404" t="s">
        <v>2640</v>
      </c>
      <c r="O311" s="401" t="s">
        <v>2641</v>
      </c>
      <c r="P311" s="401" t="s">
        <v>2642</v>
      </c>
      <c r="Q311" s="406" t="s">
        <v>274</v>
      </c>
    </row>
    <row r="312" spans="13:17" ht="13" x14ac:dyDescent="0.3">
      <c r="M312" s="401" t="str">
        <f t="shared" si="25"/>
        <v>CODE 4235</v>
      </c>
      <c r="N312" s="404" t="s">
        <v>2643</v>
      </c>
      <c r="O312" s="401" t="s">
        <v>2644</v>
      </c>
      <c r="P312" s="401" t="s">
        <v>2645</v>
      </c>
      <c r="Q312" s="406" t="s">
        <v>274</v>
      </c>
    </row>
    <row r="313" spans="13:17" ht="13" x14ac:dyDescent="0.3">
      <c r="M313" s="401" t="str">
        <f t="shared" si="25"/>
        <v>CODE 3455</v>
      </c>
      <c r="N313" s="404" t="s">
        <v>2646</v>
      </c>
      <c r="O313" s="401" t="s">
        <v>2647</v>
      </c>
      <c r="P313" s="407" t="s">
        <v>2648</v>
      </c>
      <c r="Q313" s="406" t="s">
        <v>274</v>
      </c>
    </row>
    <row r="314" spans="13:17" ht="13" x14ac:dyDescent="0.3">
      <c r="M314" s="401" t="str">
        <f t="shared" si="25"/>
        <v>CODE 3720</v>
      </c>
      <c r="N314" s="404" t="s">
        <v>2649</v>
      </c>
      <c r="O314" s="401" t="s">
        <v>2650</v>
      </c>
      <c r="P314" s="407" t="s">
        <v>2651</v>
      </c>
      <c r="Q314" s="406" t="s">
        <v>274</v>
      </c>
    </row>
    <row r="315" spans="13:17" ht="13" x14ac:dyDescent="0.3">
      <c r="M315" s="401" t="str">
        <f t="shared" si="25"/>
        <v>CODE 3530</v>
      </c>
      <c r="N315" s="404" t="s">
        <v>2660</v>
      </c>
      <c r="O315" s="401" t="s">
        <v>2661</v>
      </c>
      <c r="P315" s="401" t="s">
        <v>2662</v>
      </c>
      <c r="Q315" s="406" t="s">
        <v>274</v>
      </c>
    </row>
    <row r="316" spans="13:17" ht="13" x14ac:dyDescent="0.3">
      <c r="M316" s="401" t="str">
        <f t="shared" si="25"/>
        <v>CODE 4525</v>
      </c>
      <c r="N316" s="404" t="s">
        <v>2663</v>
      </c>
      <c r="O316" s="401" t="s">
        <v>2664</v>
      </c>
      <c r="P316" s="407" t="s">
        <v>2665</v>
      </c>
      <c r="Q316" s="406" t="s">
        <v>274</v>
      </c>
    </row>
    <row r="317" spans="13:17" ht="13" x14ac:dyDescent="0.3">
      <c r="M317" s="401" t="str">
        <f t="shared" si="25"/>
        <v>CODE 3640</v>
      </c>
      <c r="N317" s="404" t="s">
        <v>2666</v>
      </c>
      <c r="O317" s="401" t="s">
        <v>2667</v>
      </c>
      <c r="P317" s="401" t="s">
        <v>2668</v>
      </c>
      <c r="Q317" s="406" t="s">
        <v>274</v>
      </c>
    </row>
    <row r="318" spans="13:17" ht="13" x14ac:dyDescent="0.3">
      <c r="M318" s="401" t="str">
        <f t="shared" si="25"/>
        <v>CODE 2255</v>
      </c>
      <c r="N318" s="404" t="s">
        <v>2669</v>
      </c>
      <c r="O318" s="401" t="s">
        <v>2670</v>
      </c>
      <c r="P318" s="401" t="s">
        <v>2671</v>
      </c>
      <c r="Q318" s="406" t="s">
        <v>274</v>
      </c>
    </row>
    <row r="319" spans="13:17" ht="13" x14ac:dyDescent="0.3">
      <c r="M319" s="401" t="str">
        <f t="shared" si="25"/>
        <v>CODE 6855</v>
      </c>
      <c r="N319" s="404" t="s">
        <v>2672</v>
      </c>
      <c r="O319" s="401" t="s">
        <v>2673</v>
      </c>
      <c r="P319" s="401" t="s">
        <v>2673</v>
      </c>
      <c r="Q319" s="406" t="s">
        <v>1950</v>
      </c>
    </row>
    <row r="320" spans="13:17" ht="13" x14ac:dyDescent="0.3">
      <c r="M320" s="401" t="str">
        <f t="shared" si="25"/>
        <v>CODE 3935</v>
      </c>
      <c r="N320" s="404" t="s">
        <v>2674</v>
      </c>
      <c r="O320" s="401" t="s">
        <v>2675</v>
      </c>
      <c r="P320" s="401" t="s">
        <v>2676</v>
      </c>
      <c r="Q320" s="406" t="s">
        <v>274</v>
      </c>
    </row>
    <row r="321" spans="13:17" ht="13" x14ac:dyDescent="0.3">
      <c r="M321" s="401" t="str">
        <f t="shared" si="25"/>
        <v>CODE 4240</v>
      </c>
      <c r="N321" s="404" t="s">
        <v>2677</v>
      </c>
      <c r="O321" s="401" t="s">
        <v>2678</v>
      </c>
      <c r="P321" s="401" t="s">
        <v>2679</v>
      </c>
      <c r="Q321" s="406" t="s">
        <v>274</v>
      </c>
    </row>
    <row r="322" spans="13:17" ht="13" x14ac:dyDescent="0.3">
      <c r="M322" s="401" t="str">
        <f t="shared" si="25"/>
        <v>CODE 3445</v>
      </c>
      <c r="N322" s="404" t="s">
        <v>2680</v>
      </c>
      <c r="O322" s="401" t="s">
        <v>2681</v>
      </c>
      <c r="P322" s="401" t="s">
        <v>2682</v>
      </c>
      <c r="Q322" s="406" t="s">
        <v>274</v>
      </c>
    </row>
    <row r="323" spans="13:17" ht="13" x14ac:dyDescent="0.3">
      <c r="M323" s="401" t="str">
        <f t="shared" si="25"/>
        <v>CODE 3645</v>
      </c>
      <c r="N323" s="404" t="s">
        <v>2683</v>
      </c>
      <c r="O323" s="401" t="s">
        <v>2684</v>
      </c>
      <c r="P323" s="401" t="s">
        <v>2686</v>
      </c>
      <c r="Q323" s="406" t="s">
        <v>274</v>
      </c>
    </row>
    <row r="324" spans="13:17" ht="13" x14ac:dyDescent="0.3">
      <c r="M324" s="401" t="str">
        <f t="shared" si="25"/>
        <v>CODE 3315</v>
      </c>
      <c r="N324" s="404" t="s">
        <v>2687</v>
      </c>
      <c r="O324" s="401" t="s">
        <v>2688</v>
      </c>
      <c r="P324" s="401" t="s">
        <v>2689</v>
      </c>
      <c r="Q324" s="406" t="s">
        <v>274</v>
      </c>
    </row>
    <row r="325" spans="13:17" ht="13" x14ac:dyDescent="0.3">
      <c r="M325" s="401" t="str">
        <f t="shared" si="25"/>
        <v>CODE 3240</v>
      </c>
      <c r="N325" s="404" t="s">
        <v>2690</v>
      </c>
      <c r="O325" s="401" t="s">
        <v>2691</v>
      </c>
      <c r="P325" s="401" t="s">
        <v>2692</v>
      </c>
      <c r="Q325" s="406" t="s">
        <v>274</v>
      </c>
    </row>
    <row r="326" spans="13:17" ht="13" x14ac:dyDescent="0.3">
      <c r="M326" s="401" t="str">
        <f t="shared" si="25"/>
        <v>CODE 2260</v>
      </c>
      <c r="N326" s="404" t="s">
        <v>2693</v>
      </c>
      <c r="O326" s="401" t="s">
        <v>2694</v>
      </c>
      <c r="P326" s="401" t="s">
        <v>2695</v>
      </c>
      <c r="Q326" s="406" t="s">
        <v>274</v>
      </c>
    </row>
    <row r="327" spans="13:17" ht="13" x14ac:dyDescent="0.3">
      <c r="M327" s="401" t="str">
        <f t="shared" ref="M327:M358" si="26">"CODE "&amp;N327</f>
        <v>CODE 5390</v>
      </c>
      <c r="N327" s="404" t="s">
        <v>2696</v>
      </c>
      <c r="O327" s="401" t="s">
        <v>2697</v>
      </c>
      <c r="P327" s="407" t="s">
        <v>2698</v>
      </c>
      <c r="Q327" s="406" t="s">
        <v>293</v>
      </c>
    </row>
    <row r="328" spans="13:17" ht="13" x14ac:dyDescent="0.3">
      <c r="M328" s="401" t="str">
        <f t="shared" si="26"/>
        <v>CODE 5600</v>
      </c>
      <c r="N328" s="404" t="s">
        <v>2699</v>
      </c>
      <c r="O328" s="401" t="s">
        <v>2700</v>
      </c>
      <c r="P328" s="407" t="s">
        <v>2701</v>
      </c>
      <c r="Q328" s="406" t="s">
        <v>293</v>
      </c>
    </row>
    <row r="329" spans="13:17" ht="13" x14ac:dyDescent="0.3">
      <c r="M329" s="401" t="str">
        <f t="shared" si="26"/>
        <v>CODE 1940</v>
      </c>
      <c r="N329" s="404" t="s">
        <v>2702</v>
      </c>
      <c r="O329" s="401" t="s">
        <v>2703</v>
      </c>
      <c r="P329" s="401" t="s">
        <v>2704</v>
      </c>
      <c r="Q329" s="406" t="s">
        <v>274</v>
      </c>
    </row>
    <row r="330" spans="13:17" ht="13" x14ac:dyDescent="0.3">
      <c r="M330" s="401" t="str">
        <f t="shared" si="26"/>
        <v>CODE 2265</v>
      </c>
      <c r="N330" s="404" t="s">
        <v>2705</v>
      </c>
      <c r="O330" s="401" t="s">
        <v>2706</v>
      </c>
      <c r="P330" s="401" t="s">
        <v>2707</v>
      </c>
      <c r="Q330" s="406" t="s">
        <v>274</v>
      </c>
    </row>
    <row r="331" spans="13:17" ht="13" x14ac:dyDescent="0.3">
      <c r="M331" s="401" t="str">
        <f t="shared" si="26"/>
        <v>CODE 6945</v>
      </c>
      <c r="N331" s="404" t="s">
        <v>2708</v>
      </c>
      <c r="O331" s="401" t="s">
        <v>2709</v>
      </c>
      <c r="P331" s="407" t="s">
        <v>2710</v>
      </c>
      <c r="Q331" s="406" t="s">
        <v>1950</v>
      </c>
    </row>
    <row r="332" spans="13:17" ht="13" x14ac:dyDescent="0.3">
      <c r="M332" s="401" t="str">
        <f t="shared" si="26"/>
        <v>CODE 4245</v>
      </c>
      <c r="N332" s="404" t="s">
        <v>2711</v>
      </c>
      <c r="O332" s="401" t="s">
        <v>2712</v>
      </c>
      <c r="P332" s="401" t="s">
        <v>2713</v>
      </c>
      <c r="Q332" s="406" t="s">
        <v>274</v>
      </c>
    </row>
    <row r="333" spans="13:17" ht="13" x14ac:dyDescent="0.3">
      <c r="M333" s="401" t="str">
        <f t="shared" si="26"/>
        <v>CODE 2270</v>
      </c>
      <c r="N333" s="404" t="s">
        <v>2714</v>
      </c>
      <c r="O333" s="401" t="s">
        <v>2715</v>
      </c>
      <c r="P333" s="401" t="s">
        <v>2716</v>
      </c>
      <c r="Q333" s="406" t="s">
        <v>274</v>
      </c>
    </row>
    <row r="334" spans="13:17" ht="13" x14ac:dyDescent="0.3">
      <c r="M334" s="401" t="str">
        <f t="shared" si="26"/>
        <v>CODE 6950</v>
      </c>
      <c r="N334" s="404" t="s">
        <v>2717</v>
      </c>
      <c r="O334" s="401" t="s">
        <v>2718</v>
      </c>
      <c r="P334" s="401" t="s">
        <v>2719</v>
      </c>
      <c r="Q334" s="406" t="s">
        <v>1950</v>
      </c>
    </row>
    <row r="335" spans="13:17" ht="13" x14ac:dyDescent="0.3">
      <c r="M335" s="401" t="str">
        <f t="shared" si="26"/>
        <v>CODE 3120</v>
      </c>
      <c r="N335" s="404" t="s">
        <v>2720</v>
      </c>
      <c r="O335" s="401" t="s">
        <v>2721</v>
      </c>
      <c r="P335" s="401" t="s">
        <v>2722</v>
      </c>
      <c r="Q335" s="406" t="s">
        <v>274</v>
      </c>
    </row>
    <row r="336" spans="13:17" ht="13" x14ac:dyDescent="0.3">
      <c r="M336" s="401" t="str">
        <f t="shared" si="26"/>
        <v>CODE 4725</v>
      </c>
      <c r="N336" s="404" t="s">
        <v>2723</v>
      </c>
      <c r="O336" s="401" t="s">
        <v>2724</v>
      </c>
      <c r="P336" s="407" t="s">
        <v>2725</v>
      </c>
      <c r="Q336" s="406" t="s">
        <v>274</v>
      </c>
    </row>
    <row r="337" spans="13:17" ht="13" x14ac:dyDescent="0.3">
      <c r="M337" s="401" t="str">
        <f t="shared" si="26"/>
        <v>CODE 4630</v>
      </c>
      <c r="N337" s="404" t="s">
        <v>2726</v>
      </c>
      <c r="O337" s="401" t="s">
        <v>2727</v>
      </c>
      <c r="P337" s="401" t="s">
        <v>2728</v>
      </c>
      <c r="Q337" s="406" t="s">
        <v>274</v>
      </c>
    </row>
    <row r="338" spans="13:17" ht="13" x14ac:dyDescent="0.3">
      <c r="M338" s="401" t="str">
        <f t="shared" si="26"/>
        <v>CODE 3725</v>
      </c>
      <c r="N338" s="404" t="s">
        <v>2729</v>
      </c>
      <c r="O338" s="401" t="s">
        <v>2730</v>
      </c>
      <c r="P338" s="401" t="s">
        <v>2731</v>
      </c>
      <c r="Q338" s="406" t="s">
        <v>274</v>
      </c>
    </row>
    <row r="339" spans="13:17" ht="13" x14ac:dyDescent="0.3">
      <c r="M339" s="401" t="str">
        <f t="shared" si="26"/>
        <v>CODE 1945</v>
      </c>
      <c r="N339" s="404" t="s">
        <v>2732</v>
      </c>
      <c r="O339" s="401" t="s">
        <v>2733</v>
      </c>
      <c r="P339" s="401" t="s">
        <v>2734</v>
      </c>
      <c r="Q339" s="406" t="s">
        <v>274</v>
      </c>
    </row>
    <row r="340" spans="13:17" ht="13" x14ac:dyDescent="0.3">
      <c r="M340" s="401" t="str">
        <f t="shared" si="26"/>
        <v>CODE 3535</v>
      </c>
      <c r="N340" s="404" t="s">
        <v>2735</v>
      </c>
      <c r="O340" s="401" t="s">
        <v>2736</v>
      </c>
      <c r="P340" s="401" t="s">
        <v>2737</v>
      </c>
      <c r="Q340" s="406" t="s">
        <v>274</v>
      </c>
    </row>
    <row r="341" spans="13:17" ht="13" x14ac:dyDescent="0.3">
      <c r="M341" s="401" t="str">
        <f t="shared" si="26"/>
        <v>CODE 3650</v>
      </c>
      <c r="N341" s="404" t="s">
        <v>2738</v>
      </c>
      <c r="O341" s="401" t="s">
        <v>2739</v>
      </c>
      <c r="P341" s="401" t="s">
        <v>2740</v>
      </c>
      <c r="Q341" s="406" t="s">
        <v>274</v>
      </c>
    </row>
    <row r="342" spans="13:17" ht="13" x14ac:dyDescent="0.3">
      <c r="M342" s="401" t="str">
        <f t="shared" si="26"/>
        <v>CODE 2835</v>
      </c>
      <c r="N342" s="404" t="s">
        <v>2741</v>
      </c>
      <c r="O342" s="401" t="s">
        <v>2742</v>
      </c>
      <c r="P342" s="401" t="s">
        <v>2742</v>
      </c>
      <c r="Q342" s="406" t="s">
        <v>274</v>
      </c>
    </row>
    <row r="343" spans="13:17" ht="13" x14ac:dyDescent="0.3">
      <c r="M343" s="401" t="str">
        <f t="shared" si="26"/>
        <v>CODE 1950</v>
      </c>
      <c r="N343" s="404" t="s">
        <v>2743</v>
      </c>
      <c r="O343" s="401" t="s">
        <v>2744</v>
      </c>
      <c r="P343" s="401" t="s">
        <v>2745</v>
      </c>
      <c r="Q343" s="406" t="s">
        <v>274</v>
      </c>
    </row>
    <row r="344" spans="13:17" ht="13" x14ac:dyDescent="0.3">
      <c r="M344" s="401" t="str">
        <f t="shared" si="26"/>
        <v>CODE 2365</v>
      </c>
      <c r="N344" s="404" t="s">
        <v>2746</v>
      </c>
      <c r="O344" s="401" t="s">
        <v>2747</v>
      </c>
      <c r="P344" s="407" t="s">
        <v>2748</v>
      </c>
      <c r="Q344" s="406" t="s">
        <v>274</v>
      </c>
    </row>
    <row r="345" spans="13:17" ht="13" x14ac:dyDescent="0.3">
      <c r="M345" s="401" t="str">
        <f t="shared" si="26"/>
        <v>CODE 2535</v>
      </c>
      <c r="N345" s="404" t="s">
        <v>2749</v>
      </c>
      <c r="O345" s="401" t="s">
        <v>2750</v>
      </c>
      <c r="P345" s="401" t="s">
        <v>2751</v>
      </c>
      <c r="Q345" s="406" t="s">
        <v>274</v>
      </c>
    </row>
    <row r="346" spans="13:17" ht="13" x14ac:dyDescent="0.3">
      <c r="M346" s="401" t="str">
        <f t="shared" si="26"/>
        <v>CODE 3125</v>
      </c>
      <c r="N346" s="404" t="s">
        <v>2752</v>
      </c>
      <c r="O346" s="401" t="s">
        <v>2753</v>
      </c>
      <c r="P346" s="401" t="s">
        <v>2754</v>
      </c>
      <c r="Q346" s="406" t="s">
        <v>274</v>
      </c>
    </row>
    <row r="347" spans="13:17" ht="13" x14ac:dyDescent="0.3">
      <c r="M347" s="401" t="str">
        <f t="shared" si="26"/>
        <v>CODE 3320</v>
      </c>
      <c r="N347" s="404" t="s">
        <v>2755</v>
      </c>
      <c r="O347" s="401" t="s">
        <v>2756</v>
      </c>
      <c r="P347" s="401" t="s">
        <v>2757</v>
      </c>
      <c r="Q347" s="406" t="s">
        <v>274</v>
      </c>
    </row>
    <row r="348" spans="13:17" ht="13" x14ac:dyDescent="0.3">
      <c r="M348" s="401" t="str">
        <f t="shared" si="26"/>
        <v>CODE 5990</v>
      </c>
      <c r="N348" s="404" t="s">
        <v>2758</v>
      </c>
      <c r="O348" s="401" t="s">
        <v>1258</v>
      </c>
      <c r="P348" s="407" t="s">
        <v>2759</v>
      </c>
      <c r="Q348" s="406" t="s">
        <v>293</v>
      </c>
    </row>
    <row r="349" spans="13:17" ht="13" x14ac:dyDescent="0.3">
      <c r="M349" s="401" t="str">
        <f t="shared" si="26"/>
        <v>CODE 4250</v>
      </c>
      <c r="N349" s="404" t="s">
        <v>2760</v>
      </c>
      <c r="O349" s="401" t="s">
        <v>2761</v>
      </c>
      <c r="P349" s="401" t="s">
        <v>2762</v>
      </c>
      <c r="Q349" s="406" t="s">
        <v>274</v>
      </c>
    </row>
    <row r="350" spans="13:17" ht="13" x14ac:dyDescent="0.3">
      <c r="M350" s="401" t="str">
        <f t="shared" si="26"/>
        <v>CODE 3940</v>
      </c>
      <c r="N350" s="404" t="s">
        <v>2763</v>
      </c>
      <c r="O350" s="401" t="s">
        <v>2764</v>
      </c>
      <c r="P350" s="401" t="s">
        <v>2765</v>
      </c>
      <c r="Q350" s="406" t="s">
        <v>274</v>
      </c>
    </row>
    <row r="351" spans="13:17" ht="13" x14ac:dyDescent="0.3">
      <c r="M351" s="401" t="str">
        <f t="shared" si="26"/>
        <v>CODE 4325</v>
      </c>
      <c r="N351" s="404" t="s">
        <v>2767</v>
      </c>
      <c r="O351" s="401" t="s">
        <v>2768</v>
      </c>
      <c r="P351" s="401" t="s">
        <v>2769</v>
      </c>
      <c r="Q351" s="406" t="s">
        <v>274</v>
      </c>
    </row>
    <row r="352" spans="13:17" ht="13" x14ac:dyDescent="0.3">
      <c r="M352" s="401" t="str">
        <f t="shared" si="26"/>
        <v>CODE 3655</v>
      </c>
      <c r="N352" s="404" t="s">
        <v>2770</v>
      </c>
      <c r="O352" s="401" t="s">
        <v>2771</v>
      </c>
      <c r="P352" s="401" t="s">
        <v>2772</v>
      </c>
      <c r="Q352" s="406" t="s">
        <v>274</v>
      </c>
    </row>
    <row r="353" spans="13:17" ht="13" x14ac:dyDescent="0.3">
      <c r="M353" s="401" t="str">
        <f t="shared" si="26"/>
        <v>CODE 4635</v>
      </c>
      <c r="N353" s="404" t="s">
        <v>2773</v>
      </c>
      <c r="O353" s="401" t="s">
        <v>2774</v>
      </c>
      <c r="P353" s="401" t="s">
        <v>2775</v>
      </c>
      <c r="Q353" s="406" t="s">
        <v>274</v>
      </c>
    </row>
    <row r="354" spans="13:17" ht="13" x14ac:dyDescent="0.3">
      <c r="M354" s="401" t="str">
        <f t="shared" si="26"/>
        <v>CODE 3835</v>
      </c>
      <c r="N354" s="404" t="s">
        <v>2776</v>
      </c>
      <c r="O354" s="401" t="s">
        <v>2777</v>
      </c>
      <c r="P354" s="401" t="s">
        <v>2778</v>
      </c>
      <c r="Q354" s="406" t="s">
        <v>274</v>
      </c>
    </row>
    <row r="355" spans="13:17" ht="13" x14ac:dyDescent="0.3">
      <c r="M355" s="401" t="str">
        <f t="shared" si="26"/>
        <v>CODE 6955</v>
      </c>
      <c r="N355" s="404" t="s">
        <v>2779</v>
      </c>
      <c r="O355" s="401" t="s">
        <v>2780</v>
      </c>
      <c r="P355" s="407" t="s">
        <v>2781</v>
      </c>
      <c r="Q355" s="406" t="s">
        <v>1950</v>
      </c>
    </row>
    <row r="356" spans="13:17" ht="13" x14ac:dyDescent="0.3">
      <c r="M356" s="401" t="str">
        <f t="shared" si="26"/>
        <v>CODE 1840</v>
      </c>
      <c r="N356" s="404" t="s">
        <v>2782</v>
      </c>
      <c r="O356" s="401" t="s">
        <v>2783</v>
      </c>
      <c r="P356" s="401" t="s">
        <v>2784</v>
      </c>
      <c r="Q356" s="406" t="s">
        <v>274</v>
      </c>
    </row>
    <row r="357" spans="13:17" ht="13" x14ac:dyDescent="0.3">
      <c r="M357" s="401" t="str">
        <f t="shared" si="26"/>
        <v>CODE 2370</v>
      </c>
      <c r="N357" s="404" t="s">
        <v>2785</v>
      </c>
      <c r="O357" s="401" t="s">
        <v>2786</v>
      </c>
      <c r="P357" s="401" t="s">
        <v>2787</v>
      </c>
      <c r="Q357" s="406" t="s">
        <v>274</v>
      </c>
    </row>
    <row r="358" spans="13:17" ht="13" x14ac:dyDescent="0.3">
      <c r="M358" s="401" t="str">
        <f t="shared" si="26"/>
        <v>CODE 1845</v>
      </c>
      <c r="N358" s="404" t="s">
        <v>2788</v>
      </c>
      <c r="O358" s="401" t="s">
        <v>2789</v>
      </c>
      <c r="P358" s="401" t="s">
        <v>2790</v>
      </c>
      <c r="Q358" s="406" t="s">
        <v>274</v>
      </c>
    </row>
  </sheetData>
  <sheetProtection password="BCD8" sheet="1" objects="1" scenarios="1"/>
  <phoneticPr fontId="0" type="noConversion"/>
  <pageMargins left="0.7" right="0.7" top="0.75" bottom="0.75" header="0.3" footer="0.3"/>
  <headerFooter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DC953-A46D-4B86-9404-03AFC2B3D497}">
  <sheetPr codeName="Sheet85"/>
  <dimension ref="A2:AZ206"/>
  <sheetViews>
    <sheetView workbookViewId="0"/>
  </sheetViews>
  <sheetFormatPr defaultRowHeight="14.5" x14ac:dyDescent="0.35"/>
  <cols>
    <col min="2" max="3" width="8.90625" hidden="1" customWidth="1"/>
    <col min="4" max="4" width="59.453125" hidden="1" customWidth="1"/>
    <col min="5" max="5" width="30.81640625" hidden="1" customWidth="1"/>
    <col min="6" max="7" width="8.90625" hidden="1" customWidth="1"/>
    <col min="8" max="8" width="14.54296875" hidden="1" customWidth="1"/>
    <col min="9" max="11" width="8.90625" hidden="1" customWidth="1"/>
    <col min="12" max="12" width="14.08984375" style="5" hidden="1" customWidth="1"/>
    <col min="13" max="13" width="28.36328125" hidden="1" customWidth="1"/>
    <col min="14" max="14" width="20.81640625" style="5" hidden="1" customWidth="1"/>
    <col min="15" max="15" width="30.54296875" hidden="1" customWidth="1"/>
    <col min="16" max="18" width="5.6328125" hidden="1" customWidth="1"/>
    <col min="19" max="27" width="8.90625" hidden="1" customWidth="1"/>
    <col min="28" max="28" width="20.08984375" hidden="1" customWidth="1"/>
    <col min="29" max="33" width="8.90625" hidden="1" customWidth="1"/>
    <col min="34" max="34" width="16.36328125" hidden="1" customWidth="1"/>
    <col min="35" max="35" width="14.08984375" hidden="1" customWidth="1"/>
    <col min="36" max="36" width="16.453125" hidden="1" customWidth="1"/>
    <col min="37" max="39" width="8.90625" hidden="1" customWidth="1"/>
    <col min="40" max="40" width="13.1796875" hidden="1" customWidth="1"/>
    <col min="41" max="41" width="10" hidden="1" customWidth="1"/>
    <col min="42" max="42" width="8.90625" hidden="1" customWidth="1"/>
    <col min="43" max="45" width="8.90625" customWidth="1"/>
  </cols>
  <sheetData>
    <row r="2" spans="1:52" x14ac:dyDescent="0.35">
      <c r="A2" t="s">
        <v>2961</v>
      </c>
      <c r="D2" t="s">
        <v>2962</v>
      </c>
      <c r="E2" s="2436" t="b">
        <f>MID(VLOOKUP(TRUE,Y52:AB75,4,FALSE),13,2)=I2&amp;I2</f>
        <v>0</v>
      </c>
      <c r="F2" s="2386" t="s">
        <v>3019</v>
      </c>
      <c r="G2" s="2386"/>
      <c r="I2" t="str">
        <f>CHAR(34)</f>
        <v>"</v>
      </c>
      <c r="J2" t="str">
        <f>CHAR(34)&amp;","</f>
        <v>",</v>
      </c>
      <c r="AA2" t="e">
        <f>SUBSTITUTE(MID(impcheck!A1,impcheck!A5+1,impcheck!A6),CHAR(34),"")</f>
        <v>#VALUE!</v>
      </c>
    </row>
    <row r="3" spans="1:52" x14ac:dyDescent="0.35">
      <c r="A3" t="s">
        <v>2963</v>
      </c>
      <c r="D3" t="s">
        <v>3002</v>
      </c>
      <c r="E3" t="s">
        <v>3003</v>
      </c>
      <c r="G3" s="2386"/>
      <c r="H3" s="2387" t="s">
        <v>3015</v>
      </c>
      <c r="I3" t="e">
        <f>CONCATENATE(D14,AB52,AB53,AB54,AB55,AB56,AB57,AB58,AB59,AB60,AB61,AB62,AB63,AB64,AB65,AB66,AB67,AB68,AB69,AB70,AB71,AB72,AB73)</f>
        <v>#VALUE!</v>
      </c>
      <c r="AA3" t="e">
        <f>TRIM(CLEAN(SUBSTITUTE(AA2,CHAR(160),"")))</f>
        <v>#VALUE!</v>
      </c>
    </row>
    <row r="4" spans="1:52" x14ac:dyDescent="0.35">
      <c r="A4" t="s">
        <v>2964</v>
      </c>
      <c r="D4" s="2334" t="e">
        <f>$I$2&amp;AA23&amp;$J$2</f>
        <v>#N/A</v>
      </c>
      <c r="AA4" t="e">
        <f>LEN(AA3)</f>
        <v>#VALUE!</v>
      </c>
      <c r="AB4" t="s">
        <v>2984</v>
      </c>
    </row>
    <row r="5" spans="1:52" x14ac:dyDescent="0.35">
      <c r="A5" t="s">
        <v>2965</v>
      </c>
      <c r="D5" s="2334" t="e">
        <f>$I$2&amp;AA24&amp;$J$2</f>
        <v>#N/A</v>
      </c>
      <c r="F5" s="2430" t="s">
        <v>3016</v>
      </c>
      <c r="G5" s="2431"/>
      <c r="H5" s="2431"/>
      <c r="I5" s="2431"/>
      <c r="J5" s="2432"/>
      <c r="AA5" t="e">
        <f>FIND(AA10,impcheck!A1)</f>
        <v>#VALUE!</v>
      </c>
      <c r="AB5" t="s">
        <v>2985</v>
      </c>
    </row>
    <row r="6" spans="1:52" ht="15" thickBot="1" x14ac:dyDescent="0.4">
      <c r="A6" t="s">
        <v>2966</v>
      </c>
      <c r="D6" s="2334" t="e">
        <f>$I$2&amp;AA25&amp;$J$2</f>
        <v>#N/A</v>
      </c>
      <c r="F6" s="2433"/>
      <c r="G6" s="2434"/>
      <c r="H6" s="2434"/>
      <c r="I6" s="2434"/>
      <c r="J6" s="2435"/>
      <c r="L6" s="2291" t="s">
        <v>2971</v>
      </c>
      <c r="AA6" t="e">
        <f>FIND(AA10,impcheck!A1,'helix filter'!AA5+1)</f>
        <v>#VALUE!</v>
      </c>
      <c r="AB6" t="s">
        <v>2986</v>
      </c>
    </row>
    <row r="7" spans="1:52" x14ac:dyDescent="0.35">
      <c r="A7" t="s">
        <v>2967</v>
      </c>
      <c r="B7" s="2334" t="e">
        <f>AA7</f>
        <v>#VALUE!</v>
      </c>
      <c r="D7" s="2334" t="e">
        <f>$I$2&amp;AA26&amp;$J$2</f>
        <v>#N/A</v>
      </c>
      <c r="L7" s="2291" t="s">
        <v>3017</v>
      </c>
      <c r="AA7" t="e">
        <f>AA6-AA5</f>
        <v>#VALUE!</v>
      </c>
      <c r="AB7" t="s">
        <v>2983</v>
      </c>
      <c r="AU7" s="2405"/>
      <c r="AV7" s="2406"/>
      <c r="AW7" s="2406"/>
      <c r="AX7" s="2406"/>
      <c r="AY7" s="2406"/>
      <c r="AZ7" s="2407"/>
    </row>
    <row r="8" spans="1:52" x14ac:dyDescent="0.35">
      <c r="A8" t="s">
        <v>2968</v>
      </c>
      <c r="B8" s="2334" t="e">
        <f t="shared" ref="B8:B16" si="0">FIND(",",$AA$3,B7+1)</f>
        <v>#VALUE!</v>
      </c>
      <c r="D8" t="e">
        <f>$I$2&amp;MID($AA$3,B7+1,B8-(B7+1))&amp;$J$2</f>
        <v>#VALUE!</v>
      </c>
      <c r="F8" t="str">
        <f>I2&amp;"CS"&amp;J2</f>
        <v>"CS",</v>
      </c>
      <c r="G8" t="s">
        <v>3014</v>
      </c>
      <c r="J8" t="s">
        <v>2992</v>
      </c>
      <c r="K8" t="s">
        <v>3011</v>
      </c>
      <c r="L8" s="2291" t="s">
        <v>3012</v>
      </c>
      <c r="M8" t="s">
        <v>3013</v>
      </c>
      <c r="N8" s="5" t="s">
        <v>3018</v>
      </c>
      <c r="S8" t="s">
        <v>2970</v>
      </c>
      <c r="T8" t="s">
        <v>478</v>
      </c>
      <c r="U8" t="s">
        <v>3021</v>
      </c>
      <c r="V8" t="s">
        <v>2970</v>
      </c>
      <c r="AA8" t="e">
        <f>LEFT(AA3,AA7-2)&amp;","</f>
        <v>#VALUE!</v>
      </c>
      <c r="AU8" s="2408"/>
      <c r="AV8" s="2409"/>
      <c r="AW8" s="2409"/>
      <c r="AX8" s="2409"/>
      <c r="AY8" s="2409"/>
      <c r="AZ8" s="2410"/>
    </row>
    <row r="9" spans="1:52" x14ac:dyDescent="0.35">
      <c r="A9" t="s">
        <v>2969</v>
      </c>
      <c r="B9" s="2334" t="e">
        <f t="shared" si="0"/>
        <v>#VALUE!</v>
      </c>
      <c r="D9" s="2415" t="e">
        <f>$I$2&amp;MID($AA$3,B8+1,B9-(B8+1))&amp;$J$2</f>
        <v>#VALUE!</v>
      </c>
      <c r="E9" s="2415"/>
      <c r="F9" s="2419"/>
      <c r="G9" s="2420"/>
      <c r="H9" s="2420"/>
      <c r="I9" s="2420"/>
      <c r="J9" s="2420"/>
      <c r="K9" s="2421"/>
      <c r="S9" s="2418" t="s">
        <v>2976</v>
      </c>
      <c r="T9" s="5">
        <v>9</v>
      </c>
      <c r="U9" t="str">
        <f>LEFT(T9,1)</f>
        <v>9</v>
      </c>
      <c r="V9" s="1545" t="str">
        <f t="shared" ref="V9:V16" si="1">S9</f>
        <v>2023</v>
      </c>
      <c r="AA9" t="e">
        <f>MID(AA3,AA7+1,AA4-AA7)</f>
        <v>#VALUE!</v>
      </c>
      <c r="AU9" s="2408"/>
      <c r="AV9" s="2411" t="s">
        <v>1382</v>
      </c>
      <c r="AW9" s="2409"/>
      <c r="AX9" s="2409"/>
      <c r="AY9" s="2409"/>
      <c r="AZ9" s="2410"/>
    </row>
    <row r="10" spans="1:52" x14ac:dyDescent="0.35">
      <c r="A10" t="s">
        <v>2970</v>
      </c>
      <c r="B10" s="2334" t="e">
        <f t="shared" si="0"/>
        <v>#VALUE!</v>
      </c>
      <c r="D10" s="2415" t="e">
        <f>$I$2&amp;MID($AA$3,B9+1,B10-(B9+1))&amp;$J$2</f>
        <v>#VALUE!</v>
      </c>
      <c r="E10" s="2415" t="e">
        <f>D11</f>
        <v>#VALUE!</v>
      </c>
      <c r="F10" s="2422" t="e">
        <f>HLOOKUP(I10,$AD$49:$AJ$51,3,FALSE)</f>
        <v>#N/A</v>
      </c>
      <c r="G10" s="2334" t="e">
        <f>IF(F10=N15,"START","")</f>
        <v>#N/A</v>
      </c>
      <c r="H10" s="2334" t="e">
        <f>IF(G10="","",$I$2&amp;I10&amp;G10&amp;$J$2)</f>
        <v>#N/A</v>
      </c>
      <c r="I10" s="2334">
        <f>IF(ISERROR(D9),K1,MID(D10,2,4))</f>
        <v>0</v>
      </c>
      <c r="J10" s="2423" t="e">
        <f>VLOOKUP(I10,$Z$42:$AB$50,3,FALSE)</f>
        <v>#N/A</v>
      </c>
      <c r="K10" s="2424">
        <f>VLOOKUP(I10,$Z$42:$AA$51,2,FALSE)</f>
        <v>0</v>
      </c>
      <c r="L10" s="5" t="e">
        <f>VLOOKUP(I10,$S$9:$T$15,2,FALSE)</f>
        <v>#N/A</v>
      </c>
      <c r="S10" s="2418" t="s">
        <v>2658</v>
      </c>
      <c r="T10" s="5">
        <f t="shared" ref="T10:T15" si="2">T9-1</f>
        <v>8</v>
      </c>
      <c r="U10" t="str">
        <f t="shared" ref="U10:U16" si="3">LEFT(T10,1)</f>
        <v>8</v>
      </c>
      <c r="V10" s="1545" t="str">
        <f t="shared" si="1"/>
        <v>2017</v>
      </c>
      <c r="AA10" t="str">
        <f>CHAR(34)</f>
        <v>"</v>
      </c>
      <c r="AU10" s="2408"/>
      <c r="AV10" s="2409"/>
      <c r="AW10" s="2409"/>
      <c r="AX10" s="2409"/>
      <c r="AY10" s="2409"/>
      <c r="AZ10" s="2410"/>
    </row>
    <row r="11" spans="1:52" x14ac:dyDescent="0.35">
      <c r="A11" t="s">
        <v>308</v>
      </c>
      <c r="B11" s="2334" t="e">
        <f t="shared" si="0"/>
        <v>#VALUE!</v>
      </c>
      <c r="D11" s="2415" t="e">
        <f>$I$2&amp;MID($AA$3,B10+1,B11-(B10+1))&amp;$J$2</f>
        <v>#VALUE!</v>
      </c>
      <c r="E11" s="2415"/>
      <c r="F11" s="2425"/>
      <c r="G11" s="2415"/>
      <c r="H11" s="2415"/>
      <c r="I11" s="2415"/>
      <c r="J11" s="2415"/>
      <c r="K11" s="2424"/>
      <c r="S11" s="2418" t="s">
        <v>2977</v>
      </c>
      <c r="T11" s="5">
        <f t="shared" si="2"/>
        <v>7</v>
      </c>
      <c r="U11" t="str">
        <f t="shared" si="3"/>
        <v>7</v>
      </c>
      <c r="V11" s="1545" t="str">
        <f t="shared" si="1"/>
        <v>2010</v>
      </c>
      <c r="Y11" s="2334"/>
      <c r="Z11" s="2334">
        <v>1</v>
      </c>
      <c r="AA11" s="2334"/>
      <c r="AB11" s="2334"/>
      <c r="AC11" s="2334"/>
      <c r="AD11" s="2334"/>
      <c r="AE11" s="2334"/>
      <c r="AF11" s="2334" t="s">
        <v>2987</v>
      </c>
      <c r="AG11" s="2334" t="s">
        <v>2988</v>
      </c>
      <c r="AH11" s="2334"/>
      <c r="AI11" s="2386"/>
      <c r="AJ11" s="2386"/>
      <c r="AM11" s="5">
        <v>4</v>
      </c>
      <c r="AN11" s="5">
        <v>5</v>
      </c>
      <c r="AO11" s="5">
        <v>6</v>
      </c>
      <c r="AU11" s="2408"/>
      <c r="AV11" s="2409"/>
      <c r="AW11" s="2409"/>
      <c r="AX11" s="2409"/>
      <c r="AY11" s="2409"/>
      <c r="AZ11" s="2410"/>
    </row>
    <row r="12" spans="1:52" x14ac:dyDescent="0.35">
      <c r="A12" t="s">
        <v>1281</v>
      </c>
      <c r="B12" s="2334" t="e">
        <f t="shared" si="0"/>
        <v>#VALUE!</v>
      </c>
      <c r="D12" s="2415" t="e">
        <f>$I$2&amp;MID($AA$3,B11+1,B12-(B11+1))&amp;$J$2</f>
        <v>#VALUE!</v>
      </c>
      <c r="E12" s="2415" t="e">
        <f>MID($AA$3,B12+1,10)</f>
        <v>#VALUE!</v>
      </c>
      <c r="F12" s="2425" t="str">
        <f>IF(ISERROR(D9),$I$2&amp;$J$2,E10)</f>
        <v>"",</v>
      </c>
      <c r="G12" s="2415"/>
      <c r="H12" s="2415" t="str">
        <f>IF(ISERROR(D9),$I$2&amp;$J$2,$I$2&amp;MID(D12,5,2)&amp;"/"&amp;MID(D12,2,2)&amp;"/"&amp;MID(D12,8,4)&amp;$J$2)</f>
        <v>"",</v>
      </c>
      <c r="I12" s="2415"/>
      <c r="J12" s="2415"/>
      <c r="K12" s="2424"/>
      <c r="S12" s="2418" t="s">
        <v>2978</v>
      </c>
      <c r="T12" s="5">
        <f t="shared" si="2"/>
        <v>6</v>
      </c>
      <c r="U12" t="str">
        <f t="shared" si="3"/>
        <v>6</v>
      </c>
      <c r="V12" s="1545" t="str">
        <f t="shared" si="1"/>
        <v>2005</v>
      </c>
      <c r="Y12" s="2334" t="e">
        <f>Z11&amp;" to "&amp;Z12</f>
        <v>#VALUE!</v>
      </c>
      <c r="Z12" s="2334" t="e">
        <f>FIND(",",$AA$8)</f>
        <v>#VALUE!</v>
      </c>
      <c r="AA12" s="2334" t="e">
        <f>MID($AA$8,Z11,Z12-Z11)</f>
        <v>#VALUE!</v>
      </c>
      <c r="AB12" s="2334"/>
      <c r="AC12" s="2334"/>
      <c r="AD12" s="2334"/>
      <c r="AE12" s="2334"/>
      <c r="AF12" s="2334" t="e">
        <f>LEN(AA12)</f>
        <v>#VALUE!</v>
      </c>
      <c r="AG12" s="2334">
        <f>IF(ISERROR(AA12),0,AH12)</f>
        <v>0</v>
      </c>
      <c r="AH12" s="2334">
        <v>1</v>
      </c>
      <c r="AI12" s="2386" t="e">
        <f>AA12</f>
        <v>#VALUE!</v>
      </c>
      <c r="AJ12" s="2386" t="str">
        <f>IF(ISERROR(AI12),$I$2&amp;$I$2&amp;",",$I$2&amp;AI12&amp;$J$2)</f>
        <v>"",</v>
      </c>
      <c r="AK12" t="s">
        <v>3010</v>
      </c>
      <c r="AU12" s="2408"/>
      <c r="AV12" s="2409"/>
      <c r="AW12" s="2409"/>
      <c r="AX12" s="2409"/>
      <c r="AY12" s="2409"/>
      <c r="AZ12" s="2410"/>
    </row>
    <row r="13" spans="1:52" ht="15" thickBot="1" x14ac:dyDescent="0.4">
      <c r="A13" t="s">
        <v>2971</v>
      </c>
      <c r="B13" s="2334" t="e">
        <f t="shared" si="0"/>
        <v>#VALUE!</v>
      </c>
      <c r="D13" s="2415" t="e">
        <f>IF(E13=TRUE,D12,$I$2&amp;MID($AA$3,B12+1,B13-(B12+1))&amp;$J$2)</f>
        <v>#VALUE!</v>
      </c>
      <c r="E13" s="2415" t="b">
        <f>ISERROR(SEARCH("/",E12))</f>
        <v>1</v>
      </c>
      <c r="F13" s="2425"/>
      <c r="G13" s="2415"/>
      <c r="H13" s="2415" t="str">
        <f>IF(ISERROR(D9),$I$2&amp;$J$2,IF(E13=TRUE,H12,$I$2&amp;MID(E12,4,2)&amp;"/"&amp;MID(E12,1,2)&amp;"/"&amp;MID(E12,7,4)&amp;$J$2))</f>
        <v>"",</v>
      </c>
      <c r="I13" s="2415"/>
      <c r="J13" s="2415"/>
      <c r="K13" s="2424"/>
      <c r="S13" s="2418" t="s">
        <v>2979</v>
      </c>
      <c r="T13" s="5">
        <f t="shared" si="2"/>
        <v>5</v>
      </c>
      <c r="U13" t="str">
        <f t="shared" si="3"/>
        <v>5</v>
      </c>
      <c r="V13" s="1545" t="str">
        <f t="shared" si="1"/>
        <v>2000</v>
      </c>
      <c r="Y13" s="2334" t="e">
        <f t="shared" ref="Y13:Y20" si="4">Z12&amp;" to "&amp;Z13</f>
        <v>#VALUE!</v>
      </c>
      <c r="Z13" s="2334" t="e">
        <f>FIND(",",$AA$8,Z12+3)</f>
        <v>#VALUE!</v>
      </c>
      <c r="AA13" s="2334" t="e">
        <f>MID($AA$8,Z12+2,Z13-Z12-2)</f>
        <v>#VALUE!</v>
      </c>
      <c r="AB13" s="2334"/>
      <c r="AC13" s="2334"/>
      <c r="AD13" s="2334"/>
      <c r="AE13" s="2334"/>
      <c r="AF13" s="2334" t="e">
        <f t="shared" ref="AF13:AF20" si="5">LEN(AA13)</f>
        <v>#VALUE!</v>
      </c>
      <c r="AG13" s="2334">
        <f t="shared" ref="AG13:AG20" si="6">IF(ISERROR(AA13),0,AH13)</f>
        <v>0</v>
      </c>
      <c r="AH13" s="2334">
        <v>2</v>
      </c>
      <c r="AI13" s="2386" t="e">
        <f t="shared" ref="AI13:AI20" si="7">AA13</f>
        <v>#VALUE!</v>
      </c>
      <c r="AJ13" s="2386" t="str">
        <f>IF(ISERROR(AI13),$I$2&amp;$I$2&amp;",",$I$2&amp;AI13&amp;$J$2)</f>
        <v>"",</v>
      </c>
      <c r="AK13" t="s">
        <v>3009</v>
      </c>
      <c r="AU13" s="2412"/>
      <c r="AV13" s="2413"/>
      <c r="AW13" s="2413"/>
      <c r="AX13" s="2413"/>
      <c r="AY13" s="2413"/>
      <c r="AZ13" s="2414"/>
    </row>
    <row r="14" spans="1:52" x14ac:dyDescent="0.35">
      <c r="B14" s="2334" t="e">
        <f t="shared" si="0"/>
        <v>#VALUE!</v>
      </c>
      <c r="D14" s="2415" t="e">
        <f>CONCATENATE(D2,D3,D9,D8,F8,AA28,E3)</f>
        <v>#VALUE!</v>
      </c>
      <c r="E14" s="2415"/>
      <c r="F14" s="2425"/>
      <c r="G14" s="2415"/>
      <c r="H14" s="2415"/>
      <c r="I14" s="2415"/>
      <c r="J14" s="2415"/>
      <c r="K14" s="2424"/>
      <c r="S14" s="2418" t="s">
        <v>2980</v>
      </c>
      <c r="T14" s="5">
        <f t="shared" si="2"/>
        <v>4</v>
      </c>
      <c r="U14" t="str">
        <f t="shared" si="3"/>
        <v>4</v>
      </c>
      <c r="V14" s="1545" t="str">
        <f t="shared" si="1"/>
        <v>1995</v>
      </c>
      <c r="Y14" s="2334" t="e">
        <f t="shared" si="4"/>
        <v>#VALUE!</v>
      </c>
      <c r="Z14" s="2334" t="e">
        <f t="shared" ref="Z14:Z20" si="8">FIND(",",$AA$8,Z13+3)</f>
        <v>#VALUE!</v>
      </c>
      <c r="AA14" s="2334" t="e">
        <f t="shared" ref="AA14:AA20" si="9">MID($AA$8,Z13+2,Z14-Z13-2)</f>
        <v>#VALUE!</v>
      </c>
      <c r="AB14" s="2334"/>
      <c r="AC14" s="2334"/>
      <c r="AD14" s="2334"/>
      <c r="AE14" s="2334"/>
      <c r="AF14" s="2334" t="e">
        <f t="shared" si="5"/>
        <v>#VALUE!</v>
      </c>
      <c r="AG14" s="2334">
        <f t="shared" si="6"/>
        <v>0</v>
      </c>
      <c r="AH14" s="2334">
        <v>3</v>
      </c>
      <c r="AI14" s="2386" t="e">
        <f t="shared" si="7"/>
        <v>#VALUE!</v>
      </c>
      <c r="AJ14" s="2386" t="e">
        <f>HLOOKUP($AG$21,$AM$11:$AO$18,4,FALSE)</f>
        <v>#N/A</v>
      </c>
      <c r="AK14" t="s">
        <v>3008</v>
      </c>
      <c r="AM14" t="str">
        <f>$I$2&amp;$I$2&amp;","</f>
        <v>"",</v>
      </c>
      <c r="AN14" t="e">
        <f>$I$2&amp;VLOOKUP(3,$AH$12:$AI$20,2,FALSE)&amp;$J$2</f>
        <v>#VALUE!</v>
      </c>
      <c r="AO14" t="e">
        <f>AN14</f>
        <v>#VALUE!</v>
      </c>
    </row>
    <row r="15" spans="1:52" x14ac:dyDescent="0.35">
      <c r="B15" s="2334" t="e">
        <f t="shared" si="0"/>
        <v>#VALUE!</v>
      </c>
      <c r="D15" s="2415" t="e">
        <f>CONCATENATE(H10,F12,H12,H13)</f>
        <v>#N/A</v>
      </c>
      <c r="E15" s="2415"/>
      <c r="F15" s="2426"/>
      <c r="G15" s="2427"/>
      <c r="H15" s="2427"/>
      <c r="I15" s="2427"/>
      <c r="J15" s="2427"/>
      <c r="K15" s="2428"/>
      <c r="L15" s="5">
        <f>IF(ISERROR(D9),1,MID(H12,8,4)&amp;MID(H12,5,2)&amp;MID(H12,2,2)&amp;MID(H13,8,4)&amp;MID(H13,5,2)&amp;MID(H13,2,2))</f>
        <v>1</v>
      </c>
      <c r="M15">
        <f>IF(ISERROR(J10),1,L10&amp;L15)</f>
        <v>1</v>
      </c>
      <c r="N15" s="5">
        <f>VALUE(M15)</f>
        <v>1</v>
      </c>
      <c r="O15" t="str">
        <f>IF(N15=1,"",D15)</f>
        <v/>
      </c>
      <c r="S15" s="2418" t="s">
        <v>2981</v>
      </c>
      <c r="T15" s="5">
        <f t="shared" si="2"/>
        <v>3</v>
      </c>
      <c r="U15" t="str">
        <f t="shared" si="3"/>
        <v>3</v>
      </c>
      <c r="V15" s="1545" t="str">
        <f t="shared" si="1"/>
        <v>1990</v>
      </c>
      <c r="Y15" s="2334" t="e">
        <f t="shared" si="4"/>
        <v>#VALUE!</v>
      </c>
      <c r="Z15" s="2334" t="e">
        <f t="shared" si="8"/>
        <v>#VALUE!</v>
      </c>
      <c r="AA15" s="2334" t="e">
        <f t="shared" si="9"/>
        <v>#VALUE!</v>
      </c>
      <c r="AB15" s="2334"/>
      <c r="AC15" s="2334"/>
      <c r="AD15" s="2334"/>
      <c r="AE15" s="2334"/>
      <c r="AF15" s="2334" t="e">
        <f t="shared" si="5"/>
        <v>#VALUE!</v>
      </c>
      <c r="AG15" s="2334">
        <f t="shared" si="6"/>
        <v>0</v>
      </c>
      <c r="AH15" s="2334">
        <v>4</v>
      </c>
      <c r="AI15" s="2386" t="e">
        <f t="shared" si="7"/>
        <v>#VALUE!</v>
      </c>
      <c r="AJ15" s="2386" t="e">
        <f>HLOOKUP($AG$21,$AM$11:$AO$18,5,FALSE)</f>
        <v>#N/A</v>
      </c>
      <c r="AK15" t="s">
        <v>3007</v>
      </c>
      <c r="AM15" t="e">
        <f>$I$2&amp;VLOOKUP(3,$AH$12:$AI$20,2,FALSE)&amp;$J$2</f>
        <v>#VALUE!</v>
      </c>
      <c r="AN15" t="e">
        <f>$I$2&amp;VLOOKUP(4,$AH$12:$AI$20,2,FALSE)&amp;$J$2</f>
        <v>#VALUE!</v>
      </c>
      <c r="AO15" t="e">
        <f>AN15</f>
        <v>#VALUE!</v>
      </c>
    </row>
    <row r="16" spans="1:52" x14ac:dyDescent="0.35">
      <c r="B16" s="2334" t="e">
        <f t="shared" si="0"/>
        <v>#VALUE!</v>
      </c>
      <c r="S16" s="2418" t="s">
        <v>3022</v>
      </c>
      <c r="T16" s="5">
        <f>T15-2</f>
        <v>1</v>
      </c>
      <c r="U16" t="str">
        <f t="shared" si="3"/>
        <v>1</v>
      </c>
      <c r="V16" s="1545" t="str">
        <f t="shared" si="1"/>
        <v>1</v>
      </c>
      <c r="Y16" s="2334" t="e">
        <f t="shared" si="4"/>
        <v>#VALUE!</v>
      </c>
      <c r="Z16" s="2334" t="e">
        <f t="shared" si="8"/>
        <v>#VALUE!</v>
      </c>
      <c r="AA16" s="2334" t="e">
        <f t="shared" si="9"/>
        <v>#VALUE!</v>
      </c>
      <c r="AB16" s="2334"/>
      <c r="AC16" s="2334"/>
      <c r="AD16" s="2334"/>
      <c r="AE16" s="2334"/>
      <c r="AF16" s="2334" t="e">
        <f t="shared" si="5"/>
        <v>#VALUE!</v>
      </c>
      <c r="AG16" s="2334">
        <f t="shared" si="6"/>
        <v>0</v>
      </c>
      <c r="AH16" s="2334">
        <v>5</v>
      </c>
      <c r="AI16" s="2386" t="e">
        <f t="shared" si="7"/>
        <v>#VALUE!</v>
      </c>
      <c r="AJ16" s="2386" t="e">
        <f>HLOOKUP($AG$21,$AM$11:$AO$18,6,FALSE)</f>
        <v>#N/A</v>
      </c>
      <c r="AK16" t="s">
        <v>3006</v>
      </c>
      <c r="AM16" t="str">
        <f>$I$2&amp;$I$2&amp;","</f>
        <v>"",</v>
      </c>
      <c r="AN16" t="str">
        <f>$I$2&amp;$I$2&amp;","</f>
        <v>"",</v>
      </c>
      <c r="AO16" t="e">
        <f>$I$2&amp;VLOOKUP(5,$AH$12:$AI$20,2,FALSE)&amp;$J$2</f>
        <v>#VALUE!</v>
      </c>
    </row>
    <row r="17" spans="1:37" x14ac:dyDescent="0.35">
      <c r="A17" t="e">
        <f>MID(D9,2,4)</f>
        <v>#VALUE!</v>
      </c>
      <c r="B17" s="2334" t="e">
        <f>FIND(A17,$AA$3,B16+1)</f>
        <v>#VALUE!</v>
      </c>
      <c r="H17" t="str">
        <f>MID(D17,4,2)&amp;"/"&amp;LEFT(D17,2)&amp;"/"&amp;RIGHT(D17,4)</f>
        <v>//</v>
      </c>
      <c r="S17" s="1545"/>
      <c r="T17" s="1545"/>
      <c r="U17" s="1545"/>
      <c r="Y17" s="2334" t="e">
        <f t="shared" si="4"/>
        <v>#VALUE!</v>
      </c>
      <c r="Z17" s="2334" t="e">
        <f t="shared" si="8"/>
        <v>#VALUE!</v>
      </c>
      <c r="AA17" s="2334" t="e">
        <f t="shared" si="9"/>
        <v>#VALUE!</v>
      </c>
      <c r="AB17" s="2334"/>
      <c r="AC17" s="2334"/>
      <c r="AD17" s="2334"/>
      <c r="AE17" s="2334"/>
      <c r="AF17" s="2334" t="e">
        <f t="shared" si="5"/>
        <v>#VALUE!</v>
      </c>
      <c r="AG17" s="2334">
        <f t="shared" si="6"/>
        <v>0</v>
      </c>
      <c r="AH17" s="2334">
        <v>6</v>
      </c>
      <c r="AI17" s="2386" t="e">
        <f t="shared" si="7"/>
        <v>#VALUE!</v>
      </c>
      <c r="AJ17" s="2386" t="e">
        <f>$I$2&amp;VLOOKUP($AG$21,$AH$12:$AI$20,2,FALSE)&amp;$J$2</f>
        <v>#N/A</v>
      </c>
      <c r="AK17" t="s">
        <v>3005</v>
      </c>
    </row>
    <row r="18" spans="1:37" x14ac:dyDescent="0.35">
      <c r="B18" s="2334" t="e">
        <f t="shared" ref="B18:B25" si="10">FIND(",",$AA$3,B17+1)</f>
        <v>#VALUE!</v>
      </c>
      <c r="D18" s="2415" t="e">
        <f>$I$2&amp;MID($AA$3,B17,B18-(B17))&amp;$J$2</f>
        <v>#VALUE!</v>
      </c>
      <c r="E18" s="2415"/>
      <c r="F18" s="2419"/>
      <c r="G18" s="2420"/>
      <c r="H18" s="2420"/>
      <c r="I18" s="2420"/>
      <c r="J18" s="2420"/>
      <c r="K18" s="2421"/>
      <c r="S18" s="1545"/>
      <c r="Y18" s="2334" t="e">
        <f t="shared" si="4"/>
        <v>#VALUE!</v>
      </c>
      <c r="Z18" s="2334" t="e">
        <f t="shared" si="8"/>
        <v>#VALUE!</v>
      </c>
      <c r="AA18" s="2334" t="e">
        <f t="shared" si="9"/>
        <v>#VALUE!</v>
      </c>
      <c r="AB18" s="2334"/>
      <c r="AC18" s="2334"/>
      <c r="AD18" s="2334"/>
      <c r="AE18" s="2334"/>
      <c r="AF18" s="2334" t="e">
        <f t="shared" si="5"/>
        <v>#VALUE!</v>
      </c>
      <c r="AG18" s="2334">
        <f t="shared" si="6"/>
        <v>0</v>
      </c>
      <c r="AH18" s="2334">
        <v>7</v>
      </c>
      <c r="AI18" s="2386" t="e">
        <f t="shared" si="7"/>
        <v>#VALUE!</v>
      </c>
      <c r="AJ18" s="2386" t="str">
        <f>IF(ISERROR(AI18),$I$2&amp;$I$2&amp;",",$I$2&amp;AI18&amp;$J$2)</f>
        <v>"",</v>
      </c>
      <c r="AK18" t="s">
        <v>3004</v>
      </c>
    </row>
    <row r="19" spans="1:37" x14ac:dyDescent="0.35">
      <c r="B19" s="2334" t="e">
        <f t="shared" si="10"/>
        <v>#VALUE!</v>
      </c>
      <c r="D19" s="2415" t="e">
        <f>$I$2&amp;MID($AA$3,B18+1,B19-(B18+1))&amp;$J$2</f>
        <v>#VALUE!</v>
      </c>
      <c r="E19" s="2415" t="e">
        <f>D20</f>
        <v>#VALUE!</v>
      </c>
      <c r="F19" s="2422" t="e">
        <f>HLOOKUP(I19,$AD$49:$AJ$51,3,FALSE)</f>
        <v>#N/A</v>
      </c>
      <c r="G19" s="2334" t="e">
        <f>IF(F19=N24,"START","")</f>
        <v>#N/A</v>
      </c>
      <c r="H19" s="2334" t="e">
        <f>IF(G19="","",$I$2&amp;I19&amp;G19&amp;$J$2)</f>
        <v>#N/A</v>
      </c>
      <c r="I19" s="2334">
        <f>IF(ISERROR(D18),K10,MID(D19,2,4))</f>
        <v>0</v>
      </c>
      <c r="J19" s="2423" t="e">
        <f>VLOOKUP(I19,$Z$42:$AB$50,3,FALSE)</f>
        <v>#N/A</v>
      </c>
      <c r="K19" s="2424">
        <f>VLOOKUP(I19,$Z$42:$AA$51,2,FALSE)</f>
        <v>0</v>
      </c>
      <c r="L19" s="5" t="e">
        <f>VLOOKUP(I19,$S$9:$T$15,2,FALSE)</f>
        <v>#N/A</v>
      </c>
      <c r="S19" s="1545"/>
      <c r="Y19" s="2334" t="e">
        <f t="shared" si="4"/>
        <v>#VALUE!</v>
      </c>
      <c r="Z19" s="2334" t="e">
        <f t="shared" si="8"/>
        <v>#VALUE!</v>
      </c>
      <c r="AA19" s="2334" t="e">
        <f t="shared" si="9"/>
        <v>#VALUE!</v>
      </c>
      <c r="AB19" s="2334"/>
      <c r="AC19" s="2334"/>
      <c r="AD19" s="2334"/>
      <c r="AE19" s="2334"/>
      <c r="AF19" s="2334" t="e">
        <f t="shared" si="5"/>
        <v>#VALUE!</v>
      </c>
      <c r="AG19" s="2334">
        <f t="shared" si="6"/>
        <v>0</v>
      </c>
      <c r="AH19" s="2334">
        <v>8</v>
      </c>
      <c r="AI19" s="2386" t="e">
        <f t="shared" si="7"/>
        <v>#VALUE!</v>
      </c>
      <c r="AJ19" s="2386"/>
    </row>
    <row r="20" spans="1:37" x14ac:dyDescent="0.35">
      <c r="B20" s="2334" t="e">
        <f t="shared" si="10"/>
        <v>#VALUE!</v>
      </c>
      <c r="D20" s="2415" t="e">
        <f>$I$2&amp;MID($AA$3,B19+1,B20-(B19+1))&amp;$J$2</f>
        <v>#VALUE!</v>
      </c>
      <c r="E20" s="2415"/>
      <c r="F20" s="2425"/>
      <c r="G20" s="2415"/>
      <c r="H20" s="2415"/>
      <c r="I20" s="2415"/>
      <c r="J20" s="2415"/>
      <c r="K20" s="2424"/>
      <c r="S20" s="1545"/>
      <c r="Y20" s="2334" t="e">
        <f t="shared" si="4"/>
        <v>#VALUE!</v>
      </c>
      <c r="Z20" s="2334" t="e">
        <f t="shared" si="8"/>
        <v>#VALUE!</v>
      </c>
      <c r="AA20" s="2334" t="e">
        <f t="shared" si="9"/>
        <v>#VALUE!</v>
      </c>
      <c r="AB20" s="2334"/>
      <c r="AC20" s="2334"/>
      <c r="AD20" s="2334"/>
      <c r="AE20" s="2334"/>
      <c r="AF20" s="2334" t="e">
        <f t="shared" si="5"/>
        <v>#VALUE!</v>
      </c>
      <c r="AG20" s="2334">
        <f t="shared" si="6"/>
        <v>0</v>
      </c>
      <c r="AH20" s="2334">
        <v>9</v>
      </c>
      <c r="AI20" s="2386" t="e">
        <f t="shared" si="7"/>
        <v>#VALUE!</v>
      </c>
      <c r="AJ20" s="2386"/>
    </row>
    <row r="21" spans="1:37" x14ac:dyDescent="0.35">
      <c r="B21" s="2334" t="e">
        <f t="shared" si="10"/>
        <v>#VALUE!</v>
      </c>
      <c r="D21" s="2415" t="e">
        <f>$I$2&amp;MID($AA$3,B20+1,B21-(B20+1))&amp;$J$2</f>
        <v>#VALUE!</v>
      </c>
      <c r="E21" s="2415" t="e">
        <f>MID($AA$3,B21+1,10)</f>
        <v>#VALUE!</v>
      </c>
      <c r="F21" s="2425" t="str">
        <f>IF(ISERROR(D18),$I$2&amp;$J$2,E19)</f>
        <v>"",</v>
      </c>
      <c r="G21" s="2415"/>
      <c r="H21" s="2415" t="str">
        <f>IF(ISERROR(D18),$I$2&amp;$J$2,$I$2&amp;MID(D21,5,2)&amp;"/"&amp;MID(D21,2,2)&amp;"/"&amp;MID(D21,8,4)&amp;$J$2)</f>
        <v>"",</v>
      </c>
      <c r="I21" s="2415"/>
      <c r="J21" s="2415"/>
      <c r="K21" s="2424"/>
      <c r="S21" s="1545"/>
      <c r="Y21" s="2334"/>
      <c r="Z21" s="2334"/>
      <c r="AA21" s="2334"/>
      <c r="AB21" s="2334"/>
      <c r="AC21" s="2334"/>
      <c r="AD21" s="2334"/>
      <c r="AE21" s="2334"/>
      <c r="AF21" s="2417" t="s">
        <v>2989</v>
      </c>
      <c r="AG21" s="2334">
        <f>MAX(AG12:AG20)</f>
        <v>0</v>
      </c>
      <c r="AH21" s="2334"/>
      <c r="AI21" s="2386"/>
      <c r="AJ21" s="2386"/>
    </row>
    <row r="22" spans="1:37" x14ac:dyDescent="0.35">
      <c r="B22" s="2334" t="e">
        <f t="shared" si="10"/>
        <v>#VALUE!</v>
      </c>
      <c r="D22" s="2415" t="e">
        <f>IF(E22=TRUE,D21,$I$2&amp;MID($AA$3,B21+1,B22-(B21+1))&amp;$J$2)</f>
        <v>#VALUE!</v>
      </c>
      <c r="E22" s="2415" t="b">
        <f>ISERROR(SEARCH("/",E21))</f>
        <v>1</v>
      </c>
      <c r="F22" s="2425"/>
      <c r="G22" s="2415"/>
      <c r="H22" s="2415" t="str">
        <f>IF(ISERROR(D18),$I$2&amp;$J$2,IF(E22=TRUE,H21,$I$2&amp;MID(E21,4,2)&amp;"/"&amp;MID(E21,1,2)&amp;"/"&amp;MID(E21,7,4)&amp;$J$2))</f>
        <v>"",</v>
      </c>
      <c r="I22" s="2415"/>
      <c r="J22" s="2415"/>
      <c r="K22" s="2424"/>
      <c r="AG22" s="5" t="s">
        <v>2990</v>
      </c>
      <c r="AH22" s="5">
        <v>4</v>
      </c>
      <c r="AI22" s="5">
        <v>5</v>
      </c>
      <c r="AJ22" s="5">
        <v>6</v>
      </c>
    </row>
    <row r="23" spans="1:37" x14ac:dyDescent="0.35">
      <c r="B23" s="2334" t="e">
        <f t="shared" si="10"/>
        <v>#VALUE!</v>
      </c>
      <c r="D23" s="2415"/>
      <c r="E23" s="2415"/>
      <c r="F23" s="2425"/>
      <c r="G23" s="2415"/>
      <c r="H23" s="2415"/>
      <c r="I23" s="2415"/>
      <c r="J23" s="2415"/>
      <c r="K23" s="2424"/>
      <c r="Z23" t="s">
        <v>2964</v>
      </c>
      <c r="AA23" t="e">
        <f>HLOOKUP($AG$21,$AH$22:$AJ$26,2,FALSE)</f>
        <v>#N/A</v>
      </c>
      <c r="AH23" t="e">
        <f>AA12</f>
        <v>#VALUE!</v>
      </c>
      <c r="AI23" t="e">
        <f>AH23</f>
        <v>#VALUE!</v>
      </c>
      <c r="AJ23" t="e">
        <f>AI23</f>
        <v>#VALUE!</v>
      </c>
    </row>
    <row r="24" spans="1:37" x14ac:dyDescent="0.35">
      <c r="B24" s="2334" t="e">
        <f t="shared" si="10"/>
        <v>#VALUE!</v>
      </c>
      <c r="D24" s="2415" t="e">
        <f>CONCATENATE(H19,F21,H21,H22)</f>
        <v>#N/A</v>
      </c>
      <c r="E24" s="2415"/>
      <c r="F24" s="2426"/>
      <c r="G24" s="2427"/>
      <c r="H24" s="2427"/>
      <c r="I24" s="2427"/>
      <c r="J24" s="2427"/>
      <c r="K24" s="2428"/>
      <c r="L24" s="5">
        <f>IF(ISERROR(D18),1,MID(H21,8,4)&amp;MID(H21,5,2)&amp;MID(H21,2,2)&amp;MID(H22,8,4)&amp;MID(H22,5,2)&amp;MID(H22,2,2))</f>
        <v>1</v>
      </c>
      <c r="M24">
        <f>IF(ISERROR(J19),1,L19&amp;L24)</f>
        <v>1</v>
      </c>
      <c r="N24" s="5">
        <f>VALUE(M24)</f>
        <v>1</v>
      </c>
      <c r="O24" t="str">
        <f>IF(N24=1,"",D24)</f>
        <v/>
      </c>
      <c r="Z24" t="s">
        <v>2965</v>
      </c>
      <c r="AA24" t="e">
        <f>HLOOKUP($AG$21,$AH$22:$AJ$26,3,FALSE)</f>
        <v>#N/A</v>
      </c>
      <c r="AH24" t="e">
        <f>VLOOKUP(2,AH12:AI20,2,FALSE)</f>
        <v>#VALUE!</v>
      </c>
      <c r="AI24" t="e">
        <f>AH24</f>
        <v>#VALUE!</v>
      </c>
      <c r="AJ24" t="e">
        <f>VLOOKUP(3,AH12:AI20,2,FALSE)&amp;", "&amp;VLOOKUP(4,AH12:AI20,2,FALSE)</f>
        <v>#VALUE!</v>
      </c>
    </row>
    <row r="25" spans="1:37" x14ac:dyDescent="0.35">
      <c r="B25" s="2334" t="e">
        <f t="shared" si="10"/>
        <v>#VALUE!</v>
      </c>
      <c r="D25" s="2416"/>
      <c r="E25" s="2416"/>
      <c r="F25" s="2416"/>
      <c r="G25" s="2416"/>
      <c r="H25" s="2416"/>
      <c r="I25" s="2416"/>
      <c r="J25" s="2416"/>
      <c r="K25" s="2416"/>
      <c r="Z25" t="s">
        <v>2966</v>
      </c>
      <c r="AA25" t="e">
        <f>HLOOKUP($AG$21,$AH$22:$AJ$26,4,FALSE)</f>
        <v>#N/A</v>
      </c>
      <c r="AH25" t="e">
        <f>VLOOKUP(3,AH12:AI20,2,FALSE)</f>
        <v>#VALUE!</v>
      </c>
      <c r="AI25" t="str">
        <f>$I$2&amp;$I$2</f>
        <v>""</v>
      </c>
      <c r="AJ25" t="e">
        <f>VLOOKUP(5,AH12:AI20,2,FALSE)</f>
        <v>#VALUE!</v>
      </c>
    </row>
    <row r="26" spans="1:37" x14ac:dyDescent="0.35">
      <c r="A26" t="e">
        <f>MID(D18,2,4)</f>
        <v>#VALUE!</v>
      </c>
      <c r="B26" s="2334" t="e">
        <f>FIND(A26,$AA$3,B25+1)</f>
        <v>#VALUE!</v>
      </c>
      <c r="D26" s="2416"/>
      <c r="E26" s="2416"/>
      <c r="F26" s="2416"/>
      <c r="G26" s="2416"/>
      <c r="H26" s="2416"/>
      <c r="I26" s="2416"/>
      <c r="J26" s="2416"/>
      <c r="K26" s="2416"/>
      <c r="Z26" t="s">
        <v>2967</v>
      </c>
      <c r="AA26" t="e">
        <f>HLOOKUP($AG$21,$AH$22:$AJ$26,5,FALSE)</f>
        <v>#N/A</v>
      </c>
      <c r="AH26" t="e">
        <f>VLOOKUP(AG21,AH12:AI20,2,FALSE)</f>
        <v>#N/A</v>
      </c>
      <c r="AI26" t="e">
        <f>AH26</f>
        <v>#N/A</v>
      </c>
      <c r="AJ26" t="e">
        <f>AI26</f>
        <v>#N/A</v>
      </c>
    </row>
    <row r="27" spans="1:37" x14ac:dyDescent="0.35">
      <c r="B27" s="2334" t="e">
        <f t="shared" ref="B27:B34" si="11">FIND(",",$AA$3,B26+1)</f>
        <v>#VALUE!</v>
      </c>
      <c r="D27" s="2415" t="e">
        <f>$I$2&amp;MID($AA$3,B26,B27-(B26))&amp;$J$2</f>
        <v>#VALUE!</v>
      </c>
      <c r="E27" s="2415"/>
      <c r="F27" s="2419"/>
      <c r="G27" s="2420"/>
      <c r="H27" s="2420"/>
      <c r="I27" s="2420"/>
      <c r="J27" s="2420"/>
      <c r="K27" s="2421"/>
    </row>
    <row r="28" spans="1:37" x14ac:dyDescent="0.35">
      <c r="B28" s="2334" t="e">
        <f t="shared" si="11"/>
        <v>#VALUE!</v>
      </c>
      <c r="D28" s="2415" t="e">
        <f>$I$2&amp;MID($AA$3,B27+1,B28-(B27+1))&amp;$J$2</f>
        <v>#VALUE!</v>
      </c>
      <c r="E28" s="2415" t="e">
        <f>D29</f>
        <v>#VALUE!</v>
      </c>
      <c r="F28" s="2422" t="e">
        <f>HLOOKUP(I28,$AD$49:$AJ$51,3,FALSE)</f>
        <v>#N/A</v>
      </c>
      <c r="G28" s="2334" t="e">
        <f>IF(F28=N33,"START","")</f>
        <v>#N/A</v>
      </c>
      <c r="H28" s="2334" t="e">
        <f>IF(G28="","",$I$2&amp;I28&amp;G28&amp;$J$2)</f>
        <v>#N/A</v>
      </c>
      <c r="I28" s="2334">
        <f>IF(ISERROR(D27),K19,MID(D28,2,4))</f>
        <v>0</v>
      </c>
      <c r="J28" s="2423" t="e">
        <f>VLOOKUP(I28,$Z$42:$AB$50,3,FALSE)</f>
        <v>#N/A</v>
      </c>
      <c r="K28" s="2424">
        <f>VLOOKUP(I28,$Z$42:$AA$51,2,FALSE)</f>
        <v>0</v>
      </c>
      <c r="L28" s="5" t="e">
        <f>VLOOKUP(I28,$S$9:$T$15,2,FALSE)</f>
        <v>#N/A</v>
      </c>
      <c r="Z28" t="s">
        <v>2991</v>
      </c>
      <c r="AA28" t="e">
        <f>CONCATENATE(AJ12,AJ13,AJ14,AJ15,AJ16,AJ17,AJ18)</f>
        <v>#N/A</v>
      </c>
    </row>
    <row r="29" spans="1:37" x14ac:dyDescent="0.35">
      <c r="B29" s="2334" t="e">
        <f t="shared" si="11"/>
        <v>#VALUE!</v>
      </c>
      <c r="D29" s="2415" t="e">
        <f>$I$2&amp;MID($AA$3,B28+1,B29-(B28+1))&amp;$J$2</f>
        <v>#VALUE!</v>
      </c>
      <c r="E29" s="2415"/>
      <c r="F29" s="2425"/>
      <c r="G29" s="2415"/>
      <c r="H29" s="2415"/>
      <c r="I29" s="2415"/>
      <c r="J29" s="2415"/>
      <c r="K29" s="2424"/>
    </row>
    <row r="30" spans="1:37" x14ac:dyDescent="0.35">
      <c r="B30" s="2334" t="e">
        <f t="shared" si="11"/>
        <v>#VALUE!</v>
      </c>
      <c r="D30" s="2415" t="e">
        <f>$I$2&amp;MID($AA$3,B29+1,B30-(B29+1))&amp;$J$2</f>
        <v>#VALUE!</v>
      </c>
      <c r="E30" s="2415" t="e">
        <f>MID($AA$3,B30+1,10)</f>
        <v>#VALUE!</v>
      </c>
      <c r="F30" s="2425" t="str">
        <f>IF(ISERROR(D27),$I$2&amp;$J$2,E28)</f>
        <v>"",</v>
      </c>
      <c r="G30" s="2415"/>
      <c r="H30" s="2415" t="str">
        <f>IF(ISERROR(D27),$I$2&amp;$J$2,$I$2&amp;MID(D30,5,2)&amp;"/"&amp;MID(D30,2,2)&amp;"/"&amp;MID(D30,8,4)&amp;$J$2)</f>
        <v>"",</v>
      </c>
      <c r="I30" s="2415"/>
      <c r="J30" s="2415"/>
      <c r="K30" s="2424"/>
      <c r="Z30" t="s">
        <v>660</v>
      </c>
      <c r="AA30" t="s">
        <v>606</v>
      </c>
      <c r="AB30" t="s">
        <v>1323</v>
      </c>
      <c r="AC30" t="s">
        <v>2993</v>
      </c>
      <c r="AD30" t="s">
        <v>2994</v>
      </c>
      <c r="AE30" t="s">
        <v>2995</v>
      </c>
      <c r="AF30" t="s">
        <v>2996</v>
      </c>
      <c r="AG30" t="s">
        <v>2997</v>
      </c>
      <c r="AH30" t="s">
        <v>2998</v>
      </c>
      <c r="AI30" t="s">
        <v>2999</v>
      </c>
      <c r="AJ30" t="s">
        <v>3000</v>
      </c>
      <c r="AK30" t="s">
        <v>3001</v>
      </c>
    </row>
    <row r="31" spans="1:37" x14ac:dyDescent="0.35">
      <c r="B31" s="2334" t="e">
        <f t="shared" si="11"/>
        <v>#VALUE!</v>
      </c>
      <c r="D31" s="2415" t="e">
        <f>IF(E31=TRUE,D30,$I$2&amp;MID($AA$3,B30+1,B31-(B30+1))&amp;$J$2)</f>
        <v>#VALUE!</v>
      </c>
      <c r="E31" s="2415" t="b">
        <f>ISERROR(SEARCH("/",E30))</f>
        <v>1</v>
      </c>
      <c r="F31" s="2425"/>
      <c r="G31" s="2415"/>
      <c r="H31" s="2415" t="str">
        <f>IF(ISERROR(D27),$I$2&amp;$J$2,IF(E31=TRUE,H30,$I$2&amp;MID(E30,4,2)&amp;"/"&amp;MID(E30,1,2)&amp;"/"&amp;MID(E30,7,4)&amp;$J$2))</f>
        <v>"",</v>
      </c>
      <c r="I31" s="2415"/>
      <c r="J31" s="2415"/>
      <c r="K31" s="2424"/>
      <c r="Z31" s="1545" t="str">
        <f t="shared" ref="Z31:Z39" si="12">Z42</f>
        <v>2029</v>
      </c>
      <c r="AA31" s="5">
        <f t="shared" ref="AA31:AA39" si="13">AB42</f>
        <v>0</v>
      </c>
      <c r="AB31" s="5">
        <f>AA31</f>
        <v>0</v>
      </c>
    </row>
    <row r="32" spans="1:37" x14ac:dyDescent="0.35">
      <c r="B32" s="2334" t="e">
        <f t="shared" si="11"/>
        <v>#VALUE!</v>
      </c>
      <c r="D32" s="2415"/>
      <c r="E32" s="2415"/>
      <c r="F32" s="2425"/>
      <c r="G32" s="2415"/>
      <c r="H32" s="2415"/>
      <c r="I32" s="2415"/>
      <c r="J32" s="2415"/>
      <c r="K32" s="2424"/>
      <c r="Z32" s="1545" t="str">
        <f t="shared" si="12"/>
        <v>2026</v>
      </c>
      <c r="AA32" s="5">
        <f t="shared" si="13"/>
        <v>0</v>
      </c>
      <c r="AB32" s="5">
        <f t="shared" ref="AB32:AB39" si="14">AA32</f>
        <v>0</v>
      </c>
    </row>
    <row r="33" spans="1:28" x14ac:dyDescent="0.35">
      <c r="B33" s="2334" t="e">
        <f t="shared" si="11"/>
        <v>#VALUE!</v>
      </c>
      <c r="D33" s="2415" t="e">
        <f>CONCATENATE(H28,F30,H30,H31)</f>
        <v>#N/A</v>
      </c>
      <c r="E33" s="2415"/>
      <c r="F33" s="2426"/>
      <c r="G33" s="2427"/>
      <c r="H33" s="2427"/>
      <c r="I33" s="2427"/>
      <c r="J33" s="2427"/>
      <c r="K33" s="2428"/>
      <c r="L33" s="5">
        <f>IF(ISERROR(D27),1,MID(H30,8,4)&amp;MID(H30,5,2)&amp;MID(H30,2,2)&amp;MID(H31,8,4)&amp;MID(H31,5,2)&amp;MID(H31,2,2))</f>
        <v>1</v>
      </c>
      <c r="M33">
        <f>IF(ISERROR(J28),1,L28&amp;L33)</f>
        <v>1</v>
      </c>
      <c r="N33" s="5">
        <f>VALUE(M33)</f>
        <v>1</v>
      </c>
      <c r="O33" t="str">
        <f>IF(N33=1,"",D33)</f>
        <v/>
      </c>
      <c r="Z33" s="1545" t="str">
        <f t="shared" si="12"/>
        <v>2023</v>
      </c>
      <c r="AA33" s="5">
        <f t="shared" si="13"/>
        <v>0</v>
      </c>
      <c r="AB33" s="5">
        <f t="shared" si="14"/>
        <v>0</v>
      </c>
    </row>
    <row r="34" spans="1:28" x14ac:dyDescent="0.35">
      <c r="B34" s="2334" t="e">
        <f t="shared" si="11"/>
        <v>#VALUE!</v>
      </c>
      <c r="D34" s="2416"/>
      <c r="E34" s="2416"/>
      <c r="F34" s="2416"/>
      <c r="G34" s="2416"/>
      <c r="H34" s="2416"/>
      <c r="I34" s="2416"/>
      <c r="J34" s="2416"/>
      <c r="K34" s="2416"/>
      <c r="Z34" s="1545" t="str">
        <f t="shared" si="12"/>
        <v>2017</v>
      </c>
      <c r="AA34" s="5">
        <f t="shared" si="13"/>
        <v>0</v>
      </c>
      <c r="AB34" s="5">
        <f t="shared" si="14"/>
        <v>0</v>
      </c>
    </row>
    <row r="35" spans="1:28" x14ac:dyDescent="0.35">
      <c r="A35" t="e">
        <f>MID(D27,2,4)</f>
        <v>#VALUE!</v>
      </c>
      <c r="B35" s="2334" t="e">
        <f>FIND(A35,$AA$3,B34+1)</f>
        <v>#VALUE!</v>
      </c>
      <c r="D35" s="2416"/>
      <c r="E35" s="2416"/>
      <c r="F35" s="2416"/>
      <c r="G35" s="2416"/>
      <c r="H35" s="2416"/>
      <c r="I35" s="2416"/>
      <c r="J35" s="2416"/>
      <c r="K35" s="2416"/>
      <c r="Z35" s="1545" t="str">
        <f t="shared" si="12"/>
        <v>2010</v>
      </c>
      <c r="AA35" s="5">
        <f t="shared" si="13"/>
        <v>0</v>
      </c>
      <c r="AB35" s="5">
        <f t="shared" si="14"/>
        <v>0</v>
      </c>
    </row>
    <row r="36" spans="1:28" x14ac:dyDescent="0.35">
      <c r="B36" s="2334" t="e">
        <f t="shared" ref="B36:B42" si="15">FIND(",",$AA$3,B35+1)</f>
        <v>#VALUE!</v>
      </c>
      <c r="D36" s="2415" t="e">
        <f>$I$2&amp;MID($AA$3,B35,B36-(B35))&amp;$J$2</f>
        <v>#VALUE!</v>
      </c>
      <c r="E36" s="2415"/>
      <c r="F36" s="2419"/>
      <c r="G36" s="2420"/>
      <c r="H36" s="2420"/>
      <c r="I36" s="2420"/>
      <c r="J36" s="2420"/>
      <c r="K36" s="2421"/>
      <c r="Z36" s="1545" t="str">
        <f t="shared" si="12"/>
        <v>2005</v>
      </c>
      <c r="AA36" s="5">
        <f t="shared" si="13"/>
        <v>0</v>
      </c>
      <c r="AB36" s="5">
        <f t="shared" si="14"/>
        <v>0</v>
      </c>
    </row>
    <row r="37" spans="1:28" x14ac:dyDescent="0.35">
      <c r="B37" s="2334" t="e">
        <f t="shared" si="15"/>
        <v>#VALUE!</v>
      </c>
      <c r="D37" s="2415" t="e">
        <f>$I$2&amp;MID($AA$3,B36+1,B37-(B36+1))&amp;$J$2</f>
        <v>#VALUE!</v>
      </c>
      <c r="E37" s="2415" t="e">
        <f>D38</f>
        <v>#VALUE!</v>
      </c>
      <c r="F37" s="2422" t="e">
        <f>HLOOKUP(I37,$AD$49:$AJ$51,3,FALSE)</f>
        <v>#N/A</v>
      </c>
      <c r="G37" s="2334" t="e">
        <f>IF(F37=N42,"START","")</f>
        <v>#N/A</v>
      </c>
      <c r="H37" s="2334" t="e">
        <f>IF(G37="","",$I$2&amp;I37&amp;G37&amp;$J$2)</f>
        <v>#N/A</v>
      </c>
      <c r="I37" s="2334">
        <f>IF(ISERROR(D36),K28,MID(D37,2,4))</f>
        <v>0</v>
      </c>
      <c r="J37" s="2423" t="e">
        <f>VLOOKUP(I37,$Z$42:$AB$50,3,FALSE)</f>
        <v>#N/A</v>
      </c>
      <c r="K37" s="2424">
        <f>VLOOKUP(I37,$Z$42:$AA$51,2,FALSE)</f>
        <v>0</v>
      </c>
      <c r="L37" s="5" t="e">
        <f>VLOOKUP(I37,$S$9:$T$15,2,FALSE)</f>
        <v>#N/A</v>
      </c>
      <c r="Z37" s="1545" t="str">
        <f t="shared" si="12"/>
        <v>2000</v>
      </c>
      <c r="AA37" s="5">
        <f t="shared" si="13"/>
        <v>0</v>
      </c>
      <c r="AB37" s="5">
        <f t="shared" si="14"/>
        <v>0</v>
      </c>
    </row>
    <row r="38" spans="1:28" x14ac:dyDescent="0.35">
      <c r="B38" s="2334" t="e">
        <f t="shared" si="15"/>
        <v>#VALUE!</v>
      </c>
      <c r="D38" s="2415" t="e">
        <f>$I$2&amp;MID($AA$3,B37+1,B38-(B37+1))&amp;$J$2</f>
        <v>#VALUE!</v>
      </c>
      <c r="E38" s="2415"/>
      <c r="F38" s="2425"/>
      <c r="G38" s="2415"/>
      <c r="H38" s="2415"/>
      <c r="I38" s="2415"/>
      <c r="J38" s="2415"/>
      <c r="K38" s="2424"/>
      <c r="Z38" s="1545" t="str">
        <f t="shared" si="12"/>
        <v>1995</v>
      </c>
      <c r="AA38" s="5">
        <f t="shared" si="13"/>
        <v>0</v>
      </c>
      <c r="AB38" s="5">
        <f t="shared" si="14"/>
        <v>0</v>
      </c>
    </row>
    <row r="39" spans="1:28" x14ac:dyDescent="0.35">
      <c r="B39" s="2334" t="e">
        <f t="shared" si="15"/>
        <v>#VALUE!</v>
      </c>
      <c r="D39" s="2415" t="e">
        <f>$I$2&amp;MID($AA$3,B38+1,B39-(B38+1))&amp;$J$2</f>
        <v>#VALUE!</v>
      </c>
      <c r="E39" s="2415" t="e">
        <f>MID($AA$3,B39+1,10)</f>
        <v>#VALUE!</v>
      </c>
      <c r="F39" s="2425" t="str">
        <f>IF(ISERROR(D36),$I$2&amp;$J$2,E37)</f>
        <v>"",</v>
      </c>
      <c r="G39" s="2415"/>
      <c r="H39" s="2415" t="str">
        <f>IF(ISERROR(D36),$I$2&amp;$J$2,$I$2&amp;MID(D39,5,2)&amp;"/"&amp;MID(D39,2,2)&amp;"/"&amp;MID(D39,8,4)&amp;$J$2)</f>
        <v>"",</v>
      </c>
      <c r="I39" s="2415"/>
      <c r="J39" s="2415"/>
      <c r="K39" s="2424"/>
      <c r="Z39" s="1545" t="str">
        <f t="shared" si="12"/>
        <v>1990</v>
      </c>
      <c r="AA39" s="5">
        <f t="shared" si="13"/>
        <v>0</v>
      </c>
      <c r="AB39" s="5">
        <f t="shared" si="14"/>
        <v>0</v>
      </c>
    </row>
    <row r="40" spans="1:28" x14ac:dyDescent="0.35">
      <c r="B40" s="2334" t="e">
        <f t="shared" si="15"/>
        <v>#VALUE!</v>
      </c>
      <c r="D40" s="2415" t="e">
        <f>IF(E40=TRUE,D39,$I$2&amp;MID($AA$3,B39+1,B40-(B39+1))&amp;$J$2)</f>
        <v>#VALUE!</v>
      </c>
      <c r="E40" s="2415" t="b">
        <f>ISERROR(SEARCH("/",E39))</f>
        <v>1</v>
      </c>
      <c r="F40" s="2425"/>
      <c r="G40" s="2415"/>
      <c r="H40" s="2415" t="str">
        <f>IF(ISERROR(D36),$I$2&amp;$J$2,IF(E40=TRUE,H39,$I$2&amp;MID(E39,4,2)&amp;"/"&amp;MID(E39,1,2)&amp;"/"&amp;MID(E39,7,4)&amp;$J$2))</f>
        <v>"",</v>
      </c>
      <c r="I40" s="2415"/>
      <c r="J40" s="2415"/>
      <c r="K40" s="2424"/>
    </row>
    <row r="41" spans="1:28" x14ac:dyDescent="0.35">
      <c r="B41" s="2334" t="e">
        <f t="shared" si="15"/>
        <v>#VALUE!</v>
      </c>
      <c r="D41" s="2415"/>
      <c r="E41" s="2415"/>
      <c r="F41" s="2425"/>
      <c r="G41" s="2415"/>
      <c r="H41" s="2415"/>
      <c r="I41" s="2415"/>
      <c r="J41" s="2415"/>
      <c r="K41" s="2424"/>
      <c r="Z41" s="2429" t="s">
        <v>2982</v>
      </c>
      <c r="AA41" s="2429" t="s">
        <v>577</v>
      </c>
      <c r="AB41" s="503" t="s">
        <v>2992</v>
      </c>
    </row>
    <row r="42" spans="1:28" x14ac:dyDescent="0.35">
      <c r="B42" s="2334" t="e">
        <f t="shared" si="15"/>
        <v>#VALUE!</v>
      </c>
      <c r="D42" s="2415" t="e">
        <f>CONCATENATE(H37,F39,H39,H40)</f>
        <v>#N/A</v>
      </c>
      <c r="E42" s="2415"/>
      <c r="F42" s="2426"/>
      <c r="G42" s="2427"/>
      <c r="H42" s="2427"/>
      <c r="I42" s="2427"/>
      <c r="J42" s="2427"/>
      <c r="K42" s="2428"/>
      <c r="L42" s="5">
        <f>IF(ISERROR(D36),1,MID(H39,8,4)&amp;MID(H39,5,2)&amp;MID(H39,2,2)&amp;MID(H40,8,4)&amp;MID(H40,5,2)&amp;MID(H40,2,2))</f>
        <v>1</v>
      </c>
      <c r="M42">
        <f>IF(ISERROR(J37),1,L37&amp;L42)</f>
        <v>1</v>
      </c>
      <c r="N42" s="5">
        <f>VALUE(M42)</f>
        <v>1</v>
      </c>
      <c r="O42" t="str">
        <f>IF(N42=1,"",D42)</f>
        <v/>
      </c>
      <c r="Z42" s="2429" t="s">
        <v>2974</v>
      </c>
      <c r="AA42" s="2429" t="str">
        <f t="shared" ref="AA42:AA49" si="16">Z43</f>
        <v>2026</v>
      </c>
      <c r="AB42" s="7">
        <f t="shared" ref="AB42:AB50" si="17">COUNTIF($I$9:$I$206,Z42)</f>
        <v>0</v>
      </c>
    </row>
    <row r="43" spans="1:28" x14ac:dyDescent="0.35">
      <c r="B43" s="2334" t="e">
        <f>FIND(",",$AA$3,B42+1)</f>
        <v>#VALUE!</v>
      </c>
      <c r="D43" s="2416"/>
      <c r="E43" s="2416"/>
      <c r="F43" s="2416"/>
      <c r="G43" s="2416"/>
      <c r="H43" s="2416"/>
      <c r="I43" s="2416"/>
      <c r="J43" s="2416"/>
      <c r="K43" s="2416"/>
      <c r="Z43" s="2429" t="s">
        <v>2975</v>
      </c>
      <c r="AA43" s="2429" t="str">
        <f t="shared" si="16"/>
        <v>2023</v>
      </c>
      <c r="AB43" s="7">
        <f t="shared" si="17"/>
        <v>0</v>
      </c>
    </row>
    <row r="44" spans="1:28" x14ac:dyDescent="0.35">
      <c r="A44" t="e">
        <f>MID(D36,2,4)</f>
        <v>#VALUE!</v>
      </c>
      <c r="B44" s="2334" t="e">
        <f>FIND(A44,$AA$3,B43+1)</f>
        <v>#VALUE!</v>
      </c>
      <c r="D44" s="2416"/>
      <c r="E44" s="2416"/>
      <c r="F44" s="2416"/>
      <c r="G44" s="2416"/>
      <c r="H44" s="2416"/>
      <c r="I44" s="2416"/>
      <c r="J44" s="2416"/>
      <c r="K44" s="2416"/>
      <c r="Z44" s="2429" t="s">
        <v>2976</v>
      </c>
      <c r="AA44" s="2429" t="str">
        <f t="shared" si="16"/>
        <v>2017</v>
      </c>
      <c r="AB44" s="7">
        <f t="shared" si="17"/>
        <v>0</v>
      </c>
    </row>
    <row r="45" spans="1:28" x14ac:dyDescent="0.35">
      <c r="B45" s="2334" t="e">
        <f t="shared" ref="B45:B51" si="18">FIND(",",$AA$3,B44+1)</f>
        <v>#VALUE!</v>
      </c>
      <c r="D45" s="2415" t="e">
        <f>$I$2&amp;MID($AA$3,B44,B45-(B44))&amp;$J$2</f>
        <v>#VALUE!</v>
      </c>
      <c r="E45" s="2415"/>
      <c r="F45" s="2419"/>
      <c r="G45" s="2420"/>
      <c r="H45" s="2420"/>
      <c r="I45" s="2420"/>
      <c r="J45" s="2420"/>
      <c r="K45" s="2421"/>
      <c r="Z45" s="2429" t="s">
        <v>2658</v>
      </c>
      <c r="AA45" s="2429" t="str">
        <f t="shared" si="16"/>
        <v>2010</v>
      </c>
      <c r="AB45" s="7">
        <f t="shared" si="17"/>
        <v>0</v>
      </c>
    </row>
    <row r="46" spans="1:28" x14ac:dyDescent="0.35">
      <c r="B46" s="2334" t="e">
        <f t="shared" si="18"/>
        <v>#VALUE!</v>
      </c>
      <c r="D46" s="2415" t="e">
        <f>$I$2&amp;MID($AA$3,B45+1,B46-(B45+1))&amp;$J$2</f>
        <v>#VALUE!</v>
      </c>
      <c r="E46" s="2415" t="e">
        <f>D47</f>
        <v>#VALUE!</v>
      </c>
      <c r="F46" s="2422" t="e">
        <f>HLOOKUP(I46,$AD$49:$AJ$51,3,FALSE)</f>
        <v>#N/A</v>
      </c>
      <c r="G46" s="2334" t="e">
        <f>IF(F46=N51,"START","")</f>
        <v>#N/A</v>
      </c>
      <c r="H46" s="2334" t="e">
        <f>IF(G46="","",$I$2&amp;I46&amp;G46&amp;$J$2)</f>
        <v>#N/A</v>
      </c>
      <c r="I46" s="2334">
        <f>IF(ISERROR(D45),K37,MID(D46,2,4))</f>
        <v>0</v>
      </c>
      <c r="J46" s="2423" t="e">
        <f>VLOOKUP(I46,$Z$42:$AB$50,3,FALSE)</f>
        <v>#N/A</v>
      </c>
      <c r="K46" s="2424">
        <f>VLOOKUP(I46,$Z$42:$AA$51,2,FALSE)</f>
        <v>0</v>
      </c>
      <c r="L46" s="5" t="e">
        <f>VLOOKUP(I46,$S$9:$T$15,2,FALSE)</f>
        <v>#N/A</v>
      </c>
      <c r="Z46" s="2429" t="s">
        <v>2977</v>
      </c>
      <c r="AA46" s="2429" t="str">
        <f t="shared" si="16"/>
        <v>2005</v>
      </c>
      <c r="AB46" s="7">
        <f t="shared" si="17"/>
        <v>0</v>
      </c>
    </row>
    <row r="47" spans="1:28" x14ac:dyDescent="0.35">
      <c r="B47" s="2334" t="e">
        <f t="shared" si="18"/>
        <v>#VALUE!</v>
      </c>
      <c r="D47" s="2415" t="e">
        <f>$I$2&amp;MID($AA$3,B46+1,B47-(B46+1))&amp;$J$2</f>
        <v>#VALUE!</v>
      </c>
      <c r="E47" s="2415"/>
      <c r="F47" s="2425"/>
      <c r="G47" s="2415"/>
      <c r="H47" s="2415"/>
      <c r="I47" s="2415"/>
      <c r="J47" s="2415"/>
      <c r="K47" s="2424"/>
      <c r="Z47" s="2429" t="s">
        <v>2978</v>
      </c>
      <c r="AA47" s="2429" t="str">
        <f t="shared" si="16"/>
        <v>2000</v>
      </c>
      <c r="AB47" s="7">
        <f t="shared" si="17"/>
        <v>0</v>
      </c>
    </row>
    <row r="48" spans="1:28" x14ac:dyDescent="0.35">
      <c r="B48" s="2334" t="e">
        <f t="shared" si="18"/>
        <v>#VALUE!</v>
      </c>
      <c r="D48" s="2415" t="e">
        <f>$I$2&amp;MID($AA$3,B47+1,B48-(B47+1))&amp;$J$2</f>
        <v>#VALUE!</v>
      </c>
      <c r="E48" s="2415" t="e">
        <f>MID($AA$3,B48+1,10)</f>
        <v>#VALUE!</v>
      </c>
      <c r="F48" s="2425" t="str">
        <f>IF(ISERROR(D45),$I$2&amp;$J$2,E46)</f>
        <v>"",</v>
      </c>
      <c r="G48" s="2415"/>
      <c r="H48" s="2415" t="str">
        <f>IF(ISERROR(D45),$I$2&amp;$J$2,$I$2&amp;MID(D48,5,2)&amp;"/"&amp;MID(D48,2,2)&amp;"/"&amp;MID(D48,8,4)&amp;$J$2)</f>
        <v>"",</v>
      </c>
      <c r="I48" s="2415"/>
      <c r="J48" s="2415"/>
      <c r="K48" s="2424"/>
      <c r="Z48" s="2429" t="s">
        <v>2979</v>
      </c>
      <c r="AA48" s="2429" t="str">
        <f t="shared" si="16"/>
        <v>1995</v>
      </c>
      <c r="AB48" s="7">
        <f t="shared" si="17"/>
        <v>0</v>
      </c>
    </row>
    <row r="49" spans="1:36" x14ac:dyDescent="0.35">
      <c r="B49" s="2334" t="e">
        <f t="shared" si="18"/>
        <v>#VALUE!</v>
      </c>
      <c r="D49" s="2415" t="e">
        <f>IF(E49=TRUE,D48,$I$2&amp;MID($AA$3,B48+1,B49-(B48+1))&amp;$J$2)</f>
        <v>#VALUE!</v>
      </c>
      <c r="E49" s="2415" t="b">
        <f>ISERROR(SEARCH("/",E48))</f>
        <v>1</v>
      </c>
      <c r="F49" s="2425"/>
      <c r="G49" s="2415"/>
      <c r="H49" s="2415" t="str">
        <f>IF(ISERROR(D45),$I$2&amp;$J$2,IF(E49=TRUE,H48,$I$2&amp;MID(E48,4,2)&amp;"/"&amp;MID(E48,1,2)&amp;"/"&amp;MID(E48,7,4)&amp;$J$2))</f>
        <v>"",</v>
      </c>
      <c r="I49" s="2415"/>
      <c r="J49" s="2415"/>
      <c r="K49" s="2424"/>
      <c r="Z49" s="2429" t="s">
        <v>2980</v>
      </c>
      <c r="AA49" s="2429" t="str">
        <f t="shared" si="16"/>
        <v>1990</v>
      </c>
      <c r="AB49" s="7">
        <f t="shared" si="17"/>
        <v>0</v>
      </c>
      <c r="AD49" s="2418" t="s">
        <v>2976</v>
      </c>
      <c r="AE49" s="2418" t="s">
        <v>2658</v>
      </c>
      <c r="AF49" s="2418" t="s">
        <v>2977</v>
      </c>
      <c r="AG49" s="2418" t="s">
        <v>2978</v>
      </c>
      <c r="AH49" s="2418" t="s">
        <v>2979</v>
      </c>
      <c r="AI49" s="2418" t="s">
        <v>2980</v>
      </c>
      <c r="AJ49" s="2418" t="s">
        <v>2981</v>
      </c>
    </row>
    <row r="50" spans="1:36" x14ac:dyDescent="0.35">
      <c r="B50" s="2334" t="e">
        <f t="shared" si="18"/>
        <v>#VALUE!</v>
      </c>
      <c r="D50" s="2415"/>
      <c r="E50" s="2415"/>
      <c r="F50" s="2425"/>
      <c r="G50" s="2415"/>
      <c r="H50" s="2415"/>
      <c r="I50" s="2415"/>
      <c r="J50" s="2415"/>
      <c r="K50" s="2424"/>
      <c r="Z50" s="2429" t="s">
        <v>2981</v>
      </c>
      <c r="AA50" s="2429">
        <f>T17</f>
        <v>0</v>
      </c>
      <c r="AB50" s="7">
        <f t="shared" si="17"/>
        <v>0</v>
      </c>
      <c r="AD50" s="5">
        <f>MIN(AD52:AD73)</f>
        <v>1000</v>
      </c>
      <c r="AE50" s="5">
        <f t="shared" ref="AE50:AJ50" si="19">MIN(AE52:AE73)</f>
        <v>1000</v>
      </c>
      <c r="AF50" s="5">
        <f t="shared" si="19"/>
        <v>1000</v>
      </c>
      <c r="AG50" s="5">
        <f t="shared" si="19"/>
        <v>1000</v>
      </c>
      <c r="AH50" s="5">
        <f t="shared" si="19"/>
        <v>1000</v>
      </c>
      <c r="AI50" s="5">
        <f t="shared" si="19"/>
        <v>1000</v>
      </c>
      <c r="AJ50" s="5">
        <f t="shared" si="19"/>
        <v>1000</v>
      </c>
    </row>
    <row r="51" spans="1:36" x14ac:dyDescent="0.35">
      <c r="B51" s="2334" t="e">
        <f t="shared" si="18"/>
        <v>#VALUE!</v>
      </c>
      <c r="D51" s="2415" t="e">
        <f>CONCATENATE(H46,F48,H48,H49)</f>
        <v>#N/A</v>
      </c>
      <c r="E51" s="2415"/>
      <c r="F51" s="2426"/>
      <c r="G51" s="2427"/>
      <c r="H51" s="2427"/>
      <c r="I51" s="2427"/>
      <c r="J51" s="2427"/>
      <c r="K51" s="2428"/>
      <c r="L51" s="5">
        <f>IF(ISERROR(D45),1,MID(H48,8,4)&amp;MID(H48,5,2)&amp;MID(H48,2,2)&amp;MID(H49,8,4)&amp;MID(H49,5,2)&amp;MID(H49,2,2))</f>
        <v>1</v>
      </c>
      <c r="M51">
        <f>IF(ISERROR(J46),1,L46&amp;L51)</f>
        <v>1</v>
      </c>
      <c r="N51" s="5">
        <f>VALUE(M51)</f>
        <v>1</v>
      </c>
      <c r="O51" t="str">
        <f>IF(N51=1,"",D51)</f>
        <v/>
      </c>
      <c r="X51" s="2386" t="str">
        <f>text!$F$29</f>
        <v>2023</v>
      </c>
      <c r="Y51" s="2386" t="str">
        <f>"in "&amp;X51&amp;" list?"</f>
        <v>in 2023 list?</v>
      </c>
      <c r="Z51">
        <v>0</v>
      </c>
      <c r="AA51">
        <v>0</v>
      </c>
      <c r="AD51" s="5">
        <f>VLOOKUP(AD50,$Z$52:$AA$74,2,FALSE)</f>
        <v>1</v>
      </c>
      <c r="AE51" s="5">
        <f t="shared" ref="AE51:AJ51" si="20">VLOOKUP(AE50,$Z$52:$AA$74,2,FALSE)</f>
        <v>1</v>
      </c>
      <c r="AF51" s="5">
        <f t="shared" si="20"/>
        <v>1</v>
      </c>
      <c r="AG51" s="5">
        <f t="shared" si="20"/>
        <v>1</v>
      </c>
      <c r="AH51" s="5">
        <f t="shared" si="20"/>
        <v>1</v>
      </c>
      <c r="AI51" s="5">
        <f t="shared" si="20"/>
        <v>1</v>
      </c>
      <c r="AJ51" s="5">
        <f t="shared" si="20"/>
        <v>1</v>
      </c>
    </row>
    <row r="52" spans="1:36" x14ac:dyDescent="0.35">
      <c r="B52" s="2334" t="e">
        <f>FIND(",",$AA$3,B51+1)</f>
        <v>#VALUE!</v>
      </c>
      <c r="D52" s="2416"/>
      <c r="E52" s="2416"/>
      <c r="F52" s="2416"/>
      <c r="G52" s="2416"/>
      <c r="H52" s="2416"/>
      <c r="I52" s="2416"/>
      <c r="J52" s="2416"/>
      <c r="K52" s="2416"/>
      <c r="Y52" t="b">
        <f>MID(AB52,1,10)=$I$2&amp;$X$51&amp;"START"</f>
        <v>0</v>
      </c>
      <c r="Z52" s="5">
        <v>1</v>
      </c>
      <c r="AA52">
        <f>MAX($N$9:$N$206)</f>
        <v>1</v>
      </c>
      <c r="AB52" s="29" t="str">
        <f>VLOOKUP(AA52,$N$15:$O$206,2,FALSE)</f>
        <v/>
      </c>
      <c r="AC52" t="str">
        <f>VLOOKUP(LEFT(AA52,1),$U$9:$V$16,2,FALSE)</f>
        <v>1</v>
      </c>
      <c r="AD52" s="5">
        <f t="shared" ref="AD52:AJ61" si="21">IF($AC52=AD$49,$Z52,1000)</f>
        <v>1000</v>
      </c>
      <c r="AE52" s="5">
        <f t="shared" si="21"/>
        <v>1000</v>
      </c>
      <c r="AF52" s="5">
        <f t="shared" si="21"/>
        <v>1000</v>
      </c>
      <c r="AG52" s="5">
        <f t="shared" si="21"/>
        <v>1000</v>
      </c>
      <c r="AH52" s="5">
        <f t="shared" si="21"/>
        <v>1000</v>
      </c>
      <c r="AI52" s="5">
        <f t="shared" si="21"/>
        <v>1000</v>
      </c>
      <c r="AJ52" s="5">
        <f t="shared" si="21"/>
        <v>1000</v>
      </c>
    </row>
    <row r="53" spans="1:36" x14ac:dyDescent="0.35">
      <c r="A53" t="e">
        <f>MID(D45,2,4)</f>
        <v>#VALUE!</v>
      </c>
      <c r="B53" s="2334" t="e">
        <f>FIND(A53,$AA$3,B52+1)</f>
        <v>#VALUE!</v>
      </c>
      <c r="D53" s="2416"/>
      <c r="E53" s="2416"/>
      <c r="F53" s="2416"/>
      <c r="G53" s="2416"/>
      <c r="H53" s="2416"/>
      <c r="I53" s="2416"/>
      <c r="J53" s="2416"/>
      <c r="K53" s="2416"/>
      <c r="Y53" t="b">
        <f t="shared" ref="Y53:Y74" si="22">MID(AB53,1,10)=$I$2&amp;$X$51&amp;"START"</f>
        <v>0</v>
      </c>
      <c r="Z53" s="5">
        <v>2</v>
      </c>
      <c r="AA53">
        <f>LARGE($N$9:$N$206,Z53)</f>
        <v>1</v>
      </c>
      <c r="AB53" s="29" t="str">
        <f t="shared" ref="AB53:AB73" si="23">VLOOKUP(AA53,$N$15:$O$206,2,FALSE)</f>
        <v/>
      </c>
      <c r="AC53" t="str">
        <f t="shared" ref="AC53:AC73" si="24">VLOOKUP(LEFT(AA53,1),$U$9:$V$16,2,FALSE)</f>
        <v>1</v>
      </c>
      <c r="AD53" s="5">
        <f t="shared" si="21"/>
        <v>1000</v>
      </c>
      <c r="AE53" s="5">
        <f t="shared" si="21"/>
        <v>1000</v>
      </c>
      <c r="AF53" s="5">
        <f t="shared" si="21"/>
        <v>1000</v>
      </c>
      <c r="AG53" s="5">
        <f t="shared" si="21"/>
        <v>1000</v>
      </c>
      <c r="AH53" s="5">
        <f t="shared" si="21"/>
        <v>1000</v>
      </c>
      <c r="AI53" s="5">
        <f t="shared" si="21"/>
        <v>1000</v>
      </c>
      <c r="AJ53" s="5">
        <f t="shared" si="21"/>
        <v>1000</v>
      </c>
    </row>
    <row r="54" spans="1:36" x14ac:dyDescent="0.35">
      <c r="B54" s="2334" t="e">
        <f t="shared" ref="B54:B60" si="25">FIND(",",$AA$3,B53+1)</f>
        <v>#VALUE!</v>
      </c>
      <c r="D54" s="2415" t="e">
        <f>$I$2&amp;MID($AA$3,B53,B54-(B53))&amp;$J$2</f>
        <v>#VALUE!</v>
      </c>
      <c r="E54" s="2415"/>
      <c r="F54" s="2419"/>
      <c r="G54" s="2420"/>
      <c r="H54" s="2420"/>
      <c r="I54" s="2420"/>
      <c r="J54" s="2420"/>
      <c r="K54" s="2421"/>
      <c r="Y54" t="b">
        <f t="shared" si="22"/>
        <v>0</v>
      </c>
      <c r="Z54" s="5">
        <v>3</v>
      </c>
      <c r="AA54">
        <f t="shared" ref="AA54:AA73" si="26">LARGE($N$9:$N$206,Z54)</f>
        <v>1</v>
      </c>
      <c r="AB54" s="29" t="str">
        <f t="shared" si="23"/>
        <v/>
      </c>
      <c r="AC54" t="str">
        <f t="shared" si="24"/>
        <v>1</v>
      </c>
      <c r="AD54" s="5">
        <f t="shared" si="21"/>
        <v>1000</v>
      </c>
      <c r="AE54" s="5">
        <f t="shared" si="21"/>
        <v>1000</v>
      </c>
      <c r="AF54" s="5">
        <f t="shared" si="21"/>
        <v>1000</v>
      </c>
      <c r="AG54" s="5">
        <f t="shared" si="21"/>
        <v>1000</v>
      </c>
      <c r="AH54" s="5">
        <f t="shared" si="21"/>
        <v>1000</v>
      </c>
      <c r="AI54" s="5">
        <f t="shared" si="21"/>
        <v>1000</v>
      </c>
      <c r="AJ54" s="5">
        <f t="shared" si="21"/>
        <v>1000</v>
      </c>
    </row>
    <row r="55" spans="1:36" x14ac:dyDescent="0.35">
      <c r="B55" s="2334" t="e">
        <f t="shared" si="25"/>
        <v>#VALUE!</v>
      </c>
      <c r="D55" s="2415" t="e">
        <f>$I$2&amp;MID($AA$3,B54+1,B55-(B54+1))&amp;$J$2</f>
        <v>#VALUE!</v>
      </c>
      <c r="E55" s="2415" t="e">
        <f>D56</f>
        <v>#VALUE!</v>
      </c>
      <c r="F55" s="2422" t="e">
        <f>HLOOKUP(I55,$AD$49:$AJ$51,3,FALSE)</f>
        <v>#N/A</v>
      </c>
      <c r="G55" s="2334" t="e">
        <f>IF(F55=N60,"START","")</f>
        <v>#N/A</v>
      </c>
      <c r="H55" s="2334" t="e">
        <f>IF(G55="","",$I$2&amp;I55&amp;G55&amp;$J$2)</f>
        <v>#N/A</v>
      </c>
      <c r="I55" s="2334">
        <f>IF(ISERROR(D54),K46,MID(D55,2,4))</f>
        <v>0</v>
      </c>
      <c r="J55" s="2423" t="e">
        <f>VLOOKUP(I55,$Z$42:$AB$50,3,FALSE)</f>
        <v>#N/A</v>
      </c>
      <c r="K55" s="2424">
        <f>VLOOKUP(I55,$Z$42:$AA$51,2,FALSE)</f>
        <v>0</v>
      </c>
      <c r="L55" s="5" t="e">
        <f>VLOOKUP(I55,$S$9:$T$15,2,FALSE)</f>
        <v>#N/A</v>
      </c>
      <c r="Y55" t="b">
        <f t="shared" si="22"/>
        <v>0</v>
      </c>
      <c r="Z55" s="5">
        <v>4</v>
      </c>
      <c r="AA55">
        <f t="shared" si="26"/>
        <v>1</v>
      </c>
      <c r="AB55" s="29" t="str">
        <f t="shared" si="23"/>
        <v/>
      </c>
      <c r="AC55" t="str">
        <f t="shared" si="24"/>
        <v>1</v>
      </c>
      <c r="AD55" s="5">
        <f t="shared" si="21"/>
        <v>1000</v>
      </c>
      <c r="AE55" s="5">
        <f t="shared" si="21"/>
        <v>1000</v>
      </c>
      <c r="AF55" s="5">
        <f t="shared" si="21"/>
        <v>1000</v>
      </c>
      <c r="AG55" s="5">
        <f t="shared" si="21"/>
        <v>1000</v>
      </c>
      <c r="AH55" s="5">
        <f t="shared" si="21"/>
        <v>1000</v>
      </c>
      <c r="AI55" s="5">
        <f t="shared" si="21"/>
        <v>1000</v>
      </c>
      <c r="AJ55" s="5">
        <f t="shared" si="21"/>
        <v>1000</v>
      </c>
    </row>
    <row r="56" spans="1:36" x14ac:dyDescent="0.35">
      <c r="B56" s="2334" t="e">
        <f t="shared" si="25"/>
        <v>#VALUE!</v>
      </c>
      <c r="D56" s="2415" t="e">
        <f>$I$2&amp;MID($AA$3,B55+1,B56-(B55+1))&amp;$J$2</f>
        <v>#VALUE!</v>
      </c>
      <c r="E56" s="2415"/>
      <c r="F56" s="2425"/>
      <c r="G56" s="2415"/>
      <c r="H56" s="2415"/>
      <c r="I56" s="2415"/>
      <c r="J56" s="2415"/>
      <c r="K56" s="2424"/>
      <c r="Y56" t="b">
        <f t="shared" si="22"/>
        <v>0</v>
      </c>
      <c r="Z56" s="5">
        <v>5</v>
      </c>
      <c r="AA56">
        <f t="shared" si="26"/>
        <v>1</v>
      </c>
      <c r="AB56" s="29" t="str">
        <f t="shared" si="23"/>
        <v/>
      </c>
      <c r="AC56" t="str">
        <f t="shared" si="24"/>
        <v>1</v>
      </c>
      <c r="AD56" s="5">
        <f t="shared" si="21"/>
        <v>1000</v>
      </c>
      <c r="AE56" s="5">
        <f t="shared" si="21"/>
        <v>1000</v>
      </c>
      <c r="AF56" s="5">
        <f t="shared" si="21"/>
        <v>1000</v>
      </c>
      <c r="AG56" s="5">
        <f t="shared" si="21"/>
        <v>1000</v>
      </c>
      <c r="AH56" s="5">
        <f t="shared" si="21"/>
        <v>1000</v>
      </c>
      <c r="AI56" s="5">
        <f t="shared" si="21"/>
        <v>1000</v>
      </c>
      <c r="AJ56" s="5">
        <f t="shared" si="21"/>
        <v>1000</v>
      </c>
    </row>
    <row r="57" spans="1:36" x14ac:dyDescent="0.35">
      <c r="B57" s="2334" t="e">
        <f t="shared" si="25"/>
        <v>#VALUE!</v>
      </c>
      <c r="D57" s="2415" t="e">
        <f>$I$2&amp;MID($AA$3,B56+1,B57-(B56+1))&amp;$J$2</f>
        <v>#VALUE!</v>
      </c>
      <c r="E57" s="2415" t="e">
        <f>MID($AA$3,B57+1,10)</f>
        <v>#VALUE!</v>
      </c>
      <c r="F57" s="2425" t="str">
        <f>IF(ISERROR(D54),$I$2&amp;$J$2,E55)</f>
        <v>"",</v>
      </c>
      <c r="G57" s="2415"/>
      <c r="H57" s="2415" t="str">
        <f>IF(ISERROR(D54),$I$2&amp;$J$2,$I$2&amp;MID(D57,5,2)&amp;"/"&amp;MID(D57,2,2)&amp;"/"&amp;MID(D57,8,4)&amp;$J$2)</f>
        <v>"",</v>
      </c>
      <c r="I57" s="2415"/>
      <c r="J57" s="2415"/>
      <c r="K57" s="2424"/>
      <c r="Y57" t="b">
        <f t="shared" si="22"/>
        <v>0</v>
      </c>
      <c r="Z57" s="5">
        <v>6</v>
      </c>
      <c r="AA57">
        <f t="shared" si="26"/>
        <v>1</v>
      </c>
      <c r="AB57" s="29" t="str">
        <f t="shared" si="23"/>
        <v/>
      </c>
      <c r="AC57" t="str">
        <f t="shared" si="24"/>
        <v>1</v>
      </c>
      <c r="AD57" s="5">
        <f t="shared" si="21"/>
        <v>1000</v>
      </c>
      <c r="AE57" s="5">
        <f t="shared" si="21"/>
        <v>1000</v>
      </c>
      <c r="AF57" s="5">
        <f t="shared" si="21"/>
        <v>1000</v>
      </c>
      <c r="AG57" s="5">
        <f t="shared" si="21"/>
        <v>1000</v>
      </c>
      <c r="AH57" s="5">
        <f t="shared" si="21"/>
        <v>1000</v>
      </c>
      <c r="AI57" s="5">
        <f t="shared" si="21"/>
        <v>1000</v>
      </c>
      <c r="AJ57" s="5">
        <f t="shared" si="21"/>
        <v>1000</v>
      </c>
    </row>
    <row r="58" spans="1:36" x14ac:dyDescent="0.35">
      <c r="B58" s="2334" t="e">
        <f t="shared" si="25"/>
        <v>#VALUE!</v>
      </c>
      <c r="D58" s="2415" t="e">
        <f>IF(E58=TRUE,D57,$I$2&amp;MID($AA$3,B57+1,B58-(B57+1))&amp;$J$2)</f>
        <v>#VALUE!</v>
      </c>
      <c r="E58" s="2415" t="b">
        <f>ISERROR(SEARCH("/",E57))</f>
        <v>1</v>
      </c>
      <c r="F58" s="2425"/>
      <c r="G58" s="2415"/>
      <c r="H58" s="2415" t="str">
        <f>IF(ISERROR(D54),$I$2&amp;$J$2,IF(E58=TRUE,H57,$I$2&amp;MID(E57,4,2)&amp;"/"&amp;MID(E57,1,2)&amp;"/"&amp;MID(E57,7,4)&amp;$J$2))</f>
        <v>"",</v>
      </c>
      <c r="I58" s="2415"/>
      <c r="J58" s="2415"/>
      <c r="K58" s="2424"/>
      <c r="Y58" t="b">
        <f t="shared" si="22"/>
        <v>0</v>
      </c>
      <c r="Z58" s="5">
        <v>7</v>
      </c>
      <c r="AA58">
        <f t="shared" si="26"/>
        <v>1</v>
      </c>
      <c r="AB58" s="29" t="str">
        <f t="shared" si="23"/>
        <v/>
      </c>
      <c r="AC58" t="str">
        <f t="shared" si="24"/>
        <v>1</v>
      </c>
      <c r="AD58" s="5">
        <f t="shared" si="21"/>
        <v>1000</v>
      </c>
      <c r="AE58" s="5">
        <f t="shared" si="21"/>
        <v>1000</v>
      </c>
      <c r="AF58" s="5">
        <f t="shared" si="21"/>
        <v>1000</v>
      </c>
      <c r="AG58" s="5">
        <f t="shared" si="21"/>
        <v>1000</v>
      </c>
      <c r="AH58" s="5">
        <f t="shared" si="21"/>
        <v>1000</v>
      </c>
      <c r="AI58" s="5">
        <f t="shared" si="21"/>
        <v>1000</v>
      </c>
      <c r="AJ58" s="5">
        <f t="shared" si="21"/>
        <v>1000</v>
      </c>
    </row>
    <row r="59" spans="1:36" x14ac:dyDescent="0.35">
      <c r="B59" s="2334" t="e">
        <f t="shared" si="25"/>
        <v>#VALUE!</v>
      </c>
      <c r="D59" s="2415"/>
      <c r="E59" s="2415"/>
      <c r="F59" s="2425"/>
      <c r="G59" s="2415"/>
      <c r="H59" s="2415"/>
      <c r="I59" s="2415"/>
      <c r="J59" s="2415"/>
      <c r="K59" s="2424"/>
      <c r="Y59" t="b">
        <f t="shared" si="22"/>
        <v>0</v>
      </c>
      <c r="Z59" s="5">
        <v>8</v>
      </c>
      <c r="AA59">
        <f t="shared" si="26"/>
        <v>1</v>
      </c>
      <c r="AB59" s="29" t="str">
        <f t="shared" si="23"/>
        <v/>
      </c>
      <c r="AC59" t="str">
        <f t="shared" si="24"/>
        <v>1</v>
      </c>
      <c r="AD59" s="5">
        <f t="shared" si="21"/>
        <v>1000</v>
      </c>
      <c r="AE59" s="5">
        <f t="shared" si="21"/>
        <v>1000</v>
      </c>
      <c r="AF59" s="5">
        <f t="shared" si="21"/>
        <v>1000</v>
      </c>
      <c r="AG59" s="5">
        <f t="shared" si="21"/>
        <v>1000</v>
      </c>
      <c r="AH59" s="5">
        <f t="shared" si="21"/>
        <v>1000</v>
      </c>
      <c r="AI59" s="5">
        <f t="shared" si="21"/>
        <v>1000</v>
      </c>
      <c r="AJ59" s="5">
        <f t="shared" si="21"/>
        <v>1000</v>
      </c>
    </row>
    <row r="60" spans="1:36" x14ac:dyDescent="0.35">
      <c r="B60" s="2334" t="e">
        <f t="shared" si="25"/>
        <v>#VALUE!</v>
      </c>
      <c r="D60" s="2415" t="e">
        <f>CONCATENATE(H55,F57,H57,H58)</f>
        <v>#N/A</v>
      </c>
      <c r="E60" s="2415"/>
      <c r="F60" s="2426"/>
      <c r="G60" s="2427"/>
      <c r="H60" s="2427"/>
      <c r="I60" s="2427"/>
      <c r="J60" s="2427"/>
      <c r="K60" s="2428"/>
      <c r="L60" s="5">
        <f>IF(ISERROR(D54),1,MID(H57,8,4)&amp;MID(H57,5,2)&amp;MID(H57,2,2)&amp;MID(H58,8,4)&amp;MID(H58,5,2)&amp;MID(H58,2,2))</f>
        <v>1</v>
      </c>
      <c r="M60">
        <f>IF(ISERROR(J55),1,L55&amp;L60)</f>
        <v>1</v>
      </c>
      <c r="N60" s="5">
        <f>VALUE(M60)</f>
        <v>1</v>
      </c>
      <c r="O60" t="str">
        <f>IF(N60=1,"",D60)</f>
        <v/>
      </c>
      <c r="Y60" t="b">
        <f t="shared" si="22"/>
        <v>0</v>
      </c>
      <c r="Z60" s="5">
        <v>9</v>
      </c>
      <c r="AA60">
        <f t="shared" si="26"/>
        <v>1</v>
      </c>
      <c r="AB60" s="29" t="str">
        <f t="shared" si="23"/>
        <v/>
      </c>
      <c r="AC60" t="str">
        <f t="shared" si="24"/>
        <v>1</v>
      </c>
      <c r="AD60" s="5">
        <f t="shared" si="21"/>
        <v>1000</v>
      </c>
      <c r="AE60" s="5">
        <f t="shared" si="21"/>
        <v>1000</v>
      </c>
      <c r="AF60" s="5">
        <f t="shared" si="21"/>
        <v>1000</v>
      </c>
      <c r="AG60" s="5">
        <f t="shared" si="21"/>
        <v>1000</v>
      </c>
      <c r="AH60" s="5">
        <f t="shared" si="21"/>
        <v>1000</v>
      </c>
      <c r="AI60" s="5">
        <f t="shared" si="21"/>
        <v>1000</v>
      </c>
      <c r="AJ60" s="5">
        <f t="shared" si="21"/>
        <v>1000</v>
      </c>
    </row>
    <row r="61" spans="1:36" x14ac:dyDescent="0.35">
      <c r="B61" s="2334" t="e">
        <f>FIND(",",$AA$3,B60+1)</f>
        <v>#VALUE!</v>
      </c>
      <c r="D61" s="2416"/>
      <c r="E61" s="2416"/>
      <c r="F61" s="2416"/>
      <c r="G61" s="2416"/>
      <c r="H61" s="2416"/>
      <c r="I61" s="2416"/>
      <c r="J61" s="2416"/>
      <c r="K61" s="2416"/>
      <c r="Y61" t="b">
        <f t="shared" si="22"/>
        <v>0</v>
      </c>
      <c r="Z61" s="5">
        <v>10</v>
      </c>
      <c r="AA61">
        <f t="shared" si="26"/>
        <v>1</v>
      </c>
      <c r="AB61" s="29" t="str">
        <f t="shared" si="23"/>
        <v/>
      </c>
      <c r="AC61" t="str">
        <f t="shared" si="24"/>
        <v>1</v>
      </c>
      <c r="AD61" s="5">
        <f t="shared" si="21"/>
        <v>1000</v>
      </c>
      <c r="AE61" s="5">
        <f t="shared" si="21"/>
        <v>1000</v>
      </c>
      <c r="AF61" s="5">
        <f t="shared" si="21"/>
        <v>1000</v>
      </c>
      <c r="AG61" s="5">
        <f t="shared" si="21"/>
        <v>1000</v>
      </c>
      <c r="AH61" s="5">
        <f t="shared" si="21"/>
        <v>1000</v>
      </c>
      <c r="AI61" s="5">
        <f t="shared" si="21"/>
        <v>1000</v>
      </c>
      <c r="AJ61" s="5">
        <f t="shared" si="21"/>
        <v>1000</v>
      </c>
    </row>
    <row r="62" spans="1:36" x14ac:dyDescent="0.35">
      <c r="A62" t="e">
        <f>MID(D54,2,4)</f>
        <v>#VALUE!</v>
      </c>
      <c r="B62" s="2334" t="e">
        <f>FIND(A62,$AA$3,B61+1)</f>
        <v>#VALUE!</v>
      </c>
      <c r="D62" s="2416"/>
      <c r="E62" s="2416"/>
      <c r="F62" s="2416"/>
      <c r="G62" s="2416"/>
      <c r="H62" s="2416"/>
      <c r="I62" s="2416"/>
      <c r="J62" s="2416"/>
      <c r="K62" s="2416"/>
      <c r="Y62" t="b">
        <f t="shared" si="22"/>
        <v>0</v>
      </c>
      <c r="Z62" s="5">
        <v>11</v>
      </c>
      <c r="AA62">
        <f t="shared" si="26"/>
        <v>1</v>
      </c>
      <c r="AB62" s="29" t="str">
        <f t="shared" si="23"/>
        <v/>
      </c>
      <c r="AC62" t="str">
        <f t="shared" si="24"/>
        <v>1</v>
      </c>
      <c r="AD62" s="5">
        <f t="shared" ref="AD62:AJ73" si="27">IF($AC62=AD$49,$Z62,1000)</f>
        <v>1000</v>
      </c>
      <c r="AE62" s="5">
        <f t="shared" si="27"/>
        <v>1000</v>
      </c>
      <c r="AF62" s="5">
        <f t="shared" si="27"/>
        <v>1000</v>
      </c>
      <c r="AG62" s="5">
        <f t="shared" si="27"/>
        <v>1000</v>
      </c>
      <c r="AH62" s="5">
        <f t="shared" si="27"/>
        <v>1000</v>
      </c>
      <c r="AI62" s="5">
        <f t="shared" si="27"/>
        <v>1000</v>
      </c>
      <c r="AJ62" s="5">
        <f t="shared" si="27"/>
        <v>1000</v>
      </c>
    </row>
    <row r="63" spans="1:36" x14ac:dyDescent="0.35">
      <c r="B63" s="2334" t="e">
        <f t="shared" ref="B63:B69" si="28">FIND(",",$AA$3,B62+1)</f>
        <v>#VALUE!</v>
      </c>
      <c r="D63" s="2415" t="e">
        <f>$I$2&amp;MID($AA$3,B62,B63-(B62))&amp;$J$2</f>
        <v>#VALUE!</v>
      </c>
      <c r="E63" s="2415"/>
      <c r="F63" s="2419"/>
      <c r="G63" s="2420"/>
      <c r="H63" s="2420"/>
      <c r="I63" s="2420"/>
      <c r="J63" s="2420"/>
      <c r="K63" s="2421"/>
      <c r="Y63" t="b">
        <f t="shared" si="22"/>
        <v>0</v>
      </c>
      <c r="Z63" s="5">
        <v>12</v>
      </c>
      <c r="AA63">
        <f t="shared" si="26"/>
        <v>1</v>
      </c>
      <c r="AB63" s="29" t="str">
        <f t="shared" si="23"/>
        <v/>
      </c>
      <c r="AC63" t="str">
        <f t="shared" si="24"/>
        <v>1</v>
      </c>
      <c r="AD63" s="5">
        <f t="shared" si="27"/>
        <v>1000</v>
      </c>
      <c r="AE63" s="5">
        <f t="shared" si="27"/>
        <v>1000</v>
      </c>
      <c r="AF63" s="5">
        <f t="shared" si="27"/>
        <v>1000</v>
      </c>
      <c r="AG63" s="5">
        <f t="shared" si="27"/>
        <v>1000</v>
      </c>
      <c r="AH63" s="5">
        <f t="shared" si="27"/>
        <v>1000</v>
      </c>
      <c r="AI63" s="5">
        <f t="shared" si="27"/>
        <v>1000</v>
      </c>
      <c r="AJ63" s="5">
        <f t="shared" si="27"/>
        <v>1000</v>
      </c>
    </row>
    <row r="64" spans="1:36" x14ac:dyDescent="0.35">
      <c r="B64" s="2334" t="e">
        <f t="shared" si="28"/>
        <v>#VALUE!</v>
      </c>
      <c r="D64" s="2415" t="e">
        <f>$I$2&amp;MID($AA$3,B63+1,B64-(B63+1))&amp;$J$2</f>
        <v>#VALUE!</v>
      </c>
      <c r="E64" s="2415" t="e">
        <f>D65</f>
        <v>#VALUE!</v>
      </c>
      <c r="F64" s="2422" t="e">
        <f>HLOOKUP(I64,$AD$49:$AJ$51,3,FALSE)</f>
        <v>#N/A</v>
      </c>
      <c r="G64" s="2334" t="e">
        <f>IF(F64=N69,"START","")</f>
        <v>#N/A</v>
      </c>
      <c r="H64" s="2334" t="e">
        <f>IF(G64="","",$I$2&amp;I64&amp;G64&amp;$J$2)</f>
        <v>#N/A</v>
      </c>
      <c r="I64" s="2334">
        <f>IF(ISERROR(D63),K55,MID(D64,2,4))</f>
        <v>0</v>
      </c>
      <c r="J64" s="2423" t="e">
        <f>VLOOKUP(I64,$Z$42:$AB$50,3,FALSE)</f>
        <v>#N/A</v>
      </c>
      <c r="K64" s="2424">
        <f>VLOOKUP(I64,$Z$42:$AA$51,2,FALSE)</f>
        <v>0</v>
      </c>
      <c r="L64" s="5" t="e">
        <f>VLOOKUP(I64,$S$9:$T$15,2,FALSE)</f>
        <v>#N/A</v>
      </c>
      <c r="Y64" t="b">
        <f t="shared" si="22"/>
        <v>0</v>
      </c>
      <c r="Z64" s="5">
        <v>13</v>
      </c>
      <c r="AA64">
        <f t="shared" si="26"/>
        <v>1</v>
      </c>
      <c r="AB64" s="29" t="str">
        <f t="shared" si="23"/>
        <v/>
      </c>
      <c r="AC64" t="str">
        <f t="shared" si="24"/>
        <v>1</v>
      </c>
      <c r="AD64" s="5">
        <f t="shared" si="27"/>
        <v>1000</v>
      </c>
      <c r="AE64" s="5">
        <f t="shared" si="27"/>
        <v>1000</v>
      </c>
      <c r="AF64" s="5">
        <f t="shared" si="27"/>
        <v>1000</v>
      </c>
      <c r="AG64" s="5">
        <f t="shared" si="27"/>
        <v>1000</v>
      </c>
      <c r="AH64" s="5">
        <f t="shared" si="27"/>
        <v>1000</v>
      </c>
      <c r="AI64" s="5">
        <f t="shared" si="27"/>
        <v>1000</v>
      </c>
      <c r="AJ64" s="5">
        <f t="shared" si="27"/>
        <v>1000</v>
      </c>
    </row>
    <row r="65" spans="1:36" x14ac:dyDescent="0.35">
      <c r="B65" s="2334" t="e">
        <f t="shared" si="28"/>
        <v>#VALUE!</v>
      </c>
      <c r="D65" s="2415" t="e">
        <f>$I$2&amp;MID($AA$3,B64+1,B65-(B64+1))&amp;$J$2</f>
        <v>#VALUE!</v>
      </c>
      <c r="E65" s="2415"/>
      <c r="F65" s="2425"/>
      <c r="G65" s="2415"/>
      <c r="H65" s="2415"/>
      <c r="I65" s="2415"/>
      <c r="J65" s="2415"/>
      <c r="K65" s="2424"/>
      <c r="Y65" t="b">
        <f t="shared" si="22"/>
        <v>0</v>
      </c>
      <c r="Z65" s="5">
        <v>14</v>
      </c>
      <c r="AA65">
        <f t="shared" si="26"/>
        <v>1</v>
      </c>
      <c r="AB65" s="29" t="str">
        <f t="shared" si="23"/>
        <v/>
      </c>
      <c r="AC65" t="str">
        <f t="shared" si="24"/>
        <v>1</v>
      </c>
      <c r="AD65" s="5">
        <f t="shared" si="27"/>
        <v>1000</v>
      </c>
      <c r="AE65" s="5">
        <f t="shared" si="27"/>
        <v>1000</v>
      </c>
      <c r="AF65" s="5">
        <f t="shared" si="27"/>
        <v>1000</v>
      </c>
      <c r="AG65" s="5">
        <f t="shared" si="27"/>
        <v>1000</v>
      </c>
      <c r="AH65" s="5">
        <f t="shared" si="27"/>
        <v>1000</v>
      </c>
      <c r="AI65" s="5">
        <f t="shared" si="27"/>
        <v>1000</v>
      </c>
      <c r="AJ65" s="5">
        <f t="shared" si="27"/>
        <v>1000</v>
      </c>
    </row>
    <row r="66" spans="1:36" x14ac:dyDescent="0.35">
      <c r="B66" s="2334" t="e">
        <f t="shared" si="28"/>
        <v>#VALUE!</v>
      </c>
      <c r="D66" s="2415" t="e">
        <f>$I$2&amp;MID($AA$3,B65+1,B66-(B65+1))&amp;$J$2</f>
        <v>#VALUE!</v>
      </c>
      <c r="E66" s="2415" t="e">
        <f>MID($AA$3,B66+1,10)</f>
        <v>#VALUE!</v>
      </c>
      <c r="F66" s="2425" t="str">
        <f>IF(ISERROR(D63),$I$2&amp;$J$2,E64)</f>
        <v>"",</v>
      </c>
      <c r="G66" s="2415"/>
      <c r="H66" s="2415" t="str">
        <f>IF(ISERROR(D63),$I$2&amp;$J$2,$I$2&amp;MID(D66,5,2)&amp;"/"&amp;MID(D66,2,2)&amp;"/"&amp;MID(D66,8,4)&amp;$J$2)</f>
        <v>"",</v>
      </c>
      <c r="I66" s="2415"/>
      <c r="J66" s="2415"/>
      <c r="K66" s="2424"/>
      <c r="Y66" t="b">
        <f t="shared" si="22"/>
        <v>0</v>
      </c>
      <c r="Z66" s="5">
        <v>15</v>
      </c>
      <c r="AA66">
        <f t="shared" si="26"/>
        <v>1</v>
      </c>
      <c r="AB66" s="29" t="str">
        <f t="shared" si="23"/>
        <v/>
      </c>
      <c r="AC66" t="str">
        <f t="shared" si="24"/>
        <v>1</v>
      </c>
      <c r="AD66" s="5">
        <f t="shared" si="27"/>
        <v>1000</v>
      </c>
      <c r="AE66" s="5">
        <f t="shared" si="27"/>
        <v>1000</v>
      </c>
      <c r="AF66" s="5">
        <f t="shared" si="27"/>
        <v>1000</v>
      </c>
      <c r="AG66" s="5">
        <f t="shared" si="27"/>
        <v>1000</v>
      </c>
      <c r="AH66" s="5">
        <f t="shared" si="27"/>
        <v>1000</v>
      </c>
      <c r="AI66" s="5">
        <f t="shared" si="27"/>
        <v>1000</v>
      </c>
      <c r="AJ66" s="5">
        <f t="shared" si="27"/>
        <v>1000</v>
      </c>
    </row>
    <row r="67" spans="1:36" x14ac:dyDescent="0.35">
      <c r="B67" s="2334" t="e">
        <f t="shared" si="28"/>
        <v>#VALUE!</v>
      </c>
      <c r="D67" s="2415" t="e">
        <f>IF(E67=TRUE,D66,$I$2&amp;MID($AA$3,B66+1,B67-(B66+1))&amp;$J$2)</f>
        <v>#VALUE!</v>
      </c>
      <c r="E67" s="2415" t="b">
        <f>ISERROR(SEARCH("/",E66))</f>
        <v>1</v>
      </c>
      <c r="F67" s="2425"/>
      <c r="G67" s="2415"/>
      <c r="H67" s="2415" t="str">
        <f>IF(ISERROR(D63),$I$2&amp;$J$2,IF(E67=TRUE,H66,$I$2&amp;MID(E66,4,2)&amp;"/"&amp;MID(E66,1,2)&amp;"/"&amp;MID(E66,7,4)&amp;$J$2))</f>
        <v>"",</v>
      </c>
      <c r="I67" s="2415"/>
      <c r="J67" s="2415"/>
      <c r="K67" s="2424"/>
      <c r="Y67" t="b">
        <f t="shared" si="22"/>
        <v>0</v>
      </c>
      <c r="Z67" s="5">
        <v>16</v>
      </c>
      <c r="AA67">
        <f t="shared" si="26"/>
        <v>1</v>
      </c>
      <c r="AB67" s="29" t="str">
        <f t="shared" si="23"/>
        <v/>
      </c>
      <c r="AC67" t="str">
        <f t="shared" si="24"/>
        <v>1</v>
      </c>
      <c r="AD67" s="5">
        <f t="shared" si="27"/>
        <v>1000</v>
      </c>
      <c r="AE67" s="5">
        <f t="shared" si="27"/>
        <v>1000</v>
      </c>
      <c r="AF67" s="5">
        <f t="shared" si="27"/>
        <v>1000</v>
      </c>
      <c r="AG67" s="5">
        <f t="shared" si="27"/>
        <v>1000</v>
      </c>
      <c r="AH67" s="5">
        <f t="shared" si="27"/>
        <v>1000</v>
      </c>
      <c r="AI67" s="5">
        <f t="shared" si="27"/>
        <v>1000</v>
      </c>
      <c r="AJ67" s="5">
        <f t="shared" si="27"/>
        <v>1000</v>
      </c>
    </row>
    <row r="68" spans="1:36" x14ac:dyDescent="0.35">
      <c r="B68" s="2334" t="e">
        <f t="shared" si="28"/>
        <v>#VALUE!</v>
      </c>
      <c r="D68" s="2415"/>
      <c r="E68" s="2415"/>
      <c r="F68" s="2425"/>
      <c r="G68" s="2415"/>
      <c r="H68" s="2415"/>
      <c r="I68" s="2415"/>
      <c r="J68" s="2415"/>
      <c r="K68" s="2424"/>
      <c r="Y68" t="b">
        <f t="shared" si="22"/>
        <v>0</v>
      </c>
      <c r="Z68" s="5">
        <v>17</v>
      </c>
      <c r="AA68">
        <f t="shared" si="26"/>
        <v>1</v>
      </c>
      <c r="AB68" s="29" t="str">
        <f t="shared" si="23"/>
        <v/>
      </c>
      <c r="AC68" t="str">
        <f t="shared" si="24"/>
        <v>1</v>
      </c>
      <c r="AD68" s="5">
        <f t="shared" si="27"/>
        <v>1000</v>
      </c>
      <c r="AE68" s="5">
        <f t="shared" si="27"/>
        <v>1000</v>
      </c>
      <c r="AF68" s="5">
        <f t="shared" si="27"/>
        <v>1000</v>
      </c>
      <c r="AG68" s="5">
        <f t="shared" si="27"/>
        <v>1000</v>
      </c>
      <c r="AH68" s="5">
        <f t="shared" si="27"/>
        <v>1000</v>
      </c>
      <c r="AI68" s="5">
        <f t="shared" si="27"/>
        <v>1000</v>
      </c>
      <c r="AJ68" s="5">
        <f t="shared" si="27"/>
        <v>1000</v>
      </c>
    </row>
    <row r="69" spans="1:36" x14ac:dyDescent="0.35">
      <c r="B69" s="2334" t="e">
        <f t="shared" si="28"/>
        <v>#VALUE!</v>
      </c>
      <c r="D69" s="2415" t="e">
        <f>CONCATENATE(H64,F66,H66,H67)</f>
        <v>#N/A</v>
      </c>
      <c r="E69" s="2415"/>
      <c r="F69" s="2426"/>
      <c r="G69" s="2427"/>
      <c r="H69" s="2427"/>
      <c r="I69" s="2427"/>
      <c r="J69" s="2427"/>
      <c r="K69" s="2428"/>
      <c r="L69" s="5">
        <f>IF(ISERROR(D63),1,MID(H66,8,4)&amp;MID(H66,5,2)&amp;MID(H66,2,2)&amp;MID(H67,8,4)&amp;MID(H67,5,2)&amp;MID(H67,2,2))</f>
        <v>1</v>
      </c>
      <c r="M69">
        <f>IF(ISERROR(J64),1,L64&amp;L69)</f>
        <v>1</v>
      </c>
      <c r="N69" s="5">
        <f>VALUE(M69)</f>
        <v>1</v>
      </c>
      <c r="O69" t="str">
        <f>IF(N69=1,"",D69)</f>
        <v/>
      </c>
      <c r="Y69" t="b">
        <f t="shared" si="22"/>
        <v>0</v>
      </c>
      <c r="Z69" s="5">
        <v>18</v>
      </c>
      <c r="AA69">
        <f t="shared" si="26"/>
        <v>1</v>
      </c>
      <c r="AB69" s="29" t="str">
        <f t="shared" si="23"/>
        <v/>
      </c>
      <c r="AC69" t="str">
        <f t="shared" si="24"/>
        <v>1</v>
      </c>
      <c r="AD69" s="5">
        <f t="shared" si="27"/>
        <v>1000</v>
      </c>
      <c r="AE69" s="5">
        <f t="shared" si="27"/>
        <v>1000</v>
      </c>
      <c r="AF69" s="5">
        <f t="shared" si="27"/>
        <v>1000</v>
      </c>
      <c r="AG69" s="5">
        <f t="shared" si="27"/>
        <v>1000</v>
      </c>
      <c r="AH69" s="5">
        <f t="shared" si="27"/>
        <v>1000</v>
      </c>
      <c r="AI69" s="5">
        <f t="shared" si="27"/>
        <v>1000</v>
      </c>
      <c r="AJ69" s="5">
        <f t="shared" si="27"/>
        <v>1000</v>
      </c>
    </row>
    <row r="70" spans="1:36" x14ac:dyDescent="0.35">
      <c r="B70" s="2334" t="e">
        <f>FIND(",",$AA$3,B69+1)</f>
        <v>#VALUE!</v>
      </c>
      <c r="D70" s="2416"/>
      <c r="E70" s="2416"/>
      <c r="F70" s="2416"/>
      <c r="G70" s="2416"/>
      <c r="H70" s="2416"/>
      <c r="I70" s="2416"/>
      <c r="J70" s="2416"/>
      <c r="K70" s="2416"/>
      <c r="Y70" t="b">
        <f t="shared" si="22"/>
        <v>0</v>
      </c>
      <c r="Z70" s="5">
        <v>19</v>
      </c>
      <c r="AA70">
        <f t="shared" si="26"/>
        <v>1</v>
      </c>
      <c r="AB70" s="29" t="str">
        <f t="shared" si="23"/>
        <v/>
      </c>
      <c r="AC70" t="str">
        <f t="shared" si="24"/>
        <v>1</v>
      </c>
      <c r="AD70" s="5">
        <f t="shared" si="27"/>
        <v>1000</v>
      </c>
      <c r="AE70" s="5">
        <f t="shared" si="27"/>
        <v>1000</v>
      </c>
      <c r="AF70" s="5">
        <f t="shared" si="27"/>
        <v>1000</v>
      </c>
      <c r="AG70" s="5">
        <f t="shared" si="27"/>
        <v>1000</v>
      </c>
      <c r="AH70" s="5">
        <f t="shared" si="27"/>
        <v>1000</v>
      </c>
      <c r="AI70" s="5">
        <f t="shared" si="27"/>
        <v>1000</v>
      </c>
      <c r="AJ70" s="5">
        <f t="shared" si="27"/>
        <v>1000</v>
      </c>
    </row>
    <row r="71" spans="1:36" x14ac:dyDescent="0.35">
      <c r="A71" t="e">
        <f>MID(D63,2,4)</f>
        <v>#VALUE!</v>
      </c>
      <c r="B71" s="2334" t="e">
        <f>FIND(A71,$AA$3,B70+1)</f>
        <v>#VALUE!</v>
      </c>
      <c r="D71" s="2416"/>
      <c r="E71" s="2416"/>
      <c r="F71" s="2416"/>
      <c r="G71" s="2416"/>
      <c r="H71" s="2416"/>
      <c r="I71" s="2416"/>
      <c r="J71" s="2416"/>
      <c r="K71" s="2416"/>
      <c r="Y71" t="b">
        <f t="shared" si="22"/>
        <v>0</v>
      </c>
      <c r="Z71" s="5">
        <v>20</v>
      </c>
      <c r="AA71">
        <f t="shared" si="26"/>
        <v>1</v>
      </c>
      <c r="AB71" s="29" t="str">
        <f t="shared" si="23"/>
        <v/>
      </c>
      <c r="AC71" t="str">
        <f t="shared" si="24"/>
        <v>1</v>
      </c>
      <c r="AD71" s="5">
        <f t="shared" si="27"/>
        <v>1000</v>
      </c>
      <c r="AE71" s="5">
        <f t="shared" si="27"/>
        <v>1000</v>
      </c>
      <c r="AF71" s="5">
        <f t="shared" si="27"/>
        <v>1000</v>
      </c>
      <c r="AG71" s="5">
        <f t="shared" si="27"/>
        <v>1000</v>
      </c>
      <c r="AH71" s="5">
        <f t="shared" si="27"/>
        <v>1000</v>
      </c>
      <c r="AI71" s="5">
        <f t="shared" si="27"/>
        <v>1000</v>
      </c>
      <c r="AJ71" s="5">
        <f t="shared" si="27"/>
        <v>1000</v>
      </c>
    </row>
    <row r="72" spans="1:36" x14ac:dyDescent="0.35">
      <c r="B72" s="2334" t="e">
        <f t="shared" ref="B72:B78" si="29">FIND(",",$AA$3,B71+1)</f>
        <v>#VALUE!</v>
      </c>
      <c r="D72" s="2415" t="e">
        <f>$I$2&amp;MID($AA$3,B71,B72-(B71))&amp;$J$2</f>
        <v>#VALUE!</v>
      </c>
      <c r="E72" s="2415"/>
      <c r="F72" s="2419"/>
      <c r="G72" s="2420"/>
      <c r="H72" s="2420"/>
      <c r="I72" s="2420"/>
      <c r="J72" s="2420"/>
      <c r="K72" s="2421"/>
      <c r="Y72" t="b">
        <f t="shared" si="22"/>
        <v>0</v>
      </c>
      <c r="Z72" s="5">
        <v>21</v>
      </c>
      <c r="AA72">
        <f t="shared" si="26"/>
        <v>1</v>
      </c>
      <c r="AB72" s="29" t="str">
        <f t="shared" si="23"/>
        <v/>
      </c>
      <c r="AC72" t="str">
        <f t="shared" si="24"/>
        <v>1</v>
      </c>
      <c r="AD72" s="5">
        <f t="shared" si="27"/>
        <v>1000</v>
      </c>
      <c r="AE72" s="5">
        <f t="shared" si="27"/>
        <v>1000</v>
      </c>
      <c r="AF72" s="5">
        <f t="shared" si="27"/>
        <v>1000</v>
      </c>
      <c r="AG72" s="5">
        <f t="shared" si="27"/>
        <v>1000</v>
      </c>
      <c r="AH72" s="5">
        <f t="shared" si="27"/>
        <v>1000</v>
      </c>
      <c r="AI72" s="5">
        <f t="shared" si="27"/>
        <v>1000</v>
      </c>
      <c r="AJ72" s="5">
        <f t="shared" si="27"/>
        <v>1000</v>
      </c>
    </row>
    <row r="73" spans="1:36" x14ac:dyDescent="0.35">
      <c r="B73" s="2334" t="e">
        <f t="shared" si="29"/>
        <v>#VALUE!</v>
      </c>
      <c r="D73" s="2415" t="e">
        <f>$I$2&amp;MID($AA$3,B72+1,B73-(B72+1))&amp;$J$2</f>
        <v>#VALUE!</v>
      </c>
      <c r="E73" s="2415" t="e">
        <f>D74</f>
        <v>#VALUE!</v>
      </c>
      <c r="F73" s="2422" t="e">
        <f>HLOOKUP(I73,$AD$49:$AJ$51,3,FALSE)</f>
        <v>#N/A</v>
      </c>
      <c r="G73" s="2334" t="e">
        <f>IF(F73=N78,"START","")</f>
        <v>#N/A</v>
      </c>
      <c r="H73" s="2334" t="e">
        <f>IF(G73="","",$I$2&amp;I73&amp;G73&amp;$J$2)</f>
        <v>#N/A</v>
      </c>
      <c r="I73" s="2334">
        <f>IF(ISERROR(D72),K64,MID(D73,2,4))</f>
        <v>0</v>
      </c>
      <c r="J73" s="2423" t="e">
        <f>VLOOKUP(I73,$Z$42:$AB$50,3,FALSE)</f>
        <v>#N/A</v>
      </c>
      <c r="K73" s="2424">
        <f>VLOOKUP(I73,$Z$42:$AA$51,2,FALSE)</f>
        <v>0</v>
      </c>
      <c r="L73" s="5" t="e">
        <f>VLOOKUP(I73,$S$9:$T$15,2,FALSE)</f>
        <v>#N/A</v>
      </c>
      <c r="Y73" t="b">
        <f t="shared" si="22"/>
        <v>0</v>
      </c>
      <c r="Z73" s="5">
        <v>22</v>
      </c>
      <c r="AA73">
        <f t="shared" si="26"/>
        <v>1</v>
      </c>
      <c r="AB73" s="29" t="str">
        <f t="shared" si="23"/>
        <v/>
      </c>
      <c r="AC73" t="str">
        <f t="shared" si="24"/>
        <v>1</v>
      </c>
      <c r="AD73" s="5">
        <f t="shared" si="27"/>
        <v>1000</v>
      </c>
      <c r="AE73" s="5">
        <f t="shared" si="27"/>
        <v>1000</v>
      </c>
      <c r="AF73" s="5">
        <f t="shared" si="27"/>
        <v>1000</v>
      </c>
      <c r="AG73" s="5">
        <f t="shared" si="27"/>
        <v>1000</v>
      </c>
      <c r="AH73" s="5">
        <f t="shared" si="27"/>
        <v>1000</v>
      </c>
      <c r="AI73" s="5">
        <f t="shared" si="27"/>
        <v>1000</v>
      </c>
      <c r="AJ73" s="5">
        <f t="shared" si="27"/>
        <v>1000</v>
      </c>
    </row>
    <row r="74" spans="1:36" x14ac:dyDescent="0.35">
      <c r="B74" s="2334" t="e">
        <f t="shared" si="29"/>
        <v>#VALUE!</v>
      </c>
      <c r="D74" s="2415" t="e">
        <f>$I$2&amp;MID($AA$3,B73+1,B74-(B73+1))&amp;$J$2</f>
        <v>#VALUE!</v>
      </c>
      <c r="E74" s="2415"/>
      <c r="F74" s="2425"/>
      <c r="G74" s="2415"/>
      <c r="H74" s="2415"/>
      <c r="I74" s="2415"/>
      <c r="J74" s="2415"/>
      <c r="K74" s="2424"/>
      <c r="Y74" t="b">
        <f t="shared" si="22"/>
        <v>0</v>
      </c>
      <c r="Z74" s="5">
        <v>1000</v>
      </c>
      <c r="AA74">
        <v>1</v>
      </c>
      <c r="AB74" s="29"/>
      <c r="AD74" s="5"/>
      <c r="AE74" s="5"/>
      <c r="AF74" s="5"/>
      <c r="AG74" s="5"/>
      <c r="AH74" s="5"/>
      <c r="AI74" s="5"/>
      <c r="AJ74" s="5"/>
    </row>
    <row r="75" spans="1:36" x14ac:dyDescent="0.35">
      <c r="B75" s="2334" t="e">
        <f t="shared" si="29"/>
        <v>#VALUE!</v>
      </c>
      <c r="D75" s="2415" t="e">
        <f>$I$2&amp;MID($AA$3,B74+1,B75-(B74+1))&amp;$J$2</f>
        <v>#VALUE!</v>
      </c>
      <c r="E75" s="2415" t="e">
        <f>MID($AA$3,B75+1,10)</f>
        <v>#VALUE!</v>
      </c>
      <c r="F75" s="2425" t="str">
        <f>IF(ISERROR(D72),$I$2&amp;$J$2,E73)</f>
        <v>"",</v>
      </c>
      <c r="G75" s="2415"/>
      <c r="H75" s="2415" t="str">
        <f>IF(ISERROR(D72),$I$2&amp;$J$2,$I$2&amp;MID(D75,5,2)&amp;"/"&amp;MID(D75,2,2)&amp;"/"&amp;MID(D75,8,4)&amp;$J$2)</f>
        <v>"",</v>
      </c>
      <c r="I75" s="2415"/>
      <c r="J75" s="2415"/>
      <c r="K75" s="2424"/>
      <c r="Y75" t="b">
        <v>1</v>
      </c>
      <c r="AB75" t="s">
        <v>3020</v>
      </c>
    </row>
    <row r="76" spans="1:36" x14ac:dyDescent="0.35">
      <c r="B76" s="2334" t="e">
        <f t="shared" si="29"/>
        <v>#VALUE!</v>
      </c>
      <c r="D76" s="2415" t="e">
        <f>IF(E76=TRUE,D75,$I$2&amp;MID($AA$3,B75+1,B76-(B75+1))&amp;$J$2)</f>
        <v>#VALUE!</v>
      </c>
      <c r="E76" s="2415" t="b">
        <f>ISERROR(SEARCH("/",E75))</f>
        <v>1</v>
      </c>
      <c r="F76" s="2425"/>
      <c r="G76" s="2415"/>
      <c r="H76" s="2415" t="str">
        <f>IF(ISERROR(D72),$I$2&amp;$J$2,IF(E76=TRUE,H75,$I$2&amp;MID(E75,4,2)&amp;"/"&amp;MID(E75,1,2)&amp;"/"&amp;MID(E75,7,4)&amp;$J$2))</f>
        <v>"",</v>
      </c>
      <c r="I76" s="2415"/>
      <c r="J76" s="2415"/>
      <c r="K76" s="2424"/>
    </row>
    <row r="77" spans="1:36" x14ac:dyDescent="0.35">
      <c r="B77" s="2334" t="e">
        <f t="shared" si="29"/>
        <v>#VALUE!</v>
      </c>
      <c r="D77" s="2415"/>
      <c r="E77" s="2415"/>
      <c r="F77" s="2425"/>
      <c r="G77" s="2415"/>
      <c r="H77" s="2415"/>
      <c r="I77" s="2415"/>
      <c r="J77" s="2415"/>
      <c r="K77" s="2424"/>
    </row>
    <row r="78" spans="1:36" x14ac:dyDescent="0.35">
      <c r="B78" s="2334" t="e">
        <f t="shared" si="29"/>
        <v>#VALUE!</v>
      </c>
      <c r="D78" s="2415" t="e">
        <f>CONCATENATE(H73,F75,H75,H76)</f>
        <v>#N/A</v>
      </c>
      <c r="E78" s="2415"/>
      <c r="F78" s="2426"/>
      <c r="G78" s="2427"/>
      <c r="H78" s="2427"/>
      <c r="I78" s="2427"/>
      <c r="J78" s="2427"/>
      <c r="K78" s="2428"/>
      <c r="L78" s="5">
        <f>IF(ISERROR(D72),1,MID(H75,8,4)&amp;MID(H75,5,2)&amp;MID(H75,2,2)&amp;MID(H76,8,4)&amp;MID(H76,5,2)&amp;MID(H76,2,2))</f>
        <v>1</v>
      </c>
      <c r="M78">
        <f>IF(ISERROR(J73),1,L73&amp;L78)</f>
        <v>1</v>
      </c>
      <c r="N78" s="5">
        <f>VALUE(M78)</f>
        <v>1</v>
      </c>
      <c r="O78" t="str">
        <f>IF(N78=1,"",D78)</f>
        <v/>
      </c>
    </row>
    <row r="79" spans="1:36" x14ac:dyDescent="0.35">
      <c r="B79" s="2334" t="e">
        <f>FIND(",",$AA$3,B78+1)</f>
        <v>#VALUE!</v>
      </c>
      <c r="D79" s="2416"/>
      <c r="E79" s="2416"/>
      <c r="F79" s="2416"/>
      <c r="G79" s="2416"/>
      <c r="H79" s="2416"/>
      <c r="I79" s="2416"/>
      <c r="J79" s="2416"/>
      <c r="K79" s="2416"/>
    </row>
    <row r="80" spans="1:36" x14ac:dyDescent="0.35">
      <c r="A80" t="e">
        <f>MID(D72,2,4)</f>
        <v>#VALUE!</v>
      </c>
      <c r="B80" s="2334" t="e">
        <f>FIND(A80,$AA$3,B79+1)</f>
        <v>#VALUE!</v>
      </c>
      <c r="D80" s="2416"/>
      <c r="E80" s="2416"/>
      <c r="F80" s="2416"/>
      <c r="G80" s="2416"/>
      <c r="H80" s="2416"/>
      <c r="I80" s="2416"/>
      <c r="J80" s="2416"/>
      <c r="K80" s="2416"/>
    </row>
    <row r="81" spans="1:15" x14ac:dyDescent="0.35">
      <c r="B81" s="2334" t="e">
        <f t="shared" ref="B81:B87" si="30">FIND(",",$AA$3,B80+1)</f>
        <v>#VALUE!</v>
      </c>
      <c r="D81" s="2415" t="e">
        <f>$I$2&amp;MID($AA$3,B80,B81-(B80))&amp;$J$2</f>
        <v>#VALUE!</v>
      </c>
      <c r="E81" s="2415"/>
      <c r="F81" s="2419"/>
      <c r="G81" s="2420"/>
      <c r="H81" s="2420"/>
      <c r="I81" s="2420"/>
      <c r="J81" s="2420"/>
      <c r="K81" s="2421"/>
    </row>
    <row r="82" spans="1:15" x14ac:dyDescent="0.35">
      <c r="B82" s="2334" t="e">
        <f t="shared" si="30"/>
        <v>#VALUE!</v>
      </c>
      <c r="D82" s="2415" t="e">
        <f>$I$2&amp;MID($AA$3,B81+1,B82-(B81+1))&amp;$J$2</f>
        <v>#VALUE!</v>
      </c>
      <c r="E82" s="2415" t="e">
        <f>D83</f>
        <v>#VALUE!</v>
      </c>
      <c r="F82" s="2422" t="e">
        <f>HLOOKUP(I82,$AD$49:$AJ$51,3,FALSE)</f>
        <v>#N/A</v>
      </c>
      <c r="G82" s="2334" t="e">
        <f>IF(F82=N87,"START","")</f>
        <v>#N/A</v>
      </c>
      <c r="H82" s="2334" t="e">
        <f>IF(G82="","",$I$2&amp;I82&amp;G82&amp;$J$2)</f>
        <v>#N/A</v>
      </c>
      <c r="I82" s="2334">
        <f>IF(ISERROR(D81),K73,MID(D82,2,4))</f>
        <v>0</v>
      </c>
      <c r="J82" s="2423" t="e">
        <f>VLOOKUP(I82,$Z$42:$AB$50,3,FALSE)</f>
        <v>#N/A</v>
      </c>
      <c r="K82" s="2424">
        <f>VLOOKUP(I82,$Z$42:$AA$51,2,FALSE)</f>
        <v>0</v>
      </c>
      <c r="L82" s="5" t="e">
        <f>VLOOKUP(I82,$S$9:$T$15,2,FALSE)</f>
        <v>#N/A</v>
      </c>
    </row>
    <row r="83" spans="1:15" x14ac:dyDescent="0.35">
      <c r="B83" s="2334" t="e">
        <f t="shared" si="30"/>
        <v>#VALUE!</v>
      </c>
      <c r="D83" s="2415" t="e">
        <f>$I$2&amp;MID($AA$3,B82+1,B83-(B82+1))&amp;$J$2</f>
        <v>#VALUE!</v>
      </c>
      <c r="E83" s="2415"/>
      <c r="F83" s="2425"/>
      <c r="G83" s="2415"/>
      <c r="H83" s="2415"/>
      <c r="I83" s="2415"/>
      <c r="J83" s="2415"/>
      <c r="K83" s="2424"/>
    </row>
    <row r="84" spans="1:15" x14ac:dyDescent="0.35">
      <c r="B84" s="2334" t="e">
        <f t="shared" si="30"/>
        <v>#VALUE!</v>
      </c>
      <c r="D84" s="2415" t="e">
        <f>$I$2&amp;MID($AA$3,B83+1,B84-(B83+1))&amp;$J$2</f>
        <v>#VALUE!</v>
      </c>
      <c r="E84" s="2415" t="e">
        <f>MID($AA$3,B84+1,10)</f>
        <v>#VALUE!</v>
      </c>
      <c r="F84" s="2425" t="str">
        <f>IF(ISERROR(D81),$I$2&amp;$J$2,E82)</f>
        <v>"",</v>
      </c>
      <c r="G84" s="2415"/>
      <c r="H84" s="2415" t="str">
        <f>IF(ISERROR(D81),$I$2&amp;$J$2,$I$2&amp;MID(D84,5,2)&amp;"/"&amp;MID(D84,2,2)&amp;"/"&amp;MID(D84,8,4)&amp;$J$2)</f>
        <v>"",</v>
      </c>
      <c r="I84" s="2415"/>
      <c r="J84" s="2415"/>
      <c r="K84" s="2424"/>
    </row>
    <row r="85" spans="1:15" x14ac:dyDescent="0.35">
      <c r="B85" s="2334" t="e">
        <f t="shared" si="30"/>
        <v>#VALUE!</v>
      </c>
      <c r="D85" s="2415" t="e">
        <f>IF(E85=TRUE,D84,$I$2&amp;MID($AA$3,B84+1,B85-(B84+1))&amp;$J$2)</f>
        <v>#VALUE!</v>
      </c>
      <c r="E85" s="2415" t="b">
        <f>ISERROR(SEARCH("/",E84))</f>
        <v>1</v>
      </c>
      <c r="F85" s="2425"/>
      <c r="G85" s="2415"/>
      <c r="H85" s="2415" t="str">
        <f>IF(ISERROR(D81),$I$2&amp;$J$2,IF(E85=TRUE,H84,$I$2&amp;MID(E84,4,2)&amp;"/"&amp;MID(E84,1,2)&amp;"/"&amp;MID(E84,7,4)&amp;$J$2))</f>
        <v>"",</v>
      </c>
      <c r="I85" s="2415"/>
      <c r="J85" s="2415"/>
      <c r="K85" s="2424"/>
    </row>
    <row r="86" spans="1:15" x14ac:dyDescent="0.35">
      <c r="B86" s="2334" t="e">
        <f t="shared" si="30"/>
        <v>#VALUE!</v>
      </c>
      <c r="D86" s="2415"/>
      <c r="E86" s="2415"/>
      <c r="F86" s="2425"/>
      <c r="G86" s="2415"/>
      <c r="H86" s="2415"/>
      <c r="I86" s="2415"/>
      <c r="J86" s="2415"/>
      <c r="K86" s="2424"/>
    </row>
    <row r="87" spans="1:15" x14ac:dyDescent="0.35">
      <c r="B87" s="2334" t="e">
        <f t="shared" si="30"/>
        <v>#VALUE!</v>
      </c>
      <c r="D87" s="2415" t="e">
        <f>CONCATENATE(H82,F84,H84,H85)</f>
        <v>#N/A</v>
      </c>
      <c r="E87" s="2415"/>
      <c r="F87" s="2426"/>
      <c r="G87" s="2427"/>
      <c r="H87" s="2427"/>
      <c r="I87" s="2427"/>
      <c r="J87" s="2427"/>
      <c r="K87" s="2428"/>
      <c r="L87" s="5">
        <f>IF(ISERROR(D81),1,MID(H84,8,4)&amp;MID(H84,5,2)&amp;MID(H84,2,2)&amp;MID(H85,8,4)&amp;MID(H85,5,2)&amp;MID(H85,2,2))</f>
        <v>1</v>
      </c>
      <c r="M87">
        <f>IF(ISERROR(J82),1,L82&amp;L87)</f>
        <v>1</v>
      </c>
      <c r="N87" s="5">
        <f>VALUE(M87)</f>
        <v>1</v>
      </c>
      <c r="O87" t="str">
        <f>IF(N87=1,"",D87)</f>
        <v/>
      </c>
    </row>
    <row r="88" spans="1:15" x14ac:dyDescent="0.35">
      <c r="B88" s="2334" t="e">
        <f>FIND(",",$AA$3,B87+1)</f>
        <v>#VALUE!</v>
      </c>
      <c r="D88" s="2416"/>
      <c r="E88" s="2416"/>
      <c r="F88" s="2416"/>
      <c r="G88" s="2416"/>
      <c r="H88" s="2416"/>
      <c r="I88" s="2416"/>
      <c r="J88" s="2416"/>
      <c r="K88" s="2416"/>
    </row>
    <row r="89" spans="1:15" x14ac:dyDescent="0.35">
      <c r="A89" t="e">
        <f>MID(D81,2,4)</f>
        <v>#VALUE!</v>
      </c>
      <c r="B89" s="2334" t="e">
        <f>FIND(A89,$AA$3,B88+1)</f>
        <v>#VALUE!</v>
      </c>
      <c r="D89" s="2416"/>
      <c r="E89" s="2416"/>
      <c r="F89" s="2416"/>
      <c r="G89" s="2416"/>
      <c r="H89" s="2416"/>
      <c r="I89" s="2416"/>
      <c r="J89" s="2416"/>
      <c r="K89" s="2416"/>
    </row>
    <row r="90" spans="1:15" x14ac:dyDescent="0.35">
      <c r="B90" s="2334" t="e">
        <f t="shared" ref="B90:B96" si="31">FIND(",",$AA$3,B89+1)</f>
        <v>#VALUE!</v>
      </c>
      <c r="D90" s="2415" t="e">
        <f>$I$2&amp;MID($AA$3,B89,B90-(B89))&amp;$J$2</f>
        <v>#VALUE!</v>
      </c>
      <c r="E90" s="2415"/>
      <c r="F90" s="2419"/>
      <c r="G90" s="2420"/>
      <c r="H90" s="2420"/>
      <c r="I90" s="2420"/>
      <c r="J90" s="2420"/>
      <c r="K90" s="2421"/>
    </row>
    <row r="91" spans="1:15" x14ac:dyDescent="0.35">
      <c r="B91" s="2334" t="e">
        <f t="shared" si="31"/>
        <v>#VALUE!</v>
      </c>
      <c r="D91" s="2415" t="e">
        <f>$I$2&amp;MID($AA$3,B90+1,B91-(B90+1))&amp;$J$2</f>
        <v>#VALUE!</v>
      </c>
      <c r="E91" s="2415" t="e">
        <f>D92</f>
        <v>#VALUE!</v>
      </c>
      <c r="F91" s="2422" t="e">
        <f>HLOOKUP(I91,$AD$49:$AJ$51,3,FALSE)</f>
        <v>#N/A</v>
      </c>
      <c r="G91" s="2334" t="e">
        <f>IF(F91=N96,"START","")</f>
        <v>#N/A</v>
      </c>
      <c r="H91" s="2334" t="e">
        <f>IF(G91="","",$I$2&amp;I91&amp;G91&amp;$J$2)</f>
        <v>#N/A</v>
      </c>
      <c r="I91" s="2334">
        <f>IF(ISERROR(D90),K82,MID(D91,2,4))</f>
        <v>0</v>
      </c>
      <c r="J91" s="2423" t="e">
        <f>VLOOKUP(I91,$Z$42:$AB$50,3,FALSE)</f>
        <v>#N/A</v>
      </c>
      <c r="K91" s="2424">
        <f>VLOOKUP(I91,$Z$42:$AA$51,2,FALSE)</f>
        <v>0</v>
      </c>
      <c r="L91" s="5" t="e">
        <f>VLOOKUP(I91,$S$9:$T$15,2,FALSE)</f>
        <v>#N/A</v>
      </c>
    </row>
    <row r="92" spans="1:15" x14ac:dyDescent="0.35">
      <c r="B92" s="2334" t="e">
        <f t="shared" si="31"/>
        <v>#VALUE!</v>
      </c>
      <c r="D92" s="2415" t="e">
        <f>$I$2&amp;MID($AA$3,B91+1,B92-(B91+1))&amp;$J$2</f>
        <v>#VALUE!</v>
      </c>
      <c r="E92" s="2415"/>
      <c r="F92" s="2425"/>
      <c r="G92" s="2415"/>
      <c r="H92" s="2415"/>
      <c r="I92" s="2415"/>
      <c r="J92" s="2415"/>
      <c r="K92" s="2424"/>
    </row>
    <row r="93" spans="1:15" x14ac:dyDescent="0.35">
      <c r="B93" s="2334" t="e">
        <f t="shared" si="31"/>
        <v>#VALUE!</v>
      </c>
      <c r="D93" s="2415" t="e">
        <f>$I$2&amp;MID($AA$3,B92+1,B93-(B92+1))&amp;$J$2</f>
        <v>#VALUE!</v>
      </c>
      <c r="E93" s="2415" t="e">
        <f>MID($AA$3,B93+1,10)</f>
        <v>#VALUE!</v>
      </c>
      <c r="F93" s="2425" t="str">
        <f>IF(ISERROR(D90),$I$2&amp;$J$2,E91)</f>
        <v>"",</v>
      </c>
      <c r="G93" s="2415"/>
      <c r="H93" s="2415" t="str">
        <f>IF(ISERROR(D90),$I$2&amp;$J$2,$I$2&amp;MID(D93,5,2)&amp;"/"&amp;MID(D93,2,2)&amp;"/"&amp;MID(D93,8,4)&amp;$J$2)</f>
        <v>"",</v>
      </c>
      <c r="I93" s="2415"/>
      <c r="J93" s="2415"/>
      <c r="K93" s="2424"/>
    </row>
    <row r="94" spans="1:15" x14ac:dyDescent="0.35">
      <c r="B94" s="2334" t="e">
        <f t="shared" si="31"/>
        <v>#VALUE!</v>
      </c>
      <c r="D94" s="2415" t="e">
        <f>IF(E94=TRUE,D93,$I$2&amp;MID($AA$3,B93+1,B94-(B93+1))&amp;$J$2)</f>
        <v>#VALUE!</v>
      </c>
      <c r="E94" s="2415" t="b">
        <f>ISERROR(SEARCH("/",E93))</f>
        <v>1</v>
      </c>
      <c r="F94" s="2425"/>
      <c r="G94" s="2415"/>
      <c r="H94" s="2415" t="str">
        <f>IF(ISERROR(D90),$I$2&amp;$J$2,IF(E94=TRUE,H93,$I$2&amp;MID(E93,4,2)&amp;"/"&amp;MID(E93,1,2)&amp;"/"&amp;MID(E93,7,4)&amp;$J$2))</f>
        <v>"",</v>
      </c>
      <c r="I94" s="2415"/>
      <c r="J94" s="2415"/>
      <c r="K94" s="2424"/>
    </row>
    <row r="95" spans="1:15" x14ac:dyDescent="0.35">
      <c r="B95" s="2334" t="e">
        <f t="shared" si="31"/>
        <v>#VALUE!</v>
      </c>
      <c r="D95" s="2415"/>
      <c r="E95" s="2415"/>
      <c r="F95" s="2425"/>
      <c r="G95" s="2415"/>
      <c r="H95" s="2415"/>
      <c r="I95" s="2415"/>
      <c r="J95" s="2415"/>
      <c r="K95" s="2424"/>
    </row>
    <row r="96" spans="1:15" x14ac:dyDescent="0.35">
      <c r="B96" s="2334" t="e">
        <f t="shared" si="31"/>
        <v>#VALUE!</v>
      </c>
      <c r="D96" s="2415" t="e">
        <f>CONCATENATE(H91,F93,H93,H94)</f>
        <v>#N/A</v>
      </c>
      <c r="E96" s="2415"/>
      <c r="F96" s="2426"/>
      <c r="G96" s="2427"/>
      <c r="H96" s="2427"/>
      <c r="I96" s="2427"/>
      <c r="J96" s="2427"/>
      <c r="K96" s="2428"/>
      <c r="L96" s="5">
        <f>IF(ISERROR(D90),1,MID(H93,8,4)&amp;MID(H93,5,2)&amp;MID(H93,2,2)&amp;MID(H94,8,4)&amp;MID(H94,5,2)&amp;MID(H94,2,2))</f>
        <v>1</v>
      </c>
      <c r="M96">
        <f>IF(ISERROR(J91),1,L91&amp;L96)</f>
        <v>1</v>
      </c>
      <c r="N96" s="5">
        <f>VALUE(M96)</f>
        <v>1</v>
      </c>
      <c r="O96" t="str">
        <f>IF(N96=1,"",D96)</f>
        <v/>
      </c>
    </row>
    <row r="97" spans="1:15" x14ac:dyDescent="0.35">
      <c r="B97" s="2334" t="e">
        <f>FIND(",",$AA$3,B96+1)</f>
        <v>#VALUE!</v>
      </c>
      <c r="D97" s="2416"/>
      <c r="E97" s="2416"/>
      <c r="F97" s="2416"/>
      <c r="G97" s="2416"/>
      <c r="H97" s="2416"/>
      <c r="I97" s="2416"/>
      <c r="J97" s="2416"/>
      <c r="K97" s="2416"/>
    </row>
    <row r="98" spans="1:15" x14ac:dyDescent="0.35">
      <c r="A98" t="e">
        <f>MID(D90,2,4)</f>
        <v>#VALUE!</v>
      </c>
      <c r="B98" s="2334" t="e">
        <f>FIND(A98,$AA$3,B97+1)</f>
        <v>#VALUE!</v>
      </c>
      <c r="D98" s="2416"/>
      <c r="E98" s="2416"/>
      <c r="F98" s="2416"/>
      <c r="G98" s="2416"/>
      <c r="H98" s="2416"/>
      <c r="I98" s="2416"/>
      <c r="J98" s="2416"/>
      <c r="K98" s="2416"/>
    </row>
    <row r="99" spans="1:15" x14ac:dyDescent="0.35">
      <c r="B99" s="2334" t="e">
        <f t="shared" ref="B99:B105" si="32">FIND(",",$AA$3,B98+1)</f>
        <v>#VALUE!</v>
      </c>
      <c r="D99" s="2415" t="e">
        <f>$I$2&amp;MID($AA$3,B98,B99-(B98))&amp;$J$2</f>
        <v>#VALUE!</v>
      </c>
      <c r="E99" s="2415"/>
      <c r="F99" s="2419"/>
      <c r="G99" s="2420"/>
      <c r="H99" s="2420"/>
      <c r="I99" s="2420"/>
      <c r="J99" s="2420"/>
      <c r="K99" s="2421"/>
    </row>
    <row r="100" spans="1:15" x14ac:dyDescent="0.35">
      <c r="B100" s="2334" t="e">
        <f t="shared" si="32"/>
        <v>#VALUE!</v>
      </c>
      <c r="D100" s="2415" t="e">
        <f>$I$2&amp;MID($AA$3,B99+1,B100-(B99+1))&amp;$J$2</f>
        <v>#VALUE!</v>
      </c>
      <c r="E100" s="2415" t="e">
        <f>D101</f>
        <v>#VALUE!</v>
      </c>
      <c r="F100" s="2422" t="e">
        <f>HLOOKUP(I100,$AD$49:$AJ$51,3,FALSE)</f>
        <v>#N/A</v>
      </c>
      <c r="G100" s="2334" t="e">
        <f>IF(F100=N105,"START","")</f>
        <v>#N/A</v>
      </c>
      <c r="H100" s="2334" t="e">
        <f>IF(G100="","",$I$2&amp;I100&amp;G100&amp;$J$2)</f>
        <v>#N/A</v>
      </c>
      <c r="I100" s="2334">
        <f>IF(ISERROR(D99),K91,MID(D100,2,4))</f>
        <v>0</v>
      </c>
      <c r="J100" s="2423" t="e">
        <f>VLOOKUP(I100,$Z$42:$AB$50,3,FALSE)</f>
        <v>#N/A</v>
      </c>
      <c r="K100" s="2424">
        <f>VLOOKUP(I100,$Z$42:$AA$51,2,FALSE)</f>
        <v>0</v>
      </c>
      <c r="L100" s="5" t="e">
        <f>VLOOKUP(I100,$S$9:$T$15,2,FALSE)</f>
        <v>#N/A</v>
      </c>
    </row>
    <row r="101" spans="1:15" x14ac:dyDescent="0.35">
      <c r="B101" s="2334" t="e">
        <f t="shared" si="32"/>
        <v>#VALUE!</v>
      </c>
      <c r="D101" s="2415" t="e">
        <f>$I$2&amp;MID($AA$3,B100+1,B101-(B100+1))&amp;$J$2</f>
        <v>#VALUE!</v>
      </c>
      <c r="E101" s="2415"/>
      <c r="F101" s="2425"/>
      <c r="G101" s="2415"/>
      <c r="H101" s="2415"/>
      <c r="I101" s="2415"/>
      <c r="J101" s="2415"/>
      <c r="K101" s="2424"/>
    </row>
    <row r="102" spans="1:15" x14ac:dyDescent="0.35">
      <c r="B102" s="2334" t="e">
        <f t="shared" si="32"/>
        <v>#VALUE!</v>
      </c>
      <c r="D102" s="2415" t="e">
        <f>$I$2&amp;MID($AA$3,B101+1,B102-(B101+1))&amp;$J$2</f>
        <v>#VALUE!</v>
      </c>
      <c r="E102" s="2415" t="e">
        <f>MID($AA$3,B102+1,10)</f>
        <v>#VALUE!</v>
      </c>
      <c r="F102" s="2425" t="str">
        <f>IF(ISERROR(D99),$I$2&amp;$J$2,E100)</f>
        <v>"",</v>
      </c>
      <c r="G102" s="2415"/>
      <c r="H102" s="2415" t="str">
        <f>IF(ISERROR(D99),$I$2&amp;$J$2,$I$2&amp;MID(D102,5,2)&amp;"/"&amp;MID(D102,2,2)&amp;"/"&amp;MID(D102,8,4)&amp;$J$2)</f>
        <v>"",</v>
      </c>
      <c r="I102" s="2415"/>
      <c r="J102" s="2415"/>
      <c r="K102" s="2424"/>
    </row>
    <row r="103" spans="1:15" x14ac:dyDescent="0.35">
      <c r="B103" s="2334" t="e">
        <f t="shared" si="32"/>
        <v>#VALUE!</v>
      </c>
      <c r="D103" s="2415" t="e">
        <f>IF(E103=TRUE,D102,$I$2&amp;MID($AA$3,B102+1,B103-(B102+1))&amp;$J$2)</f>
        <v>#VALUE!</v>
      </c>
      <c r="E103" s="2415" t="b">
        <f>ISERROR(SEARCH("/",E102))</f>
        <v>1</v>
      </c>
      <c r="F103" s="2425"/>
      <c r="G103" s="2415"/>
      <c r="H103" s="2415" t="str">
        <f>IF(ISERROR(D99),$I$2&amp;$J$2,IF(E103=TRUE,H102,$I$2&amp;MID(E102,4,2)&amp;"/"&amp;MID(E102,1,2)&amp;"/"&amp;MID(E102,7,4)&amp;$J$2))</f>
        <v>"",</v>
      </c>
      <c r="I103" s="2415"/>
      <c r="J103" s="2415"/>
      <c r="K103" s="2424"/>
    </row>
    <row r="104" spans="1:15" x14ac:dyDescent="0.35">
      <c r="B104" s="2334" t="e">
        <f t="shared" si="32"/>
        <v>#VALUE!</v>
      </c>
      <c r="D104" s="2415"/>
      <c r="E104" s="2415"/>
      <c r="F104" s="2425"/>
      <c r="G104" s="2415"/>
      <c r="H104" s="2415"/>
      <c r="I104" s="2415"/>
      <c r="J104" s="2415"/>
      <c r="K104" s="2424"/>
    </row>
    <row r="105" spans="1:15" x14ac:dyDescent="0.35">
      <c r="B105" s="2334" t="e">
        <f t="shared" si="32"/>
        <v>#VALUE!</v>
      </c>
      <c r="D105" s="2415" t="e">
        <f>CONCATENATE(H100,F102,H102,H103)</f>
        <v>#N/A</v>
      </c>
      <c r="E105" s="2415"/>
      <c r="F105" s="2426"/>
      <c r="G105" s="2427"/>
      <c r="H105" s="2427"/>
      <c r="I105" s="2427"/>
      <c r="J105" s="2427"/>
      <c r="K105" s="2428"/>
      <c r="L105" s="5">
        <f>IF(ISERROR(D99),1,MID(H102,8,4)&amp;MID(H102,5,2)&amp;MID(H102,2,2)&amp;MID(H103,8,4)&amp;MID(H103,5,2)&amp;MID(H103,2,2))</f>
        <v>1</v>
      </c>
      <c r="M105">
        <f>IF(ISERROR(J100),1,L100&amp;L105)</f>
        <v>1</v>
      </c>
      <c r="N105" s="5">
        <f>VALUE(M105)</f>
        <v>1</v>
      </c>
      <c r="O105" t="str">
        <f>IF(N105=1,"",D105)</f>
        <v/>
      </c>
    </row>
    <row r="106" spans="1:15" x14ac:dyDescent="0.35">
      <c r="B106" s="2334" t="e">
        <f>FIND(",",$AA$3,B105+1)</f>
        <v>#VALUE!</v>
      </c>
      <c r="D106" s="2416"/>
      <c r="E106" s="2416"/>
      <c r="F106" s="2416"/>
      <c r="G106" s="2416"/>
      <c r="H106" s="2416"/>
      <c r="I106" s="2416"/>
      <c r="J106" s="2416"/>
      <c r="K106" s="2416"/>
    </row>
    <row r="107" spans="1:15" x14ac:dyDescent="0.35">
      <c r="A107" t="e">
        <f>MID(D99,2,4)</f>
        <v>#VALUE!</v>
      </c>
      <c r="B107" s="2334" t="e">
        <f>FIND(A107,$AA$3,B106+1)</f>
        <v>#VALUE!</v>
      </c>
      <c r="D107" s="2416"/>
      <c r="E107" s="2416"/>
      <c r="F107" s="2416"/>
      <c r="G107" s="2416"/>
      <c r="H107" s="2416"/>
      <c r="I107" s="2416"/>
      <c r="J107" s="2416"/>
      <c r="K107" s="2416"/>
    </row>
    <row r="108" spans="1:15" x14ac:dyDescent="0.35">
      <c r="B108" s="2334" t="e">
        <f t="shared" ref="B108:B114" si="33">FIND(",",$AA$3,B107+1)</f>
        <v>#VALUE!</v>
      </c>
      <c r="D108" s="2415" t="e">
        <f>$I$2&amp;MID($AA$3,B107,B108-(B107))&amp;$J$2</f>
        <v>#VALUE!</v>
      </c>
      <c r="E108" s="2415"/>
      <c r="F108" s="2419"/>
      <c r="G108" s="2420"/>
      <c r="H108" s="2420"/>
      <c r="I108" s="2420"/>
      <c r="J108" s="2420"/>
      <c r="K108" s="2421"/>
    </row>
    <row r="109" spans="1:15" x14ac:dyDescent="0.35">
      <c r="B109" s="2334" t="e">
        <f t="shared" si="33"/>
        <v>#VALUE!</v>
      </c>
      <c r="D109" s="2415" t="e">
        <f>$I$2&amp;MID($AA$3,B108+1,B109-(B108+1))&amp;$J$2</f>
        <v>#VALUE!</v>
      </c>
      <c r="E109" s="2415" t="e">
        <f>D110</f>
        <v>#VALUE!</v>
      </c>
      <c r="F109" s="2422" t="e">
        <f>HLOOKUP(I109,$AD$49:$AJ$51,3,FALSE)</f>
        <v>#N/A</v>
      </c>
      <c r="G109" s="2334" t="e">
        <f>IF(F109=N114,"START","")</f>
        <v>#N/A</v>
      </c>
      <c r="H109" s="2334" t="e">
        <f>IF(G109="","",$I$2&amp;I109&amp;G109&amp;$J$2)</f>
        <v>#N/A</v>
      </c>
      <c r="I109" s="2334">
        <f>IF(ISERROR(D108),K100,MID(D109,2,4))</f>
        <v>0</v>
      </c>
      <c r="J109" s="2423" t="e">
        <f>VLOOKUP(I109,$Z$42:$AB$50,3,FALSE)</f>
        <v>#N/A</v>
      </c>
      <c r="K109" s="2424">
        <f>VLOOKUP(I109,$Z$42:$AA$51,2,FALSE)</f>
        <v>0</v>
      </c>
      <c r="L109" s="5" t="e">
        <f>VLOOKUP(I109,$S$9:$T$15,2,FALSE)</f>
        <v>#N/A</v>
      </c>
    </row>
    <row r="110" spans="1:15" x14ac:dyDescent="0.35">
      <c r="B110" s="2334" t="e">
        <f t="shared" si="33"/>
        <v>#VALUE!</v>
      </c>
      <c r="D110" s="2415" t="e">
        <f>$I$2&amp;MID($AA$3,B109+1,B110-(B109+1))&amp;$J$2</f>
        <v>#VALUE!</v>
      </c>
      <c r="E110" s="2415"/>
      <c r="F110" s="2425"/>
      <c r="G110" s="2415"/>
      <c r="H110" s="2415"/>
      <c r="I110" s="2415"/>
      <c r="J110" s="2415"/>
      <c r="K110" s="2424"/>
    </row>
    <row r="111" spans="1:15" x14ac:dyDescent="0.35">
      <c r="B111" s="2334" t="e">
        <f t="shared" si="33"/>
        <v>#VALUE!</v>
      </c>
      <c r="D111" s="2415" t="e">
        <f>$I$2&amp;MID($AA$3,B110+1,B111-(B110+1))&amp;$J$2</f>
        <v>#VALUE!</v>
      </c>
      <c r="E111" s="2415" t="e">
        <f>MID($AA$3,B111+1,10)</f>
        <v>#VALUE!</v>
      </c>
      <c r="F111" s="2425" t="str">
        <f>IF(ISERROR(D108),$I$2&amp;$J$2,E109)</f>
        <v>"",</v>
      </c>
      <c r="G111" s="2415"/>
      <c r="H111" s="2415" t="str">
        <f>IF(ISERROR(D108),$I$2&amp;$J$2,$I$2&amp;MID(D111,5,2)&amp;"/"&amp;MID(D111,2,2)&amp;"/"&amp;MID(D111,8,4)&amp;$J$2)</f>
        <v>"",</v>
      </c>
      <c r="I111" s="2415"/>
      <c r="J111" s="2415"/>
      <c r="K111" s="2424"/>
    </row>
    <row r="112" spans="1:15" x14ac:dyDescent="0.35">
      <c r="B112" s="2334" t="e">
        <f t="shared" si="33"/>
        <v>#VALUE!</v>
      </c>
      <c r="D112" s="2415" t="e">
        <f>IF(E112=TRUE,D111,$I$2&amp;MID($AA$3,B111+1,B112-(B111+1))&amp;$J$2)</f>
        <v>#VALUE!</v>
      </c>
      <c r="E112" s="2415" t="b">
        <f>ISERROR(SEARCH("/",E111))</f>
        <v>1</v>
      </c>
      <c r="F112" s="2425"/>
      <c r="G112" s="2415"/>
      <c r="H112" s="2415" t="str">
        <f>IF(ISERROR(D108),$I$2&amp;$J$2,IF(E112=TRUE,H111,$I$2&amp;MID(E111,4,2)&amp;"/"&amp;MID(E111,1,2)&amp;"/"&amp;MID(E111,7,4)&amp;$J$2))</f>
        <v>"",</v>
      </c>
      <c r="I112" s="2415"/>
      <c r="J112" s="2415"/>
      <c r="K112" s="2424"/>
    </row>
    <row r="113" spans="1:15" x14ac:dyDescent="0.35">
      <c r="B113" s="2334" t="e">
        <f t="shared" si="33"/>
        <v>#VALUE!</v>
      </c>
      <c r="D113" s="2415"/>
      <c r="E113" s="2415"/>
      <c r="F113" s="2425"/>
      <c r="G113" s="2415"/>
      <c r="H113" s="2415"/>
      <c r="I113" s="2415"/>
      <c r="J113" s="2415"/>
      <c r="K113" s="2424"/>
    </row>
    <row r="114" spans="1:15" x14ac:dyDescent="0.35">
      <c r="B114" s="2334" t="e">
        <f t="shared" si="33"/>
        <v>#VALUE!</v>
      </c>
      <c r="D114" s="2415" t="e">
        <f>CONCATENATE(H109,F111,H111,H112)</f>
        <v>#N/A</v>
      </c>
      <c r="E114" s="2415"/>
      <c r="F114" s="2426"/>
      <c r="G114" s="2427"/>
      <c r="H114" s="2427"/>
      <c r="I114" s="2427"/>
      <c r="J114" s="2427"/>
      <c r="K114" s="2428"/>
      <c r="L114" s="5">
        <f>IF(ISERROR(D108),1,MID(H111,8,4)&amp;MID(H111,5,2)&amp;MID(H111,2,2)&amp;MID(H112,8,4)&amp;MID(H112,5,2)&amp;MID(H112,2,2))</f>
        <v>1</v>
      </c>
      <c r="M114">
        <f>IF(ISERROR(J109),1,L109&amp;L114)</f>
        <v>1</v>
      </c>
      <c r="N114" s="5">
        <f>VALUE(M114)</f>
        <v>1</v>
      </c>
      <c r="O114" t="str">
        <f>IF(N114=1,"",D114)</f>
        <v/>
      </c>
    </row>
    <row r="115" spans="1:15" x14ac:dyDescent="0.35">
      <c r="B115" s="2334" t="e">
        <f>FIND(",",$AA$3,B114+1)</f>
        <v>#VALUE!</v>
      </c>
      <c r="D115" s="2416"/>
      <c r="E115" s="2416"/>
      <c r="F115" s="2416"/>
      <c r="G115" s="2416"/>
      <c r="H115" s="2416"/>
      <c r="I115" s="2416"/>
      <c r="J115" s="2416"/>
      <c r="K115" s="2416"/>
    </row>
    <row r="116" spans="1:15" x14ac:dyDescent="0.35">
      <c r="A116" t="e">
        <f>MID(D108,2,4)</f>
        <v>#VALUE!</v>
      </c>
      <c r="B116" s="2334" t="e">
        <f>FIND(A116,$AA$3,B115+1)</f>
        <v>#VALUE!</v>
      </c>
      <c r="D116" s="2416"/>
      <c r="E116" s="2416"/>
      <c r="F116" s="2416"/>
      <c r="G116" s="2416"/>
      <c r="H116" s="2416"/>
      <c r="I116" s="2416"/>
      <c r="J116" s="2416"/>
      <c r="K116" s="2416"/>
    </row>
    <row r="117" spans="1:15" x14ac:dyDescent="0.35">
      <c r="B117" s="2334" t="e">
        <f t="shared" ref="B117:B123" si="34">FIND(",",$AA$3,B116+1)</f>
        <v>#VALUE!</v>
      </c>
      <c r="D117" s="2415" t="e">
        <f>$I$2&amp;MID($AA$3,B116,B117-(B116))&amp;$J$2</f>
        <v>#VALUE!</v>
      </c>
      <c r="E117" s="2415"/>
      <c r="F117" s="2419"/>
      <c r="G117" s="2420"/>
      <c r="H117" s="2420"/>
      <c r="I117" s="2420"/>
      <c r="J117" s="2420"/>
      <c r="K117" s="2421"/>
    </row>
    <row r="118" spans="1:15" x14ac:dyDescent="0.35">
      <c r="B118" s="2334" t="e">
        <f t="shared" si="34"/>
        <v>#VALUE!</v>
      </c>
      <c r="D118" s="2415" t="e">
        <f>$I$2&amp;MID($AA$3,B117+1,B118-(B117+1))&amp;$J$2</f>
        <v>#VALUE!</v>
      </c>
      <c r="E118" s="2415" t="e">
        <f>D119</f>
        <v>#VALUE!</v>
      </c>
      <c r="F118" s="2422" t="e">
        <f>HLOOKUP(I118,$AD$49:$AJ$51,3,FALSE)</f>
        <v>#N/A</v>
      </c>
      <c r="G118" s="2334" t="e">
        <f>IF(F118=N123,"START","")</f>
        <v>#N/A</v>
      </c>
      <c r="H118" s="2334" t="e">
        <f>IF(G118="","",$I$2&amp;I118&amp;G118&amp;$J$2)</f>
        <v>#N/A</v>
      </c>
      <c r="I118" s="2334">
        <f>IF(ISERROR(D117),K109,MID(D118,2,4))</f>
        <v>0</v>
      </c>
      <c r="J118" s="2423" t="e">
        <f>VLOOKUP(I118,$Z$42:$AB$50,3,FALSE)</f>
        <v>#N/A</v>
      </c>
      <c r="K118" s="2424">
        <f>VLOOKUP(I118,$Z$42:$AA$51,2,FALSE)</f>
        <v>0</v>
      </c>
      <c r="L118" s="5" t="e">
        <f>VLOOKUP(I118,$S$9:$T$15,2,FALSE)</f>
        <v>#N/A</v>
      </c>
    </row>
    <row r="119" spans="1:15" x14ac:dyDescent="0.35">
      <c r="B119" s="2334" t="e">
        <f t="shared" si="34"/>
        <v>#VALUE!</v>
      </c>
      <c r="D119" s="2415" t="e">
        <f>$I$2&amp;MID($AA$3,B118+1,B119-(B118+1))&amp;$J$2</f>
        <v>#VALUE!</v>
      </c>
      <c r="E119" s="2415"/>
      <c r="F119" s="2425"/>
      <c r="G119" s="2415"/>
      <c r="H119" s="2415"/>
      <c r="I119" s="2415"/>
      <c r="J119" s="2415"/>
      <c r="K119" s="2424"/>
    </row>
    <row r="120" spans="1:15" x14ac:dyDescent="0.35">
      <c r="B120" s="2334" t="e">
        <f t="shared" si="34"/>
        <v>#VALUE!</v>
      </c>
      <c r="D120" s="2415" t="e">
        <f>$I$2&amp;MID($AA$3,B119+1,B120-(B119+1))&amp;$J$2</f>
        <v>#VALUE!</v>
      </c>
      <c r="E120" s="2415" t="e">
        <f>MID($AA$3,B120+1,10)</f>
        <v>#VALUE!</v>
      </c>
      <c r="F120" s="2425" t="str">
        <f>IF(ISERROR(D117),$I$2&amp;$J$2,E118)</f>
        <v>"",</v>
      </c>
      <c r="G120" s="2415"/>
      <c r="H120" s="2415" t="str">
        <f>IF(ISERROR(D117),$I$2&amp;$J$2,$I$2&amp;MID(D120,5,2)&amp;"/"&amp;MID(D120,2,2)&amp;"/"&amp;MID(D120,8,4)&amp;$J$2)</f>
        <v>"",</v>
      </c>
      <c r="I120" s="2415"/>
      <c r="J120" s="2415"/>
      <c r="K120" s="2424"/>
    </row>
    <row r="121" spans="1:15" x14ac:dyDescent="0.35">
      <c r="B121" s="2334" t="e">
        <f t="shared" si="34"/>
        <v>#VALUE!</v>
      </c>
      <c r="D121" s="2415" t="e">
        <f>IF(E121=TRUE,D120,$I$2&amp;MID($AA$3,B120+1,B121-(B120+1))&amp;$J$2)</f>
        <v>#VALUE!</v>
      </c>
      <c r="E121" s="2415" t="b">
        <f>ISERROR(SEARCH("/",E120))</f>
        <v>1</v>
      </c>
      <c r="F121" s="2425"/>
      <c r="G121" s="2415"/>
      <c r="H121" s="2415" t="str">
        <f>IF(ISERROR(D117),$I$2&amp;$J$2,IF(E121=TRUE,H120,$I$2&amp;MID(E120,4,2)&amp;"/"&amp;MID(E120,1,2)&amp;"/"&amp;MID(E120,7,4)&amp;$J$2))</f>
        <v>"",</v>
      </c>
      <c r="I121" s="2415"/>
      <c r="J121" s="2415"/>
      <c r="K121" s="2424"/>
    </row>
    <row r="122" spans="1:15" x14ac:dyDescent="0.35">
      <c r="B122" s="2334" t="e">
        <f t="shared" si="34"/>
        <v>#VALUE!</v>
      </c>
      <c r="D122" s="2415"/>
      <c r="E122" s="2415"/>
      <c r="F122" s="2425"/>
      <c r="G122" s="2415"/>
      <c r="H122" s="2415"/>
      <c r="I122" s="2415"/>
      <c r="J122" s="2415"/>
      <c r="K122" s="2424"/>
    </row>
    <row r="123" spans="1:15" x14ac:dyDescent="0.35">
      <c r="B123" s="2334" t="e">
        <f t="shared" si="34"/>
        <v>#VALUE!</v>
      </c>
      <c r="D123" s="2415" t="e">
        <f>CONCATENATE(H118,F120,H120,H121)</f>
        <v>#N/A</v>
      </c>
      <c r="E123" s="2415"/>
      <c r="F123" s="2426"/>
      <c r="G123" s="2427"/>
      <c r="H123" s="2427"/>
      <c r="I123" s="2427"/>
      <c r="J123" s="2427"/>
      <c r="K123" s="2428"/>
      <c r="L123" s="5">
        <f>IF(ISERROR(D117),1,MID(H120,8,4)&amp;MID(H120,5,2)&amp;MID(H120,2,2)&amp;MID(H121,8,4)&amp;MID(H121,5,2)&amp;MID(H121,2,2))</f>
        <v>1</v>
      </c>
      <c r="M123">
        <f>IF(ISERROR(J118),1,L118&amp;L123)</f>
        <v>1</v>
      </c>
      <c r="N123" s="5">
        <f>VALUE(M123)</f>
        <v>1</v>
      </c>
      <c r="O123" t="str">
        <f>IF(N123=1,"",D123)</f>
        <v/>
      </c>
    </row>
    <row r="124" spans="1:15" x14ac:dyDescent="0.35">
      <c r="B124" s="2334" t="e">
        <f>FIND(",",$AA$3,B123+1)</f>
        <v>#VALUE!</v>
      </c>
      <c r="D124" s="2416"/>
      <c r="E124" s="2416"/>
      <c r="F124" s="2416"/>
      <c r="G124" s="2416"/>
      <c r="H124" s="2416"/>
      <c r="I124" s="2416"/>
      <c r="J124" s="2416"/>
      <c r="K124" s="2416"/>
    </row>
    <row r="125" spans="1:15" x14ac:dyDescent="0.35">
      <c r="A125" t="e">
        <f>MID(D117,2,4)</f>
        <v>#VALUE!</v>
      </c>
      <c r="B125" s="2334" t="e">
        <f>FIND(A125,$AA$3,B124+1)</f>
        <v>#VALUE!</v>
      </c>
      <c r="D125" s="2416"/>
      <c r="E125" s="2416"/>
      <c r="F125" s="2416"/>
      <c r="G125" s="2416"/>
      <c r="H125" s="2416"/>
      <c r="I125" s="2416"/>
      <c r="J125" s="2416"/>
      <c r="K125" s="2416"/>
    </row>
    <row r="126" spans="1:15" x14ac:dyDescent="0.35">
      <c r="B126" s="2334" t="e">
        <f t="shared" ref="B126:B132" si="35">FIND(",",$AA$3,B125+1)</f>
        <v>#VALUE!</v>
      </c>
      <c r="D126" s="2415" t="e">
        <f>$I$2&amp;MID($AA$3,B125,B126-(B125))&amp;$J$2</f>
        <v>#VALUE!</v>
      </c>
      <c r="E126" s="2415"/>
      <c r="F126" s="2419"/>
      <c r="G126" s="2420"/>
      <c r="H126" s="2420"/>
      <c r="I126" s="2420"/>
      <c r="J126" s="2420"/>
      <c r="K126" s="2421"/>
    </row>
    <row r="127" spans="1:15" x14ac:dyDescent="0.35">
      <c r="B127" s="2334" t="e">
        <f t="shared" si="35"/>
        <v>#VALUE!</v>
      </c>
      <c r="D127" s="2415" t="e">
        <f>$I$2&amp;MID($AA$3,B126+1,B127-(B126+1))&amp;$J$2</f>
        <v>#VALUE!</v>
      </c>
      <c r="E127" s="2415" t="e">
        <f>D128</f>
        <v>#VALUE!</v>
      </c>
      <c r="F127" s="2422" t="e">
        <f>HLOOKUP(I127,$AD$49:$AJ$51,3,FALSE)</f>
        <v>#N/A</v>
      </c>
      <c r="G127" s="2334" t="e">
        <f>IF(F127=N132,"START","")</f>
        <v>#N/A</v>
      </c>
      <c r="H127" s="2334" t="e">
        <f>IF(G127="","",$I$2&amp;I127&amp;G127&amp;$J$2)</f>
        <v>#N/A</v>
      </c>
      <c r="I127" s="2334">
        <f>IF(ISERROR(D126),K118,MID(D127,2,4))</f>
        <v>0</v>
      </c>
      <c r="J127" s="2423" t="e">
        <f>VLOOKUP(I127,$Z$42:$AB$50,3,FALSE)</f>
        <v>#N/A</v>
      </c>
      <c r="K127" s="2424">
        <f>VLOOKUP(I127,$Z$42:$AA$51,2,FALSE)</f>
        <v>0</v>
      </c>
      <c r="L127" s="5" t="e">
        <f>VLOOKUP(I127,$S$9:$T$15,2,FALSE)</f>
        <v>#N/A</v>
      </c>
    </row>
    <row r="128" spans="1:15" x14ac:dyDescent="0.35">
      <c r="B128" s="2334" t="e">
        <f t="shared" si="35"/>
        <v>#VALUE!</v>
      </c>
      <c r="D128" s="2415" t="e">
        <f>$I$2&amp;MID($AA$3,B127+1,B128-(B127+1))&amp;$J$2</f>
        <v>#VALUE!</v>
      </c>
      <c r="E128" s="2415"/>
      <c r="F128" s="2425"/>
      <c r="G128" s="2415"/>
      <c r="H128" s="2415"/>
      <c r="I128" s="2415"/>
      <c r="J128" s="2415"/>
      <c r="K128" s="2424"/>
    </row>
    <row r="129" spans="1:15" x14ac:dyDescent="0.35">
      <c r="B129" s="2334" t="e">
        <f t="shared" si="35"/>
        <v>#VALUE!</v>
      </c>
      <c r="D129" s="2415" t="e">
        <f>$I$2&amp;MID($AA$3,B128+1,B129-(B128+1))&amp;$J$2</f>
        <v>#VALUE!</v>
      </c>
      <c r="E129" s="2415" t="e">
        <f>MID($AA$3,B129+1,10)</f>
        <v>#VALUE!</v>
      </c>
      <c r="F129" s="2425" t="str">
        <f>IF(ISERROR(D126),$I$2&amp;$J$2,E127)</f>
        <v>"",</v>
      </c>
      <c r="G129" s="2415"/>
      <c r="H129" s="2415" t="str">
        <f>IF(ISERROR(D126),$I$2&amp;$J$2,$I$2&amp;MID(D129,5,2)&amp;"/"&amp;MID(D129,2,2)&amp;"/"&amp;MID(D129,8,4)&amp;$J$2)</f>
        <v>"",</v>
      </c>
      <c r="I129" s="2415"/>
      <c r="J129" s="2415"/>
      <c r="K129" s="2424"/>
    </row>
    <row r="130" spans="1:15" x14ac:dyDescent="0.35">
      <c r="B130" s="2334" t="e">
        <f t="shared" si="35"/>
        <v>#VALUE!</v>
      </c>
      <c r="D130" s="2415" t="e">
        <f>IF(E130=TRUE,D129,$I$2&amp;MID($AA$3,B129+1,B130-(B129+1))&amp;$J$2)</f>
        <v>#VALUE!</v>
      </c>
      <c r="E130" s="2415" t="b">
        <f>ISERROR(SEARCH("/",E129))</f>
        <v>1</v>
      </c>
      <c r="F130" s="2425"/>
      <c r="G130" s="2415"/>
      <c r="H130" s="2415" t="str">
        <f>IF(ISERROR(D126),$I$2&amp;$J$2,IF(E130=TRUE,H129,$I$2&amp;MID(E129,4,2)&amp;"/"&amp;MID(E129,1,2)&amp;"/"&amp;MID(E129,7,4)&amp;$J$2))</f>
        <v>"",</v>
      </c>
      <c r="I130" s="2415"/>
      <c r="J130" s="2415"/>
      <c r="K130" s="2424"/>
    </row>
    <row r="131" spans="1:15" x14ac:dyDescent="0.35">
      <c r="B131" s="2334" t="e">
        <f t="shared" si="35"/>
        <v>#VALUE!</v>
      </c>
      <c r="D131" s="2415"/>
      <c r="E131" s="2415"/>
      <c r="F131" s="2425"/>
      <c r="G131" s="2415"/>
      <c r="H131" s="2415"/>
      <c r="I131" s="2415"/>
      <c r="J131" s="2415"/>
      <c r="K131" s="2424"/>
    </row>
    <row r="132" spans="1:15" x14ac:dyDescent="0.35">
      <c r="B132" s="2334" t="e">
        <f t="shared" si="35"/>
        <v>#VALUE!</v>
      </c>
      <c r="D132" s="2415" t="e">
        <f>CONCATENATE(H127,F129,H129,H130)</f>
        <v>#N/A</v>
      </c>
      <c r="E132" s="2415"/>
      <c r="F132" s="2426"/>
      <c r="G132" s="2427"/>
      <c r="H132" s="2427"/>
      <c r="I132" s="2427"/>
      <c r="J132" s="2427"/>
      <c r="K132" s="2428"/>
      <c r="L132" s="5">
        <f>IF(ISERROR(D126),1,MID(H129,8,4)&amp;MID(H129,5,2)&amp;MID(H129,2,2)&amp;MID(H130,8,4)&amp;MID(H130,5,2)&amp;MID(H130,2,2))</f>
        <v>1</v>
      </c>
      <c r="M132">
        <f>IF(ISERROR(J127),1,L127&amp;L132)</f>
        <v>1</v>
      </c>
      <c r="N132" s="5">
        <f>VALUE(M132)</f>
        <v>1</v>
      </c>
      <c r="O132" t="str">
        <f>IF(N132=1,"",D132)</f>
        <v/>
      </c>
    </row>
    <row r="133" spans="1:15" x14ac:dyDescent="0.35">
      <c r="B133" s="2334" t="e">
        <f>FIND(",",$AA$3,B132+1)</f>
        <v>#VALUE!</v>
      </c>
      <c r="D133" s="2416"/>
      <c r="E133" s="2416"/>
      <c r="F133" s="2416"/>
      <c r="G133" s="2416"/>
      <c r="H133" s="2416"/>
      <c r="I133" s="2416"/>
      <c r="J133" s="2416"/>
      <c r="K133" s="2416"/>
    </row>
    <row r="134" spans="1:15" x14ac:dyDescent="0.35">
      <c r="A134" t="e">
        <f>MID(D126,2,4)</f>
        <v>#VALUE!</v>
      </c>
      <c r="B134" s="2334" t="e">
        <f>FIND(A134,$AA$3,B133+1)</f>
        <v>#VALUE!</v>
      </c>
      <c r="D134" s="2416"/>
      <c r="E134" s="2416"/>
      <c r="F134" s="2416"/>
      <c r="G134" s="2416"/>
      <c r="H134" s="2416"/>
      <c r="I134" s="2416"/>
      <c r="J134" s="2416"/>
      <c r="K134" s="2416"/>
    </row>
    <row r="135" spans="1:15" x14ac:dyDescent="0.35">
      <c r="B135" s="2334" t="e">
        <f t="shared" ref="B135:B141" si="36">FIND(",",$AA$3,B134+1)</f>
        <v>#VALUE!</v>
      </c>
      <c r="D135" s="2415" t="e">
        <f>$I$2&amp;MID($AA$3,B134,B135-(B134))&amp;$J$2</f>
        <v>#VALUE!</v>
      </c>
      <c r="E135" s="2415"/>
      <c r="F135" s="2419"/>
      <c r="G135" s="2420"/>
      <c r="H135" s="2420"/>
      <c r="I135" s="2420"/>
      <c r="J135" s="2420"/>
      <c r="K135" s="2421"/>
    </row>
    <row r="136" spans="1:15" x14ac:dyDescent="0.35">
      <c r="B136" s="2334" t="e">
        <f t="shared" si="36"/>
        <v>#VALUE!</v>
      </c>
      <c r="D136" s="2415" t="e">
        <f>$I$2&amp;MID($AA$3,B135+1,B136-(B135+1))&amp;$J$2</f>
        <v>#VALUE!</v>
      </c>
      <c r="E136" s="2415" t="e">
        <f>D137</f>
        <v>#VALUE!</v>
      </c>
      <c r="F136" s="2422" t="e">
        <f>HLOOKUP(I136,$AD$49:$AJ$51,3,FALSE)</f>
        <v>#N/A</v>
      </c>
      <c r="G136" s="2334" t="e">
        <f>IF(F136=N141,"START","")</f>
        <v>#N/A</v>
      </c>
      <c r="H136" s="2334" t="e">
        <f>IF(G136="","",$I$2&amp;I136&amp;G136&amp;$J$2)</f>
        <v>#N/A</v>
      </c>
      <c r="I136" s="2334">
        <f>IF(ISERROR(D135),K127,MID(D136,2,4))</f>
        <v>0</v>
      </c>
      <c r="J136" s="2423" t="e">
        <f>VLOOKUP(I136,$Z$42:$AB$50,3,FALSE)</f>
        <v>#N/A</v>
      </c>
      <c r="K136" s="2424">
        <f>VLOOKUP(I136,$Z$42:$AA$51,2,FALSE)</f>
        <v>0</v>
      </c>
      <c r="L136" s="5" t="e">
        <f>VLOOKUP(I136,$S$9:$T$15,2,FALSE)</f>
        <v>#N/A</v>
      </c>
    </row>
    <row r="137" spans="1:15" x14ac:dyDescent="0.35">
      <c r="B137" s="2334" t="e">
        <f t="shared" si="36"/>
        <v>#VALUE!</v>
      </c>
      <c r="D137" s="2415" t="e">
        <f>$I$2&amp;MID($AA$3,B136+1,B137-(B136+1))&amp;$J$2</f>
        <v>#VALUE!</v>
      </c>
      <c r="E137" s="2415"/>
      <c r="F137" s="2425"/>
      <c r="G137" s="2415"/>
      <c r="H137" s="2415"/>
      <c r="I137" s="2415"/>
      <c r="J137" s="2415"/>
      <c r="K137" s="2424"/>
    </row>
    <row r="138" spans="1:15" x14ac:dyDescent="0.35">
      <c r="B138" s="2334" t="e">
        <f t="shared" si="36"/>
        <v>#VALUE!</v>
      </c>
      <c r="D138" s="2415" t="e">
        <f>$I$2&amp;MID($AA$3,B137+1,B138-(B137+1))&amp;$J$2</f>
        <v>#VALUE!</v>
      </c>
      <c r="E138" s="2415" t="e">
        <f>MID($AA$3,B138+1,10)</f>
        <v>#VALUE!</v>
      </c>
      <c r="F138" s="2425" t="str">
        <f>IF(ISERROR(D135),$I$2&amp;$J$2,E136)</f>
        <v>"",</v>
      </c>
      <c r="G138" s="2415"/>
      <c r="H138" s="2415" t="str">
        <f>IF(ISERROR(D135),$I$2&amp;$J$2,$I$2&amp;MID(D138,5,2)&amp;"/"&amp;MID(D138,2,2)&amp;"/"&amp;MID(D138,8,4)&amp;$J$2)</f>
        <v>"",</v>
      </c>
      <c r="I138" s="2415"/>
      <c r="J138" s="2415"/>
      <c r="K138" s="2424"/>
    </row>
    <row r="139" spans="1:15" x14ac:dyDescent="0.35">
      <c r="B139" s="2334" t="e">
        <f t="shared" si="36"/>
        <v>#VALUE!</v>
      </c>
      <c r="D139" s="2415" t="e">
        <f>IF(E139=TRUE,D138,$I$2&amp;MID($AA$3,B138+1,B139-(B138+1))&amp;$J$2)</f>
        <v>#VALUE!</v>
      </c>
      <c r="E139" s="2415" t="b">
        <f>ISERROR(SEARCH("/",E138))</f>
        <v>1</v>
      </c>
      <c r="F139" s="2425"/>
      <c r="G139" s="2415"/>
      <c r="H139" s="2415" t="str">
        <f>IF(ISERROR(D135),$I$2&amp;$J$2,IF(E139=TRUE,H138,$I$2&amp;MID(E138,4,2)&amp;"/"&amp;MID(E138,1,2)&amp;"/"&amp;MID(E138,7,4)&amp;$J$2))</f>
        <v>"",</v>
      </c>
      <c r="I139" s="2415"/>
      <c r="J139" s="2415"/>
      <c r="K139" s="2424"/>
    </row>
    <row r="140" spans="1:15" x14ac:dyDescent="0.35">
      <c r="B140" s="2334" t="e">
        <f t="shared" si="36"/>
        <v>#VALUE!</v>
      </c>
      <c r="D140" s="2415"/>
      <c r="E140" s="2415"/>
      <c r="F140" s="2425"/>
      <c r="G140" s="2415"/>
      <c r="H140" s="2415"/>
      <c r="I140" s="2415"/>
      <c r="J140" s="2415"/>
      <c r="K140" s="2424"/>
    </row>
    <row r="141" spans="1:15" x14ac:dyDescent="0.35">
      <c r="B141" s="2334" t="e">
        <f t="shared" si="36"/>
        <v>#VALUE!</v>
      </c>
      <c r="D141" s="2415" t="e">
        <f>CONCATENATE(H136,F138,H138,H139)</f>
        <v>#N/A</v>
      </c>
      <c r="E141" s="2415"/>
      <c r="F141" s="2426"/>
      <c r="G141" s="2427"/>
      <c r="H141" s="2427"/>
      <c r="I141" s="2427"/>
      <c r="J141" s="2427"/>
      <c r="K141" s="2428"/>
      <c r="L141" s="5">
        <f>IF(ISERROR(D135),1,MID(H138,8,4)&amp;MID(H138,5,2)&amp;MID(H138,2,2)&amp;MID(H139,8,4)&amp;MID(H139,5,2)&amp;MID(H139,2,2))</f>
        <v>1</v>
      </c>
      <c r="M141">
        <f>IF(ISERROR(J136),1,L136&amp;L141)</f>
        <v>1</v>
      </c>
      <c r="N141" s="5">
        <f>VALUE(M141)</f>
        <v>1</v>
      </c>
      <c r="O141" t="str">
        <f>IF(N141=1,"",D141)</f>
        <v/>
      </c>
    </row>
    <row r="142" spans="1:15" x14ac:dyDescent="0.35">
      <c r="B142" s="2334" t="e">
        <f>FIND(",",$AA$3,B141+1)</f>
        <v>#VALUE!</v>
      </c>
      <c r="D142" s="2416"/>
      <c r="E142" s="2416"/>
      <c r="F142" s="2416"/>
      <c r="G142" s="2416"/>
      <c r="H142" s="2416"/>
      <c r="I142" s="2416"/>
      <c r="J142" s="2416"/>
      <c r="K142" s="2416"/>
    </row>
    <row r="143" spans="1:15" x14ac:dyDescent="0.35">
      <c r="A143" t="e">
        <f>MID(D135,2,4)</f>
        <v>#VALUE!</v>
      </c>
      <c r="B143" s="2334" t="e">
        <f>FIND(A143,$AA$3,B142+1)</f>
        <v>#VALUE!</v>
      </c>
      <c r="D143" s="2416"/>
      <c r="E143" s="2416"/>
      <c r="F143" s="2416"/>
      <c r="G143" s="2416"/>
      <c r="H143" s="2416"/>
      <c r="I143" s="2416"/>
      <c r="J143" s="2416"/>
      <c r="K143" s="2416"/>
    </row>
    <row r="144" spans="1:15" x14ac:dyDescent="0.35">
      <c r="B144" s="2334" t="e">
        <f t="shared" ref="B144:B150" si="37">FIND(",",$AA$3,B143+1)</f>
        <v>#VALUE!</v>
      </c>
      <c r="D144" s="2415" t="e">
        <f>$I$2&amp;MID($AA$3,B143,B144-(B143))&amp;$J$2</f>
        <v>#VALUE!</v>
      </c>
      <c r="E144" s="2415"/>
      <c r="F144" s="2419"/>
      <c r="G144" s="2420"/>
      <c r="H144" s="2420"/>
      <c r="I144" s="2420"/>
      <c r="J144" s="2420"/>
      <c r="K144" s="2421"/>
    </row>
    <row r="145" spans="1:15" x14ac:dyDescent="0.35">
      <c r="B145" s="2334" t="e">
        <f t="shared" si="37"/>
        <v>#VALUE!</v>
      </c>
      <c r="D145" s="2415" t="e">
        <f>$I$2&amp;MID($AA$3,B144+1,B145-(B144+1))&amp;$J$2</f>
        <v>#VALUE!</v>
      </c>
      <c r="E145" s="2415" t="e">
        <f>D146</f>
        <v>#VALUE!</v>
      </c>
      <c r="F145" s="2422" t="e">
        <f>HLOOKUP(I145,$AD$49:$AJ$51,3,FALSE)</f>
        <v>#N/A</v>
      </c>
      <c r="G145" s="2334" t="e">
        <f>IF(F145=N150,"START","")</f>
        <v>#N/A</v>
      </c>
      <c r="H145" s="2334" t="e">
        <f>IF(G145="","",$I$2&amp;I145&amp;G145&amp;$J$2)</f>
        <v>#N/A</v>
      </c>
      <c r="I145" s="2334">
        <f>IF(ISERROR(D144),K136,MID(D145,2,4))</f>
        <v>0</v>
      </c>
      <c r="J145" s="2423" t="e">
        <f>VLOOKUP(I145,$Z$42:$AB$50,3,FALSE)</f>
        <v>#N/A</v>
      </c>
      <c r="K145" s="2424">
        <f>VLOOKUP(I145,$Z$42:$AA$51,2,FALSE)</f>
        <v>0</v>
      </c>
      <c r="L145" s="5" t="e">
        <f>VLOOKUP(I145,$S$9:$T$15,2,FALSE)</f>
        <v>#N/A</v>
      </c>
    </row>
    <row r="146" spans="1:15" x14ac:dyDescent="0.35">
      <c r="B146" s="2334" t="e">
        <f t="shared" si="37"/>
        <v>#VALUE!</v>
      </c>
      <c r="D146" s="2415" t="e">
        <f>$I$2&amp;MID($AA$3,B145+1,B146-(B145+1))&amp;$J$2</f>
        <v>#VALUE!</v>
      </c>
      <c r="E146" s="2415"/>
      <c r="F146" s="2425"/>
      <c r="G146" s="2415"/>
      <c r="H146" s="2415"/>
      <c r="I146" s="2415"/>
      <c r="J146" s="2415"/>
      <c r="K146" s="2424"/>
    </row>
    <row r="147" spans="1:15" x14ac:dyDescent="0.35">
      <c r="B147" s="2334" t="e">
        <f t="shared" si="37"/>
        <v>#VALUE!</v>
      </c>
      <c r="D147" s="2415" t="e">
        <f>$I$2&amp;MID($AA$3,B146+1,B147-(B146+1))&amp;$J$2</f>
        <v>#VALUE!</v>
      </c>
      <c r="E147" s="2415" t="e">
        <f>MID($AA$3,B147+1,10)</f>
        <v>#VALUE!</v>
      </c>
      <c r="F147" s="2425" t="str">
        <f>IF(ISERROR(D144),$I$2&amp;$J$2,E145)</f>
        <v>"",</v>
      </c>
      <c r="G147" s="2415"/>
      <c r="H147" s="2415" t="str">
        <f>IF(ISERROR(D144),$I$2&amp;$J$2,$I$2&amp;MID(D147,5,2)&amp;"/"&amp;MID(D147,2,2)&amp;"/"&amp;MID(D147,8,4)&amp;$J$2)</f>
        <v>"",</v>
      </c>
      <c r="I147" s="2415"/>
      <c r="J147" s="2415"/>
      <c r="K147" s="2424"/>
    </row>
    <row r="148" spans="1:15" x14ac:dyDescent="0.35">
      <c r="B148" s="2334" t="e">
        <f t="shared" si="37"/>
        <v>#VALUE!</v>
      </c>
      <c r="D148" s="2415" t="e">
        <f>IF(E148=TRUE,D147,$I$2&amp;MID($AA$3,B147+1,B148-(B147+1))&amp;$J$2)</f>
        <v>#VALUE!</v>
      </c>
      <c r="E148" s="2415" t="b">
        <f>ISERROR(SEARCH("/",E147))</f>
        <v>1</v>
      </c>
      <c r="F148" s="2425"/>
      <c r="G148" s="2415"/>
      <c r="H148" s="2415" t="str">
        <f>IF(ISERROR(D144),$I$2&amp;$J$2,IF(E148=TRUE,H147,$I$2&amp;MID(E147,4,2)&amp;"/"&amp;MID(E147,1,2)&amp;"/"&amp;MID(E147,7,4)&amp;$J$2))</f>
        <v>"",</v>
      </c>
      <c r="I148" s="2415"/>
      <c r="J148" s="2415"/>
      <c r="K148" s="2424"/>
    </row>
    <row r="149" spans="1:15" x14ac:dyDescent="0.35">
      <c r="B149" s="2334" t="e">
        <f t="shared" si="37"/>
        <v>#VALUE!</v>
      </c>
      <c r="D149" s="2415"/>
      <c r="E149" s="2415"/>
      <c r="F149" s="2425"/>
      <c r="G149" s="2415"/>
      <c r="H149" s="2415"/>
      <c r="I149" s="2415"/>
      <c r="J149" s="2415"/>
      <c r="K149" s="2424"/>
    </row>
    <row r="150" spans="1:15" x14ac:dyDescent="0.35">
      <c r="B150" s="2334" t="e">
        <f t="shared" si="37"/>
        <v>#VALUE!</v>
      </c>
      <c r="D150" s="2415" t="e">
        <f>CONCATENATE(H145,F147,H147,H148)</f>
        <v>#N/A</v>
      </c>
      <c r="E150" s="2415"/>
      <c r="F150" s="2426"/>
      <c r="G150" s="2427"/>
      <c r="H150" s="2427"/>
      <c r="I150" s="2427"/>
      <c r="J150" s="2427"/>
      <c r="K150" s="2428"/>
      <c r="L150" s="5">
        <f>IF(ISERROR(D144),1,MID(H147,8,4)&amp;MID(H147,5,2)&amp;MID(H147,2,2)&amp;MID(H148,8,4)&amp;MID(H148,5,2)&amp;MID(H148,2,2))</f>
        <v>1</v>
      </c>
      <c r="M150">
        <f>IF(ISERROR(J145),1,L145&amp;L150)</f>
        <v>1</v>
      </c>
      <c r="N150" s="5">
        <f>VALUE(M150)</f>
        <v>1</v>
      </c>
      <c r="O150" t="str">
        <f>IF(N150=1,"",D150)</f>
        <v/>
      </c>
    </row>
    <row r="151" spans="1:15" x14ac:dyDescent="0.35">
      <c r="B151" s="2334" t="e">
        <f>FIND(",",$AA$3,B150+1)</f>
        <v>#VALUE!</v>
      </c>
      <c r="D151" s="2416"/>
      <c r="E151" s="2416"/>
      <c r="F151" s="2416"/>
      <c r="G151" s="2416"/>
      <c r="H151" s="2416"/>
      <c r="I151" s="2416"/>
      <c r="J151" s="2416"/>
      <c r="K151" s="2416"/>
    </row>
    <row r="152" spans="1:15" x14ac:dyDescent="0.35">
      <c r="A152" t="e">
        <f>MID(D144,2,4)</f>
        <v>#VALUE!</v>
      </c>
      <c r="B152" s="2334" t="e">
        <f>FIND(A152,$AA$3,B151+1)</f>
        <v>#VALUE!</v>
      </c>
      <c r="D152" s="2416"/>
      <c r="E152" s="2416"/>
      <c r="F152" s="2416"/>
      <c r="G152" s="2416"/>
      <c r="H152" s="2416"/>
      <c r="I152" s="2416"/>
      <c r="J152" s="2416"/>
      <c r="K152" s="2416"/>
    </row>
    <row r="153" spans="1:15" x14ac:dyDescent="0.35">
      <c r="B153" s="2334" t="e">
        <f t="shared" ref="B153:B159" si="38">FIND(",",$AA$3,B152+1)</f>
        <v>#VALUE!</v>
      </c>
      <c r="D153" s="2415" t="e">
        <f>$I$2&amp;MID($AA$3,B152,B153-(B152))&amp;$J$2</f>
        <v>#VALUE!</v>
      </c>
      <c r="E153" s="2415"/>
      <c r="F153" s="2419"/>
      <c r="G153" s="2420"/>
      <c r="H153" s="2420"/>
      <c r="I153" s="2420"/>
      <c r="J153" s="2420"/>
      <c r="K153" s="2421"/>
    </row>
    <row r="154" spans="1:15" x14ac:dyDescent="0.35">
      <c r="B154" s="2334" t="e">
        <f t="shared" si="38"/>
        <v>#VALUE!</v>
      </c>
      <c r="D154" s="2415" t="e">
        <f>$I$2&amp;MID($AA$3,B153+1,B154-(B153+1))&amp;$J$2</f>
        <v>#VALUE!</v>
      </c>
      <c r="E154" s="2415" t="e">
        <f>D155</f>
        <v>#VALUE!</v>
      </c>
      <c r="F154" s="2422" t="e">
        <f>HLOOKUP(I154,$AD$49:$AJ$51,3,FALSE)</f>
        <v>#N/A</v>
      </c>
      <c r="G154" s="2334" t="e">
        <f>IF(F154=N159,"START","")</f>
        <v>#N/A</v>
      </c>
      <c r="H154" s="2334" t="e">
        <f>IF(G154="","",$I$2&amp;I154&amp;G154&amp;$J$2)</f>
        <v>#N/A</v>
      </c>
      <c r="I154" s="2334">
        <f>IF(ISERROR(D153),K145,MID(D154,2,4))</f>
        <v>0</v>
      </c>
      <c r="J154" s="2423" t="e">
        <f>VLOOKUP(I154,$Z$42:$AB$50,3,FALSE)</f>
        <v>#N/A</v>
      </c>
      <c r="K154" s="2424">
        <f>VLOOKUP(I154,$Z$42:$AA$51,2,FALSE)</f>
        <v>0</v>
      </c>
      <c r="L154" s="5" t="e">
        <f>VLOOKUP(I154,$S$9:$T$15,2,FALSE)</f>
        <v>#N/A</v>
      </c>
    </row>
    <row r="155" spans="1:15" x14ac:dyDescent="0.35">
      <c r="B155" s="2334" t="e">
        <f t="shared" si="38"/>
        <v>#VALUE!</v>
      </c>
      <c r="D155" s="2415" t="e">
        <f>$I$2&amp;MID($AA$3,B154+1,B155-(B154+1))&amp;$J$2</f>
        <v>#VALUE!</v>
      </c>
      <c r="E155" s="2415"/>
      <c r="F155" s="2425"/>
      <c r="G155" s="2415"/>
      <c r="H155" s="2415"/>
      <c r="I155" s="2415"/>
      <c r="J155" s="2415"/>
      <c r="K155" s="2424"/>
    </row>
    <row r="156" spans="1:15" x14ac:dyDescent="0.35">
      <c r="B156" s="2334" t="e">
        <f t="shared" si="38"/>
        <v>#VALUE!</v>
      </c>
      <c r="D156" s="2415" t="e">
        <f>$I$2&amp;MID($AA$3,B155+1,B156-(B155+1))&amp;$J$2</f>
        <v>#VALUE!</v>
      </c>
      <c r="E156" s="2415" t="e">
        <f>MID($AA$3,B156+1,10)</f>
        <v>#VALUE!</v>
      </c>
      <c r="F156" s="2425" t="str">
        <f>IF(ISERROR(D153),$I$2&amp;$J$2,E154)</f>
        <v>"",</v>
      </c>
      <c r="G156" s="2415"/>
      <c r="H156" s="2415" t="str">
        <f>IF(ISERROR(D153),$I$2&amp;$J$2,$I$2&amp;MID(D156,5,2)&amp;"/"&amp;MID(D156,2,2)&amp;"/"&amp;MID(D156,8,4)&amp;$J$2)</f>
        <v>"",</v>
      </c>
      <c r="I156" s="2415"/>
      <c r="J156" s="2415"/>
      <c r="K156" s="2424"/>
    </row>
    <row r="157" spans="1:15" x14ac:dyDescent="0.35">
      <c r="B157" s="2334" t="e">
        <f t="shared" si="38"/>
        <v>#VALUE!</v>
      </c>
      <c r="D157" s="2415" t="e">
        <f>IF(E157=TRUE,D156,$I$2&amp;MID($AA$3,B156+1,B157-(B156+1))&amp;$J$2)</f>
        <v>#VALUE!</v>
      </c>
      <c r="E157" s="2415" t="b">
        <f>ISERROR(SEARCH("/",E156))</f>
        <v>1</v>
      </c>
      <c r="F157" s="2425"/>
      <c r="G157" s="2415"/>
      <c r="H157" s="2415" t="str">
        <f>IF(ISERROR(D153),$I$2&amp;$J$2,IF(E157=TRUE,H156,$I$2&amp;MID(E156,4,2)&amp;"/"&amp;MID(E156,1,2)&amp;"/"&amp;MID(E156,7,4)&amp;$J$2))</f>
        <v>"",</v>
      </c>
      <c r="I157" s="2415"/>
      <c r="J157" s="2415"/>
      <c r="K157" s="2424"/>
    </row>
    <row r="158" spans="1:15" x14ac:dyDescent="0.35">
      <c r="B158" s="2334" t="e">
        <f t="shared" si="38"/>
        <v>#VALUE!</v>
      </c>
      <c r="D158" s="2415"/>
      <c r="E158" s="2415"/>
      <c r="F158" s="2425"/>
      <c r="G158" s="2415"/>
      <c r="H158" s="2415"/>
      <c r="I158" s="2415"/>
      <c r="J158" s="2415"/>
      <c r="K158" s="2424"/>
    </row>
    <row r="159" spans="1:15" x14ac:dyDescent="0.35">
      <c r="B159" s="2334" t="e">
        <f t="shared" si="38"/>
        <v>#VALUE!</v>
      </c>
      <c r="D159" s="2415" t="e">
        <f>CONCATENATE(H154,F156,H156,H157)</f>
        <v>#N/A</v>
      </c>
      <c r="E159" s="2415"/>
      <c r="F159" s="2426"/>
      <c r="G159" s="2427"/>
      <c r="H159" s="2427"/>
      <c r="I159" s="2427"/>
      <c r="J159" s="2427"/>
      <c r="K159" s="2428"/>
      <c r="L159" s="5">
        <f>IF(ISERROR(D153),1,MID(H156,8,4)&amp;MID(H156,5,2)&amp;MID(H156,2,2)&amp;MID(H157,8,4)&amp;MID(H157,5,2)&amp;MID(H157,2,2))</f>
        <v>1</v>
      </c>
      <c r="M159">
        <f>IF(ISERROR(J154),1,L154&amp;L159)</f>
        <v>1</v>
      </c>
      <c r="N159" s="5">
        <f>VALUE(M159)</f>
        <v>1</v>
      </c>
      <c r="O159" t="str">
        <f>IF(N159=1,"",D159)</f>
        <v/>
      </c>
    </row>
    <row r="160" spans="1:15" x14ac:dyDescent="0.35">
      <c r="B160" s="2334" t="e">
        <f>FIND(",",$AA$3,B159+1)</f>
        <v>#VALUE!</v>
      </c>
      <c r="D160" s="2416"/>
      <c r="E160" s="2416"/>
      <c r="F160" s="2416"/>
      <c r="G160" s="2416"/>
      <c r="H160" s="2416"/>
      <c r="I160" s="2416"/>
      <c r="J160" s="2416"/>
      <c r="K160" s="2416"/>
    </row>
    <row r="161" spans="1:15" x14ac:dyDescent="0.35">
      <c r="A161" t="e">
        <f>MID(D153,2,4)</f>
        <v>#VALUE!</v>
      </c>
      <c r="B161" s="2334" t="e">
        <f>FIND(A161,$AA$3,B160+1)</f>
        <v>#VALUE!</v>
      </c>
      <c r="D161" s="2416"/>
      <c r="E161" s="2416"/>
      <c r="F161" s="2416"/>
      <c r="G161" s="2416"/>
      <c r="H161" s="2416"/>
      <c r="I161" s="2416"/>
      <c r="J161" s="2416"/>
      <c r="K161" s="2416"/>
    </row>
    <row r="162" spans="1:15" x14ac:dyDescent="0.35">
      <c r="B162" s="2334" t="e">
        <f t="shared" ref="B162:B168" si="39">FIND(",",$AA$3,B161+1)</f>
        <v>#VALUE!</v>
      </c>
      <c r="D162" s="2415" t="e">
        <f>$I$2&amp;MID($AA$3,B161,B162-(B161))&amp;$J$2</f>
        <v>#VALUE!</v>
      </c>
      <c r="E162" s="2415"/>
      <c r="F162" s="2419"/>
      <c r="G162" s="2420"/>
      <c r="H162" s="2420"/>
      <c r="I162" s="2420"/>
      <c r="J162" s="2420"/>
      <c r="K162" s="2421"/>
    </row>
    <row r="163" spans="1:15" x14ac:dyDescent="0.35">
      <c r="B163" s="2334" t="e">
        <f t="shared" si="39"/>
        <v>#VALUE!</v>
      </c>
      <c r="D163" s="2415" t="e">
        <f>$I$2&amp;MID($AA$3,B162+1,B163-(B162+1))&amp;$J$2</f>
        <v>#VALUE!</v>
      </c>
      <c r="E163" s="2415" t="e">
        <f>D164</f>
        <v>#VALUE!</v>
      </c>
      <c r="F163" s="2422" t="e">
        <f>HLOOKUP(I163,$AD$49:$AJ$51,3,FALSE)</f>
        <v>#N/A</v>
      </c>
      <c r="G163" s="2334" t="e">
        <f>IF(F163=N168,"START","")</f>
        <v>#N/A</v>
      </c>
      <c r="H163" s="2334" t="e">
        <f>IF(G163="","",$I$2&amp;I163&amp;G163&amp;$J$2)</f>
        <v>#N/A</v>
      </c>
      <c r="I163" s="2334">
        <f>IF(ISERROR(D162),K154,MID(D163,2,4))</f>
        <v>0</v>
      </c>
      <c r="J163" s="2423" t="e">
        <f>VLOOKUP(I163,$Z$42:$AB$50,3,FALSE)</f>
        <v>#N/A</v>
      </c>
      <c r="K163" s="2424">
        <f>VLOOKUP(I163,$Z$42:$AA$51,2,FALSE)</f>
        <v>0</v>
      </c>
      <c r="L163" s="5" t="e">
        <f>VLOOKUP(I163,$S$9:$T$15,2,FALSE)</f>
        <v>#N/A</v>
      </c>
    </row>
    <row r="164" spans="1:15" x14ac:dyDescent="0.35">
      <c r="B164" s="2334" t="e">
        <f t="shared" si="39"/>
        <v>#VALUE!</v>
      </c>
      <c r="D164" s="2415" t="e">
        <f>$I$2&amp;MID($AA$3,B163+1,B164-(B163+1))&amp;$J$2</f>
        <v>#VALUE!</v>
      </c>
      <c r="E164" s="2415"/>
      <c r="F164" s="2425"/>
      <c r="G164" s="2415"/>
      <c r="H164" s="2415"/>
      <c r="I164" s="2415"/>
      <c r="J164" s="2415"/>
      <c r="K164" s="2424"/>
    </row>
    <row r="165" spans="1:15" x14ac:dyDescent="0.35">
      <c r="B165" s="2334" t="e">
        <f t="shared" si="39"/>
        <v>#VALUE!</v>
      </c>
      <c r="D165" s="2415" t="e">
        <f>$I$2&amp;MID($AA$3,B164+1,B165-(B164+1))&amp;$J$2</f>
        <v>#VALUE!</v>
      </c>
      <c r="E165" s="2415" t="e">
        <f>MID($AA$3,B165+1,10)</f>
        <v>#VALUE!</v>
      </c>
      <c r="F165" s="2425" t="str">
        <f>IF(ISERROR(D162),$I$2&amp;$J$2,E163)</f>
        <v>"",</v>
      </c>
      <c r="G165" s="2415"/>
      <c r="H165" s="2415" t="str">
        <f>IF(ISERROR(D162),$I$2&amp;$J$2,$I$2&amp;MID(D165,5,2)&amp;"/"&amp;MID(D165,2,2)&amp;"/"&amp;MID(D165,8,4)&amp;$J$2)</f>
        <v>"",</v>
      </c>
      <c r="I165" s="2415"/>
      <c r="J165" s="2415"/>
      <c r="K165" s="2424"/>
    </row>
    <row r="166" spans="1:15" x14ac:dyDescent="0.35">
      <c r="B166" s="2334" t="e">
        <f t="shared" si="39"/>
        <v>#VALUE!</v>
      </c>
      <c r="D166" s="2415" t="e">
        <f>IF(E166=TRUE,D165,$I$2&amp;MID($AA$3,B165+1,B166-(B165+1))&amp;$J$2)</f>
        <v>#VALUE!</v>
      </c>
      <c r="E166" s="2415" t="b">
        <f>ISERROR(SEARCH("/",E165))</f>
        <v>1</v>
      </c>
      <c r="F166" s="2425"/>
      <c r="G166" s="2415"/>
      <c r="H166" s="2415" t="str">
        <f>IF(ISERROR(D162),$I$2&amp;$J$2,IF(E166=TRUE,H165,$I$2&amp;MID(E165,4,2)&amp;"/"&amp;MID(E165,1,2)&amp;"/"&amp;MID(E165,7,4)&amp;$J$2))</f>
        <v>"",</v>
      </c>
      <c r="I166" s="2415"/>
      <c r="J166" s="2415"/>
      <c r="K166" s="2424"/>
    </row>
    <row r="167" spans="1:15" x14ac:dyDescent="0.35">
      <c r="B167" s="2334" t="e">
        <f t="shared" si="39"/>
        <v>#VALUE!</v>
      </c>
      <c r="D167" s="2415"/>
      <c r="E167" s="2415"/>
      <c r="F167" s="2425"/>
      <c r="G167" s="2415"/>
      <c r="H167" s="2415"/>
      <c r="I167" s="2415"/>
      <c r="J167" s="2415"/>
      <c r="K167" s="2424"/>
    </row>
    <row r="168" spans="1:15" x14ac:dyDescent="0.35">
      <c r="B168" s="2334" t="e">
        <f t="shared" si="39"/>
        <v>#VALUE!</v>
      </c>
      <c r="D168" s="2415" t="e">
        <f>CONCATENATE(H163,F165,H165,H166)</f>
        <v>#N/A</v>
      </c>
      <c r="E168" s="2415"/>
      <c r="F168" s="2426"/>
      <c r="G168" s="2427"/>
      <c r="H168" s="2427"/>
      <c r="I168" s="2427"/>
      <c r="J168" s="2427"/>
      <c r="K168" s="2428"/>
      <c r="L168" s="5">
        <f>IF(ISERROR(D162),1,MID(H165,8,4)&amp;MID(H165,5,2)&amp;MID(H165,2,2)&amp;MID(H166,8,4)&amp;MID(H166,5,2)&amp;MID(H166,2,2))</f>
        <v>1</v>
      </c>
      <c r="M168">
        <f>IF(ISERROR(J163),1,L163&amp;L168)</f>
        <v>1</v>
      </c>
      <c r="N168" s="5">
        <f>VALUE(M168)</f>
        <v>1</v>
      </c>
      <c r="O168" t="str">
        <f>IF(N168=1,"",D168)</f>
        <v/>
      </c>
    </row>
    <row r="169" spans="1:15" x14ac:dyDescent="0.35">
      <c r="B169" s="2334" t="e">
        <f>FIND(",",$AA$3,B168+1)</f>
        <v>#VALUE!</v>
      </c>
      <c r="D169" s="2416"/>
      <c r="E169" s="2416"/>
      <c r="F169" s="2416"/>
      <c r="G169" s="2416"/>
      <c r="H169" s="2416"/>
      <c r="I169" s="2416"/>
      <c r="J169" s="2416"/>
      <c r="K169" s="2416"/>
    </row>
    <row r="170" spans="1:15" x14ac:dyDescent="0.35">
      <c r="A170" t="e">
        <f>MID(D162,2,4)</f>
        <v>#VALUE!</v>
      </c>
      <c r="B170" s="2334" t="e">
        <f>FIND(A170,$AA$3,B169+1)</f>
        <v>#VALUE!</v>
      </c>
      <c r="D170" s="2416"/>
      <c r="E170" s="2416"/>
      <c r="F170" s="2416"/>
      <c r="G170" s="2416"/>
      <c r="H170" s="2416"/>
      <c r="I170" s="2416"/>
      <c r="J170" s="2416"/>
      <c r="K170" s="2416"/>
    </row>
    <row r="171" spans="1:15" x14ac:dyDescent="0.35">
      <c r="B171" s="2334" t="e">
        <f t="shared" ref="B171:B177" si="40">FIND(",",$AA$3,B170+1)</f>
        <v>#VALUE!</v>
      </c>
      <c r="D171" s="2415" t="e">
        <f>$I$2&amp;MID($AA$3,B170,B171-(B170))&amp;$J$2</f>
        <v>#VALUE!</v>
      </c>
      <c r="E171" s="2415"/>
      <c r="F171" s="2419"/>
      <c r="G171" s="2420"/>
      <c r="H171" s="2420"/>
      <c r="I171" s="2420"/>
      <c r="J171" s="2420"/>
      <c r="K171" s="2421"/>
    </row>
    <row r="172" spans="1:15" x14ac:dyDescent="0.35">
      <c r="B172" s="2334" t="e">
        <f t="shared" si="40"/>
        <v>#VALUE!</v>
      </c>
      <c r="D172" s="2415" t="e">
        <f>$I$2&amp;MID($AA$3,B171+1,B172-(B171+1))&amp;$J$2</f>
        <v>#VALUE!</v>
      </c>
      <c r="E172" s="2415" t="e">
        <f>D173</f>
        <v>#VALUE!</v>
      </c>
      <c r="F172" s="2422" t="e">
        <f>HLOOKUP(I172,$AD$49:$AJ$51,3,FALSE)</f>
        <v>#N/A</v>
      </c>
      <c r="G172" s="2334" t="e">
        <f>IF(F172=N177,"START","")</f>
        <v>#N/A</v>
      </c>
      <c r="H172" s="2334" t="e">
        <f>IF(G172="","",$I$2&amp;I172&amp;G172&amp;$J$2)</f>
        <v>#N/A</v>
      </c>
      <c r="I172" s="2334">
        <f>IF(ISERROR(D171),K163,MID(D172,2,4))</f>
        <v>0</v>
      </c>
      <c r="J172" s="2423" t="e">
        <f>VLOOKUP(I172,$Z$42:$AB$50,3,FALSE)</f>
        <v>#N/A</v>
      </c>
      <c r="K172" s="2424">
        <f>VLOOKUP(I172,$Z$42:$AA$51,2,FALSE)</f>
        <v>0</v>
      </c>
      <c r="L172" s="5" t="e">
        <f>VLOOKUP(I172,$S$9:$T$15,2,FALSE)</f>
        <v>#N/A</v>
      </c>
    </row>
    <row r="173" spans="1:15" x14ac:dyDescent="0.35">
      <c r="B173" s="2334" t="e">
        <f t="shared" si="40"/>
        <v>#VALUE!</v>
      </c>
      <c r="D173" s="2415" t="e">
        <f>$I$2&amp;MID($AA$3,B172+1,B173-(B172+1))&amp;$J$2</f>
        <v>#VALUE!</v>
      </c>
      <c r="E173" s="2415"/>
      <c r="F173" s="2425"/>
      <c r="G173" s="2415"/>
      <c r="H173" s="2415"/>
      <c r="I173" s="2415"/>
      <c r="J173" s="2415"/>
      <c r="K173" s="2424"/>
    </row>
    <row r="174" spans="1:15" x14ac:dyDescent="0.35">
      <c r="B174" s="2334" t="e">
        <f t="shared" si="40"/>
        <v>#VALUE!</v>
      </c>
      <c r="D174" s="2415" t="e">
        <f>$I$2&amp;MID($AA$3,B173+1,B174-(B173+1))&amp;$J$2</f>
        <v>#VALUE!</v>
      </c>
      <c r="E174" s="2415" t="e">
        <f>MID($AA$3,B174+1,10)</f>
        <v>#VALUE!</v>
      </c>
      <c r="F174" s="2425" t="str">
        <f>IF(ISERROR(D171),$I$2&amp;$J$2,E172)</f>
        <v>"",</v>
      </c>
      <c r="G174" s="2415"/>
      <c r="H174" s="2415" t="str">
        <f>IF(ISERROR(D171),$I$2&amp;$J$2,$I$2&amp;MID(D174,5,2)&amp;"/"&amp;MID(D174,2,2)&amp;"/"&amp;MID(D174,8,4)&amp;$J$2)</f>
        <v>"",</v>
      </c>
      <c r="I174" s="2415"/>
      <c r="J174" s="2415"/>
      <c r="K174" s="2424"/>
    </row>
    <row r="175" spans="1:15" x14ac:dyDescent="0.35">
      <c r="B175" s="2334" t="e">
        <f t="shared" si="40"/>
        <v>#VALUE!</v>
      </c>
      <c r="D175" s="2415" t="e">
        <f>IF(E175=TRUE,D174,$I$2&amp;MID($AA$3,B174+1,B175-(B174+1))&amp;$J$2)</f>
        <v>#VALUE!</v>
      </c>
      <c r="E175" s="2415" t="b">
        <f>ISERROR(SEARCH("/",E174))</f>
        <v>1</v>
      </c>
      <c r="F175" s="2425"/>
      <c r="G175" s="2415"/>
      <c r="H175" s="2415" t="str">
        <f>IF(ISERROR(D171),$I$2&amp;$J$2,IF(E175=TRUE,H174,$I$2&amp;MID(E174,4,2)&amp;"/"&amp;MID(E174,1,2)&amp;"/"&amp;MID(E174,7,4)&amp;$J$2))</f>
        <v>"",</v>
      </c>
      <c r="I175" s="2415"/>
      <c r="J175" s="2415"/>
      <c r="K175" s="2424"/>
    </row>
    <row r="176" spans="1:15" x14ac:dyDescent="0.35">
      <c r="B176" s="2334" t="e">
        <f t="shared" si="40"/>
        <v>#VALUE!</v>
      </c>
      <c r="D176" s="2415"/>
      <c r="E176" s="2415"/>
      <c r="F176" s="2425"/>
      <c r="G176" s="2415"/>
      <c r="H176" s="2415"/>
      <c r="I176" s="2415"/>
      <c r="J176" s="2415"/>
      <c r="K176" s="2424"/>
    </row>
    <row r="177" spans="1:15" x14ac:dyDescent="0.35">
      <c r="B177" s="2334" t="e">
        <f t="shared" si="40"/>
        <v>#VALUE!</v>
      </c>
      <c r="D177" s="2415" t="e">
        <f>CONCATENATE(H172,F174,H174,H175)</f>
        <v>#N/A</v>
      </c>
      <c r="E177" s="2415"/>
      <c r="F177" s="2426"/>
      <c r="G177" s="2427"/>
      <c r="H177" s="2427"/>
      <c r="I177" s="2427"/>
      <c r="J177" s="2427"/>
      <c r="K177" s="2428"/>
      <c r="L177" s="5">
        <f>IF(ISERROR(D171),1,MID(H174,8,4)&amp;MID(H174,5,2)&amp;MID(H174,2,2)&amp;MID(H175,8,4)&amp;MID(H175,5,2)&amp;MID(H175,2,2))</f>
        <v>1</v>
      </c>
      <c r="M177">
        <f>IF(ISERROR(J172),1,L172&amp;L177)</f>
        <v>1</v>
      </c>
      <c r="N177" s="5">
        <f>VALUE(M177)</f>
        <v>1</v>
      </c>
      <c r="O177" t="str">
        <f>IF(N177=1,"",D177)</f>
        <v/>
      </c>
    </row>
    <row r="178" spans="1:15" x14ac:dyDescent="0.35">
      <c r="B178" s="2334" t="e">
        <f>FIND(",",$AA$3,B177+1)</f>
        <v>#VALUE!</v>
      </c>
      <c r="D178" s="2416"/>
      <c r="E178" s="2416"/>
      <c r="F178" s="2416"/>
      <c r="G178" s="2416"/>
      <c r="H178" s="2416"/>
      <c r="I178" s="2416"/>
      <c r="J178" s="2416"/>
      <c r="K178" s="2416"/>
    </row>
    <row r="179" spans="1:15" x14ac:dyDescent="0.35">
      <c r="A179" t="e">
        <f>MID(D171,2,4)</f>
        <v>#VALUE!</v>
      </c>
      <c r="B179" s="2334" t="e">
        <f>FIND(A179,$AA$3,B178+1)</f>
        <v>#VALUE!</v>
      </c>
      <c r="D179" s="2416"/>
      <c r="E179" s="2416"/>
      <c r="F179" s="2416"/>
      <c r="G179" s="2416"/>
      <c r="H179" s="2416"/>
      <c r="I179" s="2416"/>
      <c r="J179" s="2416"/>
      <c r="K179" s="2416"/>
    </row>
    <row r="180" spans="1:15" x14ac:dyDescent="0.35">
      <c r="B180" s="2334" t="e">
        <f t="shared" ref="B180:B186" si="41">FIND(",",$AA$3,B179+1)</f>
        <v>#VALUE!</v>
      </c>
      <c r="D180" s="2415" t="e">
        <f>$I$2&amp;MID($AA$3,B179,B180-(B179))&amp;$J$2</f>
        <v>#VALUE!</v>
      </c>
      <c r="E180" s="2415"/>
      <c r="F180" s="2419"/>
      <c r="G180" s="2420"/>
      <c r="H180" s="2420"/>
      <c r="I180" s="2420"/>
      <c r="J180" s="2420"/>
      <c r="K180" s="2421"/>
    </row>
    <row r="181" spans="1:15" x14ac:dyDescent="0.35">
      <c r="B181" s="2334" t="e">
        <f t="shared" si="41"/>
        <v>#VALUE!</v>
      </c>
      <c r="D181" s="2415" t="e">
        <f>$I$2&amp;MID($AA$3,B180+1,B181-(B180+1))&amp;$J$2</f>
        <v>#VALUE!</v>
      </c>
      <c r="E181" s="2415" t="e">
        <f>D182</f>
        <v>#VALUE!</v>
      </c>
      <c r="F181" s="2422" t="e">
        <f>HLOOKUP(I181,$AD$49:$AJ$51,3,FALSE)</f>
        <v>#N/A</v>
      </c>
      <c r="G181" s="2334" t="e">
        <f>IF(F181=N186,"START","")</f>
        <v>#N/A</v>
      </c>
      <c r="H181" s="2334" t="e">
        <f>IF(G181="","",$I$2&amp;I181&amp;G181&amp;$J$2)</f>
        <v>#N/A</v>
      </c>
      <c r="I181" s="2334">
        <f>IF(ISERROR(D180),K172,MID(D181,2,4))</f>
        <v>0</v>
      </c>
      <c r="J181" s="2423" t="e">
        <f>VLOOKUP(I181,$Z$42:$AB$50,3,FALSE)</f>
        <v>#N/A</v>
      </c>
      <c r="K181" s="2424">
        <f>VLOOKUP(I181,$Z$42:$AA$51,2,FALSE)</f>
        <v>0</v>
      </c>
      <c r="L181" s="5" t="e">
        <f>VLOOKUP(I181,$S$9:$T$15,2,FALSE)</f>
        <v>#N/A</v>
      </c>
    </row>
    <row r="182" spans="1:15" x14ac:dyDescent="0.35">
      <c r="B182" s="2334" t="e">
        <f t="shared" si="41"/>
        <v>#VALUE!</v>
      </c>
      <c r="D182" s="2415" t="e">
        <f>$I$2&amp;MID($AA$3,B181+1,B182-(B181+1))&amp;$J$2</f>
        <v>#VALUE!</v>
      </c>
      <c r="E182" s="2415"/>
      <c r="F182" s="2425"/>
      <c r="G182" s="2415"/>
      <c r="H182" s="2415"/>
      <c r="I182" s="2415"/>
      <c r="J182" s="2415"/>
      <c r="K182" s="2424"/>
    </row>
    <row r="183" spans="1:15" x14ac:dyDescent="0.35">
      <c r="B183" s="2334" t="e">
        <f t="shared" si="41"/>
        <v>#VALUE!</v>
      </c>
      <c r="D183" s="2415" t="e">
        <f>$I$2&amp;MID($AA$3,B182+1,B183-(B182+1))&amp;$J$2</f>
        <v>#VALUE!</v>
      </c>
      <c r="E183" s="2415" t="e">
        <f>MID($AA$3,B183+1,10)</f>
        <v>#VALUE!</v>
      </c>
      <c r="F183" s="2425" t="str">
        <f>IF(ISERROR(D180),$I$2&amp;$J$2,E181)</f>
        <v>"",</v>
      </c>
      <c r="G183" s="2415"/>
      <c r="H183" s="2415" t="str">
        <f>IF(ISERROR(D180),$I$2&amp;$J$2,$I$2&amp;MID(D183,5,2)&amp;"/"&amp;MID(D183,2,2)&amp;"/"&amp;MID(D183,8,4)&amp;$J$2)</f>
        <v>"",</v>
      </c>
      <c r="I183" s="2415"/>
      <c r="J183" s="2415"/>
      <c r="K183" s="2424"/>
    </row>
    <row r="184" spans="1:15" x14ac:dyDescent="0.35">
      <c r="B184" s="2334" t="e">
        <f t="shared" si="41"/>
        <v>#VALUE!</v>
      </c>
      <c r="D184" s="2415" t="e">
        <f>IF(E184=TRUE,D183,$I$2&amp;MID($AA$3,B183+1,B184-(B183+1))&amp;$J$2)</f>
        <v>#VALUE!</v>
      </c>
      <c r="E184" s="2415" t="b">
        <f>ISERROR(SEARCH("/",E183))</f>
        <v>1</v>
      </c>
      <c r="F184" s="2425"/>
      <c r="G184" s="2415"/>
      <c r="H184" s="2415" t="str">
        <f>IF(ISERROR(D180),$I$2&amp;$J$2,IF(E184=TRUE,H183,$I$2&amp;MID(E183,4,2)&amp;"/"&amp;MID(E183,1,2)&amp;"/"&amp;MID(E183,7,4)&amp;$J$2))</f>
        <v>"",</v>
      </c>
      <c r="I184" s="2415"/>
      <c r="J184" s="2415"/>
      <c r="K184" s="2424"/>
    </row>
    <row r="185" spans="1:15" x14ac:dyDescent="0.35">
      <c r="B185" s="2334" t="e">
        <f t="shared" si="41"/>
        <v>#VALUE!</v>
      </c>
      <c r="D185" s="2415"/>
      <c r="E185" s="2415"/>
      <c r="F185" s="2425"/>
      <c r="G185" s="2415"/>
      <c r="H185" s="2415"/>
      <c r="I185" s="2415"/>
      <c r="J185" s="2415"/>
      <c r="K185" s="2424"/>
    </row>
    <row r="186" spans="1:15" x14ac:dyDescent="0.35">
      <c r="B186" s="2334" t="e">
        <f t="shared" si="41"/>
        <v>#VALUE!</v>
      </c>
      <c r="D186" s="2415" t="e">
        <f>CONCATENATE(H181,F183,H183,H184)</f>
        <v>#N/A</v>
      </c>
      <c r="E186" s="2415"/>
      <c r="F186" s="2426"/>
      <c r="G186" s="2427"/>
      <c r="H186" s="2427"/>
      <c r="I186" s="2427"/>
      <c r="J186" s="2427"/>
      <c r="K186" s="2428"/>
      <c r="L186" s="5">
        <f>IF(ISERROR(D180),1,MID(H183,8,4)&amp;MID(H183,5,2)&amp;MID(H183,2,2)&amp;MID(H184,8,4)&amp;MID(H184,5,2)&amp;MID(H184,2,2))</f>
        <v>1</v>
      </c>
      <c r="M186">
        <f>IF(ISERROR(J181),1,L181&amp;L186)</f>
        <v>1</v>
      </c>
      <c r="N186" s="5">
        <f>VALUE(M186)</f>
        <v>1</v>
      </c>
      <c r="O186" t="str">
        <f>IF(N186=1,"",D186)</f>
        <v/>
      </c>
    </row>
    <row r="187" spans="1:15" x14ac:dyDescent="0.35">
      <c r="B187" s="2334" t="e">
        <f>FIND(",",$AA$3,B186+1)</f>
        <v>#VALUE!</v>
      </c>
      <c r="D187" s="2416"/>
      <c r="E187" s="2416"/>
      <c r="F187" s="2416"/>
      <c r="G187" s="2416"/>
      <c r="H187" s="2416"/>
      <c r="I187" s="2416"/>
      <c r="J187" s="2416"/>
      <c r="K187" s="2416"/>
    </row>
    <row r="188" spans="1:15" x14ac:dyDescent="0.35">
      <c r="A188" t="e">
        <f>MID(D180,2,4)</f>
        <v>#VALUE!</v>
      </c>
      <c r="B188" s="2334" t="e">
        <f>FIND(A188,$AA$3,B187+1)</f>
        <v>#VALUE!</v>
      </c>
      <c r="D188" s="2416"/>
      <c r="E188" s="2416"/>
      <c r="F188" s="2416"/>
      <c r="G188" s="2416"/>
      <c r="H188" s="2416"/>
      <c r="I188" s="2416"/>
      <c r="J188" s="2416"/>
      <c r="K188" s="2416"/>
    </row>
    <row r="189" spans="1:15" x14ac:dyDescent="0.35">
      <c r="B189" s="2334" t="e">
        <f t="shared" ref="B189:B195" si="42">FIND(",",$AA$3,B188+1)</f>
        <v>#VALUE!</v>
      </c>
      <c r="D189" s="2415" t="e">
        <f>$I$2&amp;MID($AA$3,B188,B189-(B188))&amp;$J$2</f>
        <v>#VALUE!</v>
      </c>
      <c r="E189" s="2415"/>
      <c r="F189" s="2419"/>
      <c r="G189" s="2420"/>
      <c r="H189" s="2420"/>
      <c r="I189" s="2420"/>
      <c r="J189" s="2420"/>
      <c r="K189" s="2421"/>
    </row>
    <row r="190" spans="1:15" x14ac:dyDescent="0.35">
      <c r="B190" s="2334" t="e">
        <f t="shared" si="42"/>
        <v>#VALUE!</v>
      </c>
      <c r="D190" s="2415" t="e">
        <f>$I$2&amp;MID($AA$3,B189+1,B190-(B189+1))&amp;$J$2</f>
        <v>#VALUE!</v>
      </c>
      <c r="E190" s="2415" t="e">
        <f>D191</f>
        <v>#VALUE!</v>
      </c>
      <c r="F190" s="2422" t="e">
        <f>HLOOKUP(I190,$AD$49:$AJ$51,3,FALSE)</f>
        <v>#N/A</v>
      </c>
      <c r="G190" s="2334" t="e">
        <f>IF(F190=N195,"START","")</f>
        <v>#N/A</v>
      </c>
      <c r="H190" s="2334" t="e">
        <f>IF(G190="","",$I$2&amp;I190&amp;G190&amp;$J$2)</f>
        <v>#N/A</v>
      </c>
      <c r="I190" s="2334">
        <f>IF(ISERROR(D189),K181,MID(D190,2,4))</f>
        <v>0</v>
      </c>
      <c r="J190" s="2423" t="e">
        <f>VLOOKUP(I190,$Z$42:$AB$50,3,FALSE)</f>
        <v>#N/A</v>
      </c>
      <c r="K190" s="2424">
        <f>VLOOKUP(I190,$Z$42:$AA$51,2,FALSE)</f>
        <v>0</v>
      </c>
      <c r="L190" s="5" t="e">
        <f>VLOOKUP(I190,$S$9:$T$15,2,FALSE)</f>
        <v>#N/A</v>
      </c>
    </row>
    <row r="191" spans="1:15" x14ac:dyDescent="0.35">
      <c r="B191" s="2334" t="e">
        <f t="shared" si="42"/>
        <v>#VALUE!</v>
      </c>
      <c r="D191" s="2415" t="e">
        <f>$I$2&amp;MID($AA$3,B190+1,B191-(B190+1))&amp;$J$2</f>
        <v>#VALUE!</v>
      </c>
      <c r="E191" s="2415"/>
      <c r="F191" s="2425"/>
      <c r="G191" s="2415"/>
      <c r="H191" s="2415"/>
      <c r="I191" s="2415"/>
      <c r="J191" s="2415"/>
      <c r="K191" s="2424"/>
    </row>
    <row r="192" spans="1:15" x14ac:dyDescent="0.35">
      <c r="B192" s="2334" t="e">
        <f t="shared" si="42"/>
        <v>#VALUE!</v>
      </c>
      <c r="D192" s="2415" t="e">
        <f>$I$2&amp;MID($AA$3,B191+1,B192-(B191+1))&amp;$J$2</f>
        <v>#VALUE!</v>
      </c>
      <c r="E192" s="2415" t="e">
        <f>MID($AA$3,B192+1,10)</f>
        <v>#VALUE!</v>
      </c>
      <c r="F192" s="2425" t="str">
        <f>IF(ISERROR(D189),$I$2&amp;$J$2,E190)</f>
        <v>"",</v>
      </c>
      <c r="G192" s="2415"/>
      <c r="H192" s="2415" t="str">
        <f>IF(ISERROR(D189),$I$2&amp;$J$2,$I$2&amp;MID(D192,5,2)&amp;"/"&amp;MID(D192,2,2)&amp;"/"&amp;MID(D192,8,4)&amp;$J$2)</f>
        <v>"",</v>
      </c>
      <c r="I192" s="2415"/>
      <c r="J192" s="2415"/>
      <c r="K192" s="2424"/>
    </row>
    <row r="193" spans="1:15" x14ac:dyDescent="0.35">
      <c r="B193" s="2334" t="e">
        <f t="shared" si="42"/>
        <v>#VALUE!</v>
      </c>
      <c r="D193" s="2415" t="e">
        <f>IF(E193=TRUE,D192,$I$2&amp;MID($AA$3,B192+1,B193-(B192+1))&amp;$J$2)</f>
        <v>#VALUE!</v>
      </c>
      <c r="E193" s="2415" t="b">
        <f>ISERROR(SEARCH("/",E192))</f>
        <v>1</v>
      </c>
      <c r="F193" s="2425"/>
      <c r="G193" s="2415"/>
      <c r="H193" s="2415" t="str">
        <f>IF(ISERROR(D189),$I$2&amp;$J$2,IF(E193=TRUE,H192,$I$2&amp;MID(E192,4,2)&amp;"/"&amp;MID(E192,1,2)&amp;"/"&amp;MID(E192,7,4)&amp;$J$2))</f>
        <v>"",</v>
      </c>
      <c r="I193" s="2415"/>
      <c r="J193" s="2415"/>
      <c r="K193" s="2424"/>
    </row>
    <row r="194" spans="1:15" x14ac:dyDescent="0.35">
      <c r="B194" s="2334" t="e">
        <f t="shared" si="42"/>
        <v>#VALUE!</v>
      </c>
      <c r="D194" s="2415"/>
      <c r="E194" s="2415"/>
      <c r="F194" s="2425"/>
      <c r="G194" s="2415"/>
      <c r="H194" s="2415"/>
      <c r="I194" s="2415"/>
      <c r="J194" s="2415"/>
      <c r="K194" s="2424"/>
    </row>
    <row r="195" spans="1:15" x14ac:dyDescent="0.35">
      <c r="B195" s="2334" t="e">
        <f t="shared" si="42"/>
        <v>#VALUE!</v>
      </c>
      <c r="D195" s="2415" t="e">
        <f>CONCATENATE(H190,F192,H192,H193)</f>
        <v>#N/A</v>
      </c>
      <c r="E195" s="2415"/>
      <c r="F195" s="2426"/>
      <c r="G195" s="2427"/>
      <c r="H195" s="2427"/>
      <c r="I195" s="2427"/>
      <c r="J195" s="2427"/>
      <c r="K195" s="2428"/>
      <c r="L195" s="5">
        <f>IF(ISERROR(D189),1,MID(H192,8,4)&amp;MID(H192,5,2)&amp;MID(H192,2,2)&amp;MID(H193,8,4)&amp;MID(H193,5,2)&amp;MID(H193,2,2))</f>
        <v>1</v>
      </c>
      <c r="M195">
        <f>IF(ISERROR(J190),1,L190&amp;L195)</f>
        <v>1</v>
      </c>
      <c r="N195" s="5">
        <f>VALUE(M195)</f>
        <v>1</v>
      </c>
      <c r="O195" t="str">
        <f>IF(N195=1,"",D195)</f>
        <v/>
      </c>
    </row>
    <row r="196" spans="1:15" x14ac:dyDescent="0.35">
      <c r="B196" s="2334" t="e">
        <f>FIND(",",$AA$3,B195+1)</f>
        <v>#VALUE!</v>
      </c>
      <c r="D196" s="2416"/>
      <c r="E196" s="2416"/>
      <c r="F196" s="2416"/>
      <c r="G196" s="2416"/>
      <c r="H196" s="2416"/>
      <c r="I196" s="2416"/>
      <c r="J196" s="2416"/>
      <c r="K196" s="2416"/>
    </row>
    <row r="197" spans="1:15" x14ac:dyDescent="0.35">
      <c r="A197" t="e">
        <f>MID(D189,2,4)</f>
        <v>#VALUE!</v>
      </c>
      <c r="B197" s="2334" t="e">
        <f>FIND(A197,$AA$3,B196+1)</f>
        <v>#VALUE!</v>
      </c>
      <c r="D197" s="2416"/>
      <c r="E197" s="2416"/>
      <c r="F197" s="2416"/>
      <c r="G197" s="2416"/>
      <c r="H197" s="2416"/>
      <c r="I197" s="2416"/>
      <c r="J197" s="2416"/>
      <c r="K197" s="2416"/>
    </row>
    <row r="198" spans="1:15" x14ac:dyDescent="0.35">
      <c r="B198" s="2334" t="e">
        <f t="shared" ref="B198:B204" si="43">FIND(",",$AA$3,B197+1)</f>
        <v>#VALUE!</v>
      </c>
      <c r="D198" s="2415" t="e">
        <f>$I$2&amp;MID($AA$3,B197,B198-(B197))&amp;$J$2</f>
        <v>#VALUE!</v>
      </c>
      <c r="E198" s="2415"/>
      <c r="F198" s="2419"/>
      <c r="G198" s="2420"/>
      <c r="H198" s="2420"/>
      <c r="I198" s="2420"/>
      <c r="J198" s="2420"/>
      <c r="K198" s="2421"/>
    </row>
    <row r="199" spans="1:15" x14ac:dyDescent="0.35">
      <c r="B199" s="2334" t="e">
        <f t="shared" si="43"/>
        <v>#VALUE!</v>
      </c>
      <c r="D199" s="2415" t="e">
        <f>$I$2&amp;MID($AA$3,B198+1,B199-(B198+1))&amp;$J$2</f>
        <v>#VALUE!</v>
      </c>
      <c r="E199" s="2415" t="e">
        <f>D200</f>
        <v>#VALUE!</v>
      </c>
      <c r="F199" s="2422" t="e">
        <f>HLOOKUP(I199,$AD$49:$AJ$51,3,FALSE)</f>
        <v>#N/A</v>
      </c>
      <c r="G199" s="2334" t="e">
        <f>IF(F199=N204,"START","")</f>
        <v>#N/A</v>
      </c>
      <c r="H199" s="2334" t="e">
        <f>IF(G199="","",$I$2&amp;I199&amp;G199&amp;$J$2)</f>
        <v>#N/A</v>
      </c>
      <c r="I199" s="2334">
        <f>IF(ISERROR(D198),K190,MID(D199,2,4))</f>
        <v>0</v>
      </c>
      <c r="J199" s="2423" t="e">
        <f>VLOOKUP(I199,$Z$42:$AB$50,3,FALSE)</f>
        <v>#N/A</v>
      </c>
      <c r="K199" s="2424">
        <f>VLOOKUP(I199,$Z$42:$AA$51,2,FALSE)</f>
        <v>0</v>
      </c>
      <c r="L199" s="5" t="e">
        <f>VLOOKUP(I199,$S$9:$T$15,2,FALSE)</f>
        <v>#N/A</v>
      </c>
    </row>
    <row r="200" spans="1:15" x14ac:dyDescent="0.35">
      <c r="B200" s="2334" t="e">
        <f t="shared" si="43"/>
        <v>#VALUE!</v>
      </c>
      <c r="D200" s="2415" t="e">
        <f>$I$2&amp;MID($AA$3,B199+1,B200-(B199+1))&amp;$J$2</f>
        <v>#VALUE!</v>
      </c>
      <c r="E200" s="2415"/>
      <c r="F200" s="2425"/>
      <c r="G200" s="2415"/>
      <c r="H200" s="2415"/>
      <c r="I200" s="2415"/>
      <c r="J200" s="2415"/>
      <c r="K200" s="2424"/>
    </row>
    <row r="201" spans="1:15" x14ac:dyDescent="0.35">
      <c r="B201" s="2334" t="e">
        <f t="shared" si="43"/>
        <v>#VALUE!</v>
      </c>
      <c r="D201" s="2415" t="e">
        <f>$I$2&amp;MID($AA$3,B200+1,B201-(B200+1))&amp;$J$2</f>
        <v>#VALUE!</v>
      </c>
      <c r="E201" s="2415" t="e">
        <f>MID($AA$3,B201+1,10)</f>
        <v>#VALUE!</v>
      </c>
      <c r="F201" s="2425" t="str">
        <f>IF(ISERROR(D198),$I$2&amp;$J$2,E199)</f>
        <v>"",</v>
      </c>
      <c r="G201" s="2415"/>
      <c r="H201" s="2415" t="str">
        <f>IF(ISERROR(D198),$I$2&amp;$J$2,$I$2&amp;MID(D201,5,2)&amp;"/"&amp;MID(D201,2,2)&amp;"/"&amp;MID(D201,8,4)&amp;$J$2)</f>
        <v>"",</v>
      </c>
      <c r="I201" s="2415"/>
      <c r="J201" s="2415"/>
      <c r="K201" s="2424"/>
    </row>
    <row r="202" spans="1:15" x14ac:dyDescent="0.35">
      <c r="B202" s="2334" t="e">
        <f t="shared" si="43"/>
        <v>#VALUE!</v>
      </c>
      <c r="D202" s="2415" t="e">
        <f>IF(E202=TRUE,D201,$I$2&amp;MID($AA$3,B201+1,B202-(B201+1))&amp;$J$2)</f>
        <v>#VALUE!</v>
      </c>
      <c r="E202" s="2415" t="b">
        <f>ISERROR(SEARCH("/",E201))</f>
        <v>1</v>
      </c>
      <c r="F202" s="2425"/>
      <c r="G202" s="2415"/>
      <c r="H202" s="2415" t="str">
        <f>IF(ISERROR(D198),$I$2&amp;$J$2,IF(E202=TRUE,H201,$I$2&amp;MID(E201,4,2)&amp;"/"&amp;MID(E201,1,2)&amp;"/"&amp;MID(E201,7,4)&amp;$J$2))</f>
        <v>"",</v>
      </c>
      <c r="I202" s="2415"/>
      <c r="J202" s="2415"/>
      <c r="K202" s="2424"/>
    </row>
    <row r="203" spans="1:15" x14ac:dyDescent="0.35">
      <c r="B203" s="2334" t="e">
        <f t="shared" si="43"/>
        <v>#VALUE!</v>
      </c>
      <c r="D203" s="2415"/>
      <c r="E203" s="2415"/>
      <c r="F203" s="2425"/>
      <c r="G203" s="2415"/>
      <c r="H203" s="2415"/>
      <c r="I203" s="2415"/>
      <c r="J203" s="2415"/>
      <c r="K203" s="2424"/>
    </row>
    <row r="204" spans="1:15" x14ac:dyDescent="0.35">
      <c r="B204" s="2334" t="e">
        <f t="shared" si="43"/>
        <v>#VALUE!</v>
      </c>
      <c r="D204" s="2415" t="e">
        <f>CONCATENATE(H199,F201,H201,H202)</f>
        <v>#N/A</v>
      </c>
      <c r="E204" s="2415"/>
      <c r="F204" s="2426"/>
      <c r="G204" s="2427"/>
      <c r="H204" s="2427"/>
      <c r="I204" s="2427"/>
      <c r="J204" s="2427"/>
      <c r="K204" s="2428"/>
      <c r="L204" s="5">
        <f>IF(ISERROR(D198),1,MID(H201,8,4)&amp;MID(H201,5,2)&amp;MID(H201,2,2)&amp;MID(H202,8,4)&amp;MID(H202,5,2)&amp;MID(H202,2,2))</f>
        <v>1</v>
      </c>
      <c r="M204">
        <f>IF(ISERROR(J199),1,L199&amp;L204)</f>
        <v>1</v>
      </c>
      <c r="N204" s="5">
        <f>VALUE(M204)</f>
        <v>1</v>
      </c>
      <c r="O204" t="str">
        <f>IF(N204=1,"",D204)</f>
        <v/>
      </c>
    </row>
    <row r="205" spans="1:15" x14ac:dyDescent="0.35">
      <c r="D205" s="2416"/>
      <c r="E205" s="2416"/>
      <c r="F205" s="2416"/>
      <c r="G205" s="2416"/>
      <c r="H205" s="2416"/>
      <c r="I205" s="2416"/>
      <c r="J205" s="2416"/>
      <c r="K205" s="2416"/>
    </row>
    <row r="206" spans="1:15" x14ac:dyDescent="0.35">
      <c r="D206" s="2416"/>
      <c r="E206" s="2416"/>
      <c r="F206" s="2416"/>
      <c r="G206" s="2416"/>
      <c r="H206" s="2416"/>
      <c r="I206" s="2416"/>
      <c r="J206" s="2416"/>
      <c r="K206" s="2416"/>
    </row>
  </sheetData>
  <sheetProtection password="BCD8" sheet="1" objects="1" scenarios="1"/>
  <phoneticPr fontId="142" type="noConversion"/>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4A257-F8C8-4D7B-8A15-4D99503C4827}">
  <sheetPr codeName="Sheet89"/>
  <dimension ref="A1:K15"/>
  <sheetViews>
    <sheetView workbookViewId="0"/>
  </sheetViews>
  <sheetFormatPr defaultRowHeight="14.5" x14ac:dyDescent="0.35"/>
  <cols>
    <col min="1" max="1" width="14.81640625" customWidth="1"/>
  </cols>
  <sheetData>
    <row r="1" spans="1:11" x14ac:dyDescent="0.35">
      <c r="A1" s="2403"/>
    </row>
    <row r="4" spans="1:11" x14ac:dyDescent="0.35">
      <c r="A4">
        <f>LEN(A1)</f>
        <v>0</v>
      </c>
      <c r="B4" t="s">
        <v>2958</v>
      </c>
    </row>
    <row r="5" spans="1:11" x14ac:dyDescent="0.35">
      <c r="A5">
        <v>113</v>
      </c>
      <c r="B5" t="s">
        <v>2959</v>
      </c>
    </row>
    <row r="6" spans="1:11" x14ac:dyDescent="0.35">
      <c r="A6">
        <f>A4-A5</f>
        <v>-113</v>
      </c>
      <c r="B6" t="s">
        <v>2960</v>
      </c>
    </row>
    <row r="8" spans="1:11" ht="15" thickBot="1" x14ac:dyDescent="0.4"/>
    <row r="9" spans="1:11" x14ac:dyDescent="0.35">
      <c r="F9" s="2405"/>
      <c r="G9" s="2406"/>
      <c r="H9" s="2406"/>
      <c r="I9" s="2406"/>
      <c r="J9" s="2406"/>
      <c r="K9" s="2407"/>
    </row>
    <row r="10" spans="1:11" x14ac:dyDescent="0.35">
      <c r="F10" s="2408"/>
      <c r="G10" s="2409"/>
      <c r="H10" s="2409"/>
      <c r="I10" s="2409"/>
      <c r="J10" s="2409"/>
      <c r="K10" s="2410"/>
    </row>
    <row r="11" spans="1:11" x14ac:dyDescent="0.35">
      <c r="F11" s="2408"/>
      <c r="G11" s="2411" t="s">
        <v>1382</v>
      </c>
      <c r="H11" s="2409"/>
      <c r="I11" s="2409"/>
      <c r="J11" s="2409"/>
      <c r="K11" s="2410"/>
    </row>
    <row r="12" spans="1:11" x14ac:dyDescent="0.35">
      <c r="F12" s="2408"/>
      <c r="G12" s="2409"/>
      <c r="H12" s="2409"/>
      <c r="I12" s="2409"/>
      <c r="J12" s="2409"/>
      <c r="K12" s="2410"/>
    </row>
    <row r="13" spans="1:11" x14ac:dyDescent="0.35">
      <c r="F13" s="2408"/>
      <c r="G13" s="2409"/>
      <c r="H13" s="2409"/>
      <c r="I13" s="2409"/>
      <c r="J13" s="2409"/>
      <c r="K13" s="2410"/>
    </row>
    <row r="14" spans="1:11" x14ac:dyDescent="0.35">
      <c r="F14" s="2408"/>
      <c r="G14" s="2409"/>
      <c r="H14" s="2409"/>
      <c r="I14" s="2409"/>
      <c r="J14" s="2409"/>
      <c r="K14" s="2410"/>
    </row>
    <row r="15" spans="1:11" ht="15" thickBot="1" x14ac:dyDescent="0.4">
      <c r="F15" s="2412"/>
      <c r="G15" s="2413"/>
      <c r="H15" s="2413"/>
      <c r="I15" s="2413"/>
      <c r="J15" s="2413"/>
      <c r="K15" s="2414"/>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EE2CE-807E-4F70-8EA3-0C27EC2AFF21}">
  <sheetPr codeName="Sheet24"/>
  <dimension ref="A1:AC106"/>
  <sheetViews>
    <sheetView showGridLines="0" workbookViewId="0">
      <selection activeCell="A3" sqref="A3"/>
    </sheetView>
  </sheetViews>
  <sheetFormatPr defaultColWidth="9.08984375" defaultRowHeight="12.5" x14ac:dyDescent="0.25"/>
  <cols>
    <col min="1" max="1" width="7.453125" style="52" customWidth="1"/>
    <col min="2" max="2" width="4.453125" style="52" customWidth="1"/>
    <col min="3" max="3" width="23.54296875" style="52" customWidth="1"/>
    <col min="4" max="4" width="70.90625" style="52" customWidth="1"/>
    <col min="5" max="5" width="23.453125" style="52" customWidth="1"/>
    <col min="6" max="7" width="9.08984375" style="52"/>
    <col min="8" max="8" width="29.453125" style="52" customWidth="1"/>
    <col min="9" max="16384" width="9.08984375" style="52"/>
  </cols>
  <sheetData>
    <row r="1" spans="1:29" ht="13" thickBot="1" x14ac:dyDescent="0.3">
      <c r="A1" s="51"/>
      <c r="B1" s="51"/>
      <c r="C1" s="51"/>
      <c r="D1" s="51"/>
      <c r="E1" s="51"/>
      <c r="F1" s="51"/>
      <c r="G1" s="51"/>
      <c r="H1" s="51"/>
      <c r="I1" s="51"/>
      <c r="J1" s="51"/>
      <c r="K1" s="51"/>
      <c r="L1" s="51"/>
      <c r="M1" s="51"/>
      <c r="N1" s="51"/>
      <c r="O1" s="51"/>
      <c r="P1" s="51"/>
      <c r="Q1" s="51"/>
      <c r="R1" s="51"/>
      <c r="S1" s="51"/>
      <c r="T1" s="51"/>
      <c r="U1" s="51"/>
      <c r="V1" s="51"/>
      <c r="W1" s="51"/>
      <c r="X1" s="51"/>
      <c r="Y1" s="51"/>
      <c r="Z1" s="51"/>
      <c r="AA1" s="51"/>
      <c r="AB1" s="51"/>
      <c r="AC1" s="51"/>
    </row>
    <row r="2" spans="1:29" x14ac:dyDescent="0.25">
      <c r="A2" s="51"/>
      <c r="B2" s="53"/>
      <c r="C2" s="54"/>
      <c r="D2" s="54"/>
      <c r="E2" s="55"/>
      <c r="F2" s="51"/>
      <c r="G2" s="51"/>
      <c r="H2" s="51"/>
      <c r="I2" s="51"/>
      <c r="J2" s="51"/>
      <c r="K2" s="51"/>
      <c r="L2" s="51"/>
      <c r="M2" s="51"/>
      <c r="N2" s="51"/>
      <c r="O2" s="51"/>
      <c r="P2" s="51"/>
      <c r="Q2" s="51"/>
      <c r="R2" s="51"/>
      <c r="S2" s="51"/>
      <c r="T2" s="51"/>
      <c r="U2" s="51"/>
      <c r="V2" s="51"/>
      <c r="W2" s="51"/>
      <c r="X2" s="51"/>
      <c r="Y2" s="51"/>
      <c r="Z2" s="51"/>
      <c r="AA2" s="51"/>
      <c r="AB2" s="51"/>
      <c r="AC2" s="51"/>
    </row>
    <row r="3" spans="1:29" ht="13" x14ac:dyDescent="0.3">
      <c r="A3" s="51"/>
      <c r="B3" s="56"/>
      <c r="C3" s="57" t="s">
        <v>714</v>
      </c>
      <c r="D3" s="57"/>
      <c r="E3" s="58"/>
      <c r="F3" s="59"/>
      <c r="G3" s="59"/>
      <c r="H3" s="59"/>
      <c r="I3" s="51"/>
      <c r="J3" s="51"/>
      <c r="K3" s="51"/>
      <c r="L3" s="51"/>
      <c r="M3" s="51"/>
      <c r="N3" s="51"/>
      <c r="O3" s="51"/>
      <c r="P3" s="51"/>
      <c r="Q3" s="51"/>
      <c r="R3" s="51"/>
      <c r="S3" s="51"/>
      <c r="T3" s="51"/>
      <c r="U3" s="51"/>
      <c r="V3" s="51"/>
      <c r="W3" s="51"/>
      <c r="X3" s="51"/>
      <c r="Y3" s="51"/>
      <c r="Z3" s="51"/>
      <c r="AA3" s="51"/>
      <c r="AB3" s="51"/>
      <c r="AC3" s="51"/>
    </row>
    <row r="4" spans="1:29" ht="8.25" customHeight="1" x14ac:dyDescent="0.25">
      <c r="A4" s="51"/>
      <c r="B4" s="56"/>
      <c r="C4" s="60"/>
      <c r="D4" s="60"/>
      <c r="E4" s="58"/>
      <c r="F4" s="59"/>
      <c r="G4" s="59"/>
      <c r="H4" s="59"/>
      <c r="I4" s="51"/>
      <c r="J4" s="51"/>
      <c r="K4" s="51"/>
      <c r="L4" s="51"/>
      <c r="M4" s="51"/>
      <c r="N4" s="51"/>
      <c r="O4" s="51"/>
      <c r="P4" s="51"/>
      <c r="Q4" s="51"/>
      <c r="R4" s="51"/>
      <c r="S4" s="51"/>
      <c r="T4" s="51"/>
      <c r="U4" s="51"/>
      <c r="V4" s="51"/>
      <c r="W4" s="51"/>
      <c r="X4" s="51"/>
      <c r="Y4" s="51"/>
      <c r="Z4" s="51"/>
      <c r="AA4" s="51"/>
      <c r="AB4" s="51"/>
      <c r="AC4" s="51"/>
    </row>
    <row r="5" spans="1:29" ht="12.75" customHeight="1" x14ac:dyDescent="0.25">
      <c r="A5" s="51"/>
      <c r="B5" s="56"/>
      <c r="C5" s="61" t="str">
        <f>IF(codes!D8&lt;&gt;"",codes!D8,"")</f>
        <v>Calcurate 2023 v 0</v>
      </c>
      <c r="D5" s="61" t="str">
        <f>IF(codes!F8&lt;&gt;"","Date: "&amp;TEXT(codes!E8,"dd/mm/yy")&amp;" | "&amp;codes!F8,"")</f>
        <v>Date: 31/10/22 | new build</v>
      </c>
      <c r="E5" s="58"/>
      <c r="F5" s="59"/>
      <c r="G5" s="59"/>
      <c r="H5" s="59"/>
      <c r="I5" s="51"/>
      <c r="J5" s="51"/>
      <c r="K5" s="51"/>
      <c r="L5" s="51"/>
      <c r="M5" s="51"/>
      <c r="N5" s="51"/>
      <c r="O5" s="51"/>
      <c r="P5" s="51"/>
      <c r="Q5" s="51"/>
      <c r="R5" s="51"/>
      <c r="S5" s="51"/>
      <c r="T5" s="51"/>
      <c r="U5" s="51"/>
      <c r="V5" s="51"/>
      <c r="W5" s="51"/>
      <c r="X5" s="51"/>
      <c r="Y5" s="51"/>
      <c r="Z5" s="51"/>
      <c r="AA5" s="51"/>
      <c r="AB5" s="51"/>
      <c r="AC5" s="51"/>
    </row>
    <row r="6" spans="1:29" ht="12.75" customHeight="1" x14ac:dyDescent="0.25">
      <c r="A6" s="51"/>
      <c r="B6" s="56"/>
      <c r="C6" s="61" t="str">
        <f>IF(codes!D9&lt;&gt;"",codes!D9,"")</f>
        <v>Calcurate 2023 v 0.1</v>
      </c>
      <c r="D6" s="61" t="str">
        <f>IF(codes!F9&lt;&gt;"","Date: "&amp;TEXT(codes!E9,"dd/mm/yy")&amp;" | "&amp;codes!F9,"")</f>
        <v>Date: 21/11/22 | Build - Autumn Statement / Draft List</v>
      </c>
      <c r="E6" s="58"/>
      <c r="F6" s="59"/>
      <c r="G6" s="59"/>
      <c r="H6" s="59"/>
      <c r="I6" s="51"/>
      <c r="J6" s="51"/>
      <c r="K6" s="51"/>
      <c r="L6" s="51"/>
      <c r="M6" s="51"/>
      <c r="N6" s="51"/>
      <c r="O6" s="51"/>
      <c r="P6" s="51"/>
      <c r="Q6" s="51"/>
      <c r="R6" s="51"/>
      <c r="S6" s="51"/>
      <c r="T6" s="51"/>
      <c r="U6" s="51"/>
      <c r="V6" s="51"/>
      <c r="W6" s="51"/>
      <c r="X6" s="51"/>
      <c r="Y6" s="51"/>
      <c r="Z6" s="51"/>
      <c r="AA6" s="51"/>
      <c r="AB6" s="51"/>
      <c r="AC6" s="51"/>
    </row>
    <row r="7" spans="1:29" ht="12.75" customHeight="1" x14ac:dyDescent="0.25">
      <c r="A7" s="51"/>
      <c r="B7" s="56"/>
      <c r="C7" s="61" t="str">
        <f>IF(codes!D10&lt;&gt;"",codes!D10,"")</f>
        <v>Calcurate 2023 v 1.0</v>
      </c>
      <c r="D7" s="61" t="str">
        <f>IF(codes!F10&lt;&gt;"","Date: "&amp;TEXT(codes!E10,"dd/mm/yy")&amp;" | "&amp;codes!F10,"")</f>
        <v>Date: 14/12/22 | Build - Basic Only, Initial Testing</v>
      </c>
      <c r="E7" s="58"/>
      <c r="F7" s="59"/>
      <c r="G7" s="59"/>
      <c r="H7" s="59"/>
      <c r="I7" s="51"/>
      <c r="J7" s="51"/>
      <c r="K7" s="51"/>
      <c r="L7" s="51"/>
      <c r="M7" s="51"/>
      <c r="N7" s="51"/>
      <c r="O7" s="51"/>
      <c r="P7" s="51"/>
      <c r="Q7" s="51"/>
      <c r="R7" s="51"/>
      <c r="S7" s="51"/>
      <c r="T7" s="51"/>
      <c r="U7" s="51"/>
      <c r="V7" s="51"/>
      <c r="W7" s="51"/>
      <c r="X7" s="51"/>
      <c r="Y7" s="51"/>
      <c r="Z7" s="51"/>
      <c r="AA7" s="51"/>
      <c r="AB7" s="51"/>
      <c r="AC7" s="51"/>
    </row>
    <row r="8" spans="1:29" ht="12.75" customHeight="1" x14ac:dyDescent="0.25">
      <c r="A8" s="51"/>
      <c r="B8" s="56"/>
      <c r="C8" s="61" t="str">
        <f>IF(codes!D11&lt;&gt;"",codes!D11,"")</f>
        <v>Calcurate 2023 v 1.0a</v>
      </c>
      <c r="D8" s="61" t="str">
        <f>IF(codes!F11&lt;&gt;"","Date: "&amp;TEXT(codes!E11,"dd/mm/yy")&amp;" | "&amp;codes!F11,"")</f>
        <v>Date: 20/12/22 | sys only - mod txt ta r, mod go to p l</v>
      </c>
      <c r="E8" s="58"/>
      <c r="F8" s="59"/>
      <c r="G8" s="59"/>
      <c r="H8" s="59"/>
      <c r="I8" s="51"/>
      <c r="J8" s="51"/>
      <c r="K8" s="51"/>
      <c r="L8" s="51"/>
      <c r="M8" s="51"/>
      <c r="N8" s="51"/>
      <c r="O8" s="51"/>
      <c r="P8" s="51"/>
      <c r="Q8" s="51"/>
      <c r="R8" s="51"/>
      <c r="S8" s="51"/>
      <c r="T8" s="51"/>
      <c r="U8" s="51"/>
      <c r="V8" s="51"/>
      <c r="W8" s="51"/>
      <c r="X8" s="51"/>
      <c r="Y8" s="51"/>
      <c r="Z8" s="51"/>
      <c r="AA8" s="51"/>
      <c r="AB8" s="51"/>
      <c r="AC8" s="51"/>
    </row>
    <row r="9" spans="1:29" ht="12.75" customHeight="1" x14ac:dyDescent="0.25">
      <c r="A9" s="51"/>
      <c r="B9" s="56"/>
      <c r="C9" s="61" t="str">
        <f>IF(codes!D12&lt;&gt;"",codes!D12,"")</f>
        <v>Calcurate 2023 v 1.0a</v>
      </c>
      <c r="D9" s="61" t="str">
        <f>IF(codes!F12&lt;&gt;"","Date: "&amp;TEXT(codes!E12,"dd/mm/yy")&amp;" | "&amp;codes!F12,"")</f>
        <v>Date: 18/01/23 | Launch Ready (basic only)</v>
      </c>
      <c r="E9" s="58"/>
      <c r="F9" s="59"/>
      <c r="G9" s="59"/>
      <c r="H9" s="59"/>
      <c r="I9" s="51"/>
      <c r="J9" s="51"/>
      <c r="K9" s="51"/>
      <c r="L9" s="51"/>
      <c r="M9" s="51"/>
      <c r="N9" s="51"/>
      <c r="O9" s="51"/>
      <c r="P9" s="51"/>
      <c r="Q9" s="51"/>
      <c r="R9" s="51"/>
      <c r="S9" s="51"/>
      <c r="T9" s="51"/>
      <c r="U9" s="51"/>
      <c r="V9" s="51"/>
      <c r="W9" s="51"/>
      <c r="X9" s="51"/>
      <c r="Y9" s="51"/>
      <c r="Z9" s="51"/>
      <c r="AA9" s="51"/>
      <c r="AB9" s="51"/>
      <c r="AC9" s="51"/>
    </row>
    <row r="10" spans="1:29" ht="12.75" customHeight="1" x14ac:dyDescent="0.25">
      <c r="A10" s="51"/>
      <c r="B10" s="56"/>
      <c r="C10" s="61" t="str">
        <f>IF(codes!D13&lt;&gt;"",codes!D13,"")</f>
        <v>Calcurate 2023 v 1.1</v>
      </c>
      <c r="D10" s="61" t="str">
        <f>IF(codes!F13&lt;&gt;"","Date: "&amp;TEXT(codes!E13,"dd/mm/yy")&amp;" | "&amp;codes!F13,"")</f>
        <v>Date: 07/02/23 | City of London Supplement</v>
      </c>
      <c r="E10" s="58"/>
      <c r="F10" s="59"/>
      <c r="G10" s="59"/>
      <c r="H10" s="59"/>
      <c r="I10" s="51"/>
      <c r="J10" s="51"/>
      <c r="K10" s="51"/>
      <c r="L10" s="51"/>
      <c r="M10" s="51"/>
      <c r="N10" s="51"/>
      <c r="O10" s="51"/>
      <c r="P10" s="51"/>
      <c r="Q10" s="51"/>
      <c r="R10" s="51"/>
      <c r="S10" s="51"/>
      <c r="T10" s="51"/>
      <c r="U10" s="51"/>
      <c r="V10" s="51"/>
      <c r="W10" s="51"/>
      <c r="X10" s="51"/>
      <c r="Y10" s="51"/>
      <c r="Z10" s="51"/>
      <c r="AA10" s="51"/>
      <c r="AB10" s="51"/>
      <c r="AC10" s="51"/>
    </row>
    <row r="11" spans="1:29" ht="12.75" customHeight="1" x14ac:dyDescent="0.25">
      <c r="A11" s="51"/>
      <c r="B11" s="56"/>
      <c r="C11" s="61" t="str">
        <f>IF(codes!D14&lt;&gt;"",codes!D14,"")</f>
        <v>Calcurate 2023 v 1.1a</v>
      </c>
      <c r="D11" s="61" t="str">
        <f>IF(codes!F14&lt;&gt;"","Date: "&amp;TEXT(codes!E14,"dd/mm/yy")&amp;" | "&amp;codes!F14,"")</f>
        <v>Date: 17/02/23 | Crossrail Threshold Update</v>
      </c>
      <c r="E11" s="58"/>
      <c r="F11" s="59"/>
      <c r="G11" s="59"/>
      <c r="H11" s="59"/>
      <c r="I11" s="51"/>
      <c r="J11" s="51"/>
      <c r="K11" s="51"/>
      <c r="L11" s="51"/>
      <c r="M11" s="51"/>
      <c r="N11" s="51"/>
      <c r="O11" s="51"/>
      <c r="P11" s="51"/>
      <c r="Q11" s="51"/>
      <c r="R11" s="51"/>
      <c r="S11" s="51"/>
      <c r="T11" s="51"/>
      <c r="U11" s="51"/>
      <c r="V11" s="51"/>
      <c r="W11" s="51"/>
      <c r="X11" s="51"/>
      <c r="Y11" s="51"/>
      <c r="Z11" s="51"/>
      <c r="AA11" s="51"/>
      <c r="AB11" s="51"/>
      <c r="AC11" s="51"/>
    </row>
    <row r="12" spans="1:29" ht="12.75" customHeight="1" x14ac:dyDescent="0.25">
      <c r="A12" s="51"/>
      <c r="B12" s="56"/>
      <c r="C12" s="61" t="str">
        <f>IF(codes!D15&lt;&gt;"",codes!D15,"")</f>
        <v>Calcurate 2023 v 1.2</v>
      </c>
      <c r="D12" s="61" t="str">
        <f>IF(codes!F15&lt;&gt;"","Date: "&amp;TEXT(codes!E15,"dd/mm/yy")&amp;" | "&amp;codes!F15,"")</f>
        <v>Date: 08/04/23 | Interest Rate for Refunds | SSBR</v>
      </c>
      <c r="E12" s="58"/>
      <c r="F12" s="59"/>
      <c r="G12" s="59"/>
      <c r="H12" s="59"/>
      <c r="I12" s="51"/>
      <c r="J12" s="51"/>
      <c r="K12" s="51"/>
      <c r="L12" s="51"/>
      <c r="M12" s="51"/>
      <c r="N12" s="51"/>
      <c r="O12" s="51"/>
      <c r="P12" s="51"/>
      <c r="Q12" s="51"/>
      <c r="R12" s="51"/>
      <c r="S12" s="51"/>
      <c r="T12" s="51"/>
      <c r="U12" s="51"/>
      <c r="V12" s="51"/>
      <c r="W12" s="51"/>
      <c r="X12" s="51"/>
      <c r="Y12" s="51"/>
      <c r="Z12" s="51"/>
      <c r="AA12" s="51"/>
      <c r="AB12" s="51"/>
      <c r="AC12" s="51"/>
    </row>
    <row r="13" spans="1:29" ht="12.75" customHeight="1" x14ac:dyDescent="0.25">
      <c r="A13" s="51"/>
      <c r="B13" s="56"/>
      <c r="C13" s="61" t="str">
        <f>IF(codes!D16&lt;&gt;"",codes!D16,"")</f>
        <v>Calcurate 2023 v 2.0</v>
      </c>
      <c r="D13" s="61" t="str">
        <f>IF(codes!F16&lt;&gt;"","Date: "&amp;TEXT(codes!E16,"dd/mm/yy")&amp;" | "&amp;codes!F16,"")</f>
        <v>Date: 01/06/23 | Advanced | RJS | Split</v>
      </c>
      <c r="E13" s="58"/>
      <c r="F13" s="59"/>
      <c r="G13" s="59"/>
      <c r="H13" s="59"/>
      <c r="I13" s="51"/>
      <c r="J13" s="51"/>
      <c r="K13" s="51"/>
      <c r="L13" s="51"/>
      <c r="M13" s="51"/>
      <c r="N13" s="51"/>
      <c r="O13" s="51"/>
      <c r="P13" s="51"/>
      <c r="Q13" s="51"/>
      <c r="R13" s="51"/>
      <c r="S13" s="51"/>
      <c r="T13" s="51"/>
      <c r="U13" s="51"/>
      <c r="V13" s="51"/>
      <c r="W13" s="51"/>
      <c r="X13" s="51"/>
      <c r="Y13" s="51"/>
      <c r="Z13" s="51"/>
      <c r="AA13" s="51"/>
      <c r="AB13" s="51"/>
      <c r="AC13" s="51"/>
    </row>
    <row r="14" spans="1:29" ht="12.75" customHeight="1" x14ac:dyDescent="0.25">
      <c r="A14" s="51"/>
      <c r="B14" s="56"/>
      <c r="C14" s="61" t="str">
        <f>IF(codes!D17&lt;&gt;"",codes!D17,"")</f>
        <v>Calcurate 2023 v 2.1</v>
      </c>
      <c r="D14" s="61" t="str">
        <f>IF(codes!F17&lt;&gt;"","Date: "&amp;TEXT(codes!E17,"dd/mm/yy")&amp;" | "&amp;codes!F17,"")</f>
        <v>Date: 19/06/23 | Merge</v>
      </c>
      <c r="E14" s="58"/>
      <c r="F14" s="59"/>
      <c r="G14" s="59"/>
      <c r="H14" s="59"/>
      <c r="I14" s="51"/>
      <c r="J14" s="51"/>
      <c r="K14" s="51"/>
      <c r="L14" s="51"/>
      <c r="M14" s="51"/>
      <c r="N14" s="51"/>
      <c r="O14" s="51"/>
      <c r="P14" s="51"/>
      <c r="Q14" s="51"/>
      <c r="R14" s="51"/>
      <c r="S14" s="51"/>
      <c r="T14" s="51"/>
      <c r="U14" s="51"/>
      <c r="V14" s="51"/>
      <c r="W14" s="51"/>
      <c r="X14" s="51"/>
      <c r="Y14" s="51"/>
      <c r="Z14" s="51"/>
      <c r="AA14" s="51"/>
      <c r="AB14" s="51"/>
      <c r="AC14" s="51"/>
    </row>
    <row r="15" spans="1:29" ht="12.75" customHeight="1" x14ac:dyDescent="0.25">
      <c r="A15" s="51"/>
      <c r="B15" s="56"/>
      <c r="C15" s="61" t="str">
        <f>IF(codes!D18&lt;&gt;"",codes!D18,"")</f>
        <v>Calcurate 2023 v 2.2</v>
      </c>
      <c r="D15" s="61" t="str">
        <f>IF(codes!F18&lt;&gt;"","Date: "&amp;TEXT(codes!E18,"dd/mm/yy")&amp;" | "&amp;codes!F18,"")</f>
        <v>Date: 31/07/23 | s44a (Adv EE launch)</v>
      </c>
      <c r="E15" s="58"/>
      <c r="F15" s="59"/>
      <c r="G15" s="59"/>
      <c r="H15" s="59"/>
      <c r="I15" s="51"/>
      <c r="J15" s="51"/>
      <c r="K15" s="51"/>
      <c r="L15" s="51"/>
      <c r="M15" s="51"/>
      <c r="N15" s="51"/>
      <c r="O15" s="51"/>
      <c r="P15" s="51"/>
      <c r="Q15" s="51"/>
      <c r="R15" s="51"/>
      <c r="S15" s="51"/>
      <c r="T15" s="51"/>
      <c r="U15" s="51"/>
      <c r="V15" s="51"/>
      <c r="W15" s="51"/>
      <c r="X15" s="51"/>
      <c r="Y15" s="51"/>
      <c r="Z15" s="51"/>
      <c r="AA15" s="51"/>
      <c r="AB15" s="51"/>
      <c r="AC15" s="51"/>
    </row>
    <row r="16" spans="1:29" ht="12.75" customHeight="1" x14ac:dyDescent="0.25">
      <c r="A16" s="51"/>
      <c r="B16" s="56"/>
      <c r="C16" s="61" t="str">
        <f>IF(codes!D19&lt;&gt;"",codes!D19,"")</f>
        <v>Calcurate 2023 v 2.3</v>
      </c>
      <c r="D16" s="61" t="str">
        <f>IF(codes!F19&lt;&gt;"","Date: "&amp;TEXT(codes!E19,"dd/mm/yy")&amp;" | "&amp;codes!F19,"")</f>
        <v>Date: 14/08/23 | Intermittent Occupation Planner</v>
      </c>
      <c r="E16" s="58"/>
      <c r="F16" s="59"/>
      <c r="G16" s="59"/>
      <c r="H16" s="59"/>
      <c r="I16" s="51"/>
      <c r="J16" s="51"/>
      <c r="K16" s="51"/>
      <c r="L16" s="51"/>
      <c r="M16" s="51"/>
      <c r="N16" s="51"/>
      <c r="O16" s="51"/>
      <c r="P16" s="51"/>
      <c r="Q16" s="51"/>
      <c r="R16" s="51"/>
      <c r="S16" s="51"/>
      <c r="T16" s="51"/>
      <c r="U16" s="51"/>
      <c r="V16" s="51"/>
      <c r="W16" s="51"/>
      <c r="X16" s="51"/>
      <c r="Y16" s="51"/>
      <c r="Z16" s="51"/>
      <c r="AA16" s="51"/>
      <c r="AB16" s="51"/>
      <c r="AC16" s="51"/>
    </row>
    <row r="17" spans="1:29" ht="12.75" customHeight="1" x14ac:dyDescent="0.25">
      <c r="A17" s="51"/>
      <c r="B17" s="56"/>
      <c r="C17" s="61" t="str">
        <f>IF(codes!D20&lt;&gt;"",codes!D20,"")</f>
        <v>Calcurate 2023 v 2.4</v>
      </c>
      <c r="D17" s="61" t="str">
        <f>IF(codes!F20&lt;&gt;"","Date: "&amp;TEXT(codes!E20,"dd/mm/yy")&amp;" | "&amp;codes!F20,"")</f>
        <v>Date: 21/08/23 | Multi-Recon / RJS fix (rev side) / Merge fix (rjs sol) / fldr settings</v>
      </c>
      <c r="E17" s="58"/>
      <c r="F17" s="59"/>
      <c r="G17" s="59"/>
      <c r="H17" s="59"/>
      <c r="I17" s="51"/>
      <c r="J17" s="51"/>
      <c r="K17" s="51"/>
      <c r="L17" s="51"/>
      <c r="M17" s="51"/>
      <c r="N17" s="51"/>
      <c r="O17" s="51"/>
      <c r="P17" s="51"/>
      <c r="Q17" s="51"/>
      <c r="R17" s="51"/>
      <c r="S17" s="51"/>
      <c r="T17" s="51"/>
      <c r="U17" s="51"/>
      <c r="V17" s="51"/>
      <c r="W17" s="51"/>
      <c r="X17" s="51"/>
      <c r="Y17" s="51"/>
      <c r="Z17" s="51"/>
      <c r="AA17" s="51"/>
      <c r="AB17" s="51"/>
      <c r="AC17" s="51"/>
    </row>
    <row r="18" spans="1:29" ht="12.75" customHeight="1" x14ac:dyDescent="0.25">
      <c r="A18" s="51"/>
      <c r="B18" s="56"/>
      <c r="C18" s="61" t="str">
        <f>IF(codes!D21&lt;&gt;"",codes!D21,"")</f>
        <v>Calcurate 2023 v 2.4a</v>
      </c>
      <c r="D18" s="61" t="str">
        <f>IF(codes!F21&lt;&gt;"","Date: "&amp;TEXT(codes!E21,"dd/mm/yy")&amp;" | "&amp;codes!F21,"")</f>
        <v>Date: 22/08/23 | bugfix - adv retail relief</v>
      </c>
      <c r="E18" s="58"/>
      <c r="F18" s="59"/>
      <c r="G18" s="59"/>
      <c r="H18" s="59"/>
      <c r="I18" s="51"/>
      <c r="J18" s="51"/>
      <c r="K18" s="51"/>
      <c r="L18" s="51"/>
      <c r="M18" s="51"/>
      <c r="N18" s="51"/>
      <c r="O18" s="51"/>
      <c r="P18" s="51"/>
      <c r="Q18" s="51"/>
      <c r="R18" s="51"/>
      <c r="S18" s="51"/>
      <c r="T18" s="51"/>
      <c r="U18" s="51"/>
      <c r="V18" s="51"/>
      <c r="W18" s="51"/>
      <c r="X18" s="51"/>
      <c r="Y18" s="51"/>
      <c r="Z18" s="51"/>
      <c r="AA18" s="51"/>
      <c r="AB18" s="51"/>
      <c r="AC18" s="51"/>
    </row>
    <row r="19" spans="1:29" ht="12.75" customHeight="1" x14ac:dyDescent="0.25">
      <c r="A19" s="51"/>
      <c r="B19" s="56"/>
      <c r="C19" s="61" t="str">
        <f>IF(codes!D22&lt;&gt;"",codes!D22,"")</f>
        <v>Calcurate 2023 v 2.4b</v>
      </c>
      <c r="D19" s="61" t="str">
        <f>IF(codes!F22&lt;&gt;"","Date: "&amp;TEXT(codes!E22,"dd/mm/yy")&amp;" | "&amp;codes!F22,"")</f>
        <v>Date: 01/10/23 | Advanced Detail added</v>
      </c>
      <c r="E19" s="58"/>
      <c r="F19" s="59"/>
      <c r="G19" s="59"/>
      <c r="H19" s="59"/>
      <c r="I19" s="51"/>
      <c r="J19" s="51"/>
      <c r="K19" s="51"/>
      <c r="L19" s="51"/>
      <c r="M19" s="51"/>
      <c r="N19" s="51"/>
      <c r="O19" s="51"/>
      <c r="P19" s="51"/>
      <c r="Q19" s="51"/>
      <c r="R19" s="51"/>
      <c r="S19" s="51"/>
      <c r="T19" s="51"/>
      <c r="U19" s="51"/>
      <c r="V19" s="51"/>
      <c r="W19" s="51"/>
      <c r="X19" s="51"/>
      <c r="Y19" s="51"/>
      <c r="Z19" s="51"/>
      <c r="AA19" s="51"/>
      <c r="AB19" s="51"/>
      <c r="AC19" s="51"/>
    </row>
    <row r="20" spans="1:29" ht="12.75" customHeight="1" x14ac:dyDescent="0.25">
      <c r="A20" s="51"/>
      <c r="B20" s="56"/>
      <c r="C20" s="61" t="str">
        <f>IF(codes!D23&lt;&gt;"",codes!D23,"")</f>
        <v>Calcurate 2023 v 3.0</v>
      </c>
      <c r="D20" s="61" t="str">
        <f>IF(codes!F23&lt;&gt;"","Date: "&amp;TEXT(codes!E23,"dd/mm/yy")&amp;" | "&amp;codes!F23,"")</f>
        <v>Date: 18/10/23 | from 2024 no supp on Empty or Charity where RV &lt; 51,000 | Analyse Import new BA's</v>
      </c>
      <c r="E20" s="58"/>
      <c r="F20" s="51"/>
      <c r="G20" s="51"/>
      <c r="H20" s="51"/>
      <c r="I20" s="51"/>
      <c r="J20" s="51"/>
      <c r="K20" s="51"/>
      <c r="L20" s="51"/>
      <c r="M20" s="51"/>
      <c r="N20" s="51"/>
      <c r="O20" s="51"/>
      <c r="P20" s="51"/>
      <c r="Q20" s="51"/>
      <c r="R20" s="51"/>
      <c r="S20" s="51"/>
      <c r="T20" s="51"/>
      <c r="U20" s="51"/>
      <c r="V20" s="51"/>
      <c r="W20" s="51"/>
      <c r="X20" s="51"/>
      <c r="Y20" s="51"/>
      <c r="Z20" s="51"/>
      <c r="AA20" s="51"/>
      <c r="AB20" s="51"/>
      <c r="AC20" s="51"/>
    </row>
    <row r="21" spans="1:29" ht="12.75" customHeight="1" x14ac:dyDescent="0.25">
      <c r="A21" s="51"/>
      <c r="B21" s="56"/>
      <c r="C21" s="61" t="str">
        <f>IF(codes!D24&lt;&gt;"",codes!D24,"")</f>
        <v>Calcurate 2023 v 3.1</v>
      </c>
      <c r="D21" s="61" t="str">
        <f>IF(codes!F24&lt;&gt;"","Date: "&amp;TEXT(codes!E24,"dd/mm/yy")&amp;" | "&amp;codes!F24,"")</f>
        <v>Date: 18/10/23 | September CPI</v>
      </c>
      <c r="E21" s="58"/>
      <c r="F21" s="51"/>
      <c r="G21" s="51"/>
      <c r="H21" s="51"/>
      <c r="I21" s="51"/>
      <c r="J21" s="51"/>
      <c r="K21" s="51"/>
      <c r="L21" s="51"/>
      <c r="M21" s="51"/>
      <c r="N21" s="51"/>
      <c r="O21" s="51"/>
      <c r="P21" s="51"/>
      <c r="Q21" s="51"/>
      <c r="R21" s="51"/>
      <c r="S21" s="51"/>
      <c r="T21" s="51"/>
      <c r="U21" s="51"/>
      <c r="V21" s="51"/>
      <c r="W21" s="51"/>
      <c r="X21" s="51"/>
      <c r="Y21" s="51"/>
      <c r="Z21" s="51"/>
      <c r="AA21" s="51"/>
      <c r="AB21" s="51"/>
      <c r="AC21" s="51"/>
    </row>
    <row r="22" spans="1:29" ht="12.75" customHeight="1" x14ac:dyDescent="0.25">
      <c r="A22" s="51"/>
      <c r="B22" s="56"/>
      <c r="C22" s="61" t="str">
        <f>IF(codes!D25&lt;&gt;"",codes!D25,"")</f>
        <v>Calcurate 2023 v 3.2</v>
      </c>
      <c r="D22" s="61" t="str">
        <f>IF(codes!F25&lt;&gt;"","Date: "&amp;TEXT(codes!E25,"dd/mm/yy")&amp;" | "&amp;codes!F25,"")</f>
        <v>Date: 23/11/23 | Autumn Statement</v>
      </c>
      <c r="E22" s="58"/>
      <c r="F22" s="51"/>
      <c r="G22" s="51"/>
      <c r="H22" s="51"/>
      <c r="I22" s="51"/>
      <c r="J22" s="51"/>
      <c r="K22" s="51"/>
      <c r="L22" s="51"/>
      <c r="M22" s="51"/>
      <c r="N22" s="51"/>
      <c r="O22" s="51"/>
      <c r="P22" s="51"/>
      <c r="Q22" s="51"/>
      <c r="R22" s="51"/>
      <c r="S22" s="51"/>
      <c r="T22" s="51"/>
      <c r="U22" s="51"/>
      <c r="V22" s="51"/>
      <c r="W22" s="51"/>
      <c r="X22" s="51"/>
      <c r="Y22" s="51"/>
      <c r="Z22" s="51"/>
      <c r="AA22" s="51"/>
      <c r="AB22" s="51"/>
      <c r="AC22" s="51"/>
    </row>
    <row r="23" spans="1:29" ht="12.75" customHeight="1" x14ac:dyDescent="0.25">
      <c r="A23" s="51"/>
      <c r="B23" s="56"/>
      <c r="C23" s="61" t="str">
        <f>IF(codes!D26&lt;&gt;"",codes!D26,"")</f>
        <v>Calcurate 2023 v 3.3</v>
      </c>
      <c r="D23" s="61" t="str">
        <f>IF(codes!F26&lt;&gt;"","Date: "&amp;TEXT(codes!E26,"dd/mm/yy")&amp;" | "&amp;codes!F26,"")</f>
        <v>Date: 06/01/24 | bugfix - adv cert 31/3 lookup</v>
      </c>
      <c r="E23" s="58"/>
      <c r="F23" s="51"/>
      <c r="G23" s="51"/>
      <c r="H23" s="51"/>
      <c r="I23" s="51"/>
      <c r="J23" s="51"/>
      <c r="K23" s="51"/>
      <c r="L23" s="51"/>
      <c r="M23" s="51"/>
      <c r="N23" s="51"/>
      <c r="O23" s="51"/>
      <c r="P23" s="51"/>
      <c r="Q23" s="51"/>
      <c r="R23" s="51"/>
      <c r="S23" s="51"/>
      <c r="T23" s="51"/>
      <c r="U23" s="51"/>
      <c r="V23" s="51"/>
      <c r="W23" s="51"/>
      <c r="X23" s="51"/>
      <c r="Y23" s="51"/>
      <c r="Z23" s="51"/>
      <c r="AA23" s="51"/>
      <c r="AB23" s="51"/>
      <c r="AC23" s="51"/>
    </row>
    <row r="24" spans="1:29" ht="12.75" customHeight="1" x14ac:dyDescent="0.25">
      <c r="A24" s="51"/>
      <c r="B24" s="56"/>
      <c r="C24" s="61" t="str">
        <f>IF(codes!D27&lt;&gt;"",codes!D27,"")</f>
        <v>Calcurate 2023 v 3.3a</v>
      </c>
      <c r="D24" s="61" t="str">
        <f>IF(codes!F27&lt;&gt;"","Date: "&amp;TEXT(codes!E27,"dd/mm/yy")&amp;" | "&amp;codes!F27,"")</f>
        <v>Date: 24/01/24 | minor update - copy - chrs dot to dash</v>
      </c>
      <c r="E24" s="58"/>
      <c r="F24" s="51"/>
      <c r="G24" s="51"/>
      <c r="H24" s="51"/>
      <c r="I24" s="51"/>
      <c r="J24" s="51"/>
      <c r="K24" s="51"/>
      <c r="L24" s="51"/>
      <c r="M24" s="51"/>
      <c r="N24" s="51"/>
      <c r="O24" s="51"/>
      <c r="P24" s="51"/>
      <c r="Q24" s="51"/>
      <c r="R24" s="51"/>
      <c r="S24" s="51"/>
      <c r="T24" s="51"/>
      <c r="U24" s="51"/>
      <c r="V24" s="51"/>
      <c r="W24" s="51"/>
      <c r="X24" s="51"/>
      <c r="Y24" s="51"/>
      <c r="Z24" s="51"/>
      <c r="AA24" s="51"/>
      <c r="AB24" s="51"/>
      <c r="AC24" s="51"/>
    </row>
    <row r="25" spans="1:29" ht="12.75" customHeight="1" x14ac:dyDescent="0.25">
      <c r="A25" s="51"/>
      <c r="B25" s="56"/>
      <c r="C25" s="61" t="str">
        <f>IF(codes!D28&lt;&gt;"",codes!D28,"")</f>
        <v>Calcurate 2023 v 3.3b</v>
      </c>
      <c r="D25" s="61" t="str">
        <f>IF(codes!F28&lt;&gt;"","Date: "&amp;TEXT(codes!E28,"dd/mm/yy")&amp;" | "&amp;codes!F28,"")</f>
        <v>Date: 27/02/24 | 2024 estimate indicator removed</v>
      </c>
      <c r="E25" s="58"/>
      <c r="F25" s="51"/>
      <c r="G25" s="51"/>
      <c r="H25" s="51"/>
      <c r="I25" s="51"/>
      <c r="J25" s="51"/>
      <c r="K25" s="51"/>
      <c r="L25" s="51"/>
      <c r="M25" s="51"/>
      <c r="N25" s="51"/>
      <c r="O25" s="51"/>
      <c r="P25" s="51"/>
      <c r="Q25" s="51"/>
      <c r="R25" s="51"/>
      <c r="S25" s="51"/>
      <c r="T25" s="51"/>
      <c r="U25" s="51"/>
      <c r="V25" s="51"/>
      <c r="W25" s="51"/>
      <c r="X25" s="51"/>
      <c r="Y25" s="51"/>
      <c r="Z25" s="51"/>
      <c r="AA25" s="51"/>
      <c r="AB25" s="51"/>
      <c r="AC25" s="51"/>
    </row>
    <row r="26" spans="1:29" ht="12.75" customHeight="1" x14ac:dyDescent="0.25">
      <c r="A26" s="51"/>
      <c r="B26" s="56"/>
      <c r="C26" s="61" t="str">
        <f>IF(codes!D29&lt;&gt;"",codes!D29,"")</f>
        <v>Calcurate 2023 v 3.3c</v>
      </c>
      <c r="D26" s="61" t="str">
        <f>IF(codes!F29&lt;&gt;"","Date: "&amp;TEXT(codes!E29,"dd/mm/yy")&amp;" | "&amp;codes!F29,"")</f>
        <v>Date: 06/03/24 | 2024 estimate indicator removed | Adv Payments</v>
      </c>
      <c r="E26" s="62"/>
      <c r="F26" s="51"/>
      <c r="G26" s="51"/>
      <c r="H26" s="51"/>
      <c r="I26" s="51"/>
      <c r="J26" s="51"/>
      <c r="K26" s="51"/>
      <c r="L26" s="51"/>
      <c r="M26" s="51"/>
      <c r="N26" s="51"/>
      <c r="O26" s="51"/>
      <c r="P26" s="51"/>
      <c r="Q26" s="51"/>
      <c r="R26" s="51"/>
      <c r="S26" s="51"/>
      <c r="T26" s="51"/>
      <c r="U26" s="51"/>
      <c r="V26" s="51"/>
      <c r="W26" s="51"/>
      <c r="X26" s="51"/>
      <c r="Y26" s="51"/>
      <c r="Z26" s="51"/>
      <c r="AA26" s="51"/>
      <c r="AB26" s="51"/>
      <c r="AC26" s="51"/>
    </row>
    <row r="27" spans="1:29" ht="12.75" customHeight="1" x14ac:dyDescent="0.25">
      <c r="A27" s="51"/>
      <c r="B27" s="56"/>
      <c r="C27" s="61" t="str">
        <f>IF(codes!D30&lt;&gt;"",codes!D30,"")</f>
        <v>Calcurate 2023 v 3.3d</v>
      </c>
      <c r="D27" s="61" t="str">
        <f>IF(codes!F30&lt;&gt;"","Date: "&amp;TEXT(codes!E30,"dd/mm/yy")&amp;" | "&amp;codes!F30,"")</f>
        <v>Date: 11/03/24 | City of London Supplement 2024</v>
      </c>
      <c r="E27" s="63"/>
      <c r="F27" s="51"/>
      <c r="G27" s="51"/>
      <c r="H27" s="51"/>
      <c r="I27" s="51"/>
      <c r="J27" s="51"/>
      <c r="K27" s="51"/>
      <c r="L27" s="51"/>
      <c r="M27" s="51"/>
      <c r="N27" s="51"/>
      <c r="O27" s="51"/>
      <c r="P27" s="51"/>
      <c r="Q27" s="51"/>
      <c r="R27" s="51"/>
      <c r="S27" s="51"/>
      <c r="T27" s="51"/>
      <c r="U27" s="51"/>
      <c r="V27" s="51"/>
      <c r="W27" s="51"/>
      <c r="X27" s="51"/>
      <c r="Y27" s="51"/>
      <c r="Z27" s="51"/>
      <c r="AA27" s="51"/>
      <c r="AB27" s="51"/>
      <c r="AC27" s="51"/>
    </row>
    <row r="28" spans="1:29" ht="12.75" customHeight="1" x14ac:dyDescent="0.25">
      <c r="A28" s="51"/>
      <c r="B28" s="56"/>
      <c r="C28" s="61" t="str">
        <f>IF(codes!D31&lt;&gt;"",codes!D31,"")</f>
        <v>Calcurate 2023 v 3.3e</v>
      </c>
      <c r="D28" s="61" t="str">
        <f>IF(codes!F31&lt;&gt;"","Date: "&amp;TEXT(codes!E31,"dd/mm/yy")&amp;" | "&amp;codes!F31,"")</f>
        <v>Date: 20/03/24 | City of London (small) Supplement 2024</v>
      </c>
      <c r="E28" s="63"/>
      <c r="F28" s="51"/>
      <c r="G28" s="51"/>
      <c r="H28" s="51"/>
      <c r="I28" s="51"/>
      <c r="J28" s="51"/>
      <c r="K28" s="51"/>
      <c r="L28" s="51"/>
      <c r="M28" s="51"/>
      <c r="N28" s="51"/>
      <c r="O28" s="51"/>
      <c r="P28" s="51"/>
      <c r="Q28" s="51"/>
      <c r="R28" s="51"/>
      <c r="S28" s="51"/>
      <c r="T28" s="51"/>
      <c r="U28" s="51"/>
      <c r="V28" s="51"/>
      <c r="W28" s="51"/>
      <c r="X28" s="51"/>
      <c r="Y28" s="51"/>
      <c r="Z28" s="51"/>
      <c r="AA28" s="51"/>
      <c r="AB28" s="51"/>
      <c r="AC28" s="51"/>
    </row>
    <row r="29" spans="1:29" ht="12.75" customHeight="1" x14ac:dyDescent="0.25">
      <c r="A29" s="51"/>
      <c r="B29" s="56"/>
      <c r="C29" s="61" t="str">
        <f>IF(codes!D32&lt;&gt;"",codes!D32,"")</f>
        <v>Calcurate 2023 v 3.4</v>
      </c>
      <c r="D29" s="61" t="str">
        <f>IF(codes!F32&lt;&gt;"","Date: "&amp;TEXT(codes!E32,"dd/mm/yy")&amp;" | "&amp;codes!F32,"")</f>
        <v>Date: 01/07/24 | amended interest for deletions</v>
      </c>
      <c r="E29" s="63"/>
      <c r="F29" s="51"/>
      <c r="G29" s="51"/>
      <c r="H29" s="51"/>
      <c r="I29" s="51"/>
      <c r="J29" s="51"/>
      <c r="K29" s="51"/>
      <c r="L29" s="51"/>
      <c r="M29" s="51"/>
      <c r="N29" s="51"/>
      <c r="O29" s="51"/>
      <c r="P29" s="51"/>
      <c r="Q29" s="51"/>
      <c r="R29" s="51"/>
      <c r="S29" s="51"/>
      <c r="T29" s="51"/>
      <c r="U29" s="51"/>
      <c r="V29" s="51"/>
      <c r="W29" s="51"/>
      <c r="X29" s="51"/>
      <c r="Y29" s="51"/>
      <c r="Z29" s="51"/>
      <c r="AA29" s="51"/>
      <c r="AB29" s="51"/>
      <c r="AC29" s="51"/>
    </row>
    <row r="30" spans="1:29" ht="12.75" customHeight="1" x14ac:dyDescent="0.25">
      <c r="A30" s="51"/>
      <c r="B30" s="56"/>
      <c r="C30" s="61" t="str">
        <f>IF(codes!D33&lt;&gt;"",codes!D33,"")</f>
        <v>Calcurate 2023 v 3.5</v>
      </c>
      <c r="D30" s="61" t="str">
        <f>IF(codes!F33&lt;&gt;"","Date: "&amp;TEXT(codes!E33,"dd/mm/yy")&amp;" | "&amp;codes!F33,"")</f>
        <v>Date: 16/07/24 | fix advanced rhl  |  ssbr prompt</v>
      </c>
      <c r="E30" s="63"/>
      <c r="F30" s="51"/>
      <c r="G30" s="51"/>
      <c r="H30" s="51"/>
      <c r="I30" s="51"/>
      <c r="J30" s="51"/>
      <c r="K30" s="51"/>
      <c r="L30" s="51"/>
      <c r="M30" s="51"/>
      <c r="N30" s="51"/>
      <c r="O30" s="51"/>
      <c r="P30" s="51"/>
      <c r="Q30" s="51"/>
      <c r="R30" s="51"/>
      <c r="S30" s="51"/>
      <c r="T30" s="51"/>
      <c r="U30" s="51"/>
      <c r="V30" s="51"/>
      <c r="W30" s="51"/>
      <c r="X30" s="51"/>
      <c r="Y30" s="51"/>
      <c r="Z30" s="51"/>
      <c r="AA30" s="51"/>
      <c r="AB30" s="51"/>
      <c r="AC30" s="51"/>
    </row>
    <row r="31" spans="1:29" ht="12.75" customHeight="1" x14ac:dyDescent="0.25">
      <c r="A31" s="51"/>
      <c r="B31" s="56"/>
      <c r="C31" s="61" t="str">
        <f>IF(codes!D34&lt;&gt;"",codes!D34,"")</f>
        <v>Calcurate 2023 v 3.6</v>
      </c>
      <c r="D31" s="61" t="str">
        <f>IF(codes!F34&lt;&gt;"","Date: "&amp;TEXT(codes!E34,"dd/mm/yy")&amp;" | "&amp;codes!F34,"")</f>
        <v>Date: 31/10/24 | September CPI | Budget 2024</v>
      </c>
      <c r="E31" s="63"/>
      <c r="F31" s="51"/>
      <c r="G31" s="51"/>
      <c r="H31" s="51"/>
      <c r="I31" s="51"/>
      <c r="J31" s="51"/>
      <c r="K31" s="51"/>
      <c r="L31" s="51"/>
      <c r="M31" s="51"/>
      <c r="N31" s="51"/>
      <c r="O31" s="51"/>
      <c r="P31" s="51"/>
      <c r="Q31" s="51"/>
      <c r="R31" s="51"/>
      <c r="S31" s="51"/>
      <c r="T31" s="51"/>
      <c r="U31" s="51"/>
      <c r="V31" s="51"/>
      <c r="W31" s="51"/>
      <c r="X31" s="51"/>
      <c r="Y31" s="51"/>
      <c r="Z31" s="51"/>
      <c r="AA31" s="51"/>
      <c r="AB31" s="51"/>
      <c r="AC31" s="51"/>
    </row>
    <row r="32" spans="1:29" ht="12.75" customHeight="1" x14ac:dyDescent="0.25">
      <c r="A32" s="51"/>
      <c r="B32" s="56"/>
      <c r="C32" s="61" t="str">
        <f>IF(codes!D35&lt;&gt;"",codes!D35,"")</f>
        <v>Calcurate 2023 v 4.0</v>
      </c>
      <c r="D32" s="61" t="str">
        <f>IF(codes!F35&lt;&gt;"","Date: "&amp;TEXT(codes!E35,"dd/mm/yy")&amp;" | "&amp;codes!F35,"")</f>
        <v>Date: 15/01/25 | Improvement Relief |RHL 3 yr cap | ssbr check for 22/23 | ssbr added to adv</v>
      </c>
      <c r="E32" s="63"/>
      <c r="F32" s="51"/>
      <c r="G32" s="51"/>
      <c r="H32" s="51"/>
      <c r="I32" s="51"/>
      <c r="J32" s="51"/>
      <c r="K32" s="51"/>
      <c r="L32" s="51"/>
      <c r="M32" s="51"/>
      <c r="N32" s="51"/>
      <c r="O32" s="51"/>
      <c r="P32" s="51"/>
      <c r="Q32" s="51"/>
      <c r="R32" s="51"/>
      <c r="S32" s="51"/>
      <c r="T32" s="51"/>
      <c r="U32" s="51"/>
      <c r="V32" s="51"/>
      <c r="W32" s="51"/>
      <c r="X32" s="51"/>
      <c r="Y32" s="51"/>
      <c r="Z32" s="51"/>
      <c r="AA32" s="51"/>
      <c r="AB32" s="51"/>
      <c r="AC32" s="51"/>
    </row>
    <row r="33" spans="1:29" ht="12.75" customHeight="1" x14ac:dyDescent="0.25">
      <c r="A33" s="51"/>
      <c r="B33" s="56"/>
      <c r="C33" s="61" t="str">
        <f>IF(codes!D36&lt;&gt;"",codes!D36,"")</f>
        <v>Calcurate 2023 v 4.0a</v>
      </c>
      <c r="D33" s="61" t="str">
        <f>IF(codes!F36&lt;&gt;"","Date: "&amp;TEXT(codes!E36,"dd/mm/yy")&amp;" | "&amp;codes!F36,"")</f>
        <v>Date: 20/01/25 | fix copypaste advanced</v>
      </c>
      <c r="E33" s="63"/>
      <c r="F33" s="51"/>
      <c r="G33" s="51"/>
      <c r="H33" s="51"/>
      <c r="I33" s="51"/>
      <c r="J33" s="51"/>
      <c r="K33" s="51"/>
      <c r="L33" s="51"/>
      <c r="M33" s="51"/>
      <c r="N33" s="51"/>
      <c r="O33" s="51"/>
      <c r="P33" s="51"/>
      <c r="Q33" s="51"/>
      <c r="R33" s="51"/>
      <c r="S33" s="51"/>
      <c r="T33" s="51"/>
      <c r="U33" s="51"/>
      <c r="V33" s="51"/>
      <c r="W33" s="51"/>
      <c r="X33" s="51"/>
      <c r="Y33" s="51"/>
      <c r="Z33" s="51"/>
      <c r="AA33" s="51"/>
      <c r="AB33" s="51"/>
      <c r="AC33" s="51"/>
    </row>
    <row r="34" spans="1:29" ht="12.75" customHeight="1" x14ac:dyDescent="0.25">
      <c r="A34" s="51"/>
      <c r="B34" s="56"/>
      <c r="C34" s="61" t="str">
        <f>IF(codes!D37&lt;&gt;"",codes!D37,"")</f>
        <v>Calcurate 2023 v 4.0b</v>
      </c>
      <c r="D34" s="61" t="str">
        <f>IF(codes!F37&lt;&gt;"","Date: "&amp;TEXT(codes!E37,"dd/mm/yy")&amp;" | "&amp;codes!F37,"")</f>
        <v>Date: 06/02/25 | City of London 2025 | Int Rate for Refunds</v>
      </c>
      <c r="E34" s="63"/>
      <c r="F34" s="51"/>
      <c r="G34" s="51"/>
      <c r="H34" s="51"/>
      <c r="I34" s="51"/>
      <c r="J34" s="51"/>
      <c r="K34" s="51"/>
      <c r="L34" s="51"/>
      <c r="M34" s="51"/>
      <c r="N34" s="51"/>
      <c r="O34" s="51"/>
      <c r="P34" s="51"/>
      <c r="Q34" s="51"/>
      <c r="R34" s="51"/>
      <c r="S34" s="51"/>
      <c r="T34" s="51"/>
      <c r="U34" s="51"/>
      <c r="V34" s="51"/>
      <c r="W34" s="51"/>
      <c r="X34" s="51"/>
      <c r="Y34" s="51"/>
      <c r="Z34" s="51"/>
      <c r="AA34" s="51"/>
      <c r="AB34" s="51"/>
      <c r="AC34" s="51"/>
    </row>
    <row r="35" spans="1:29" ht="12.75" customHeight="1" x14ac:dyDescent="0.25">
      <c r="A35" s="51"/>
      <c r="B35" s="56"/>
      <c r="C35" s="61" t="str">
        <f>IF(codes!D38&lt;&gt;"",codes!D38,"")</f>
        <v>Calcurate 2023 v 4.1</v>
      </c>
      <c r="D35" s="61" t="str">
        <f>IF(codes!F38&lt;&gt;"","Date: "&amp;TEXT(codes!E38,"dd/mm/yy")&amp;" | "&amp;codes!F38,"")</f>
        <v>Date: 01/03/25 | Helix import</v>
      </c>
      <c r="E35" s="63"/>
      <c r="F35" s="51"/>
      <c r="G35" s="51"/>
      <c r="H35" s="51"/>
      <c r="I35" s="51"/>
      <c r="J35" s="51"/>
      <c r="K35" s="51"/>
      <c r="L35" s="51"/>
      <c r="M35" s="51"/>
      <c r="N35" s="51"/>
      <c r="O35" s="51"/>
      <c r="P35" s="51"/>
      <c r="Q35" s="51"/>
      <c r="R35" s="51"/>
      <c r="S35" s="51"/>
      <c r="T35" s="51"/>
      <c r="U35" s="51"/>
      <c r="V35" s="51"/>
      <c r="W35" s="51"/>
      <c r="X35" s="51"/>
      <c r="Y35" s="51"/>
      <c r="Z35" s="51"/>
      <c r="AA35" s="51"/>
      <c r="AB35" s="51"/>
      <c r="AC35" s="51"/>
    </row>
    <row r="36" spans="1:29" ht="12.75" customHeight="1" x14ac:dyDescent="0.25">
      <c r="A36" s="51"/>
      <c r="B36" s="56"/>
      <c r="C36" s="61" t="str">
        <f>IF(codes!D39&lt;&gt;"",codes!D39,"")</f>
        <v>Calcurate 2023 v 4.2</v>
      </c>
      <c r="D36" s="61" t="str">
        <f>IF(codes!F39&lt;&gt;"","Date: "&amp;TEXT(codes!E39,"dd/mm/yy")&amp;" | "&amp;codes!F39,"")</f>
        <v>Date: 31/03/25 | ssbr adv fix</v>
      </c>
      <c r="E36" s="63"/>
      <c r="F36" s="51"/>
      <c r="G36" s="51"/>
      <c r="H36" s="51"/>
      <c r="I36" s="51"/>
      <c r="J36" s="51"/>
      <c r="K36" s="51"/>
      <c r="L36" s="51"/>
      <c r="M36" s="51"/>
      <c r="N36" s="51"/>
      <c r="O36" s="51"/>
      <c r="P36" s="51"/>
      <c r="Q36" s="51"/>
      <c r="R36" s="51"/>
      <c r="S36" s="51"/>
      <c r="T36" s="51"/>
      <c r="U36" s="51"/>
      <c r="V36" s="51"/>
      <c r="W36" s="51"/>
      <c r="X36" s="51"/>
      <c r="Y36" s="51"/>
      <c r="Z36" s="51"/>
      <c r="AA36" s="51"/>
      <c r="AB36" s="51"/>
      <c r="AC36" s="51"/>
    </row>
    <row r="37" spans="1:29" ht="12.75" customHeight="1" x14ac:dyDescent="0.25">
      <c r="A37" s="51"/>
      <c r="B37" s="56"/>
      <c r="C37" s="61" t="str">
        <f>IF(codes!D40&lt;&gt;"",codes!D40,"")</f>
        <v>Calcurate 2023 v 4.2b</v>
      </c>
      <c r="D37" s="61" t="str">
        <f>IF(codes!F40&lt;&gt;"","Date: "&amp;TEXT(codes!E40,"dd/mm/yy")&amp;" | "&amp;codes!F40,"")</f>
        <v>Date: 16/06/25 | adv instalments fix</v>
      </c>
      <c r="E37" s="63"/>
      <c r="F37" s="51"/>
      <c r="G37" s="51"/>
      <c r="H37" s="51"/>
      <c r="I37" s="51"/>
      <c r="J37" s="51"/>
      <c r="K37" s="51"/>
      <c r="L37" s="51"/>
      <c r="M37" s="51"/>
      <c r="N37" s="51"/>
      <c r="O37" s="51"/>
      <c r="P37" s="51"/>
      <c r="Q37" s="51"/>
      <c r="R37" s="51"/>
      <c r="S37" s="51"/>
      <c r="T37" s="51"/>
      <c r="U37" s="51"/>
      <c r="V37" s="51"/>
      <c r="W37" s="51"/>
      <c r="X37" s="51"/>
      <c r="Y37" s="51"/>
      <c r="Z37" s="51"/>
      <c r="AA37" s="51"/>
      <c r="AB37" s="51"/>
      <c r="AC37" s="51"/>
    </row>
    <row r="38" spans="1:29" ht="12.75" customHeight="1" x14ac:dyDescent="0.25">
      <c r="A38" s="51"/>
      <c r="B38" s="56"/>
      <c r="C38" s="61" t="str">
        <f>IF(codes!D41&lt;&gt;"",codes!D41,"")</f>
        <v>Calcurate 2023 v 4.3</v>
      </c>
      <c r="D38" s="61" t="str">
        <f>IF(codes!F41&lt;&gt;"","Date: "&amp;TEXT(codes!E41,"dd/mm/yy")&amp;" | "&amp;codes!F41,"")</f>
        <v>Date: 09/07/25 | fix - adv ssbr with retail</v>
      </c>
      <c r="E38" s="63"/>
      <c r="F38" s="51"/>
      <c r="G38" s="51"/>
      <c r="H38" s="51"/>
      <c r="I38" s="51"/>
      <c r="J38" s="51"/>
      <c r="K38" s="51"/>
      <c r="L38" s="51"/>
      <c r="M38" s="51"/>
      <c r="N38" s="51"/>
      <c r="O38" s="51"/>
      <c r="P38" s="51"/>
      <c r="Q38" s="51"/>
      <c r="R38" s="51"/>
      <c r="S38" s="51"/>
      <c r="T38" s="51"/>
      <c r="U38" s="51"/>
      <c r="V38" s="51"/>
      <c r="W38" s="51"/>
      <c r="X38" s="51"/>
      <c r="Y38" s="51"/>
      <c r="Z38" s="51"/>
      <c r="AA38" s="51"/>
      <c r="AB38" s="51"/>
      <c r="AC38" s="51"/>
    </row>
    <row r="39" spans="1:29" ht="12.75" customHeight="1" x14ac:dyDescent="0.25">
      <c r="A39" s="51"/>
      <c r="B39" s="56"/>
      <c r="C39" s="61" t="str">
        <f>IF(codes!D42&lt;&gt;"",codes!D42,"")</f>
        <v>Calcurate 2023 v 4.3a</v>
      </c>
      <c r="D39" s="61" t="str">
        <f>IF(codes!F42&lt;&gt;"","Date: "&amp;TEXT(codes!E42,"dd/mm/yy")&amp;" | "&amp;codes!F42,"")</f>
        <v>Date: 22/07/25 | sys only - licence tempmem</v>
      </c>
      <c r="E39" s="63"/>
      <c r="F39" s="51"/>
      <c r="G39" s="51"/>
      <c r="H39" s="51"/>
      <c r="I39" s="51"/>
      <c r="J39" s="51"/>
      <c r="K39" s="51"/>
      <c r="L39" s="51"/>
      <c r="M39" s="51"/>
      <c r="N39" s="51"/>
      <c r="O39" s="51"/>
      <c r="P39" s="51"/>
      <c r="Q39" s="51"/>
      <c r="R39" s="51"/>
      <c r="S39" s="51"/>
      <c r="T39" s="51"/>
      <c r="U39" s="51"/>
      <c r="V39" s="51"/>
      <c r="W39" s="51"/>
      <c r="X39" s="51"/>
      <c r="Y39" s="51"/>
      <c r="Z39" s="51"/>
      <c r="AA39" s="51"/>
      <c r="AB39" s="51"/>
      <c r="AC39" s="51"/>
    </row>
    <row r="40" spans="1:29" ht="12.75" customHeight="1" x14ac:dyDescent="0.25">
      <c r="A40" s="51"/>
      <c r="B40" s="56"/>
      <c r="C40" s="61" t="str">
        <f>IF(codes!D43&lt;&gt;"",codes!D43,"")</f>
        <v>Calcurate 2023 v 5.0 xlms</v>
      </c>
      <c r="D40" s="61" t="str">
        <f>IF(codes!F43&lt;&gt;"","Date: "&amp;TEXT(codes!E43,"dd/mm/yy")&amp;" | "&amp;codes!F43,"")</f>
        <v>Date: 15/08/25 | converted to xlms</v>
      </c>
      <c r="E40" s="63"/>
      <c r="F40" s="51"/>
      <c r="G40" s="51"/>
      <c r="H40" s="51"/>
      <c r="I40" s="51"/>
      <c r="J40" s="51"/>
      <c r="K40" s="51"/>
      <c r="L40" s="51"/>
      <c r="M40" s="51"/>
      <c r="N40" s="51"/>
      <c r="O40" s="51"/>
      <c r="P40" s="51"/>
      <c r="Q40" s="51"/>
      <c r="R40" s="51"/>
      <c r="S40" s="51"/>
      <c r="T40" s="51"/>
      <c r="U40" s="51"/>
      <c r="V40" s="51"/>
      <c r="W40" s="51"/>
      <c r="X40" s="51"/>
      <c r="Y40" s="51"/>
      <c r="Z40" s="51"/>
      <c r="AA40" s="51"/>
      <c r="AB40" s="51"/>
      <c r="AC40" s="51"/>
    </row>
    <row r="41" spans="1:29" ht="12.75" customHeight="1" x14ac:dyDescent="0.25">
      <c r="A41" s="51"/>
      <c r="B41" s="56"/>
      <c r="C41" s="61" t="str">
        <f>IF(codes!D44&lt;&gt;"",codes!D44,"")</f>
        <v>Calcurate 2023 v 5.1 xlms</v>
      </c>
      <c r="D41" s="61" t="str">
        <f>IF(codes!F44&lt;&gt;"","Date: "&amp;TEXT(codes!E44,"dd/mm/yy")&amp;" | "&amp;codes!F44,"")</f>
        <v>Date: 16/09/25 | sys only - fix basic payments</v>
      </c>
      <c r="E41" s="63"/>
      <c r="F41" s="51"/>
      <c r="G41" s="51"/>
      <c r="H41" s="51"/>
      <c r="I41" s="51"/>
      <c r="J41" s="51"/>
      <c r="K41" s="51"/>
      <c r="L41" s="51"/>
      <c r="M41" s="51"/>
      <c r="N41" s="51"/>
      <c r="O41" s="51"/>
      <c r="P41" s="51"/>
      <c r="Q41" s="51"/>
      <c r="R41" s="51"/>
      <c r="S41" s="51"/>
      <c r="T41" s="51"/>
      <c r="U41" s="51"/>
      <c r="V41" s="51"/>
      <c r="W41" s="51"/>
      <c r="X41" s="51"/>
      <c r="Y41" s="51"/>
      <c r="Z41" s="51"/>
      <c r="AA41" s="51"/>
      <c r="AB41" s="51"/>
      <c r="AC41" s="51"/>
    </row>
    <row r="42" spans="1:29" ht="12.75" customHeight="1" x14ac:dyDescent="0.25">
      <c r="A42" s="51"/>
      <c r="B42" s="56"/>
      <c r="C42" s="61" t="str">
        <f>IF(codes!D45&lt;&gt;"",codes!D45,"")</f>
        <v>Calcurate 2023 v 5.2 xlms</v>
      </c>
      <c r="D42" s="61" t="str">
        <f>IF(codes!F45&lt;&gt;"","Date: "&amp;TEXT(codes!E45,"dd/mm/yy")&amp;" | "&amp;codes!F45,"")</f>
        <v>Date: 18/03/26 | adv details rhl</v>
      </c>
      <c r="E42" s="63"/>
      <c r="F42" s="51"/>
      <c r="G42" s="51"/>
      <c r="H42" s="51"/>
      <c r="I42" s="51"/>
      <c r="J42" s="51"/>
      <c r="K42" s="51"/>
      <c r="L42" s="51"/>
      <c r="M42" s="51"/>
      <c r="N42" s="51"/>
      <c r="O42" s="51"/>
      <c r="P42" s="51"/>
      <c r="Q42" s="51"/>
      <c r="R42" s="51"/>
      <c r="S42" s="51"/>
      <c r="T42" s="51"/>
      <c r="U42" s="51"/>
      <c r="V42" s="51"/>
      <c r="W42" s="51"/>
      <c r="X42" s="51"/>
      <c r="Y42" s="51"/>
      <c r="Z42" s="51"/>
      <c r="AA42" s="51"/>
      <c r="AB42" s="51"/>
      <c r="AC42" s="51"/>
    </row>
    <row r="43" spans="1:29" ht="12.75" customHeight="1" x14ac:dyDescent="0.25">
      <c r="A43" s="51"/>
      <c r="B43" s="56"/>
      <c r="C43" s="61" t="str">
        <f>IF(codes!D46&lt;&gt;"",codes!D46,"")</f>
        <v/>
      </c>
      <c r="D43" s="61" t="str">
        <f>IF(codes!F46&lt;&gt;"","Date: "&amp;TEXT(codes!E46,"dd/mm/yy")&amp;" | "&amp;codes!F46,"")</f>
        <v/>
      </c>
      <c r="E43" s="63"/>
      <c r="F43" s="51"/>
      <c r="G43" s="51"/>
      <c r="H43" s="51"/>
      <c r="I43" s="51"/>
      <c r="J43" s="51"/>
      <c r="K43" s="51"/>
      <c r="L43" s="51"/>
      <c r="M43" s="51"/>
      <c r="N43" s="51"/>
      <c r="O43" s="51"/>
      <c r="P43" s="51"/>
      <c r="Q43" s="51"/>
      <c r="R43" s="51"/>
      <c r="S43" s="51"/>
      <c r="T43" s="51"/>
      <c r="U43" s="51"/>
      <c r="V43" s="51"/>
      <c r="W43" s="51"/>
      <c r="X43" s="51"/>
      <c r="Y43" s="51"/>
      <c r="Z43" s="51"/>
      <c r="AA43" s="51"/>
      <c r="AB43" s="51"/>
      <c r="AC43" s="51"/>
    </row>
    <row r="44" spans="1:29" ht="12.75" customHeight="1" thickBot="1" x14ac:dyDescent="0.3">
      <c r="A44" s="51"/>
      <c r="B44" s="64"/>
      <c r="C44" s="65"/>
      <c r="D44" s="65"/>
      <c r="E44" s="66"/>
      <c r="F44" s="51"/>
      <c r="G44" s="51"/>
      <c r="H44" s="51"/>
      <c r="I44" s="51"/>
      <c r="J44" s="51"/>
      <c r="K44" s="51"/>
      <c r="L44" s="51"/>
      <c r="M44" s="51"/>
      <c r="N44" s="51"/>
      <c r="O44" s="51"/>
      <c r="P44" s="51"/>
      <c r="Q44" s="51"/>
      <c r="R44" s="51"/>
      <c r="S44" s="51"/>
      <c r="T44" s="51"/>
      <c r="U44" s="51"/>
      <c r="V44" s="51"/>
      <c r="W44" s="51"/>
      <c r="X44" s="51"/>
      <c r="Y44" s="51"/>
      <c r="Z44" s="51"/>
      <c r="AA44" s="51"/>
      <c r="AB44" s="51"/>
      <c r="AC44" s="51"/>
    </row>
    <row r="45" spans="1:29" x14ac:dyDescent="0.25">
      <c r="A45" s="51"/>
      <c r="B45" s="67"/>
      <c r="C45" s="68"/>
      <c r="D45" s="68"/>
      <c r="E45" s="51"/>
      <c r="F45" s="51"/>
      <c r="G45" s="51"/>
      <c r="H45" s="51"/>
      <c r="I45" s="51"/>
      <c r="J45" s="51"/>
      <c r="K45" s="51"/>
      <c r="L45" s="51"/>
      <c r="M45" s="51"/>
      <c r="N45" s="51"/>
      <c r="O45" s="51"/>
      <c r="P45" s="51"/>
      <c r="Q45" s="51"/>
      <c r="R45" s="51"/>
      <c r="S45" s="51"/>
      <c r="T45" s="51"/>
      <c r="U45" s="51"/>
      <c r="V45" s="51"/>
      <c r="W45" s="51"/>
      <c r="X45" s="51"/>
      <c r="Y45" s="51"/>
      <c r="Z45" s="51"/>
      <c r="AA45" s="51"/>
      <c r="AB45" s="51"/>
      <c r="AC45" s="51"/>
    </row>
    <row r="46" spans="1:29" x14ac:dyDescent="0.25">
      <c r="A46" s="51"/>
      <c r="B46" s="67"/>
      <c r="C46" s="68"/>
      <c r="D46" s="68"/>
      <c r="E46" s="51"/>
      <c r="F46" s="51"/>
      <c r="G46" s="51"/>
      <c r="H46" s="51"/>
      <c r="I46" s="51"/>
      <c r="J46" s="51"/>
      <c r="K46" s="51"/>
      <c r="L46" s="51"/>
      <c r="M46" s="51"/>
      <c r="N46" s="51"/>
      <c r="O46" s="51"/>
      <c r="P46" s="51"/>
      <c r="Q46" s="51"/>
      <c r="R46" s="51"/>
      <c r="S46" s="51"/>
      <c r="T46" s="51"/>
      <c r="U46" s="51"/>
      <c r="V46" s="51"/>
      <c r="W46" s="51"/>
      <c r="X46" s="51"/>
      <c r="Y46" s="51"/>
      <c r="Z46" s="51"/>
      <c r="AA46" s="51"/>
      <c r="AB46" s="51"/>
      <c r="AC46" s="51"/>
    </row>
    <row r="47" spans="1:29" x14ac:dyDescent="0.25">
      <c r="A47" s="51"/>
      <c r="B47" s="51"/>
      <c r="C47" s="51"/>
      <c r="D47" s="51"/>
      <c r="E47" s="51"/>
      <c r="F47" s="51"/>
      <c r="G47" s="51"/>
      <c r="H47" s="51"/>
      <c r="I47" s="51"/>
      <c r="J47" s="51"/>
      <c r="K47" s="51"/>
      <c r="L47" s="51"/>
      <c r="M47" s="51"/>
      <c r="N47" s="51"/>
      <c r="O47" s="51"/>
      <c r="P47" s="51"/>
      <c r="Q47" s="51"/>
      <c r="R47" s="51"/>
      <c r="S47" s="51"/>
      <c r="T47" s="51"/>
      <c r="U47" s="51"/>
      <c r="V47" s="51"/>
      <c r="W47" s="51"/>
      <c r="X47" s="51"/>
      <c r="Y47" s="51"/>
      <c r="Z47" s="51"/>
      <c r="AA47" s="51"/>
      <c r="AB47" s="51"/>
      <c r="AC47" s="51"/>
    </row>
    <row r="48" spans="1:29" x14ac:dyDescent="0.25">
      <c r="A48" s="51"/>
      <c r="B48" s="51"/>
      <c r="C48" s="51"/>
      <c r="D48" s="51"/>
      <c r="E48" s="51"/>
      <c r="F48" s="51"/>
      <c r="G48" s="51"/>
      <c r="H48" s="51"/>
      <c r="I48" s="51"/>
      <c r="J48" s="51"/>
      <c r="K48" s="51"/>
      <c r="L48" s="51"/>
      <c r="M48" s="51"/>
      <c r="N48" s="51"/>
      <c r="O48" s="51"/>
      <c r="P48" s="51"/>
      <c r="Q48" s="51"/>
      <c r="R48" s="51"/>
      <c r="S48" s="51"/>
      <c r="T48" s="51"/>
      <c r="U48" s="51"/>
      <c r="V48" s="51"/>
      <c r="W48" s="51"/>
      <c r="X48" s="51"/>
      <c r="Y48" s="51"/>
      <c r="Z48" s="51"/>
      <c r="AA48" s="51"/>
      <c r="AB48" s="51"/>
      <c r="AC48" s="51"/>
    </row>
    <row r="49" spans="1:29" x14ac:dyDescent="0.25">
      <c r="A49" s="51"/>
      <c r="B49" s="51"/>
      <c r="C49" s="51"/>
      <c r="D49" s="51"/>
      <c r="E49" s="51"/>
      <c r="F49" s="51"/>
      <c r="G49" s="51"/>
      <c r="H49" s="51"/>
      <c r="I49" s="51"/>
      <c r="J49" s="51"/>
      <c r="K49" s="51"/>
      <c r="L49" s="51"/>
      <c r="M49" s="51"/>
      <c r="N49" s="51"/>
      <c r="O49" s="51"/>
      <c r="P49" s="51"/>
      <c r="Q49" s="51"/>
      <c r="R49" s="51"/>
      <c r="S49" s="51"/>
      <c r="T49" s="51"/>
      <c r="U49" s="51"/>
      <c r="V49" s="51"/>
      <c r="W49" s="51"/>
      <c r="X49" s="51"/>
      <c r="Y49" s="51"/>
      <c r="Z49" s="51"/>
      <c r="AA49" s="51"/>
      <c r="AB49" s="51"/>
      <c r="AC49" s="51"/>
    </row>
    <row r="50" spans="1:29" x14ac:dyDescent="0.25">
      <c r="A50" s="51"/>
      <c r="B50" s="51"/>
      <c r="C50" s="51"/>
      <c r="D50" s="51"/>
      <c r="E50" s="51"/>
      <c r="F50" s="51"/>
      <c r="G50" s="51"/>
      <c r="H50" s="51"/>
      <c r="I50" s="51"/>
      <c r="J50" s="51"/>
      <c r="K50" s="51"/>
      <c r="L50" s="51"/>
      <c r="M50" s="51"/>
      <c r="N50" s="51"/>
      <c r="O50" s="51"/>
      <c r="P50" s="51"/>
      <c r="Q50" s="51"/>
      <c r="R50" s="51"/>
      <c r="S50" s="51"/>
      <c r="T50" s="51"/>
      <c r="U50" s="51"/>
      <c r="V50" s="51"/>
      <c r="W50" s="51"/>
      <c r="X50" s="51"/>
      <c r="Y50" s="51"/>
      <c r="Z50" s="51"/>
      <c r="AA50" s="51"/>
      <c r="AB50" s="51"/>
      <c r="AC50" s="51"/>
    </row>
    <row r="51" spans="1:29" x14ac:dyDescent="0.25">
      <c r="A51" s="51"/>
      <c r="B51" s="51"/>
      <c r="C51" s="51"/>
      <c r="D51" s="51"/>
      <c r="E51" s="51"/>
      <c r="F51" s="51"/>
      <c r="G51" s="51"/>
      <c r="H51" s="51"/>
      <c r="I51" s="51"/>
      <c r="J51" s="51"/>
      <c r="K51" s="51"/>
      <c r="L51" s="51"/>
      <c r="M51" s="51"/>
      <c r="N51" s="51"/>
      <c r="O51" s="51"/>
      <c r="P51" s="51"/>
      <c r="Q51" s="51"/>
      <c r="R51" s="51"/>
      <c r="S51" s="51"/>
      <c r="T51" s="51"/>
      <c r="U51" s="51"/>
      <c r="V51" s="51"/>
      <c r="W51" s="51"/>
      <c r="X51" s="51"/>
      <c r="Y51" s="51"/>
      <c r="Z51" s="51"/>
      <c r="AA51" s="51"/>
      <c r="AB51" s="51"/>
      <c r="AC51" s="51"/>
    </row>
    <row r="52" spans="1:29" x14ac:dyDescent="0.25">
      <c r="A52" s="51"/>
      <c r="B52" s="51"/>
      <c r="C52" s="51"/>
      <c r="D52" s="51"/>
      <c r="E52" s="51"/>
      <c r="F52" s="51"/>
      <c r="G52" s="51"/>
      <c r="H52" s="51"/>
      <c r="I52" s="51"/>
      <c r="J52" s="51"/>
      <c r="K52" s="51"/>
      <c r="L52" s="51"/>
      <c r="M52" s="51"/>
      <c r="N52" s="51"/>
      <c r="O52" s="51"/>
      <c r="P52" s="51"/>
      <c r="Q52" s="51"/>
      <c r="R52" s="51"/>
      <c r="S52" s="51"/>
      <c r="T52" s="51"/>
      <c r="U52" s="51"/>
      <c r="V52" s="51"/>
      <c r="W52" s="51"/>
      <c r="X52" s="51"/>
      <c r="Y52" s="51"/>
      <c r="Z52" s="51"/>
      <c r="AA52" s="51"/>
      <c r="AB52" s="51"/>
      <c r="AC52" s="51"/>
    </row>
    <row r="53" spans="1:29" x14ac:dyDescent="0.25">
      <c r="A53" s="51"/>
      <c r="B53" s="51"/>
      <c r="C53" s="51"/>
      <c r="D53" s="51"/>
      <c r="E53" s="51"/>
      <c r="F53" s="51"/>
      <c r="G53" s="51"/>
      <c r="H53" s="51"/>
      <c r="I53" s="51"/>
      <c r="J53" s="51"/>
      <c r="K53" s="51"/>
      <c r="L53" s="51"/>
      <c r="M53" s="51"/>
      <c r="N53" s="51"/>
      <c r="O53" s="51"/>
      <c r="P53" s="51"/>
      <c r="Q53" s="51"/>
      <c r="R53" s="51"/>
      <c r="S53" s="51"/>
      <c r="T53" s="51"/>
      <c r="U53" s="51"/>
      <c r="V53" s="51"/>
      <c r="W53" s="51"/>
      <c r="X53" s="51"/>
      <c r="Y53" s="51"/>
      <c r="Z53" s="51"/>
      <c r="AA53" s="51"/>
      <c r="AB53" s="51"/>
      <c r="AC53" s="51"/>
    </row>
    <row r="54" spans="1:29" x14ac:dyDescent="0.25">
      <c r="A54" s="51"/>
      <c r="B54" s="51"/>
      <c r="C54" s="51"/>
      <c r="D54" s="51"/>
      <c r="E54" s="51"/>
      <c r="F54" s="51"/>
      <c r="G54" s="51"/>
      <c r="H54" s="51"/>
      <c r="I54" s="51"/>
      <c r="J54" s="51"/>
      <c r="K54" s="51"/>
      <c r="L54" s="51"/>
      <c r="M54" s="51"/>
      <c r="N54" s="51"/>
      <c r="O54" s="51"/>
      <c r="P54" s="51"/>
      <c r="Q54" s="51"/>
      <c r="R54" s="51"/>
      <c r="S54" s="51"/>
      <c r="T54" s="51"/>
      <c r="U54" s="51"/>
      <c r="V54" s="51"/>
      <c r="W54" s="51"/>
      <c r="X54" s="51"/>
      <c r="Y54" s="51"/>
      <c r="Z54" s="51"/>
      <c r="AA54" s="51"/>
      <c r="AB54" s="51"/>
      <c r="AC54" s="51"/>
    </row>
    <row r="55" spans="1:29" x14ac:dyDescent="0.25">
      <c r="A55" s="51"/>
      <c r="B55" s="51"/>
      <c r="C55" s="51"/>
      <c r="D55" s="51"/>
      <c r="E55" s="51"/>
      <c r="F55" s="51"/>
      <c r="G55" s="51"/>
      <c r="H55" s="51"/>
      <c r="I55" s="51"/>
      <c r="J55" s="51"/>
      <c r="K55" s="51"/>
      <c r="L55" s="51"/>
      <c r="M55" s="51"/>
      <c r="N55" s="51"/>
      <c r="O55" s="51"/>
      <c r="P55" s="51"/>
      <c r="Q55" s="51"/>
      <c r="R55" s="51"/>
      <c r="S55" s="51"/>
      <c r="T55" s="51"/>
      <c r="U55" s="51"/>
      <c r="V55" s="51"/>
      <c r="W55" s="51"/>
      <c r="X55" s="51"/>
      <c r="Y55" s="51"/>
      <c r="Z55" s="51"/>
      <c r="AA55" s="51"/>
      <c r="AB55" s="51"/>
      <c r="AC55" s="51"/>
    </row>
    <row r="56" spans="1:29" x14ac:dyDescent="0.25">
      <c r="A56" s="51"/>
      <c r="B56" s="51"/>
      <c r="C56" s="51"/>
      <c r="D56" s="51"/>
      <c r="E56" s="51"/>
      <c r="F56" s="51"/>
      <c r="G56" s="51"/>
      <c r="H56" s="51"/>
      <c r="I56" s="51"/>
      <c r="J56" s="51"/>
      <c r="K56" s="51"/>
      <c r="L56" s="51"/>
      <c r="M56" s="51"/>
      <c r="N56" s="51"/>
      <c r="O56" s="51"/>
      <c r="P56" s="51"/>
      <c r="Q56" s="51"/>
      <c r="R56" s="51"/>
      <c r="S56" s="51"/>
      <c r="T56" s="51"/>
      <c r="U56" s="51"/>
      <c r="V56" s="51"/>
      <c r="W56" s="51"/>
      <c r="X56" s="51"/>
      <c r="Y56" s="51"/>
      <c r="Z56" s="51"/>
      <c r="AA56" s="51"/>
      <c r="AB56" s="51"/>
      <c r="AC56" s="51"/>
    </row>
    <row r="57" spans="1:29" x14ac:dyDescent="0.25">
      <c r="A57" s="51"/>
      <c r="B57" s="51"/>
      <c r="C57" s="51"/>
      <c r="D57" s="51"/>
      <c r="E57" s="51"/>
      <c r="F57" s="51"/>
      <c r="G57" s="51"/>
      <c r="H57" s="51"/>
      <c r="I57" s="51"/>
      <c r="J57" s="51"/>
      <c r="K57" s="51"/>
      <c r="L57" s="51"/>
      <c r="M57" s="51"/>
      <c r="N57" s="51"/>
      <c r="O57" s="51"/>
      <c r="P57" s="51"/>
      <c r="Q57" s="51"/>
      <c r="R57" s="51"/>
      <c r="S57" s="51"/>
      <c r="T57" s="51"/>
      <c r="U57" s="51"/>
      <c r="V57" s="51"/>
      <c r="W57" s="51"/>
      <c r="X57" s="51"/>
      <c r="Y57" s="51"/>
      <c r="Z57" s="51"/>
      <c r="AA57" s="51"/>
      <c r="AB57" s="51"/>
      <c r="AC57" s="51"/>
    </row>
    <row r="58" spans="1:29" x14ac:dyDescent="0.25">
      <c r="A58" s="51"/>
      <c r="B58" s="51"/>
      <c r="C58" s="51"/>
      <c r="D58" s="51"/>
      <c r="E58" s="51"/>
      <c r="F58" s="51"/>
      <c r="G58" s="51"/>
      <c r="H58" s="51"/>
      <c r="I58" s="51"/>
      <c r="J58" s="51"/>
      <c r="K58" s="51"/>
      <c r="L58" s="51"/>
      <c r="M58" s="51"/>
      <c r="N58" s="51"/>
      <c r="O58" s="51"/>
      <c r="P58" s="51"/>
      <c r="Q58" s="51"/>
      <c r="R58" s="51"/>
      <c r="S58" s="51"/>
      <c r="T58" s="51"/>
      <c r="U58" s="51"/>
      <c r="V58" s="51"/>
      <c r="W58" s="51"/>
      <c r="X58" s="51"/>
      <c r="Y58" s="51"/>
      <c r="Z58" s="51"/>
      <c r="AA58" s="51"/>
      <c r="AB58" s="51"/>
      <c r="AC58" s="51"/>
    </row>
    <row r="59" spans="1:29" x14ac:dyDescent="0.25">
      <c r="A59" s="51"/>
      <c r="B59" s="51"/>
      <c r="C59" s="51"/>
      <c r="D59" s="51"/>
      <c r="E59" s="51"/>
      <c r="F59" s="51"/>
      <c r="G59" s="51"/>
      <c r="H59" s="51"/>
      <c r="I59" s="51"/>
      <c r="J59" s="51"/>
      <c r="K59" s="51"/>
      <c r="L59" s="51"/>
      <c r="M59" s="51"/>
      <c r="N59" s="51"/>
      <c r="O59" s="51"/>
      <c r="P59" s="51"/>
      <c r="Q59" s="51"/>
      <c r="R59" s="51"/>
      <c r="S59" s="51"/>
      <c r="T59" s="51"/>
      <c r="U59" s="51"/>
      <c r="V59" s="51"/>
      <c r="W59" s="51"/>
      <c r="X59" s="51"/>
      <c r="Y59" s="51"/>
      <c r="Z59" s="51"/>
      <c r="AA59" s="51"/>
      <c r="AB59" s="51"/>
      <c r="AC59" s="51"/>
    </row>
    <row r="60" spans="1:29" x14ac:dyDescent="0.25">
      <c r="A60" s="51"/>
      <c r="B60" s="51"/>
      <c r="C60" s="51"/>
      <c r="D60" s="51"/>
      <c r="E60" s="51"/>
      <c r="F60" s="51"/>
      <c r="G60" s="51"/>
      <c r="H60" s="51"/>
      <c r="I60" s="51"/>
      <c r="J60" s="51"/>
      <c r="K60" s="51"/>
      <c r="L60" s="51"/>
      <c r="M60" s="51"/>
      <c r="N60" s="51"/>
      <c r="O60" s="51"/>
      <c r="P60" s="51"/>
      <c r="Q60" s="51"/>
      <c r="R60" s="51"/>
      <c r="S60" s="51"/>
      <c r="T60" s="51"/>
      <c r="U60" s="51"/>
      <c r="V60" s="51"/>
      <c r="W60" s="51"/>
      <c r="X60" s="51"/>
      <c r="Y60" s="51"/>
      <c r="Z60" s="51"/>
      <c r="AA60" s="51"/>
      <c r="AB60" s="51"/>
      <c r="AC60" s="51"/>
    </row>
    <row r="61" spans="1:29" x14ac:dyDescent="0.25">
      <c r="A61" s="51"/>
      <c r="B61" s="51"/>
      <c r="C61" s="51"/>
      <c r="D61" s="51"/>
      <c r="E61" s="51"/>
      <c r="F61" s="51"/>
      <c r="G61" s="51"/>
      <c r="H61" s="51"/>
      <c r="I61" s="51"/>
      <c r="J61" s="51"/>
      <c r="K61" s="51"/>
      <c r="L61" s="51"/>
      <c r="M61" s="51"/>
      <c r="N61" s="51"/>
      <c r="O61" s="51"/>
      <c r="P61" s="51"/>
      <c r="Q61" s="51"/>
      <c r="R61" s="51"/>
      <c r="S61" s="51"/>
      <c r="T61" s="51"/>
      <c r="U61" s="51"/>
      <c r="V61" s="51"/>
      <c r="W61" s="51"/>
      <c r="X61" s="51"/>
      <c r="Y61" s="51"/>
      <c r="Z61" s="51"/>
      <c r="AA61" s="51"/>
      <c r="AB61" s="51"/>
      <c r="AC61" s="51"/>
    </row>
    <row r="62" spans="1:29" x14ac:dyDescent="0.25">
      <c r="A62" s="51"/>
      <c r="B62" s="51"/>
      <c r="C62" s="51"/>
      <c r="D62" s="51"/>
      <c r="E62" s="51"/>
      <c r="F62" s="51"/>
      <c r="G62" s="51"/>
      <c r="H62" s="51"/>
      <c r="I62" s="51"/>
      <c r="J62" s="51"/>
      <c r="K62" s="51"/>
      <c r="L62" s="51"/>
      <c r="M62" s="51"/>
      <c r="N62" s="51"/>
      <c r="O62" s="51"/>
      <c r="P62" s="51"/>
      <c r="Q62" s="51"/>
      <c r="R62" s="51"/>
      <c r="S62" s="51"/>
      <c r="T62" s="51"/>
      <c r="U62" s="51"/>
      <c r="V62" s="51"/>
      <c r="W62" s="51"/>
      <c r="X62" s="51"/>
      <c r="Y62" s="51"/>
      <c r="Z62" s="51"/>
      <c r="AA62" s="51"/>
      <c r="AB62" s="51"/>
      <c r="AC62" s="51"/>
    </row>
    <row r="63" spans="1:29" x14ac:dyDescent="0.25">
      <c r="A63" s="51"/>
      <c r="B63" s="51"/>
      <c r="C63" s="51"/>
      <c r="D63" s="51"/>
      <c r="E63" s="51"/>
      <c r="F63" s="51"/>
      <c r="G63" s="51"/>
      <c r="H63" s="51"/>
      <c r="I63" s="51"/>
      <c r="J63" s="51"/>
      <c r="K63" s="51"/>
      <c r="L63" s="51"/>
      <c r="M63" s="51"/>
      <c r="N63" s="51"/>
      <c r="O63" s="51"/>
      <c r="P63" s="51"/>
      <c r="Q63" s="51"/>
      <c r="R63" s="51"/>
      <c r="S63" s="51"/>
      <c r="T63" s="51"/>
      <c r="U63" s="51"/>
      <c r="V63" s="51"/>
      <c r="W63" s="51"/>
      <c r="X63" s="51"/>
      <c r="Y63" s="51"/>
      <c r="Z63" s="51"/>
      <c r="AA63" s="51"/>
      <c r="AB63" s="51"/>
      <c r="AC63" s="51"/>
    </row>
    <row r="64" spans="1:29" x14ac:dyDescent="0.25">
      <c r="A64" s="51"/>
      <c r="B64" s="51"/>
      <c r="C64" s="51"/>
      <c r="D64" s="51"/>
      <c r="E64" s="51"/>
      <c r="F64" s="51"/>
      <c r="G64" s="51"/>
      <c r="H64" s="51"/>
      <c r="I64" s="51"/>
      <c r="J64" s="51"/>
      <c r="K64" s="51"/>
      <c r="L64" s="51"/>
      <c r="M64" s="51"/>
      <c r="N64" s="51"/>
      <c r="O64" s="51"/>
      <c r="P64" s="51"/>
      <c r="Q64" s="51"/>
      <c r="R64" s="51"/>
      <c r="S64" s="51"/>
      <c r="T64" s="51"/>
      <c r="U64" s="51"/>
      <c r="V64" s="51"/>
      <c r="W64" s="51"/>
      <c r="X64" s="51"/>
      <c r="Y64" s="51"/>
      <c r="Z64" s="51"/>
      <c r="AA64" s="51"/>
      <c r="AB64" s="51"/>
      <c r="AC64" s="51"/>
    </row>
    <row r="65" spans="1:29" x14ac:dyDescent="0.25">
      <c r="A65" s="51"/>
      <c r="B65" s="51"/>
      <c r="C65" s="51"/>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row>
    <row r="66" spans="1:29" x14ac:dyDescent="0.25">
      <c r="A66" s="51"/>
      <c r="B66" s="51"/>
      <c r="C66" s="51"/>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row>
    <row r="67" spans="1:29" x14ac:dyDescent="0.25">
      <c r="A67" s="51"/>
      <c r="B67" s="51"/>
      <c r="C67" s="51"/>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row>
    <row r="68" spans="1:29" x14ac:dyDescent="0.25">
      <c r="A68" s="51"/>
      <c r="B68" s="51"/>
      <c r="C68" s="51"/>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row>
    <row r="69" spans="1:29" x14ac:dyDescent="0.25">
      <c r="A69" s="51"/>
      <c r="B69" s="51"/>
      <c r="C69" s="51"/>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row>
    <row r="70" spans="1:29" x14ac:dyDescent="0.25">
      <c r="A70" s="51"/>
      <c r="B70" s="51"/>
      <c r="C70" s="51"/>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row>
    <row r="71" spans="1:29" x14ac:dyDescent="0.25">
      <c r="A71" s="51"/>
      <c r="B71" s="51"/>
      <c r="C71" s="51"/>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row>
    <row r="72" spans="1:29" x14ac:dyDescent="0.25">
      <c r="A72" s="51"/>
      <c r="B72" s="51"/>
      <c r="C72" s="51"/>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row>
    <row r="73" spans="1:29" x14ac:dyDescent="0.25">
      <c r="A73" s="51"/>
      <c r="B73" s="51"/>
      <c r="C73" s="51"/>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row>
    <row r="74" spans="1:29" x14ac:dyDescent="0.25">
      <c r="A74" s="51"/>
      <c r="B74" s="51"/>
      <c r="C74" s="51"/>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row>
    <row r="75" spans="1:29" x14ac:dyDescent="0.25">
      <c r="A75" s="51"/>
      <c r="B75" s="51"/>
      <c r="C75" s="51"/>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row>
    <row r="76" spans="1:29" x14ac:dyDescent="0.2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row>
    <row r="77" spans="1:29" x14ac:dyDescent="0.25">
      <c r="A77" s="51"/>
      <c r="B77" s="51"/>
      <c r="C77" s="51"/>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row>
    <row r="78" spans="1:29" x14ac:dyDescent="0.25">
      <c r="A78" s="51"/>
      <c r="B78" s="51"/>
      <c r="C78" s="51"/>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row>
    <row r="79" spans="1:29" x14ac:dyDescent="0.25">
      <c r="A79" s="51"/>
      <c r="B79" s="51"/>
      <c r="C79" s="51"/>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row>
    <row r="80" spans="1:29" x14ac:dyDescent="0.25">
      <c r="A80" s="51"/>
      <c r="B80" s="51"/>
      <c r="C80" s="51"/>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row>
    <row r="81" spans="1:29" x14ac:dyDescent="0.25">
      <c r="A81" s="51"/>
      <c r="B81" s="51"/>
      <c r="C81" s="51"/>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row>
    <row r="82" spans="1:29" x14ac:dyDescent="0.25">
      <c r="A82" s="51"/>
      <c r="B82" s="51"/>
      <c r="C82" s="51"/>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row>
    <row r="83" spans="1:29" x14ac:dyDescent="0.25">
      <c r="A83" s="51"/>
      <c r="B83" s="51"/>
      <c r="C83" s="51"/>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row>
    <row r="84" spans="1:29" x14ac:dyDescent="0.25">
      <c r="A84" s="51"/>
      <c r="B84" s="51"/>
      <c r="C84" s="51"/>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row>
    <row r="85" spans="1:29" x14ac:dyDescent="0.25">
      <c r="A85" s="51"/>
      <c r="B85" s="51"/>
      <c r="C85" s="51"/>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row>
    <row r="86" spans="1:29" x14ac:dyDescent="0.25">
      <c r="A86" s="51"/>
      <c r="B86" s="51"/>
      <c r="C86" s="51"/>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row>
    <row r="87" spans="1:29" x14ac:dyDescent="0.2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row>
    <row r="88" spans="1:29" x14ac:dyDescent="0.25">
      <c r="A88" s="51"/>
      <c r="B88" s="51"/>
      <c r="C88" s="51"/>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row>
    <row r="89" spans="1:29" x14ac:dyDescent="0.25">
      <c r="A89" s="51"/>
      <c r="B89" s="51"/>
      <c r="C89" s="51"/>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row>
    <row r="90" spans="1:29" x14ac:dyDescent="0.25">
      <c r="A90" s="51"/>
      <c r="B90" s="51"/>
      <c r="C90" s="51"/>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row>
    <row r="91" spans="1:29" x14ac:dyDescent="0.25">
      <c r="A91" s="51"/>
      <c r="B91" s="51"/>
      <c r="C91" s="51"/>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row>
    <row r="92" spans="1:29" x14ac:dyDescent="0.25">
      <c r="A92" s="51"/>
      <c r="B92" s="51"/>
      <c r="C92" s="51"/>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row>
    <row r="93" spans="1:29" x14ac:dyDescent="0.25">
      <c r="A93" s="51"/>
      <c r="B93" s="51"/>
      <c r="C93" s="51"/>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row>
    <row r="94" spans="1:29" x14ac:dyDescent="0.25">
      <c r="A94" s="51"/>
      <c r="B94" s="51"/>
      <c r="C94" s="51"/>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row>
    <row r="95" spans="1:29" x14ac:dyDescent="0.25">
      <c r="A95" s="51"/>
      <c r="B95" s="51"/>
      <c r="C95" s="51"/>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row>
    <row r="96" spans="1:29" x14ac:dyDescent="0.25">
      <c r="A96" s="51"/>
      <c r="B96" s="51"/>
      <c r="C96" s="51"/>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row>
    <row r="97" spans="1:29" x14ac:dyDescent="0.25">
      <c r="A97" s="51"/>
      <c r="B97" s="51"/>
      <c r="C97" s="51"/>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row>
    <row r="98" spans="1:29" x14ac:dyDescent="0.25">
      <c r="A98" s="51"/>
      <c r="B98" s="51"/>
      <c r="C98" s="51"/>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row>
    <row r="99" spans="1:29" x14ac:dyDescent="0.25">
      <c r="A99" s="51"/>
      <c r="B99" s="51"/>
      <c r="C99" s="51"/>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row>
    <row r="100" spans="1:29" x14ac:dyDescent="0.25">
      <c r="A100" s="51"/>
      <c r="B100" s="51"/>
      <c r="C100" s="51"/>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row>
    <row r="101" spans="1:29" x14ac:dyDescent="0.2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row>
    <row r="102" spans="1:29" x14ac:dyDescent="0.2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row>
    <row r="103" spans="1:29" x14ac:dyDescent="0.2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row>
    <row r="104" spans="1:29" x14ac:dyDescent="0.2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row>
    <row r="105" spans="1:29" x14ac:dyDescent="0.2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row>
    <row r="106" spans="1:29" x14ac:dyDescent="0.2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row>
  </sheetData>
  <sheetProtection password="BCD8" sheet="1" objects="1" scenarios="1"/>
  <phoneticPr fontId="0" type="noConversion"/>
  <pageMargins left="0.48" right="0.43"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_home">
                <anchor moveWithCells="1" sizeWithCells="1">
                  <from>
                    <xdr:col>0</xdr:col>
                    <xdr:colOff>31750</xdr:colOff>
                    <xdr:row>1</xdr:row>
                    <xdr:rowOff>63500</xdr:rowOff>
                  </from>
                  <to>
                    <xdr:col>0</xdr:col>
                    <xdr:colOff>501650</xdr:colOff>
                    <xdr:row>3</xdr:row>
                    <xdr:rowOff>44450</xdr:rowOff>
                  </to>
                </anchor>
              </controlPr>
            </control>
          </mc:Choice>
        </mc:AlternateContent>
        <mc:AlternateContent xmlns:mc="http://schemas.openxmlformats.org/markup-compatibility/2006">
          <mc:Choice Requires="x14">
            <control shapeId="16386" r:id="rId5" name="globalbacktobutton">
              <controlPr defaultSize="0" print="0" autoFill="0" autoPict="0" macro="[0]!backto">
                <anchor moveWithCells="1" sizeWithCells="1">
                  <from>
                    <xdr:col>5</xdr:col>
                    <xdr:colOff>292100</xdr:colOff>
                    <xdr:row>1</xdr:row>
                    <xdr:rowOff>6350</xdr:rowOff>
                  </from>
                  <to>
                    <xdr:col>6</xdr:col>
                    <xdr:colOff>292100</xdr:colOff>
                    <xdr:row>4</xdr:row>
                    <xdr:rowOff>31750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596A6-A92F-41E9-B37B-7659906CB28D}">
  <sheetPr codeName="Sheet57"/>
  <dimension ref="A1:AB79"/>
  <sheetViews>
    <sheetView workbookViewId="0"/>
  </sheetViews>
  <sheetFormatPr defaultColWidth="9.08984375" defaultRowHeight="12.5" x14ac:dyDescent="0.25"/>
  <cols>
    <col min="1" max="1" width="7.453125" style="1721" customWidth="1"/>
    <col min="2" max="2" width="4.453125" style="1721" customWidth="1"/>
    <col min="3" max="3" width="57.453125" style="1721" customWidth="1"/>
    <col min="4" max="4" width="15" style="1721" customWidth="1"/>
    <col min="5" max="6" width="9.08984375" style="1721"/>
    <col min="7" max="7" width="29.453125" style="1721" customWidth="1"/>
    <col min="8" max="16384" width="9.08984375" style="1721"/>
  </cols>
  <sheetData>
    <row r="1" spans="1:28" ht="13" thickBot="1" x14ac:dyDescent="0.3">
      <c r="A1" s="1719" t="s">
        <v>670</v>
      </c>
      <c r="B1" s="1720"/>
      <c r="C1" s="1720"/>
      <c r="D1" s="1720"/>
      <c r="E1" s="1720"/>
      <c r="F1" s="1720"/>
      <c r="G1" s="1720"/>
      <c r="H1" s="1720"/>
      <c r="I1" s="1720"/>
      <c r="J1" s="1720"/>
      <c r="K1" s="1720"/>
      <c r="L1" s="1720"/>
      <c r="M1" s="1720"/>
      <c r="N1" s="1720"/>
      <c r="O1" s="1720"/>
      <c r="P1" s="1720"/>
      <c r="Q1" s="1720"/>
      <c r="R1" s="1720"/>
      <c r="S1" s="1720"/>
      <c r="T1" s="1720"/>
      <c r="U1" s="1720"/>
      <c r="V1" s="1720"/>
      <c r="W1" s="1720"/>
      <c r="X1" s="1720"/>
      <c r="Y1" s="1720"/>
      <c r="Z1" s="1720"/>
      <c r="AA1" s="1720"/>
      <c r="AB1" s="1720"/>
    </row>
    <row r="2" spans="1:28" x14ac:dyDescent="0.25">
      <c r="A2" s="1720"/>
      <c r="B2" s="1722"/>
      <c r="C2" s="1723"/>
      <c r="D2" s="1724"/>
      <c r="E2" s="1720"/>
      <c r="F2" s="1720"/>
      <c r="G2" s="1720"/>
      <c r="H2" s="1720"/>
      <c r="I2" s="1720"/>
      <c r="J2" s="1720"/>
      <c r="K2" s="1720"/>
      <c r="L2" s="1720"/>
      <c r="M2" s="1720"/>
      <c r="N2" s="1720"/>
      <c r="O2" s="1720"/>
      <c r="P2" s="1720"/>
      <c r="Q2" s="1720"/>
      <c r="R2" s="1720"/>
      <c r="S2" s="1720"/>
      <c r="T2" s="1720"/>
      <c r="U2" s="1720"/>
      <c r="V2" s="1720"/>
      <c r="W2" s="1720"/>
      <c r="X2" s="1720"/>
      <c r="Y2" s="1720"/>
      <c r="Z2" s="1720"/>
      <c r="AA2" s="1720"/>
      <c r="AB2" s="1720"/>
    </row>
    <row r="3" spans="1:28" ht="13" x14ac:dyDescent="0.3">
      <c r="A3" s="1720"/>
      <c r="B3" s="1725"/>
      <c r="C3" s="1726" t="s">
        <v>703</v>
      </c>
      <c r="D3" s="1727"/>
      <c r="E3" s="1728"/>
      <c r="F3" s="1728"/>
      <c r="G3" s="1728"/>
      <c r="H3" s="1720"/>
      <c r="I3" s="1720"/>
      <c r="J3" s="1720"/>
      <c r="K3" s="1720"/>
      <c r="L3" s="1720"/>
      <c r="M3" s="1720"/>
      <c r="N3" s="1720"/>
      <c r="O3" s="1720"/>
      <c r="P3" s="1720"/>
      <c r="Q3" s="1720"/>
      <c r="R3" s="1720"/>
      <c r="S3" s="1720"/>
      <c r="T3" s="1720"/>
      <c r="U3" s="1720"/>
      <c r="V3" s="1720"/>
      <c r="W3" s="1720"/>
      <c r="X3" s="1720"/>
      <c r="Y3" s="1720"/>
      <c r="Z3" s="1720"/>
      <c r="AA3" s="1720"/>
      <c r="AB3" s="1720"/>
    </row>
    <row r="4" spans="1:28" ht="8.25" customHeight="1" x14ac:dyDescent="0.25">
      <c r="A4" s="1720"/>
      <c r="B4" s="1725"/>
      <c r="C4" s="1729"/>
      <c r="D4" s="1727"/>
      <c r="E4" s="1728"/>
      <c r="F4" s="1728"/>
      <c r="G4" s="1728"/>
      <c r="H4" s="1720"/>
      <c r="I4" s="1720"/>
      <c r="J4" s="1720"/>
      <c r="K4" s="1720"/>
      <c r="L4" s="1720"/>
      <c r="M4" s="1720"/>
      <c r="N4" s="1720"/>
      <c r="O4" s="1720"/>
      <c r="P4" s="1720"/>
      <c r="Q4" s="1720"/>
      <c r="R4" s="1720"/>
      <c r="S4" s="1720"/>
      <c r="T4" s="1720"/>
      <c r="U4" s="1720"/>
      <c r="V4" s="1720"/>
      <c r="W4" s="1720"/>
      <c r="X4" s="1720"/>
      <c r="Y4" s="1720"/>
      <c r="Z4" s="1720"/>
      <c r="AA4" s="1720"/>
      <c r="AB4" s="1720"/>
    </row>
    <row r="5" spans="1:28" ht="13.5" customHeight="1" x14ac:dyDescent="0.25">
      <c r="A5" s="1720"/>
      <c r="B5" s="1725"/>
      <c r="C5" s="1729" t="s">
        <v>464</v>
      </c>
      <c r="D5" s="1727"/>
      <c r="E5" s="1728"/>
      <c r="F5" s="1728"/>
      <c r="G5" s="1728"/>
      <c r="H5" s="1720"/>
      <c r="I5" s="1720"/>
      <c r="J5" s="1720"/>
      <c r="K5" s="1720"/>
      <c r="L5" s="1720"/>
      <c r="M5" s="1720"/>
      <c r="N5" s="1720"/>
      <c r="O5" s="1720"/>
      <c r="P5" s="1720"/>
      <c r="Q5" s="1720"/>
      <c r="R5" s="1720"/>
      <c r="S5" s="1720"/>
      <c r="T5" s="1720"/>
      <c r="U5" s="1720"/>
      <c r="V5" s="1720"/>
      <c r="W5" s="1720"/>
      <c r="X5" s="1720"/>
      <c r="Y5" s="1720"/>
      <c r="Z5" s="1720"/>
      <c r="AA5" s="1720"/>
      <c r="AB5" s="1720"/>
    </row>
    <row r="6" spans="1:28" ht="13.5" customHeight="1" x14ac:dyDescent="0.25">
      <c r="A6" s="1720"/>
      <c r="B6" s="1725"/>
      <c r="C6" s="1729" t="s">
        <v>465</v>
      </c>
      <c r="D6" s="1727"/>
      <c r="E6" s="1728"/>
      <c r="F6" s="1728"/>
      <c r="G6" s="1728"/>
      <c r="H6" s="1720"/>
      <c r="I6" s="1720"/>
      <c r="J6" s="1720"/>
      <c r="K6" s="1720"/>
      <c r="L6" s="1720"/>
      <c r="M6" s="1720"/>
      <c r="N6" s="1720"/>
      <c r="O6" s="1720"/>
      <c r="P6" s="1720"/>
      <c r="Q6" s="1720"/>
      <c r="R6" s="1720"/>
      <c r="S6" s="1720"/>
      <c r="T6" s="1720"/>
      <c r="U6" s="1720"/>
      <c r="V6" s="1720"/>
      <c r="W6" s="1720"/>
      <c r="X6" s="1720"/>
      <c r="Y6" s="1720"/>
      <c r="Z6" s="1720"/>
      <c r="AA6" s="1720"/>
      <c r="AB6" s="1720"/>
    </row>
    <row r="7" spans="1:28" ht="10.5" customHeight="1" x14ac:dyDescent="0.25">
      <c r="A7" s="1720"/>
      <c r="B7" s="1725"/>
      <c r="C7" s="1729"/>
      <c r="D7" s="1727"/>
      <c r="E7" s="1728"/>
      <c r="F7" s="1728"/>
      <c r="G7" s="1728"/>
      <c r="H7" s="1720"/>
      <c r="I7" s="1720"/>
      <c r="J7" s="1720"/>
      <c r="K7" s="1720"/>
      <c r="L7" s="1720"/>
      <c r="M7" s="1720"/>
      <c r="N7" s="1720"/>
      <c r="O7" s="1720"/>
      <c r="P7" s="1720"/>
      <c r="Q7" s="1720"/>
      <c r="R7" s="1720"/>
      <c r="S7" s="1720"/>
      <c r="T7" s="1720"/>
      <c r="U7" s="1720"/>
      <c r="V7" s="1720"/>
      <c r="W7" s="1720"/>
      <c r="X7" s="1720"/>
      <c r="Y7" s="1720"/>
      <c r="Z7" s="1720"/>
      <c r="AA7" s="1720"/>
      <c r="AB7" s="1720"/>
    </row>
    <row r="8" spans="1:28" ht="12" customHeight="1" x14ac:dyDescent="0.25">
      <c r="A8" s="1720"/>
      <c r="B8" s="1725"/>
      <c r="C8" s="1729" t="s">
        <v>466</v>
      </c>
      <c r="D8" s="1727"/>
      <c r="E8" s="1720"/>
      <c r="F8" s="1720"/>
      <c r="G8" s="1720"/>
      <c r="H8" s="1720"/>
      <c r="I8" s="1720"/>
      <c r="J8" s="1720"/>
      <c r="K8" s="1720"/>
      <c r="L8" s="1720"/>
      <c r="M8" s="1720"/>
      <c r="N8" s="1720"/>
      <c r="O8" s="1720"/>
      <c r="P8" s="1720"/>
      <c r="Q8" s="1720"/>
      <c r="R8" s="1720"/>
      <c r="S8" s="1720"/>
      <c r="T8" s="1720"/>
      <c r="U8" s="1720"/>
      <c r="V8" s="1720"/>
      <c r="W8" s="1720"/>
      <c r="X8" s="1720"/>
      <c r="Y8" s="1720"/>
      <c r="Z8" s="1720"/>
      <c r="AA8" s="1720"/>
      <c r="AB8" s="1720"/>
    </row>
    <row r="9" spans="1:28" x14ac:dyDescent="0.25">
      <c r="A9" s="1720"/>
      <c r="B9" s="1725"/>
      <c r="C9" s="1729" t="s">
        <v>467</v>
      </c>
      <c r="D9" s="1727"/>
      <c r="E9" s="1720"/>
      <c r="F9" s="1720"/>
      <c r="G9" s="1720"/>
      <c r="H9" s="1720"/>
      <c r="I9" s="1720"/>
      <c r="J9" s="1720"/>
      <c r="K9" s="1720"/>
      <c r="L9" s="1720"/>
      <c r="M9" s="1720"/>
      <c r="N9" s="1720"/>
      <c r="O9" s="1720"/>
      <c r="P9" s="1720"/>
      <c r="Q9" s="1720"/>
      <c r="R9" s="1720"/>
      <c r="S9" s="1720"/>
      <c r="T9" s="1720"/>
      <c r="U9" s="1720"/>
      <c r="V9" s="1720"/>
      <c r="W9" s="1720"/>
      <c r="X9" s="1720"/>
      <c r="Y9" s="1720"/>
      <c r="Z9" s="1720"/>
      <c r="AA9" s="1720"/>
      <c r="AB9" s="1720"/>
    </row>
    <row r="10" spans="1:28" ht="21" customHeight="1" x14ac:dyDescent="0.25">
      <c r="A10" s="1720"/>
      <c r="B10" s="1725"/>
      <c r="C10" s="1729" t="s">
        <v>468</v>
      </c>
      <c r="D10" s="1727"/>
      <c r="E10" s="1720"/>
      <c r="F10" s="1720"/>
      <c r="G10" s="1720"/>
      <c r="H10" s="1720"/>
      <c r="I10" s="1720"/>
      <c r="J10" s="1720"/>
      <c r="K10" s="1720"/>
      <c r="L10" s="1720"/>
      <c r="M10" s="1720"/>
      <c r="N10" s="1720"/>
      <c r="O10" s="1720"/>
      <c r="P10" s="1720"/>
      <c r="Q10" s="1720"/>
      <c r="R10" s="1720"/>
      <c r="S10" s="1720"/>
      <c r="T10" s="1720"/>
      <c r="U10" s="1720"/>
      <c r="V10" s="1720"/>
      <c r="W10" s="1720"/>
      <c r="X10" s="1720"/>
      <c r="Y10" s="1720"/>
      <c r="Z10" s="1720"/>
      <c r="AA10" s="1720"/>
      <c r="AB10" s="1720"/>
    </row>
    <row r="11" spans="1:28" x14ac:dyDescent="0.25">
      <c r="A11" s="1720"/>
      <c r="B11" s="1725"/>
      <c r="C11" s="1729" t="s">
        <v>469</v>
      </c>
      <c r="D11" s="1727"/>
      <c r="E11" s="1720"/>
      <c r="F11" s="1720"/>
      <c r="G11" s="1720"/>
      <c r="H11" s="1720"/>
      <c r="I11" s="1720"/>
      <c r="J11" s="1720"/>
      <c r="K11" s="1720"/>
      <c r="L11" s="1720"/>
      <c r="M11" s="1720"/>
      <c r="N11" s="1720"/>
      <c r="O11" s="1720"/>
      <c r="P11" s="1720"/>
      <c r="Q11" s="1720"/>
      <c r="R11" s="1720"/>
      <c r="S11" s="1720"/>
      <c r="T11" s="1720"/>
      <c r="U11" s="1720"/>
      <c r="V11" s="1720"/>
      <c r="W11" s="1720"/>
      <c r="X11" s="1720"/>
      <c r="Y11" s="1720"/>
      <c r="Z11" s="1720"/>
      <c r="AA11" s="1720"/>
      <c r="AB11" s="1720"/>
    </row>
    <row r="12" spans="1:28" ht="17.25" customHeight="1" x14ac:dyDescent="0.25">
      <c r="A12" s="1720"/>
      <c r="B12" s="1725"/>
      <c r="C12" s="1729" t="s">
        <v>470</v>
      </c>
      <c r="D12" s="1727"/>
      <c r="E12" s="1720"/>
      <c r="F12" s="1720"/>
      <c r="G12" s="1720"/>
      <c r="H12" s="1720"/>
      <c r="I12" s="1720"/>
      <c r="J12" s="1720"/>
      <c r="K12" s="1720"/>
      <c r="L12" s="1720"/>
      <c r="M12" s="1720"/>
      <c r="N12" s="1720"/>
      <c r="O12" s="1720"/>
      <c r="P12" s="1720"/>
      <c r="Q12" s="1720"/>
      <c r="R12" s="1720"/>
      <c r="S12" s="1720"/>
      <c r="T12" s="1720"/>
      <c r="U12" s="1720"/>
      <c r="V12" s="1720"/>
      <c r="W12" s="1720"/>
      <c r="X12" s="1720"/>
      <c r="Y12" s="1720"/>
      <c r="Z12" s="1720"/>
      <c r="AA12" s="1720"/>
      <c r="AB12" s="1720"/>
    </row>
    <row r="13" spans="1:28" ht="12.75" customHeight="1" x14ac:dyDescent="0.25">
      <c r="A13" s="1720"/>
      <c r="B13" s="1725"/>
      <c r="C13" s="1729" t="s">
        <v>2796</v>
      </c>
      <c r="D13" s="1727"/>
      <c r="E13" s="1720"/>
      <c r="F13" s="1720"/>
      <c r="G13" s="1720"/>
      <c r="H13" s="1720"/>
      <c r="I13" s="1720"/>
      <c r="J13" s="1720"/>
      <c r="K13" s="1720"/>
      <c r="L13" s="1720"/>
      <c r="M13" s="1720"/>
      <c r="N13" s="1720"/>
      <c r="O13" s="1720"/>
      <c r="P13" s="1720"/>
      <c r="Q13" s="1720"/>
      <c r="R13" s="1720"/>
      <c r="S13" s="1720"/>
      <c r="T13" s="1720"/>
      <c r="U13" s="1720"/>
      <c r="V13" s="1720"/>
      <c r="W13" s="1720"/>
      <c r="X13" s="1720"/>
      <c r="Y13" s="1720"/>
      <c r="Z13" s="1720"/>
      <c r="AA13" s="1720"/>
      <c r="AB13" s="1720"/>
    </row>
    <row r="14" spans="1:28" ht="7.5" customHeight="1" x14ac:dyDescent="0.25">
      <c r="A14" s="1720"/>
      <c r="B14" s="1725"/>
      <c r="C14" s="1730"/>
      <c r="D14" s="1731"/>
      <c r="E14" s="1720"/>
      <c r="F14" s="1720"/>
      <c r="G14" s="1720"/>
      <c r="H14" s="1720"/>
      <c r="I14" s="1720"/>
      <c r="J14" s="1720"/>
      <c r="K14" s="1720"/>
      <c r="L14" s="1720"/>
      <c r="M14" s="1720"/>
      <c r="N14" s="1720"/>
      <c r="O14" s="1720"/>
      <c r="P14" s="1720"/>
      <c r="Q14" s="1720"/>
      <c r="R14" s="1720"/>
      <c r="S14" s="1720"/>
      <c r="T14" s="1720"/>
      <c r="U14" s="1720"/>
      <c r="V14" s="1720"/>
      <c r="W14" s="1720"/>
      <c r="X14" s="1720"/>
      <c r="Y14" s="1720"/>
      <c r="Z14" s="1720"/>
      <c r="AA14" s="1720"/>
      <c r="AB14" s="1720"/>
    </row>
    <row r="15" spans="1:28" ht="13" x14ac:dyDescent="0.3">
      <c r="A15" s="1720"/>
      <c r="B15" s="1725"/>
      <c r="C15" s="1726" t="s">
        <v>473</v>
      </c>
      <c r="D15" s="1732"/>
      <c r="E15" s="1720"/>
      <c r="F15" s="1720"/>
      <c r="G15" s="1720"/>
      <c r="H15" s="1720"/>
      <c r="I15" s="1720"/>
      <c r="J15" s="1720"/>
      <c r="K15" s="1720"/>
      <c r="L15" s="1720"/>
      <c r="M15" s="1720"/>
      <c r="N15" s="1720"/>
      <c r="O15" s="1720"/>
      <c r="P15" s="1720"/>
      <c r="Q15" s="1720"/>
      <c r="R15" s="1720"/>
      <c r="S15" s="1720"/>
      <c r="T15" s="1720"/>
      <c r="U15" s="1720"/>
      <c r="V15" s="1720"/>
      <c r="W15" s="1720"/>
      <c r="X15" s="1720"/>
      <c r="Y15" s="1720"/>
      <c r="Z15" s="1720"/>
      <c r="AA15" s="1720"/>
      <c r="AB15" s="1720"/>
    </row>
    <row r="16" spans="1:28" ht="13" x14ac:dyDescent="0.3">
      <c r="A16" s="1720"/>
      <c r="B16" s="1725"/>
      <c r="C16" s="1726" t="s">
        <v>786</v>
      </c>
      <c r="D16" s="1732"/>
      <c r="E16" s="1720"/>
      <c r="F16" s="1720"/>
      <c r="G16" s="1720"/>
      <c r="H16" s="1720"/>
      <c r="I16" s="1720"/>
      <c r="J16" s="1720"/>
      <c r="K16" s="1720"/>
      <c r="L16" s="1720"/>
      <c r="M16" s="1720"/>
      <c r="N16" s="1720"/>
      <c r="O16" s="1720"/>
      <c r="P16" s="1720"/>
      <c r="Q16" s="1720"/>
      <c r="R16" s="1720"/>
      <c r="S16" s="1720"/>
      <c r="T16" s="1720"/>
      <c r="U16" s="1720"/>
      <c r="V16" s="1720"/>
      <c r="W16" s="1720"/>
      <c r="X16" s="1720"/>
      <c r="Y16" s="1720"/>
      <c r="Z16" s="1720"/>
      <c r="AA16" s="1720"/>
      <c r="AB16" s="1720"/>
    </row>
    <row r="17" spans="1:28" ht="13" thickBot="1" x14ac:dyDescent="0.3">
      <c r="A17" s="1720"/>
      <c r="B17" s="1733"/>
      <c r="C17" s="1734"/>
      <c r="D17" s="1735"/>
      <c r="E17" s="1720"/>
      <c r="F17" s="1720"/>
      <c r="G17" s="1720"/>
      <c r="H17" s="1720"/>
      <c r="I17" s="1720"/>
      <c r="J17" s="1720"/>
      <c r="K17" s="1720"/>
      <c r="L17" s="1720"/>
      <c r="M17" s="1720"/>
      <c r="N17" s="1720"/>
      <c r="O17" s="1720"/>
      <c r="P17" s="1720"/>
      <c r="Q17" s="1720"/>
      <c r="R17" s="1720"/>
      <c r="S17" s="1720"/>
      <c r="T17" s="1720"/>
      <c r="U17" s="1720"/>
      <c r="V17" s="1720"/>
      <c r="W17" s="1720"/>
      <c r="X17" s="1720"/>
      <c r="Y17" s="1720"/>
      <c r="Z17" s="1720"/>
      <c r="AA17" s="1720"/>
      <c r="AB17" s="1720"/>
    </row>
    <row r="18" spans="1:28" x14ac:dyDescent="0.25">
      <c r="A18" s="1720"/>
      <c r="B18" s="1736" t="s">
        <v>474</v>
      </c>
      <c r="C18" s="1737"/>
      <c r="D18" s="1720"/>
      <c r="E18" s="1720"/>
      <c r="F18" s="1720"/>
      <c r="G18" s="1720"/>
      <c r="H18" s="1720"/>
      <c r="I18" s="1720"/>
      <c r="J18" s="1720"/>
      <c r="K18" s="1720"/>
      <c r="L18" s="1720"/>
      <c r="M18" s="1720"/>
      <c r="N18" s="1720"/>
      <c r="O18" s="1720"/>
      <c r="P18" s="1720"/>
      <c r="Q18" s="1720"/>
      <c r="R18" s="1720"/>
      <c r="S18" s="1720"/>
      <c r="T18" s="1720"/>
      <c r="U18" s="1720"/>
      <c r="V18" s="1720"/>
      <c r="W18" s="1720"/>
      <c r="X18" s="1720"/>
      <c r="Y18" s="1720"/>
      <c r="Z18" s="1720"/>
      <c r="AA18" s="1720"/>
      <c r="AB18" s="1720"/>
    </row>
    <row r="19" spans="1:28" x14ac:dyDescent="0.25">
      <c r="A19" s="1720"/>
      <c r="B19" s="1736" t="s">
        <v>475</v>
      </c>
      <c r="C19" s="1737"/>
      <c r="D19" s="1720"/>
      <c r="E19" s="1720"/>
      <c r="F19" s="1720"/>
      <c r="G19" s="1720"/>
      <c r="H19" s="1720"/>
      <c r="I19" s="1720"/>
      <c r="J19" s="1720"/>
      <c r="K19" s="1720"/>
      <c r="L19" s="1720"/>
      <c r="M19" s="1720"/>
      <c r="N19" s="1720"/>
      <c r="O19" s="1720"/>
      <c r="P19" s="1720"/>
      <c r="Q19" s="1720"/>
      <c r="R19" s="1720"/>
      <c r="S19" s="1720"/>
      <c r="T19" s="1720"/>
      <c r="U19" s="1720"/>
      <c r="V19" s="1720"/>
      <c r="W19" s="1720"/>
      <c r="X19" s="1720"/>
      <c r="Y19" s="1720"/>
      <c r="Z19" s="1720"/>
      <c r="AA19" s="1720"/>
      <c r="AB19" s="1720"/>
    </row>
    <row r="20" spans="1:28" x14ac:dyDescent="0.25">
      <c r="A20" s="1720"/>
      <c r="B20" s="1720"/>
      <c r="C20" s="1720"/>
      <c r="D20" s="1720"/>
      <c r="E20" s="1720"/>
      <c r="F20" s="1720"/>
      <c r="G20" s="1720"/>
      <c r="H20" s="1720"/>
      <c r="I20" s="1720"/>
      <c r="J20" s="1720"/>
      <c r="K20" s="1720"/>
      <c r="L20" s="1720"/>
      <c r="M20" s="1720"/>
      <c r="N20" s="1720"/>
      <c r="O20" s="1720"/>
      <c r="P20" s="1720"/>
      <c r="Q20" s="1720"/>
      <c r="R20" s="1720"/>
      <c r="S20" s="1720"/>
      <c r="T20" s="1720"/>
      <c r="U20" s="1720"/>
      <c r="V20" s="1720"/>
      <c r="W20" s="1720"/>
      <c r="X20" s="1720"/>
      <c r="Y20" s="1720"/>
      <c r="Z20" s="1720"/>
      <c r="AA20" s="1720"/>
      <c r="AB20" s="1720"/>
    </row>
    <row r="21" spans="1:28" x14ac:dyDescent="0.25">
      <c r="A21" s="1720"/>
      <c r="B21" s="1720"/>
      <c r="C21" s="1720"/>
      <c r="D21" s="1720"/>
      <c r="E21" s="1720"/>
      <c r="F21" s="1720"/>
      <c r="G21" s="1720"/>
      <c r="H21" s="1720"/>
      <c r="I21" s="1720"/>
      <c r="J21" s="1720"/>
      <c r="K21" s="1720"/>
      <c r="L21" s="1720"/>
      <c r="M21" s="1720"/>
      <c r="N21" s="1720"/>
      <c r="O21" s="1720"/>
      <c r="P21" s="1720"/>
      <c r="Q21" s="1720"/>
      <c r="R21" s="1720"/>
      <c r="S21" s="1720"/>
      <c r="T21" s="1720"/>
      <c r="U21" s="1720"/>
      <c r="V21" s="1720"/>
      <c r="W21" s="1720"/>
      <c r="X21" s="1720"/>
      <c r="Y21" s="1720"/>
      <c r="Z21" s="1720"/>
      <c r="AA21" s="1720"/>
      <c r="AB21" s="1720"/>
    </row>
    <row r="22" spans="1:28" x14ac:dyDescent="0.25">
      <c r="A22" s="1720"/>
      <c r="B22" s="1720"/>
      <c r="C22" s="1720"/>
      <c r="D22" s="1720"/>
      <c r="E22" s="1720"/>
      <c r="F22" s="1720"/>
      <c r="G22" s="1720"/>
      <c r="H22" s="1720"/>
      <c r="I22" s="1720"/>
      <c r="J22" s="1720"/>
      <c r="K22" s="1720"/>
      <c r="L22" s="1720"/>
      <c r="M22" s="1720"/>
      <c r="N22" s="1720"/>
      <c r="O22" s="1720"/>
      <c r="P22" s="1720"/>
      <c r="Q22" s="1720"/>
      <c r="R22" s="1720"/>
      <c r="S22" s="1720"/>
      <c r="T22" s="1720"/>
      <c r="U22" s="1720"/>
      <c r="V22" s="1720"/>
      <c r="W22" s="1720"/>
      <c r="X22" s="1720"/>
      <c r="Y22" s="1720"/>
      <c r="Z22" s="1720"/>
      <c r="AA22" s="1720"/>
      <c r="AB22" s="1720"/>
    </row>
    <row r="23" spans="1:28" x14ac:dyDescent="0.25">
      <c r="A23" s="1720"/>
      <c r="B23" s="1720"/>
      <c r="C23" s="1720"/>
      <c r="D23" s="1720"/>
      <c r="E23" s="1720"/>
      <c r="F23" s="1720"/>
      <c r="G23" s="1720"/>
      <c r="H23" s="1720"/>
      <c r="I23" s="1720"/>
      <c r="J23" s="1720"/>
      <c r="K23" s="1720"/>
      <c r="L23" s="1720"/>
      <c r="M23" s="1720"/>
      <c r="N23" s="1720"/>
      <c r="O23" s="1720"/>
      <c r="P23" s="1720"/>
      <c r="Q23" s="1720"/>
      <c r="R23" s="1720"/>
      <c r="S23" s="1720"/>
      <c r="T23" s="1720"/>
      <c r="U23" s="1720"/>
      <c r="V23" s="1720"/>
      <c r="W23" s="1720"/>
      <c r="X23" s="1720"/>
      <c r="Y23" s="1720"/>
      <c r="Z23" s="1720"/>
      <c r="AA23" s="1720"/>
      <c r="AB23" s="1720"/>
    </row>
    <row r="24" spans="1:28" x14ac:dyDescent="0.25">
      <c r="A24" s="1720"/>
      <c r="B24" s="1720"/>
      <c r="C24" s="1720"/>
      <c r="D24" s="1720"/>
      <c r="E24" s="1720"/>
      <c r="F24" s="1720"/>
      <c r="G24" s="1720"/>
      <c r="H24" s="1720"/>
      <c r="I24" s="1720"/>
      <c r="J24" s="1720"/>
      <c r="K24" s="1720"/>
      <c r="L24" s="1720"/>
      <c r="M24" s="1720"/>
      <c r="N24" s="1720"/>
      <c r="O24" s="1720"/>
      <c r="P24" s="1720"/>
      <c r="Q24" s="1720"/>
      <c r="R24" s="1720"/>
      <c r="S24" s="1720"/>
      <c r="T24" s="1720"/>
      <c r="U24" s="1720"/>
      <c r="V24" s="1720"/>
      <c r="W24" s="1720"/>
      <c r="X24" s="1720"/>
      <c r="Y24" s="1720"/>
      <c r="Z24" s="1720"/>
      <c r="AA24" s="1720"/>
      <c r="AB24" s="1720"/>
    </row>
    <row r="25" spans="1:28" x14ac:dyDescent="0.25">
      <c r="A25" s="1720"/>
      <c r="B25" s="1720"/>
      <c r="C25" s="1720"/>
      <c r="D25" s="1720"/>
      <c r="E25" s="1720"/>
      <c r="F25" s="1720"/>
      <c r="G25" s="1720"/>
      <c r="H25" s="1720"/>
      <c r="I25" s="1720"/>
      <c r="J25" s="1720"/>
      <c r="K25" s="1720"/>
      <c r="L25" s="1720"/>
      <c r="M25" s="1720"/>
      <c r="N25" s="1720"/>
      <c r="O25" s="1720"/>
      <c r="P25" s="1720"/>
      <c r="Q25" s="1720"/>
      <c r="R25" s="1720"/>
      <c r="S25" s="1720"/>
      <c r="T25" s="1720"/>
      <c r="U25" s="1720"/>
      <c r="V25" s="1720"/>
      <c r="W25" s="1720"/>
      <c r="X25" s="1720"/>
      <c r="Y25" s="1720"/>
      <c r="Z25" s="1720"/>
      <c r="AA25" s="1720"/>
      <c r="AB25" s="1720"/>
    </row>
    <row r="26" spans="1:28" x14ac:dyDescent="0.25">
      <c r="A26" s="1720"/>
      <c r="B26" s="1720"/>
      <c r="C26" s="1720"/>
      <c r="D26" s="1720"/>
      <c r="E26" s="1720"/>
      <c r="F26" s="1720"/>
      <c r="G26" s="1720"/>
      <c r="H26" s="1720"/>
      <c r="I26" s="1720"/>
      <c r="J26" s="1720"/>
      <c r="K26" s="1720"/>
      <c r="L26" s="1720"/>
      <c r="M26" s="1720"/>
      <c r="N26" s="1720"/>
      <c r="O26" s="1720"/>
      <c r="P26" s="1720"/>
      <c r="Q26" s="1720"/>
      <c r="R26" s="1720"/>
      <c r="S26" s="1720"/>
      <c r="T26" s="1720"/>
      <c r="U26" s="1720"/>
      <c r="V26" s="1720"/>
      <c r="W26" s="1720"/>
      <c r="X26" s="1720"/>
      <c r="Y26" s="1720"/>
      <c r="Z26" s="1720"/>
      <c r="AA26" s="1720"/>
      <c r="AB26" s="1720"/>
    </row>
    <row r="27" spans="1:28" x14ac:dyDescent="0.25">
      <c r="A27" s="1720"/>
      <c r="B27" s="1720"/>
      <c r="C27" s="1720"/>
      <c r="D27" s="1720"/>
      <c r="E27" s="1720"/>
      <c r="F27" s="1720"/>
      <c r="G27" s="1720"/>
      <c r="H27" s="1720"/>
      <c r="I27" s="1720"/>
      <c r="J27" s="1720"/>
      <c r="K27" s="1720"/>
      <c r="L27" s="1720"/>
      <c r="M27" s="1720"/>
      <c r="N27" s="1720"/>
      <c r="O27" s="1720"/>
      <c r="P27" s="1720"/>
      <c r="Q27" s="1720"/>
      <c r="R27" s="1720"/>
      <c r="S27" s="1720"/>
      <c r="T27" s="1720"/>
      <c r="U27" s="1720"/>
      <c r="V27" s="1720"/>
      <c r="W27" s="1720"/>
      <c r="X27" s="1720"/>
      <c r="Y27" s="1720"/>
      <c r="Z27" s="1720"/>
      <c r="AA27" s="1720"/>
      <c r="AB27" s="1720"/>
    </row>
    <row r="28" spans="1:28" x14ac:dyDescent="0.25">
      <c r="A28" s="1720"/>
      <c r="B28" s="1720"/>
      <c r="C28" s="1720"/>
      <c r="D28" s="1720"/>
      <c r="E28" s="1720"/>
      <c r="F28" s="1720"/>
      <c r="G28" s="1720"/>
      <c r="H28" s="1720"/>
      <c r="I28" s="1720"/>
      <c r="J28" s="1720"/>
      <c r="K28" s="1720"/>
      <c r="L28" s="1720"/>
      <c r="M28" s="1720"/>
      <c r="N28" s="1720"/>
      <c r="O28" s="1720"/>
      <c r="P28" s="1720"/>
      <c r="Q28" s="1720"/>
      <c r="R28" s="1720"/>
      <c r="S28" s="1720"/>
      <c r="T28" s="1720"/>
      <c r="U28" s="1720"/>
      <c r="V28" s="1720"/>
      <c r="W28" s="1720"/>
      <c r="X28" s="1720"/>
      <c r="Y28" s="1720"/>
      <c r="Z28" s="1720"/>
      <c r="AA28" s="1720"/>
      <c r="AB28" s="1720"/>
    </row>
    <row r="29" spans="1:28" x14ac:dyDescent="0.25">
      <c r="A29" s="1720"/>
      <c r="B29" s="1720"/>
      <c r="C29" s="1720"/>
      <c r="D29" s="1720"/>
      <c r="E29" s="1720"/>
      <c r="F29" s="1720"/>
      <c r="G29" s="1720"/>
      <c r="H29" s="1720"/>
      <c r="I29" s="1720"/>
      <c r="J29" s="1720"/>
      <c r="K29" s="1720"/>
      <c r="L29" s="1720"/>
      <c r="M29" s="1720"/>
      <c r="N29" s="1720"/>
      <c r="O29" s="1720"/>
      <c r="P29" s="1720"/>
      <c r="Q29" s="1720"/>
      <c r="R29" s="1720"/>
      <c r="S29" s="1720"/>
      <c r="T29" s="1720"/>
      <c r="U29" s="1720"/>
      <c r="V29" s="1720"/>
      <c r="W29" s="1720"/>
      <c r="X29" s="1720"/>
      <c r="Y29" s="1720"/>
      <c r="Z29" s="1720"/>
      <c r="AA29" s="1720"/>
      <c r="AB29" s="1720"/>
    </row>
    <row r="30" spans="1:28" x14ac:dyDescent="0.25">
      <c r="A30" s="1720"/>
      <c r="B30" s="1720"/>
      <c r="C30" s="1720"/>
      <c r="D30" s="1720"/>
      <c r="E30" s="1720"/>
      <c r="F30" s="1720"/>
      <c r="G30" s="1720"/>
      <c r="H30" s="1720"/>
      <c r="I30" s="1720"/>
      <c r="J30" s="1720"/>
      <c r="K30" s="1720"/>
      <c r="L30" s="1720"/>
      <c r="M30" s="1720"/>
      <c r="N30" s="1720"/>
      <c r="O30" s="1720"/>
      <c r="P30" s="1720"/>
      <c r="Q30" s="1720"/>
      <c r="R30" s="1720"/>
      <c r="S30" s="1720"/>
      <c r="T30" s="1720"/>
      <c r="U30" s="1720"/>
      <c r="V30" s="1720"/>
      <c r="W30" s="1720"/>
      <c r="X30" s="1720"/>
      <c r="Y30" s="1720"/>
      <c r="Z30" s="1720"/>
      <c r="AA30" s="1720"/>
      <c r="AB30" s="1720"/>
    </row>
    <row r="31" spans="1:28" x14ac:dyDescent="0.25">
      <c r="A31" s="1720"/>
      <c r="B31" s="1720"/>
      <c r="C31" s="1720"/>
      <c r="D31" s="1720"/>
      <c r="E31" s="1720"/>
      <c r="F31" s="1720"/>
      <c r="G31" s="1720"/>
      <c r="H31" s="1720"/>
      <c r="I31" s="1720"/>
      <c r="J31" s="1720"/>
      <c r="K31" s="1720"/>
      <c r="L31" s="1720"/>
      <c r="M31" s="1720"/>
      <c r="N31" s="1720"/>
      <c r="O31" s="1720"/>
      <c r="P31" s="1720"/>
      <c r="Q31" s="1720"/>
      <c r="R31" s="1720"/>
      <c r="S31" s="1720"/>
      <c r="T31" s="1720"/>
      <c r="U31" s="1720"/>
      <c r="V31" s="1720"/>
      <c r="W31" s="1720"/>
      <c r="X31" s="1720"/>
      <c r="Y31" s="1720"/>
      <c r="Z31" s="1720"/>
      <c r="AA31" s="1720"/>
      <c r="AB31" s="1720"/>
    </row>
    <row r="32" spans="1:28" x14ac:dyDescent="0.25">
      <c r="A32" s="1720"/>
      <c r="B32" s="1720"/>
      <c r="C32" s="1720"/>
      <c r="D32" s="1720"/>
      <c r="E32" s="1720"/>
      <c r="F32" s="1720"/>
      <c r="G32" s="1720"/>
      <c r="H32" s="1720"/>
      <c r="I32" s="1720"/>
      <c r="J32" s="1720"/>
      <c r="K32" s="1720"/>
      <c r="L32" s="1720"/>
      <c r="M32" s="1720"/>
      <c r="N32" s="1720"/>
      <c r="O32" s="1720"/>
      <c r="P32" s="1720"/>
      <c r="Q32" s="1720"/>
      <c r="R32" s="1720"/>
      <c r="S32" s="1720"/>
      <c r="T32" s="1720"/>
      <c r="U32" s="1720"/>
      <c r="V32" s="1720"/>
      <c r="W32" s="1720"/>
      <c r="X32" s="1720"/>
      <c r="Y32" s="1720"/>
      <c r="Z32" s="1720"/>
      <c r="AA32" s="1720"/>
      <c r="AB32" s="1720"/>
    </row>
    <row r="33" spans="1:28" x14ac:dyDescent="0.25">
      <c r="A33" s="1720"/>
      <c r="B33" s="1720"/>
      <c r="C33" s="1720"/>
      <c r="D33" s="1720"/>
      <c r="E33" s="1720"/>
      <c r="F33" s="1720"/>
      <c r="G33" s="1720"/>
      <c r="H33" s="1720"/>
      <c r="I33" s="1720"/>
      <c r="J33" s="1720"/>
      <c r="K33" s="1720"/>
      <c r="L33" s="1720"/>
      <c r="M33" s="1720"/>
      <c r="N33" s="1720"/>
      <c r="O33" s="1720"/>
      <c r="P33" s="1720"/>
      <c r="Q33" s="1720"/>
      <c r="R33" s="1720"/>
      <c r="S33" s="1720"/>
      <c r="T33" s="1720"/>
      <c r="U33" s="1720"/>
      <c r="V33" s="1720"/>
      <c r="W33" s="1720"/>
      <c r="X33" s="1720"/>
      <c r="Y33" s="1720"/>
      <c r="Z33" s="1720"/>
      <c r="AA33" s="1720"/>
      <c r="AB33" s="1720"/>
    </row>
    <row r="34" spans="1:28" x14ac:dyDescent="0.25">
      <c r="A34" s="1720"/>
      <c r="B34" s="1720"/>
      <c r="C34" s="1720"/>
      <c r="D34" s="1720"/>
      <c r="E34" s="1720"/>
      <c r="F34" s="1720"/>
      <c r="G34" s="1720"/>
      <c r="H34" s="1720"/>
      <c r="I34" s="1720"/>
      <c r="J34" s="1720"/>
      <c r="K34" s="1720"/>
      <c r="L34" s="1720"/>
      <c r="M34" s="1720"/>
      <c r="N34" s="1720"/>
      <c r="O34" s="1720"/>
      <c r="P34" s="1720"/>
      <c r="Q34" s="1720"/>
      <c r="R34" s="1720"/>
      <c r="S34" s="1720"/>
      <c r="T34" s="1720"/>
      <c r="U34" s="1720"/>
      <c r="V34" s="1720"/>
      <c r="W34" s="1720"/>
      <c r="X34" s="1720"/>
      <c r="Y34" s="1720"/>
      <c r="Z34" s="1720"/>
      <c r="AA34" s="1720"/>
      <c r="AB34" s="1720"/>
    </row>
    <row r="35" spans="1:28" x14ac:dyDescent="0.25">
      <c r="A35" s="1720"/>
      <c r="B35" s="1720"/>
      <c r="C35" s="1720"/>
      <c r="D35" s="1720"/>
      <c r="E35" s="1720"/>
      <c r="F35" s="1720"/>
      <c r="G35" s="1720"/>
      <c r="H35" s="1720"/>
      <c r="I35" s="1720"/>
      <c r="J35" s="1720"/>
      <c r="K35" s="1720"/>
      <c r="L35" s="1720"/>
      <c r="M35" s="1720"/>
      <c r="N35" s="1720"/>
      <c r="O35" s="1720"/>
      <c r="P35" s="1720"/>
      <c r="Q35" s="1720"/>
      <c r="R35" s="1720"/>
      <c r="S35" s="1720"/>
      <c r="T35" s="1720"/>
      <c r="U35" s="1720"/>
      <c r="V35" s="1720"/>
      <c r="W35" s="1720"/>
      <c r="X35" s="1720"/>
      <c r="Y35" s="1720"/>
      <c r="Z35" s="1720"/>
      <c r="AA35" s="1720"/>
      <c r="AB35" s="1720"/>
    </row>
    <row r="36" spans="1:28" x14ac:dyDescent="0.25">
      <c r="A36" s="1720"/>
      <c r="B36" s="1720"/>
      <c r="C36" s="1720"/>
      <c r="D36" s="1720"/>
      <c r="E36" s="1720"/>
      <c r="F36" s="1720"/>
      <c r="G36" s="1720"/>
      <c r="H36" s="1720"/>
      <c r="I36" s="1720"/>
      <c r="J36" s="1720"/>
      <c r="K36" s="1720"/>
      <c r="L36" s="1720"/>
      <c r="M36" s="1720"/>
      <c r="N36" s="1720"/>
      <c r="O36" s="1720"/>
      <c r="P36" s="1720"/>
      <c r="Q36" s="1720"/>
      <c r="R36" s="1720"/>
      <c r="S36" s="1720"/>
      <c r="T36" s="1720"/>
      <c r="U36" s="1720"/>
      <c r="V36" s="1720"/>
      <c r="W36" s="1720"/>
      <c r="X36" s="1720"/>
      <c r="Y36" s="1720"/>
      <c r="Z36" s="1720"/>
      <c r="AA36" s="1720"/>
      <c r="AB36" s="1720"/>
    </row>
    <row r="37" spans="1:28" x14ac:dyDescent="0.25">
      <c r="A37" s="1720"/>
      <c r="B37" s="1720"/>
      <c r="C37" s="1720"/>
      <c r="D37" s="1720"/>
      <c r="E37" s="1720"/>
      <c r="F37" s="1720"/>
      <c r="G37" s="1720"/>
      <c r="H37" s="1720"/>
      <c r="I37" s="1720"/>
      <c r="J37" s="1720"/>
      <c r="K37" s="1720"/>
      <c r="L37" s="1720"/>
      <c r="M37" s="1720"/>
      <c r="N37" s="1720"/>
      <c r="O37" s="1720"/>
      <c r="P37" s="1720"/>
      <c r="Q37" s="1720"/>
      <c r="R37" s="1720"/>
      <c r="S37" s="1720"/>
      <c r="T37" s="1720"/>
      <c r="U37" s="1720"/>
      <c r="V37" s="1720"/>
      <c r="W37" s="1720"/>
      <c r="X37" s="1720"/>
      <c r="Y37" s="1720"/>
      <c r="Z37" s="1720"/>
      <c r="AA37" s="1720"/>
      <c r="AB37" s="1720"/>
    </row>
    <row r="38" spans="1:28" x14ac:dyDescent="0.25">
      <c r="A38" s="1720"/>
      <c r="B38" s="1720"/>
      <c r="C38" s="1720"/>
      <c r="D38" s="1720"/>
      <c r="E38" s="1720"/>
      <c r="F38" s="1720"/>
      <c r="G38" s="1720"/>
      <c r="H38" s="1720"/>
      <c r="I38" s="1720"/>
      <c r="J38" s="1720"/>
      <c r="K38" s="1720"/>
      <c r="L38" s="1720"/>
      <c r="M38" s="1720"/>
      <c r="N38" s="1720"/>
      <c r="O38" s="1720"/>
      <c r="P38" s="1720"/>
      <c r="Q38" s="1720"/>
      <c r="R38" s="1720"/>
      <c r="S38" s="1720"/>
      <c r="T38" s="1720"/>
      <c r="U38" s="1720"/>
      <c r="V38" s="1720"/>
      <c r="W38" s="1720"/>
      <c r="X38" s="1720"/>
      <c r="Y38" s="1720"/>
      <c r="Z38" s="1720"/>
      <c r="AA38" s="1720"/>
      <c r="AB38" s="1720"/>
    </row>
    <row r="39" spans="1:28" x14ac:dyDescent="0.25">
      <c r="A39" s="1720"/>
      <c r="B39" s="1720"/>
      <c r="C39" s="1720"/>
      <c r="D39" s="1720"/>
      <c r="E39" s="1720"/>
      <c r="F39" s="1720"/>
      <c r="G39" s="1720"/>
      <c r="H39" s="1720"/>
      <c r="I39" s="1720"/>
      <c r="J39" s="1720"/>
      <c r="K39" s="1720"/>
      <c r="L39" s="1720"/>
      <c r="M39" s="1720"/>
      <c r="N39" s="1720"/>
      <c r="O39" s="1720"/>
      <c r="P39" s="1720"/>
      <c r="Q39" s="1720"/>
      <c r="R39" s="1720"/>
      <c r="S39" s="1720"/>
      <c r="T39" s="1720"/>
      <c r="U39" s="1720"/>
      <c r="V39" s="1720"/>
      <c r="W39" s="1720"/>
      <c r="X39" s="1720"/>
      <c r="Y39" s="1720"/>
      <c r="Z39" s="1720"/>
      <c r="AA39" s="1720"/>
      <c r="AB39" s="1720"/>
    </row>
    <row r="40" spans="1:28" x14ac:dyDescent="0.25">
      <c r="A40" s="1720"/>
      <c r="B40" s="1720"/>
      <c r="C40" s="1720"/>
      <c r="D40" s="1720"/>
      <c r="E40" s="1720"/>
      <c r="F40" s="1720"/>
      <c r="G40" s="1720"/>
      <c r="H40" s="1720"/>
      <c r="I40" s="1720"/>
      <c r="J40" s="1720"/>
      <c r="K40" s="1720"/>
      <c r="L40" s="1720"/>
      <c r="M40" s="1720"/>
      <c r="N40" s="1720"/>
      <c r="O40" s="1720"/>
      <c r="P40" s="1720"/>
      <c r="Q40" s="1720"/>
      <c r="R40" s="1720"/>
      <c r="S40" s="1720"/>
      <c r="T40" s="1720"/>
      <c r="U40" s="1720"/>
      <c r="V40" s="1720"/>
      <c r="W40" s="1720"/>
      <c r="X40" s="1720"/>
      <c r="Y40" s="1720"/>
      <c r="Z40" s="1720"/>
      <c r="AA40" s="1720"/>
      <c r="AB40" s="1720"/>
    </row>
    <row r="41" spans="1:28" x14ac:dyDescent="0.25">
      <c r="A41" s="1720"/>
      <c r="B41" s="1720"/>
      <c r="C41" s="1720"/>
      <c r="D41" s="1720"/>
      <c r="E41" s="1720"/>
      <c r="F41" s="1720"/>
      <c r="G41" s="1720"/>
      <c r="H41" s="1720"/>
      <c r="I41" s="1720"/>
      <c r="J41" s="1720"/>
      <c r="K41" s="1720"/>
      <c r="L41" s="1720"/>
      <c r="M41" s="1720"/>
      <c r="N41" s="1720"/>
      <c r="O41" s="1720"/>
      <c r="P41" s="1720"/>
      <c r="Q41" s="1720"/>
      <c r="R41" s="1720"/>
      <c r="S41" s="1720"/>
      <c r="T41" s="1720"/>
      <c r="U41" s="1720"/>
      <c r="V41" s="1720"/>
      <c r="W41" s="1720"/>
      <c r="X41" s="1720"/>
      <c r="Y41" s="1720"/>
      <c r="Z41" s="1720"/>
      <c r="AA41" s="1720"/>
      <c r="AB41" s="1720"/>
    </row>
    <row r="42" spans="1:28" x14ac:dyDescent="0.25">
      <c r="A42" s="1720"/>
      <c r="B42" s="1720"/>
      <c r="C42" s="1720"/>
      <c r="D42" s="1720"/>
      <c r="E42" s="1720"/>
      <c r="F42" s="1720"/>
      <c r="G42" s="1720"/>
      <c r="H42" s="1720"/>
      <c r="I42" s="1720"/>
      <c r="J42" s="1720"/>
      <c r="K42" s="1720"/>
      <c r="L42" s="1720"/>
      <c r="M42" s="1720"/>
      <c r="N42" s="1720"/>
      <c r="O42" s="1720"/>
      <c r="P42" s="1720"/>
      <c r="Q42" s="1720"/>
      <c r="R42" s="1720"/>
      <c r="S42" s="1720"/>
      <c r="T42" s="1720"/>
      <c r="U42" s="1720"/>
      <c r="V42" s="1720"/>
      <c r="W42" s="1720"/>
      <c r="X42" s="1720"/>
      <c r="Y42" s="1720"/>
      <c r="Z42" s="1720"/>
      <c r="AA42" s="1720"/>
      <c r="AB42" s="1720"/>
    </row>
    <row r="43" spans="1:28" x14ac:dyDescent="0.25">
      <c r="A43" s="1720"/>
      <c r="B43" s="1720"/>
      <c r="C43" s="1720"/>
      <c r="D43" s="1720"/>
      <c r="E43" s="1720"/>
      <c r="F43" s="1720"/>
      <c r="G43" s="1720"/>
      <c r="H43" s="1720"/>
      <c r="I43" s="1720"/>
      <c r="J43" s="1720"/>
      <c r="K43" s="1720"/>
      <c r="L43" s="1720"/>
      <c r="M43" s="1720"/>
      <c r="N43" s="1720"/>
      <c r="O43" s="1720"/>
      <c r="P43" s="1720"/>
      <c r="Q43" s="1720"/>
      <c r="R43" s="1720"/>
      <c r="S43" s="1720"/>
      <c r="T43" s="1720"/>
      <c r="U43" s="1720"/>
      <c r="V43" s="1720"/>
      <c r="W43" s="1720"/>
      <c r="X43" s="1720"/>
      <c r="Y43" s="1720"/>
      <c r="Z43" s="1720"/>
      <c r="AA43" s="1720"/>
      <c r="AB43" s="1720"/>
    </row>
    <row r="44" spans="1:28" x14ac:dyDescent="0.25">
      <c r="A44" s="1720"/>
      <c r="B44" s="1720"/>
      <c r="C44" s="1720"/>
      <c r="D44" s="1720"/>
      <c r="E44" s="1720"/>
      <c r="F44" s="1720"/>
      <c r="G44" s="1720"/>
      <c r="H44" s="1720"/>
      <c r="I44" s="1720"/>
      <c r="J44" s="1720"/>
      <c r="K44" s="1720"/>
      <c r="L44" s="1720"/>
      <c r="M44" s="1720"/>
      <c r="N44" s="1720"/>
      <c r="O44" s="1720"/>
      <c r="P44" s="1720"/>
      <c r="Q44" s="1720"/>
      <c r="R44" s="1720"/>
      <c r="S44" s="1720"/>
      <c r="T44" s="1720"/>
      <c r="U44" s="1720"/>
      <c r="V44" s="1720"/>
      <c r="W44" s="1720"/>
      <c r="X44" s="1720"/>
      <c r="Y44" s="1720"/>
      <c r="Z44" s="1720"/>
      <c r="AA44" s="1720"/>
      <c r="AB44" s="1720"/>
    </row>
    <row r="45" spans="1:28" x14ac:dyDescent="0.25">
      <c r="A45" s="1720"/>
      <c r="B45" s="1720"/>
      <c r="C45" s="1720"/>
      <c r="D45" s="1720"/>
      <c r="E45" s="1720"/>
      <c r="F45" s="1720"/>
      <c r="G45" s="1720"/>
      <c r="H45" s="1720"/>
      <c r="I45" s="1720"/>
      <c r="J45" s="1720"/>
      <c r="K45" s="1720"/>
      <c r="L45" s="1720"/>
      <c r="M45" s="1720"/>
      <c r="N45" s="1720"/>
      <c r="O45" s="1720"/>
      <c r="P45" s="1720"/>
      <c r="Q45" s="1720"/>
      <c r="R45" s="1720"/>
      <c r="S45" s="1720"/>
      <c r="T45" s="1720"/>
      <c r="U45" s="1720"/>
      <c r="V45" s="1720"/>
      <c r="W45" s="1720"/>
      <c r="X45" s="1720"/>
      <c r="Y45" s="1720"/>
      <c r="Z45" s="1720"/>
      <c r="AA45" s="1720"/>
      <c r="AB45" s="1720"/>
    </row>
    <row r="46" spans="1:28" x14ac:dyDescent="0.25">
      <c r="A46" s="1720"/>
      <c r="B46" s="1720"/>
      <c r="C46" s="1720"/>
      <c r="D46" s="1720"/>
      <c r="E46" s="1720"/>
      <c r="F46" s="1720"/>
      <c r="G46" s="1720"/>
      <c r="H46" s="1720"/>
      <c r="I46" s="1720"/>
      <c r="J46" s="1720"/>
      <c r="K46" s="1720"/>
      <c r="L46" s="1720"/>
      <c r="M46" s="1720"/>
      <c r="N46" s="1720"/>
      <c r="O46" s="1720"/>
      <c r="P46" s="1720"/>
      <c r="Q46" s="1720"/>
      <c r="R46" s="1720"/>
      <c r="S46" s="1720"/>
      <c r="T46" s="1720"/>
      <c r="U46" s="1720"/>
      <c r="V46" s="1720"/>
      <c r="W46" s="1720"/>
      <c r="X46" s="1720"/>
      <c r="Y46" s="1720"/>
      <c r="Z46" s="1720"/>
      <c r="AA46" s="1720"/>
      <c r="AB46" s="1720"/>
    </row>
    <row r="47" spans="1:28" x14ac:dyDescent="0.25">
      <c r="A47" s="1720"/>
      <c r="B47" s="1720"/>
      <c r="C47" s="1720"/>
      <c r="D47" s="1720"/>
      <c r="E47" s="1720"/>
      <c r="F47" s="1720"/>
      <c r="G47" s="1720"/>
      <c r="H47" s="1720"/>
      <c r="I47" s="1720"/>
      <c r="J47" s="1720"/>
      <c r="K47" s="1720"/>
      <c r="L47" s="1720"/>
      <c r="M47" s="1720"/>
      <c r="N47" s="1720"/>
      <c r="O47" s="1720"/>
      <c r="P47" s="1720"/>
      <c r="Q47" s="1720"/>
      <c r="R47" s="1720"/>
      <c r="S47" s="1720"/>
      <c r="T47" s="1720"/>
      <c r="U47" s="1720"/>
      <c r="V47" s="1720"/>
      <c r="W47" s="1720"/>
      <c r="X47" s="1720"/>
      <c r="Y47" s="1720"/>
      <c r="Z47" s="1720"/>
      <c r="AA47" s="1720"/>
      <c r="AB47" s="1720"/>
    </row>
    <row r="48" spans="1:28" x14ac:dyDescent="0.25">
      <c r="A48" s="1720"/>
      <c r="B48" s="1720"/>
      <c r="C48" s="1720"/>
      <c r="D48" s="1720"/>
      <c r="E48" s="1720"/>
      <c r="F48" s="1720"/>
      <c r="G48" s="1720"/>
      <c r="H48" s="1720"/>
      <c r="I48" s="1720"/>
      <c r="J48" s="1720"/>
      <c r="K48" s="1720"/>
      <c r="L48" s="1720"/>
      <c r="M48" s="1720"/>
      <c r="N48" s="1720"/>
      <c r="O48" s="1720"/>
      <c r="P48" s="1720"/>
      <c r="Q48" s="1720"/>
      <c r="R48" s="1720"/>
      <c r="S48" s="1720"/>
      <c r="T48" s="1720"/>
      <c r="U48" s="1720"/>
      <c r="V48" s="1720"/>
      <c r="W48" s="1720"/>
      <c r="X48" s="1720"/>
      <c r="Y48" s="1720"/>
      <c r="Z48" s="1720"/>
      <c r="AA48" s="1720"/>
      <c r="AB48" s="1720"/>
    </row>
    <row r="49" spans="1:28" x14ac:dyDescent="0.25">
      <c r="A49" s="1720"/>
      <c r="B49" s="1720"/>
      <c r="C49" s="1720"/>
      <c r="D49" s="1720"/>
      <c r="E49" s="1720"/>
      <c r="F49" s="1720"/>
      <c r="G49" s="1720"/>
      <c r="H49" s="1720"/>
      <c r="I49" s="1720"/>
      <c r="J49" s="1720"/>
      <c r="K49" s="1720"/>
      <c r="L49" s="1720"/>
      <c r="M49" s="1720"/>
      <c r="N49" s="1720"/>
      <c r="O49" s="1720"/>
      <c r="P49" s="1720"/>
      <c r="Q49" s="1720"/>
      <c r="R49" s="1720"/>
      <c r="S49" s="1720"/>
      <c r="T49" s="1720"/>
      <c r="U49" s="1720"/>
      <c r="V49" s="1720"/>
      <c r="W49" s="1720"/>
      <c r="X49" s="1720"/>
      <c r="Y49" s="1720"/>
      <c r="Z49" s="1720"/>
      <c r="AA49" s="1720"/>
      <c r="AB49" s="1720"/>
    </row>
    <row r="50" spans="1:28" x14ac:dyDescent="0.25">
      <c r="A50" s="1720"/>
      <c r="B50" s="1720"/>
      <c r="C50" s="1720"/>
      <c r="D50" s="1720"/>
      <c r="E50" s="1720"/>
      <c r="F50" s="1720"/>
      <c r="G50" s="1720"/>
      <c r="H50" s="1720"/>
      <c r="I50" s="1720"/>
      <c r="J50" s="1720"/>
      <c r="K50" s="1720"/>
      <c r="L50" s="1720"/>
      <c r="M50" s="1720"/>
      <c r="N50" s="1720"/>
      <c r="O50" s="1720"/>
      <c r="P50" s="1720"/>
      <c r="Q50" s="1720"/>
      <c r="R50" s="1720"/>
      <c r="S50" s="1720"/>
      <c r="T50" s="1720"/>
      <c r="U50" s="1720"/>
      <c r="V50" s="1720"/>
      <c r="W50" s="1720"/>
      <c r="X50" s="1720"/>
      <c r="Y50" s="1720"/>
      <c r="Z50" s="1720"/>
      <c r="AA50" s="1720"/>
      <c r="AB50" s="1720"/>
    </row>
    <row r="51" spans="1:28" x14ac:dyDescent="0.25">
      <c r="A51" s="1720"/>
      <c r="B51" s="1720"/>
      <c r="C51" s="1720"/>
      <c r="D51" s="1720"/>
      <c r="E51" s="1720"/>
      <c r="F51" s="1720"/>
      <c r="G51" s="1720"/>
      <c r="H51" s="1720"/>
      <c r="I51" s="1720"/>
      <c r="J51" s="1720"/>
      <c r="K51" s="1720"/>
      <c r="L51" s="1720"/>
      <c r="M51" s="1720"/>
      <c r="N51" s="1720"/>
      <c r="O51" s="1720"/>
      <c r="P51" s="1720"/>
      <c r="Q51" s="1720"/>
      <c r="R51" s="1720"/>
      <c r="S51" s="1720"/>
      <c r="T51" s="1720"/>
      <c r="U51" s="1720"/>
      <c r="V51" s="1720"/>
      <c r="W51" s="1720"/>
      <c r="X51" s="1720"/>
      <c r="Y51" s="1720"/>
      <c r="Z51" s="1720"/>
      <c r="AA51" s="1720"/>
      <c r="AB51" s="1720"/>
    </row>
    <row r="52" spans="1:28" x14ac:dyDescent="0.25">
      <c r="A52" s="1720"/>
      <c r="B52" s="1720"/>
      <c r="C52" s="1720"/>
      <c r="D52" s="1720"/>
      <c r="E52" s="1720"/>
      <c r="F52" s="1720"/>
      <c r="G52" s="1720"/>
      <c r="H52" s="1720"/>
      <c r="I52" s="1720"/>
      <c r="J52" s="1720"/>
      <c r="K52" s="1720"/>
      <c r="L52" s="1720"/>
      <c r="M52" s="1720"/>
      <c r="N52" s="1720"/>
      <c r="O52" s="1720"/>
      <c r="P52" s="1720"/>
      <c r="Q52" s="1720"/>
      <c r="R52" s="1720"/>
      <c r="S52" s="1720"/>
      <c r="T52" s="1720"/>
      <c r="U52" s="1720"/>
      <c r="V52" s="1720"/>
      <c r="W52" s="1720"/>
      <c r="X52" s="1720"/>
      <c r="Y52" s="1720"/>
      <c r="Z52" s="1720"/>
      <c r="AA52" s="1720"/>
      <c r="AB52" s="1720"/>
    </row>
    <row r="53" spans="1:28" x14ac:dyDescent="0.25">
      <c r="A53" s="1720"/>
      <c r="B53" s="1720"/>
      <c r="C53" s="1720"/>
      <c r="D53" s="1720"/>
      <c r="E53" s="1720"/>
      <c r="F53" s="1720"/>
      <c r="G53" s="1720"/>
      <c r="H53" s="1720"/>
      <c r="I53" s="1720"/>
      <c r="J53" s="1720"/>
      <c r="K53" s="1720"/>
      <c r="L53" s="1720"/>
      <c r="M53" s="1720"/>
      <c r="N53" s="1720"/>
      <c r="O53" s="1720"/>
      <c r="P53" s="1720"/>
      <c r="Q53" s="1720"/>
      <c r="R53" s="1720"/>
      <c r="S53" s="1720"/>
      <c r="T53" s="1720"/>
      <c r="U53" s="1720"/>
      <c r="V53" s="1720"/>
      <c r="W53" s="1720"/>
      <c r="X53" s="1720"/>
      <c r="Y53" s="1720"/>
      <c r="Z53" s="1720"/>
      <c r="AA53" s="1720"/>
      <c r="AB53" s="1720"/>
    </row>
    <row r="54" spans="1:28" x14ac:dyDescent="0.25">
      <c r="A54" s="1720"/>
      <c r="B54" s="1720"/>
      <c r="C54" s="1720"/>
      <c r="D54" s="1720"/>
      <c r="E54" s="1720"/>
      <c r="F54" s="1720"/>
      <c r="G54" s="1720"/>
      <c r="H54" s="1720"/>
      <c r="I54" s="1720"/>
      <c r="J54" s="1720"/>
      <c r="K54" s="1720"/>
      <c r="L54" s="1720"/>
      <c r="M54" s="1720"/>
      <c r="N54" s="1720"/>
      <c r="O54" s="1720"/>
      <c r="P54" s="1720"/>
      <c r="Q54" s="1720"/>
      <c r="R54" s="1720"/>
      <c r="S54" s="1720"/>
      <c r="T54" s="1720"/>
      <c r="U54" s="1720"/>
      <c r="V54" s="1720"/>
      <c r="W54" s="1720"/>
      <c r="X54" s="1720"/>
      <c r="Y54" s="1720"/>
      <c r="Z54" s="1720"/>
      <c r="AA54" s="1720"/>
      <c r="AB54" s="1720"/>
    </row>
    <row r="55" spans="1:28" x14ac:dyDescent="0.25">
      <c r="A55" s="1720"/>
      <c r="B55" s="1720"/>
      <c r="C55" s="1720"/>
      <c r="D55" s="1720"/>
      <c r="E55" s="1720"/>
      <c r="F55" s="1720"/>
      <c r="G55" s="1720"/>
      <c r="H55" s="1720"/>
      <c r="I55" s="1720"/>
      <c r="J55" s="1720"/>
      <c r="K55" s="1720"/>
      <c r="L55" s="1720"/>
      <c r="M55" s="1720"/>
      <c r="N55" s="1720"/>
      <c r="O55" s="1720"/>
      <c r="P55" s="1720"/>
      <c r="Q55" s="1720"/>
      <c r="R55" s="1720"/>
      <c r="S55" s="1720"/>
      <c r="T55" s="1720"/>
      <c r="U55" s="1720"/>
      <c r="V55" s="1720"/>
      <c r="W55" s="1720"/>
      <c r="X55" s="1720"/>
      <c r="Y55" s="1720"/>
      <c r="Z55" s="1720"/>
      <c r="AA55" s="1720"/>
      <c r="AB55" s="1720"/>
    </row>
    <row r="56" spans="1:28" x14ac:dyDescent="0.25">
      <c r="A56" s="1720"/>
      <c r="B56" s="1720"/>
      <c r="C56" s="1720"/>
      <c r="D56" s="1720"/>
      <c r="E56" s="1720"/>
      <c r="F56" s="1720"/>
      <c r="G56" s="1720"/>
      <c r="H56" s="1720"/>
      <c r="I56" s="1720"/>
      <c r="J56" s="1720"/>
      <c r="K56" s="1720"/>
      <c r="L56" s="1720"/>
      <c r="M56" s="1720"/>
      <c r="N56" s="1720"/>
      <c r="O56" s="1720"/>
      <c r="P56" s="1720"/>
      <c r="Q56" s="1720"/>
      <c r="R56" s="1720"/>
      <c r="S56" s="1720"/>
      <c r="T56" s="1720"/>
      <c r="U56" s="1720"/>
      <c r="V56" s="1720"/>
      <c r="W56" s="1720"/>
      <c r="X56" s="1720"/>
      <c r="Y56" s="1720"/>
      <c r="Z56" s="1720"/>
      <c r="AA56" s="1720"/>
      <c r="AB56" s="1720"/>
    </row>
    <row r="57" spans="1:28" x14ac:dyDescent="0.25">
      <c r="A57" s="1720"/>
      <c r="B57" s="1720"/>
      <c r="C57" s="1720"/>
      <c r="D57" s="1720"/>
      <c r="E57" s="1720"/>
      <c r="F57" s="1720"/>
      <c r="G57" s="1720"/>
      <c r="H57" s="1720"/>
      <c r="I57" s="1720"/>
      <c r="J57" s="1720"/>
      <c r="K57" s="1720"/>
      <c r="L57" s="1720"/>
      <c r="M57" s="1720"/>
      <c r="N57" s="1720"/>
      <c r="O57" s="1720"/>
      <c r="P57" s="1720"/>
      <c r="Q57" s="1720"/>
      <c r="R57" s="1720"/>
      <c r="S57" s="1720"/>
      <c r="T57" s="1720"/>
      <c r="U57" s="1720"/>
      <c r="V57" s="1720"/>
      <c r="W57" s="1720"/>
      <c r="X57" s="1720"/>
      <c r="Y57" s="1720"/>
      <c r="Z57" s="1720"/>
      <c r="AA57" s="1720"/>
      <c r="AB57" s="1720"/>
    </row>
    <row r="58" spans="1:28" x14ac:dyDescent="0.25">
      <c r="A58" s="1720"/>
      <c r="B58" s="1720"/>
      <c r="C58" s="1720"/>
      <c r="D58" s="1720"/>
      <c r="E58" s="1720"/>
      <c r="F58" s="1720"/>
      <c r="G58" s="1720"/>
      <c r="H58" s="1720"/>
      <c r="I58" s="1720"/>
      <c r="J58" s="1720"/>
      <c r="K58" s="1720"/>
      <c r="L58" s="1720"/>
      <c r="M58" s="1720"/>
      <c r="N58" s="1720"/>
      <c r="O58" s="1720"/>
      <c r="P58" s="1720"/>
      <c r="Q58" s="1720"/>
      <c r="R58" s="1720"/>
      <c r="S58" s="1720"/>
      <c r="T58" s="1720"/>
      <c r="U58" s="1720"/>
      <c r="V58" s="1720"/>
      <c r="W58" s="1720"/>
      <c r="X58" s="1720"/>
      <c r="Y58" s="1720"/>
      <c r="Z58" s="1720"/>
      <c r="AA58" s="1720"/>
      <c r="AB58" s="1720"/>
    </row>
    <row r="59" spans="1:28" x14ac:dyDescent="0.25">
      <c r="A59" s="1720"/>
      <c r="B59" s="1720"/>
      <c r="C59" s="1720"/>
      <c r="D59" s="1720"/>
      <c r="E59" s="1720"/>
      <c r="F59" s="1720"/>
      <c r="G59" s="1720"/>
      <c r="H59" s="1720"/>
      <c r="I59" s="1720"/>
      <c r="J59" s="1720"/>
      <c r="K59" s="1720"/>
      <c r="L59" s="1720"/>
      <c r="M59" s="1720"/>
      <c r="N59" s="1720"/>
      <c r="O59" s="1720"/>
      <c r="P59" s="1720"/>
      <c r="Q59" s="1720"/>
      <c r="R59" s="1720"/>
      <c r="S59" s="1720"/>
      <c r="T59" s="1720"/>
      <c r="U59" s="1720"/>
      <c r="V59" s="1720"/>
      <c r="W59" s="1720"/>
      <c r="X59" s="1720"/>
      <c r="Y59" s="1720"/>
      <c r="Z59" s="1720"/>
      <c r="AA59" s="1720"/>
      <c r="AB59" s="1720"/>
    </row>
    <row r="60" spans="1:28" x14ac:dyDescent="0.25">
      <c r="A60" s="1720"/>
      <c r="B60" s="1720"/>
      <c r="C60" s="1720"/>
      <c r="D60" s="1720"/>
      <c r="E60" s="1720"/>
      <c r="F60" s="1720"/>
      <c r="G60" s="1720"/>
      <c r="H60" s="1720"/>
      <c r="I60" s="1720"/>
      <c r="J60" s="1720"/>
      <c r="K60" s="1720"/>
      <c r="L60" s="1720"/>
      <c r="M60" s="1720"/>
      <c r="N60" s="1720"/>
      <c r="O60" s="1720"/>
      <c r="P60" s="1720"/>
      <c r="Q60" s="1720"/>
      <c r="R60" s="1720"/>
      <c r="S60" s="1720"/>
      <c r="T60" s="1720"/>
      <c r="U60" s="1720"/>
      <c r="V60" s="1720"/>
      <c r="W60" s="1720"/>
      <c r="X60" s="1720"/>
      <c r="Y60" s="1720"/>
      <c r="Z60" s="1720"/>
      <c r="AA60" s="1720"/>
      <c r="AB60" s="1720"/>
    </row>
    <row r="61" spans="1:28" x14ac:dyDescent="0.25">
      <c r="A61" s="1720"/>
      <c r="B61" s="1720"/>
      <c r="C61" s="1720"/>
      <c r="D61" s="1720"/>
      <c r="E61" s="1720"/>
      <c r="F61" s="1720"/>
      <c r="G61" s="1720"/>
      <c r="H61" s="1720"/>
      <c r="I61" s="1720"/>
      <c r="J61" s="1720"/>
      <c r="K61" s="1720"/>
      <c r="L61" s="1720"/>
      <c r="M61" s="1720"/>
      <c r="N61" s="1720"/>
      <c r="O61" s="1720"/>
      <c r="P61" s="1720"/>
      <c r="Q61" s="1720"/>
      <c r="R61" s="1720"/>
      <c r="S61" s="1720"/>
      <c r="T61" s="1720"/>
      <c r="U61" s="1720"/>
      <c r="V61" s="1720"/>
      <c r="W61" s="1720"/>
      <c r="X61" s="1720"/>
      <c r="Y61" s="1720"/>
      <c r="Z61" s="1720"/>
      <c r="AA61" s="1720"/>
      <c r="AB61" s="1720"/>
    </row>
    <row r="62" spans="1:28" x14ac:dyDescent="0.25">
      <c r="A62" s="1720"/>
      <c r="B62" s="1720"/>
      <c r="C62" s="1720"/>
      <c r="D62" s="1720"/>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A62" s="1720"/>
      <c r="AB62" s="1720"/>
    </row>
    <row r="63" spans="1:28" x14ac:dyDescent="0.25">
      <c r="A63" s="1720"/>
      <c r="B63" s="1720"/>
      <c r="C63" s="1720"/>
      <c r="D63" s="1720"/>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A63" s="1720"/>
      <c r="AB63" s="1720"/>
    </row>
    <row r="64" spans="1:28" x14ac:dyDescent="0.25">
      <c r="A64" s="1720"/>
      <c r="B64" s="1720"/>
      <c r="C64" s="1720"/>
      <c r="D64" s="1720"/>
      <c r="E64" s="1720"/>
      <c r="F64" s="1720"/>
      <c r="G64" s="1720"/>
      <c r="H64" s="1720"/>
      <c r="I64" s="1720"/>
      <c r="J64" s="1720"/>
      <c r="K64" s="1720"/>
      <c r="L64" s="1720"/>
      <c r="M64" s="1720"/>
      <c r="N64" s="1720"/>
      <c r="O64" s="1720"/>
      <c r="P64" s="1720"/>
      <c r="Q64" s="1720"/>
      <c r="R64" s="1720"/>
      <c r="S64" s="1720"/>
      <c r="T64" s="1720"/>
      <c r="U64" s="1720"/>
      <c r="V64" s="1720"/>
      <c r="W64" s="1720"/>
      <c r="X64" s="1720"/>
      <c r="Y64" s="1720"/>
      <c r="Z64" s="1720"/>
      <c r="AA64" s="1720"/>
      <c r="AB64" s="1720"/>
    </row>
    <row r="65" spans="1:28" x14ac:dyDescent="0.25">
      <c r="A65" s="1720"/>
      <c r="B65" s="1720"/>
      <c r="C65" s="1720"/>
      <c r="D65" s="1720"/>
      <c r="E65" s="1720"/>
      <c r="F65" s="1720"/>
      <c r="G65" s="1720"/>
      <c r="H65" s="1720"/>
      <c r="I65" s="1720"/>
      <c r="J65" s="1720"/>
      <c r="K65" s="1720"/>
      <c r="L65" s="1720"/>
      <c r="M65" s="1720"/>
      <c r="N65" s="1720"/>
      <c r="O65" s="1720"/>
      <c r="P65" s="1720"/>
      <c r="Q65" s="1720"/>
      <c r="R65" s="1720"/>
      <c r="S65" s="1720"/>
      <c r="T65" s="1720"/>
      <c r="U65" s="1720"/>
      <c r="V65" s="1720"/>
      <c r="W65" s="1720"/>
      <c r="X65" s="1720"/>
      <c r="Y65" s="1720"/>
      <c r="Z65" s="1720"/>
      <c r="AA65" s="1720"/>
      <c r="AB65" s="1720"/>
    </row>
    <row r="66" spans="1:28" x14ac:dyDescent="0.25">
      <c r="A66" s="1720"/>
      <c r="B66" s="1720"/>
      <c r="C66" s="1720"/>
      <c r="D66" s="1720"/>
      <c r="E66" s="1720"/>
      <c r="F66" s="1720"/>
      <c r="G66" s="1720"/>
      <c r="H66" s="1720"/>
      <c r="I66" s="1720"/>
      <c r="J66" s="1720"/>
      <c r="K66" s="1720"/>
      <c r="L66" s="1720"/>
      <c r="M66" s="1720"/>
      <c r="N66" s="1720"/>
      <c r="O66" s="1720"/>
      <c r="P66" s="1720"/>
      <c r="Q66" s="1720"/>
      <c r="R66" s="1720"/>
      <c r="S66" s="1720"/>
      <c r="T66" s="1720"/>
      <c r="U66" s="1720"/>
      <c r="V66" s="1720"/>
      <c r="W66" s="1720"/>
      <c r="X66" s="1720"/>
      <c r="Y66" s="1720"/>
      <c r="Z66" s="1720"/>
      <c r="AA66" s="1720"/>
      <c r="AB66" s="1720"/>
    </row>
    <row r="67" spans="1:28" x14ac:dyDescent="0.25">
      <c r="A67" s="1720"/>
      <c r="B67" s="1720"/>
      <c r="C67" s="1720"/>
      <c r="D67" s="1720"/>
      <c r="E67" s="1720"/>
      <c r="F67" s="1720"/>
      <c r="G67" s="1720"/>
      <c r="H67" s="1720"/>
      <c r="I67" s="1720"/>
      <c r="J67" s="1720"/>
      <c r="K67" s="1720"/>
      <c r="L67" s="1720"/>
      <c r="M67" s="1720"/>
      <c r="N67" s="1720"/>
      <c r="O67" s="1720"/>
      <c r="P67" s="1720"/>
      <c r="Q67" s="1720"/>
      <c r="R67" s="1720"/>
      <c r="S67" s="1720"/>
      <c r="T67" s="1720"/>
      <c r="U67" s="1720"/>
      <c r="V67" s="1720"/>
      <c r="W67" s="1720"/>
      <c r="X67" s="1720"/>
      <c r="Y67" s="1720"/>
      <c r="Z67" s="1720"/>
      <c r="AA67" s="1720"/>
      <c r="AB67" s="1720"/>
    </row>
    <row r="68" spans="1:28" x14ac:dyDescent="0.25">
      <c r="A68" s="1720"/>
      <c r="B68" s="1720"/>
      <c r="C68" s="1720"/>
      <c r="D68" s="1720"/>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A68" s="1720"/>
      <c r="AB68" s="1720"/>
    </row>
    <row r="69" spans="1:28" x14ac:dyDescent="0.25">
      <c r="A69" s="1720"/>
      <c r="B69" s="1720"/>
      <c r="C69" s="1720"/>
      <c r="D69" s="1720"/>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A69" s="1720"/>
      <c r="AB69" s="1720"/>
    </row>
    <row r="70" spans="1:28" x14ac:dyDescent="0.25">
      <c r="A70" s="1720"/>
      <c r="B70" s="1720"/>
      <c r="C70" s="1720"/>
      <c r="D70" s="1720"/>
      <c r="E70" s="1720"/>
      <c r="F70" s="1720"/>
      <c r="G70" s="1720"/>
      <c r="H70" s="1720"/>
      <c r="I70" s="1720"/>
      <c r="J70" s="1720"/>
      <c r="K70" s="1720"/>
      <c r="L70" s="1720"/>
      <c r="M70" s="1720"/>
      <c r="N70" s="1720"/>
      <c r="O70" s="1720"/>
      <c r="P70" s="1720"/>
      <c r="Q70" s="1720"/>
      <c r="R70" s="1720"/>
      <c r="S70" s="1720"/>
      <c r="T70" s="1720"/>
      <c r="U70" s="1720"/>
      <c r="V70" s="1720"/>
      <c r="W70" s="1720"/>
      <c r="X70" s="1720"/>
      <c r="Y70" s="1720"/>
      <c r="Z70" s="1720"/>
      <c r="AA70" s="1720"/>
      <c r="AB70" s="1720"/>
    </row>
    <row r="71" spans="1:28" x14ac:dyDescent="0.25">
      <c r="A71" s="1720"/>
      <c r="B71" s="1720"/>
      <c r="C71" s="1720"/>
      <c r="D71" s="1720"/>
      <c r="E71" s="1720"/>
      <c r="F71" s="1720"/>
      <c r="G71" s="1720"/>
      <c r="H71" s="1720"/>
      <c r="I71" s="1720"/>
      <c r="J71" s="1720"/>
      <c r="K71" s="1720"/>
      <c r="L71" s="1720"/>
      <c r="M71" s="1720"/>
      <c r="N71" s="1720"/>
      <c r="O71" s="1720"/>
      <c r="P71" s="1720"/>
      <c r="Q71" s="1720"/>
      <c r="R71" s="1720"/>
      <c r="S71" s="1720"/>
      <c r="T71" s="1720"/>
      <c r="U71" s="1720"/>
      <c r="V71" s="1720"/>
      <c r="W71" s="1720"/>
      <c r="X71" s="1720"/>
      <c r="Y71" s="1720"/>
      <c r="Z71" s="1720"/>
      <c r="AA71" s="1720"/>
      <c r="AB71" s="1720"/>
    </row>
    <row r="72" spans="1:28" x14ac:dyDescent="0.25">
      <c r="A72" s="1720"/>
      <c r="B72" s="1720"/>
      <c r="C72" s="1720"/>
      <c r="D72" s="1720"/>
      <c r="E72" s="1720"/>
      <c r="F72" s="1720"/>
      <c r="G72" s="1720"/>
      <c r="H72" s="1720"/>
      <c r="I72" s="1720"/>
      <c r="J72" s="1720"/>
      <c r="K72" s="1720"/>
      <c r="L72" s="1720"/>
      <c r="M72" s="1720"/>
      <c r="N72" s="1720"/>
      <c r="O72" s="1720"/>
      <c r="P72" s="1720"/>
      <c r="Q72" s="1720"/>
      <c r="R72" s="1720"/>
      <c r="S72" s="1720"/>
      <c r="T72" s="1720"/>
      <c r="U72" s="1720"/>
      <c r="V72" s="1720"/>
      <c r="W72" s="1720"/>
      <c r="X72" s="1720"/>
      <c r="Y72" s="1720"/>
      <c r="Z72" s="1720"/>
      <c r="AA72" s="1720"/>
      <c r="AB72" s="1720"/>
    </row>
    <row r="73" spans="1:28" x14ac:dyDescent="0.25">
      <c r="A73" s="1720"/>
      <c r="B73" s="1720"/>
      <c r="C73" s="1720"/>
      <c r="D73" s="1720"/>
      <c r="E73" s="1720"/>
      <c r="F73" s="1720"/>
      <c r="G73" s="1720"/>
      <c r="H73" s="1720"/>
      <c r="I73" s="1720"/>
      <c r="J73" s="1720"/>
      <c r="K73" s="1720"/>
      <c r="L73" s="1720"/>
      <c r="M73" s="1720"/>
      <c r="N73" s="1720"/>
      <c r="O73" s="1720"/>
      <c r="P73" s="1720"/>
      <c r="Q73" s="1720"/>
      <c r="R73" s="1720"/>
      <c r="S73" s="1720"/>
      <c r="T73" s="1720"/>
      <c r="U73" s="1720"/>
      <c r="V73" s="1720"/>
      <c r="W73" s="1720"/>
      <c r="X73" s="1720"/>
      <c r="Y73" s="1720"/>
      <c r="Z73" s="1720"/>
      <c r="AA73" s="1720"/>
      <c r="AB73" s="1720"/>
    </row>
    <row r="74" spans="1:28" x14ac:dyDescent="0.25">
      <c r="A74" s="1720"/>
      <c r="B74" s="1720"/>
      <c r="C74" s="1720"/>
      <c r="D74" s="1720"/>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A74" s="1720"/>
      <c r="AB74" s="1720"/>
    </row>
    <row r="75" spans="1:28" x14ac:dyDescent="0.25">
      <c r="A75" s="1720"/>
      <c r="B75" s="1720"/>
      <c r="C75" s="1720"/>
      <c r="D75" s="1720"/>
      <c r="E75" s="1720"/>
      <c r="F75" s="1720"/>
      <c r="G75" s="1720"/>
      <c r="H75" s="1720"/>
      <c r="I75" s="1720"/>
      <c r="J75" s="1720"/>
      <c r="K75" s="1720"/>
      <c r="L75" s="1720"/>
      <c r="M75" s="1720"/>
      <c r="N75" s="1720"/>
      <c r="O75" s="1720"/>
      <c r="P75" s="1720"/>
      <c r="Q75" s="1720"/>
      <c r="R75" s="1720"/>
      <c r="S75" s="1720"/>
      <c r="T75" s="1720"/>
      <c r="U75" s="1720"/>
      <c r="V75" s="1720"/>
      <c r="W75" s="1720"/>
      <c r="X75" s="1720"/>
      <c r="Y75" s="1720"/>
      <c r="Z75" s="1720"/>
      <c r="AA75" s="1720"/>
      <c r="AB75" s="1720"/>
    </row>
    <row r="76" spans="1:28" x14ac:dyDescent="0.25">
      <c r="A76" s="1720"/>
      <c r="B76" s="1720"/>
      <c r="C76" s="1720"/>
      <c r="D76" s="1720"/>
      <c r="E76" s="1720"/>
      <c r="F76" s="1720"/>
      <c r="G76" s="1720"/>
      <c r="H76" s="1720"/>
      <c r="I76" s="1720"/>
      <c r="J76" s="1720"/>
      <c r="K76" s="1720"/>
      <c r="L76" s="1720"/>
      <c r="M76" s="1720"/>
      <c r="N76" s="1720"/>
      <c r="O76" s="1720"/>
      <c r="P76" s="1720"/>
      <c r="Q76" s="1720"/>
      <c r="R76" s="1720"/>
      <c r="S76" s="1720"/>
      <c r="T76" s="1720"/>
      <c r="U76" s="1720"/>
      <c r="V76" s="1720"/>
      <c r="W76" s="1720"/>
      <c r="X76" s="1720"/>
      <c r="Y76" s="1720"/>
      <c r="Z76" s="1720"/>
      <c r="AA76" s="1720"/>
      <c r="AB76" s="1720"/>
    </row>
    <row r="77" spans="1:28" x14ac:dyDescent="0.25">
      <c r="A77" s="1720"/>
      <c r="B77" s="1720"/>
      <c r="C77" s="1720"/>
      <c r="D77" s="1720"/>
      <c r="E77" s="1720"/>
      <c r="F77" s="1720"/>
      <c r="G77" s="1720"/>
      <c r="H77" s="1720"/>
      <c r="I77" s="1720"/>
      <c r="J77" s="1720"/>
      <c r="K77" s="1720"/>
      <c r="L77" s="1720"/>
      <c r="M77" s="1720"/>
      <c r="N77" s="1720"/>
      <c r="O77" s="1720"/>
      <c r="P77" s="1720"/>
      <c r="Q77" s="1720"/>
      <c r="R77" s="1720"/>
      <c r="S77" s="1720"/>
      <c r="T77" s="1720"/>
      <c r="U77" s="1720"/>
      <c r="V77" s="1720"/>
      <c r="W77" s="1720"/>
      <c r="X77" s="1720"/>
      <c r="Y77" s="1720"/>
      <c r="Z77" s="1720"/>
      <c r="AA77" s="1720"/>
      <c r="AB77" s="1720"/>
    </row>
    <row r="78" spans="1:28" x14ac:dyDescent="0.25">
      <c r="A78" s="1720"/>
      <c r="B78" s="1720"/>
      <c r="C78" s="1720"/>
      <c r="D78" s="1720"/>
      <c r="E78" s="1720"/>
      <c r="F78" s="1720"/>
      <c r="G78" s="1720"/>
      <c r="H78" s="1720"/>
      <c r="I78" s="1720"/>
      <c r="J78" s="1720"/>
      <c r="K78" s="1720"/>
      <c r="L78" s="1720"/>
      <c r="M78" s="1720"/>
      <c r="N78" s="1720"/>
      <c r="O78" s="1720"/>
      <c r="P78" s="1720"/>
      <c r="Q78" s="1720"/>
      <c r="R78" s="1720"/>
      <c r="S78" s="1720"/>
      <c r="T78" s="1720"/>
      <c r="U78" s="1720"/>
      <c r="V78" s="1720"/>
      <c r="W78" s="1720"/>
      <c r="X78" s="1720"/>
      <c r="Y78" s="1720"/>
      <c r="Z78" s="1720"/>
      <c r="AA78" s="1720"/>
      <c r="AB78" s="1720"/>
    </row>
    <row r="79" spans="1:28" x14ac:dyDescent="0.25">
      <c r="A79" s="1720"/>
      <c r="B79" s="1720"/>
      <c r="C79" s="1720"/>
      <c r="D79" s="1720"/>
      <c r="E79" s="1720"/>
      <c r="F79" s="1720"/>
      <c r="G79" s="1720"/>
      <c r="H79" s="1720"/>
      <c r="I79" s="1720"/>
      <c r="J79" s="1720"/>
      <c r="K79" s="1720"/>
      <c r="L79" s="1720"/>
      <c r="M79" s="1720"/>
      <c r="N79" s="1720"/>
      <c r="O79" s="1720"/>
      <c r="P79" s="1720"/>
      <c r="Q79" s="1720"/>
      <c r="R79" s="1720"/>
      <c r="S79" s="1720"/>
      <c r="T79" s="1720"/>
      <c r="U79" s="1720"/>
      <c r="V79" s="1720"/>
      <c r="W79" s="1720"/>
      <c r="X79" s="1720"/>
      <c r="Y79" s="1720"/>
      <c r="Z79" s="1720"/>
      <c r="AA79" s="1720"/>
      <c r="AB79" s="1720"/>
    </row>
  </sheetData>
  <sheetProtection password="BCD8" sheet="1" objects="1" scenarios="1"/>
  <phoneticPr fontId="124" type="noConversion"/>
  <hyperlinks>
    <hyperlink ref="A1" location="menu!G7" display="menu" xr:uid="{A8AFE992-D5A8-40B3-9C23-4EFDC889F867}"/>
  </hyperlinks>
  <pageMargins left="0.48" right="0.43" top="1" bottom="1" header="0.5" footer="0.5"/>
  <pageSetup paperSize="9" orientation="portrait" blackAndWhite="1" r:id="rId1"/>
  <headerFooter alignWithMargins="0"/>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D35D4-E792-41D6-A444-5D5C60C29996}">
  <sheetPr codeName="Sheet7">
    <tabColor rgb="FFFF0000"/>
  </sheetPr>
  <dimension ref="B1:Y46"/>
  <sheetViews>
    <sheetView workbookViewId="0"/>
  </sheetViews>
  <sheetFormatPr defaultRowHeight="14.5" x14ac:dyDescent="0.35"/>
  <cols>
    <col min="1" max="1" width="10.90625" customWidth="1"/>
    <col min="2" max="2" width="5.6328125" style="35" hidden="1" customWidth="1"/>
    <col min="3" max="3" width="6" style="35" hidden="1" customWidth="1"/>
    <col min="4" max="4" width="21.54296875" style="35" hidden="1" customWidth="1"/>
    <col min="5" max="5" width="14" style="35" hidden="1" customWidth="1"/>
    <col min="6" max="6" width="54.54296875" style="35" hidden="1" customWidth="1"/>
    <col min="7" max="7" width="5" style="40" hidden="1" customWidth="1"/>
    <col min="8" max="8" width="18" style="35" hidden="1" customWidth="1"/>
    <col min="9" max="9" width="14.90625" style="35" hidden="1" customWidth="1"/>
    <col min="10" max="10" width="17.36328125" style="35" hidden="1" customWidth="1"/>
    <col min="11" max="11" width="3.90625" hidden="1" customWidth="1"/>
    <col min="12" max="12" width="3.08984375" hidden="1" customWidth="1"/>
    <col min="13" max="13" width="4.6328125" hidden="1" customWidth="1"/>
    <col min="14" max="14" width="8.90625" hidden="1" customWidth="1"/>
    <col min="15" max="15" width="11.54296875" hidden="1" customWidth="1"/>
    <col min="16" max="25" width="8.90625" hidden="1" customWidth="1"/>
    <col min="26" max="26" width="0" hidden="1" customWidth="1"/>
  </cols>
  <sheetData>
    <row r="1" spans="3:21" x14ac:dyDescent="0.35">
      <c r="E1" s="35" t="s">
        <v>522</v>
      </c>
      <c r="F1" s="1917" t="b">
        <v>1</v>
      </c>
      <c r="K1" t="s">
        <v>2087</v>
      </c>
    </row>
    <row r="2" spans="3:21" x14ac:dyDescent="0.35">
      <c r="C2" s="37"/>
      <c r="D2" s="41"/>
      <c r="E2" s="1744" t="s">
        <v>1020</v>
      </c>
      <c r="F2" s="2102" t="b">
        <f>IF(F1=TRUE,FALSE,IF(J5&gt;=0,FALSE,TRUE))</f>
        <v>0</v>
      </c>
      <c r="G2" s="43"/>
      <c r="H2" s="1481" t="str">
        <f>IF(F6=TRUE,H4,IF(F2=TRUE,H3,""))</f>
        <v/>
      </c>
      <c r="I2" s="37"/>
      <c r="J2" s="37"/>
      <c r="K2" t="s">
        <v>2087</v>
      </c>
    </row>
    <row r="3" spans="3:21" x14ac:dyDescent="0.35">
      <c r="D3"/>
      <c r="E3" s="503" t="s">
        <v>186</v>
      </c>
      <c r="F3" s="1741" t="b">
        <f ca="1">AND(I20=TRUE,F2=FALSE)</f>
        <v>1</v>
      </c>
      <c r="H3" s="37" t="s">
        <v>2123</v>
      </c>
      <c r="I3" s="37"/>
      <c r="J3" s="37"/>
      <c r="K3" t="s">
        <v>2087</v>
      </c>
    </row>
    <row r="4" spans="3:21" ht="15" thickBot="1" x14ac:dyDescent="0.4">
      <c r="D4" s="5"/>
      <c r="E4" s="42" t="s">
        <v>359</v>
      </c>
      <c r="F4" s="1236" t="s">
        <v>3048</v>
      </c>
      <c r="H4" s="37" t="s">
        <v>970</v>
      </c>
      <c r="I4" s="39"/>
      <c r="J4" s="37"/>
      <c r="K4" t="s">
        <v>2087</v>
      </c>
    </row>
    <row r="5" spans="3:21" x14ac:dyDescent="0.35">
      <c r="C5" s="37"/>
      <c r="D5" s="45"/>
      <c r="E5" s="41" t="s">
        <v>683</v>
      </c>
      <c r="F5" s="754">
        <v>46508</v>
      </c>
      <c r="H5" s="37" t="s">
        <v>521</v>
      </c>
      <c r="I5" s="1915">
        <v>45017</v>
      </c>
      <c r="J5" s="1916">
        <f ca="1">I5-I15</f>
        <v>-1138</v>
      </c>
      <c r="K5" t="s">
        <v>2087</v>
      </c>
      <c r="M5" s="743"/>
      <c r="N5" s="744"/>
      <c r="O5" s="744"/>
      <c r="P5" s="744"/>
      <c r="Q5" s="744"/>
      <c r="R5" s="744"/>
      <c r="S5" s="744"/>
      <c r="T5" s="744"/>
      <c r="U5" s="745"/>
    </row>
    <row r="6" spans="3:21" x14ac:dyDescent="0.35">
      <c r="E6" s="1744" t="s">
        <v>2124</v>
      </c>
      <c r="F6" s="1743" t="b">
        <v>0</v>
      </c>
      <c r="H6" s="1765" t="s">
        <v>1613</v>
      </c>
      <c r="I6" s="1765"/>
      <c r="J6" s="1766"/>
      <c r="K6" t="s">
        <v>2087</v>
      </c>
      <c r="M6" s="746"/>
      <c r="N6" s="747" t="s">
        <v>2066</v>
      </c>
      <c r="O6" s="747"/>
      <c r="P6" s="747"/>
      <c r="U6" s="691"/>
    </row>
    <row r="7" spans="3:21" x14ac:dyDescent="0.35">
      <c r="C7" s="1742"/>
      <c r="D7" s="1742" t="s">
        <v>688</v>
      </c>
      <c r="E7" s="1742" t="s">
        <v>689</v>
      </c>
      <c r="F7" s="1742" t="s">
        <v>687</v>
      </c>
      <c r="H7" s="39"/>
      <c r="I7" s="37"/>
      <c r="J7" s="37"/>
      <c r="K7" t="s">
        <v>2087</v>
      </c>
      <c r="M7" s="746"/>
      <c r="U7" s="691"/>
    </row>
    <row r="8" spans="3:21" ht="22.5" x14ac:dyDescent="0.45">
      <c r="C8" s="741">
        <f>IF(F8&lt;&gt;"",ROW()-7,"")</f>
        <v>1</v>
      </c>
      <c r="D8" s="741" t="s">
        <v>263</v>
      </c>
      <c r="E8" s="742">
        <v>44865</v>
      </c>
      <c r="F8" s="741" t="s">
        <v>682</v>
      </c>
      <c r="H8" s="756" t="s">
        <v>2088</v>
      </c>
      <c r="I8" s="756"/>
      <c r="J8" s="756"/>
      <c r="K8" t="s">
        <v>2087</v>
      </c>
      <c r="M8" s="746"/>
      <c r="O8" s="748" t="s">
        <v>444</v>
      </c>
      <c r="P8" s="748" t="s">
        <v>2067</v>
      </c>
      <c r="U8" s="691"/>
    </row>
    <row r="9" spans="3:21" x14ac:dyDescent="0.35">
      <c r="C9" s="741">
        <f>IF(F9&lt;&gt;"",ROW()-7,"")</f>
        <v>2</v>
      </c>
      <c r="D9" s="741" t="s">
        <v>546</v>
      </c>
      <c r="E9" s="742">
        <v>44886</v>
      </c>
      <c r="F9" s="741" t="s">
        <v>171</v>
      </c>
      <c r="H9" s="42" t="s">
        <v>1101</v>
      </c>
      <c r="I9" s="1919" t="b">
        <f>authorities!A2&lt;&gt;""</f>
        <v>0</v>
      </c>
      <c r="J9" s="37"/>
      <c r="K9" t="s">
        <v>2087</v>
      </c>
      <c r="M9" s="746"/>
      <c r="N9">
        <v>1</v>
      </c>
      <c r="O9" t="s">
        <v>2068</v>
      </c>
      <c r="P9" t="s">
        <v>2069</v>
      </c>
      <c r="U9" s="691"/>
    </row>
    <row r="10" spans="3:21" x14ac:dyDescent="0.35">
      <c r="C10" s="741">
        <f>IF(F10&lt;&gt;"",ROW()-7,"")</f>
        <v>3</v>
      </c>
      <c r="D10" s="741" t="s">
        <v>453</v>
      </c>
      <c r="E10" s="742">
        <v>44909</v>
      </c>
      <c r="F10" s="741" t="s">
        <v>172</v>
      </c>
      <c r="K10" t="s">
        <v>2087</v>
      </c>
      <c r="L10" s="25"/>
      <c r="M10" s="749"/>
      <c r="N10">
        <v>2</v>
      </c>
      <c r="O10" t="s">
        <v>709</v>
      </c>
      <c r="P10" t="s">
        <v>2070</v>
      </c>
      <c r="U10" s="691"/>
    </row>
    <row r="11" spans="3:21" x14ac:dyDescent="0.35">
      <c r="C11" s="741">
        <f>IF(F11&lt;&gt;"",ROW()-7,"")</f>
        <v>4</v>
      </c>
      <c r="D11" s="741" t="s">
        <v>1265</v>
      </c>
      <c r="E11" s="742">
        <v>44915</v>
      </c>
      <c r="F11" s="741" t="s">
        <v>1266</v>
      </c>
      <c r="H11" s="37" t="s">
        <v>2086</v>
      </c>
      <c r="K11" t="s">
        <v>2087</v>
      </c>
      <c r="L11" s="32"/>
      <c r="M11" s="750"/>
      <c r="N11">
        <v>3</v>
      </c>
      <c r="O11" t="s">
        <v>2071</v>
      </c>
      <c r="P11" t="s">
        <v>751</v>
      </c>
      <c r="U11" s="691"/>
    </row>
    <row r="12" spans="3:21" x14ac:dyDescent="0.35">
      <c r="C12" s="741">
        <f>IF(F12&lt;&gt;"",ROW()-7,"")</f>
        <v>5</v>
      </c>
      <c r="D12" s="741" t="s">
        <v>1265</v>
      </c>
      <c r="E12" s="742">
        <v>44944</v>
      </c>
      <c r="F12" s="741" t="s">
        <v>2225</v>
      </c>
      <c r="H12" s="37" t="str">
        <f>VLOOKUP(MAX(C:C),C:D,2,FALSE)</f>
        <v>Calcurate 2023 v 5.2 xlms</v>
      </c>
      <c r="K12" t="s">
        <v>2087</v>
      </c>
      <c r="M12" s="750"/>
      <c r="N12">
        <v>4</v>
      </c>
      <c r="O12" t="s">
        <v>2072</v>
      </c>
      <c r="P12" t="s">
        <v>751</v>
      </c>
      <c r="U12" s="691"/>
    </row>
    <row r="13" spans="3:21" x14ac:dyDescent="0.35">
      <c r="C13" s="741">
        <f t="shared" ref="C13:C18" si="0">IF(F13&lt;&gt;"",ROW()-7,"")</f>
        <v>6</v>
      </c>
      <c r="D13" s="741" t="s">
        <v>856</v>
      </c>
      <c r="E13" s="742">
        <v>44964</v>
      </c>
      <c r="F13" s="741" t="s">
        <v>2398</v>
      </c>
      <c r="H13" s="37" t="str">
        <f>F4</f>
        <v>CBRE</v>
      </c>
      <c r="K13" t="s">
        <v>2087</v>
      </c>
      <c r="M13" s="750"/>
      <c r="N13">
        <v>5</v>
      </c>
      <c r="O13" t="s">
        <v>751</v>
      </c>
      <c r="P13" t="s">
        <v>2073</v>
      </c>
      <c r="U13" s="691"/>
    </row>
    <row r="14" spans="3:21" x14ac:dyDescent="0.35">
      <c r="C14" s="741">
        <f t="shared" si="0"/>
        <v>7</v>
      </c>
      <c r="D14" s="741" t="s">
        <v>1611</v>
      </c>
      <c r="E14" s="742">
        <v>44974</v>
      </c>
      <c r="F14" s="741" t="s">
        <v>1612</v>
      </c>
      <c r="K14" t="s">
        <v>2087</v>
      </c>
      <c r="L14" s="33"/>
      <c r="M14" s="750"/>
      <c r="N14">
        <v>6</v>
      </c>
      <c r="O14" t="s">
        <v>829</v>
      </c>
      <c r="P14" t="s">
        <v>2081</v>
      </c>
      <c r="U14" s="691"/>
    </row>
    <row r="15" spans="3:21" x14ac:dyDescent="0.35">
      <c r="C15" s="741">
        <f t="shared" si="0"/>
        <v>8</v>
      </c>
      <c r="D15" s="741" t="s">
        <v>1277</v>
      </c>
      <c r="E15" s="742">
        <v>45024</v>
      </c>
      <c r="F15" s="741" t="s">
        <v>730</v>
      </c>
      <c r="G15" s="45"/>
      <c r="H15" s="41" t="s">
        <v>679</v>
      </c>
      <c r="I15" s="38">
        <f ca="1">TODAY()</f>
        <v>46155</v>
      </c>
      <c r="J15" s="42"/>
      <c r="K15" t="s">
        <v>2087</v>
      </c>
      <c r="L15" s="33"/>
      <c r="M15" s="750"/>
      <c r="N15">
        <v>7</v>
      </c>
      <c r="O15" t="s">
        <v>750</v>
      </c>
      <c r="P15" t="s">
        <v>751</v>
      </c>
      <c r="U15" s="691"/>
    </row>
    <row r="16" spans="3:21" x14ac:dyDescent="0.35">
      <c r="C16" s="741">
        <f t="shared" si="0"/>
        <v>9</v>
      </c>
      <c r="D16" s="741" t="s">
        <v>1102</v>
      </c>
      <c r="E16" s="742">
        <v>45078</v>
      </c>
      <c r="F16" s="741" t="s">
        <v>968</v>
      </c>
      <c r="H16" s="41" t="s">
        <v>680</v>
      </c>
      <c r="I16" s="44">
        <f ca="1">F5-I15</f>
        <v>353</v>
      </c>
      <c r="J16" s="41" t="str">
        <f ca="1">IF(I16=0,"at midnight tonight",IF(I16=1,"at midnight tomorrow","in "&amp;I16&amp;" days"))</f>
        <v>in 353 days</v>
      </c>
      <c r="K16" t="s">
        <v>2087</v>
      </c>
      <c r="M16" s="746"/>
      <c r="N16">
        <v>8</v>
      </c>
      <c r="O16" t="s">
        <v>655</v>
      </c>
      <c r="P16" t="s">
        <v>2082</v>
      </c>
      <c r="U16" s="691"/>
    </row>
    <row r="17" spans="3:21" x14ac:dyDescent="0.35">
      <c r="C17" s="741">
        <f t="shared" si="0"/>
        <v>10</v>
      </c>
      <c r="D17" s="741" t="s">
        <v>2030</v>
      </c>
      <c r="E17" s="742">
        <v>45096</v>
      </c>
      <c r="F17" s="741" t="s">
        <v>695</v>
      </c>
      <c r="H17" s="42" t="s">
        <v>684</v>
      </c>
      <c r="I17" s="36">
        <v>32</v>
      </c>
      <c r="J17" s="41"/>
      <c r="K17" t="s">
        <v>2087</v>
      </c>
      <c r="M17" s="746"/>
      <c r="N17">
        <v>9</v>
      </c>
      <c r="O17" t="s">
        <v>670</v>
      </c>
      <c r="P17" t="s">
        <v>2085</v>
      </c>
      <c r="U17" s="691"/>
    </row>
    <row r="18" spans="3:21" x14ac:dyDescent="0.35">
      <c r="C18" s="741">
        <f t="shared" si="0"/>
        <v>11</v>
      </c>
      <c r="D18" s="741" t="s">
        <v>1392</v>
      </c>
      <c r="E18" s="742">
        <v>45138</v>
      </c>
      <c r="F18" s="741" t="s">
        <v>772</v>
      </c>
      <c r="H18" s="42" t="s">
        <v>685</v>
      </c>
      <c r="I18" s="46">
        <f>F5+I17</f>
        <v>46540</v>
      </c>
      <c r="J18" s="755"/>
      <c r="K18" t="s">
        <v>2087</v>
      </c>
      <c r="M18" s="746"/>
      <c r="U18" s="691"/>
    </row>
    <row r="19" spans="3:21" x14ac:dyDescent="0.35">
      <c r="C19" s="741">
        <f t="shared" ref="C19:C24" si="1">IF(F19&lt;&gt;"",ROW()-7,"")</f>
        <v>12</v>
      </c>
      <c r="D19" s="741" t="s">
        <v>1730</v>
      </c>
      <c r="E19" s="742">
        <v>45152</v>
      </c>
      <c r="F19" s="741" t="s">
        <v>707</v>
      </c>
      <c r="H19" s="42" t="s">
        <v>686</v>
      </c>
      <c r="I19" s="36">
        <f ca="1">I18-I15</f>
        <v>385</v>
      </c>
      <c r="J19" s="42" t="str">
        <f ca="1">IF(I19=0,"- Calcurate will be Deactivated at Midnight",IF(I19&gt;0,"- Calcurate will be deactivated in "&amp;I19&amp;IF(I19=1," day "," days ")&amp;" - Please Renew your Licence or Install your Update","Calcurate has been Deactivated - Please Renew your Licence or Install your Update"))</f>
        <v>- Calcurate will be deactivated in 385 days  - Please Renew your Licence or Install your Update</v>
      </c>
      <c r="K19" t="s">
        <v>2087</v>
      </c>
      <c r="M19" s="746"/>
      <c r="U19" s="691"/>
    </row>
    <row r="20" spans="3:21" x14ac:dyDescent="0.35">
      <c r="C20" s="741">
        <f t="shared" si="1"/>
        <v>13</v>
      </c>
      <c r="D20" s="741" t="s">
        <v>472</v>
      </c>
      <c r="E20" s="742">
        <v>45159</v>
      </c>
      <c r="F20" s="741" t="s">
        <v>195</v>
      </c>
      <c r="H20" s="41" t="s">
        <v>681</v>
      </c>
      <c r="I20" s="979" t="b">
        <f ca="1">I19&gt;=0</f>
        <v>1</v>
      </c>
      <c r="J20" s="42"/>
      <c r="K20" t="s">
        <v>2087</v>
      </c>
      <c r="M20" s="746"/>
      <c r="U20" s="691"/>
    </row>
    <row r="21" spans="3:21" x14ac:dyDescent="0.35">
      <c r="C21" s="741">
        <f t="shared" si="1"/>
        <v>14</v>
      </c>
      <c r="D21" s="741" t="s">
        <v>3</v>
      </c>
      <c r="E21" s="742">
        <v>45160</v>
      </c>
      <c r="F21" s="741" t="s">
        <v>4</v>
      </c>
      <c r="H21" s="42" t="b">
        <f ca="1">I16&lt;32</f>
        <v>0</v>
      </c>
      <c r="I21" s="42" t="s">
        <v>1217</v>
      </c>
      <c r="J21" s="42"/>
      <c r="K21" t="s">
        <v>2087</v>
      </c>
      <c r="M21" s="746"/>
      <c r="U21" s="691"/>
    </row>
    <row r="22" spans="3:21" x14ac:dyDescent="0.35">
      <c r="C22" s="741">
        <f t="shared" si="1"/>
        <v>15</v>
      </c>
      <c r="D22" s="741" t="s">
        <v>578</v>
      </c>
      <c r="E22" s="742">
        <v>45200</v>
      </c>
      <c r="F22" s="741" t="s">
        <v>579</v>
      </c>
      <c r="H22" s="42" t="s">
        <v>706</v>
      </c>
      <c r="I22" s="34" t="str">
        <f ca="1">IF(I16&lt;0,"Licence Expired",IF(I16&lt;32,"Licence Expires "&amp;J16,""))</f>
        <v/>
      </c>
      <c r="J22" s="42"/>
      <c r="K22" t="s">
        <v>2087</v>
      </c>
      <c r="M22" s="746"/>
      <c r="U22" s="691"/>
    </row>
    <row r="23" spans="3:21" ht="15" thickBot="1" x14ac:dyDescent="0.4">
      <c r="C23" s="741">
        <f t="shared" si="1"/>
        <v>16</v>
      </c>
      <c r="D23" s="741" t="s">
        <v>1205</v>
      </c>
      <c r="E23" s="742">
        <v>45217</v>
      </c>
      <c r="F23" s="741" t="s">
        <v>265</v>
      </c>
      <c r="H23" s="42" t="s">
        <v>706</v>
      </c>
      <c r="I23" s="34" t="str">
        <f ca="1">IF(I16&lt;0,J19,"")</f>
        <v/>
      </c>
      <c r="J23" s="42"/>
      <c r="K23" t="s">
        <v>2087</v>
      </c>
      <c r="M23" s="751"/>
      <c r="N23" s="752"/>
      <c r="O23" s="752"/>
      <c r="P23" s="752"/>
      <c r="Q23" s="752"/>
      <c r="R23" s="752"/>
      <c r="S23" s="752"/>
      <c r="T23" s="752"/>
      <c r="U23" s="753"/>
    </row>
    <row r="24" spans="3:21" x14ac:dyDescent="0.35">
      <c r="C24" s="741">
        <f t="shared" si="1"/>
        <v>17</v>
      </c>
      <c r="D24" s="741" t="s">
        <v>1825</v>
      </c>
      <c r="E24" s="742">
        <v>45217</v>
      </c>
      <c r="F24" s="741" t="s">
        <v>1826</v>
      </c>
      <c r="H24" s="42" t="s">
        <v>1016</v>
      </c>
      <c r="I24" s="42" t="b">
        <f ca="1">I23&lt;&gt;""</f>
        <v>0</v>
      </c>
      <c r="J24" s="42"/>
      <c r="K24" t="s">
        <v>2087</v>
      </c>
    </row>
    <row r="25" spans="3:21" x14ac:dyDescent="0.35">
      <c r="C25" s="741">
        <f t="shared" ref="C25:C30" si="2">IF(F25&lt;&gt;"",ROW()-7,"")</f>
        <v>18</v>
      </c>
      <c r="D25" s="741" t="s">
        <v>543</v>
      </c>
      <c r="E25" s="742">
        <v>45253</v>
      </c>
      <c r="F25" s="741" t="s">
        <v>544</v>
      </c>
      <c r="H25" s="42" t="s">
        <v>711</v>
      </c>
      <c r="I25" s="42" t="str">
        <f ca="1">I22&amp;"  "&amp;I23</f>
        <v xml:space="preserve">  </v>
      </c>
      <c r="J25" s="42"/>
      <c r="K25" t="s">
        <v>2087</v>
      </c>
    </row>
    <row r="26" spans="3:21" x14ac:dyDescent="0.35">
      <c r="C26" s="741">
        <f t="shared" si="2"/>
        <v>19</v>
      </c>
      <c r="D26" s="741" t="s">
        <v>2500</v>
      </c>
      <c r="E26" s="742">
        <v>45297</v>
      </c>
      <c r="F26" s="741" t="s">
        <v>2501</v>
      </c>
      <c r="K26" t="s">
        <v>2087</v>
      </c>
    </row>
    <row r="27" spans="3:21" x14ac:dyDescent="0.35">
      <c r="C27" s="741">
        <f t="shared" si="2"/>
        <v>20</v>
      </c>
      <c r="D27" s="741" t="s">
        <v>1118</v>
      </c>
      <c r="E27" s="742">
        <v>45315</v>
      </c>
      <c r="F27" s="741" t="s">
        <v>1119</v>
      </c>
      <c r="H27" s="503" t="s">
        <v>417</v>
      </c>
      <c r="I27" s="503"/>
      <c r="J27" s="503"/>
      <c r="K27" t="s">
        <v>2087</v>
      </c>
    </row>
    <row r="28" spans="3:21" x14ac:dyDescent="0.35">
      <c r="C28" s="741">
        <f t="shared" si="2"/>
        <v>21</v>
      </c>
      <c r="D28" s="741" t="s">
        <v>2799</v>
      </c>
      <c r="E28" s="742">
        <v>45349</v>
      </c>
      <c r="F28" s="741" t="s">
        <v>2800</v>
      </c>
      <c r="H28" s="503" t="s">
        <v>416</v>
      </c>
      <c r="I28" s="503" t="s">
        <v>269</v>
      </c>
      <c r="J28" s="503" t="s">
        <v>337</v>
      </c>
      <c r="K28" t="s">
        <v>2087</v>
      </c>
    </row>
    <row r="29" spans="3:21" x14ac:dyDescent="0.35">
      <c r="C29" s="741">
        <f t="shared" si="2"/>
        <v>22</v>
      </c>
      <c r="D29" s="741" t="s">
        <v>2803</v>
      </c>
      <c r="E29" s="742">
        <v>45357</v>
      </c>
      <c r="F29" s="741" t="s">
        <v>2804</v>
      </c>
      <c r="H29" s="503">
        <v>1</v>
      </c>
      <c r="I29" s="503" t="str">
        <f>text!D9</f>
        <v>2023/24</v>
      </c>
      <c r="J29" s="503" t="b">
        <f ca="1">I20</f>
        <v>1</v>
      </c>
      <c r="K29" t="s">
        <v>2087</v>
      </c>
    </row>
    <row r="30" spans="3:21" x14ac:dyDescent="0.35">
      <c r="C30" s="741">
        <f t="shared" si="2"/>
        <v>23</v>
      </c>
      <c r="D30" s="741" t="s">
        <v>2805</v>
      </c>
      <c r="E30" s="742">
        <v>45362</v>
      </c>
      <c r="F30" s="741" t="s">
        <v>2806</v>
      </c>
      <c r="H30" s="503">
        <v>2</v>
      </c>
      <c r="I30" s="503" t="str">
        <f>text!D10</f>
        <v>2024/25</v>
      </c>
      <c r="J30" s="503" t="b">
        <f ca="1">J29</f>
        <v>1</v>
      </c>
      <c r="K30" t="s">
        <v>2087</v>
      </c>
    </row>
    <row r="31" spans="3:21" x14ac:dyDescent="0.35">
      <c r="C31" s="741">
        <f t="shared" ref="C31:C46" si="3">IF(F31&lt;&gt;"",ROW()-7,"")</f>
        <v>24</v>
      </c>
      <c r="D31" s="741" t="s">
        <v>2809</v>
      </c>
      <c r="E31" s="742">
        <v>45371</v>
      </c>
      <c r="F31" s="741" t="s">
        <v>2810</v>
      </c>
      <c r="H31" s="503">
        <v>3</v>
      </c>
      <c r="I31" s="503" t="str">
        <f>text!D11</f>
        <v>2025/26</v>
      </c>
      <c r="J31" s="503" t="b">
        <f ca="1">J30</f>
        <v>1</v>
      </c>
      <c r="K31" t="s">
        <v>2087</v>
      </c>
    </row>
    <row r="32" spans="3:21" x14ac:dyDescent="0.35">
      <c r="C32" s="741">
        <f t="shared" ref="C32:C37" si="4">IF(F32&lt;&gt;"",ROW()-7,"")</f>
        <v>25</v>
      </c>
      <c r="D32" s="741" t="s">
        <v>2823</v>
      </c>
      <c r="E32" s="742">
        <v>45474</v>
      </c>
      <c r="F32" s="741" t="s">
        <v>2824</v>
      </c>
      <c r="H32" s="503">
        <v>4</v>
      </c>
      <c r="I32" s="503" t="str">
        <f>text!D12</f>
        <v>2026/27</v>
      </c>
      <c r="J32" s="503" t="b">
        <f ca="1">J31</f>
        <v>1</v>
      </c>
      <c r="K32" t="s">
        <v>2087</v>
      </c>
    </row>
    <row r="33" spans="3:11" x14ac:dyDescent="0.35">
      <c r="C33" s="741">
        <f t="shared" si="4"/>
        <v>26</v>
      </c>
      <c r="D33" s="741" t="s">
        <v>2825</v>
      </c>
      <c r="E33" s="742">
        <v>45489</v>
      </c>
      <c r="F33" s="741" t="s">
        <v>2826</v>
      </c>
      <c r="H33" s="503">
        <v>5</v>
      </c>
      <c r="I33" s="503" t="str">
        <f>text!D13</f>
        <v>2027/28</v>
      </c>
      <c r="J33" s="503" t="b">
        <f ca="1">J32</f>
        <v>1</v>
      </c>
      <c r="K33" t="s">
        <v>2087</v>
      </c>
    </row>
    <row r="34" spans="3:11" x14ac:dyDescent="0.35">
      <c r="C34" s="741">
        <f t="shared" si="4"/>
        <v>27</v>
      </c>
      <c r="D34" s="741" t="s">
        <v>2863</v>
      </c>
      <c r="E34" s="742">
        <v>45596</v>
      </c>
      <c r="F34" s="741" t="s">
        <v>2870</v>
      </c>
      <c r="H34" s="503">
        <v>6</v>
      </c>
      <c r="I34" s="503" t="str">
        <f>text!D14</f>
        <v>2028/29</v>
      </c>
      <c r="J34" s="503" t="b">
        <f ca="1">J33</f>
        <v>1</v>
      </c>
      <c r="K34" t="s">
        <v>2087</v>
      </c>
    </row>
    <row r="35" spans="3:11" x14ac:dyDescent="0.35">
      <c r="C35" s="741">
        <f t="shared" si="4"/>
        <v>28</v>
      </c>
      <c r="D35" s="741" t="s">
        <v>2871</v>
      </c>
      <c r="E35" s="742">
        <v>45672</v>
      </c>
      <c r="F35" s="741" t="s">
        <v>2947</v>
      </c>
      <c r="H35" s="42"/>
      <c r="I35" s="42"/>
      <c r="J35" s="42"/>
      <c r="K35" t="s">
        <v>2087</v>
      </c>
    </row>
    <row r="36" spans="3:11" x14ac:dyDescent="0.35">
      <c r="C36" s="741">
        <f t="shared" si="4"/>
        <v>29</v>
      </c>
      <c r="D36" s="741" t="s">
        <v>2954</v>
      </c>
      <c r="E36" s="742">
        <v>45677</v>
      </c>
      <c r="F36" s="741" t="s">
        <v>2955</v>
      </c>
      <c r="K36" t="s">
        <v>2087</v>
      </c>
    </row>
    <row r="37" spans="3:11" x14ac:dyDescent="0.35">
      <c r="C37" s="741">
        <f t="shared" si="4"/>
        <v>30</v>
      </c>
      <c r="D37" s="741" t="s">
        <v>2956</v>
      </c>
      <c r="E37" s="742">
        <v>45694</v>
      </c>
      <c r="F37" s="741" t="s">
        <v>2957</v>
      </c>
      <c r="H37" s="503" t="s">
        <v>759</v>
      </c>
      <c r="I37" s="503">
        <f ca="1">RAND()*100000</f>
        <v>19914.075312247427</v>
      </c>
      <c r="J37" s="503" t="str">
        <f ca="1">LEFT(I37,3)</f>
        <v>199</v>
      </c>
      <c r="K37" t="s">
        <v>2087</v>
      </c>
    </row>
    <row r="38" spans="3:11" x14ac:dyDescent="0.35">
      <c r="C38" s="741">
        <f>IF(F38&lt;&gt;"",ROW()-7,"")</f>
        <v>31</v>
      </c>
      <c r="D38" s="741" t="s">
        <v>2972</v>
      </c>
      <c r="E38" s="742">
        <v>45717</v>
      </c>
      <c r="F38" s="741" t="s">
        <v>2973</v>
      </c>
      <c r="G38" s="40" t="s">
        <v>2418</v>
      </c>
      <c r="H38" s="2103" t="str">
        <f>IF(F1=TRUE,"",IF(I5="",H3,IF(J5&gt;0,H39,IF(J5=0,H40,H41))))</f>
        <v/>
      </c>
      <c r="K38" t="s">
        <v>2087</v>
      </c>
    </row>
    <row r="39" spans="3:11" x14ac:dyDescent="0.35">
      <c r="C39" s="741">
        <f>IF(F39&lt;&gt;"",ROW()-7,"")</f>
        <v>32</v>
      </c>
      <c r="D39" s="741" t="s">
        <v>3024</v>
      </c>
      <c r="E39" s="742">
        <v>45747</v>
      </c>
      <c r="F39" s="741" t="s">
        <v>3025</v>
      </c>
      <c r="H39" s="35" t="str">
        <f ca="1">"Advanced Trial Ends in "&amp;J5&amp;J39</f>
        <v>Advanced Trial Ends in -1138 Days</v>
      </c>
      <c r="J39" s="35" t="str">
        <f ca="1">IF(J5=1," Day"," Days")</f>
        <v xml:space="preserve"> Days</v>
      </c>
      <c r="K39" t="s">
        <v>2087</v>
      </c>
    </row>
    <row r="40" spans="3:11" x14ac:dyDescent="0.35">
      <c r="C40" s="741">
        <f>IF(F40&lt;&gt;"",ROW()-7,"")</f>
        <v>33</v>
      </c>
      <c r="D40" s="741" t="s">
        <v>3030</v>
      </c>
      <c r="E40" s="742">
        <v>45824</v>
      </c>
      <c r="F40" s="741" t="s">
        <v>3031</v>
      </c>
      <c r="H40" s="35" t="str">
        <f>"Trial Ends Today"</f>
        <v>Trial Ends Today</v>
      </c>
      <c r="K40" t="s">
        <v>2087</v>
      </c>
    </row>
    <row r="41" spans="3:11" x14ac:dyDescent="0.35">
      <c r="C41" s="741">
        <f>IF(F41&lt;&gt;"",ROW()-7,"")</f>
        <v>34</v>
      </c>
      <c r="D41" s="741" t="s">
        <v>3032</v>
      </c>
      <c r="E41" s="742">
        <v>45847</v>
      </c>
      <c r="F41" s="741" t="s">
        <v>3033</v>
      </c>
      <c r="H41" s="35" t="str">
        <f ca="1">IF(J5&lt;-8,H3,"Trial Over. ")</f>
        <v>Your Licence is 'Basic Only'. To activate the Advanced features please upgrade. Go to www.calcurate.co.uk</v>
      </c>
      <c r="K41" t="s">
        <v>2087</v>
      </c>
    </row>
    <row r="42" spans="3:11" x14ac:dyDescent="0.35">
      <c r="C42" s="741">
        <f>IF(F42&lt;&gt;"",ROW()-7,"")</f>
        <v>35</v>
      </c>
      <c r="D42" s="741" t="s">
        <v>3037</v>
      </c>
      <c r="E42" s="742">
        <v>45860</v>
      </c>
      <c r="F42" s="741" t="s">
        <v>3038</v>
      </c>
      <c r="G42" s="40" t="s">
        <v>2419</v>
      </c>
      <c r="H42" s="35" t="str">
        <f ca="1">IF(I20=FALSE,"",IF(F1=TRUE,"",H43))</f>
        <v/>
      </c>
      <c r="K42" t="s">
        <v>2087</v>
      </c>
    </row>
    <row r="43" spans="3:11" x14ac:dyDescent="0.35">
      <c r="C43" s="741">
        <f t="shared" si="3"/>
        <v>36</v>
      </c>
      <c r="D43" s="741" t="s">
        <v>3039</v>
      </c>
      <c r="E43" s="742">
        <v>45884</v>
      </c>
      <c r="F43" s="741" t="s">
        <v>3040</v>
      </c>
      <c r="H43" s="35" t="str">
        <f ca="1">IF(J5=0,H40,IF(J5&gt;0,H39,""))</f>
        <v/>
      </c>
      <c r="K43" t="s">
        <v>2087</v>
      </c>
    </row>
    <row r="44" spans="3:11" x14ac:dyDescent="0.35">
      <c r="C44" s="741">
        <f t="shared" ref="C44" si="5">IF(F44&lt;&gt;"",ROW()-7,"")</f>
        <v>37</v>
      </c>
      <c r="D44" s="741" t="s">
        <v>3042</v>
      </c>
      <c r="E44" s="742">
        <v>45916</v>
      </c>
      <c r="F44" s="741" t="s">
        <v>3043</v>
      </c>
      <c r="K44" t="s">
        <v>2087</v>
      </c>
    </row>
    <row r="45" spans="3:11" x14ac:dyDescent="0.35">
      <c r="C45" s="741">
        <f t="shared" ref="C45" si="6">IF(F45&lt;&gt;"",ROW()-7,"")</f>
        <v>38</v>
      </c>
      <c r="D45" s="741" t="s">
        <v>3046</v>
      </c>
      <c r="E45" s="742">
        <v>46099</v>
      </c>
      <c r="F45" s="741" t="s">
        <v>3047</v>
      </c>
      <c r="K45" t="s">
        <v>2087</v>
      </c>
    </row>
    <row r="46" spans="3:11" x14ac:dyDescent="0.35">
      <c r="C46" s="741" t="str">
        <f t="shared" si="3"/>
        <v/>
      </c>
      <c r="D46" s="741"/>
      <c r="E46" s="741"/>
      <c r="F46" s="741"/>
      <c r="K46" t="s">
        <v>2087</v>
      </c>
    </row>
  </sheetData>
  <sheetProtection algorithmName="SHA-512" hashValue="m7iyoqoOKGM+WTyop8wU6W8MC2MPUv0Gjz4cWIS3pl6zB507ouwKB2I+v/GAudmxweVyHHtDMdegXF23IDCD6Q==" saltValue="jq8q+WXM8NMBplUDn+rqSQ==" spinCount="100000" sheet="1" objects="1" scenarios="1"/>
  <phoneticPr fontId="0" type="noConversion"/>
  <conditionalFormatting sqref="D2:H2">
    <cfRule type="expression" dxfId="32" priority="1" stopIfTrue="1">
      <formula>$D$2&lt;&gt;""</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goto_home">
                <anchor moveWithCells="1" sizeWithCells="1">
                  <from>
                    <xdr:col>0</xdr:col>
                    <xdr:colOff>139700</xdr:colOff>
                    <xdr:row>1</xdr:row>
                    <xdr:rowOff>6350</xdr:rowOff>
                  </from>
                  <to>
                    <xdr:col>0</xdr:col>
                    <xdr:colOff>609600</xdr:colOff>
                    <xdr:row>2</xdr:row>
                    <xdr:rowOff>127000</xdr:rowOff>
                  </to>
                </anchor>
              </controlPr>
            </control>
          </mc:Choice>
        </mc:AlternateContent>
        <mc:AlternateContent xmlns:mc="http://schemas.openxmlformats.org/markup-compatibility/2006">
          <mc:Choice Requires="x14">
            <control shapeId="5122" r:id="rId5" name="Button 2">
              <controlPr defaultSize="0" print="0" autoFill="0" autoPict="0" macro="[0]!hidecodes">
                <anchor moveWithCells="1" sizeWithCells="1">
                  <from>
                    <xdr:col>0</xdr:col>
                    <xdr:colOff>139700</xdr:colOff>
                    <xdr:row>5</xdr:row>
                    <xdr:rowOff>6350</xdr:rowOff>
                  </from>
                  <to>
                    <xdr:col>0</xdr:col>
                    <xdr:colOff>609600</xdr:colOff>
                    <xdr:row>6</xdr:row>
                    <xdr:rowOff>127000</xdr:rowOff>
                  </to>
                </anchor>
              </controlPr>
            </control>
          </mc:Choice>
        </mc:AlternateContent>
        <mc:AlternateContent xmlns:mc="http://schemas.openxmlformats.org/markup-compatibility/2006">
          <mc:Choice Requires="x14">
            <control shapeId="5123" r:id="rId6" name="Button 3">
              <controlPr defaultSize="0" print="0" autoFill="0" autoPict="0" macro="[0]!unhidecodes">
                <anchor moveWithCells="1" sizeWithCells="1">
                  <from>
                    <xdr:col>28</xdr:col>
                    <xdr:colOff>76200</xdr:colOff>
                    <xdr:row>0</xdr:row>
                    <xdr:rowOff>101600</xdr:rowOff>
                  </from>
                  <to>
                    <xdr:col>29</xdr:col>
                    <xdr:colOff>533400</xdr:colOff>
                    <xdr:row>5</xdr:row>
                    <xdr:rowOff>44450</xdr:rowOff>
                  </to>
                </anchor>
              </controlPr>
            </control>
          </mc:Choice>
        </mc:AlternateContent>
        <mc:AlternateContent xmlns:mc="http://schemas.openxmlformats.org/markup-compatibility/2006">
          <mc:Choice Requires="x14">
            <control shapeId="5124" r:id="rId7" name="Button 4">
              <controlPr defaultSize="0" print="0" autoFill="0" autoPict="0" macro="[0]!goto_selected">
                <anchor moveWithCells="1" sizeWithCells="1">
                  <from>
                    <xdr:col>12</xdr:col>
                    <xdr:colOff>184150</xdr:colOff>
                    <xdr:row>8</xdr:row>
                    <xdr:rowOff>0</xdr:rowOff>
                  </from>
                  <to>
                    <xdr:col>13</xdr:col>
                    <xdr:colOff>330200</xdr:colOff>
                    <xdr:row>17</xdr:row>
                    <xdr:rowOff>31750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ED257-264B-4088-8BE0-925D29D8244B}">
  <sheetPr codeName="Sheet31"/>
  <dimension ref="A1:AK157"/>
  <sheetViews>
    <sheetView showGridLines="0" workbookViewId="0">
      <selection activeCell="C12" sqref="C12"/>
    </sheetView>
  </sheetViews>
  <sheetFormatPr defaultRowHeight="14.5" x14ac:dyDescent="0.35"/>
  <cols>
    <col min="1" max="1" width="12.54296875" customWidth="1"/>
    <col min="2" max="2" width="8.90625" customWidth="1"/>
    <col min="3" max="3" width="59.90625" customWidth="1"/>
    <col min="5" max="5" width="13.54296875" customWidth="1"/>
    <col min="7" max="7" width="7.6328125" customWidth="1"/>
    <col min="8" max="8" width="3.90625" customWidth="1"/>
    <col min="9" max="9" width="3.08984375" customWidth="1"/>
    <col min="11" max="19" width="8.90625" hidden="1" customWidth="1"/>
    <col min="20" max="20" width="26" hidden="1" customWidth="1"/>
    <col min="21" max="22" width="8.90625" hidden="1" customWidth="1"/>
  </cols>
  <sheetData>
    <row r="1" spans="1:37" x14ac:dyDescent="0.35">
      <c r="A1" s="492"/>
      <c r="B1" s="492"/>
      <c r="C1" s="492"/>
      <c r="D1" s="492"/>
      <c r="E1" s="492"/>
      <c r="F1" s="492"/>
      <c r="G1" s="492"/>
      <c r="H1" s="492"/>
      <c r="I1" s="492"/>
      <c r="J1" s="492"/>
      <c r="K1" s="492"/>
      <c r="L1" s="492"/>
      <c r="M1" s="492"/>
      <c r="N1" s="492"/>
      <c r="O1" s="492"/>
      <c r="P1" s="492"/>
      <c r="Q1" s="492"/>
      <c r="R1" s="492"/>
      <c r="S1" s="492"/>
      <c r="T1" s="492"/>
      <c r="U1" s="492"/>
      <c r="V1" s="492"/>
      <c r="W1" s="492"/>
      <c r="X1" s="492"/>
      <c r="Y1" s="492"/>
      <c r="Z1" s="492"/>
      <c r="AA1" s="492"/>
      <c r="AB1" s="492"/>
      <c r="AC1" s="492"/>
      <c r="AD1" s="492"/>
      <c r="AE1" s="492"/>
      <c r="AF1" s="492"/>
      <c r="AG1" s="492"/>
      <c r="AH1" s="492"/>
      <c r="AI1" s="492"/>
      <c r="AJ1" s="492"/>
      <c r="AK1" s="492"/>
    </row>
    <row r="2" spans="1:37" x14ac:dyDescent="0.35">
      <c r="A2" s="492"/>
      <c r="J2" s="492"/>
      <c r="T2" s="522" t="s">
        <v>449</v>
      </c>
      <c r="W2" s="492"/>
      <c r="X2" s="492"/>
      <c r="Y2" s="492"/>
      <c r="Z2" s="492"/>
      <c r="AA2" s="492"/>
      <c r="AB2" s="492"/>
      <c r="AC2" s="492"/>
      <c r="AD2" s="492"/>
      <c r="AE2" s="492"/>
      <c r="AF2" s="492"/>
      <c r="AG2" s="492"/>
      <c r="AH2" s="492"/>
      <c r="AI2" s="492"/>
      <c r="AJ2" s="492"/>
      <c r="AK2" s="492"/>
    </row>
    <row r="3" spans="1:37" ht="27.75" customHeight="1" x14ac:dyDescent="0.35">
      <c r="A3" s="492"/>
      <c r="C3" s="19" t="s">
        <v>178</v>
      </c>
      <c r="J3" s="492"/>
      <c r="W3" s="492"/>
      <c r="X3" s="492"/>
      <c r="Y3" s="492"/>
      <c r="Z3" s="492"/>
      <c r="AA3" s="492"/>
      <c r="AB3" s="492"/>
      <c r="AC3" s="492"/>
      <c r="AD3" s="492"/>
      <c r="AE3" s="492"/>
      <c r="AF3" s="492"/>
      <c r="AG3" s="492"/>
      <c r="AH3" s="492"/>
      <c r="AI3" s="492"/>
      <c r="AJ3" s="492"/>
      <c r="AK3" s="492"/>
    </row>
    <row r="4" spans="1:37" ht="26.25" customHeight="1" x14ac:dyDescent="0.35">
      <c r="A4" s="492"/>
      <c r="C4" s="518" t="s">
        <v>212</v>
      </c>
      <c r="J4" s="492"/>
      <c r="M4" s="508" t="s">
        <v>72</v>
      </c>
      <c r="N4" s="509"/>
      <c r="O4" s="509"/>
      <c r="P4" s="509"/>
      <c r="Q4" s="509"/>
      <c r="R4" s="509"/>
      <c r="S4" s="509"/>
      <c r="T4" s="509"/>
      <c r="U4" s="510"/>
      <c r="W4" s="492"/>
      <c r="X4" s="492"/>
      <c r="Y4" s="492"/>
      <c r="Z4" s="492"/>
      <c r="AA4" s="492"/>
      <c r="AB4" s="492"/>
      <c r="AC4" s="492"/>
      <c r="AD4" s="492"/>
      <c r="AE4" s="492"/>
      <c r="AF4" s="492"/>
      <c r="AG4" s="492"/>
      <c r="AH4" s="492"/>
      <c r="AI4" s="492"/>
      <c r="AJ4" s="492"/>
      <c r="AK4" s="492"/>
    </row>
    <row r="5" spans="1:37" ht="19.5" customHeight="1" x14ac:dyDescent="0.35">
      <c r="A5" s="492"/>
      <c r="C5" s="518" t="s">
        <v>187</v>
      </c>
      <c r="J5" s="492"/>
      <c r="M5" s="511" t="b">
        <f>N5&gt;0</f>
        <v>0</v>
      </c>
      <c r="N5" s="5">
        <f>IF(ISERROR(U5),0,U5)</f>
        <v>0</v>
      </c>
      <c r="O5" s="500" t="s">
        <v>73</v>
      </c>
      <c r="U5" s="503" t="e">
        <f>FIND("/",$C$12)</f>
        <v>#VALUE!</v>
      </c>
      <c r="W5" s="492"/>
      <c r="X5" s="492"/>
      <c r="Y5" s="492"/>
      <c r="Z5" s="492"/>
      <c r="AA5" s="492"/>
      <c r="AB5" s="492"/>
      <c r="AC5" s="492"/>
      <c r="AD5" s="492"/>
      <c r="AE5" s="492"/>
      <c r="AF5" s="492"/>
      <c r="AG5" s="492"/>
      <c r="AH5" s="492"/>
      <c r="AI5" s="492"/>
      <c r="AJ5" s="492"/>
      <c r="AK5" s="492"/>
    </row>
    <row r="6" spans="1:37" ht="15.5" x14ac:dyDescent="0.35">
      <c r="A6" s="492"/>
      <c r="C6" s="518" t="s">
        <v>203</v>
      </c>
      <c r="J6" s="492"/>
      <c r="M6" s="511" t="b">
        <f t="shared" ref="M6:M21" si="0">N6&gt;0</f>
        <v>0</v>
      </c>
      <c r="N6" s="5">
        <f t="shared" ref="N6:N21" si="1">IF(ISERROR(U6),0,U6)</f>
        <v>0</v>
      </c>
      <c r="O6" s="500" t="s">
        <v>74</v>
      </c>
      <c r="U6" s="7" t="e">
        <f>FIND("\",$C$12)</f>
        <v>#VALUE!</v>
      </c>
      <c r="W6" s="492"/>
      <c r="X6" s="492"/>
      <c r="Y6" s="492"/>
      <c r="Z6" s="492"/>
      <c r="AA6" s="492"/>
      <c r="AB6" s="492"/>
      <c r="AC6" s="492"/>
      <c r="AD6" s="492"/>
      <c r="AE6" s="492"/>
      <c r="AF6" s="492"/>
      <c r="AG6" s="492"/>
      <c r="AH6" s="492"/>
      <c r="AI6" s="492"/>
      <c r="AJ6" s="492"/>
      <c r="AK6" s="492"/>
    </row>
    <row r="7" spans="1:37" ht="24.75" customHeight="1" x14ac:dyDescent="0.35">
      <c r="A7" s="492"/>
      <c r="C7" s="518" t="s">
        <v>204</v>
      </c>
      <c r="J7" s="492"/>
      <c r="M7" s="511" t="b">
        <f t="shared" si="0"/>
        <v>0</v>
      </c>
      <c r="N7" s="5">
        <f t="shared" si="1"/>
        <v>0</v>
      </c>
      <c r="O7" s="500" t="s">
        <v>75</v>
      </c>
      <c r="U7" s="7" t="e">
        <f>FIND(":",$C$12)</f>
        <v>#VALUE!</v>
      </c>
      <c r="W7" s="492"/>
      <c r="X7" s="492"/>
      <c r="Y7" s="492"/>
      <c r="Z7" s="492"/>
      <c r="AA7" s="492"/>
      <c r="AB7" s="492"/>
      <c r="AC7" s="492"/>
      <c r="AD7" s="492"/>
      <c r="AE7" s="492"/>
      <c r="AF7" s="492"/>
      <c r="AG7" s="492"/>
      <c r="AH7" s="492"/>
      <c r="AI7" s="492"/>
      <c r="AJ7" s="492"/>
      <c r="AK7" s="492"/>
    </row>
    <row r="8" spans="1:37" ht="15.5" x14ac:dyDescent="0.35">
      <c r="A8" s="492"/>
      <c r="C8" s="518" t="s">
        <v>205</v>
      </c>
      <c r="J8" s="492"/>
      <c r="M8" s="511" t="b">
        <f t="shared" si="0"/>
        <v>0</v>
      </c>
      <c r="N8" s="5">
        <f t="shared" si="1"/>
        <v>0</v>
      </c>
      <c r="O8" s="500" t="s">
        <v>76</v>
      </c>
      <c r="U8" s="7" t="e">
        <f>FIND("*",$C$12)</f>
        <v>#VALUE!</v>
      </c>
      <c r="W8" s="492"/>
      <c r="X8" s="492"/>
      <c r="Y8" s="492"/>
      <c r="Z8" s="492"/>
      <c r="AA8" s="492"/>
      <c r="AB8" s="492"/>
      <c r="AC8" s="492"/>
      <c r="AD8" s="492"/>
      <c r="AE8" s="492"/>
      <c r="AF8" s="492"/>
      <c r="AG8" s="492"/>
      <c r="AH8" s="492"/>
      <c r="AI8" s="492"/>
      <c r="AJ8" s="492"/>
      <c r="AK8" s="492"/>
    </row>
    <row r="9" spans="1:37" ht="15.5" x14ac:dyDescent="0.35">
      <c r="A9" s="492"/>
      <c r="C9" s="518" t="s">
        <v>206</v>
      </c>
      <c r="J9" s="492"/>
      <c r="M9" s="511" t="b">
        <f t="shared" si="0"/>
        <v>0</v>
      </c>
      <c r="N9" s="5">
        <f t="shared" si="1"/>
        <v>0</v>
      </c>
      <c r="O9" s="500" t="s">
        <v>77</v>
      </c>
      <c r="U9" s="7" t="e">
        <f>FIND("?",$C$12)</f>
        <v>#VALUE!</v>
      </c>
      <c r="W9" s="492"/>
      <c r="X9" s="492"/>
      <c r="Y9" s="492"/>
      <c r="Z9" s="492"/>
      <c r="AA9" s="492"/>
      <c r="AB9" s="492"/>
      <c r="AC9" s="492"/>
      <c r="AD9" s="492"/>
      <c r="AE9" s="492"/>
      <c r="AF9" s="492"/>
      <c r="AG9" s="492"/>
      <c r="AH9" s="492"/>
      <c r="AI9" s="492"/>
      <c r="AJ9" s="492"/>
      <c r="AK9" s="492"/>
    </row>
    <row r="10" spans="1:37" ht="10.5" customHeight="1" x14ac:dyDescent="0.35">
      <c r="A10" s="492"/>
      <c r="J10" s="492"/>
      <c r="M10" s="511" t="b">
        <f t="shared" si="0"/>
        <v>0</v>
      </c>
      <c r="N10" s="5">
        <f t="shared" si="1"/>
        <v>0</v>
      </c>
      <c r="O10" s="500" t="s">
        <v>78</v>
      </c>
      <c r="U10" s="7" t="e">
        <f>FIND(CHAR(34),$C$12)</f>
        <v>#VALUE!</v>
      </c>
      <c r="W10" s="492"/>
      <c r="X10" s="492"/>
      <c r="Y10" s="492"/>
      <c r="Z10" s="492"/>
      <c r="AA10" s="492"/>
      <c r="AB10" s="492"/>
      <c r="AC10" s="492"/>
      <c r="AD10" s="492"/>
      <c r="AE10" s="492"/>
      <c r="AF10" s="492"/>
      <c r="AG10" s="492"/>
      <c r="AH10" s="492"/>
      <c r="AI10" s="492"/>
      <c r="AJ10" s="492"/>
      <c r="AK10" s="492"/>
    </row>
    <row r="11" spans="1:37" x14ac:dyDescent="0.35">
      <c r="A11" s="492"/>
      <c r="C11" s="521" t="s">
        <v>91</v>
      </c>
      <c r="J11" s="492"/>
      <c r="M11" s="511" t="b">
        <f t="shared" si="0"/>
        <v>0</v>
      </c>
      <c r="N11" s="5">
        <f t="shared" si="1"/>
        <v>0</v>
      </c>
      <c r="O11" s="500" t="s">
        <v>79</v>
      </c>
      <c r="U11" s="7" t="e">
        <f>FIND("&lt;",$C$12)</f>
        <v>#VALUE!</v>
      </c>
      <c r="W11" s="492"/>
      <c r="X11" s="492"/>
      <c r="Y11" s="492"/>
      <c r="Z11" s="492"/>
      <c r="AA11" s="492"/>
      <c r="AB11" s="492"/>
      <c r="AC11" s="492"/>
      <c r="AD11" s="492"/>
      <c r="AE11" s="492"/>
      <c r="AF11" s="492"/>
      <c r="AG11" s="492"/>
      <c r="AH11" s="492"/>
      <c r="AI11" s="492"/>
      <c r="AJ11" s="492"/>
      <c r="AK11" s="492"/>
    </row>
    <row r="12" spans="1:37" ht="21" customHeight="1" x14ac:dyDescent="0.35">
      <c r="A12" s="492"/>
      <c r="C12" s="520" t="s">
        <v>177</v>
      </c>
      <c r="J12" s="492"/>
      <c r="K12" s="2209"/>
      <c r="M12" s="511" t="b">
        <f t="shared" si="0"/>
        <v>0</v>
      </c>
      <c r="N12" s="5">
        <f t="shared" si="1"/>
        <v>0</v>
      </c>
      <c r="O12" s="500" t="s">
        <v>80</v>
      </c>
      <c r="U12" s="7" t="e">
        <f>FIND("&gt;",$C$12)</f>
        <v>#VALUE!</v>
      </c>
      <c r="W12" s="492"/>
      <c r="X12" s="492"/>
      <c r="Y12" s="492"/>
      <c r="Z12" s="492"/>
      <c r="AA12" s="492"/>
      <c r="AB12" s="492"/>
      <c r="AC12" s="492"/>
      <c r="AD12" s="492"/>
      <c r="AE12" s="492"/>
      <c r="AF12" s="492"/>
      <c r="AG12" s="492"/>
      <c r="AH12" s="492"/>
      <c r="AI12" s="492"/>
      <c r="AJ12" s="492"/>
      <c r="AK12" s="492"/>
    </row>
    <row r="13" spans="1:37" ht="21" customHeight="1" x14ac:dyDescent="0.45">
      <c r="A13" s="492"/>
      <c r="C13" s="519" t="str">
        <f>VLOOKUP(TRUE,M5:O22,3,FALSE)</f>
        <v/>
      </c>
      <c r="D13" s="519"/>
      <c r="E13" s="519"/>
      <c r="F13" s="519"/>
      <c r="G13" s="519"/>
      <c r="H13" s="519"/>
      <c r="J13" s="492"/>
      <c r="M13" s="511" t="b">
        <f t="shared" si="0"/>
        <v>0</v>
      </c>
      <c r="N13" s="5">
        <f t="shared" si="1"/>
        <v>0</v>
      </c>
      <c r="O13" s="500" t="s">
        <v>81</v>
      </c>
      <c r="U13" s="7" t="e">
        <f>FIND("|",$C$12)</f>
        <v>#VALUE!</v>
      </c>
      <c r="W13" s="492"/>
      <c r="X13" s="492"/>
      <c r="Y13" s="492"/>
      <c r="Z13" s="492"/>
      <c r="AA13" s="492"/>
      <c r="AB13" s="492"/>
      <c r="AC13" s="492"/>
      <c r="AD13" s="492"/>
      <c r="AE13" s="492"/>
      <c r="AF13" s="492"/>
      <c r="AG13" s="492"/>
      <c r="AH13" s="492"/>
      <c r="AI13" s="492"/>
      <c r="AJ13" s="492"/>
      <c r="AK13" s="492"/>
    </row>
    <row r="14" spans="1:37" x14ac:dyDescent="0.35">
      <c r="A14" s="492"/>
      <c r="C14" t="s">
        <v>208</v>
      </c>
      <c r="E14" s="500"/>
      <c r="F14" s="522" t="s">
        <v>271</v>
      </c>
      <c r="J14" s="492"/>
      <c r="M14" s="511" t="b">
        <f t="shared" si="0"/>
        <v>0</v>
      </c>
      <c r="N14" s="5">
        <f t="shared" si="1"/>
        <v>0</v>
      </c>
      <c r="O14" s="500" t="s">
        <v>82</v>
      </c>
      <c r="U14" s="7" t="e">
        <f>FIND("~",$C$12)</f>
        <v>#VALUE!</v>
      </c>
      <c r="W14" s="492"/>
      <c r="X14" s="492"/>
      <c r="Y14" s="492"/>
      <c r="Z14" s="492"/>
      <c r="AA14" s="492"/>
      <c r="AB14" s="492"/>
      <c r="AC14" s="492"/>
      <c r="AD14" s="492"/>
      <c r="AE14" s="492"/>
      <c r="AF14" s="492"/>
      <c r="AG14" s="492"/>
      <c r="AH14" s="492"/>
      <c r="AI14" s="492"/>
      <c r="AJ14" s="492"/>
      <c r="AK14" s="492"/>
    </row>
    <row r="15" spans="1:37" x14ac:dyDescent="0.35">
      <c r="A15" s="492"/>
      <c r="C15" t="s">
        <v>209</v>
      </c>
      <c r="E15" s="500"/>
      <c r="F15" s="522" t="s">
        <v>207</v>
      </c>
      <c r="J15" s="492"/>
      <c r="M15" s="511" t="b">
        <f t="shared" si="0"/>
        <v>0</v>
      </c>
      <c r="N15" s="5">
        <f t="shared" si="1"/>
        <v>0</v>
      </c>
      <c r="O15" s="500" t="s">
        <v>83</v>
      </c>
      <c r="U15" s="7" t="e">
        <f>FIND("#",$C$12)</f>
        <v>#VALUE!</v>
      </c>
      <c r="W15" s="492"/>
      <c r="X15" s="492"/>
      <c r="Y15" s="492"/>
      <c r="Z15" s="492"/>
      <c r="AA15" s="492"/>
      <c r="AB15" s="492"/>
      <c r="AC15" s="492"/>
      <c r="AD15" s="492"/>
      <c r="AE15" s="492"/>
      <c r="AF15" s="492"/>
      <c r="AG15" s="492"/>
      <c r="AH15" s="492"/>
      <c r="AI15" s="492"/>
      <c r="AJ15" s="492"/>
      <c r="AK15" s="492"/>
    </row>
    <row r="16" spans="1:37" x14ac:dyDescent="0.35">
      <c r="A16" s="492"/>
      <c r="J16" s="492"/>
      <c r="M16" s="511" t="b">
        <f t="shared" si="0"/>
        <v>0</v>
      </c>
      <c r="N16" s="5">
        <f t="shared" si="1"/>
        <v>0</v>
      </c>
      <c r="O16" s="500" t="s">
        <v>84</v>
      </c>
      <c r="U16" s="7" t="e">
        <f>FIND("%",$C$12)</f>
        <v>#VALUE!</v>
      </c>
      <c r="W16" s="492"/>
      <c r="X16" s="492"/>
      <c r="Y16" s="492"/>
      <c r="Z16" s="492"/>
      <c r="AA16" s="492"/>
      <c r="AB16" s="492"/>
      <c r="AC16" s="492"/>
      <c r="AD16" s="492"/>
      <c r="AE16" s="492"/>
      <c r="AF16" s="492"/>
      <c r="AG16" s="492"/>
      <c r="AH16" s="492"/>
      <c r="AI16" s="492"/>
      <c r="AJ16" s="492"/>
      <c r="AK16" s="492"/>
    </row>
    <row r="17" spans="1:37" x14ac:dyDescent="0.35">
      <c r="A17" s="492"/>
      <c r="J17" s="492"/>
      <c r="M17" s="511" t="b">
        <f t="shared" si="0"/>
        <v>0</v>
      </c>
      <c r="N17" s="5">
        <f t="shared" si="1"/>
        <v>0</v>
      </c>
      <c r="O17" s="500" t="s">
        <v>85</v>
      </c>
      <c r="U17" s="7" t="e">
        <f>FIND("&amp;",$C$12)</f>
        <v>#VALUE!</v>
      </c>
      <c r="W17" s="492"/>
      <c r="X17" s="492"/>
      <c r="Y17" s="492"/>
      <c r="Z17" s="492"/>
      <c r="AA17" s="492"/>
      <c r="AB17" s="492"/>
      <c r="AC17" s="492"/>
      <c r="AD17" s="492"/>
      <c r="AE17" s="492"/>
      <c r="AF17" s="492"/>
      <c r="AG17" s="492"/>
      <c r="AH17" s="492"/>
      <c r="AI17" s="492"/>
      <c r="AJ17" s="492"/>
      <c r="AK17" s="492"/>
    </row>
    <row r="18" spans="1:37" x14ac:dyDescent="0.35">
      <c r="A18" s="492"/>
      <c r="J18" s="492"/>
      <c r="M18" s="511" t="b">
        <f t="shared" si="0"/>
        <v>0</v>
      </c>
      <c r="N18" s="5">
        <f t="shared" si="1"/>
        <v>0</v>
      </c>
      <c r="O18" s="500" t="s">
        <v>86</v>
      </c>
      <c r="U18" s="7" t="e">
        <f>FIND("}",$C$12)</f>
        <v>#VALUE!</v>
      </c>
      <c r="W18" s="492"/>
      <c r="X18" s="492"/>
      <c r="Y18" s="492"/>
      <c r="Z18" s="492"/>
      <c r="AA18" s="492"/>
      <c r="AB18" s="492"/>
      <c r="AC18" s="492"/>
      <c r="AD18" s="492"/>
      <c r="AE18" s="492"/>
      <c r="AF18" s="492"/>
      <c r="AG18" s="492"/>
      <c r="AH18" s="492"/>
      <c r="AI18" s="492"/>
      <c r="AJ18" s="492"/>
      <c r="AK18" s="492"/>
    </row>
    <row r="19" spans="1:37" x14ac:dyDescent="0.35">
      <c r="A19" s="492"/>
      <c r="J19" s="492"/>
      <c r="M19" s="511" t="b">
        <f t="shared" si="0"/>
        <v>0</v>
      </c>
      <c r="N19" s="5">
        <f t="shared" si="1"/>
        <v>0</v>
      </c>
      <c r="O19" s="500" t="s">
        <v>87</v>
      </c>
      <c r="U19" s="7" t="e">
        <f>FIND("{",$C$12)</f>
        <v>#VALUE!</v>
      </c>
      <c r="W19" s="492"/>
      <c r="X19" s="492"/>
      <c r="Y19" s="492"/>
      <c r="Z19" s="492"/>
      <c r="AA19" s="492"/>
      <c r="AB19" s="492"/>
      <c r="AC19" s="492"/>
      <c r="AD19" s="492"/>
      <c r="AE19" s="492"/>
      <c r="AF19" s="492"/>
      <c r="AG19" s="492"/>
      <c r="AH19" s="492"/>
      <c r="AI19" s="492"/>
      <c r="AJ19" s="492"/>
      <c r="AK19" s="492"/>
    </row>
    <row r="20" spans="1:37" ht="15.5" x14ac:dyDescent="0.35">
      <c r="A20" s="492"/>
      <c r="B20" s="2208" t="str">
        <f>IF(M29="CBRE","CBRE","")</f>
        <v>CBRE</v>
      </c>
      <c r="C20" s="9" t="str">
        <f>IF(M29="CBRE","Enter the name of your S Drive Folder below (usually your name)","")</f>
        <v>Enter the name of your S Drive Folder below (usually your name)</v>
      </c>
      <c r="J20" s="492"/>
      <c r="M20" s="511" t="b">
        <f t="shared" si="0"/>
        <v>0</v>
      </c>
      <c r="N20" s="5">
        <f t="shared" si="1"/>
        <v>0</v>
      </c>
      <c r="O20" s="500" t="s">
        <v>1078</v>
      </c>
      <c r="U20" s="7" t="e">
        <f>FIND(".",$C$12)</f>
        <v>#VALUE!</v>
      </c>
      <c r="W20" s="492"/>
      <c r="X20" s="492"/>
      <c r="Y20" s="492"/>
      <c r="Z20" s="492"/>
      <c r="AA20" s="492"/>
      <c r="AB20" s="492"/>
      <c r="AC20" s="492"/>
      <c r="AD20" s="492"/>
      <c r="AE20" s="492"/>
      <c r="AF20" s="492"/>
      <c r="AG20" s="492"/>
      <c r="AH20" s="492"/>
      <c r="AI20" s="492"/>
      <c r="AJ20" s="492"/>
      <c r="AK20" s="492"/>
    </row>
    <row r="21" spans="1:37" ht="17.25" customHeight="1" x14ac:dyDescent="0.45">
      <c r="A21" s="492"/>
      <c r="B21" s="2207" t="str">
        <f>IF(M29="CBRE","&gt;","")</f>
        <v>&gt;</v>
      </c>
      <c r="C21" s="2210"/>
      <c r="J21" s="492"/>
      <c r="M21" s="511" t="b">
        <f t="shared" si="0"/>
        <v>0</v>
      </c>
      <c r="N21" s="5">
        <f t="shared" si="1"/>
        <v>0</v>
      </c>
      <c r="O21" s="500" t="s">
        <v>88</v>
      </c>
      <c r="U21" s="512">
        <f>IF(LEFT($C$12,1)="_",500,0)</f>
        <v>0</v>
      </c>
      <c r="W21" s="492"/>
      <c r="X21" s="492"/>
      <c r="Y21" s="492"/>
      <c r="Z21" s="492"/>
      <c r="AA21" s="492"/>
      <c r="AB21" s="492"/>
      <c r="AC21" s="492"/>
      <c r="AD21" s="492"/>
      <c r="AE21" s="492"/>
      <c r="AF21" s="492"/>
      <c r="AG21" s="492"/>
      <c r="AH21" s="492"/>
      <c r="AI21" s="492"/>
      <c r="AJ21" s="492"/>
      <c r="AK21" s="492"/>
    </row>
    <row r="22" spans="1:37" ht="19.5" customHeight="1" x14ac:dyDescent="0.35">
      <c r="A22" s="492"/>
      <c r="C22" s="28" t="str">
        <f>IF(M29="CBRE","(this will only have effect in this session)","")</f>
        <v>(this will only have effect in this session)</v>
      </c>
      <c r="J22" s="492"/>
      <c r="M22" s="511" t="b">
        <v>1</v>
      </c>
      <c r="N22" s="5">
        <f>SUM(N5:N21)</f>
        <v>0</v>
      </c>
      <c r="O22" s="513" t="s">
        <v>836</v>
      </c>
      <c r="P22" t="s">
        <v>89</v>
      </c>
      <c r="U22" s="503"/>
      <c r="W22" s="492"/>
      <c r="X22" s="492"/>
      <c r="Y22" s="492"/>
      <c r="Z22" s="492"/>
      <c r="AA22" s="492"/>
      <c r="AB22" s="492"/>
      <c r="AC22" s="492"/>
      <c r="AD22" s="492"/>
      <c r="AE22" s="492"/>
      <c r="AF22" s="492"/>
      <c r="AG22" s="492"/>
      <c r="AH22" s="492"/>
      <c r="AI22" s="492"/>
      <c r="AJ22" s="492"/>
      <c r="AK22" s="492"/>
    </row>
    <row r="23" spans="1:37" x14ac:dyDescent="0.35">
      <c r="A23" s="492"/>
      <c r="J23" s="492"/>
      <c r="M23" s="511"/>
      <c r="N23" s="5" t="b">
        <f>N22&gt;0</f>
        <v>0</v>
      </c>
      <c r="O23" s="500" t="s">
        <v>90</v>
      </c>
      <c r="U23" s="514"/>
      <c r="W23" s="492"/>
      <c r="X23" s="492"/>
      <c r="Y23" s="492"/>
      <c r="Z23" s="492"/>
      <c r="AA23" s="492"/>
      <c r="AB23" s="492"/>
      <c r="AC23" s="492"/>
      <c r="AD23" s="492"/>
      <c r="AE23" s="492"/>
      <c r="AF23" s="492"/>
      <c r="AG23" s="492"/>
      <c r="AH23" s="492"/>
      <c r="AI23" s="492"/>
      <c r="AJ23" s="492"/>
      <c r="AK23" s="492"/>
    </row>
    <row r="24" spans="1:37" x14ac:dyDescent="0.35">
      <c r="A24" s="492"/>
      <c r="J24" s="492"/>
      <c r="M24" s="515"/>
      <c r="N24" s="516"/>
      <c r="O24" s="516"/>
      <c r="P24" s="516"/>
      <c r="Q24" s="516"/>
      <c r="R24" s="516"/>
      <c r="S24" s="516"/>
      <c r="T24" s="516"/>
      <c r="U24" s="517"/>
      <c r="W24" s="492"/>
      <c r="X24" s="492"/>
      <c r="Y24" s="492"/>
      <c r="Z24" s="492"/>
      <c r="AA24" s="492"/>
      <c r="AB24" s="492"/>
      <c r="AC24" s="492"/>
      <c r="AD24" s="492"/>
      <c r="AE24" s="492"/>
      <c r="AF24" s="492"/>
      <c r="AG24" s="492"/>
      <c r="AH24" s="492"/>
      <c r="AI24" s="492"/>
      <c r="AJ24" s="492"/>
      <c r="AK24" s="492"/>
    </row>
    <row r="25" spans="1:37" x14ac:dyDescent="0.35">
      <c r="A25" s="492"/>
      <c r="J25" s="492"/>
      <c r="M25" t="str">
        <f>"Return to "&amp;T2</f>
        <v>Return to basic</v>
      </c>
      <c r="W25" s="492"/>
      <c r="X25" s="492"/>
      <c r="Y25" s="492"/>
      <c r="Z25" s="492"/>
      <c r="AA25" s="492"/>
      <c r="AB25" s="492"/>
      <c r="AC25" s="492"/>
      <c r="AD25" s="492"/>
      <c r="AE25" s="492"/>
      <c r="AF25" s="492"/>
      <c r="AG25" s="492"/>
      <c r="AH25" s="492"/>
      <c r="AI25" s="492"/>
      <c r="AJ25" s="492"/>
      <c r="AK25" s="492"/>
    </row>
    <row r="26" spans="1:37" x14ac:dyDescent="0.35">
      <c r="A26" s="492"/>
      <c r="J26" s="492"/>
      <c r="W26" s="492"/>
      <c r="X26" s="492"/>
      <c r="Y26" s="492"/>
      <c r="Z26" s="492"/>
      <c r="AA26" s="492"/>
      <c r="AB26" s="492"/>
      <c r="AC26" s="492"/>
      <c r="AD26" s="492"/>
      <c r="AE26" s="492"/>
      <c r="AF26" s="492"/>
      <c r="AG26" s="492"/>
      <c r="AH26" s="492"/>
      <c r="AI26" s="492"/>
      <c r="AJ26" s="492"/>
      <c r="AK26" s="492"/>
    </row>
    <row r="27" spans="1:37" x14ac:dyDescent="0.35">
      <c r="A27" s="492"/>
      <c r="J27" s="492"/>
      <c r="W27" s="492"/>
      <c r="X27" s="492"/>
      <c r="Y27" s="492"/>
      <c r="Z27" s="492"/>
      <c r="AA27" s="492"/>
      <c r="AB27" s="492"/>
      <c r="AC27" s="492"/>
      <c r="AD27" s="492"/>
      <c r="AE27" s="492"/>
      <c r="AF27" s="492"/>
      <c r="AG27" s="492"/>
      <c r="AH27" s="492"/>
      <c r="AI27" s="492"/>
      <c r="AJ27" s="492"/>
      <c r="AK27" s="492"/>
    </row>
    <row r="28" spans="1:37" x14ac:dyDescent="0.35">
      <c r="A28" s="492"/>
      <c r="J28" s="492"/>
      <c r="M28" t="str">
        <f>IF(M29="CBRE","CBRE Help","")</f>
        <v>CBRE Help</v>
      </c>
      <c r="W28" s="492"/>
      <c r="X28" s="492"/>
      <c r="Y28" s="492"/>
      <c r="Z28" s="492"/>
      <c r="AA28" s="492"/>
      <c r="AB28" s="492"/>
      <c r="AC28" s="492"/>
      <c r="AD28" s="492"/>
      <c r="AE28" s="492"/>
      <c r="AF28" s="492"/>
      <c r="AG28" s="492"/>
      <c r="AH28" s="492"/>
      <c r="AI28" s="492"/>
      <c r="AJ28" s="492"/>
      <c r="AK28" s="492"/>
    </row>
    <row r="29" spans="1:37" x14ac:dyDescent="0.35">
      <c r="A29" s="492"/>
      <c r="J29" s="492"/>
      <c r="M29" t="str">
        <f>codes!F4</f>
        <v>CBRE</v>
      </c>
      <c r="W29" s="492"/>
      <c r="X29" s="492"/>
      <c r="Y29" s="492"/>
      <c r="Z29" s="492"/>
      <c r="AA29" s="492"/>
      <c r="AB29" s="492"/>
      <c r="AC29" s="492"/>
      <c r="AD29" s="492"/>
      <c r="AE29" s="492"/>
      <c r="AF29" s="492"/>
      <c r="AG29" s="492"/>
      <c r="AH29" s="492"/>
      <c r="AI29" s="492"/>
      <c r="AJ29" s="492"/>
      <c r="AK29" s="492"/>
    </row>
    <row r="30" spans="1:37" x14ac:dyDescent="0.35">
      <c r="A30" s="492"/>
      <c r="J30" s="492"/>
      <c r="M30" t="str">
        <f>IF(AND(C21&lt;&gt;"",M29="CBRE"),"S:\Professional Consultancy\RATING-TAXATION\NATIONAL\"&amp;C21,"Application.DefaultFilePath")</f>
        <v>Application.DefaultFilePath</v>
      </c>
      <c r="W30" s="492"/>
      <c r="X30" s="492"/>
      <c r="Y30" s="492"/>
      <c r="Z30" s="492"/>
      <c r="AA30" s="492"/>
      <c r="AB30" s="492"/>
      <c r="AC30" s="492"/>
      <c r="AD30" s="492"/>
      <c r="AE30" s="492"/>
      <c r="AF30" s="492"/>
      <c r="AG30" s="492"/>
      <c r="AH30" s="492"/>
      <c r="AI30" s="492"/>
      <c r="AJ30" s="492"/>
      <c r="AK30" s="492"/>
    </row>
    <row r="31" spans="1:37" x14ac:dyDescent="0.35">
      <c r="A31" s="492"/>
      <c r="J31" s="492"/>
      <c r="W31" s="492"/>
      <c r="X31" s="492"/>
      <c r="Y31" s="492"/>
      <c r="Z31" s="492"/>
      <c r="AA31" s="492"/>
      <c r="AB31" s="492"/>
      <c r="AC31" s="492"/>
      <c r="AD31" s="492"/>
      <c r="AE31" s="492"/>
      <c r="AF31" s="492"/>
      <c r="AG31" s="492"/>
      <c r="AH31" s="492"/>
      <c r="AI31" s="492"/>
      <c r="AJ31" s="492"/>
      <c r="AK31" s="492"/>
    </row>
    <row r="32" spans="1:37" x14ac:dyDescent="0.35">
      <c r="A32" s="492"/>
      <c r="J32" s="492"/>
      <c r="W32" s="492"/>
      <c r="X32" s="492"/>
      <c r="Y32" s="492"/>
      <c r="Z32" s="492"/>
      <c r="AA32" s="492"/>
      <c r="AB32" s="492"/>
      <c r="AC32" s="492"/>
      <c r="AD32" s="492"/>
      <c r="AE32" s="492"/>
      <c r="AF32" s="492"/>
      <c r="AG32" s="492"/>
      <c r="AH32" s="492"/>
      <c r="AI32" s="492"/>
      <c r="AJ32" s="492"/>
      <c r="AK32" s="492"/>
    </row>
    <row r="33" spans="1:37" x14ac:dyDescent="0.35">
      <c r="A33" s="492"/>
      <c r="J33" s="492"/>
      <c r="W33" s="492"/>
      <c r="X33" s="492"/>
      <c r="Y33" s="492"/>
      <c r="Z33" s="492"/>
      <c r="AA33" s="492"/>
      <c r="AB33" s="492"/>
      <c r="AC33" s="492"/>
      <c r="AD33" s="492"/>
      <c r="AE33" s="492"/>
      <c r="AF33" s="492"/>
      <c r="AG33" s="492"/>
      <c r="AH33" s="492"/>
      <c r="AI33" s="492"/>
      <c r="AJ33" s="492"/>
      <c r="AK33" s="492"/>
    </row>
    <row r="34" spans="1:37" x14ac:dyDescent="0.35">
      <c r="A34" s="492"/>
      <c r="J34" s="492"/>
      <c r="W34" s="492"/>
      <c r="X34" s="492"/>
      <c r="Y34" s="492"/>
      <c r="Z34" s="492"/>
      <c r="AA34" s="492"/>
      <c r="AB34" s="492"/>
      <c r="AC34" s="492"/>
      <c r="AD34" s="492"/>
      <c r="AE34" s="492"/>
      <c r="AF34" s="492"/>
      <c r="AG34" s="492"/>
      <c r="AH34" s="492"/>
      <c r="AI34" s="492"/>
      <c r="AJ34" s="492"/>
      <c r="AK34" s="492"/>
    </row>
    <row r="35" spans="1:37" x14ac:dyDescent="0.35">
      <c r="A35" s="492"/>
      <c r="B35" s="492"/>
      <c r="C35" s="492"/>
      <c r="D35" s="492"/>
      <c r="E35" s="492"/>
      <c r="F35" s="492"/>
      <c r="G35" s="492"/>
      <c r="H35" s="492"/>
      <c r="I35" s="492"/>
      <c r="J35" s="492"/>
      <c r="K35" s="492"/>
      <c r="L35" s="492"/>
      <c r="M35" s="492"/>
      <c r="N35" s="492"/>
      <c r="O35" s="492"/>
      <c r="P35" s="492"/>
      <c r="Q35" s="492"/>
      <c r="R35" s="492"/>
      <c r="S35" s="492"/>
      <c r="T35" s="492"/>
      <c r="U35" s="492"/>
      <c r="V35" s="492"/>
      <c r="W35" s="492"/>
      <c r="X35" s="492"/>
      <c r="Y35" s="492"/>
      <c r="Z35" s="492"/>
      <c r="AA35" s="492"/>
      <c r="AB35" s="492"/>
      <c r="AC35" s="492"/>
      <c r="AD35" s="492"/>
      <c r="AE35" s="492"/>
      <c r="AF35" s="492"/>
      <c r="AG35" s="492"/>
      <c r="AH35" s="492"/>
      <c r="AI35" s="492"/>
      <c r="AJ35" s="492"/>
      <c r="AK35" s="492"/>
    </row>
    <row r="36" spans="1:37" x14ac:dyDescent="0.35">
      <c r="A36" s="492"/>
      <c r="B36" s="492"/>
      <c r="C36" s="492"/>
      <c r="D36" s="492"/>
      <c r="E36" s="492"/>
      <c r="F36" s="492"/>
      <c r="G36" s="492"/>
      <c r="H36" s="492"/>
      <c r="I36" s="492"/>
      <c r="J36" s="492"/>
      <c r="K36" s="492"/>
      <c r="L36" s="492"/>
      <c r="M36" s="492"/>
      <c r="N36" s="492"/>
      <c r="O36" s="492"/>
      <c r="P36" s="492"/>
      <c r="Q36" s="492"/>
      <c r="R36" s="492"/>
      <c r="S36" s="492"/>
      <c r="T36" s="492"/>
      <c r="U36" s="492"/>
      <c r="V36" s="492"/>
      <c r="W36" s="492"/>
      <c r="X36" s="492"/>
      <c r="Y36" s="492"/>
      <c r="Z36" s="492"/>
      <c r="AA36" s="492"/>
      <c r="AB36" s="492"/>
      <c r="AC36" s="492"/>
      <c r="AD36" s="492"/>
      <c r="AE36" s="492"/>
      <c r="AF36" s="492"/>
      <c r="AG36" s="492"/>
      <c r="AH36" s="492"/>
      <c r="AI36" s="492"/>
      <c r="AJ36" s="492"/>
      <c r="AK36" s="492"/>
    </row>
    <row r="37" spans="1:37" x14ac:dyDescent="0.35">
      <c r="A37" s="492"/>
      <c r="B37" s="492"/>
      <c r="C37" s="492"/>
      <c r="D37" s="492"/>
      <c r="E37" s="492"/>
      <c r="F37" s="492"/>
      <c r="G37" s="492"/>
      <c r="H37" s="492"/>
      <c r="I37" s="492"/>
      <c r="J37" s="492"/>
      <c r="K37" s="492"/>
      <c r="L37" s="492"/>
      <c r="M37" s="492"/>
      <c r="N37" s="492"/>
      <c r="O37" s="492"/>
      <c r="P37" s="492"/>
      <c r="Q37" s="492"/>
      <c r="R37" s="492"/>
      <c r="S37" s="492"/>
      <c r="T37" s="492"/>
      <c r="U37" s="492"/>
      <c r="V37" s="492"/>
      <c r="W37" s="492"/>
      <c r="X37" s="492"/>
      <c r="Y37" s="492"/>
      <c r="Z37" s="492"/>
      <c r="AA37" s="492"/>
      <c r="AB37" s="492"/>
      <c r="AC37" s="492"/>
      <c r="AD37" s="492"/>
      <c r="AE37" s="492"/>
      <c r="AF37" s="492"/>
      <c r="AG37" s="492"/>
      <c r="AH37" s="492"/>
      <c r="AI37" s="492"/>
      <c r="AJ37" s="492"/>
      <c r="AK37" s="492"/>
    </row>
    <row r="38" spans="1:37" x14ac:dyDescent="0.35">
      <c r="A38" s="492"/>
      <c r="B38" s="492"/>
      <c r="C38" s="492"/>
      <c r="D38" s="492"/>
      <c r="E38" s="492"/>
      <c r="F38" s="492"/>
      <c r="G38" s="492"/>
      <c r="H38" s="492"/>
      <c r="I38" s="492"/>
      <c r="J38" s="492"/>
      <c r="K38" s="492"/>
      <c r="L38" s="492"/>
      <c r="M38" s="492"/>
      <c r="N38" s="492"/>
      <c r="O38" s="492"/>
      <c r="P38" s="492"/>
      <c r="Q38" s="492"/>
      <c r="R38" s="492"/>
      <c r="S38" s="492"/>
      <c r="T38" s="492"/>
      <c r="U38" s="492"/>
      <c r="V38" s="492"/>
      <c r="W38" s="492"/>
      <c r="X38" s="492"/>
      <c r="Y38" s="492"/>
      <c r="Z38" s="492"/>
      <c r="AA38" s="492"/>
      <c r="AB38" s="492"/>
      <c r="AC38" s="492"/>
      <c r="AD38" s="492"/>
      <c r="AE38" s="492"/>
      <c r="AF38" s="492"/>
      <c r="AG38" s="492"/>
      <c r="AH38" s="492"/>
      <c r="AI38" s="492"/>
      <c r="AJ38" s="492"/>
      <c r="AK38" s="492"/>
    </row>
    <row r="39" spans="1:37" x14ac:dyDescent="0.35">
      <c r="A39" s="492"/>
      <c r="B39" s="492"/>
      <c r="C39" s="492"/>
      <c r="D39" s="492"/>
      <c r="E39" s="492"/>
      <c r="F39" s="492"/>
      <c r="G39" s="492"/>
      <c r="H39" s="492"/>
      <c r="I39" s="492"/>
      <c r="J39" s="492"/>
      <c r="K39" s="492"/>
      <c r="L39" s="492"/>
      <c r="M39" s="492"/>
      <c r="N39" s="492"/>
      <c r="O39" s="492"/>
      <c r="P39" s="492"/>
      <c r="Q39" s="492"/>
      <c r="R39" s="492"/>
      <c r="S39" s="492"/>
      <c r="T39" s="492"/>
      <c r="U39" s="492"/>
      <c r="V39" s="492"/>
      <c r="W39" s="492"/>
      <c r="X39" s="492"/>
      <c r="Y39" s="492"/>
      <c r="Z39" s="492"/>
      <c r="AA39" s="492"/>
      <c r="AB39" s="492"/>
      <c r="AC39" s="492"/>
      <c r="AD39" s="492"/>
      <c r="AE39" s="492"/>
      <c r="AF39" s="492"/>
      <c r="AG39" s="492"/>
      <c r="AH39" s="492"/>
      <c r="AI39" s="492"/>
      <c r="AJ39" s="492"/>
      <c r="AK39" s="492"/>
    </row>
    <row r="40" spans="1:37" x14ac:dyDescent="0.35">
      <c r="A40" s="492"/>
      <c r="B40" s="492"/>
      <c r="C40" s="492"/>
      <c r="D40" s="492"/>
      <c r="E40" s="492"/>
      <c r="F40" s="492"/>
      <c r="G40" s="492"/>
      <c r="H40" s="492"/>
      <c r="I40" s="492"/>
      <c r="J40" s="492"/>
      <c r="K40" s="492"/>
      <c r="L40" s="492"/>
      <c r="M40" s="492"/>
      <c r="N40" s="492"/>
      <c r="O40" s="492"/>
      <c r="P40" s="492"/>
      <c r="Q40" s="492"/>
      <c r="R40" s="492"/>
      <c r="S40" s="492"/>
      <c r="T40" s="492"/>
      <c r="U40" s="492"/>
      <c r="V40" s="492"/>
      <c r="W40" s="492"/>
      <c r="X40" s="492"/>
      <c r="Y40" s="492"/>
      <c r="Z40" s="492"/>
      <c r="AA40" s="492"/>
      <c r="AB40" s="492"/>
      <c r="AC40" s="492"/>
      <c r="AD40" s="492"/>
      <c r="AE40" s="492"/>
      <c r="AF40" s="492"/>
      <c r="AG40" s="492"/>
      <c r="AH40" s="492"/>
      <c r="AI40" s="492"/>
      <c r="AJ40" s="492"/>
      <c r="AK40" s="492"/>
    </row>
    <row r="41" spans="1:37" x14ac:dyDescent="0.35">
      <c r="A41" s="492"/>
      <c r="B41" s="492"/>
      <c r="C41" s="492"/>
      <c r="D41" s="492"/>
      <c r="E41" s="492"/>
      <c r="F41" s="492"/>
      <c r="G41" s="492"/>
      <c r="H41" s="492"/>
      <c r="I41" s="492"/>
      <c r="J41" s="492"/>
      <c r="K41" s="492"/>
      <c r="L41" s="492"/>
      <c r="M41" s="492"/>
      <c r="N41" s="492"/>
      <c r="O41" s="492"/>
      <c r="P41" s="492"/>
      <c r="Q41" s="492"/>
      <c r="R41" s="492"/>
      <c r="S41" s="492"/>
      <c r="T41" s="492"/>
      <c r="U41" s="492"/>
      <c r="V41" s="492"/>
      <c r="W41" s="492"/>
      <c r="X41" s="492"/>
      <c r="Y41" s="492"/>
      <c r="Z41" s="492"/>
      <c r="AA41" s="492"/>
      <c r="AB41" s="492"/>
      <c r="AC41" s="492"/>
      <c r="AD41" s="492"/>
      <c r="AE41" s="492"/>
      <c r="AF41" s="492"/>
      <c r="AG41" s="492"/>
      <c r="AH41" s="492"/>
      <c r="AI41" s="492"/>
      <c r="AJ41" s="492"/>
      <c r="AK41" s="492"/>
    </row>
    <row r="42" spans="1:37" x14ac:dyDescent="0.35">
      <c r="A42" s="492"/>
      <c r="B42" s="492"/>
      <c r="C42" s="492"/>
      <c r="D42" s="492"/>
      <c r="E42" s="492"/>
      <c r="F42" s="492"/>
      <c r="G42" s="492"/>
      <c r="H42" s="492"/>
      <c r="I42" s="492"/>
      <c r="J42" s="492"/>
      <c r="K42" s="492"/>
      <c r="L42" s="492"/>
      <c r="M42" s="492"/>
      <c r="N42" s="492"/>
      <c r="O42" s="492"/>
      <c r="P42" s="492"/>
      <c r="Q42" s="492"/>
      <c r="R42" s="492"/>
      <c r="S42" s="492"/>
      <c r="T42" s="492"/>
      <c r="U42" s="492"/>
      <c r="V42" s="492"/>
      <c r="W42" s="492"/>
      <c r="X42" s="492"/>
      <c r="Y42" s="492"/>
      <c r="Z42" s="492"/>
      <c r="AA42" s="492"/>
      <c r="AB42" s="492"/>
      <c r="AC42" s="492"/>
      <c r="AD42" s="492"/>
      <c r="AE42" s="492"/>
      <c r="AF42" s="492"/>
      <c r="AG42" s="492"/>
      <c r="AH42" s="492"/>
      <c r="AI42" s="492"/>
      <c r="AJ42" s="492"/>
      <c r="AK42" s="492"/>
    </row>
    <row r="43" spans="1:37" x14ac:dyDescent="0.35">
      <c r="A43" s="492"/>
      <c r="B43" s="492"/>
      <c r="C43" s="492"/>
      <c r="D43" s="492"/>
      <c r="E43" s="492"/>
      <c r="F43" s="492"/>
      <c r="G43" s="492"/>
      <c r="H43" s="492"/>
      <c r="I43" s="492"/>
      <c r="J43" s="492"/>
      <c r="K43" s="492"/>
      <c r="L43" s="492"/>
      <c r="M43" s="492"/>
      <c r="N43" s="492"/>
      <c r="O43" s="492"/>
      <c r="P43" s="492"/>
      <c r="Q43" s="492"/>
      <c r="R43" s="492"/>
      <c r="S43" s="492"/>
      <c r="T43" s="492"/>
      <c r="U43" s="492"/>
      <c r="V43" s="492"/>
      <c r="W43" s="492"/>
      <c r="X43" s="492"/>
      <c r="Y43" s="492"/>
      <c r="Z43" s="492"/>
      <c r="AA43" s="492"/>
      <c r="AB43" s="492"/>
      <c r="AC43" s="492"/>
      <c r="AD43" s="492"/>
      <c r="AE43" s="492"/>
      <c r="AF43" s="492"/>
      <c r="AG43" s="492"/>
      <c r="AH43" s="492"/>
      <c r="AI43" s="492"/>
      <c r="AJ43" s="492"/>
      <c r="AK43" s="492"/>
    </row>
    <row r="44" spans="1:37" x14ac:dyDescent="0.35">
      <c r="A44" s="492"/>
      <c r="B44" s="492"/>
      <c r="C44" s="492"/>
      <c r="D44" s="492"/>
      <c r="E44" s="492"/>
      <c r="F44" s="492"/>
      <c r="G44" s="492"/>
      <c r="H44" s="492"/>
      <c r="I44" s="492"/>
      <c r="J44" s="492"/>
      <c r="K44" s="492"/>
      <c r="L44" s="492"/>
      <c r="M44" s="492"/>
      <c r="N44" s="492"/>
      <c r="O44" s="492"/>
      <c r="P44" s="492"/>
      <c r="Q44" s="492"/>
      <c r="R44" s="492"/>
      <c r="S44" s="492"/>
      <c r="T44" s="492"/>
      <c r="U44" s="492"/>
      <c r="V44" s="492"/>
      <c r="W44" s="492"/>
      <c r="X44" s="492"/>
      <c r="Y44" s="492"/>
      <c r="Z44" s="492"/>
      <c r="AA44" s="492"/>
      <c r="AB44" s="492"/>
      <c r="AC44" s="492"/>
      <c r="AD44" s="492"/>
      <c r="AE44" s="492"/>
      <c r="AF44" s="492"/>
      <c r="AG44" s="492"/>
      <c r="AH44" s="492"/>
      <c r="AI44" s="492"/>
      <c r="AJ44" s="492"/>
      <c r="AK44" s="492"/>
    </row>
    <row r="45" spans="1:37" x14ac:dyDescent="0.35">
      <c r="A45" s="492"/>
      <c r="B45" s="492"/>
      <c r="C45" s="492"/>
      <c r="D45" s="492"/>
      <c r="E45" s="492"/>
      <c r="F45" s="492"/>
      <c r="G45" s="492"/>
      <c r="H45" s="492"/>
      <c r="I45" s="492"/>
      <c r="J45" s="492"/>
      <c r="K45" s="492"/>
      <c r="L45" s="492"/>
      <c r="M45" s="492"/>
      <c r="N45" s="492"/>
      <c r="O45" s="492"/>
      <c r="P45" s="492"/>
      <c r="Q45" s="492"/>
      <c r="R45" s="492"/>
      <c r="S45" s="492"/>
      <c r="T45" s="492"/>
      <c r="U45" s="492"/>
      <c r="V45" s="492"/>
      <c r="W45" s="492"/>
      <c r="X45" s="492"/>
      <c r="Y45" s="492"/>
      <c r="Z45" s="492"/>
      <c r="AA45" s="492"/>
      <c r="AB45" s="492"/>
      <c r="AC45" s="492"/>
      <c r="AD45" s="492"/>
      <c r="AE45" s="492"/>
      <c r="AF45" s="492"/>
      <c r="AG45" s="492"/>
      <c r="AH45" s="492"/>
      <c r="AI45" s="492"/>
      <c r="AJ45" s="492"/>
      <c r="AK45" s="492"/>
    </row>
    <row r="46" spans="1:37" x14ac:dyDescent="0.35">
      <c r="A46" s="492"/>
      <c r="B46" s="492"/>
      <c r="C46" s="492"/>
      <c r="D46" s="492"/>
      <c r="E46" s="492"/>
      <c r="F46" s="492"/>
      <c r="G46" s="492"/>
      <c r="H46" s="492"/>
      <c r="I46" s="492"/>
      <c r="J46" s="492"/>
      <c r="K46" s="492"/>
      <c r="L46" s="492"/>
      <c r="M46" s="492"/>
      <c r="N46" s="492"/>
      <c r="O46" s="492"/>
      <c r="P46" s="492"/>
      <c r="Q46" s="492"/>
      <c r="R46" s="492"/>
      <c r="S46" s="492"/>
      <c r="T46" s="492"/>
      <c r="U46" s="492"/>
      <c r="V46" s="492"/>
      <c r="W46" s="492"/>
      <c r="X46" s="492"/>
      <c r="Y46" s="492"/>
      <c r="Z46" s="492"/>
      <c r="AA46" s="492"/>
      <c r="AB46" s="492"/>
      <c r="AC46" s="492"/>
      <c r="AD46" s="492"/>
      <c r="AE46" s="492"/>
      <c r="AF46" s="492"/>
      <c r="AG46" s="492"/>
      <c r="AH46" s="492"/>
      <c r="AI46" s="492"/>
      <c r="AJ46" s="492"/>
      <c r="AK46" s="492"/>
    </row>
    <row r="47" spans="1:37" x14ac:dyDescent="0.35">
      <c r="A47" s="492"/>
      <c r="B47" s="492"/>
      <c r="C47" s="492"/>
      <c r="D47" s="492"/>
      <c r="E47" s="492"/>
      <c r="F47" s="492"/>
      <c r="G47" s="492"/>
      <c r="H47" s="492"/>
      <c r="I47" s="492"/>
      <c r="J47" s="492"/>
      <c r="K47" s="492"/>
      <c r="L47" s="492"/>
      <c r="M47" s="492"/>
      <c r="N47" s="492"/>
      <c r="O47" s="492"/>
      <c r="P47" s="492"/>
      <c r="Q47" s="492"/>
      <c r="R47" s="492"/>
      <c r="S47" s="492"/>
      <c r="T47" s="492"/>
      <c r="U47" s="492"/>
      <c r="V47" s="492"/>
      <c r="W47" s="492"/>
      <c r="X47" s="492"/>
      <c r="Y47" s="492"/>
      <c r="Z47" s="492"/>
      <c r="AA47" s="492"/>
      <c r="AB47" s="492"/>
      <c r="AC47" s="492"/>
      <c r="AD47" s="492"/>
      <c r="AE47" s="492"/>
      <c r="AF47" s="492"/>
      <c r="AG47" s="492"/>
      <c r="AH47" s="492"/>
      <c r="AI47" s="492"/>
      <c r="AJ47" s="492"/>
      <c r="AK47" s="492"/>
    </row>
    <row r="48" spans="1:37" x14ac:dyDescent="0.35">
      <c r="A48" s="492"/>
      <c r="B48" s="492"/>
      <c r="C48" s="492"/>
      <c r="D48" s="492"/>
      <c r="E48" s="492"/>
      <c r="F48" s="492"/>
      <c r="G48" s="492"/>
      <c r="H48" s="492"/>
      <c r="I48" s="492"/>
      <c r="J48" s="492"/>
      <c r="K48" s="492"/>
      <c r="L48" s="492"/>
      <c r="M48" s="492"/>
      <c r="N48" s="492"/>
      <c r="O48" s="492"/>
      <c r="P48" s="492"/>
      <c r="Q48" s="492"/>
      <c r="R48" s="492"/>
      <c r="S48" s="492"/>
      <c r="T48" s="492"/>
      <c r="U48" s="492"/>
      <c r="V48" s="492"/>
      <c r="W48" s="492"/>
      <c r="X48" s="492"/>
      <c r="Y48" s="492"/>
      <c r="Z48" s="492"/>
      <c r="AA48" s="492"/>
      <c r="AB48" s="492"/>
      <c r="AC48" s="492"/>
      <c r="AD48" s="492"/>
      <c r="AE48" s="492"/>
      <c r="AF48" s="492"/>
      <c r="AG48" s="492"/>
      <c r="AH48" s="492"/>
      <c r="AI48" s="492"/>
      <c r="AJ48" s="492"/>
      <c r="AK48" s="492"/>
    </row>
    <row r="49" spans="1:37" x14ac:dyDescent="0.35">
      <c r="A49" s="492"/>
      <c r="B49" s="492"/>
      <c r="C49" s="492"/>
      <c r="D49" s="492"/>
      <c r="E49" s="492"/>
      <c r="F49" s="492"/>
      <c r="G49" s="492"/>
      <c r="H49" s="492"/>
      <c r="I49" s="492"/>
      <c r="J49" s="492"/>
      <c r="K49" s="492"/>
      <c r="L49" s="492"/>
      <c r="M49" s="492"/>
      <c r="N49" s="492"/>
      <c r="O49" s="492"/>
      <c r="P49" s="492"/>
      <c r="Q49" s="492"/>
      <c r="R49" s="492"/>
      <c r="S49" s="492"/>
      <c r="T49" s="492"/>
      <c r="U49" s="492"/>
      <c r="V49" s="492"/>
      <c r="W49" s="492"/>
      <c r="X49" s="492"/>
      <c r="Y49" s="492"/>
      <c r="Z49" s="492"/>
      <c r="AA49" s="492"/>
      <c r="AB49" s="492"/>
      <c r="AC49" s="492"/>
      <c r="AD49" s="492"/>
      <c r="AE49" s="492"/>
      <c r="AF49" s="492"/>
      <c r="AG49" s="492"/>
      <c r="AH49" s="492"/>
      <c r="AI49" s="492"/>
      <c r="AJ49" s="492"/>
      <c r="AK49" s="492"/>
    </row>
    <row r="50" spans="1:37" x14ac:dyDescent="0.35">
      <c r="A50" s="492"/>
      <c r="B50" s="492"/>
      <c r="C50" s="492"/>
      <c r="D50" s="492"/>
      <c r="E50" s="492"/>
      <c r="F50" s="492"/>
      <c r="G50" s="492"/>
      <c r="H50" s="492"/>
      <c r="I50" s="492"/>
      <c r="J50" s="492"/>
      <c r="K50" s="492"/>
      <c r="L50" s="492"/>
      <c r="M50" s="492"/>
      <c r="N50" s="492"/>
      <c r="O50" s="492"/>
      <c r="P50" s="492"/>
      <c r="Q50" s="492"/>
      <c r="R50" s="492"/>
      <c r="S50" s="492"/>
      <c r="T50" s="492"/>
      <c r="U50" s="492"/>
      <c r="V50" s="492"/>
      <c r="W50" s="492"/>
      <c r="X50" s="492"/>
      <c r="Y50" s="492"/>
      <c r="Z50" s="492"/>
      <c r="AA50" s="492"/>
      <c r="AB50" s="492"/>
      <c r="AC50" s="492"/>
      <c r="AD50" s="492"/>
      <c r="AE50" s="492"/>
      <c r="AF50" s="492"/>
      <c r="AG50" s="492"/>
      <c r="AH50" s="492"/>
      <c r="AI50" s="492"/>
      <c r="AJ50" s="492"/>
      <c r="AK50" s="492"/>
    </row>
    <row r="51" spans="1:37" x14ac:dyDescent="0.35">
      <c r="A51" s="492"/>
      <c r="B51" s="492"/>
      <c r="C51" s="492"/>
      <c r="D51" s="492"/>
      <c r="E51" s="492"/>
      <c r="F51" s="492"/>
      <c r="G51" s="492"/>
      <c r="H51" s="492"/>
      <c r="I51" s="492"/>
      <c r="J51" s="492"/>
      <c r="K51" s="492"/>
      <c r="L51" s="492"/>
      <c r="M51" s="492"/>
      <c r="N51" s="492"/>
      <c r="O51" s="492"/>
      <c r="P51" s="492"/>
      <c r="Q51" s="492"/>
      <c r="R51" s="492"/>
      <c r="S51" s="492"/>
      <c r="T51" s="492"/>
      <c r="U51" s="492"/>
      <c r="V51" s="492"/>
      <c r="W51" s="492"/>
      <c r="X51" s="492"/>
      <c r="Y51" s="492"/>
      <c r="Z51" s="492"/>
      <c r="AA51" s="492"/>
      <c r="AB51" s="492"/>
      <c r="AC51" s="492"/>
      <c r="AD51" s="492"/>
      <c r="AE51" s="492"/>
      <c r="AF51" s="492"/>
      <c r="AG51" s="492"/>
      <c r="AH51" s="492"/>
      <c r="AI51" s="492"/>
      <c r="AJ51" s="492"/>
      <c r="AK51" s="492"/>
    </row>
    <row r="52" spans="1:37" x14ac:dyDescent="0.35">
      <c r="A52" s="492"/>
      <c r="B52" s="492"/>
      <c r="C52" s="492"/>
      <c r="D52" s="492"/>
      <c r="E52" s="492"/>
      <c r="F52" s="492"/>
      <c r="G52" s="492"/>
      <c r="H52" s="492"/>
      <c r="I52" s="492"/>
      <c r="J52" s="492"/>
      <c r="K52" s="492"/>
      <c r="L52" s="492"/>
      <c r="M52" s="492"/>
      <c r="N52" s="492"/>
      <c r="O52" s="492"/>
      <c r="P52" s="492"/>
      <c r="Q52" s="492"/>
      <c r="R52" s="492"/>
      <c r="S52" s="492"/>
      <c r="T52" s="492"/>
      <c r="U52" s="492"/>
      <c r="V52" s="492"/>
      <c r="W52" s="492"/>
      <c r="X52" s="492"/>
      <c r="Y52" s="492"/>
      <c r="Z52" s="492"/>
      <c r="AA52" s="492"/>
      <c r="AB52" s="492"/>
      <c r="AC52" s="492"/>
      <c r="AD52" s="492"/>
      <c r="AE52" s="492"/>
      <c r="AF52" s="492"/>
      <c r="AG52" s="492"/>
      <c r="AH52" s="492"/>
      <c r="AI52" s="492"/>
      <c r="AJ52" s="492"/>
      <c r="AK52" s="492"/>
    </row>
    <row r="53" spans="1:37" x14ac:dyDescent="0.35">
      <c r="A53" s="492"/>
      <c r="B53" s="492"/>
      <c r="C53" s="492"/>
      <c r="D53" s="492"/>
      <c r="E53" s="492"/>
      <c r="F53" s="492"/>
      <c r="G53" s="492"/>
      <c r="H53" s="492"/>
      <c r="I53" s="492"/>
      <c r="J53" s="492"/>
      <c r="K53" s="492"/>
      <c r="L53" s="492"/>
      <c r="M53" s="492"/>
      <c r="N53" s="492"/>
      <c r="O53" s="492"/>
      <c r="P53" s="492"/>
      <c r="Q53" s="492"/>
      <c r="R53" s="492"/>
      <c r="S53" s="492"/>
      <c r="T53" s="492"/>
      <c r="U53" s="492"/>
      <c r="V53" s="492"/>
      <c r="W53" s="492"/>
      <c r="X53" s="492"/>
      <c r="Y53" s="492"/>
      <c r="Z53" s="492"/>
      <c r="AA53" s="492"/>
      <c r="AB53" s="492"/>
      <c r="AC53" s="492"/>
      <c r="AD53" s="492"/>
      <c r="AE53" s="492"/>
      <c r="AF53" s="492"/>
      <c r="AG53" s="492"/>
      <c r="AH53" s="492"/>
      <c r="AI53" s="492"/>
      <c r="AJ53" s="492"/>
      <c r="AK53" s="492"/>
    </row>
    <row r="54" spans="1:37" x14ac:dyDescent="0.35">
      <c r="A54" s="492"/>
      <c r="B54" s="492"/>
      <c r="C54" s="492"/>
      <c r="D54" s="492"/>
      <c r="E54" s="492"/>
      <c r="F54" s="492"/>
      <c r="G54" s="492"/>
      <c r="H54" s="492"/>
      <c r="I54" s="492"/>
      <c r="J54" s="492"/>
      <c r="K54" s="492"/>
      <c r="L54" s="492"/>
      <c r="M54" s="492"/>
      <c r="N54" s="492"/>
      <c r="O54" s="492"/>
      <c r="P54" s="492"/>
      <c r="Q54" s="492"/>
      <c r="R54" s="492"/>
      <c r="S54" s="492"/>
      <c r="T54" s="492"/>
      <c r="U54" s="492"/>
      <c r="V54" s="492"/>
      <c r="W54" s="492"/>
      <c r="X54" s="492"/>
      <c r="Y54" s="492"/>
      <c r="Z54" s="492"/>
      <c r="AA54" s="492"/>
      <c r="AB54" s="492"/>
      <c r="AC54" s="492"/>
      <c r="AD54" s="492"/>
      <c r="AE54" s="492"/>
      <c r="AF54" s="492"/>
      <c r="AG54" s="492"/>
      <c r="AH54" s="492"/>
      <c r="AI54" s="492"/>
      <c r="AJ54" s="492"/>
      <c r="AK54" s="492"/>
    </row>
    <row r="55" spans="1:37" x14ac:dyDescent="0.35">
      <c r="A55" s="492"/>
      <c r="B55" s="492"/>
      <c r="C55" s="492"/>
      <c r="D55" s="492"/>
      <c r="E55" s="492"/>
      <c r="F55" s="492"/>
      <c r="G55" s="492"/>
      <c r="H55" s="492"/>
      <c r="I55" s="492"/>
      <c r="J55" s="492"/>
      <c r="K55" s="492"/>
      <c r="L55" s="492"/>
      <c r="M55" s="492"/>
      <c r="N55" s="492"/>
      <c r="O55" s="492"/>
      <c r="P55" s="492"/>
      <c r="Q55" s="492"/>
      <c r="R55" s="492"/>
      <c r="S55" s="492"/>
      <c r="T55" s="492"/>
      <c r="U55" s="492"/>
      <c r="V55" s="492"/>
      <c r="W55" s="492"/>
      <c r="X55" s="492"/>
      <c r="Y55" s="492"/>
      <c r="Z55" s="492"/>
      <c r="AA55" s="492"/>
      <c r="AB55" s="492"/>
      <c r="AC55" s="492"/>
      <c r="AD55" s="492"/>
      <c r="AE55" s="492"/>
      <c r="AF55" s="492"/>
      <c r="AG55" s="492"/>
      <c r="AH55" s="492"/>
      <c r="AI55" s="492"/>
      <c r="AJ55" s="492"/>
      <c r="AK55" s="492"/>
    </row>
    <row r="56" spans="1:37" x14ac:dyDescent="0.35">
      <c r="A56" s="492"/>
      <c r="B56" s="492"/>
      <c r="C56" s="492"/>
      <c r="D56" s="492"/>
      <c r="E56" s="492"/>
      <c r="F56" s="492"/>
      <c r="G56" s="492"/>
      <c r="H56" s="492"/>
      <c r="I56" s="492"/>
      <c r="J56" s="492"/>
      <c r="K56" s="492"/>
      <c r="L56" s="492"/>
      <c r="M56" s="492"/>
      <c r="N56" s="492"/>
      <c r="O56" s="492"/>
      <c r="P56" s="492"/>
      <c r="Q56" s="492"/>
      <c r="R56" s="492"/>
      <c r="S56" s="492"/>
      <c r="T56" s="492"/>
      <c r="U56" s="492"/>
      <c r="V56" s="492"/>
      <c r="W56" s="492"/>
      <c r="X56" s="492"/>
      <c r="Y56" s="492"/>
      <c r="Z56" s="492"/>
      <c r="AA56" s="492"/>
      <c r="AB56" s="492"/>
      <c r="AC56" s="492"/>
      <c r="AD56" s="492"/>
      <c r="AE56" s="492"/>
      <c r="AF56" s="492"/>
      <c r="AG56" s="492"/>
      <c r="AH56" s="492"/>
      <c r="AI56" s="492"/>
      <c r="AJ56" s="492"/>
      <c r="AK56" s="492"/>
    </row>
    <row r="57" spans="1:37" x14ac:dyDescent="0.35">
      <c r="A57" s="492"/>
      <c r="B57" s="492"/>
      <c r="C57" s="492"/>
      <c r="D57" s="492"/>
      <c r="E57" s="492"/>
      <c r="F57" s="492"/>
      <c r="G57" s="492"/>
      <c r="H57" s="492"/>
      <c r="I57" s="492"/>
      <c r="J57" s="492"/>
      <c r="K57" s="492"/>
      <c r="L57" s="492"/>
      <c r="M57" s="492"/>
      <c r="N57" s="492"/>
      <c r="O57" s="492"/>
      <c r="P57" s="492"/>
      <c r="Q57" s="492"/>
      <c r="R57" s="492"/>
      <c r="S57" s="492"/>
      <c r="T57" s="492"/>
      <c r="U57" s="492"/>
      <c r="V57" s="492"/>
      <c r="W57" s="492"/>
      <c r="X57" s="492"/>
      <c r="Y57" s="492"/>
      <c r="Z57" s="492"/>
      <c r="AA57" s="492"/>
      <c r="AB57" s="492"/>
      <c r="AC57" s="492"/>
      <c r="AD57" s="492"/>
      <c r="AE57" s="492"/>
      <c r="AF57" s="492"/>
      <c r="AG57" s="492"/>
      <c r="AH57" s="492"/>
      <c r="AI57" s="492"/>
      <c r="AJ57" s="492"/>
      <c r="AK57" s="492"/>
    </row>
    <row r="58" spans="1:37" x14ac:dyDescent="0.35">
      <c r="A58" s="492"/>
      <c r="B58" s="492"/>
      <c r="C58" s="492"/>
      <c r="D58" s="492"/>
      <c r="E58" s="492"/>
      <c r="F58" s="492"/>
      <c r="G58" s="492"/>
      <c r="H58" s="492"/>
      <c r="I58" s="492"/>
      <c r="J58" s="492"/>
      <c r="K58" s="492"/>
      <c r="L58" s="492"/>
      <c r="M58" s="492"/>
      <c r="N58" s="492"/>
      <c r="O58" s="492"/>
      <c r="P58" s="492"/>
      <c r="Q58" s="492"/>
      <c r="R58" s="492"/>
      <c r="S58" s="492"/>
      <c r="T58" s="492"/>
      <c r="U58" s="492"/>
      <c r="V58" s="492"/>
      <c r="W58" s="492"/>
      <c r="X58" s="492"/>
      <c r="Y58" s="492"/>
      <c r="Z58" s="492"/>
      <c r="AA58" s="492"/>
      <c r="AB58" s="492"/>
      <c r="AC58" s="492"/>
      <c r="AD58" s="492"/>
      <c r="AE58" s="492"/>
      <c r="AF58" s="492"/>
      <c r="AG58" s="492"/>
      <c r="AH58" s="492"/>
      <c r="AI58" s="492"/>
      <c r="AJ58" s="492"/>
      <c r="AK58" s="492"/>
    </row>
    <row r="59" spans="1:37" x14ac:dyDescent="0.35">
      <c r="A59" s="492"/>
      <c r="B59" s="492"/>
      <c r="C59" s="492"/>
      <c r="D59" s="492"/>
      <c r="E59" s="492"/>
      <c r="F59" s="492"/>
      <c r="G59" s="492"/>
      <c r="H59" s="492"/>
      <c r="I59" s="492"/>
      <c r="J59" s="492"/>
      <c r="K59" s="492"/>
      <c r="L59" s="492"/>
      <c r="M59" s="492"/>
      <c r="N59" s="492"/>
      <c r="O59" s="492"/>
      <c r="P59" s="492"/>
      <c r="Q59" s="492"/>
      <c r="R59" s="492"/>
      <c r="S59" s="492"/>
      <c r="T59" s="492"/>
      <c r="U59" s="492"/>
      <c r="V59" s="492"/>
      <c r="W59" s="492"/>
      <c r="X59" s="492"/>
      <c r="Y59" s="492"/>
      <c r="Z59" s="492"/>
      <c r="AA59" s="492"/>
      <c r="AB59" s="492"/>
      <c r="AC59" s="492"/>
      <c r="AD59" s="492"/>
      <c r="AE59" s="492"/>
      <c r="AF59" s="492"/>
      <c r="AG59" s="492"/>
      <c r="AH59" s="492"/>
      <c r="AI59" s="492"/>
      <c r="AJ59" s="492"/>
      <c r="AK59" s="492"/>
    </row>
    <row r="60" spans="1:37" x14ac:dyDescent="0.35">
      <c r="A60" s="492"/>
      <c r="B60" s="492"/>
      <c r="C60" s="492"/>
      <c r="D60" s="492"/>
      <c r="E60" s="492"/>
      <c r="F60" s="492"/>
      <c r="G60" s="492"/>
      <c r="H60" s="492"/>
      <c r="I60" s="492"/>
      <c r="J60" s="492"/>
      <c r="K60" s="492"/>
      <c r="L60" s="492"/>
      <c r="M60" s="492"/>
      <c r="N60" s="492"/>
      <c r="O60" s="492"/>
      <c r="P60" s="492"/>
      <c r="Q60" s="492"/>
      <c r="R60" s="492"/>
      <c r="S60" s="492"/>
      <c r="T60" s="492"/>
      <c r="U60" s="492"/>
      <c r="V60" s="492"/>
      <c r="W60" s="492"/>
      <c r="X60" s="492"/>
      <c r="Y60" s="492"/>
      <c r="Z60" s="492"/>
      <c r="AA60" s="492"/>
      <c r="AB60" s="492"/>
      <c r="AC60" s="492"/>
      <c r="AD60" s="492"/>
      <c r="AE60" s="492"/>
      <c r="AF60" s="492"/>
      <c r="AG60" s="492"/>
      <c r="AH60" s="492"/>
      <c r="AI60" s="492"/>
      <c r="AJ60" s="492"/>
      <c r="AK60" s="492"/>
    </row>
    <row r="61" spans="1:37" x14ac:dyDescent="0.35">
      <c r="A61" s="492"/>
      <c r="B61" s="492"/>
      <c r="C61" s="492"/>
      <c r="D61" s="492"/>
      <c r="E61" s="492"/>
      <c r="F61" s="492"/>
      <c r="G61" s="492"/>
      <c r="H61" s="492"/>
      <c r="I61" s="492"/>
      <c r="J61" s="492"/>
      <c r="K61" s="492"/>
      <c r="L61" s="492"/>
      <c r="M61" s="492"/>
      <c r="N61" s="492"/>
      <c r="O61" s="492"/>
      <c r="P61" s="492"/>
      <c r="Q61" s="492"/>
      <c r="R61" s="492"/>
      <c r="S61" s="492"/>
      <c r="T61" s="492"/>
      <c r="U61" s="492"/>
      <c r="V61" s="492"/>
      <c r="W61" s="492"/>
      <c r="X61" s="492"/>
      <c r="Y61" s="492"/>
      <c r="Z61" s="492"/>
      <c r="AA61" s="492"/>
      <c r="AB61" s="492"/>
      <c r="AC61" s="492"/>
      <c r="AD61" s="492"/>
      <c r="AE61" s="492"/>
      <c r="AF61" s="492"/>
      <c r="AG61" s="492"/>
      <c r="AH61" s="492"/>
      <c r="AI61" s="492"/>
      <c r="AJ61" s="492"/>
      <c r="AK61" s="492"/>
    </row>
    <row r="62" spans="1:37" x14ac:dyDescent="0.35">
      <c r="A62" s="492"/>
      <c r="B62" s="492"/>
      <c r="C62" s="492"/>
      <c r="D62" s="492"/>
      <c r="E62" s="492"/>
      <c r="F62" s="492"/>
      <c r="G62" s="492"/>
      <c r="H62" s="492"/>
      <c r="I62" s="492"/>
      <c r="J62" s="492"/>
      <c r="K62" s="492"/>
      <c r="L62" s="492"/>
      <c r="M62" s="492"/>
      <c r="N62" s="492"/>
      <c r="O62" s="492"/>
      <c r="P62" s="492"/>
      <c r="Q62" s="492"/>
      <c r="R62" s="492"/>
      <c r="S62" s="492"/>
      <c r="T62" s="492"/>
      <c r="U62" s="492"/>
      <c r="V62" s="492"/>
      <c r="W62" s="492"/>
      <c r="X62" s="492"/>
      <c r="Y62" s="492"/>
      <c r="Z62" s="492"/>
      <c r="AA62" s="492"/>
      <c r="AB62" s="492"/>
      <c r="AC62" s="492"/>
      <c r="AD62" s="492"/>
      <c r="AE62" s="492"/>
      <c r="AF62" s="492"/>
      <c r="AG62" s="492"/>
      <c r="AH62" s="492"/>
      <c r="AI62" s="492"/>
      <c r="AJ62" s="492"/>
      <c r="AK62" s="492"/>
    </row>
    <row r="63" spans="1:37" x14ac:dyDescent="0.35">
      <c r="A63" s="492"/>
      <c r="B63" s="492"/>
      <c r="C63" s="492"/>
      <c r="D63" s="492"/>
      <c r="E63" s="492"/>
      <c r="F63" s="492"/>
      <c r="G63" s="492"/>
      <c r="H63" s="492"/>
      <c r="I63" s="492"/>
      <c r="J63" s="492"/>
      <c r="K63" s="492"/>
      <c r="L63" s="492"/>
      <c r="M63" s="492"/>
      <c r="N63" s="492"/>
      <c r="O63" s="492"/>
      <c r="P63" s="492"/>
      <c r="Q63" s="492"/>
      <c r="R63" s="492"/>
      <c r="S63" s="492"/>
      <c r="T63" s="492"/>
      <c r="U63" s="492"/>
      <c r="V63" s="492"/>
      <c r="W63" s="492"/>
      <c r="X63" s="492"/>
      <c r="Y63" s="492"/>
      <c r="Z63" s="492"/>
      <c r="AA63" s="492"/>
      <c r="AB63" s="492"/>
      <c r="AC63" s="492"/>
      <c r="AD63" s="492"/>
      <c r="AE63" s="492"/>
      <c r="AF63" s="492"/>
      <c r="AG63" s="492"/>
      <c r="AH63" s="492"/>
      <c r="AI63" s="492"/>
      <c r="AJ63" s="492"/>
      <c r="AK63" s="492"/>
    </row>
    <row r="64" spans="1:37" x14ac:dyDescent="0.35">
      <c r="A64" s="492"/>
      <c r="B64" s="492"/>
      <c r="C64" s="492"/>
      <c r="D64" s="492"/>
      <c r="E64" s="492"/>
      <c r="F64" s="492"/>
      <c r="G64" s="492"/>
      <c r="H64" s="492"/>
      <c r="I64" s="492"/>
      <c r="J64" s="492"/>
      <c r="K64" s="492"/>
      <c r="L64" s="492"/>
      <c r="M64" s="492"/>
      <c r="N64" s="492"/>
      <c r="O64" s="492"/>
      <c r="P64" s="492"/>
      <c r="Q64" s="492"/>
      <c r="R64" s="492"/>
      <c r="S64" s="492"/>
      <c r="T64" s="492"/>
      <c r="U64" s="492"/>
      <c r="V64" s="492"/>
      <c r="W64" s="492"/>
      <c r="X64" s="492"/>
      <c r="Y64" s="492"/>
      <c r="Z64" s="492"/>
      <c r="AA64" s="492"/>
      <c r="AB64" s="492"/>
      <c r="AC64" s="492"/>
      <c r="AD64" s="492"/>
      <c r="AE64" s="492"/>
      <c r="AF64" s="492"/>
      <c r="AG64" s="492"/>
      <c r="AH64" s="492"/>
      <c r="AI64" s="492"/>
      <c r="AJ64" s="492"/>
      <c r="AK64" s="492"/>
    </row>
    <row r="65" spans="1:37" x14ac:dyDescent="0.35">
      <c r="A65" s="492"/>
      <c r="B65" s="492"/>
      <c r="C65" s="492"/>
      <c r="D65" s="492"/>
      <c r="E65" s="492"/>
      <c r="F65" s="492"/>
      <c r="G65" s="492"/>
      <c r="H65" s="492"/>
      <c r="I65" s="492"/>
      <c r="J65" s="492"/>
      <c r="K65" s="492"/>
      <c r="L65" s="492"/>
      <c r="M65" s="492"/>
      <c r="N65" s="492"/>
      <c r="O65" s="492"/>
      <c r="P65" s="492"/>
      <c r="Q65" s="492"/>
      <c r="R65" s="492"/>
      <c r="S65" s="492"/>
      <c r="T65" s="492"/>
      <c r="U65" s="492"/>
      <c r="V65" s="492"/>
      <c r="W65" s="492"/>
      <c r="X65" s="492"/>
      <c r="Y65" s="492"/>
      <c r="Z65" s="492"/>
      <c r="AA65" s="492"/>
      <c r="AB65" s="492"/>
      <c r="AC65" s="492"/>
      <c r="AD65" s="492"/>
      <c r="AE65" s="492"/>
      <c r="AF65" s="492"/>
      <c r="AG65" s="492"/>
      <c r="AH65" s="492"/>
      <c r="AI65" s="492"/>
      <c r="AJ65" s="492"/>
      <c r="AK65" s="492"/>
    </row>
    <row r="66" spans="1:37" x14ac:dyDescent="0.35">
      <c r="A66" s="492"/>
      <c r="B66" s="492"/>
      <c r="C66" s="492"/>
      <c r="D66" s="492"/>
      <c r="E66" s="492"/>
      <c r="F66" s="492"/>
      <c r="G66" s="492"/>
      <c r="H66" s="492"/>
      <c r="I66" s="492"/>
      <c r="J66" s="492"/>
      <c r="K66" s="492"/>
      <c r="L66" s="492"/>
      <c r="M66" s="492"/>
      <c r="N66" s="492"/>
      <c r="O66" s="492"/>
      <c r="P66" s="492"/>
      <c r="Q66" s="492"/>
      <c r="R66" s="492"/>
      <c r="S66" s="492"/>
      <c r="T66" s="492"/>
      <c r="U66" s="492"/>
      <c r="V66" s="492"/>
      <c r="W66" s="492"/>
      <c r="X66" s="492"/>
      <c r="Y66" s="492"/>
      <c r="Z66" s="492"/>
      <c r="AA66" s="492"/>
      <c r="AB66" s="492"/>
      <c r="AC66" s="492"/>
      <c r="AD66" s="492"/>
      <c r="AE66" s="492"/>
      <c r="AF66" s="492"/>
      <c r="AG66" s="492"/>
      <c r="AH66" s="492"/>
      <c r="AI66" s="492"/>
      <c r="AJ66" s="492"/>
      <c r="AK66" s="492"/>
    </row>
    <row r="67" spans="1:37" x14ac:dyDescent="0.35">
      <c r="A67" s="492"/>
      <c r="B67" s="492"/>
      <c r="C67" s="492"/>
      <c r="D67" s="492"/>
      <c r="E67" s="492"/>
      <c r="F67" s="492"/>
      <c r="G67" s="492"/>
      <c r="H67" s="492"/>
      <c r="I67" s="492"/>
      <c r="J67" s="492"/>
      <c r="K67" s="492"/>
      <c r="L67" s="492"/>
      <c r="M67" s="492"/>
      <c r="N67" s="492"/>
      <c r="O67" s="492"/>
      <c r="P67" s="492"/>
      <c r="Q67" s="492"/>
      <c r="R67" s="492"/>
      <c r="S67" s="492"/>
      <c r="T67" s="492"/>
      <c r="U67" s="492"/>
      <c r="V67" s="492"/>
      <c r="W67" s="492"/>
      <c r="X67" s="492"/>
      <c r="Y67" s="492"/>
      <c r="Z67" s="492"/>
      <c r="AA67" s="492"/>
      <c r="AB67" s="492"/>
      <c r="AC67" s="492"/>
      <c r="AD67" s="492"/>
      <c r="AE67" s="492"/>
      <c r="AF67" s="492"/>
      <c r="AG67" s="492"/>
      <c r="AH67" s="492"/>
      <c r="AI67" s="492"/>
      <c r="AJ67" s="492"/>
      <c r="AK67" s="492"/>
    </row>
    <row r="68" spans="1:37" x14ac:dyDescent="0.35">
      <c r="A68" s="492"/>
      <c r="B68" s="492"/>
      <c r="C68" s="492"/>
      <c r="D68" s="492"/>
      <c r="E68" s="492"/>
      <c r="F68" s="492"/>
      <c r="G68" s="492"/>
      <c r="H68" s="492"/>
      <c r="I68" s="492"/>
      <c r="J68" s="492"/>
      <c r="K68" s="492"/>
      <c r="L68" s="492"/>
      <c r="M68" s="492"/>
      <c r="N68" s="492"/>
      <c r="O68" s="492"/>
      <c r="P68" s="492"/>
      <c r="Q68" s="492"/>
      <c r="R68" s="492"/>
      <c r="S68" s="492"/>
      <c r="T68" s="492"/>
      <c r="U68" s="492"/>
      <c r="V68" s="492"/>
      <c r="W68" s="492"/>
      <c r="X68" s="492"/>
      <c r="Y68" s="492"/>
      <c r="Z68" s="492"/>
      <c r="AA68" s="492"/>
      <c r="AB68" s="492"/>
      <c r="AC68" s="492"/>
      <c r="AD68" s="492"/>
      <c r="AE68" s="492"/>
      <c r="AF68" s="492"/>
      <c r="AG68" s="492"/>
      <c r="AH68" s="492"/>
      <c r="AI68" s="492"/>
      <c r="AJ68" s="492"/>
      <c r="AK68" s="492"/>
    </row>
    <row r="69" spans="1:37" x14ac:dyDescent="0.35">
      <c r="A69" s="492"/>
      <c r="B69" s="492"/>
      <c r="C69" s="492"/>
      <c r="D69" s="492"/>
      <c r="E69" s="492"/>
      <c r="F69" s="492"/>
      <c r="G69" s="492"/>
      <c r="H69" s="492"/>
      <c r="I69" s="492"/>
      <c r="J69" s="492"/>
      <c r="K69" s="492"/>
      <c r="L69" s="492"/>
      <c r="M69" s="492"/>
      <c r="N69" s="492"/>
      <c r="O69" s="492"/>
      <c r="P69" s="492"/>
      <c r="Q69" s="492"/>
      <c r="R69" s="492"/>
      <c r="S69" s="492"/>
      <c r="T69" s="492"/>
      <c r="U69" s="492"/>
      <c r="V69" s="492"/>
      <c r="W69" s="492"/>
      <c r="X69" s="492"/>
      <c r="Y69" s="492"/>
      <c r="Z69" s="492"/>
      <c r="AA69" s="492"/>
      <c r="AB69" s="492"/>
      <c r="AC69" s="492"/>
      <c r="AD69" s="492"/>
      <c r="AE69" s="492"/>
      <c r="AF69" s="492"/>
      <c r="AG69" s="492"/>
      <c r="AH69" s="492"/>
      <c r="AI69" s="492"/>
      <c r="AJ69" s="492"/>
      <c r="AK69" s="492"/>
    </row>
    <row r="70" spans="1:37" x14ac:dyDescent="0.35">
      <c r="A70" s="492"/>
      <c r="B70" s="492"/>
      <c r="C70" s="492"/>
      <c r="D70" s="492"/>
      <c r="E70" s="492"/>
      <c r="F70" s="492"/>
      <c r="G70" s="492"/>
      <c r="H70" s="492"/>
      <c r="I70" s="492"/>
      <c r="J70" s="492"/>
      <c r="K70" s="492"/>
      <c r="L70" s="492"/>
      <c r="M70" s="492"/>
      <c r="N70" s="492"/>
      <c r="O70" s="492"/>
      <c r="P70" s="492"/>
      <c r="Q70" s="492"/>
      <c r="R70" s="492"/>
      <c r="S70" s="492"/>
      <c r="T70" s="492"/>
      <c r="U70" s="492"/>
      <c r="V70" s="492"/>
      <c r="W70" s="492"/>
      <c r="X70" s="492"/>
      <c r="Y70" s="492"/>
      <c r="Z70" s="492"/>
      <c r="AA70" s="492"/>
      <c r="AB70" s="492"/>
      <c r="AC70" s="492"/>
      <c r="AD70" s="492"/>
      <c r="AE70" s="492"/>
      <c r="AF70" s="492"/>
      <c r="AG70" s="492"/>
      <c r="AH70" s="492"/>
      <c r="AI70" s="492"/>
      <c r="AJ70" s="492"/>
      <c r="AK70" s="492"/>
    </row>
    <row r="71" spans="1:37" x14ac:dyDescent="0.35">
      <c r="A71" s="492"/>
      <c r="B71" s="492"/>
      <c r="C71" s="492"/>
      <c r="D71" s="492"/>
      <c r="E71" s="492"/>
      <c r="F71" s="492"/>
      <c r="G71" s="492"/>
      <c r="H71" s="492"/>
      <c r="I71" s="492"/>
      <c r="J71" s="492"/>
      <c r="K71" s="492"/>
      <c r="L71" s="492"/>
      <c r="M71" s="492"/>
      <c r="N71" s="492"/>
      <c r="O71" s="492"/>
      <c r="P71" s="492"/>
      <c r="Q71" s="492"/>
      <c r="R71" s="492"/>
      <c r="S71" s="492"/>
      <c r="T71" s="492"/>
      <c r="U71" s="492"/>
      <c r="V71" s="492"/>
      <c r="W71" s="492"/>
      <c r="X71" s="492"/>
      <c r="Y71" s="492"/>
      <c r="Z71" s="492"/>
      <c r="AA71" s="492"/>
      <c r="AB71" s="492"/>
      <c r="AC71" s="492"/>
      <c r="AD71" s="492"/>
      <c r="AE71" s="492"/>
      <c r="AF71" s="492"/>
      <c r="AG71" s="492"/>
      <c r="AH71" s="492"/>
      <c r="AI71" s="492"/>
      <c r="AJ71" s="492"/>
      <c r="AK71" s="492"/>
    </row>
    <row r="72" spans="1:37" x14ac:dyDescent="0.35">
      <c r="A72" s="492"/>
      <c r="B72" s="492"/>
      <c r="C72" s="492"/>
      <c r="D72" s="492"/>
      <c r="E72" s="492"/>
      <c r="F72" s="492"/>
      <c r="G72" s="492"/>
      <c r="H72" s="492"/>
      <c r="I72" s="492"/>
      <c r="J72" s="492"/>
      <c r="K72" s="492"/>
      <c r="L72" s="492"/>
      <c r="M72" s="492"/>
      <c r="N72" s="492"/>
      <c r="O72" s="492"/>
      <c r="P72" s="492"/>
      <c r="Q72" s="492"/>
      <c r="R72" s="492"/>
      <c r="S72" s="492"/>
      <c r="T72" s="492"/>
      <c r="U72" s="492"/>
      <c r="V72" s="492"/>
      <c r="W72" s="492"/>
      <c r="X72" s="492"/>
      <c r="Y72" s="492"/>
      <c r="Z72" s="492"/>
      <c r="AA72" s="492"/>
      <c r="AB72" s="492"/>
      <c r="AC72" s="492"/>
      <c r="AD72" s="492"/>
      <c r="AE72" s="492"/>
      <c r="AF72" s="492"/>
      <c r="AG72" s="492"/>
      <c r="AH72" s="492"/>
      <c r="AI72" s="492"/>
      <c r="AJ72" s="492"/>
      <c r="AK72" s="492"/>
    </row>
    <row r="73" spans="1:37" x14ac:dyDescent="0.35">
      <c r="A73" s="492"/>
      <c r="B73" s="492"/>
      <c r="C73" s="492"/>
      <c r="D73" s="492"/>
      <c r="E73" s="492"/>
      <c r="F73" s="492"/>
      <c r="G73" s="492"/>
      <c r="H73" s="492"/>
      <c r="I73" s="492"/>
      <c r="J73" s="492"/>
      <c r="K73" s="492"/>
      <c r="L73" s="492"/>
      <c r="M73" s="492"/>
      <c r="N73" s="492"/>
      <c r="O73" s="492"/>
      <c r="P73" s="492"/>
      <c r="Q73" s="492"/>
      <c r="R73" s="492"/>
      <c r="S73" s="492"/>
      <c r="T73" s="492"/>
      <c r="U73" s="492"/>
      <c r="V73" s="492"/>
      <c r="W73" s="492"/>
      <c r="X73" s="492"/>
      <c r="Y73" s="492"/>
      <c r="Z73" s="492"/>
      <c r="AA73" s="492"/>
      <c r="AB73" s="492"/>
      <c r="AC73" s="492"/>
      <c r="AD73" s="492"/>
      <c r="AE73" s="492"/>
      <c r="AF73" s="492"/>
      <c r="AG73" s="492"/>
      <c r="AH73" s="492"/>
      <c r="AI73" s="492"/>
      <c r="AJ73" s="492"/>
      <c r="AK73" s="492"/>
    </row>
    <row r="74" spans="1:37" x14ac:dyDescent="0.35">
      <c r="A74" s="492"/>
      <c r="B74" s="492"/>
      <c r="C74" s="492"/>
      <c r="D74" s="492"/>
      <c r="E74" s="492"/>
      <c r="F74" s="492"/>
      <c r="G74" s="492"/>
      <c r="H74" s="492"/>
      <c r="I74" s="492"/>
      <c r="J74" s="492"/>
      <c r="K74" s="492"/>
      <c r="L74" s="492"/>
      <c r="M74" s="492"/>
      <c r="N74" s="492"/>
      <c r="O74" s="492"/>
      <c r="P74" s="492"/>
      <c r="Q74" s="492"/>
      <c r="R74" s="492"/>
      <c r="S74" s="492"/>
      <c r="T74" s="492"/>
      <c r="U74" s="492"/>
      <c r="V74" s="492"/>
      <c r="W74" s="492"/>
      <c r="X74" s="492"/>
      <c r="Y74" s="492"/>
      <c r="Z74" s="492"/>
      <c r="AA74" s="492"/>
      <c r="AB74" s="492"/>
      <c r="AC74" s="492"/>
      <c r="AD74" s="492"/>
      <c r="AE74" s="492"/>
      <c r="AF74" s="492"/>
      <c r="AG74" s="492"/>
      <c r="AH74" s="492"/>
      <c r="AI74" s="492"/>
      <c r="AJ74" s="492"/>
      <c r="AK74" s="492"/>
    </row>
    <row r="75" spans="1:37" x14ac:dyDescent="0.35">
      <c r="A75" s="492"/>
      <c r="B75" s="492"/>
      <c r="C75" s="492"/>
      <c r="D75" s="492"/>
      <c r="E75" s="492"/>
      <c r="F75" s="492"/>
      <c r="G75" s="492"/>
      <c r="H75" s="492"/>
      <c r="I75" s="492"/>
      <c r="J75" s="492"/>
      <c r="K75" s="492"/>
      <c r="L75" s="492"/>
      <c r="M75" s="492"/>
      <c r="N75" s="492"/>
      <c r="O75" s="492"/>
      <c r="P75" s="492"/>
      <c r="Q75" s="492"/>
      <c r="R75" s="492"/>
      <c r="S75" s="492"/>
      <c r="T75" s="492"/>
      <c r="U75" s="492"/>
      <c r="V75" s="492"/>
      <c r="W75" s="492"/>
      <c r="X75" s="492"/>
      <c r="Y75" s="492"/>
      <c r="Z75" s="492"/>
      <c r="AA75" s="492"/>
      <c r="AB75" s="492"/>
      <c r="AC75" s="492"/>
      <c r="AD75" s="492"/>
      <c r="AE75" s="492"/>
      <c r="AF75" s="492"/>
      <c r="AG75" s="492"/>
      <c r="AH75" s="492"/>
      <c r="AI75" s="492"/>
      <c r="AJ75" s="492"/>
      <c r="AK75" s="492"/>
    </row>
    <row r="76" spans="1:37" x14ac:dyDescent="0.35">
      <c r="A76" s="492"/>
      <c r="B76" s="492"/>
      <c r="C76" s="492"/>
      <c r="D76" s="492"/>
      <c r="E76" s="492"/>
      <c r="F76" s="492"/>
      <c r="G76" s="492"/>
      <c r="H76" s="492"/>
      <c r="I76" s="492"/>
      <c r="J76" s="492"/>
      <c r="K76" s="492"/>
      <c r="L76" s="492"/>
      <c r="M76" s="492"/>
      <c r="N76" s="492"/>
      <c r="O76" s="492"/>
      <c r="P76" s="492"/>
      <c r="Q76" s="492"/>
      <c r="R76" s="492"/>
      <c r="S76" s="492"/>
      <c r="T76" s="492"/>
      <c r="U76" s="492"/>
      <c r="V76" s="492"/>
      <c r="W76" s="492"/>
      <c r="X76" s="492"/>
      <c r="Y76" s="492"/>
      <c r="Z76" s="492"/>
      <c r="AA76" s="492"/>
      <c r="AB76" s="492"/>
      <c r="AC76" s="492"/>
      <c r="AD76" s="492"/>
      <c r="AE76" s="492"/>
      <c r="AF76" s="492"/>
      <c r="AG76" s="492"/>
      <c r="AH76" s="492"/>
      <c r="AI76" s="492"/>
      <c r="AJ76" s="492"/>
      <c r="AK76" s="492"/>
    </row>
    <row r="77" spans="1:37" x14ac:dyDescent="0.35">
      <c r="A77" s="492"/>
      <c r="B77" s="492"/>
      <c r="C77" s="492"/>
      <c r="D77" s="492"/>
      <c r="E77" s="492"/>
      <c r="F77" s="492"/>
      <c r="G77" s="492"/>
      <c r="H77" s="492"/>
      <c r="I77" s="492"/>
      <c r="J77" s="492"/>
      <c r="K77" s="492"/>
      <c r="L77" s="492"/>
      <c r="M77" s="492"/>
      <c r="N77" s="492"/>
      <c r="O77" s="492"/>
      <c r="P77" s="492"/>
      <c r="Q77" s="492"/>
      <c r="R77" s="492"/>
      <c r="S77" s="492"/>
      <c r="T77" s="492"/>
      <c r="U77" s="492"/>
      <c r="V77" s="492"/>
      <c r="W77" s="492"/>
      <c r="X77" s="492"/>
      <c r="Y77" s="492"/>
      <c r="Z77" s="492"/>
      <c r="AA77" s="492"/>
      <c r="AB77" s="492"/>
      <c r="AC77" s="492"/>
      <c r="AD77" s="492"/>
      <c r="AE77" s="492"/>
      <c r="AF77" s="492"/>
      <c r="AG77" s="492"/>
      <c r="AH77" s="492"/>
      <c r="AI77" s="492"/>
      <c r="AJ77" s="492"/>
      <c r="AK77" s="492"/>
    </row>
    <row r="78" spans="1:37" x14ac:dyDescent="0.35">
      <c r="A78" s="492"/>
      <c r="B78" s="492"/>
      <c r="C78" s="492"/>
      <c r="D78" s="492"/>
      <c r="E78" s="492"/>
      <c r="F78" s="492"/>
      <c r="G78" s="492"/>
      <c r="H78" s="492"/>
      <c r="I78" s="492"/>
      <c r="J78" s="492"/>
      <c r="K78" s="492"/>
      <c r="L78" s="492"/>
      <c r="M78" s="492"/>
      <c r="N78" s="492"/>
      <c r="O78" s="492"/>
      <c r="P78" s="492"/>
      <c r="Q78" s="492"/>
      <c r="R78" s="492"/>
      <c r="S78" s="492"/>
      <c r="T78" s="492"/>
      <c r="U78" s="492"/>
      <c r="V78" s="492"/>
      <c r="W78" s="492"/>
      <c r="X78" s="492"/>
      <c r="Y78" s="492"/>
      <c r="Z78" s="492"/>
      <c r="AA78" s="492"/>
      <c r="AB78" s="492"/>
      <c r="AC78" s="492"/>
      <c r="AD78" s="492"/>
      <c r="AE78" s="492"/>
      <c r="AF78" s="492"/>
      <c r="AG78" s="492"/>
      <c r="AH78" s="492"/>
      <c r="AI78" s="492"/>
      <c r="AJ78" s="492"/>
      <c r="AK78" s="492"/>
    </row>
    <row r="79" spans="1:37" x14ac:dyDescent="0.35">
      <c r="A79" s="492"/>
      <c r="B79" s="492"/>
      <c r="C79" s="492"/>
      <c r="D79" s="492"/>
      <c r="E79" s="492"/>
      <c r="F79" s="492"/>
      <c r="G79" s="492"/>
      <c r="H79" s="492"/>
      <c r="I79" s="492"/>
      <c r="J79" s="492"/>
      <c r="K79" s="492"/>
      <c r="L79" s="492"/>
      <c r="M79" s="492"/>
      <c r="N79" s="492"/>
      <c r="O79" s="492"/>
      <c r="P79" s="492"/>
      <c r="Q79" s="492"/>
      <c r="R79" s="492"/>
      <c r="S79" s="492"/>
      <c r="T79" s="492"/>
      <c r="U79" s="492"/>
      <c r="V79" s="492"/>
      <c r="W79" s="492"/>
      <c r="X79" s="492"/>
      <c r="Y79" s="492"/>
      <c r="Z79" s="492"/>
      <c r="AA79" s="492"/>
      <c r="AB79" s="492"/>
      <c r="AC79" s="492"/>
      <c r="AD79" s="492"/>
      <c r="AE79" s="492"/>
      <c r="AF79" s="492"/>
      <c r="AG79" s="492"/>
      <c r="AH79" s="492"/>
      <c r="AI79" s="492"/>
      <c r="AJ79" s="492"/>
      <c r="AK79" s="492"/>
    </row>
    <row r="80" spans="1:37" x14ac:dyDescent="0.35">
      <c r="A80" s="492"/>
      <c r="B80" s="492"/>
      <c r="C80" s="492"/>
      <c r="D80" s="492"/>
      <c r="E80" s="492"/>
      <c r="F80" s="492"/>
      <c r="G80" s="492"/>
      <c r="H80" s="492"/>
      <c r="I80" s="492"/>
      <c r="J80" s="492"/>
      <c r="K80" s="492"/>
      <c r="L80" s="492"/>
      <c r="M80" s="492"/>
      <c r="N80" s="492"/>
      <c r="O80" s="492"/>
      <c r="P80" s="492"/>
      <c r="Q80" s="492"/>
      <c r="R80" s="492"/>
      <c r="S80" s="492"/>
      <c r="T80" s="492"/>
      <c r="U80" s="492"/>
      <c r="V80" s="492"/>
      <c r="W80" s="492"/>
      <c r="X80" s="492"/>
      <c r="Y80" s="492"/>
      <c r="Z80" s="492"/>
      <c r="AA80" s="492"/>
      <c r="AB80" s="492"/>
      <c r="AC80" s="492"/>
      <c r="AD80" s="492"/>
      <c r="AE80" s="492"/>
      <c r="AF80" s="492"/>
      <c r="AG80" s="492"/>
      <c r="AH80" s="492"/>
      <c r="AI80" s="492"/>
      <c r="AJ80" s="492"/>
      <c r="AK80" s="492"/>
    </row>
    <row r="81" spans="1:37" x14ac:dyDescent="0.35">
      <c r="A81" s="492"/>
      <c r="B81" s="492"/>
      <c r="C81" s="492"/>
      <c r="D81" s="492"/>
      <c r="E81" s="492"/>
      <c r="F81" s="492"/>
      <c r="G81" s="492"/>
      <c r="H81" s="492"/>
      <c r="I81" s="492"/>
      <c r="J81" s="492"/>
      <c r="K81" s="492"/>
      <c r="L81" s="492"/>
      <c r="M81" s="492"/>
      <c r="N81" s="492"/>
      <c r="O81" s="492"/>
      <c r="P81" s="492"/>
      <c r="Q81" s="492"/>
      <c r="R81" s="492"/>
      <c r="S81" s="492"/>
      <c r="T81" s="492"/>
      <c r="U81" s="492"/>
      <c r="V81" s="492"/>
      <c r="W81" s="492"/>
      <c r="X81" s="492"/>
      <c r="Y81" s="492"/>
      <c r="Z81" s="492"/>
      <c r="AA81" s="492"/>
      <c r="AB81" s="492"/>
      <c r="AC81" s="492"/>
      <c r="AD81" s="492"/>
      <c r="AE81" s="492"/>
      <c r="AF81" s="492"/>
      <c r="AG81" s="492"/>
      <c r="AH81" s="492"/>
      <c r="AI81" s="492"/>
      <c r="AJ81" s="492"/>
      <c r="AK81" s="492"/>
    </row>
    <row r="82" spans="1:37" x14ac:dyDescent="0.35">
      <c r="A82" s="492"/>
      <c r="B82" s="492"/>
      <c r="C82" s="492"/>
      <c r="D82" s="492"/>
      <c r="E82" s="492"/>
      <c r="F82" s="492"/>
      <c r="G82" s="492"/>
      <c r="H82" s="492"/>
      <c r="I82" s="492"/>
      <c r="J82" s="492"/>
      <c r="K82" s="492"/>
      <c r="L82" s="492"/>
      <c r="M82" s="492"/>
      <c r="N82" s="492"/>
      <c r="O82" s="492"/>
      <c r="P82" s="492"/>
      <c r="Q82" s="492"/>
      <c r="R82" s="492"/>
      <c r="S82" s="492"/>
      <c r="T82" s="492"/>
      <c r="U82" s="492"/>
      <c r="V82" s="492"/>
      <c r="W82" s="492"/>
      <c r="X82" s="492"/>
      <c r="Y82" s="492"/>
      <c r="Z82" s="492"/>
      <c r="AA82" s="492"/>
      <c r="AB82" s="492"/>
      <c r="AC82" s="492"/>
      <c r="AD82" s="492"/>
      <c r="AE82" s="492"/>
      <c r="AF82" s="492"/>
      <c r="AG82" s="492"/>
      <c r="AH82" s="492"/>
      <c r="AI82" s="492"/>
      <c r="AJ82" s="492"/>
      <c r="AK82" s="492"/>
    </row>
    <row r="83" spans="1:37" x14ac:dyDescent="0.35">
      <c r="A83" s="492"/>
      <c r="B83" s="492"/>
      <c r="C83" s="492"/>
      <c r="D83" s="492"/>
      <c r="E83" s="492"/>
      <c r="F83" s="492"/>
      <c r="G83" s="492"/>
      <c r="H83" s="492"/>
      <c r="I83" s="492"/>
      <c r="J83" s="492"/>
      <c r="K83" s="492"/>
      <c r="L83" s="492"/>
      <c r="M83" s="492"/>
      <c r="N83" s="492"/>
      <c r="O83" s="492"/>
      <c r="P83" s="492"/>
      <c r="Q83" s="492"/>
      <c r="R83" s="492"/>
      <c r="S83" s="492"/>
      <c r="T83" s="492"/>
      <c r="U83" s="492"/>
      <c r="V83" s="492"/>
      <c r="W83" s="492"/>
      <c r="X83" s="492"/>
      <c r="Y83" s="492"/>
      <c r="Z83" s="492"/>
      <c r="AA83" s="492"/>
      <c r="AB83" s="492"/>
      <c r="AC83" s="492"/>
      <c r="AD83" s="492"/>
      <c r="AE83" s="492"/>
      <c r="AF83" s="492"/>
      <c r="AG83" s="492"/>
      <c r="AH83" s="492"/>
      <c r="AI83" s="492"/>
      <c r="AJ83" s="492"/>
      <c r="AK83" s="492"/>
    </row>
    <row r="84" spans="1:37" x14ac:dyDescent="0.35">
      <c r="A84" s="492"/>
      <c r="B84" s="492"/>
      <c r="C84" s="492"/>
      <c r="D84" s="492"/>
      <c r="E84" s="492"/>
      <c r="F84" s="492"/>
      <c r="G84" s="492"/>
      <c r="H84" s="492"/>
      <c r="I84" s="492"/>
      <c r="J84" s="492"/>
      <c r="K84" s="492"/>
      <c r="L84" s="492"/>
      <c r="M84" s="492"/>
      <c r="N84" s="492"/>
      <c r="O84" s="492"/>
      <c r="P84" s="492"/>
      <c r="Q84" s="492"/>
      <c r="R84" s="492"/>
      <c r="S84" s="492"/>
      <c r="T84" s="492"/>
      <c r="U84" s="492"/>
      <c r="V84" s="492"/>
      <c r="W84" s="492"/>
      <c r="X84" s="492"/>
      <c r="Y84" s="492"/>
      <c r="Z84" s="492"/>
      <c r="AA84" s="492"/>
      <c r="AB84" s="492"/>
      <c r="AC84" s="492"/>
      <c r="AD84" s="492"/>
      <c r="AE84" s="492"/>
      <c r="AF84" s="492"/>
      <c r="AG84" s="492"/>
      <c r="AH84" s="492"/>
      <c r="AI84" s="492"/>
      <c r="AJ84" s="492"/>
      <c r="AK84" s="492"/>
    </row>
    <row r="85" spans="1:37" x14ac:dyDescent="0.35">
      <c r="A85" s="492"/>
      <c r="B85" s="492"/>
      <c r="C85" s="492"/>
      <c r="D85" s="492"/>
      <c r="E85" s="492"/>
      <c r="F85" s="492"/>
      <c r="G85" s="492"/>
      <c r="H85" s="492"/>
      <c r="I85" s="492"/>
      <c r="J85" s="492"/>
      <c r="K85" s="492"/>
      <c r="L85" s="492"/>
      <c r="M85" s="492"/>
      <c r="N85" s="492"/>
      <c r="O85" s="492"/>
      <c r="P85" s="492"/>
      <c r="Q85" s="492"/>
      <c r="R85" s="492"/>
      <c r="S85" s="492"/>
      <c r="T85" s="492"/>
      <c r="U85" s="492"/>
      <c r="V85" s="492"/>
      <c r="W85" s="492"/>
      <c r="X85" s="492"/>
      <c r="Y85" s="492"/>
      <c r="Z85" s="492"/>
      <c r="AA85" s="492"/>
      <c r="AB85" s="492"/>
      <c r="AC85" s="492"/>
      <c r="AD85" s="492"/>
      <c r="AE85" s="492"/>
      <c r="AF85" s="492"/>
      <c r="AG85" s="492"/>
      <c r="AH85" s="492"/>
      <c r="AI85" s="492"/>
      <c r="AJ85" s="492"/>
      <c r="AK85" s="492"/>
    </row>
    <row r="86" spans="1:37" x14ac:dyDescent="0.35">
      <c r="A86" s="492"/>
      <c r="B86" s="492"/>
      <c r="C86" s="492"/>
      <c r="D86" s="492"/>
      <c r="E86" s="492"/>
      <c r="F86" s="492"/>
      <c r="G86" s="492"/>
      <c r="H86" s="492"/>
      <c r="I86" s="492"/>
      <c r="J86" s="492"/>
      <c r="K86" s="492"/>
      <c r="L86" s="492"/>
      <c r="M86" s="492"/>
      <c r="N86" s="492"/>
      <c r="O86" s="492"/>
      <c r="P86" s="492"/>
      <c r="Q86" s="492"/>
      <c r="R86" s="492"/>
      <c r="S86" s="492"/>
      <c r="T86" s="492"/>
      <c r="U86" s="492"/>
      <c r="V86" s="492"/>
      <c r="W86" s="492"/>
      <c r="X86" s="492"/>
      <c r="Y86" s="492"/>
      <c r="Z86" s="492"/>
      <c r="AA86" s="492"/>
      <c r="AB86" s="492"/>
      <c r="AC86" s="492"/>
      <c r="AD86" s="492"/>
      <c r="AE86" s="492"/>
      <c r="AF86" s="492"/>
      <c r="AG86" s="492"/>
      <c r="AH86" s="492"/>
      <c r="AI86" s="492"/>
      <c r="AJ86" s="492"/>
      <c r="AK86" s="492"/>
    </row>
    <row r="87" spans="1:37" x14ac:dyDescent="0.35">
      <c r="A87" s="492"/>
      <c r="B87" s="492"/>
      <c r="C87" s="492"/>
      <c r="D87" s="492"/>
      <c r="E87" s="492"/>
      <c r="F87" s="492"/>
      <c r="G87" s="492"/>
      <c r="H87" s="492"/>
      <c r="I87" s="492"/>
      <c r="J87" s="492"/>
      <c r="K87" s="492"/>
      <c r="L87" s="492"/>
      <c r="M87" s="492"/>
      <c r="N87" s="492"/>
      <c r="O87" s="492"/>
      <c r="P87" s="492"/>
      <c r="Q87" s="492"/>
      <c r="R87" s="492"/>
      <c r="S87" s="492"/>
      <c r="T87" s="492"/>
      <c r="U87" s="492"/>
      <c r="V87" s="492"/>
      <c r="W87" s="492"/>
      <c r="X87" s="492"/>
      <c r="Y87" s="492"/>
      <c r="Z87" s="492"/>
      <c r="AA87" s="492"/>
      <c r="AB87" s="492"/>
      <c r="AC87" s="492"/>
      <c r="AD87" s="492"/>
      <c r="AE87" s="492"/>
      <c r="AF87" s="492"/>
      <c r="AG87" s="492"/>
      <c r="AH87" s="492"/>
      <c r="AI87" s="492"/>
      <c r="AJ87" s="492"/>
      <c r="AK87" s="492"/>
    </row>
    <row r="88" spans="1:37" x14ac:dyDescent="0.35">
      <c r="A88" s="492"/>
      <c r="B88" s="492"/>
      <c r="C88" s="492"/>
      <c r="D88" s="492"/>
      <c r="E88" s="492"/>
      <c r="F88" s="492"/>
      <c r="G88" s="492"/>
      <c r="H88" s="492"/>
      <c r="I88" s="492"/>
      <c r="J88" s="492"/>
      <c r="K88" s="492"/>
      <c r="L88" s="492"/>
      <c r="M88" s="492"/>
      <c r="N88" s="492"/>
      <c r="O88" s="492"/>
      <c r="P88" s="492"/>
      <c r="Q88" s="492"/>
      <c r="R88" s="492"/>
      <c r="S88" s="492"/>
      <c r="T88" s="492"/>
      <c r="U88" s="492"/>
      <c r="V88" s="492"/>
      <c r="W88" s="492"/>
      <c r="X88" s="492"/>
      <c r="Y88" s="492"/>
      <c r="Z88" s="492"/>
      <c r="AA88" s="492"/>
      <c r="AB88" s="492"/>
      <c r="AC88" s="492"/>
      <c r="AD88" s="492"/>
      <c r="AE88" s="492"/>
      <c r="AF88" s="492"/>
      <c r="AG88" s="492"/>
      <c r="AH88" s="492"/>
      <c r="AI88" s="492"/>
      <c r="AJ88" s="492"/>
      <c r="AK88" s="492"/>
    </row>
    <row r="89" spans="1:37" x14ac:dyDescent="0.35">
      <c r="A89" s="492"/>
      <c r="B89" s="492"/>
      <c r="C89" s="492"/>
      <c r="D89" s="492"/>
      <c r="E89" s="492"/>
      <c r="F89" s="492"/>
      <c r="G89" s="492"/>
      <c r="H89" s="492"/>
      <c r="I89" s="492"/>
      <c r="J89" s="492"/>
      <c r="K89" s="492"/>
      <c r="L89" s="492"/>
      <c r="M89" s="492"/>
      <c r="N89" s="492"/>
      <c r="O89" s="492"/>
      <c r="P89" s="492"/>
      <c r="Q89" s="492"/>
      <c r="R89" s="492"/>
      <c r="S89" s="492"/>
      <c r="T89" s="492"/>
      <c r="U89" s="492"/>
      <c r="V89" s="492"/>
      <c r="W89" s="492"/>
      <c r="X89" s="492"/>
      <c r="Y89" s="492"/>
      <c r="Z89" s="492"/>
      <c r="AA89" s="492"/>
      <c r="AB89" s="492"/>
      <c r="AC89" s="492"/>
      <c r="AD89" s="492"/>
      <c r="AE89" s="492"/>
      <c r="AF89" s="492"/>
      <c r="AG89" s="492"/>
      <c r="AH89" s="492"/>
      <c r="AI89" s="492"/>
      <c r="AJ89" s="492"/>
      <c r="AK89" s="492"/>
    </row>
    <row r="90" spans="1:37" x14ac:dyDescent="0.35">
      <c r="A90" s="492"/>
      <c r="B90" s="492"/>
      <c r="C90" s="492"/>
      <c r="D90" s="492"/>
      <c r="E90" s="492"/>
      <c r="F90" s="492"/>
      <c r="G90" s="492"/>
      <c r="H90" s="492"/>
      <c r="I90" s="492"/>
      <c r="J90" s="492"/>
      <c r="K90" s="492"/>
      <c r="L90" s="492"/>
      <c r="M90" s="492"/>
      <c r="N90" s="492"/>
      <c r="O90" s="492"/>
      <c r="P90" s="492"/>
      <c r="Q90" s="492"/>
      <c r="R90" s="492"/>
      <c r="S90" s="492"/>
      <c r="T90" s="492"/>
      <c r="U90" s="492"/>
      <c r="V90" s="492"/>
      <c r="W90" s="492"/>
      <c r="X90" s="492"/>
      <c r="Y90" s="492"/>
      <c r="Z90" s="492"/>
      <c r="AA90" s="492"/>
      <c r="AB90" s="492"/>
      <c r="AC90" s="492"/>
      <c r="AD90" s="492"/>
      <c r="AE90" s="492"/>
      <c r="AF90" s="492"/>
      <c r="AG90" s="492"/>
      <c r="AH90" s="492"/>
      <c r="AI90" s="492"/>
      <c r="AJ90" s="492"/>
      <c r="AK90" s="492"/>
    </row>
    <row r="91" spans="1:37" x14ac:dyDescent="0.35">
      <c r="A91" s="492"/>
      <c r="B91" s="492"/>
      <c r="C91" s="492"/>
      <c r="D91" s="492"/>
      <c r="E91" s="492"/>
      <c r="F91" s="492"/>
      <c r="G91" s="492"/>
      <c r="H91" s="492"/>
      <c r="I91" s="492"/>
      <c r="J91" s="492"/>
      <c r="K91" s="492"/>
      <c r="L91" s="492"/>
      <c r="M91" s="492"/>
      <c r="N91" s="492"/>
      <c r="O91" s="492"/>
      <c r="P91" s="492"/>
      <c r="Q91" s="492"/>
      <c r="R91" s="492"/>
      <c r="S91" s="492"/>
      <c r="T91" s="492"/>
      <c r="U91" s="492"/>
      <c r="V91" s="492"/>
      <c r="W91" s="492"/>
      <c r="X91" s="492"/>
      <c r="Y91" s="492"/>
      <c r="Z91" s="492"/>
      <c r="AA91" s="492"/>
      <c r="AB91" s="492"/>
      <c r="AC91" s="492"/>
      <c r="AD91" s="492"/>
      <c r="AE91" s="492"/>
      <c r="AF91" s="492"/>
      <c r="AG91" s="492"/>
      <c r="AH91" s="492"/>
      <c r="AI91" s="492"/>
      <c r="AJ91" s="492"/>
      <c r="AK91" s="492"/>
    </row>
    <row r="92" spans="1:37" x14ac:dyDescent="0.35">
      <c r="A92" s="492"/>
      <c r="B92" s="492"/>
      <c r="C92" s="492"/>
      <c r="D92" s="492"/>
      <c r="E92" s="492"/>
      <c r="F92" s="492"/>
      <c r="G92" s="492"/>
      <c r="H92" s="492"/>
      <c r="I92" s="492"/>
      <c r="J92" s="492"/>
      <c r="K92" s="492"/>
      <c r="L92" s="492"/>
      <c r="M92" s="492"/>
      <c r="N92" s="492"/>
      <c r="O92" s="492"/>
      <c r="P92" s="492"/>
      <c r="Q92" s="492"/>
      <c r="R92" s="492"/>
      <c r="S92" s="492"/>
      <c r="T92" s="492"/>
      <c r="U92" s="492"/>
      <c r="V92" s="492"/>
      <c r="W92" s="492"/>
      <c r="X92" s="492"/>
      <c r="Y92" s="492"/>
      <c r="Z92" s="492"/>
      <c r="AA92" s="492"/>
      <c r="AB92" s="492"/>
      <c r="AC92" s="492"/>
      <c r="AD92" s="492"/>
      <c r="AE92" s="492"/>
      <c r="AF92" s="492"/>
      <c r="AG92" s="492"/>
      <c r="AH92" s="492"/>
      <c r="AI92" s="492"/>
      <c r="AJ92" s="492"/>
      <c r="AK92" s="492"/>
    </row>
    <row r="93" spans="1:37" x14ac:dyDescent="0.35">
      <c r="A93" s="492"/>
      <c r="B93" s="492"/>
      <c r="C93" s="492"/>
      <c r="D93" s="492"/>
      <c r="E93" s="492"/>
      <c r="F93" s="492"/>
      <c r="G93" s="492"/>
      <c r="H93" s="492"/>
      <c r="I93" s="492"/>
      <c r="J93" s="492"/>
      <c r="K93" s="492"/>
      <c r="L93" s="492"/>
      <c r="M93" s="492"/>
      <c r="N93" s="492"/>
      <c r="O93" s="492"/>
      <c r="P93" s="492"/>
      <c r="Q93" s="492"/>
      <c r="R93" s="492"/>
      <c r="S93" s="492"/>
      <c r="T93" s="492"/>
      <c r="U93" s="492"/>
      <c r="V93" s="492"/>
      <c r="W93" s="492"/>
      <c r="X93" s="492"/>
      <c r="Y93" s="492"/>
      <c r="Z93" s="492"/>
      <c r="AA93" s="492"/>
      <c r="AB93" s="492"/>
      <c r="AC93" s="492"/>
      <c r="AD93" s="492"/>
      <c r="AE93" s="492"/>
      <c r="AF93" s="492"/>
      <c r="AG93" s="492"/>
      <c r="AH93" s="492"/>
      <c r="AI93" s="492"/>
      <c r="AJ93" s="492"/>
      <c r="AK93" s="492"/>
    </row>
    <row r="94" spans="1:37" x14ac:dyDescent="0.35">
      <c r="A94" s="492"/>
      <c r="B94" s="492"/>
      <c r="C94" s="492"/>
      <c r="D94" s="492"/>
      <c r="E94" s="492"/>
      <c r="F94" s="492"/>
      <c r="G94" s="492"/>
      <c r="H94" s="492"/>
      <c r="I94" s="492"/>
      <c r="J94" s="492"/>
      <c r="K94" s="492"/>
      <c r="L94" s="492"/>
      <c r="M94" s="492"/>
      <c r="N94" s="492"/>
      <c r="O94" s="492"/>
      <c r="P94" s="492"/>
      <c r="Q94" s="492"/>
      <c r="R94" s="492"/>
      <c r="S94" s="492"/>
      <c r="T94" s="492"/>
      <c r="U94" s="492"/>
      <c r="V94" s="492"/>
      <c r="W94" s="492"/>
      <c r="X94" s="492"/>
      <c r="Y94" s="492"/>
      <c r="Z94" s="492"/>
      <c r="AA94" s="492"/>
      <c r="AB94" s="492"/>
      <c r="AC94" s="492"/>
      <c r="AD94" s="492"/>
      <c r="AE94" s="492"/>
      <c r="AF94" s="492"/>
      <c r="AG94" s="492"/>
      <c r="AH94" s="492"/>
      <c r="AI94" s="492"/>
      <c r="AJ94" s="492"/>
      <c r="AK94" s="492"/>
    </row>
    <row r="95" spans="1:37" x14ac:dyDescent="0.35">
      <c r="A95" s="492"/>
      <c r="B95" s="492"/>
      <c r="C95" s="492"/>
      <c r="D95" s="492"/>
      <c r="E95" s="492"/>
      <c r="F95" s="492"/>
      <c r="G95" s="492"/>
      <c r="H95" s="492"/>
      <c r="I95" s="492"/>
      <c r="J95" s="492"/>
      <c r="K95" s="492"/>
      <c r="L95" s="492"/>
      <c r="M95" s="492"/>
      <c r="N95" s="492"/>
      <c r="O95" s="492"/>
      <c r="P95" s="492"/>
      <c r="Q95" s="492"/>
      <c r="R95" s="492"/>
      <c r="S95" s="492"/>
      <c r="T95" s="492"/>
      <c r="U95" s="492"/>
      <c r="V95" s="492"/>
      <c r="W95" s="492"/>
      <c r="X95" s="492"/>
      <c r="Y95" s="492"/>
      <c r="Z95" s="492"/>
      <c r="AA95" s="492"/>
      <c r="AB95" s="492"/>
      <c r="AC95" s="492"/>
      <c r="AD95" s="492"/>
      <c r="AE95" s="492"/>
      <c r="AF95" s="492"/>
      <c r="AG95" s="492"/>
      <c r="AH95" s="492"/>
      <c r="AI95" s="492"/>
      <c r="AJ95" s="492"/>
      <c r="AK95" s="492"/>
    </row>
    <row r="96" spans="1:37" x14ac:dyDescent="0.35">
      <c r="A96" s="492"/>
      <c r="B96" s="492"/>
      <c r="C96" s="492"/>
      <c r="D96" s="492"/>
      <c r="E96" s="492"/>
      <c r="F96" s="492"/>
      <c r="G96" s="492"/>
      <c r="H96" s="492"/>
      <c r="I96" s="492"/>
      <c r="J96" s="492"/>
      <c r="K96" s="492"/>
      <c r="L96" s="492"/>
      <c r="M96" s="492"/>
      <c r="N96" s="492"/>
      <c r="O96" s="492"/>
      <c r="P96" s="492"/>
      <c r="Q96" s="492"/>
      <c r="R96" s="492"/>
      <c r="S96" s="492"/>
      <c r="T96" s="492"/>
      <c r="U96" s="492"/>
      <c r="V96" s="492"/>
      <c r="W96" s="492"/>
      <c r="X96" s="492"/>
      <c r="Y96" s="492"/>
      <c r="Z96" s="492"/>
      <c r="AA96" s="492"/>
      <c r="AB96" s="492"/>
      <c r="AC96" s="492"/>
      <c r="AD96" s="492"/>
      <c r="AE96" s="492"/>
      <c r="AF96" s="492"/>
      <c r="AG96" s="492"/>
      <c r="AH96" s="492"/>
      <c r="AI96" s="492"/>
      <c r="AJ96" s="492"/>
      <c r="AK96" s="492"/>
    </row>
    <row r="97" spans="1:37" x14ac:dyDescent="0.35">
      <c r="A97" s="492"/>
      <c r="B97" s="492"/>
      <c r="C97" s="492"/>
      <c r="D97" s="492"/>
      <c r="E97" s="492"/>
      <c r="F97" s="492"/>
      <c r="G97" s="492"/>
      <c r="H97" s="492"/>
      <c r="I97" s="492"/>
      <c r="J97" s="492"/>
      <c r="K97" s="492"/>
      <c r="L97" s="492"/>
      <c r="M97" s="492"/>
      <c r="N97" s="492"/>
      <c r="O97" s="492"/>
      <c r="P97" s="492"/>
      <c r="Q97" s="492"/>
      <c r="R97" s="492"/>
      <c r="S97" s="492"/>
      <c r="T97" s="492"/>
      <c r="U97" s="492"/>
      <c r="V97" s="492"/>
      <c r="W97" s="492"/>
      <c r="X97" s="492"/>
      <c r="Y97" s="492"/>
      <c r="Z97" s="492"/>
      <c r="AA97" s="492"/>
      <c r="AB97" s="492"/>
      <c r="AC97" s="492"/>
      <c r="AD97" s="492"/>
      <c r="AE97" s="492"/>
      <c r="AF97" s="492"/>
      <c r="AG97" s="492"/>
      <c r="AH97" s="492"/>
      <c r="AI97" s="492"/>
      <c r="AJ97" s="492"/>
      <c r="AK97" s="492"/>
    </row>
    <row r="98" spans="1:37" x14ac:dyDescent="0.35">
      <c r="A98" s="492"/>
      <c r="B98" s="492"/>
      <c r="C98" s="492"/>
      <c r="D98" s="492"/>
      <c r="E98" s="492"/>
      <c r="F98" s="492"/>
      <c r="G98" s="492"/>
      <c r="H98" s="492"/>
      <c r="I98" s="492"/>
      <c r="J98" s="492"/>
      <c r="K98" s="492"/>
      <c r="L98" s="492"/>
      <c r="M98" s="492"/>
      <c r="N98" s="492"/>
      <c r="O98" s="492"/>
      <c r="P98" s="492"/>
      <c r="Q98" s="492"/>
      <c r="R98" s="492"/>
      <c r="S98" s="492"/>
      <c r="T98" s="492"/>
      <c r="U98" s="492"/>
      <c r="V98" s="492"/>
      <c r="W98" s="492"/>
      <c r="X98" s="492"/>
      <c r="Y98" s="492"/>
      <c r="Z98" s="492"/>
      <c r="AA98" s="492"/>
      <c r="AB98" s="492"/>
      <c r="AC98" s="492"/>
      <c r="AD98" s="492"/>
      <c r="AE98" s="492"/>
      <c r="AF98" s="492"/>
      <c r="AG98" s="492"/>
      <c r="AH98" s="492"/>
      <c r="AI98" s="492"/>
      <c r="AJ98" s="492"/>
      <c r="AK98" s="492"/>
    </row>
    <row r="99" spans="1:37" x14ac:dyDescent="0.35">
      <c r="A99" s="492"/>
      <c r="B99" s="492"/>
      <c r="C99" s="492"/>
      <c r="D99" s="492"/>
      <c r="E99" s="492"/>
      <c r="F99" s="492"/>
      <c r="G99" s="492"/>
      <c r="H99" s="492"/>
      <c r="I99" s="492"/>
      <c r="J99" s="492"/>
      <c r="K99" s="492"/>
      <c r="L99" s="492"/>
      <c r="M99" s="492"/>
      <c r="N99" s="492"/>
      <c r="O99" s="492"/>
      <c r="P99" s="492"/>
      <c r="Q99" s="492"/>
      <c r="R99" s="492"/>
      <c r="S99" s="492"/>
      <c r="T99" s="492"/>
      <c r="U99" s="492"/>
      <c r="V99" s="492"/>
      <c r="W99" s="492"/>
      <c r="X99" s="492"/>
      <c r="Y99" s="492"/>
      <c r="Z99" s="492"/>
      <c r="AA99" s="492"/>
      <c r="AB99" s="492"/>
      <c r="AC99" s="492"/>
      <c r="AD99" s="492"/>
      <c r="AE99" s="492"/>
      <c r="AF99" s="492"/>
      <c r="AG99" s="492"/>
      <c r="AH99" s="492"/>
      <c r="AI99" s="492"/>
      <c r="AJ99" s="492"/>
      <c r="AK99" s="492"/>
    </row>
    <row r="100" spans="1:37" x14ac:dyDescent="0.35">
      <c r="A100" s="492"/>
      <c r="B100" s="492"/>
      <c r="C100" s="492"/>
      <c r="D100" s="492"/>
      <c r="E100" s="492"/>
      <c r="F100" s="492"/>
      <c r="G100" s="492"/>
      <c r="H100" s="492"/>
      <c r="I100" s="492"/>
      <c r="J100" s="492"/>
      <c r="K100" s="492"/>
      <c r="L100" s="492"/>
      <c r="M100" s="492"/>
      <c r="N100" s="492"/>
      <c r="O100" s="492"/>
      <c r="P100" s="492"/>
      <c r="Q100" s="492"/>
      <c r="R100" s="492"/>
      <c r="S100" s="492"/>
      <c r="T100" s="492"/>
      <c r="U100" s="492"/>
      <c r="V100" s="492"/>
      <c r="W100" s="492"/>
      <c r="X100" s="492"/>
      <c r="Y100" s="492"/>
      <c r="Z100" s="492"/>
      <c r="AA100" s="492"/>
      <c r="AB100" s="492"/>
      <c r="AC100" s="492"/>
      <c r="AD100" s="492"/>
      <c r="AE100" s="492"/>
      <c r="AF100" s="492"/>
      <c r="AG100" s="492"/>
      <c r="AH100" s="492"/>
      <c r="AI100" s="492"/>
      <c r="AJ100" s="492"/>
      <c r="AK100" s="492"/>
    </row>
    <row r="101" spans="1:37" x14ac:dyDescent="0.35">
      <c r="A101" s="492"/>
      <c r="B101" s="492"/>
      <c r="C101" s="492"/>
      <c r="D101" s="492"/>
      <c r="E101" s="492"/>
      <c r="F101" s="492"/>
      <c r="G101" s="492"/>
      <c r="H101" s="492"/>
      <c r="I101" s="492"/>
      <c r="J101" s="492"/>
      <c r="K101" s="492"/>
      <c r="L101" s="492"/>
      <c r="M101" s="492"/>
      <c r="N101" s="492"/>
      <c r="O101" s="492"/>
      <c r="P101" s="492"/>
      <c r="Q101" s="492"/>
      <c r="R101" s="492"/>
      <c r="S101" s="492"/>
      <c r="T101" s="492"/>
      <c r="U101" s="492"/>
      <c r="V101" s="492"/>
      <c r="W101" s="492"/>
      <c r="X101" s="492"/>
      <c r="Y101" s="492"/>
      <c r="Z101" s="492"/>
      <c r="AA101" s="492"/>
      <c r="AB101" s="492"/>
      <c r="AC101" s="492"/>
      <c r="AD101" s="492"/>
      <c r="AE101" s="492"/>
      <c r="AF101" s="492"/>
      <c r="AG101" s="492"/>
      <c r="AH101" s="492"/>
      <c r="AI101" s="492"/>
      <c r="AJ101" s="492"/>
      <c r="AK101" s="492"/>
    </row>
    <row r="102" spans="1:37" x14ac:dyDescent="0.35">
      <c r="A102" s="492"/>
      <c r="B102" s="492"/>
      <c r="C102" s="492"/>
      <c r="D102" s="492"/>
      <c r="E102" s="492"/>
      <c r="F102" s="492"/>
      <c r="G102" s="492"/>
      <c r="H102" s="492"/>
      <c r="I102" s="492"/>
      <c r="J102" s="492"/>
      <c r="K102" s="492"/>
      <c r="L102" s="492"/>
      <c r="M102" s="492"/>
      <c r="N102" s="492"/>
      <c r="O102" s="492"/>
      <c r="P102" s="492"/>
      <c r="Q102" s="492"/>
      <c r="R102" s="492"/>
      <c r="S102" s="492"/>
      <c r="T102" s="492"/>
      <c r="U102" s="492"/>
      <c r="V102" s="492"/>
      <c r="W102" s="492"/>
      <c r="X102" s="492"/>
      <c r="Y102" s="492"/>
      <c r="Z102" s="492"/>
      <c r="AA102" s="492"/>
      <c r="AB102" s="492"/>
      <c r="AC102" s="492"/>
      <c r="AD102" s="492"/>
      <c r="AE102" s="492"/>
      <c r="AF102" s="492"/>
      <c r="AG102" s="492"/>
      <c r="AH102" s="492"/>
      <c r="AI102" s="492"/>
      <c r="AJ102" s="492"/>
      <c r="AK102" s="492"/>
    </row>
    <row r="103" spans="1:37" x14ac:dyDescent="0.35">
      <c r="A103" s="492"/>
      <c r="B103" s="492"/>
      <c r="C103" s="492"/>
      <c r="D103" s="492"/>
      <c r="E103" s="492"/>
      <c r="F103" s="492"/>
      <c r="G103" s="492"/>
      <c r="H103" s="492"/>
      <c r="I103" s="492"/>
      <c r="J103" s="492"/>
      <c r="K103" s="492"/>
      <c r="L103" s="492"/>
      <c r="M103" s="492"/>
      <c r="N103" s="492"/>
      <c r="O103" s="492"/>
      <c r="P103" s="492"/>
      <c r="Q103" s="492"/>
      <c r="R103" s="492"/>
      <c r="S103" s="492"/>
      <c r="T103" s="492"/>
      <c r="U103" s="492"/>
      <c r="V103" s="492"/>
      <c r="W103" s="492"/>
      <c r="X103" s="492"/>
      <c r="Y103" s="492"/>
      <c r="Z103" s="492"/>
      <c r="AA103" s="492"/>
      <c r="AB103" s="492"/>
      <c r="AC103" s="492"/>
      <c r="AD103" s="492"/>
      <c r="AE103" s="492"/>
      <c r="AF103" s="492"/>
      <c r="AG103" s="492"/>
      <c r="AH103" s="492"/>
      <c r="AI103" s="492"/>
      <c r="AJ103" s="492"/>
      <c r="AK103" s="492"/>
    </row>
    <row r="104" spans="1:37" x14ac:dyDescent="0.35">
      <c r="A104" s="492"/>
      <c r="B104" s="492"/>
      <c r="C104" s="492"/>
      <c r="D104" s="492"/>
      <c r="E104" s="492"/>
      <c r="F104" s="492"/>
      <c r="G104" s="492"/>
      <c r="H104" s="492"/>
      <c r="I104" s="492"/>
      <c r="J104" s="492"/>
      <c r="K104" s="492"/>
      <c r="L104" s="492"/>
      <c r="M104" s="492"/>
      <c r="N104" s="492"/>
      <c r="O104" s="492"/>
      <c r="P104" s="492"/>
      <c r="Q104" s="492"/>
      <c r="R104" s="492"/>
      <c r="S104" s="492"/>
      <c r="T104" s="492"/>
      <c r="U104" s="492"/>
      <c r="V104" s="492"/>
      <c r="W104" s="492"/>
      <c r="X104" s="492"/>
      <c r="Y104" s="492"/>
      <c r="Z104" s="492"/>
      <c r="AA104" s="492"/>
      <c r="AB104" s="492"/>
      <c r="AC104" s="492"/>
      <c r="AD104" s="492"/>
      <c r="AE104" s="492"/>
      <c r="AF104" s="492"/>
      <c r="AG104" s="492"/>
      <c r="AH104" s="492"/>
      <c r="AI104" s="492"/>
      <c r="AJ104" s="492"/>
      <c r="AK104" s="492"/>
    </row>
    <row r="105" spans="1:37" x14ac:dyDescent="0.35">
      <c r="A105" s="492"/>
      <c r="B105" s="492"/>
      <c r="C105" s="492"/>
      <c r="D105" s="492"/>
      <c r="E105" s="492"/>
      <c r="F105" s="492"/>
      <c r="G105" s="492"/>
      <c r="H105" s="492"/>
      <c r="I105" s="492"/>
      <c r="J105" s="492"/>
      <c r="K105" s="492"/>
      <c r="L105" s="492"/>
      <c r="M105" s="492"/>
      <c r="N105" s="492"/>
      <c r="O105" s="492"/>
      <c r="P105" s="492"/>
      <c r="Q105" s="492"/>
      <c r="R105" s="492"/>
      <c r="S105" s="492"/>
      <c r="T105" s="492"/>
      <c r="U105" s="492"/>
      <c r="V105" s="492"/>
      <c r="W105" s="492"/>
      <c r="X105" s="492"/>
      <c r="Y105" s="492"/>
      <c r="Z105" s="492"/>
      <c r="AA105" s="492"/>
      <c r="AB105" s="492"/>
      <c r="AC105" s="492"/>
      <c r="AD105" s="492"/>
      <c r="AE105" s="492"/>
      <c r="AF105" s="492"/>
      <c r="AG105" s="492"/>
      <c r="AH105" s="492"/>
      <c r="AI105" s="492"/>
      <c r="AJ105" s="492"/>
      <c r="AK105" s="492"/>
    </row>
    <row r="106" spans="1:37" x14ac:dyDescent="0.35">
      <c r="A106" s="492"/>
      <c r="B106" s="492"/>
      <c r="C106" s="492"/>
      <c r="D106" s="492"/>
      <c r="E106" s="492"/>
      <c r="F106" s="492"/>
      <c r="G106" s="492"/>
      <c r="H106" s="492"/>
      <c r="I106" s="492"/>
      <c r="J106" s="492"/>
      <c r="K106" s="492"/>
      <c r="L106" s="492"/>
      <c r="M106" s="492"/>
      <c r="N106" s="492"/>
      <c r="O106" s="492"/>
      <c r="P106" s="492"/>
      <c r="Q106" s="492"/>
      <c r="R106" s="492"/>
      <c r="S106" s="492"/>
      <c r="T106" s="492"/>
      <c r="U106" s="492"/>
      <c r="V106" s="492"/>
      <c r="W106" s="492"/>
      <c r="X106" s="492"/>
      <c r="Y106" s="492"/>
      <c r="Z106" s="492"/>
      <c r="AA106" s="492"/>
      <c r="AB106" s="492"/>
      <c r="AC106" s="492"/>
      <c r="AD106" s="492"/>
      <c r="AE106" s="492"/>
      <c r="AF106" s="492"/>
      <c r="AG106" s="492"/>
      <c r="AH106" s="492"/>
      <c r="AI106" s="492"/>
      <c r="AJ106" s="492"/>
      <c r="AK106" s="492"/>
    </row>
    <row r="107" spans="1:37" x14ac:dyDescent="0.35">
      <c r="A107" s="492"/>
      <c r="B107" s="492"/>
      <c r="C107" s="492"/>
      <c r="D107" s="492"/>
      <c r="E107" s="492"/>
      <c r="F107" s="492"/>
      <c r="G107" s="492"/>
      <c r="H107" s="492"/>
      <c r="I107" s="492"/>
      <c r="J107" s="492"/>
      <c r="K107" s="492"/>
      <c r="L107" s="492"/>
      <c r="M107" s="492"/>
      <c r="N107" s="492"/>
      <c r="O107" s="492"/>
      <c r="P107" s="492"/>
      <c r="Q107" s="492"/>
      <c r="R107" s="492"/>
      <c r="S107" s="492"/>
      <c r="T107" s="492"/>
      <c r="U107" s="492"/>
      <c r="V107" s="492"/>
      <c r="W107" s="492"/>
      <c r="X107" s="492"/>
      <c r="Y107" s="492"/>
      <c r="Z107" s="492"/>
      <c r="AA107" s="492"/>
      <c r="AB107" s="492"/>
      <c r="AC107" s="492"/>
      <c r="AD107" s="492"/>
      <c r="AE107" s="492"/>
      <c r="AF107" s="492"/>
      <c r="AG107" s="492"/>
      <c r="AH107" s="492"/>
      <c r="AI107" s="492"/>
      <c r="AJ107" s="492"/>
      <c r="AK107" s="492"/>
    </row>
    <row r="108" spans="1:37" x14ac:dyDescent="0.35">
      <c r="A108" s="492"/>
      <c r="B108" s="492"/>
      <c r="C108" s="492"/>
      <c r="D108" s="492"/>
      <c r="E108" s="492"/>
      <c r="F108" s="492"/>
      <c r="G108" s="492"/>
      <c r="H108" s="492"/>
      <c r="I108" s="492"/>
      <c r="J108" s="492"/>
      <c r="K108" s="492"/>
      <c r="L108" s="492"/>
      <c r="M108" s="492"/>
      <c r="N108" s="492"/>
      <c r="O108" s="492"/>
      <c r="P108" s="492"/>
      <c r="Q108" s="492"/>
      <c r="R108" s="492"/>
      <c r="S108" s="492"/>
      <c r="T108" s="492"/>
      <c r="U108" s="492"/>
      <c r="V108" s="492"/>
      <c r="W108" s="492"/>
      <c r="X108" s="492"/>
      <c r="Y108" s="492"/>
      <c r="Z108" s="492"/>
      <c r="AA108" s="492"/>
      <c r="AB108" s="492"/>
      <c r="AC108" s="492"/>
      <c r="AD108" s="492"/>
      <c r="AE108" s="492"/>
      <c r="AF108" s="492"/>
      <c r="AG108" s="492"/>
      <c r="AH108" s="492"/>
      <c r="AI108" s="492"/>
      <c r="AJ108" s="492"/>
      <c r="AK108" s="492"/>
    </row>
    <row r="109" spans="1:37" x14ac:dyDescent="0.35">
      <c r="A109" s="492"/>
      <c r="B109" s="492"/>
      <c r="C109" s="492"/>
      <c r="D109" s="492"/>
      <c r="E109" s="492"/>
      <c r="F109" s="492"/>
      <c r="G109" s="492"/>
      <c r="H109" s="492"/>
      <c r="I109" s="492"/>
      <c r="J109" s="492"/>
      <c r="K109" s="492"/>
      <c r="L109" s="492"/>
      <c r="M109" s="492"/>
      <c r="N109" s="492"/>
      <c r="O109" s="492"/>
      <c r="P109" s="492"/>
      <c r="Q109" s="492"/>
      <c r="R109" s="492"/>
      <c r="S109" s="492"/>
      <c r="T109" s="492"/>
      <c r="U109" s="492"/>
      <c r="V109" s="492"/>
      <c r="W109" s="492"/>
      <c r="X109" s="492"/>
      <c r="Y109" s="492"/>
      <c r="Z109" s="492"/>
      <c r="AA109" s="492"/>
      <c r="AB109" s="492"/>
      <c r="AC109" s="492"/>
      <c r="AD109" s="492"/>
      <c r="AE109" s="492"/>
      <c r="AF109" s="492"/>
      <c r="AG109" s="492"/>
      <c r="AH109" s="492"/>
      <c r="AI109" s="492"/>
      <c r="AJ109" s="492"/>
      <c r="AK109" s="492"/>
    </row>
    <row r="110" spans="1:37" x14ac:dyDescent="0.35">
      <c r="A110" s="492"/>
      <c r="B110" s="492"/>
      <c r="C110" s="492"/>
      <c r="D110" s="492"/>
      <c r="E110" s="492"/>
      <c r="F110" s="492"/>
      <c r="G110" s="492"/>
      <c r="H110" s="492"/>
      <c r="I110" s="492"/>
      <c r="J110" s="492"/>
      <c r="K110" s="492"/>
      <c r="L110" s="492"/>
      <c r="M110" s="492"/>
      <c r="N110" s="492"/>
      <c r="O110" s="492"/>
      <c r="P110" s="492"/>
      <c r="Q110" s="492"/>
      <c r="R110" s="492"/>
      <c r="S110" s="492"/>
      <c r="T110" s="492"/>
      <c r="U110" s="492"/>
      <c r="V110" s="492"/>
      <c r="W110" s="492"/>
      <c r="X110" s="492"/>
      <c r="Y110" s="492"/>
      <c r="Z110" s="492"/>
      <c r="AA110" s="492"/>
      <c r="AB110" s="492"/>
      <c r="AC110" s="492"/>
      <c r="AD110" s="492"/>
      <c r="AE110" s="492"/>
      <c r="AF110" s="492"/>
      <c r="AG110" s="492"/>
      <c r="AH110" s="492"/>
      <c r="AI110" s="492"/>
      <c r="AJ110" s="492"/>
      <c r="AK110" s="492"/>
    </row>
    <row r="111" spans="1:37" x14ac:dyDescent="0.35">
      <c r="A111" s="492"/>
      <c r="B111" s="492"/>
      <c r="C111" s="492"/>
      <c r="D111" s="492"/>
      <c r="E111" s="492"/>
      <c r="F111" s="492"/>
      <c r="G111" s="492"/>
      <c r="H111" s="492"/>
      <c r="I111" s="492"/>
      <c r="J111" s="492"/>
      <c r="K111" s="492"/>
      <c r="L111" s="492"/>
      <c r="M111" s="492"/>
      <c r="N111" s="492"/>
      <c r="O111" s="492"/>
      <c r="P111" s="492"/>
      <c r="Q111" s="492"/>
      <c r="R111" s="492"/>
      <c r="S111" s="492"/>
      <c r="T111" s="492"/>
      <c r="U111" s="492"/>
      <c r="V111" s="492"/>
      <c r="W111" s="492"/>
      <c r="X111" s="492"/>
      <c r="Y111" s="492"/>
      <c r="Z111" s="492"/>
      <c r="AA111" s="492"/>
      <c r="AB111" s="492"/>
      <c r="AC111" s="492"/>
      <c r="AD111" s="492"/>
      <c r="AE111" s="492"/>
      <c r="AF111" s="492"/>
      <c r="AG111" s="492"/>
      <c r="AH111" s="492"/>
      <c r="AI111" s="492"/>
      <c r="AJ111" s="492"/>
      <c r="AK111" s="492"/>
    </row>
    <row r="112" spans="1:37" x14ac:dyDescent="0.35">
      <c r="A112" s="492"/>
      <c r="B112" s="492"/>
      <c r="C112" s="492"/>
      <c r="D112" s="492"/>
      <c r="E112" s="492"/>
      <c r="F112" s="492"/>
      <c r="G112" s="492"/>
      <c r="H112" s="492"/>
      <c r="I112" s="492"/>
      <c r="J112" s="492"/>
      <c r="K112" s="492"/>
      <c r="L112" s="492"/>
      <c r="M112" s="492"/>
      <c r="N112" s="492"/>
      <c r="O112" s="492"/>
      <c r="P112" s="492"/>
      <c r="Q112" s="492"/>
      <c r="R112" s="492"/>
      <c r="S112" s="492"/>
      <c r="T112" s="492"/>
      <c r="U112" s="492"/>
      <c r="V112" s="492"/>
      <c r="W112" s="492"/>
      <c r="X112" s="492"/>
      <c r="Y112" s="492"/>
      <c r="Z112" s="492"/>
      <c r="AA112" s="492"/>
      <c r="AB112" s="492"/>
      <c r="AC112" s="492"/>
      <c r="AD112" s="492"/>
      <c r="AE112" s="492"/>
      <c r="AF112" s="492"/>
      <c r="AG112" s="492"/>
      <c r="AH112" s="492"/>
      <c r="AI112" s="492"/>
      <c r="AJ112" s="492"/>
      <c r="AK112" s="492"/>
    </row>
    <row r="113" spans="1:37" x14ac:dyDescent="0.35">
      <c r="A113" s="492"/>
      <c r="B113" s="492"/>
      <c r="C113" s="492"/>
      <c r="D113" s="492"/>
      <c r="E113" s="492"/>
      <c r="F113" s="492"/>
      <c r="G113" s="492"/>
      <c r="H113" s="492"/>
      <c r="I113" s="492"/>
      <c r="J113" s="492"/>
      <c r="K113" s="492"/>
      <c r="L113" s="492"/>
      <c r="M113" s="492"/>
      <c r="N113" s="492"/>
      <c r="O113" s="492"/>
      <c r="P113" s="492"/>
      <c r="Q113" s="492"/>
      <c r="R113" s="492"/>
      <c r="S113" s="492"/>
      <c r="T113" s="492"/>
      <c r="U113" s="492"/>
      <c r="V113" s="492"/>
      <c r="W113" s="492"/>
      <c r="X113" s="492"/>
      <c r="Y113" s="492"/>
      <c r="Z113" s="492"/>
      <c r="AA113" s="492"/>
      <c r="AB113" s="492"/>
      <c r="AC113" s="492"/>
      <c r="AD113" s="492"/>
      <c r="AE113" s="492"/>
      <c r="AF113" s="492"/>
      <c r="AG113" s="492"/>
      <c r="AH113" s="492"/>
      <c r="AI113" s="492"/>
      <c r="AJ113" s="492"/>
      <c r="AK113" s="492"/>
    </row>
    <row r="114" spans="1:37" x14ac:dyDescent="0.35">
      <c r="A114" s="492"/>
      <c r="B114" s="492"/>
      <c r="C114" s="492"/>
      <c r="D114" s="492"/>
      <c r="E114" s="492"/>
      <c r="F114" s="492"/>
      <c r="G114" s="492"/>
      <c r="H114" s="492"/>
      <c r="I114" s="492"/>
      <c r="J114" s="492"/>
      <c r="K114" s="492"/>
      <c r="L114" s="492"/>
      <c r="M114" s="492"/>
      <c r="N114" s="492"/>
      <c r="O114" s="492"/>
      <c r="P114" s="492"/>
      <c r="Q114" s="492"/>
      <c r="R114" s="492"/>
      <c r="S114" s="492"/>
      <c r="T114" s="492"/>
      <c r="U114" s="492"/>
      <c r="V114" s="492"/>
      <c r="W114" s="492"/>
      <c r="X114" s="492"/>
      <c r="Y114" s="492"/>
      <c r="Z114" s="492"/>
      <c r="AA114" s="492"/>
      <c r="AB114" s="492"/>
      <c r="AC114" s="492"/>
      <c r="AD114" s="492"/>
      <c r="AE114" s="492"/>
      <c r="AF114" s="492"/>
      <c r="AG114" s="492"/>
      <c r="AH114" s="492"/>
      <c r="AI114" s="492"/>
      <c r="AJ114" s="492"/>
      <c r="AK114" s="492"/>
    </row>
    <row r="115" spans="1:37" x14ac:dyDescent="0.35">
      <c r="A115" s="492"/>
      <c r="B115" s="492"/>
      <c r="C115" s="492"/>
      <c r="D115" s="492"/>
      <c r="E115" s="492"/>
      <c r="F115" s="492"/>
      <c r="G115" s="492"/>
      <c r="H115" s="492"/>
      <c r="I115" s="492"/>
      <c r="J115" s="492"/>
      <c r="K115" s="492"/>
      <c r="L115" s="492"/>
      <c r="M115" s="492"/>
      <c r="N115" s="492"/>
      <c r="O115" s="492"/>
      <c r="P115" s="492"/>
      <c r="Q115" s="492"/>
      <c r="R115" s="492"/>
      <c r="S115" s="492"/>
      <c r="T115" s="492"/>
      <c r="U115" s="492"/>
      <c r="V115" s="492"/>
      <c r="W115" s="492"/>
      <c r="X115" s="492"/>
      <c r="Y115" s="492"/>
      <c r="Z115" s="492"/>
      <c r="AA115" s="492"/>
      <c r="AB115" s="492"/>
      <c r="AC115" s="492"/>
      <c r="AD115" s="492"/>
      <c r="AE115" s="492"/>
      <c r="AF115" s="492"/>
      <c r="AG115" s="492"/>
      <c r="AH115" s="492"/>
      <c r="AI115" s="492"/>
      <c r="AJ115" s="492"/>
      <c r="AK115" s="492"/>
    </row>
    <row r="116" spans="1:37" x14ac:dyDescent="0.35">
      <c r="A116" s="492"/>
      <c r="B116" s="492"/>
      <c r="C116" s="492"/>
      <c r="D116" s="492"/>
      <c r="E116" s="492"/>
      <c r="F116" s="492"/>
      <c r="G116" s="492"/>
      <c r="H116" s="492"/>
      <c r="I116" s="492"/>
      <c r="J116" s="492"/>
      <c r="K116" s="492"/>
      <c r="L116" s="492"/>
      <c r="M116" s="492"/>
      <c r="N116" s="492"/>
      <c r="O116" s="492"/>
      <c r="P116" s="492"/>
      <c r="Q116" s="492"/>
      <c r="R116" s="492"/>
      <c r="S116" s="492"/>
      <c r="T116" s="492"/>
      <c r="U116" s="492"/>
      <c r="V116" s="492"/>
      <c r="W116" s="492"/>
      <c r="X116" s="492"/>
      <c r="Y116" s="492"/>
      <c r="Z116" s="492"/>
      <c r="AA116" s="492"/>
      <c r="AB116" s="492"/>
      <c r="AC116" s="492"/>
      <c r="AD116" s="492"/>
      <c r="AE116" s="492"/>
      <c r="AF116" s="492"/>
      <c r="AG116" s="492"/>
      <c r="AH116" s="492"/>
      <c r="AI116" s="492"/>
      <c r="AJ116" s="492"/>
      <c r="AK116" s="492"/>
    </row>
    <row r="117" spans="1:37" x14ac:dyDescent="0.35">
      <c r="A117" s="492"/>
      <c r="B117" s="492"/>
      <c r="C117" s="492"/>
      <c r="D117" s="492"/>
      <c r="E117" s="492"/>
      <c r="F117" s="492"/>
      <c r="G117" s="492"/>
      <c r="H117" s="492"/>
      <c r="I117" s="492"/>
      <c r="J117" s="492"/>
      <c r="K117" s="492"/>
      <c r="L117" s="492"/>
      <c r="M117" s="492"/>
      <c r="N117" s="492"/>
      <c r="O117" s="492"/>
      <c r="P117" s="492"/>
      <c r="Q117" s="492"/>
      <c r="R117" s="492"/>
      <c r="S117" s="492"/>
      <c r="T117" s="492"/>
      <c r="U117" s="492"/>
      <c r="V117" s="492"/>
      <c r="W117" s="492"/>
      <c r="X117" s="492"/>
      <c r="Y117" s="492"/>
      <c r="Z117" s="492"/>
      <c r="AA117" s="492"/>
      <c r="AB117" s="492"/>
      <c r="AC117" s="492"/>
      <c r="AD117" s="492"/>
      <c r="AE117" s="492"/>
      <c r="AF117" s="492"/>
      <c r="AG117" s="492"/>
      <c r="AH117" s="492"/>
      <c r="AI117" s="492"/>
      <c r="AJ117" s="492"/>
      <c r="AK117" s="492"/>
    </row>
    <row r="118" spans="1:37" x14ac:dyDescent="0.35">
      <c r="A118" s="492"/>
      <c r="B118" s="492"/>
      <c r="C118" s="492"/>
      <c r="D118" s="492"/>
      <c r="E118" s="492"/>
      <c r="F118" s="492"/>
      <c r="G118" s="492"/>
      <c r="H118" s="492"/>
      <c r="I118" s="492"/>
      <c r="J118" s="492"/>
      <c r="K118" s="492"/>
      <c r="L118" s="492"/>
      <c r="M118" s="492"/>
      <c r="N118" s="492"/>
      <c r="O118" s="492"/>
      <c r="P118" s="492"/>
      <c r="Q118" s="492"/>
      <c r="R118" s="492"/>
      <c r="S118" s="492"/>
      <c r="T118" s="492"/>
      <c r="U118" s="492"/>
      <c r="V118" s="492"/>
      <c r="W118" s="492"/>
      <c r="X118" s="492"/>
      <c r="Y118" s="492"/>
      <c r="Z118" s="492"/>
      <c r="AA118" s="492"/>
      <c r="AB118" s="492"/>
      <c r="AC118" s="492"/>
      <c r="AD118" s="492"/>
      <c r="AE118" s="492"/>
      <c r="AF118" s="492"/>
      <c r="AG118" s="492"/>
      <c r="AH118" s="492"/>
      <c r="AI118" s="492"/>
      <c r="AJ118" s="492"/>
      <c r="AK118" s="492"/>
    </row>
    <row r="119" spans="1:37" x14ac:dyDescent="0.35">
      <c r="A119" s="492"/>
      <c r="B119" s="492"/>
      <c r="C119" s="492"/>
      <c r="D119" s="492"/>
      <c r="E119" s="492"/>
      <c r="F119" s="492"/>
      <c r="G119" s="492"/>
      <c r="H119" s="492"/>
      <c r="I119" s="492"/>
      <c r="J119" s="492"/>
      <c r="K119" s="492"/>
      <c r="L119" s="492"/>
      <c r="M119" s="492"/>
      <c r="N119" s="492"/>
      <c r="O119" s="492"/>
      <c r="P119" s="492"/>
      <c r="Q119" s="492"/>
      <c r="R119" s="492"/>
      <c r="S119" s="492"/>
      <c r="T119" s="492"/>
      <c r="U119" s="492"/>
      <c r="V119" s="492"/>
      <c r="W119" s="492"/>
      <c r="X119" s="492"/>
      <c r="Y119" s="492"/>
      <c r="Z119" s="492"/>
      <c r="AA119" s="492"/>
      <c r="AB119" s="492"/>
      <c r="AC119" s="492"/>
      <c r="AD119" s="492"/>
      <c r="AE119" s="492"/>
      <c r="AF119" s="492"/>
      <c r="AG119" s="492"/>
      <c r="AH119" s="492"/>
      <c r="AI119" s="492"/>
      <c r="AJ119" s="492"/>
      <c r="AK119" s="492"/>
    </row>
    <row r="120" spans="1:37" x14ac:dyDescent="0.35">
      <c r="A120" s="492"/>
      <c r="B120" s="492"/>
      <c r="C120" s="492"/>
      <c r="D120" s="492"/>
      <c r="E120" s="492"/>
      <c r="F120" s="492"/>
      <c r="G120" s="492"/>
      <c r="H120" s="492"/>
      <c r="I120" s="492"/>
      <c r="J120" s="492"/>
      <c r="K120" s="492"/>
      <c r="L120" s="492"/>
      <c r="M120" s="492"/>
      <c r="N120" s="492"/>
      <c r="O120" s="492"/>
      <c r="P120" s="492"/>
      <c r="Q120" s="492"/>
      <c r="R120" s="492"/>
      <c r="S120" s="492"/>
      <c r="T120" s="492"/>
      <c r="U120" s="492"/>
      <c r="V120" s="492"/>
      <c r="W120" s="492"/>
      <c r="X120" s="492"/>
      <c r="Y120" s="492"/>
      <c r="Z120" s="492"/>
      <c r="AA120" s="492"/>
      <c r="AB120" s="492"/>
      <c r="AC120" s="492"/>
      <c r="AD120" s="492"/>
      <c r="AE120" s="492"/>
      <c r="AF120" s="492"/>
      <c r="AG120" s="492"/>
      <c r="AH120" s="492"/>
      <c r="AI120" s="492"/>
      <c r="AJ120" s="492"/>
      <c r="AK120" s="492"/>
    </row>
    <row r="121" spans="1:37" x14ac:dyDescent="0.35">
      <c r="A121" s="492"/>
      <c r="B121" s="492"/>
      <c r="C121" s="492"/>
      <c r="D121" s="492"/>
      <c r="E121" s="492"/>
      <c r="F121" s="492"/>
      <c r="G121" s="492"/>
      <c r="H121" s="492"/>
      <c r="I121" s="492"/>
      <c r="J121" s="492"/>
      <c r="K121" s="492"/>
      <c r="L121" s="492"/>
      <c r="M121" s="492"/>
      <c r="N121" s="492"/>
      <c r="O121" s="492"/>
      <c r="P121" s="492"/>
      <c r="Q121" s="492"/>
      <c r="R121" s="492"/>
      <c r="S121" s="492"/>
      <c r="T121" s="492"/>
      <c r="U121" s="492"/>
      <c r="V121" s="492"/>
      <c r="W121" s="492"/>
      <c r="X121" s="492"/>
      <c r="Y121" s="492"/>
      <c r="Z121" s="492"/>
      <c r="AA121" s="492"/>
      <c r="AB121" s="492"/>
      <c r="AC121" s="492"/>
      <c r="AD121" s="492"/>
      <c r="AE121" s="492"/>
      <c r="AF121" s="492"/>
      <c r="AG121" s="492"/>
      <c r="AH121" s="492"/>
      <c r="AI121" s="492"/>
      <c r="AJ121" s="492"/>
      <c r="AK121" s="492"/>
    </row>
    <row r="122" spans="1:37" x14ac:dyDescent="0.35">
      <c r="A122" s="492"/>
      <c r="B122" s="492"/>
      <c r="C122" s="492"/>
      <c r="D122" s="492"/>
      <c r="E122" s="492"/>
      <c r="F122" s="492"/>
      <c r="G122" s="492"/>
      <c r="H122" s="492"/>
      <c r="I122" s="492"/>
      <c r="J122" s="492"/>
      <c r="K122" s="492"/>
      <c r="L122" s="492"/>
      <c r="M122" s="492"/>
      <c r="N122" s="492"/>
      <c r="O122" s="492"/>
      <c r="P122" s="492"/>
      <c r="Q122" s="492"/>
      <c r="R122" s="492"/>
      <c r="S122" s="492"/>
      <c r="T122" s="492"/>
      <c r="U122" s="492"/>
      <c r="V122" s="492"/>
      <c r="W122" s="492"/>
      <c r="X122" s="492"/>
      <c r="Y122" s="492"/>
      <c r="Z122" s="492"/>
      <c r="AA122" s="492"/>
      <c r="AB122" s="492"/>
      <c r="AC122" s="492"/>
      <c r="AD122" s="492"/>
      <c r="AE122" s="492"/>
      <c r="AF122" s="492"/>
      <c r="AG122" s="492"/>
      <c r="AH122" s="492"/>
      <c r="AI122" s="492"/>
      <c r="AJ122" s="492"/>
      <c r="AK122" s="492"/>
    </row>
    <row r="123" spans="1:37" x14ac:dyDescent="0.35">
      <c r="A123" s="492"/>
      <c r="B123" s="492"/>
      <c r="C123" s="492"/>
      <c r="D123" s="492"/>
      <c r="E123" s="492"/>
      <c r="F123" s="492"/>
      <c r="G123" s="492"/>
      <c r="H123" s="492"/>
      <c r="I123" s="492"/>
      <c r="J123" s="492"/>
      <c r="K123" s="492"/>
      <c r="L123" s="492"/>
      <c r="M123" s="492"/>
      <c r="N123" s="492"/>
      <c r="O123" s="492"/>
      <c r="P123" s="492"/>
      <c r="Q123" s="492"/>
      <c r="R123" s="492"/>
      <c r="S123" s="492"/>
      <c r="T123" s="492"/>
      <c r="U123" s="492"/>
      <c r="V123" s="492"/>
      <c r="W123" s="492"/>
      <c r="X123" s="492"/>
      <c r="Y123" s="492"/>
      <c r="Z123" s="492"/>
      <c r="AA123" s="492"/>
      <c r="AB123" s="492"/>
      <c r="AC123" s="492"/>
      <c r="AD123" s="492"/>
      <c r="AE123" s="492"/>
      <c r="AF123" s="492"/>
      <c r="AG123" s="492"/>
      <c r="AH123" s="492"/>
      <c r="AI123" s="492"/>
      <c r="AJ123" s="492"/>
      <c r="AK123" s="492"/>
    </row>
    <row r="124" spans="1:37" x14ac:dyDescent="0.35">
      <c r="A124" s="492"/>
      <c r="B124" s="492"/>
      <c r="C124" s="492"/>
      <c r="D124" s="492"/>
      <c r="E124" s="492"/>
      <c r="F124" s="492"/>
      <c r="G124" s="492"/>
      <c r="H124" s="492"/>
      <c r="I124" s="492"/>
      <c r="J124" s="492"/>
      <c r="K124" s="492"/>
      <c r="L124" s="492"/>
      <c r="M124" s="492"/>
      <c r="N124" s="492"/>
      <c r="O124" s="492"/>
      <c r="P124" s="492"/>
      <c r="Q124" s="492"/>
      <c r="R124" s="492"/>
      <c r="S124" s="492"/>
      <c r="T124" s="492"/>
      <c r="U124" s="492"/>
      <c r="V124" s="492"/>
      <c r="W124" s="492"/>
      <c r="X124" s="492"/>
      <c r="Y124" s="492"/>
      <c r="Z124" s="492"/>
      <c r="AA124" s="492"/>
      <c r="AB124" s="492"/>
      <c r="AC124" s="492"/>
      <c r="AD124" s="492"/>
      <c r="AE124" s="492"/>
      <c r="AF124" s="492"/>
      <c r="AG124" s="492"/>
      <c r="AH124" s="492"/>
      <c r="AI124" s="492"/>
      <c r="AJ124" s="492"/>
      <c r="AK124" s="492"/>
    </row>
    <row r="125" spans="1:37" x14ac:dyDescent="0.35">
      <c r="A125" s="492"/>
      <c r="B125" s="492"/>
      <c r="C125" s="492"/>
      <c r="D125" s="492"/>
      <c r="E125" s="492"/>
      <c r="F125" s="492"/>
      <c r="G125" s="492"/>
      <c r="H125" s="492"/>
      <c r="I125" s="492"/>
      <c r="J125" s="492"/>
      <c r="K125" s="492"/>
      <c r="L125" s="492"/>
      <c r="M125" s="492"/>
      <c r="N125" s="492"/>
      <c r="O125" s="492"/>
      <c r="P125" s="492"/>
      <c r="Q125" s="492"/>
      <c r="R125" s="492"/>
      <c r="S125" s="492"/>
      <c r="T125" s="492"/>
      <c r="U125" s="492"/>
      <c r="V125" s="492"/>
      <c r="W125" s="492"/>
      <c r="X125" s="492"/>
      <c r="Y125" s="492"/>
      <c r="Z125" s="492"/>
      <c r="AA125" s="492"/>
      <c r="AB125" s="492"/>
      <c r="AC125" s="492"/>
      <c r="AD125" s="492"/>
      <c r="AE125" s="492"/>
      <c r="AF125" s="492"/>
      <c r="AG125" s="492"/>
      <c r="AH125" s="492"/>
      <c r="AI125" s="492"/>
      <c r="AJ125" s="492"/>
      <c r="AK125" s="492"/>
    </row>
    <row r="126" spans="1:37" x14ac:dyDescent="0.35">
      <c r="A126" s="492"/>
      <c r="B126" s="492"/>
      <c r="C126" s="492"/>
      <c r="D126" s="492"/>
      <c r="E126" s="492"/>
      <c r="F126" s="492"/>
      <c r="G126" s="492"/>
      <c r="H126" s="492"/>
      <c r="I126" s="492"/>
      <c r="J126" s="492"/>
      <c r="K126" s="492"/>
      <c r="L126" s="492"/>
      <c r="M126" s="492"/>
      <c r="N126" s="492"/>
      <c r="O126" s="492"/>
      <c r="P126" s="492"/>
      <c r="Q126" s="492"/>
      <c r="R126" s="492"/>
      <c r="S126" s="492"/>
      <c r="T126" s="492"/>
      <c r="U126" s="492"/>
      <c r="V126" s="492"/>
      <c r="W126" s="492"/>
      <c r="X126" s="492"/>
      <c r="Y126" s="492"/>
      <c r="Z126" s="492"/>
      <c r="AA126" s="492"/>
      <c r="AB126" s="492"/>
      <c r="AC126" s="492"/>
      <c r="AD126" s="492"/>
      <c r="AE126" s="492"/>
      <c r="AF126" s="492"/>
      <c r="AG126" s="492"/>
      <c r="AH126" s="492"/>
      <c r="AI126" s="492"/>
      <c r="AJ126" s="492"/>
      <c r="AK126" s="492"/>
    </row>
    <row r="127" spans="1:37" x14ac:dyDescent="0.35">
      <c r="A127" s="492"/>
      <c r="B127" s="492"/>
      <c r="C127" s="492"/>
      <c r="D127" s="492"/>
      <c r="E127" s="492"/>
      <c r="F127" s="492"/>
      <c r="G127" s="492"/>
      <c r="H127" s="492"/>
      <c r="I127" s="492"/>
      <c r="J127" s="492"/>
      <c r="K127" s="492"/>
      <c r="L127" s="492"/>
      <c r="M127" s="492"/>
      <c r="N127" s="492"/>
      <c r="O127" s="492"/>
      <c r="P127" s="492"/>
      <c r="Q127" s="492"/>
      <c r="R127" s="492"/>
      <c r="S127" s="492"/>
      <c r="T127" s="492"/>
      <c r="U127" s="492"/>
      <c r="V127" s="492"/>
      <c r="W127" s="492"/>
      <c r="X127" s="492"/>
      <c r="Y127" s="492"/>
      <c r="Z127" s="492"/>
      <c r="AA127" s="492"/>
      <c r="AB127" s="492"/>
      <c r="AC127" s="492"/>
      <c r="AD127" s="492"/>
      <c r="AE127" s="492"/>
      <c r="AF127" s="492"/>
      <c r="AG127" s="492"/>
      <c r="AH127" s="492"/>
      <c r="AI127" s="492"/>
      <c r="AJ127" s="492"/>
      <c r="AK127" s="492"/>
    </row>
    <row r="128" spans="1:37" x14ac:dyDescent="0.35">
      <c r="A128" s="492"/>
      <c r="B128" s="492"/>
      <c r="C128" s="492"/>
      <c r="D128" s="492"/>
      <c r="E128" s="492"/>
      <c r="F128" s="492"/>
      <c r="G128" s="492"/>
      <c r="H128" s="492"/>
      <c r="I128" s="492"/>
      <c r="J128" s="492"/>
      <c r="K128" s="492"/>
      <c r="L128" s="492"/>
      <c r="M128" s="492"/>
      <c r="N128" s="492"/>
      <c r="O128" s="492"/>
      <c r="P128" s="492"/>
      <c r="Q128" s="492"/>
      <c r="R128" s="492"/>
      <c r="S128" s="492"/>
      <c r="T128" s="492"/>
      <c r="U128" s="492"/>
      <c r="V128" s="492"/>
      <c r="W128" s="492"/>
      <c r="X128" s="492"/>
      <c r="Y128" s="492"/>
      <c r="Z128" s="492"/>
      <c r="AA128" s="492"/>
      <c r="AB128" s="492"/>
      <c r="AC128" s="492"/>
      <c r="AD128" s="492"/>
      <c r="AE128" s="492"/>
      <c r="AF128" s="492"/>
      <c r="AG128" s="492"/>
      <c r="AH128" s="492"/>
      <c r="AI128" s="492"/>
      <c r="AJ128" s="492"/>
      <c r="AK128" s="492"/>
    </row>
    <row r="129" spans="1:37" x14ac:dyDescent="0.35">
      <c r="A129" s="492"/>
      <c r="B129" s="492"/>
      <c r="C129" s="492"/>
      <c r="D129" s="492"/>
      <c r="E129" s="492"/>
      <c r="F129" s="492"/>
      <c r="G129" s="492"/>
      <c r="H129" s="492"/>
      <c r="I129" s="492"/>
      <c r="J129" s="492"/>
      <c r="K129" s="492"/>
      <c r="L129" s="492"/>
      <c r="M129" s="492"/>
      <c r="N129" s="492"/>
      <c r="O129" s="492"/>
      <c r="P129" s="492"/>
      <c r="Q129" s="492"/>
      <c r="R129" s="492"/>
      <c r="S129" s="492"/>
      <c r="T129" s="492"/>
      <c r="U129" s="492"/>
      <c r="V129" s="492"/>
      <c r="W129" s="492"/>
      <c r="X129" s="492"/>
      <c r="Y129" s="492"/>
      <c r="Z129" s="492"/>
      <c r="AA129" s="492"/>
      <c r="AB129" s="492"/>
      <c r="AC129" s="492"/>
      <c r="AD129" s="492"/>
      <c r="AE129" s="492"/>
      <c r="AF129" s="492"/>
      <c r="AG129" s="492"/>
      <c r="AH129" s="492"/>
      <c r="AI129" s="492"/>
      <c r="AJ129" s="492"/>
      <c r="AK129" s="492"/>
    </row>
    <row r="130" spans="1:37" x14ac:dyDescent="0.35">
      <c r="A130" s="492"/>
      <c r="B130" s="492"/>
      <c r="C130" s="492"/>
      <c r="D130" s="492"/>
      <c r="E130" s="492"/>
      <c r="F130" s="492"/>
      <c r="G130" s="492"/>
      <c r="H130" s="492"/>
      <c r="I130" s="492"/>
      <c r="J130" s="492"/>
      <c r="K130" s="492"/>
      <c r="L130" s="492"/>
      <c r="M130" s="492"/>
      <c r="N130" s="492"/>
      <c r="O130" s="492"/>
      <c r="P130" s="492"/>
      <c r="Q130" s="492"/>
      <c r="R130" s="492"/>
      <c r="S130" s="492"/>
      <c r="T130" s="492"/>
      <c r="U130" s="492"/>
      <c r="V130" s="492"/>
      <c r="W130" s="492"/>
      <c r="X130" s="492"/>
      <c r="Y130" s="492"/>
      <c r="Z130" s="492"/>
      <c r="AA130" s="492"/>
      <c r="AB130" s="492"/>
      <c r="AC130" s="492"/>
      <c r="AD130" s="492"/>
      <c r="AE130" s="492"/>
      <c r="AF130" s="492"/>
      <c r="AG130" s="492"/>
      <c r="AH130" s="492"/>
      <c r="AI130" s="492"/>
      <c r="AJ130" s="492"/>
      <c r="AK130" s="492"/>
    </row>
    <row r="131" spans="1:37" x14ac:dyDescent="0.35">
      <c r="A131" s="492"/>
      <c r="B131" s="492"/>
      <c r="C131" s="492"/>
      <c r="D131" s="492"/>
      <c r="E131" s="492"/>
      <c r="F131" s="492"/>
      <c r="G131" s="492"/>
      <c r="H131" s="492"/>
      <c r="I131" s="492"/>
      <c r="J131" s="492"/>
      <c r="K131" s="492"/>
      <c r="L131" s="492"/>
      <c r="M131" s="492"/>
      <c r="N131" s="492"/>
      <c r="O131" s="492"/>
      <c r="P131" s="492"/>
      <c r="Q131" s="492"/>
      <c r="R131" s="492"/>
      <c r="S131" s="492"/>
      <c r="T131" s="492"/>
      <c r="U131" s="492"/>
      <c r="V131" s="492"/>
      <c r="W131" s="492"/>
      <c r="X131" s="492"/>
      <c r="Y131" s="492"/>
      <c r="Z131" s="492"/>
      <c r="AA131" s="492"/>
      <c r="AB131" s="492"/>
      <c r="AC131" s="492"/>
      <c r="AD131" s="492"/>
      <c r="AE131" s="492"/>
      <c r="AF131" s="492"/>
      <c r="AG131" s="492"/>
      <c r="AH131" s="492"/>
      <c r="AI131" s="492"/>
      <c r="AJ131" s="492"/>
      <c r="AK131" s="492"/>
    </row>
    <row r="132" spans="1:37" x14ac:dyDescent="0.35">
      <c r="A132" s="492"/>
      <c r="B132" s="492"/>
      <c r="C132" s="492"/>
      <c r="D132" s="492"/>
      <c r="E132" s="492"/>
      <c r="F132" s="492"/>
      <c r="G132" s="492"/>
      <c r="H132" s="492"/>
      <c r="I132" s="492"/>
      <c r="J132" s="492"/>
      <c r="K132" s="492"/>
      <c r="L132" s="492"/>
      <c r="M132" s="492"/>
      <c r="N132" s="492"/>
      <c r="O132" s="492"/>
      <c r="P132" s="492"/>
      <c r="Q132" s="492"/>
      <c r="R132" s="492"/>
      <c r="S132" s="492"/>
      <c r="T132" s="492"/>
      <c r="U132" s="492"/>
      <c r="V132" s="492"/>
      <c r="W132" s="492"/>
      <c r="X132" s="492"/>
      <c r="Y132" s="492"/>
      <c r="Z132" s="492"/>
      <c r="AA132" s="492"/>
      <c r="AB132" s="492"/>
      <c r="AC132" s="492"/>
      <c r="AD132" s="492"/>
      <c r="AE132" s="492"/>
      <c r="AF132" s="492"/>
      <c r="AG132" s="492"/>
      <c r="AH132" s="492"/>
      <c r="AI132" s="492"/>
      <c r="AJ132" s="492"/>
      <c r="AK132" s="492"/>
    </row>
    <row r="133" spans="1:37" x14ac:dyDescent="0.35">
      <c r="A133" s="492"/>
      <c r="B133" s="492"/>
      <c r="C133" s="492"/>
      <c r="D133" s="492"/>
      <c r="E133" s="492"/>
      <c r="F133" s="492"/>
      <c r="G133" s="492"/>
      <c r="H133" s="492"/>
      <c r="I133" s="492"/>
      <c r="J133" s="492"/>
      <c r="K133" s="492"/>
      <c r="L133" s="492"/>
      <c r="M133" s="492"/>
      <c r="N133" s="492"/>
      <c r="O133" s="492"/>
      <c r="P133" s="492"/>
      <c r="Q133" s="492"/>
      <c r="R133" s="492"/>
      <c r="S133" s="492"/>
      <c r="T133" s="492"/>
      <c r="U133" s="492"/>
      <c r="V133" s="492"/>
      <c r="W133" s="492"/>
      <c r="X133" s="492"/>
      <c r="Y133" s="492"/>
      <c r="Z133" s="492"/>
      <c r="AA133" s="492"/>
      <c r="AB133" s="492"/>
      <c r="AC133" s="492"/>
      <c r="AD133" s="492"/>
      <c r="AE133" s="492"/>
      <c r="AF133" s="492"/>
      <c r="AG133" s="492"/>
      <c r="AH133" s="492"/>
      <c r="AI133" s="492"/>
      <c r="AJ133" s="492"/>
      <c r="AK133" s="492"/>
    </row>
    <row r="134" spans="1:37" x14ac:dyDescent="0.35">
      <c r="A134" s="492"/>
      <c r="B134" s="492"/>
      <c r="C134" s="492"/>
      <c r="D134" s="492"/>
      <c r="E134" s="492"/>
      <c r="F134" s="492"/>
      <c r="G134" s="492"/>
      <c r="H134" s="492"/>
      <c r="I134" s="492"/>
      <c r="J134" s="492"/>
      <c r="K134" s="492"/>
      <c r="L134" s="492"/>
      <c r="M134" s="492"/>
      <c r="N134" s="492"/>
      <c r="O134" s="492"/>
      <c r="P134" s="492"/>
      <c r="Q134" s="492"/>
      <c r="R134" s="492"/>
      <c r="S134" s="492"/>
      <c r="T134" s="492"/>
      <c r="U134" s="492"/>
      <c r="V134" s="492"/>
      <c r="W134" s="492"/>
      <c r="X134" s="492"/>
      <c r="Y134" s="492"/>
      <c r="Z134" s="492"/>
      <c r="AA134" s="492"/>
      <c r="AB134" s="492"/>
      <c r="AC134" s="492"/>
      <c r="AD134" s="492"/>
      <c r="AE134" s="492"/>
      <c r="AF134" s="492"/>
      <c r="AG134" s="492"/>
      <c r="AH134" s="492"/>
      <c r="AI134" s="492"/>
      <c r="AJ134" s="492"/>
      <c r="AK134" s="492"/>
    </row>
    <row r="135" spans="1:37" x14ac:dyDescent="0.35">
      <c r="A135" s="492"/>
      <c r="B135" s="492"/>
      <c r="C135" s="492"/>
      <c r="D135" s="492"/>
      <c r="E135" s="492"/>
      <c r="F135" s="492"/>
      <c r="G135" s="492"/>
      <c r="H135" s="492"/>
      <c r="I135" s="492"/>
      <c r="J135" s="492"/>
      <c r="K135" s="492"/>
      <c r="L135" s="492"/>
      <c r="M135" s="492"/>
      <c r="N135" s="492"/>
      <c r="O135" s="492"/>
      <c r="P135" s="492"/>
      <c r="Q135" s="492"/>
      <c r="R135" s="492"/>
      <c r="S135" s="492"/>
      <c r="T135" s="492"/>
      <c r="U135" s="492"/>
      <c r="V135" s="492"/>
      <c r="W135" s="492"/>
      <c r="X135" s="492"/>
      <c r="Y135" s="492"/>
      <c r="Z135" s="492"/>
      <c r="AA135" s="492"/>
      <c r="AB135" s="492"/>
      <c r="AC135" s="492"/>
      <c r="AD135" s="492"/>
      <c r="AE135" s="492"/>
      <c r="AF135" s="492"/>
      <c r="AG135" s="492"/>
      <c r="AH135" s="492"/>
      <c r="AI135" s="492"/>
      <c r="AJ135" s="492"/>
      <c r="AK135" s="492"/>
    </row>
    <row r="136" spans="1:37" x14ac:dyDescent="0.35">
      <c r="A136" s="492"/>
      <c r="B136" s="492"/>
      <c r="C136" s="492"/>
      <c r="D136" s="492"/>
      <c r="E136" s="492"/>
      <c r="F136" s="492"/>
      <c r="G136" s="492"/>
      <c r="H136" s="492"/>
      <c r="I136" s="492"/>
      <c r="J136" s="492"/>
      <c r="K136" s="492"/>
      <c r="L136" s="492"/>
      <c r="M136" s="492"/>
      <c r="N136" s="492"/>
      <c r="O136" s="492"/>
      <c r="P136" s="492"/>
      <c r="Q136" s="492"/>
      <c r="R136" s="492"/>
      <c r="S136" s="492"/>
      <c r="T136" s="492"/>
      <c r="U136" s="492"/>
      <c r="V136" s="492"/>
      <c r="W136" s="492"/>
      <c r="X136" s="492"/>
      <c r="Y136" s="492"/>
      <c r="Z136" s="492"/>
      <c r="AA136" s="492"/>
      <c r="AB136" s="492"/>
      <c r="AC136" s="492"/>
      <c r="AD136" s="492"/>
      <c r="AE136" s="492"/>
      <c r="AF136" s="492"/>
      <c r="AG136" s="492"/>
      <c r="AH136" s="492"/>
      <c r="AI136" s="492"/>
      <c r="AJ136" s="492"/>
      <c r="AK136" s="492"/>
    </row>
    <row r="137" spans="1:37" x14ac:dyDescent="0.35">
      <c r="A137" s="492"/>
      <c r="B137" s="492"/>
      <c r="C137" s="492"/>
      <c r="D137" s="492"/>
      <c r="E137" s="492"/>
      <c r="F137" s="492"/>
      <c r="G137" s="492"/>
      <c r="H137" s="492"/>
      <c r="I137" s="492"/>
      <c r="J137" s="492"/>
      <c r="K137" s="492"/>
      <c r="L137" s="492"/>
      <c r="M137" s="492"/>
      <c r="N137" s="492"/>
      <c r="O137" s="492"/>
      <c r="P137" s="492"/>
      <c r="Q137" s="492"/>
      <c r="R137" s="492"/>
      <c r="S137" s="492"/>
      <c r="T137" s="492"/>
      <c r="U137" s="492"/>
      <c r="V137" s="492"/>
      <c r="W137" s="492"/>
      <c r="X137" s="492"/>
      <c r="Y137" s="492"/>
      <c r="Z137" s="492"/>
      <c r="AA137" s="492"/>
      <c r="AB137" s="492"/>
      <c r="AC137" s="492"/>
      <c r="AD137" s="492"/>
      <c r="AE137" s="492"/>
      <c r="AF137" s="492"/>
      <c r="AG137" s="492"/>
      <c r="AH137" s="492"/>
      <c r="AI137" s="492"/>
      <c r="AJ137" s="492"/>
      <c r="AK137" s="492"/>
    </row>
    <row r="138" spans="1:37" x14ac:dyDescent="0.35">
      <c r="A138" s="492"/>
      <c r="B138" s="492"/>
      <c r="C138" s="492"/>
      <c r="D138" s="492"/>
      <c r="E138" s="492"/>
      <c r="F138" s="492"/>
      <c r="G138" s="492"/>
      <c r="H138" s="492"/>
      <c r="I138" s="492"/>
      <c r="J138" s="492"/>
      <c r="K138" s="492"/>
      <c r="L138" s="492"/>
      <c r="M138" s="492"/>
      <c r="N138" s="492"/>
      <c r="O138" s="492"/>
      <c r="P138" s="492"/>
      <c r="Q138" s="492"/>
      <c r="R138" s="492"/>
      <c r="S138" s="492"/>
      <c r="T138" s="492"/>
      <c r="U138" s="492"/>
      <c r="V138" s="492"/>
      <c r="W138" s="492"/>
      <c r="X138" s="492"/>
      <c r="Y138" s="492"/>
      <c r="Z138" s="492"/>
      <c r="AA138" s="492"/>
      <c r="AB138" s="492"/>
      <c r="AC138" s="492"/>
      <c r="AD138" s="492"/>
      <c r="AE138" s="492"/>
      <c r="AF138" s="492"/>
      <c r="AG138" s="492"/>
      <c r="AH138" s="492"/>
      <c r="AI138" s="492"/>
      <c r="AJ138" s="492"/>
      <c r="AK138" s="492"/>
    </row>
    <row r="139" spans="1:37" x14ac:dyDescent="0.35">
      <c r="A139" s="492"/>
      <c r="B139" s="492"/>
      <c r="C139" s="492"/>
      <c r="D139" s="492"/>
      <c r="E139" s="492"/>
      <c r="F139" s="492"/>
      <c r="G139" s="492"/>
      <c r="H139" s="492"/>
      <c r="I139" s="492"/>
      <c r="J139" s="492"/>
      <c r="K139" s="492"/>
      <c r="L139" s="492"/>
      <c r="M139" s="492"/>
      <c r="N139" s="492"/>
      <c r="O139" s="492"/>
      <c r="P139" s="492"/>
      <c r="Q139" s="492"/>
      <c r="R139" s="492"/>
      <c r="S139" s="492"/>
      <c r="T139" s="492"/>
      <c r="U139" s="492"/>
      <c r="V139" s="492"/>
      <c r="W139" s="492"/>
      <c r="X139" s="492"/>
      <c r="Y139" s="492"/>
      <c r="Z139" s="492"/>
      <c r="AA139" s="492"/>
      <c r="AB139" s="492"/>
      <c r="AC139" s="492"/>
      <c r="AD139" s="492"/>
      <c r="AE139" s="492"/>
      <c r="AF139" s="492"/>
      <c r="AG139" s="492"/>
      <c r="AH139" s="492"/>
      <c r="AI139" s="492"/>
      <c r="AJ139" s="492"/>
      <c r="AK139" s="492"/>
    </row>
    <row r="140" spans="1:37" x14ac:dyDescent="0.35">
      <c r="A140" s="492"/>
      <c r="B140" s="492"/>
      <c r="C140" s="492"/>
      <c r="D140" s="492"/>
      <c r="E140" s="492"/>
      <c r="F140" s="492"/>
      <c r="G140" s="492"/>
      <c r="H140" s="492"/>
      <c r="I140" s="492"/>
      <c r="J140" s="492"/>
      <c r="K140" s="492"/>
      <c r="L140" s="492"/>
      <c r="M140" s="492"/>
      <c r="N140" s="492"/>
      <c r="O140" s="492"/>
      <c r="P140" s="492"/>
      <c r="Q140" s="492"/>
      <c r="R140" s="492"/>
      <c r="S140" s="492"/>
      <c r="T140" s="492"/>
      <c r="U140" s="492"/>
      <c r="V140" s="492"/>
      <c r="W140" s="492"/>
      <c r="X140" s="492"/>
      <c r="Y140" s="492"/>
      <c r="Z140" s="492"/>
      <c r="AA140" s="492"/>
      <c r="AB140" s="492"/>
      <c r="AC140" s="492"/>
      <c r="AD140" s="492"/>
      <c r="AE140" s="492"/>
      <c r="AF140" s="492"/>
      <c r="AG140" s="492"/>
      <c r="AH140" s="492"/>
      <c r="AI140" s="492"/>
      <c r="AJ140" s="492"/>
      <c r="AK140" s="492"/>
    </row>
    <row r="141" spans="1:37" x14ac:dyDescent="0.35">
      <c r="A141" s="492"/>
      <c r="B141" s="492"/>
      <c r="C141" s="492"/>
      <c r="D141" s="492"/>
      <c r="E141" s="492"/>
      <c r="F141" s="492"/>
      <c r="G141" s="492"/>
      <c r="H141" s="492"/>
      <c r="I141" s="492"/>
      <c r="J141" s="492"/>
      <c r="K141" s="492"/>
      <c r="L141" s="492"/>
      <c r="M141" s="492"/>
      <c r="N141" s="492"/>
      <c r="O141" s="492"/>
      <c r="P141" s="492"/>
      <c r="Q141" s="492"/>
      <c r="R141" s="492"/>
      <c r="S141" s="492"/>
      <c r="T141" s="492"/>
      <c r="U141" s="492"/>
      <c r="V141" s="492"/>
      <c r="W141" s="492"/>
      <c r="X141" s="492"/>
      <c r="Y141" s="492"/>
      <c r="Z141" s="492"/>
      <c r="AA141" s="492"/>
      <c r="AB141" s="492"/>
      <c r="AC141" s="492"/>
      <c r="AD141" s="492"/>
      <c r="AE141" s="492"/>
      <c r="AF141" s="492"/>
      <c r="AG141" s="492"/>
      <c r="AH141" s="492"/>
      <c r="AI141" s="492"/>
      <c r="AJ141" s="492"/>
      <c r="AK141" s="492"/>
    </row>
    <row r="142" spans="1:37" x14ac:dyDescent="0.35">
      <c r="A142" s="492"/>
      <c r="B142" s="492"/>
      <c r="C142" s="492"/>
      <c r="D142" s="492"/>
      <c r="E142" s="492"/>
      <c r="F142" s="492"/>
      <c r="G142" s="492"/>
      <c r="H142" s="492"/>
      <c r="I142" s="492"/>
      <c r="J142" s="492"/>
      <c r="K142" s="492"/>
      <c r="L142" s="492"/>
      <c r="M142" s="492"/>
      <c r="N142" s="492"/>
      <c r="O142" s="492"/>
      <c r="P142" s="492"/>
      <c r="Q142" s="492"/>
      <c r="R142" s="492"/>
      <c r="S142" s="492"/>
      <c r="T142" s="492"/>
      <c r="U142" s="492"/>
      <c r="V142" s="492"/>
      <c r="W142" s="492"/>
      <c r="X142" s="492"/>
      <c r="Y142" s="492"/>
      <c r="Z142" s="492"/>
      <c r="AA142" s="492"/>
      <c r="AB142" s="492"/>
      <c r="AC142" s="492"/>
      <c r="AD142" s="492"/>
      <c r="AE142" s="492"/>
      <c r="AF142" s="492"/>
      <c r="AG142" s="492"/>
      <c r="AH142" s="492"/>
      <c r="AI142" s="492"/>
      <c r="AJ142" s="492"/>
      <c r="AK142" s="492"/>
    </row>
    <row r="143" spans="1:37" x14ac:dyDescent="0.35">
      <c r="A143" s="492"/>
      <c r="B143" s="492"/>
      <c r="C143" s="492"/>
      <c r="D143" s="492"/>
      <c r="E143" s="492"/>
      <c r="F143" s="492"/>
      <c r="G143" s="492"/>
      <c r="H143" s="492"/>
      <c r="I143" s="492"/>
      <c r="J143" s="492"/>
      <c r="K143" s="492"/>
      <c r="L143" s="492"/>
      <c r="M143" s="492"/>
      <c r="N143" s="492"/>
      <c r="O143" s="492"/>
      <c r="P143" s="492"/>
      <c r="Q143" s="492"/>
      <c r="R143" s="492"/>
      <c r="S143" s="492"/>
      <c r="T143" s="492"/>
      <c r="U143" s="492"/>
      <c r="V143" s="492"/>
      <c r="W143" s="492"/>
      <c r="X143" s="492"/>
      <c r="Y143" s="492"/>
      <c r="Z143" s="492"/>
      <c r="AA143" s="492"/>
      <c r="AB143" s="492"/>
      <c r="AC143" s="492"/>
      <c r="AD143" s="492"/>
      <c r="AE143" s="492"/>
      <c r="AF143" s="492"/>
      <c r="AG143" s="492"/>
      <c r="AH143" s="492"/>
      <c r="AI143" s="492"/>
      <c r="AJ143" s="492"/>
      <c r="AK143" s="492"/>
    </row>
    <row r="144" spans="1:37" x14ac:dyDescent="0.35">
      <c r="A144" s="492"/>
      <c r="B144" s="492"/>
      <c r="C144" s="492"/>
      <c r="D144" s="492"/>
      <c r="E144" s="492"/>
      <c r="F144" s="492"/>
      <c r="G144" s="492"/>
      <c r="H144" s="492"/>
      <c r="I144" s="492"/>
      <c r="J144" s="492"/>
      <c r="K144" s="492"/>
      <c r="L144" s="492"/>
      <c r="M144" s="492"/>
      <c r="N144" s="492"/>
      <c r="O144" s="492"/>
      <c r="P144" s="492"/>
      <c r="Q144" s="492"/>
      <c r="R144" s="492"/>
      <c r="S144" s="492"/>
      <c r="T144" s="492"/>
      <c r="U144" s="492"/>
      <c r="V144" s="492"/>
      <c r="W144" s="492"/>
      <c r="X144" s="492"/>
      <c r="Y144" s="492"/>
      <c r="Z144" s="492"/>
      <c r="AA144" s="492"/>
      <c r="AB144" s="492"/>
      <c r="AC144" s="492"/>
      <c r="AD144" s="492"/>
      <c r="AE144" s="492"/>
      <c r="AF144" s="492"/>
      <c r="AG144" s="492"/>
      <c r="AH144" s="492"/>
      <c r="AI144" s="492"/>
      <c r="AJ144" s="492"/>
      <c r="AK144" s="492"/>
    </row>
    <row r="145" spans="1:37" x14ac:dyDescent="0.35">
      <c r="A145" s="492"/>
      <c r="B145" s="492"/>
      <c r="C145" s="492"/>
      <c r="D145" s="492"/>
      <c r="E145" s="492"/>
      <c r="F145" s="492"/>
      <c r="G145" s="492"/>
      <c r="H145" s="492"/>
      <c r="I145" s="492"/>
      <c r="J145" s="492"/>
      <c r="K145" s="492"/>
      <c r="L145" s="492"/>
      <c r="M145" s="492"/>
      <c r="N145" s="492"/>
      <c r="O145" s="492"/>
      <c r="P145" s="492"/>
      <c r="Q145" s="492"/>
      <c r="R145" s="492"/>
      <c r="S145" s="492"/>
      <c r="T145" s="492"/>
      <c r="U145" s="492"/>
      <c r="V145" s="492"/>
      <c r="W145" s="492"/>
      <c r="X145" s="492"/>
      <c r="Y145" s="492"/>
      <c r="Z145" s="492"/>
      <c r="AA145" s="492"/>
      <c r="AB145" s="492"/>
      <c r="AC145" s="492"/>
      <c r="AD145" s="492"/>
      <c r="AE145" s="492"/>
      <c r="AF145" s="492"/>
      <c r="AG145" s="492"/>
      <c r="AH145" s="492"/>
      <c r="AI145" s="492"/>
      <c r="AJ145" s="492"/>
      <c r="AK145" s="492"/>
    </row>
    <row r="146" spans="1:37" x14ac:dyDescent="0.35">
      <c r="A146" s="492"/>
      <c r="B146" s="492"/>
      <c r="C146" s="492"/>
      <c r="D146" s="492"/>
      <c r="E146" s="492"/>
      <c r="F146" s="492"/>
      <c r="G146" s="492"/>
      <c r="H146" s="492"/>
      <c r="I146" s="492"/>
      <c r="J146" s="492"/>
      <c r="K146" s="492"/>
      <c r="L146" s="492"/>
      <c r="M146" s="492"/>
      <c r="N146" s="492"/>
      <c r="O146" s="492"/>
      <c r="P146" s="492"/>
      <c r="Q146" s="492"/>
      <c r="R146" s="492"/>
      <c r="S146" s="492"/>
      <c r="T146" s="492"/>
      <c r="U146" s="492"/>
      <c r="V146" s="492"/>
      <c r="W146" s="492"/>
      <c r="X146" s="492"/>
      <c r="Y146" s="492"/>
      <c r="Z146" s="492"/>
      <c r="AA146" s="492"/>
      <c r="AB146" s="492"/>
      <c r="AC146" s="492"/>
      <c r="AD146" s="492"/>
      <c r="AE146" s="492"/>
      <c r="AF146" s="492"/>
      <c r="AG146" s="492"/>
      <c r="AH146" s="492"/>
      <c r="AI146" s="492"/>
      <c r="AJ146" s="492"/>
      <c r="AK146" s="492"/>
    </row>
    <row r="147" spans="1:37" x14ac:dyDescent="0.35">
      <c r="A147" s="492"/>
      <c r="B147" s="492"/>
      <c r="C147" s="492"/>
      <c r="D147" s="492"/>
      <c r="E147" s="492"/>
      <c r="F147" s="492"/>
      <c r="G147" s="492"/>
      <c r="H147" s="492"/>
      <c r="I147" s="492"/>
      <c r="J147" s="492"/>
      <c r="K147" s="492"/>
      <c r="L147" s="492"/>
      <c r="M147" s="492"/>
      <c r="N147" s="492"/>
      <c r="O147" s="492"/>
      <c r="P147" s="492"/>
      <c r="Q147" s="492"/>
      <c r="R147" s="492"/>
      <c r="S147" s="492"/>
      <c r="T147" s="492"/>
      <c r="U147" s="492"/>
      <c r="V147" s="492"/>
      <c r="W147" s="492"/>
      <c r="X147" s="492"/>
      <c r="Y147" s="492"/>
      <c r="Z147" s="492"/>
      <c r="AA147" s="492"/>
      <c r="AB147" s="492"/>
      <c r="AC147" s="492"/>
      <c r="AD147" s="492"/>
      <c r="AE147" s="492"/>
      <c r="AF147" s="492"/>
      <c r="AG147" s="492"/>
      <c r="AH147" s="492"/>
      <c r="AI147" s="492"/>
      <c r="AJ147" s="492"/>
      <c r="AK147" s="492"/>
    </row>
    <row r="148" spans="1:37" x14ac:dyDescent="0.35">
      <c r="A148" s="492"/>
      <c r="B148" s="492"/>
      <c r="C148" s="492"/>
      <c r="D148" s="492"/>
      <c r="E148" s="492"/>
      <c r="F148" s="492"/>
      <c r="G148" s="492"/>
      <c r="H148" s="492"/>
      <c r="I148" s="492"/>
      <c r="J148" s="492"/>
      <c r="K148" s="492"/>
      <c r="L148" s="492"/>
      <c r="M148" s="492"/>
      <c r="N148" s="492"/>
      <c r="O148" s="492"/>
      <c r="P148" s="492"/>
      <c r="Q148" s="492"/>
      <c r="R148" s="492"/>
      <c r="S148" s="492"/>
      <c r="T148" s="492"/>
      <c r="U148" s="492"/>
      <c r="V148" s="492"/>
      <c r="W148" s="492"/>
      <c r="X148" s="492"/>
      <c r="Y148" s="492"/>
      <c r="Z148" s="492"/>
      <c r="AA148" s="492"/>
      <c r="AB148" s="492"/>
      <c r="AC148" s="492"/>
      <c r="AD148" s="492"/>
      <c r="AE148" s="492"/>
      <c r="AF148" s="492"/>
      <c r="AG148" s="492"/>
      <c r="AH148" s="492"/>
      <c r="AI148" s="492"/>
      <c r="AJ148" s="492"/>
      <c r="AK148" s="492"/>
    </row>
    <row r="149" spans="1:37" x14ac:dyDescent="0.35">
      <c r="A149" s="492"/>
      <c r="B149" s="492"/>
      <c r="C149" s="492"/>
      <c r="D149" s="492"/>
      <c r="E149" s="492"/>
      <c r="F149" s="492"/>
      <c r="G149" s="492"/>
      <c r="H149" s="492"/>
      <c r="I149" s="492"/>
      <c r="J149" s="492"/>
      <c r="K149" s="492"/>
      <c r="L149" s="492"/>
      <c r="M149" s="492"/>
      <c r="N149" s="492"/>
      <c r="O149" s="492"/>
      <c r="P149" s="492"/>
      <c r="Q149" s="492"/>
      <c r="R149" s="492"/>
      <c r="S149" s="492"/>
      <c r="T149" s="492"/>
      <c r="U149" s="492"/>
      <c r="V149" s="492"/>
      <c r="W149" s="492"/>
      <c r="X149" s="492"/>
      <c r="Y149" s="492"/>
      <c r="Z149" s="492"/>
      <c r="AA149" s="492"/>
      <c r="AB149" s="492"/>
      <c r="AC149" s="492"/>
      <c r="AD149" s="492"/>
      <c r="AE149" s="492"/>
      <c r="AF149" s="492"/>
      <c r="AG149" s="492"/>
      <c r="AH149" s="492"/>
      <c r="AI149" s="492"/>
      <c r="AJ149" s="492"/>
      <c r="AK149" s="492"/>
    </row>
    <row r="150" spans="1:37" x14ac:dyDescent="0.35">
      <c r="A150" s="492"/>
      <c r="B150" s="492"/>
      <c r="C150" s="492"/>
      <c r="D150" s="492"/>
      <c r="E150" s="492"/>
      <c r="F150" s="492"/>
      <c r="G150" s="492"/>
      <c r="H150" s="492"/>
      <c r="I150" s="492"/>
      <c r="J150" s="492"/>
      <c r="K150" s="492"/>
      <c r="L150" s="492"/>
      <c r="M150" s="492"/>
      <c r="N150" s="492"/>
      <c r="O150" s="492"/>
      <c r="P150" s="492"/>
      <c r="Q150" s="492"/>
      <c r="R150" s="492"/>
      <c r="S150" s="492"/>
      <c r="T150" s="492"/>
      <c r="U150" s="492"/>
      <c r="V150" s="492"/>
      <c r="W150" s="492"/>
      <c r="X150" s="492"/>
      <c r="Y150" s="492"/>
      <c r="Z150" s="492"/>
      <c r="AA150" s="492"/>
      <c r="AB150" s="492"/>
      <c r="AC150" s="492"/>
      <c r="AD150" s="492"/>
      <c r="AE150" s="492"/>
      <c r="AF150" s="492"/>
      <c r="AG150" s="492"/>
      <c r="AH150" s="492"/>
      <c r="AI150" s="492"/>
      <c r="AJ150" s="492"/>
      <c r="AK150" s="492"/>
    </row>
    <row r="151" spans="1:37" x14ac:dyDescent="0.35">
      <c r="A151" s="492"/>
      <c r="B151" s="492"/>
      <c r="C151" s="492"/>
      <c r="D151" s="492"/>
      <c r="E151" s="492"/>
      <c r="F151" s="492"/>
      <c r="G151" s="492"/>
      <c r="H151" s="492"/>
      <c r="I151" s="492"/>
      <c r="J151" s="492"/>
      <c r="K151" s="492"/>
      <c r="L151" s="492"/>
      <c r="M151" s="492"/>
      <c r="N151" s="492"/>
      <c r="O151" s="492"/>
      <c r="P151" s="492"/>
      <c r="Q151" s="492"/>
      <c r="R151" s="492"/>
      <c r="S151" s="492"/>
      <c r="T151" s="492"/>
      <c r="U151" s="492"/>
      <c r="V151" s="492"/>
      <c r="W151" s="492"/>
      <c r="X151" s="492"/>
      <c r="Y151" s="492"/>
      <c r="Z151" s="492"/>
      <c r="AA151" s="492"/>
      <c r="AB151" s="492"/>
      <c r="AC151" s="492"/>
      <c r="AD151" s="492"/>
      <c r="AE151" s="492"/>
      <c r="AF151" s="492"/>
      <c r="AG151" s="492"/>
      <c r="AH151" s="492"/>
      <c r="AI151" s="492"/>
      <c r="AJ151" s="492"/>
      <c r="AK151" s="492"/>
    </row>
    <row r="152" spans="1:37" x14ac:dyDescent="0.35">
      <c r="A152" s="492"/>
      <c r="B152" s="492"/>
      <c r="C152" s="492"/>
      <c r="D152" s="492"/>
      <c r="E152" s="492"/>
      <c r="F152" s="492"/>
      <c r="G152" s="492"/>
      <c r="H152" s="492"/>
      <c r="I152" s="492"/>
      <c r="J152" s="492"/>
      <c r="K152" s="492"/>
      <c r="L152" s="492"/>
      <c r="M152" s="492"/>
      <c r="N152" s="492"/>
      <c r="O152" s="492"/>
      <c r="P152" s="492"/>
      <c r="Q152" s="492"/>
      <c r="R152" s="492"/>
      <c r="S152" s="492"/>
      <c r="T152" s="492"/>
      <c r="U152" s="492"/>
      <c r="V152" s="492"/>
      <c r="W152" s="492"/>
      <c r="X152" s="492"/>
      <c r="Y152" s="492"/>
      <c r="Z152" s="492"/>
      <c r="AA152" s="492"/>
      <c r="AB152" s="492"/>
      <c r="AC152" s="492"/>
      <c r="AD152" s="492"/>
      <c r="AE152" s="492"/>
      <c r="AF152" s="492"/>
      <c r="AG152" s="492"/>
      <c r="AH152" s="492"/>
      <c r="AI152" s="492"/>
      <c r="AJ152" s="492"/>
      <c r="AK152" s="492"/>
    </row>
    <row r="153" spans="1:37" x14ac:dyDescent="0.35">
      <c r="A153" s="492"/>
      <c r="B153" s="492"/>
      <c r="C153" s="492"/>
      <c r="D153" s="492"/>
      <c r="E153" s="492"/>
      <c r="F153" s="492"/>
      <c r="G153" s="492"/>
      <c r="H153" s="492"/>
      <c r="I153" s="492"/>
      <c r="J153" s="492"/>
      <c r="K153" s="492"/>
      <c r="L153" s="492"/>
      <c r="M153" s="492"/>
      <c r="N153" s="492"/>
      <c r="O153" s="492"/>
      <c r="P153" s="492"/>
      <c r="Q153" s="492"/>
      <c r="R153" s="492"/>
      <c r="S153" s="492"/>
      <c r="T153" s="492"/>
      <c r="U153" s="492"/>
      <c r="V153" s="492"/>
      <c r="W153" s="492"/>
      <c r="X153" s="492"/>
      <c r="Y153" s="492"/>
      <c r="Z153" s="492"/>
      <c r="AA153" s="492"/>
      <c r="AB153" s="492"/>
      <c r="AC153" s="492"/>
      <c r="AD153" s="492"/>
      <c r="AE153" s="492"/>
      <c r="AF153" s="492"/>
      <c r="AG153" s="492"/>
      <c r="AH153" s="492"/>
      <c r="AI153" s="492"/>
      <c r="AJ153" s="492"/>
      <c r="AK153" s="492"/>
    </row>
    <row r="154" spans="1:37" x14ac:dyDescent="0.35">
      <c r="A154" s="492"/>
      <c r="B154" s="492"/>
      <c r="C154" s="492"/>
      <c r="D154" s="492"/>
      <c r="E154" s="492"/>
      <c r="F154" s="492"/>
      <c r="G154" s="492"/>
      <c r="H154" s="492"/>
      <c r="I154" s="492"/>
      <c r="J154" s="492"/>
      <c r="K154" s="492"/>
      <c r="L154" s="492"/>
      <c r="M154" s="492"/>
      <c r="N154" s="492"/>
      <c r="O154" s="492"/>
      <c r="P154" s="492"/>
      <c r="Q154" s="492"/>
      <c r="R154" s="492"/>
      <c r="S154" s="492"/>
      <c r="T154" s="492"/>
      <c r="U154" s="492"/>
      <c r="V154" s="492"/>
      <c r="W154" s="492"/>
      <c r="X154" s="492"/>
      <c r="Y154" s="492"/>
      <c r="Z154" s="492"/>
      <c r="AA154" s="492"/>
      <c r="AB154" s="492"/>
      <c r="AC154" s="492"/>
      <c r="AD154" s="492"/>
      <c r="AE154" s="492"/>
      <c r="AF154" s="492"/>
      <c r="AG154" s="492"/>
      <c r="AH154" s="492"/>
      <c r="AI154" s="492"/>
      <c r="AJ154" s="492"/>
      <c r="AK154" s="492"/>
    </row>
    <row r="155" spans="1:37" x14ac:dyDescent="0.35">
      <c r="A155" s="492"/>
      <c r="B155" s="492"/>
      <c r="C155" s="492"/>
      <c r="D155" s="492"/>
      <c r="E155" s="492"/>
      <c r="F155" s="492"/>
      <c r="G155" s="492"/>
      <c r="H155" s="492"/>
      <c r="I155" s="492"/>
      <c r="J155" s="492"/>
      <c r="K155" s="492"/>
      <c r="L155" s="492"/>
      <c r="M155" s="492"/>
      <c r="N155" s="492"/>
      <c r="O155" s="492"/>
      <c r="P155" s="492"/>
      <c r="Q155" s="492"/>
      <c r="R155" s="492"/>
      <c r="S155" s="492"/>
      <c r="T155" s="492"/>
      <c r="U155" s="492"/>
      <c r="V155" s="492"/>
      <c r="W155" s="492"/>
      <c r="X155" s="492"/>
      <c r="Y155" s="492"/>
      <c r="Z155" s="492"/>
      <c r="AA155" s="492"/>
      <c r="AB155" s="492"/>
      <c r="AC155" s="492"/>
      <c r="AD155" s="492"/>
      <c r="AE155" s="492"/>
      <c r="AF155" s="492"/>
      <c r="AG155" s="492"/>
      <c r="AH155" s="492"/>
      <c r="AI155" s="492"/>
      <c r="AJ155" s="492"/>
      <c r="AK155" s="492"/>
    </row>
    <row r="156" spans="1:37" x14ac:dyDescent="0.35">
      <c r="A156" s="492"/>
      <c r="B156" s="492"/>
      <c r="C156" s="492"/>
      <c r="D156" s="492"/>
      <c r="E156" s="492"/>
      <c r="F156" s="492"/>
      <c r="G156" s="492"/>
      <c r="H156" s="492"/>
      <c r="I156" s="492"/>
      <c r="J156" s="492"/>
      <c r="K156" s="492"/>
      <c r="L156" s="492"/>
      <c r="M156" s="492"/>
      <c r="N156" s="492"/>
      <c r="O156" s="492"/>
      <c r="P156" s="492"/>
      <c r="Q156" s="492"/>
      <c r="R156" s="492"/>
      <c r="S156" s="492"/>
      <c r="T156" s="492"/>
      <c r="U156" s="492"/>
      <c r="V156" s="492"/>
      <c r="W156" s="492"/>
      <c r="X156" s="492"/>
      <c r="Y156" s="492"/>
      <c r="Z156" s="492"/>
      <c r="AA156" s="492"/>
      <c r="AB156" s="492"/>
      <c r="AC156" s="492"/>
      <c r="AD156" s="492"/>
      <c r="AE156" s="492"/>
      <c r="AF156" s="492"/>
      <c r="AG156" s="492"/>
      <c r="AH156" s="492"/>
      <c r="AI156" s="492"/>
      <c r="AJ156" s="492"/>
      <c r="AK156" s="492"/>
    </row>
    <row r="157" spans="1:37" x14ac:dyDescent="0.35">
      <c r="A157" s="492"/>
      <c r="B157" s="492"/>
      <c r="C157" s="492"/>
      <c r="D157" s="492"/>
      <c r="E157" s="492"/>
      <c r="F157" s="492"/>
      <c r="G157" s="492"/>
      <c r="H157" s="492"/>
      <c r="I157" s="492"/>
      <c r="J157" s="492"/>
      <c r="K157" s="492"/>
      <c r="L157" s="492"/>
      <c r="M157" s="492"/>
      <c r="N157" s="492"/>
      <c r="O157" s="492"/>
      <c r="P157" s="492"/>
      <c r="Q157" s="492"/>
      <c r="R157" s="492"/>
      <c r="S157" s="492"/>
      <c r="T157" s="492"/>
      <c r="U157" s="492"/>
      <c r="V157" s="492"/>
      <c r="W157" s="492"/>
      <c r="X157" s="492"/>
      <c r="Y157" s="492"/>
      <c r="Z157" s="492"/>
      <c r="AA157" s="492"/>
      <c r="AB157" s="492"/>
      <c r="AC157" s="492"/>
      <c r="AD157" s="492"/>
      <c r="AE157" s="492"/>
      <c r="AF157" s="492"/>
      <c r="AG157" s="492"/>
      <c r="AH157" s="492"/>
      <c r="AI157" s="492"/>
      <c r="AJ157" s="492"/>
      <c r="AK157" s="492"/>
    </row>
  </sheetData>
  <sheetProtection password="BCD8" sheet="1" objects="1" scenarios="1"/>
  <phoneticPr fontId="0" type="noConversion"/>
  <conditionalFormatting sqref="C13:H13">
    <cfRule type="expression" dxfId="31" priority="1" stopIfTrue="1">
      <formula>$N$23=TRUE</formula>
    </cfRule>
  </conditionalFormatting>
  <conditionalFormatting sqref="C21">
    <cfRule type="expression" dxfId="30" priority="3" stopIfTrue="1">
      <formula>$M$29="CBRE"</formula>
    </cfRule>
  </conditionalFormatting>
  <conditionalFormatting sqref="B20">
    <cfRule type="cellIs" dxfId="29" priority="4" stopIfTrue="1" operator="equal">
      <formula>"CBRE"</formula>
    </cfRule>
  </conditionalFormatting>
  <conditionalFormatting sqref="C20">
    <cfRule type="expression" dxfId="28" priority="5" stopIfTrue="1">
      <formula>$M$29="CBRE"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goto_home">
                <anchor moveWithCells="1" sizeWithCells="1">
                  <from>
                    <xdr:col>0</xdr:col>
                    <xdr:colOff>165100</xdr:colOff>
                    <xdr:row>1</xdr:row>
                    <xdr:rowOff>6350</xdr:rowOff>
                  </from>
                  <to>
                    <xdr:col>0</xdr:col>
                    <xdr:colOff>831850</xdr:colOff>
                    <xdr:row>3</xdr:row>
                    <xdr:rowOff>25400</xdr:rowOff>
                  </to>
                </anchor>
              </controlPr>
            </control>
          </mc:Choice>
        </mc:AlternateContent>
        <mc:AlternateContent xmlns:mc="http://schemas.openxmlformats.org/markup-compatibility/2006">
          <mc:Choice Requires="x14">
            <control shapeId="34818" r:id="rId4" name="Button 2">
              <controlPr defaultSize="0" print="0" autoFill="0" autoPict="0" macro="[0]!returnfromfoldersettings">
                <anchor moveWithCells="1" sizeWithCells="1">
                  <from>
                    <xdr:col>2</xdr:col>
                    <xdr:colOff>69850</xdr:colOff>
                    <xdr:row>15</xdr:row>
                    <xdr:rowOff>165100</xdr:rowOff>
                  </from>
                  <to>
                    <xdr:col>2</xdr:col>
                    <xdr:colOff>4013200</xdr:colOff>
                    <xdr:row>18</xdr:row>
                    <xdr:rowOff>63500</xdr:rowOff>
                  </to>
                </anchor>
              </controlPr>
            </control>
          </mc:Choice>
        </mc:AlternateContent>
        <mc:AlternateContent xmlns:mc="http://schemas.openxmlformats.org/markup-compatibility/2006">
          <mc:Choice Requires="x14">
            <control shapeId="34821" r:id="rId5" name="Button 5">
              <controlPr defaultSize="0" print="0" autoFill="0" autoPict="0" macro="[0]!citrixhelp">
                <anchor moveWithCells="1" sizeWithCells="1">
                  <from>
                    <xdr:col>2</xdr:col>
                    <xdr:colOff>6350</xdr:colOff>
                    <xdr:row>21</xdr:row>
                    <xdr:rowOff>31750</xdr:rowOff>
                  </from>
                  <to>
                    <xdr:col>2</xdr:col>
                    <xdr:colOff>952500</xdr:colOff>
                    <xdr:row>22</xdr:row>
                    <xdr:rowOff>38100</xdr:rowOff>
                  </to>
                </anchor>
              </controlPr>
            </control>
          </mc:Choice>
        </mc:AlternateContent>
        <mc:AlternateContent xmlns:mc="http://schemas.openxmlformats.org/markup-compatibility/2006">
          <mc:Choice Requires="x14">
            <control shapeId="34822" r:id="rId6" name="Button 6">
              <controlPr defaultSize="0" print="0" autoFill="0" autoPict="0" macro="[0]!reset_saved_calc_foldername">
                <anchor moveWithCells="1" sizeWithCells="1">
                  <from>
                    <xdr:col>0</xdr:col>
                    <xdr:colOff>88900</xdr:colOff>
                    <xdr:row>11</xdr:row>
                    <xdr:rowOff>0</xdr:rowOff>
                  </from>
                  <to>
                    <xdr:col>1</xdr:col>
                    <xdr:colOff>565150</xdr:colOff>
                    <xdr:row>12</xdr:row>
                    <xdr:rowOff>6350</xdr:rowOff>
                  </to>
                </anchor>
              </controlPr>
            </control>
          </mc:Choice>
        </mc:AlternateContent>
        <mc:AlternateContent xmlns:mc="http://schemas.openxmlformats.org/markup-compatibility/2006">
          <mc:Choice Requires="x14">
            <control shapeId="34823" r:id="rId7" name="Button 7">
              <controlPr defaultSize="0" print="0" autoFill="0" autoPict="0" macro="[0]!identifyfolder">
                <anchor moveWithCells="1" sizeWithCells="1">
                  <from>
                    <xdr:col>3</xdr:col>
                    <xdr:colOff>25400</xdr:colOff>
                    <xdr:row>10</xdr:row>
                    <xdr:rowOff>177800</xdr:rowOff>
                  </from>
                  <to>
                    <xdr:col>3</xdr:col>
                    <xdr:colOff>330200</xdr:colOff>
                    <xdr:row>12</xdr:row>
                    <xdr:rowOff>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6CE93-2F65-4BAF-B921-2BCD10E06168}">
  <sheetPr codeName="Sheet30"/>
  <dimension ref="A1:Z63"/>
  <sheetViews>
    <sheetView workbookViewId="0">
      <selection activeCell="D12" sqref="D12"/>
    </sheetView>
  </sheetViews>
  <sheetFormatPr defaultRowHeight="14.5" x14ac:dyDescent="0.35"/>
  <cols>
    <col min="1" max="1" width="16.36328125" customWidth="1"/>
    <col min="2" max="2" width="4.453125" customWidth="1"/>
    <col min="3" max="3" width="5.08984375" customWidth="1"/>
    <col min="4" max="4" width="22.453125" customWidth="1"/>
  </cols>
  <sheetData>
    <row r="1" spans="1:26" ht="35.25" customHeight="1" x14ac:dyDescent="0.35">
      <c r="A1" s="492"/>
      <c r="B1" s="492"/>
      <c r="C1" s="492"/>
      <c r="D1" s="492"/>
      <c r="E1" s="492"/>
      <c r="F1" s="492"/>
      <c r="G1" s="492"/>
      <c r="H1" s="492"/>
      <c r="I1" s="492"/>
      <c r="J1" s="492"/>
      <c r="K1" s="492"/>
      <c r="L1" s="492"/>
      <c r="M1" s="492"/>
      <c r="N1" s="492"/>
      <c r="O1" s="492"/>
      <c r="P1" s="492"/>
      <c r="Q1" s="492"/>
      <c r="R1" s="492"/>
      <c r="S1" s="492"/>
      <c r="T1" s="492"/>
      <c r="U1" s="492"/>
      <c r="V1" s="492"/>
      <c r="W1" s="492"/>
      <c r="X1" s="492"/>
      <c r="Y1" s="492"/>
      <c r="Z1" s="492"/>
    </row>
    <row r="2" spans="1:26" ht="33.75" customHeight="1" x14ac:dyDescent="0.35">
      <c r="A2" s="492"/>
      <c r="D2" s="506" t="s">
        <v>68</v>
      </c>
      <c r="E2" s="73"/>
      <c r="F2" s="73"/>
      <c r="G2" s="73"/>
      <c r="H2" s="73"/>
      <c r="I2" s="73"/>
      <c r="J2" s="73"/>
      <c r="K2" s="73"/>
      <c r="L2" s="73"/>
      <c r="M2" s="73"/>
      <c r="N2" s="73"/>
    </row>
    <row r="3" spans="1:26" x14ac:dyDescent="0.35">
      <c r="A3" s="492"/>
      <c r="C3" s="28" t="s">
        <v>71</v>
      </c>
      <c r="D3" s="7">
        <f>COLUMN()</f>
        <v>4</v>
      </c>
      <c r="E3" s="7">
        <f>COLUMN()</f>
        <v>5</v>
      </c>
      <c r="F3" s="7">
        <f>COLUMN()</f>
        <v>6</v>
      </c>
      <c r="G3" s="7">
        <f>COLUMN()</f>
        <v>7</v>
      </c>
      <c r="H3" s="7">
        <f>COLUMN()</f>
        <v>8</v>
      </c>
      <c r="I3" s="7">
        <f>COLUMN()</f>
        <v>9</v>
      </c>
      <c r="J3" s="7">
        <f>COLUMN()</f>
        <v>10</v>
      </c>
      <c r="K3" s="7">
        <f>COLUMN()</f>
        <v>11</v>
      </c>
      <c r="L3" s="7">
        <f>COLUMN()</f>
        <v>12</v>
      </c>
      <c r="M3" s="7">
        <f>COLUMN()</f>
        <v>13</v>
      </c>
      <c r="N3" s="7">
        <f>COLUMN()</f>
        <v>14</v>
      </c>
    </row>
    <row r="4" spans="1:26" x14ac:dyDescent="0.35">
      <c r="A4" s="492"/>
      <c r="D4" s="5">
        <v>1</v>
      </c>
      <c r="E4" s="5">
        <v>2</v>
      </c>
      <c r="F4" s="5">
        <v>3</v>
      </c>
      <c r="G4" s="5">
        <v>4</v>
      </c>
      <c r="H4" s="5">
        <v>5</v>
      </c>
      <c r="I4" s="5">
        <v>6</v>
      </c>
      <c r="J4" s="5">
        <v>7</v>
      </c>
      <c r="K4" s="5">
        <v>8</v>
      </c>
      <c r="L4" s="5">
        <v>9</v>
      </c>
      <c r="M4" s="5">
        <v>10</v>
      </c>
      <c r="N4" s="5">
        <v>11</v>
      </c>
    </row>
    <row r="5" spans="1:26" x14ac:dyDescent="0.35">
      <c r="A5" s="492"/>
      <c r="D5" s="1747" t="s">
        <v>449</v>
      </c>
      <c r="E5" s="7">
        <f>VLOOKUP($D$5,$D$9:$L$50,E4,FALSE)</f>
        <v>3</v>
      </c>
      <c r="F5" s="7">
        <f t="shared" ref="F5:L5" si="0">VLOOKUP($D$5,$D$9:$L$50,F4,FALSE)</f>
        <v>3</v>
      </c>
      <c r="G5" s="7">
        <f t="shared" si="0"/>
        <v>30</v>
      </c>
      <c r="H5" s="7">
        <f t="shared" si="0"/>
        <v>10</v>
      </c>
      <c r="I5" s="7">
        <f t="shared" si="0"/>
        <v>6</v>
      </c>
      <c r="J5" s="7">
        <f t="shared" si="0"/>
        <v>13</v>
      </c>
      <c r="K5" s="7">
        <f t="shared" si="0"/>
        <v>0</v>
      </c>
      <c r="L5" s="7">
        <f t="shared" si="0"/>
        <v>0</v>
      </c>
    </row>
    <row r="6" spans="1:26" x14ac:dyDescent="0.35">
      <c r="A6" s="492"/>
      <c r="D6" s="507"/>
      <c r="E6" s="5"/>
      <c r="F6" s="5"/>
      <c r="G6" s="5"/>
      <c r="H6" s="5"/>
      <c r="I6" s="5"/>
      <c r="J6" s="5"/>
      <c r="K6" s="5"/>
      <c r="L6" s="5"/>
    </row>
    <row r="7" spans="1:26" x14ac:dyDescent="0.35">
      <c r="A7" s="492"/>
      <c r="D7" s="500" t="s">
        <v>63</v>
      </c>
      <c r="E7" s="5" t="s">
        <v>69</v>
      </c>
      <c r="F7" s="5"/>
      <c r="G7" s="29" t="s">
        <v>925</v>
      </c>
      <c r="H7" s="5"/>
      <c r="I7" s="25" t="s">
        <v>70</v>
      </c>
    </row>
    <row r="8" spans="1:26" x14ac:dyDescent="0.35">
      <c r="A8" s="492"/>
      <c r="D8" s="501" t="s">
        <v>64</v>
      </c>
      <c r="E8" s="502" t="s">
        <v>65</v>
      </c>
      <c r="F8" s="502" t="s">
        <v>66</v>
      </c>
      <c r="G8" s="502" t="s">
        <v>65</v>
      </c>
      <c r="H8" s="502" t="s">
        <v>66</v>
      </c>
      <c r="I8" s="505" t="s">
        <v>65</v>
      </c>
      <c r="J8" s="505" t="s">
        <v>66</v>
      </c>
      <c r="K8" s="505" t="s">
        <v>65</v>
      </c>
      <c r="L8" s="505" t="s">
        <v>66</v>
      </c>
    </row>
    <row r="9" spans="1:26" x14ac:dyDescent="0.35">
      <c r="A9" s="492"/>
      <c r="D9" s="503" t="s">
        <v>449</v>
      </c>
      <c r="E9" s="7">
        <v>3</v>
      </c>
      <c r="F9" s="7">
        <v>3</v>
      </c>
      <c r="G9" s="7">
        <v>30</v>
      </c>
      <c r="H9" s="7">
        <v>10</v>
      </c>
      <c r="I9" s="7">
        <v>6</v>
      </c>
      <c r="J9" s="7">
        <v>13</v>
      </c>
      <c r="K9" s="503"/>
      <c r="L9" s="503"/>
    </row>
    <row r="10" spans="1:26" x14ac:dyDescent="0.35">
      <c r="A10" s="492"/>
      <c r="D10" s="504" t="s">
        <v>67</v>
      </c>
      <c r="E10" s="7">
        <v>1</v>
      </c>
      <c r="F10" s="7">
        <v>1</v>
      </c>
      <c r="G10" s="7">
        <v>24</v>
      </c>
      <c r="H10" s="7">
        <v>12</v>
      </c>
      <c r="I10" s="7">
        <v>8</v>
      </c>
      <c r="J10" s="7">
        <v>14</v>
      </c>
      <c r="K10" s="503"/>
      <c r="L10" s="503"/>
    </row>
    <row r="11" spans="1:26" x14ac:dyDescent="0.35">
      <c r="A11" s="492"/>
      <c r="D11" s="504" t="s">
        <v>250</v>
      </c>
      <c r="E11" s="7">
        <v>3</v>
      </c>
      <c r="F11" s="7">
        <v>2</v>
      </c>
      <c r="G11" s="7">
        <v>52</v>
      </c>
      <c r="H11" s="7">
        <v>10</v>
      </c>
      <c r="I11" s="7">
        <v>10</v>
      </c>
      <c r="J11" s="7">
        <v>12</v>
      </c>
      <c r="K11" s="503"/>
      <c r="L11" s="503"/>
    </row>
    <row r="12" spans="1:26" x14ac:dyDescent="0.35">
      <c r="A12" s="492"/>
      <c r="D12" s="504" t="s">
        <v>1347</v>
      </c>
      <c r="E12" s="7">
        <v>2</v>
      </c>
      <c r="F12" s="7">
        <v>2</v>
      </c>
      <c r="G12" s="7">
        <v>57</v>
      </c>
      <c r="H12" s="7">
        <v>10</v>
      </c>
      <c r="I12" s="7">
        <v>9</v>
      </c>
      <c r="J12" s="7">
        <v>12</v>
      </c>
      <c r="K12" s="503"/>
      <c r="L12" s="503"/>
    </row>
    <row r="13" spans="1:26" x14ac:dyDescent="0.35">
      <c r="A13" s="492"/>
      <c r="D13" s="504" t="s">
        <v>2659</v>
      </c>
      <c r="E13" s="7">
        <v>4</v>
      </c>
      <c r="F13" s="7">
        <v>2</v>
      </c>
      <c r="G13" s="7">
        <v>45</v>
      </c>
      <c r="H13" s="7">
        <v>13</v>
      </c>
      <c r="I13" s="7">
        <v>8</v>
      </c>
      <c r="J13" s="7">
        <v>15</v>
      </c>
      <c r="K13" s="503"/>
      <c r="L13" s="503"/>
    </row>
    <row r="14" spans="1:26" x14ac:dyDescent="0.35">
      <c r="A14" s="492"/>
      <c r="D14" s="504" t="s">
        <v>2413</v>
      </c>
      <c r="E14" s="7">
        <v>3</v>
      </c>
      <c r="F14" s="7">
        <v>2</v>
      </c>
      <c r="G14" s="7">
        <v>54</v>
      </c>
      <c r="H14" s="7">
        <v>10</v>
      </c>
      <c r="I14" s="7">
        <v>10</v>
      </c>
      <c r="J14" s="7">
        <v>12</v>
      </c>
      <c r="K14" s="503"/>
      <c r="L14" s="503"/>
    </row>
    <row r="15" spans="1:26" x14ac:dyDescent="0.35">
      <c r="A15" s="492"/>
      <c r="D15" s="504" t="s">
        <v>2429</v>
      </c>
      <c r="E15" s="7">
        <v>3</v>
      </c>
      <c r="F15" s="7">
        <v>3</v>
      </c>
      <c r="G15" s="7">
        <v>29</v>
      </c>
      <c r="H15" s="7">
        <v>10</v>
      </c>
      <c r="I15" s="7">
        <v>6</v>
      </c>
      <c r="J15" s="7">
        <v>13</v>
      </c>
      <c r="K15" s="503"/>
      <c r="L15" s="503"/>
    </row>
    <row r="16" spans="1:26" x14ac:dyDescent="0.35">
      <c r="A16" s="492"/>
      <c r="D16" s="504" t="s">
        <v>2089</v>
      </c>
      <c r="E16" s="7">
        <v>3</v>
      </c>
      <c r="F16" s="7">
        <v>2</v>
      </c>
      <c r="G16" s="7">
        <v>17</v>
      </c>
      <c r="H16" s="7">
        <v>5</v>
      </c>
      <c r="I16" s="7">
        <v>7</v>
      </c>
      <c r="J16" s="7">
        <v>7</v>
      </c>
      <c r="K16" s="503"/>
      <c r="L16" s="503"/>
    </row>
    <row r="17" spans="1:12" x14ac:dyDescent="0.35">
      <c r="A17" s="492"/>
      <c r="D17" s="504" t="s">
        <v>829</v>
      </c>
      <c r="E17" s="7">
        <v>2</v>
      </c>
      <c r="F17" s="7">
        <v>2</v>
      </c>
      <c r="G17" s="7">
        <v>58</v>
      </c>
      <c r="H17" s="7">
        <v>14</v>
      </c>
      <c r="I17" s="7">
        <v>8</v>
      </c>
      <c r="J17" s="7">
        <v>16</v>
      </c>
      <c r="K17" s="503"/>
      <c r="L17" s="503"/>
    </row>
    <row r="18" spans="1:12" x14ac:dyDescent="0.35">
      <c r="A18" s="492"/>
      <c r="D18" s="504" t="s">
        <v>2078</v>
      </c>
      <c r="E18" s="7">
        <v>3</v>
      </c>
      <c r="F18" s="7">
        <v>2</v>
      </c>
      <c r="G18" s="7">
        <v>66</v>
      </c>
      <c r="H18" s="7">
        <v>13</v>
      </c>
      <c r="I18" s="7">
        <v>8</v>
      </c>
      <c r="J18" s="7">
        <v>15</v>
      </c>
      <c r="K18" s="503"/>
      <c r="L18" s="503"/>
    </row>
    <row r="19" spans="1:12" x14ac:dyDescent="0.35">
      <c r="A19" s="492"/>
      <c r="D19" s="504" t="s">
        <v>184</v>
      </c>
      <c r="E19" s="7">
        <v>4</v>
      </c>
      <c r="F19" s="7">
        <v>2</v>
      </c>
      <c r="G19" s="7">
        <v>47</v>
      </c>
      <c r="H19" s="7">
        <v>13</v>
      </c>
      <c r="I19" s="7">
        <v>8</v>
      </c>
      <c r="J19" s="7">
        <v>15</v>
      </c>
      <c r="K19" s="503"/>
      <c r="L19" s="503"/>
    </row>
    <row r="20" spans="1:12" x14ac:dyDescent="0.35">
      <c r="A20" s="492"/>
      <c r="D20" s="504" t="s">
        <v>2077</v>
      </c>
      <c r="E20" s="7">
        <v>4</v>
      </c>
      <c r="F20" s="7">
        <v>2</v>
      </c>
      <c r="G20" s="7">
        <v>57</v>
      </c>
      <c r="H20" s="7">
        <v>18</v>
      </c>
      <c r="I20" s="7">
        <v>10</v>
      </c>
      <c r="J20" s="7">
        <v>20</v>
      </c>
      <c r="K20" s="503"/>
      <c r="L20" s="503"/>
    </row>
    <row r="21" spans="1:12" x14ac:dyDescent="0.35">
      <c r="A21" s="492"/>
      <c r="D21" s="504" t="s">
        <v>1544</v>
      </c>
      <c r="E21" s="7">
        <v>3</v>
      </c>
      <c r="F21" s="7">
        <v>3</v>
      </c>
      <c r="G21" s="7">
        <v>109</v>
      </c>
      <c r="H21" s="7">
        <v>13</v>
      </c>
      <c r="I21" s="7">
        <v>4</v>
      </c>
      <c r="J21" s="7">
        <v>15</v>
      </c>
      <c r="K21" s="503"/>
      <c r="L21" s="503"/>
    </row>
    <row r="22" spans="1:12" x14ac:dyDescent="0.35">
      <c r="A22" s="492"/>
      <c r="D22" s="504" t="s">
        <v>2766</v>
      </c>
      <c r="E22" s="7">
        <v>3</v>
      </c>
      <c r="F22" s="7">
        <v>2</v>
      </c>
      <c r="G22" s="7">
        <v>43</v>
      </c>
      <c r="H22" s="7">
        <v>10</v>
      </c>
      <c r="I22" s="7">
        <v>9</v>
      </c>
      <c r="J22" s="7">
        <v>12</v>
      </c>
      <c r="K22" s="503"/>
      <c r="L22" s="503"/>
    </row>
    <row r="23" spans="1:12" x14ac:dyDescent="0.35">
      <c r="A23" s="492"/>
      <c r="D23" s="504" t="s">
        <v>175</v>
      </c>
      <c r="E23" s="7">
        <v>2</v>
      </c>
      <c r="F23" s="7">
        <v>3</v>
      </c>
      <c r="G23" s="7">
        <v>48</v>
      </c>
      <c r="H23" s="7">
        <v>11</v>
      </c>
      <c r="I23" s="7">
        <v>8</v>
      </c>
      <c r="J23" s="7">
        <v>13</v>
      </c>
      <c r="K23" s="503"/>
      <c r="L23" s="503"/>
    </row>
    <row r="24" spans="1:12" x14ac:dyDescent="0.35">
      <c r="A24" s="492"/>
      <c r="D24" s="504" t="s">
        <v>1750</v>
      </c>
      <c r="E24" s="7">
        <v>2</v>
      </c>
      <c r="F24" s="7">
        <v>2</v>
      </c>
      <c r="G24" s="7">
        <v>41</v>
      </c>
      <c r="H24" s="7">
        <v>18</v>
      </c>
      <c r="I24" s="7">
        <v>8</v>
      </c>
      <c r="J24" s="7">
        <v>19</v>
      </c>
      <c r="K24" s="503"/>
      <c r="L24" s="503"/>
    </row>
    <row r="25" spans="1:12" x14ac:dyDescent="0.35">
      <c r="A25" s="492"/>
      <c r="D25" s="504" t="s">
        <v>370</v>
      </c>
      <c r="E25" s="7">
        <v>2</v>
      </c>
      <c r="F25" s="7">
        <v>2</v>
      </c>
      <c r="G25" s="7">
        <v>41</v>
      </c>
      <c r="H25" s="7">
        <v>18</v>
      </c>
      <c r="I25" s="7">
        <v>8</v>
      </c>
      <c r="J25" s="7">
        <v>20</v>
      </c>
      <c r="K25" s="503"/>
      <c r="L25" s="503"/>
    </row>
    <row r="26" spans="1:12" x14ac:dyDescent="0.35">
      <c r="A26" s="492"/>
      <c r="D26" s="504" t="s">
        <v>2394</v>
      </c>
      <c r="E26" s="7">
        <v>2</v>
      </c>
      <c r="F26" s="7">
        <v>2</v>
      </c>
      <c r="G26" s="7">
        <v>43</v>
      </c>
      <c r="H26" s="7">
        <v>9</v>
      </c>
      <c r="I26" s="7">
        <v>7</v>
      </c>
      <c r="J26" s="7">
        <v>10</v>
      </c>
      <c r="K26" s="503"/>
      <c r="L26" s="503"/>
    </row>
    <row r="27" spans="1:12" x14ac:dyDescent="0.35">
      <c r="A27" s="492"/>
      <c r="D27" s="504" t="s">
        <v>2540</v>
      </c>
      <c r="E27" s="7">
        <v>2</v>
      </c>
      <c r="F27" s="7">
        <v>2</v>
      </c>
      <c r="G27" s="7">
        <v>38</v>
      </c>
      <c r="H27" s="7">
        <v>16</v>
      </c>
      <c r="I27" s="7">
        <v>8</v>
      </c>
      <c r="J27" s="7">
        <v>17</v>
      </c>
      <c r="K27" s="503"/>
      <c r="L27" s="503"/>
    </row>
    <row r="28" spans="1:12" x14ac:dyDescent="0.35">
      <c r="A28" s="492"/>
      <c r="D28" s="504" t="s">
        <v>2802</v>
      </c>
      <c r="E28" s="7">
        <v>3</v>
      </c>
      <c r="F28" s="7">
        <v>2</v>
      </c>
      <c r="G28" s="7">
        <v>66</v>
      </c>
      <c r="H28" s="7">
        <v>13</v>
      </c>
      <c r="I28" s="7">
        <v>8</v>
      </c>
      <c r="J28" s="7">
        <v>15</v>
      </c>
      <c r="K28" s="503"/>
      <c r="L28" s="503"/>
    </row>
    <row r="29" spans="1:12" x14ac:dyDescent="0.35">
      <c r="A29" s="492"/>
      <c r="D29" s="504"/>
      <c r="E29" s="7">
        <v>4</v>
      </c>
      <c r="F29" s="7">
        <v>2</v>
      </c>
      <c r="G29" s="7">
        <v>95</v>
      </c>
      <c r="H29" s="7">
        <v>18</v>
      </c>
      <c r="I29" s="7">
        <v>10</v>
      </c>
      <c r="J29" s="7">
        <v>20</v>
      </c>
      <c r="K29" s="503"/>
      <c r="L29" s="503"/>
    </row>
    <row r="30" spans="1:12" x14ac:dyDescent="0.35">
      <c r="A30" s="492"/>
      <c r="D30" s="504"/>
      <c r="E30" s="7">
        <v>2</v>
      </c>
      <c r="F30" s="7">
        <v>2</v>
      </c>
      <c r="G30" s="7">
        <v>43</v>
      </c>
      <c r="H30" s="7">
        <v>18</v>
      </c>
      <c r="I30" s="7">
        <v>10</v>
      </c>
      <c r="J30" s="7">
        <v>19</v>
      </c>
      <c r="K30" s="503"/>
      <c r="L30" s="503"/>
    </row>
    <row r="31" spans="1:12" x14ac:dyDescent="0.35">
      <c r="A31" s="492"/>
      <c r="D31" s="504"/>
      <c r="E31" s="7">
        <v>2</v>
      </c>
      <c r="F31" s="7">
        <v>2</v>
      </c>
      <c r="G31" s="7">
        <v>43</v>
      </c>
      <c r="H31" s="7">
        <v>18</v>
      </c>
      <c r="I31" s="7">
        <v>10</v>
      </c>
      <c r="J31" s="7">
        <v>19</v>
      </c>
      <c r="K31" s="503"/>
      <c r="L31" s="503"/>
    </row>
    <row r="32" spans="1:12" x14ac:dyDescent="0.35">
      <c r="A32" s="492"/>
      <c r="D32" s="504"/>
      <c r="E32" s="7">
        <v>2</v>
      </c>
      <c r="F32" s="7">
        <v>2</v>
      </c>
      <c r="G32" s="7">
        <v>62</v>
      </c>
      <c r="H32" s="7">
        <v>11</v>
      </c>
      <c r="I32" s="7">
        <v>8</v>
      </c>
      <c r="J32" s="7">
        <v>12</v>
      </c>
      <c r="K32" s="503"/>
      <c r="L32" s="503"/>
    </row>
    <row r="33" spans="1:12" x14ac:dyDescent="0.35">
      <c r="A33" s="492"/>
      <c r="D33" s="504"/>
      <c r="E33" s="7">
        <v>3</v>
      </c>
      <c r="F33" s="7">
        <v>2</v>
      </c>
      <c r="G33" s="7">
        <v>43</v>
      </c>
      <c r="H33" s="7">
        <v>10</v>
      </c>
      <c r="I33" s="7">
        <v>8</v>
      </c>
      <c r="J33" s="7">
        <v>12</v>
      </c>
      <c r="K33" s="503"/>
      <c r="L33" s="503"/>
    </row>
    <row r="34" spans="1:12" x14ac:dyDescent="0.35">
      <c r="A34" s="492"/>
      <c r="D34" s="499"/>
      <c r="E34" s="7">
        <v>2</v>
      </c>
      <c r="F34" s="7">
        <v>2</v>
      </c>
      <c r="G34" s="7">
        <v>54</v>
      </c>
      <c r="H34" s="7">
        <v>10</v>
      </c>
      <c r="I34" s="7">
        <v>8</v>
      </c>
      <c r="J34" s="7">
        <v>13</v>
      </c>
      <c r="K34" s="503"/>
      <c r="L34" s="503"/>
    </row>
    <row r="35" spans="1:12" x14ac:dyDescent="0.35">
      <c r="A35" s="492"/>
      <c r="D35" s="499"/>
      <c r="E35" s="7">
        <v>3</v>
      </c>
      <c r="F35" s="7">
        <v>3</v>
      </c>
      <c r="G35" s="7">
        <v>109</v>
      </c>
      <c r="H35" s="7">
        <v>13</v>
      </c>
      <c r="I35" s="7">
        <v>4</v>
      </c>
      <c r="J35" s="7">
        <v>15</v>
      </c>
      <c r="K35" s="503"/>
      <c r="L35" s="503"/>
    </row>
    <row r="36" spans="1:12" x14ac:dyDescent="0.35">
      <c r="A36" s="492"/>
      <c r="D36" s="499"/>
      <c r="E36" s="7">
        <v>2</v>
      </c>
      <c r="F36" s="7">
        <v>2</v>
      </c>
      <c r="G36" s="7">
        <v>43</v>
      </c>
      <c r="H36" s="7">
        <v>9</v>
      </c>
      <c r="I36" s="7">
        <v>8</v>
      </c>
      <c r="J36" s="7">
        <v>11</v>
      </c>
      <c r="K36" s="503"/>
      <c r="L36" s="503"/>
    </row>
    <row r="37" spans="1:12" x14ac:dyDescent="0.35">
      <c r="A37" s="492"/>
      <c r="D37" s="499"/>
      <c r="E37" s="7">
        <v>2</v>
      </c>
      <c r="F37" s="7">
        <v>2</v>
      </c>
      <c r="G37" s="7">
        <v>40</v>
      </c>
      <c r="H37" s="7">
        <v>14</v>
      </c>
      <c r="I37" s="7">
        <v>8</v>
      </c>
      <c r="J37" s="7">
        <v>17</v>
      </c>
      <c r="K37" s="503"/>
      <c r="L37" s="503"/>
    </row>
    <row r="38" spans="1:12" x14ac:dyDescent="0.35">
      <c r="A38" s="492"/>
      <c r="D38" s="499"/>
      <c r="E38" s="7">
        <v>2</v>
      </c>
      <c r="F38" s="7">
        <v>2</v>
      </c>
      <c r="G38" s="7">
        <v>40</v>
      </c>
      <c r="H38" s="7">
        <v>14</v>
      </c>
      <c r="I38" s="7">
        <v>8</v>
      </c>
      <c r="J38" s="7">
        <v>17</v>
      </c>
      <c r="K38" s="503"/>
      <c r="L38" s="503"/>
    </row>
    <row r="39" spans="1:12" x14ac:dyDescent="0.35">
      <c r="A39" s="492"/>
      <c r="D39" s="499"/>
      <c r="E39" s="7">
        <v>2</v>
      </c>
      <c r="F39" s="7">
        <v>2</v>
      </c>
      <c r="G39" s="7">
        <v>40</v>
      </c>
      <c r="H39" s="7">
        <v>14</v>
      </c>
      <c r="I39" s="7">
        <v>8</v>
      </c>
      <c r="J39" s="7">
        <v>17</v>
      </c>
      <c r="K39" s="503"/>
      <c r="L39" s="503"/>
    </row>
    <row r="40" spans="1:12" x14ac:dyDescent="0.35">
      <c r="A40" s="492"/>
      <c r="D40" s="499"/>
      <c r="E40" s="7">
        <v>2</v>
      </c>
      <c r="F40" s="7">
        <v>2</v>
      </c>
      <c r="G40" s="7">
        <v>40</v>
      </c>
      <c r="H40" s="7">
        <v>14</v>
      </c>
      <c r="I40" s="7">
        <v>8</v>
      </c>
      <c r="J40" s="7">
        <v>17</v>
      </c>
      <c r="K40" s="503"/>
      <c r="L40" s="503"/>
    </row>
    <row r="41" spans="1:12" x14ac:dyDescent="0.35">
      <c r="A41" s="492"/>
      <c r="D41" s="499"/>
      <c r="E41" s="7">
        <v>2</v>
      </c>
      <c r="F41" s="7">
        <v>2</v>
      </c>
      <c r="G41" s="7">
        <v>40</v>
      </c>
      <c r="H41" s="7">
        <v>14</v>
      </c>
      <c r="I41" s="7">
        <v>8</v>
      </c>
      <c r="J41" s="7">
        <v>17</v>
      </c>
      <c r="K41" s="503"/>
      <c r="L41" s="503"/>
    </row>
    <row r="42" spans="1:12" x14ac:dyDescent="0.35">
      <c r="A42" s="492"/>
      <c r="D42" s="499"/>
      <c r="E42" s="7">
        <v>2</v>
      </c>
      <c r="F42" s="7">
        <v>2</v>
      </c>
      <c r="G42" s="7">
        <v>40</v>
      </c>
      <c r="H42" s="7">
        <v>14</v>
      </c>
      <c r="I42" s="7">
        <v>8</v>
      </c>
      <c r="J42" s="7">
        <v>17</v>
      </c>
      <c r="K42" s="503"/>
      <c r="L42" s="503"/>
    </row>
    <row r="43" spans="1:12" x14ac:dyDescent="0.35">
      <c r="A43" s="492"/>
      <c r="D43" s="499"/>
      <c r="E43" s="7">
        <v>2</v>
      </c>
      <c r="F43" s="7">
        <v>2</v>
      </c>
      <c r="G43" s="7">
        <v>40</v>
      </c>
      <c r="H43" s="7">
        <v>14</v>
      </c>
      <c r="I43" s="7">
        <v>8</v>
      </c>
      <c r="J43" s="7">
        <v>17</v>
      </c>
      <c r="K43" s="503"/>
      <c r="L43" s="503"/>
    </row>
    <row r="44" spans="1:12" x14ac:dyDescent="0.35">
      <c r="A44" s="492"/>
      <c r="D44" s="499"/>
      <c r="E44" s="7">
        <v>2</v>
      </c>
      <c r="F44" s="7">
        <v>2</v>
      </c>
      <c r="G44" s="7">
        <v>40</v>
      </c>
      <c r="H44" s="7">
        <v>14</v>
      </c>
      <c r="I44" s="7">
        <v>8</v>
      </c>
      <c r="J44" s="7">
        <v>17</v>
      </c>
      <c r="K44" s="503"/>
      <c r="L44" s="503"/>
    </row>
    <row r="45" spans="1:12" x14ac:dyDescent="0.35">
      <c r="A45" s="492"/>
      <c r="D45" s="499"/>
      <c r="E45" s="7"/>
      <c r="F45" s="7"/>
      <c r="G45" s="7"/>
      <c r="H45" s="7"/>
      <c r="I45" s="7"/>
      <c r="J45" s="7"/>
      <c r="K45" s="503"/>
      <c r="L45" s="503"/>
    </row>
    <row r="46" spans="1:12" x14ac:dyDescent="0.35">
      <c r="A46" s="492"/>
      <c r="D46" s="499"/>
      <c r="E46" s="7"/>
      <c r="F46" s="7"/>
      <c r="G46" s="7"/>
      <c r="H46" s="7"/>
      <c r="I46" s="7"/>
      <c r="J46" s="7"/>
      <c r="K46" s="503"/>
      <c r="L46" s="503"/>
    </row>
    <row r="47" spans="1:12" x14ac:dyDescent="0.35">
      <c r="A47" s="492"/>
      <c r="D47" s="499"/>
      <c r="E47" s="7"/>
      <c r="F47" s="7"/>
      <c r="G47" s="7"/>
      <c r="H47" s="7"/>
      <c r="I47" s="7"/>
      <c r="J47" s="7"/>
      <c r="K47" s="503"/>
      <c r="L47" s="503"/>
    </row>
    <row r="48" spans="1:12" x14ac:dyDescent="0.35">
      <c r="A48" s="492"/>
      <c r="D48" s="499"/>
      <c r="E48" s="7"/>
      <c r="F48" s="7"/>
      <c r="G48" s="7"/>
      <c r="H48" s="7"/>
      <c r="I48" s="7"/>
      <c r="J48" s="7"/>
      <c r="K48" s="503"/>
      <c r="L48" s="503"/>
    </row>
    <row r="49" spans="1:12" x14ac:dyDescent="0.35">
      <c r="A49" s="492"/>
      <c r="D49" s="503"/>
      <c r="E49" s="7"/>
      <c r="F49" s="7"/>
      <c r="G49" s="7"/>
      <c r="H49" s="7"/>
      <c r="I49" s="7"/>
      <c r="J49" s="7"/>
      <c r="K49" s="503"/>
      <c r="L49" s="503"/>
    </row>
    <row r="50" spans="1:12" x14ac:dyDescent="0.35">
      <c r="A50" s="492"/>
      <c r="D50" s="503"/>
      <c r="E50" s="7"/>
      <c r="F50" s="7"/>
      <c r="G50" s="7"/>
      <c r="H50" s="7"/>
      <c r="I50" s="7"/>
      <c r="J50" s="7"/>
      <c r="K50" s="503"/>
      <c r="L50" s="503"/>
    </row>
    <row r="51" spans="1:12" x14ac:dyDescent="0.35">
      <c r="A51" s="492"/>
    </row>
    <row r="52" spans="1:12" x14ac:dyDescent="0.35">
      <c r="A52" s="492"/>
    </row>
    <row r="53" spans="1:12" x14ac:dyDescent="0.35">
      <c r="A53" s="492"/>
    </row>
    <row r="54" spans="1:12" x14ac:dyDescent="0.35">
      <c r="A54" s="492"/>
    </row>
    <row r="55" spans="1:12" x14ac:dyDescent="0.35">
      <c r="A55" s="492"/>
    </row>
    <row r="56" spans="1:12" x14ac:dyDescent="0.35">
      <c r="A56" s="492"/>
    </row>
    <row r="57" spans="1:12" x14ac:dyDescent="0.35">
      <c r="A57" s="492"/>
    </row>
    <row r="58" spans="1:12" x14ac:dyDescent="0.35">
      <c r="A58" s="492"/>
    </row>
    <row r="59" spans="1:12" x14ac:dyDescent="0.35">
      <c r="A59" s="492"/>
    </row>
    <row r="60" spans="1:12" x14ac:dyDescent="0.35">
      <c r="A60" s="492"/>
    </row>
    <row r="61" spans="1:12" x14ac:dyDescent="0.35">
      <c r="A61" s="492"/>
    </row>
    <row r="62" spans="1:12" x14ac:dyDescent="0.35">
      <c r="A62" s="492"/>
    </row>
    <row r="63" spans="1:12" x14ac:dyDescent="0.35">
      <c r="A63" s="492"/>
    </row>
  </sheetData>
  <sheetProtection password="BCD8" sheet="1" objects="1" scenarios="1"/>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_home">
                <anchor moveWithCells="1" sizeWithCells="1">
                  <from>
                    <xdr:col>0</xdr:col>
                    <xdr:colOff>241300</xdr:colOff>
                    <xdr:row>0</xdr:row>
                    <xdr:rowOff>222250</xdr:rowOff>
                  </from>
                  <to>
                    <xdr:col>0</xdr:col>
                    <xdr:colOff>914400</xdr:colOff>
                    <xdr:row>1</xdr:row>
                    <xdr:rowOff>317500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70DCB-CA65-4DCA-BC13-252A40A7C3C7}">
  <sheetPr codeName="Sheet14"/>
  <dimension ref="B1:K159"/>
  <sheetViews>
    <sheetView workbookViewId="0">
      <pane ySplit="9" topLeftCell="A16" activePane="bottomLeft" state="frozen"/>
      <selection activeCell="F19" sqref="F19"/>
      <selection pane="bottomLeft" activeCell="A7" sqref="A7"/>
    </sheetView>
  </sheetViews>
  <sheetFormatPr defaultRowHeight="14.5" x14ac:dyDescent="0.35"/>
  <cols>
    <col min="1" max="1" width="5.36328125" customWidth="1"/>
    <col min="2" max="2" width="22" customWidth="1"/>
    <col min="3" max="3" width="17.453125" customWidth="1"/>
    <col min="4" max="4" width="13.6328125" customWidth="1"/>
    <col min="5" max="6" width="9.08984375" style="5" customWidth="1"/>
    <col min="7" max="7" width="17" style="5" customWidth="1"/>
    <col min="8" max="8" width="10.6328125" customWidth="1"/>
    <col min="9" max="9" width="101.08984375" customWidth="1"/>
    <col min="11" max="11" width="52" customWidth="1"/>
    <col min="15" max="15" width="27.08984375" customWidth="1"/>
  </cols>
  <sheetData>
    <row r="1" spans="2:11" x14ac:dyDescent="0.35">
      <c r="F1" s="5" t="s">
        <v>479</v>
      </c>
      <c r="G1" s="5">
        <f>COLUMN()</f>
        <v>7</v>
      </c>
    </row>
    <row r="2" spans="2:11" ht="21" x14ac:dyDescent="0.5">
      <c r="B2" s="1052" t="s">
        <v>1008</v>
      </c>
    </row>
    <row r="3" spans="2:11" x14ac:dyDescent="0.35">
      <c r="B3" t="s">
        <v>445</v>
      </c>
      <c r="I3" s="28" t="s">
        <v>1041</v>
      </c>
      <c r="J3">
        <f>ROW(advanced!$F$18)</f>
        <v>18</v>
      </c>
      <c r="K3" t="str">
        <f>"Let "&amp;I3&amp;" = Sheets("&amp;CHAR(34)&amp;"macromap"&amp;CHAR(34)&amp;").Cells("&amp;ROW(J3)&amp;", "&amp;COLUMN(J3)&amp;")"</f>
        <v>Let sbrrtoprow = Sheets("macromap").Cells(3, 10)</v>
      </c>
    </row>
    <row r="4" spans="2:11" x14ac:dyDescent="0.35">
      <c r="B4" t="s">
        <v>447</v>
      </c>
      <c r="I4" s="28" t="s">
        <v>1042</v>
      </c>
      <c r="J4">
        <f>ROW(advanced!$F$28)</f>
        <v>28</v>
      </c>
      <c r="K4" t="str">
        <f>"Let "&amp;I4&amp;" = Sheets("&amp;CHAR(34)&amp;"macromap"&amp;CHAR(34)&amp;").Cells("&amp;ROW(J4)&amp;", "&amp;COLUMN(J4)&amp;")"</f>
        <v>Let sbrrbottomrow = Sheets("macromap").Cells(4, 10)</v>
      </c>
    </row>
    <row r="5" spans="2:11" x14ac:dyDescent="0.35">
      <c r="B5" t="s">
        <v>446</v>
      </c>
      <c r="I5" s="28" t="s">
        <v>1043</v>
      </c>
      <c r="J5">
        <f>ROW(advanced!$F$30)</f>
        <v>30</v>
      </c>
      <c r="K5" t="str">
        <f>"Let "&amp;I5&amp;" = Sheets("&amp;CHAR(34)&amp;"macromap"&amp;CHAR(34)&amp;").Cells("&amp;ROW(J5)&amp;", "&amp;COLUMN(J5)&amp;")"</f>
        <v>Let tctoprow = Sheets("macromap").Cells(5, 10)</v>
      </c>
    </row>
    <row r="6" spans="2:11" x14ac:dyDescent="0.35">
      <c r="B6" t="s">
        <v>448</v>
      </c>
      <c r="I6" s="28" t="s">
        <v>1044</v>
      </c>
      <c r="J6">
        <f>ROW(advanced!$F$47)</f>
        <v>47</v>
      </c>
      <c r="K6" t="str">
        <f>"Let "&amp;I6&amp;" = Sheets("&amp;CHAR(34)&amp;"macromap"&amp;CHAR(34)&amp;").Cells("&amp;ROW(J6)&amp;", "&amp;COLUMN(J6)&amp;")"</f>
        <v>Let tcbottonrow = Sheets("macromap").Cells(6, 10)</v>
      </c>
    </row>
    <row r="7" spans="2:11" x14ac:dyDescent="0.35">
      <c r="B7" t="s">
        <v>476</v>
      </c>
    </row>
    <row r="9" spans="2:11" x14ac:dyDescent="0.35">
      <c r="B9" s="9" t="s">
        <v>451</v>
      </c>
      <c r="C9" s="9" t="s">
        <v>450</v>
      </c>
      <c r="D9" s="9" t="s">
        <v>444</v>
      </c>
      <c r="E9" s="18" t="s">
        <v>437</v>
      </c>
      <c r="F9" s="18" t="s">
        <v>294</v>
      </c>
      <c r="G9" s="18" t="s">
        <v>478</v>
      </c>
      <c r="I9" s="9" t="s">
        <v>674</v>
      </c>
      <c r="K9" s="9" t="s">
        <v>673</v>
      </c>
    </row>
    <row r="10" spans="2:11" x14ac:dyDescent="0.35">
      <c r="B10" t="s">
        <v>452</v>
      </c>
      <c r="D10" t="s">
        <v>449</v>
      </c>
      <c r="E10" s="5">
        <f>ROW(basic!I5)</f>
        <v>5</v>
      </c>
      <c r="F10" s="5">
        <f>COLUMN(basic!I5)</f>
        <v>9</v>
      </c>
      <c r="G10" s="5">
        <f>basic!I5</f>
        <v>0</v>
      </c>
      <c r="H10" s="9" t="s">
        <v>477</v>
      </c>
      <c r="I10" t="str">
        <f>IF(B10="","","Let "&amp;B10&amp;" = Sheets("&amp;CHAR(34)&amp;D10&amp;CHAR(34)&amp;").Cells((Sheets(""macromap"").Cells("&amp;ROW(E10)&amp;", "&amp;COLUMN(E10)&amp;")), Sheets(""macromap"").Cells("&amp;ROW(F10)&amp;", "&amp;COLUMN(F10)&amp;"))")</f>
        <v>Let plrvfrombasic = Sheets("basic").Cells((Sheets("macromap").Cells(10, 5)), Sheets("macromap").Cells(10, 6))</v>
      </c>
      <c r="J10" s="9" t="s">
        <v>480</v>
      </c>
      <c r="K10" t="str">
        <f>"Let "&amp;B10&amp;" = Sheets("&amp;CHAR(34)&amp;"macromap"&amp;CHAR(34)&amp;").Cells("&amp;ROW(G10)&amp;", "&amp;COLUMN(G10)&amp;")"</f>
        <v>Let plrvfrombasic = Sheets("macromap").Cells(10, 7)</v>
      </c>
    </row>
    <row r="11" spans="2:11" x14ac:dyDescent="0.35">
      <c r="B11" t="s">
        <v>708</v>
      </c>
      <c r="C11">
        <v>3</v>
      </c>
      <c r="D11" t="s">
        <v>709</v>
      </c>
      <c r="E11" s="5">
        <f>ROW(codes!I24)</f>
        <v>24</v>
      </c>
      <c r="F11" s="5">
        <f>COLUMN(codes!I24)</f>
        <v>9</v>
      </c>
      <c r="G11" s="5" t="b">
        <f ca="1">codes!I24</f>
        <v>0</v>
      </c>
      <c r="H11" s="9" t="s">
        <v>477</v>
      </c>
      <c r="I11" t="str">
        <f t="shared" ref="I11:I22" si="0">"Let "&amp;B11&amp;" = Sheets("&amp;CHAR(34)&amp;D11&amp;CHAR(34)&amp;").Cells((Sheets(""macromap"").Cells("&amp;ROW(E11)&amp;", "&amp;COLUMN(E11)&amp;")), Sheets(""macromap"").Cells("&amp;ROW(F11)&amp;", "&amp;COLUMN(F11)&amp;"))"</f>
        <v>Let nagflag = Sheets("codes").Cells((Sheets("macromap").Cells(11, 5)), Sheets("macromap").Cells(11, 6))</v>
      </c>
      <c r="J11" s="9" t="s">
        <v>480</v>
      </c>
      <c r="K11" t="str">
        <f t="shared" ref="K11:K22" si="1">"Let "&amp;B11&amp;" = Sheets("&amp;CHAR(34)&amp;"macromap"&amp;CHAR(34)&amp;").Cells("&amp;ROW(G11)&amp;", "&amp;COLUMN(G11)&amp;")"</f>
        <v>Let nagflag = Sheets("macromap").Cells(11, 7)</v>
      </c>
    </row>
    <row r="12" spans="2:11" x14ac:dyDescent="0.35">
      <c r="B12" t="s">
        <v>710</v>
      </c>
      <c r="C12">
        <v>3</v>
      </c>
      <c r="D12" t="s">
        <v>709</v>
      </c>
      <c r="E12" s="5">
        <f>ROW(codes!I25)</f>
        <v>25</v>
      </c>
      <c r="F12" s="5">
        <f>COLUMN(codes!I25)</f>
        <v>9</v>
      </c>
      <c r="G12" s="5" t="str">
        <f ca="1">codes!I25</f>
        <v xml:space="preserve">  </v>
      </c>
      <c r="H12" s="9" t="s">
        <v>477</v>
      </c>
      <c r="I12" t="str">
        <f t="shared" si="0"/>
        <v>Let nagmessage = Sheets("codes").Cells((Sheets("macromap").Cells(12, 5)), Sheets("macromap").Cells(12, 6))</v>
      </c>
      <c r="J12" s="9" t="s">
        <v>480</v>
      </c>
      <c r="K12" t="str">
        <f t="shared" si="1"/>
        <v>Let nagmessage = Sheets("macromap").Cells(12, 7)</v>
      </c>
    </row>
    <row r="13" spans="2:11" x14ac:dyDescent="0.35">
      <c r="B13" t="s">
        <v>713</v>
      </c>
      <c r="C13">
        <v>3</v>
      </c>
      <c r="D13" t="s">
        <v>655</v>
      </c>
      <c r="E13" s="5">
        <f>ROW(text!B31)</f>
        <v>31</v>
      </c>
      <c r="F13" s="5">
        <f>COLUMN(text!B31)</f>
        <v>2</v>
      </c>
      <c r="G13" s="5" t="str">
        <f>text!B31</f>
        <v>Message from Calcurate</v>
      </c>
      <c r="H13" s="9" t="s">
        <v>477</v>
      </c>
      <c r="I13" t="str">
        <f t="shared" si="0"/>
        <v>Let mfc = Sheets("text").Cells((Sheets("macromap").Cells(13, 5)), Sheets("macromap").Cells(13, 6))</v>
      </c>
      <c r="J13" s="9" t="s">
        <v>480</v>
      </c>
      <c r="K13" t="str">
        <f t="shared" si="1"/>
        <v>Let mfc = Sheets("macromap").Cells(13, 7)</v>
      </c>
    </row>
    <row r="14" spans="2:11" x14ac:dyDescent="0.35">
      <c r="B14" t="s">
        <v>715</v>
      </c>
      <c r="C14">
        <v>3</v>
      </c>
      <c r="D14" t="s">
        <v>655</v>
      </c>
      <c r="E14" s="5">
        <f>ROW(text!B29)</f>
        <v>29</v>
      </c>
      <c r="F14" s="5">
        <f>COLUMN(text!B29)</f>
        <v>2</v>
      </c>
      <c r="G14" s="5" t="str">
        <f>text!B29</f>
        <v>Calcurate 2023</v>
      </c>
      <c r="H14" s="9" t="s">
        <v>477</v>
      </c>
      <c r="I14" t="str">
        <f t="shared" si="0"/>
        <v>Let thisworkbookname = Sheets("text").Cells((Sheets("macromap").Cells(14, 5)), Sheets("macromap").Cells(14, 6))</v>
      </c>
      <c r="J14" s="9" t="s">
        <v>480</v>
      </c>
      <c r="K14" t="str">
        <f t="shared" si="1"/>
        <v>Let thisworkbookname = Sheets("macromap").Cells(14, 7)</v>
      </c>
    </row>
    <row r="15" spans="2:11" x14ac:dyDescent="0.35">
      <c r="B15" t="s">
        <v>722</v>
      </c>
      <c r="C15" t="s">
        <v>724</v>
      </c>
      <c r="D15" t="s">
        <v>709</v>
      </c>
      <c r="E15" s="5">
        <f>ROW(codes!H12)</f>
        <v>12</v>
      </c>
      <c r="F15" s="5">
        <f>COLUMN(codes!H12)</f>
        <v>8</v>
      </c>
      <c r="G15" s="5" t="str">
        <f>codes!H12</f>
        <v>Calcurate 2023 v 5.2 xlms</v>
      </c>
      <c r="H15" s="9" t="s">
        <v>477</v>
      </c>
      <c r="I15" t="str">
        <f t="shared" si="0"/>
        <v>Let calcurateversion = Sheets("codes").Cells((Sheets("macromap").Cells(15, 5)), Sheets("macromap").Cells(15, 6))</v>
      </c>
      <c r="J15" s="9" t="s">
        <v>480</v>
      </c>
      <c r="K15" t="str">
        <f t="shared" si="1"/>
        <v>Let calcurateversion = Sheets("macromap").Cells(15, 7)</v>
      </c>
    </row>
    <row r="16" spans="2:11" x14ac:dyDescent="0.35">
      <c r="B16" t="s">
        <v>723</v>
      </c>
      <c r="C16" t="s">
        <v>724</v>
      </c>
      <c r="D16" t="s">
        <v>709</v>
      </c>
      <c r="E16" s="5">
        <f>ROW(codes!H13)</f>
        <v>13</v>
      </c>
      <c r="F16" s="5">
        <f>COLUMN(codes!H13)</f>
        <v>8</v>
      </c>
      <c r="G16" s="5" t="str">
        <f>codes!H13</f>
        <v>CBRE</v>
      </c>
      <c r="H16" s="9" t="s">
        <v>477</v>
      </c>
      <c r="I16" t="str">
        <f t="shared" si="0"/>
        <v>Let licencedto = Sheets("codes").Cells((Sheets("macromap").Cells(16, 5)), Sheets("macromap").Cells(16, 6))</v>
      </c>
      <c r="J16" s="9" t="s">
        <v>480</v>
      </c>
      <c r="K16" t="str">
        <f t="shared" si="1"/>
        <v>Let licencedto = Sheets("macromap").Cells(16, 7)</v>
      </c>
    </row>
    <row r="17" spans="2:11" x14ac:dyDescent="0.35">
      <c r="B17" t="s">
        <v>725</v>
      </c>
      <c r="C17" t="s">
        <v>724</v>
      </c>
      <c r="D17" t="s">
        <v>709</v>
      </c>
      <c r="E17" s="5">
        <f>ROW(codes!F5)</f>
        <v>5</v>
      </c>
      <c r="F17" s="5">
        <f>COLUMN(codes!F5)</f>
        <v>6</v>
      </c>
      <c r="G17" s="13">
        <f>codes!F5</f>
        <v>46508</v>
      </c>
      <c r="H17" s="9" t="s">
        <v>477</v>
      </c>
      <c r="I17" t="str">
        <f t="shared" si="0"/>
        <v>Let expirydate = Sheets("codes").Cells((Sheets("macromap").Cells(17, 5)), Sheets("macromap").Cells(17, 6))</v>
      </c>
      <c r="J17" s="9" t="s">
        <v>480</v>
      </c>
      <c r="K17" t="str">
        <f t="shared" si="1"/>
        <v>Let expirydate = Sheets("macromap").Cells(17, 7)</v>
      </c>
    </row>
    <row r="18" spans="2:11" x14ac:dyDescent="0.35">
      <c r="B18" t="s">
        <v>732</v>
      </c>
      <c r="C18" t="s">
        <v>724</v>
      </c>
      <c r="D18" t="s">
        <v>655</v>
      </c>
      <c r="E18" s="5">
        <f>ROW(text!B33)</f>
        <v>33</v>
      </c>
      <c r="F18" s="5">
        <f>COLUMN(text!B33)</f>
        <v>2</v>
      </c>
      <c r="G18" s="5" t="str">
        <f ca="1">text!B33</f>
        <v>Calcurate 2023 © Calcurate Ltd, October 2022 - May 2026</v>
      </c>
      <c r="H18" s="9" t="s">
        <v>477</v>
      </c>
      <c r="I18" t="str">
        <f t="shared" si="0"/>
        <v>Let copyrightnotice = Sheets("text").Cells((Sheets("macromap").Cells(18, 5)), Sheets("macromap").Cells(18, 6))</v>
      </c>
      <c r="J18" s="9" t="s">
        <v>480</v>
      </c>
      <c r="K18" t="str">
        <f t="shared" si="1"/>
        <v>Let copyrightnotice = Sheets("macromap").Cells(18, 7)</v>
      </c>
    </row>
    <row r="19" spans="2:11" x14ac:dyDescent="0.35">
      <c r="B19" t="s">
        <v>753</v>
      </c>
      <c r="C19">
        <v>3</v>
      </c>
      <c r="D19" t="s">
        <v>655</v>
      </c>
      <c r="E19" s="5">
        <f>ROW(text!D28)</f>
        <v>28</v>
      </c>
      <c r="F19" s="5">
        <f>COLUMN(text!D28)</f>
        <v>4</v>
      </c>
      <c r="G19" s="5" t="str">
        <f>text!D28</f>
        <v>s2017.xlsm</v>
      </c>
      <c r="H19" s="9" t="s">
        <v>477</v>
      </c>
      <c r="I19" t="str">
        <f t="shared" si="0"/>
        <v>Let plistwbook = Sheets("text").Cells((Sheets("macromap").Cells(19, 5)), Sheets("macromap").Cells(19, 6))</v>
      </c>
      <c r="J19" s="9" t="s">
        <v>480</v>
      </c>
      <c r="K19" t="str">
        <f t="shared" si="1"/>
        <v>Let plistwbook = Sheets("macromap").Cells(19, 7)</v>
      </c>
    </row>
    <row r="20" spans="2:11" x14ac:dyDescent="0.35">
      <c r="B20" t="s">
        <v>754</v>
      </c>
      <c r="C20">
        <v>3</v>
      </c>
      <c r="D20" t="s">
        <v>655</v>
      </c>
      <c r="E20" s="5">
        <f>ROW(text!B28)</f>
        <v>28</v>
      </c>
      <c r="F20" s="5">
        <f>COLUMN(text!B28)</f>
        <v>2</v>
      </c>
      <c r="G20" s="5" t="str">
        <f>text!B28</f>
        <v>Calcurate 2017</v>
      </c>
      <c r="H20" s="9" t="s">
        <v>477</v>
      </c>
      <c r="I20" t="str">
        <f t="shared" si="0"/>
        <v>Let pwbname = Sheets("text").Cells((Sheets("macromap").Cells(20, 5)), Sheets("macromap").Cells(20, 6))</v>
      </c>
      <c r="J20" s="9" t="s">
        <v>480</v>
      </c>
      <c r="K20" t="str">
        <f t="shared" si="1"/>
        <v>Let pwbname = Sheets("macromap").Cells(20, 7)</v>
      </c>
    </row>
    <row r="21" spans="2:11" x14ac:dyDescent="0.35">
      <c r="B21" t="s">
        <v>755</v>
      </c>
      <c r="C21">
        <v>3</v>
      </c>
      <c r="D21" t="s">
        <v>655</v>
      </c>
      <c r="E21" s="5">
        <f>ROW(text!D30)</f>
        <v>30</v>
      </c>
      <c r="F21" s="5">
        <f>COLUMN(text!D29)</f>
        <v>4</v>
      </c>
      <c r="G21" s="5" t="str">
        <f>text!D30</f>
        <v>England8.xlsm</v>
      </c>
      <c r="H21" s="9" t="s">
        <v>477</v>
      </c>
      <c r="I21" t="str">
        <f t="shared" si="0"/>
        <v>Let nextlistwb = Sheets("text").Cells((Sheets("macromap").Cells(21, 5)), Sheets("macromap").Cells(21, 6))</v>
      </c>
      <c r="J21" s="9" t="s">
        <v>480</v>
      </c>
      <c r="K21" t="str">
        <f t="shared" si="1"/>
        <v>Let nextlistwb = Sheets("macromap").Cells(21, 7)</v>
      </c>
    </row>
    <row r="22" spans="2:11" x14ac:dyDescent="0.35">
      <c r="B22" t="s">
        <v>756</v>
      </c>
      <c r="C22">
        <v>3</v>
      </c>
      <c r="D22" t="s">
        <v>655</v>
      </c>
      <c r="E22" s="5">
        <f>ROW(text!B30)</f>
        <v>30</v>
      </c>
      <c r="F22" s="5">
        <f>COLUMN(text!B30)</f>
        <v>2</v>
      </c>
      <c r="G22" s="5" t="str">
        <f>text!B30</f>
        <v>Calcurate 2026</v>
      </c>
      <c r="H22" s="9" t="s">
        <v>477</v>
      </c>
      <c r="I22" t="str">
        <f t="shared" si="0"/>
        <v>Let nwbname = Sheets("text").Cells((Sheets("macromap").Cells(22, 5)), Sheets("macromap").Cells(22, 6))</v>
      </c>
      <c r="J22" s="9" t="s">
        <v>480</v>
      </c>
      <c r="K22" t="str">
        <f t="shared" si="1"/>
        <v>Let nwbname = Sheets("macromap").Cells(22, 7)</v>
      </c>
    </row>
    <row r="23" spans="2:11" x14ac:dyDescent="0.35">
      <c r="B23" t="s">
        <v>785</v>
      </c>
      <c r="C23">
        <v>3</v>
      </c>
      <c r="D23" t="s">
        <v>655</v>
      </c>
      <c r="E23" s="5">
        <f>ROW(text!D36)</f>
        <v>36</v>
      </c>
      <c r="F23" s="5">
        <f>COLUMN(text!D36)</f>
        <v>4</v>
      </c>
      <c r="G23" s="5" t="str">
        <f>text!D36</f>
        <v>intermittent planner 2023.xlsm</v>
      </c>
      <c r="H23" s="9" t="s">
        <v>477</v>
      </c>
      <c r="I23" t="str">
        <f>"Let "&amp;B23&amp;" = Sheets("&amp;CHAR(34)&amp;D23&amp;CHAR(34)&amp;").Cells((Sheets(""macromap"").Cells("&amp;ROW(E23)&amp;", "&amp;COLUMN(E23)&amp;")), Sheets(""macromap"").Cells("&amp;ROW(F23)&amp;", "&amp;COLUMN(F23)&amp;"))"</f>
        <v>Let intocplannername = Sheets("text").Cells((Sheets("macromap").Cells(23, 5)), Sheets("macromap").Cells(23, 6))</v>
      </c>
      <c r="J23" s="9" t="s">
        <v>480</v>
      </c>
      <c r="K23" t="str">
        <f>"Let "&amp;B23&amp;" = Sheets("&amp;CHAR(34)&amp;"macromap"&amp;CHAR(34)&amp;").Cells("&amp;ROW(G23)&amp;", "&amp;COLUMN(G23)&amp;")"</f>
        <v>Let intocplannername = Sheets("macromap").Cells(23, 7)</v>
      </c>
    </row>
    <row r="24" spans="2:11" x14ac:dyDescent="0.35">
      <c r="B24" t="s">
        <v>672</v>
      </c>
    </row>
    <row r="25" spans="2:11" x14ac:dyDescent="0.35">
      <c r="B25" t="s">
        <v>671</v>
      </c>
      <c r="C25">
        <v>3</v>
      </c>
      <c r="D25" t="s">
        <v>670</v>
      </c>
      <c r="E25" s="5">
        <f>ROW(menu!B11)</f>
        <v>11</v>
      </c>
      <c r="F25" s="5">
        <f>COLUMN(menu!B11)</f>
        <v>2</v>
      </c>
      <c r="G25" s="5">
        <f>menu!P6</f>
        <v>0</v>
      </c>
      <c r="H25" s="9" t="s">
        <v>477</v>
      </c>
      <c r="I25" t="str">
        <f>"Sheets("&amp;CHAR(34)&amp;D25&amp;CHAR(34)&amp;").Cells((Sheets(""macromap"").Cells("&amp;ROW(E25)&amp;", "&amp;COLUMN(E25)&amp;")), Sheets(""macromap"").Cells("&amp;ROW(F25)&amp;", "&amp;COLUMN(F25)&amp;")).Select"</f>
        <v>Sheets("menu").Cells((Sheets("macromap").Cells(25, 5)), Sheets("macromap").Cells(25, 6)).Select</v>
      </c>
      <c r="J25" s="9" t="s">
        <v>480</v>
      </c>
      <c r="K25" t="str">
        <f>"Let "&amp;B25&amp;" = Sheets("&amp;CHAR(34)&amp;"macromap"&amp;CHAR(34)&amp;").Cells("&amp;ROW(G25)&amp;", "&amp;COLUMN(G25)&amp;")"</f>
        <v>Let menuhomecell = Sheets("macromap").Cells(25, 7)</v>
      </c>
    </row>
    <row r="26" spans="2:11" x14ac:dyDescent="0.35">
      <c r="B26" t="s">
        <v>675</v>
      </c>
      <c r="C26">
        <v>3</v>
      </c>
      <c r="D26" t="s">
        <v>676</v>
      </c>
      <c r="E26" s="5">
        <f>ROW(details!D4)</f>
        <v>4</v>
      </c>
      <c r="F26" s="5">
        <f>COLUMN(details!D4)</f>
        <v>4</v>
      </c>
      <c r="G26" s="5" t="s">
        <v>677</v>
      </c>
      <c r="H26" s="9" t="s">
        <v>477</v>
      </c>
      <c r="I26" t="str">
        <f>"Sheets("&amp;CHAR(34)&amp;D26&amp;CHAR(34)&amp;").Cells((Sheets(""macromap"").Cells("&amp;ROW(E26)&amp;", "&amp;COLUMN(E26)&amp;")), Sheets(""macromap"").Cells("&amp;ROW(F26)&amp;", "&amp;COLUMN(F26)&amp;")).Select"</f>
        <v>Sheets("details").Cells((Sheets("macromap").Cells(26, 5)), Sheets("macromap").Cells(26, 6)).Select</v>
      </c>
      <c r="J26" s="9" t="s">
        <v>480</v>
      </c>
      <c r="K26" t="str">
        <f>"Let "&amp;B26&amp;" = Sheets("&amp;CHAR(34)&amp;"macromap"&amp;CHAR(34)&amp;").Cells("&amp;ROW(G26)&amp;", "&amp;COLUMN(G26)&amp;")"</f>
        <v>Let detailshomecell = Sheets("macromap").Cells(26, 7)</v>
      </c>
    </row>
    <row r="27" spans="2:11" x14ac:dyDescent="0.35">
      <c r="B27" t="s">
        <v>690</v>
      </c>
      <c r="C27">
        <v>3</v>
      </c>
      <c r="D27" t="s">
        <v>691</v>
      </c>
      <c r="E27" s="5">
        <f>ROW(advanced!I9)</f>
        <v>9</v>
      </c>
      <c r="F27" s="5">
        <f>COLUMN(advanced!I9)</f>
        <v>9</v>
      </c>
      <c r="G27" s="27">
        <f>advanced!I9</f>
        <v>0</v>
      </c>
      <c r="H27" s="9" t="s">
        <v>477</v>
      </c>
      <c r="I27" t="str">
        <f>"Sheets("&amp;CHAR(34)&amp;D27&amp;CHAR(34)&amp;").Cells((Sheets(""macromap"").Cells("&amp;ROW(E27)&amp;", "&amp;COLUMN(E27)&amp;")), Sheets(""macromap"").Cells("&amp;ROW(F27)&amp;", "&amp;COLUMN(F27)&amp;")).Select"</f>
        <v>Sheets("advanced").Cells((Sheets("macromap").Cells(27, 5)), Sheets("macromap").Cells(27, 6)).Select</v>
      </c>
      <c r="J27" s="9" t="s">
        <v>480</v>
      </c>
      <c r="K27" t="str">
        <f>"Let "&amp;B27&amp;" = Sheets("&amp;CHAR(34)&amp;"macromap"&amp;CHAR(34)&amp;").Cells("&amp;ROW(G27)&amp;", "&amp;COLUMN(G27)&amp;")"</f>
        <v>Let advancedhomecell = Sheets("macromap").Cells(27, 7)</v>
      </c>
    </row>
    <row r="28" spans="2:11" x14ac:dyDescent="0.35">
      <c r="B28" t="s">
        <v>734</v>
      </c>
      <c r="C28">
        <v>3</v>
      </c>
      <c r="D28" t="s">
        <v>449</v>
      </c>
      <c r="E28" s="5">
        <f>ROW(basic!I5)</f>
        <v>5</v>
      </c>
      <c r="F28" s="5">
        <f>COLUMN(basic!I5)</f>
        <v>9</v>
      </c>
      <c r="G28" s="5" t="s">
        <v>677</v>
      </c>
      <c r="H28" s="9" t="s">
        <v>477</v>
      </c>
      <c r="I28" t="str">
        <f>"Sheets("&amp;CHAR(34)&amp;D28&amp;CHAR(34)&amp;").Cells((Sheets(""macromap"").Cells("&amp;ROW(E28)&amp;", "&amp;COLUMN(E28)&amp;")), Sheets(""macromap"").Cells("&amp;ROW(F28)&amp;", "&amp;COLUMN(F28)&amp;")).Select"</f>
        <v>Sheets("basic").Cells((Sheets("macromap").Cells(28, 5)), Sheets("macromap").Cells(28, 6)).Select</v>
      </c>
      <c r="J28" s="9" t="s">
        <v>480</v>
      </c>
      <c r="K28" t="str">
        <f>"Let "&amp;B28&amp;" = Sheets("&amp;CHAR(34)&amp;"macromap"&amp;CHAR(34)&amp;").Cells("&amp;ROW(G28)&amp;", "&amp;COLUMN(G28)&amp;")"</f>
        <v>Let basichomecell = Sheets("macromap").Cells(28, 7)</v>
      </c>
    </row>
    <row r="29" spans="2:11" x14ac:dyDescent="0.35">
      <c r="B29" t="s">
        <v>735</v>
      </c>
      <c r="C29">
        <v>3</v>
      </c>
      <c r="D29" t="s">
        <v>736</v>
      </c>
      <c r="E29" s="5">
        <f>ROW('version history'!A3)</f>
        <v>3</v>
      </c>
      <c r="F29" s="5">
        <f>COLUMN('version history'!A3)</f>
        <v>1</v>
      </c>
      <c r="G29" s="5" t="s">
        <v>677</v>
      </c>
      <c r="H29" s="9" t="s">
        <v>477</v>
      </c>
      <c r="I29" t="str">
        <f t="shared" ref="I29:I36" si="2">"Sheets("&amp;CHAR(34)&amp;D29&amp;CHAR(34)&amp;").Cells((Sheets(""macromap"").Cells("&amp;ROW(E29)&amp;", "&amp;COLUMN(E29)&amp;")), Sheets(""macromap"").Cells("&amp;ROW(F29)&amp;", "&amp;COLUMN(F29)&amp;")).Select"</f>
        <v>Sheets("version history").Cells((Sheets("macromap").Cells(29, 5)), Sheets("macromap").Cells(29, 6)).Select</v>
      </c>
      <c r="J29" s="9" t="s">
        <v>480</v>
      </c>
      <c r="K29" t="str">
        <f t="shared" ref="K29:K36" si="3">"Let "&amp;B29&amp;" = Sheets("&amp;CHAR(34)&amp;"macromap"&amp;CHAR(34)&amp;").Cells("&amp;ROW(G29)&amp;", "&amp;COLUMN(G29)&amp;")"</f>
        <v>Let versionhistoryhomecell = Sheets("macromap").Cells(29, 7)</v>
      </c>
    </row>
    <row r="30" spans="2:11" x14ac:dyDescent="0.35">
      <c r="B30" t="s">
        <v>749</v>
      </c>
      <c r="C30">
        <v>3</v>
      </c>
      <c r="D30" t="s">
        <v>750</v>
      </c>
      <c r="E30" s="5">
        <f>ROW(authorities!A2)</f>
        <v>2</v>
      </c>
      <c r="F30" s="5">
        <f>COLUMN(authorities!A2)</f>
        <v>1</v>
      </c>
      <c r="G30" s="5" t="s">
        <v>677</v>
      </c>
      <c r="H30" s="9" t="s">
        <v>477</v>
      </c>
      <c r="I30" t="str">
        <f t="shared" si="2"/>
        <v>Sheets("authorities").Cells((Sheets("macromap").Cells(30, 5)), Sheets("macromap").Cells(30, 6)).Select</v>
      </c>
      <c r="J30" s="9" t="s">
        <v>480</v>
      </c>
      <c r="K30" t="str">
        <f t="shared" si="3"/>
        <v>Let authoritieshomecell = Sheets("macromap").Cells(30, 7)</v>
      </c>
    </row>
    <row r="31" spans="2:11" x14ac:dyDescent="0.35">
      <c r="B31" t="s">
        <v>752</v>
      </c>
      <c r="C31">
        <v>3</v>
      </c>
      <c r="D31" t="s">
        <v>751</v>
      </c>
      <c r="E31" s="5">
        <f>ROW(update!A1)</f>
        <v>1</v>
      </c>
      <c r="F31" s="5">
        <f>COLUMN(update!A1)</f>
        <v>1</v>
      </c>
      <c r="G31" s="5" t="s">
        <v>677</v>
      </c>
      <c r="H31" s="9" t="s">
        <v>477</v>
      </c>
      <c r="I31" t="str">
        <f t="shared" si="2"/>
        <v>Sheets("update").Cells((Sheets("macromap").Cells(31, 5)), Sheets("macromap").Cells(31, 6)).Select</v>
      </c>
      <c r="J31" s="9" t="s">
        <v>480</v>
      </c>
      <c r="K31" t="str">
        <f t="shared" si="3"/>
        <v>Let estimateshome = Sheets("macromap").Cells(31, 7)</v>
      </c>
    </row>
    <row r="32" spans="2:11" x14ac:dyDescent="0.35">
      <c r="B32" t="s">
        <v>776</v>
      </c>
      <c r="C32">
        <v>3</v>
      </c>
      <c r="D32" t="s">
        <v>777</v>
      </c>
      <c r="E32" s="5">
        <f>ROW(riverlake!B2)</f>
        <v>2</v>
      </c>
      <c r="F32" s="5">
        <f>COLUMN(riverlake!B2)</f>
        <v>2</v>
      </c>
      <c r="G32" s="5" t="s">
        <v>677</v>
      </c>
      <c r="H32" s="9" t="s">
        <v>477</v>
      </c>
      <c r="I32" t="str">
        <f t="shared" si="2"/>
        <v>Sheets("riverlake").Cells((Sheets("macromap").Cells(32, 5)), Sheets("macromap").Cells(32, 6)).Select</v>
      </c>
      <c r="J32" s="9" t="s">
        <v>480</v>
      </c>
      <c r="K32" t="str">
        <f t="shared" si="3"/>
        <v>Let riverlakehome = Sheets("macromap").Cells(32, 7)</v>
      </c>
    </row>
    <row r="33" spans="2:11" x14ac:dyDescent="0.35">
      <c r="B33" t="s">
        <v>787</v>
      </c>
      <c r="C33">
        <v>8</v>
      </c>
      <c r="D33" t="s">
        <v>449</v>
      </c>
      <c r="E33" s="5">
        <f>ROW(basic!I6)</f>
        <v>6</v>
      </c>
      <c r="F33" s="5">
        <f>COLUMN(basic!I6)</f>
        <v>9</v>
      </c>
      <c r="G33" s="27">
        <f>basic!I6</f>
        <v>0</v>
      </c>
      <c r="H33" s="9" t="s">
        <v>477</v>
      </c>
      <c r="I33" t="str">
        <f t="shared" si="2"/>
        <v>Sheets("basic").Cells((Sheets("macromap").Cells(33, 5)), Sheets("macromap").Cells(33, 6)).Select</v>
      </c>
      <c r="J33" s="9" t="s">
        <v>480</v>
      </c>
      <c r="K33" t="str">
        <f t="shared" si="3"/>
        <v>Let orvfrombasic = Sheets("macromap").Cells(33, 7)</v>
      </c>
    </row>
    <row r="34" spans="2:11" x14ac:dyDescent="0.35">
      <c r="B34" t="s">
        <v>788</v>
      </c>
      <c r="C34">
        <v>8</v>
      </c>
      <c r="D34" t="s">
        <v>449</v>
      </c>
      <c r="E34" s="5">
        <f>ROW(basic!I7)</f>
        <v>7</v>
      </c>
      <c r="F34" s="5">
        <f>COLUMN(basic!I7)</f>
        <v>9</v>
      </c>
      <c r="G34" s="27">
        <f>basic!I7</f>
        <v>0</v>
      </c>
      <c r="H34" s="9" t="s">
        <v>477</v>
      </c>
      <c r="I34" t="str">
        <f t="shared" si="2"/>
        <v>Sheets("basic").Cells((Sheets("macromap").Cells(34, 5)), Sheets("macromap").Cells(34, 6)).Select</v>
      </c>
      <c r="J34" s="9" t="s">
        <v>480</v>
      </c>
      <c r="K34" t="str">
        <f t="shared" si="3"/>
        <v>Let rrvfrombasic = Sheets("macromap").Cells(34, 7)</v>
      </c>
    </row>
    <row r="35" spans="2:11" x14ac:dyDescent="0.35">
      <c r="B35" t="s">
        <v>789</v>
      </c>
      <c r="C35">
        <v>8</v>
      </c>
      <c r="D35" t="s">
        <v>691</v>
      </c>
      <c r="E35" s="5">
        <f>ROW(advanced!I9)</f>
        <v>9</v>
      </c>
      <c r="F35" s="5">
        <f>COLUMN(advanced!I9)</f>
        <v>9</v>
      </c>
      <c r="G35" s="27">
        <f>advanced!I9</f>
        <v>0</v>
      </c>
      <c r="H35" s="9" t="s">
        <v>477</v>
      </c>
      <c r="I35" t="str">
        <f t="shared" si="2"/>
        <v>Sheets("advanced").Cells((Sheets("macromap").Cells(35, 5)), Sheets("macromap").Cells(35, 6)).Select</v>
      </c>
      <c r="J35" s="9" t="s">
        <v>480</v>
      </c>
      <c r="K35" t="str">
        <f t="shared" si="3"/>
        <v>Let plrvonadvanced = Sheets("macromap").Cells(35, 7)</v>
      </c>
    </row>
    <row r="36" spans="2:11" x14ac:dyDescent="0.35">
      <c r="B36" t="s">
        <v>790</v>
      </c>
      <c r="C36">
        <v>8</v>
      </c>
      <c r="D36" t="s">
        <v>691</v>
      </c>
      <c r="E36" s="5">
        <f>ROW(advanced!I10)</f>
        <v>10</v>
      </c>
      <c r="F36" s="5">
        <f>COLUMN(advanced!I10)</f>
        <v>9</v>
      </c>
      <c r="G36" s="27">
        <f>advanced!I10</f>
        <v>0</v>
      </c>
      <c r="H36" s="9" t="s">
        <v>477</v>
      </c>
      <c r="I36" t="str">
        <f t="shared" si="2"/>
        <v>Sheets("advanced").Cells((Sheets("macromap").Cells(36, 5)), Sheets("macromap").Cells(36, 6)).Select</v>
      </c>
      <c r="J36" s="9" t="s">
        <v>480</v>
      </c>
      <c r="K36" t="str">
        <f t="shared" si="3"/>
        <v>Let orvonadvanced = Sheets("macromap").Cells(36, 7)</v>
      </c>
    </row>
    <row r="37" spans="2:11" x14ac:dyDescent="0.35">
      <c r="B37" t="s">
        <v>791</v>
      </c>
      <c r="C37">
        <v>8</v>
      </c>
      <c r="D37" t="s">
        <v>691</v>
      </c>
      <c r="E37" s="5">
        <f>ROW(advanced!M10)</f>
        <v>10</v>
      </c>
      <c r="F37" s="5">
        <f>COLUMN(advanced!M10)</f>
        <v>13</v>
      </c>
      <c r="G37" s="27">
        <f>advanced!M10</f>
        <v>0</v>
      </c>
      <c r="H37" s="9" t="s">
        <v>477</v>
      </c>
      <c r="I37" t="str">
        <f t="shared" ref="I37:I49" si="4">"Sheets("&amp;CHAR(34)&amp;D37&amp;CHAR(34)&amp;").Cells((Sheets(""macromap"").Cells("&amp;ROW(E37)&amp;", "&amp;COLUMN(E37)&amp;")), Sheets(""macromap"").Cells("&amp;ROW(F37)&amp;", "&amp;COLUMN(F37)&amp;")).Select"</f>
        <v>Sheets("advanced").Cells((Sheets("macromap").Cells(37, 5)), Sheets("macromap").Cells(37, 6)).Select</v>
      </c>
      <c r="J37" s="9" t="s">
        <v>480</v>
      </c>
      <c r="K37" t="str">
        <f t="shared" ref="K37:K49" si="5">"Let "&amp;B37&amp;" = Sheets("&amp;CHAR(34)&amp;"macromap"&amp;CHAR(34)&amp;").Cells("&amp;ROW(G37)&amp;", "&amp;COLUMN(G37)&amp;")"</f>
        <v>Let rrvonadvanced = Sheets("macromap").Cells(37, 7)</v>
      </c>
    </row>
    <row r="38" spans="2:11" x14ac:dyDescent="0.35">
      <c r="B38" t="s">
        <v>828</v>
      </c>
      <c r="C38">
        <v>3</v>
      </c>
      <c r="D38" t="s">
        <v>829</v>
      </c>
      <c r="E38" s="5">
        <f>ROW('info sheet'!C4)</f>
        <v>4</v>
      </c>
      <c r="F38" s="5">
        <f>COLUMN('info sheet'!C4)</f>
        <v>3</v>
      </c>
      <c r="G38" s="5">
        <v>0</v>
      </c>
      <c r="H38" s="9" t="s">
        <v>477</v>
      </c>
      <c r="I38" t="str">
        <f t="shared" si="4"/>
        <v>Sheets("info sheet").Cells((Sheets("macromap").Cells(38, 5)), Sheets("macromap").Cells(38, 6)).Select</v>
      </c>
      <c r="J38" s="9" t="s">
        <v>480</v>
      </c>
      <c r="K38" t="str">
        <f t="shared" si="5"/>
        <v>Let infohomecell = Sheets("macromap").Cells(38, 7)</v>
      </c>
    </row>
    <row r="39" spans="2:11" x14ac:dyDescent="0.35">
      <c r="B39" t="s">
        <v>843</v>
      </c>
      <c r="C39">
        <v>4</v>
      </c>
      <c r="D39" t="s">
        <v>449</v>
      </c>
      <c r="E39" s="5">
        <f>ROW(basic!D26)</f>
        <v>26</v>
      </c>
      <c r="F39" s="5">
        <f>COLUMN(basic!D26)</f>
        <v>4</v>
      </c>
      <c r="G39" s="5" t="str">
        <f>basic!D26</f>
        <v>Enter Address Details</v>
      </c>
      <c r="H39" s="9" t="s">
        <v>477</v>
      </c>
      <c r="I39" t="str">
        <f t="shared" si="4"/>
        <v>Sheets("basic").Cells((Sheets("macromap").Cells(39, 5)), Sheets("macromap").Cells(39, 6)).Select</v>
      </c>
      <c r="J39" s="9" t="s">
        <v>480</v>
      </c>
      <c r="K39" t="str">
        <f t="shared" si="5"/>
        <v>Let basicaddresscell = Sheets("macromap").Cells(39, 7)</v>
      </c>
    </row>
    <row r="40" spans="2:11" x14ac:dyDescent="0.35">
      <c r="B40" t="s">
        <v>844</v>
      </c>
      <c r="C40">
        <v>4</v>
      </c>
      <c r="D40" t="s">
        <v>845</v>
      </c>
      <c r="E40" s="5">
        <f>ROW(global!D4)</f>
        <v>4</v>
      </c>
      <c r="F40" s="5">
        <f>COLUMN(global!D4)</f>
        <v>4</v>
      </c>
      <c r="G40" s="5">
        <f>global!D4</f>
        <v>3</v>
      </c>
      <c r="H40" s="9" t="s">
        <v>477</v>
      </c>
      <c r="I40" t="str">
        <f t="shared" si="4"/>
        <v>Sheets("global").Cells((Sheets("macromap").Cells(40, 5)), Sheets("macromap").Cells(40, 6)).Select</v>
      </c>
      <c r="J40" s="9" t="s">
        <v>480</v>
      </c>
      <c r="K40" t="str">
        <f t="shared" si="5"/>
        <v>Let clewcode = Sheets("macromap").Cells(40, 7)</v>
      </c>
    </row>
    <row r="41" spans="2:11" x14ac:dyDescent="0.35">
      <c r="B41" t="s">
        <v>846</v>
      </c>
      <c r="C41">
        <v>4</v>
      </c>
      <c r="D41" t="s">
        <v>845</v>
      </c>
      <c r="E41" s="5">
        <f>ROW(global!G14)</f>
        <v>14</v>
      </c>
      <c r="F41" s="5">
        <f>COLUMN(global!G14)</f>
        <v>7</v>
      </c>
      <c r="G41" s="5">
        <f>global!G14</f>
        <v>1</v>
      </c>
      <c r="H41" s="9" t="s">
        <v>477</v>
      </c>
      <c r="I41" t="str">
        <f t="shared" si="4"/>
        <v>Sheets("global").Cells((Sheets("macromap").Cells(41, 5)), Sheets("macromap").Cells(41, 6)).Select</v>
      </c>
      <c r="J41" s="9" t="s">
        <v>480</v>
      </c>
      <c r="K41" t="str">
        <f t="shared" si="5"/>
        <v>Let brscode = Sheets("macromap").Cells(41, 7)</v>
      </c>
    </row>
    <row r="42" spans="2:11" x14ac:dyDescent="0.35">
      <c r="B42" t="s">
        <v>848</v>
      </c>
      <c r="C42">
        <v>4</v>
      </c>
      <c r="D42" t="s">
        <v>845</v>
      </c>
      <c r="E42" s="5">
        <f>COLUMN(global!J3)</f>
        <v>10</v>
      </c>
      <c r="F42" s="5">
        <f>COLUMN(global!J3)</f>
        <v>10</v>
      </c>
      <c r="G42" s="5">
        <f>global!J3</f>
        <v>3</v>
      </c>
      <c r="H42" s="9" t="s">
        <v>477</v>
      </c>
      <c r="I42" t="str">
        <f t="shared" si="4"/>
        <v>Sheets("global").Cells((Sheets("macromap").Cells(42, 5)), Sheets("macromap").Cells(42, 6)).Select</v>
      </c>
      <c r="J42" s="9" t="s">
        <v>480</v>
      </c>
      <c r="K42" t="str">
        <f t="shared" si="5"/>
        <v>Let defaultclewcode = Sheets("macromap").Cells(42, 7)</v>
      </c>
    </row>
    <row r="43" spans="2:11" x14ac:dyDescent="0.35">
      <c r="B43" t="s">
        <v>849</v>
      </c>
      <c r="D43" t="s">
        <v>449</v>
      </c>
      <c r="E43" s="5">
        <f>ROW(basic!R24)</f>
        <v>24</v>
      </c>
      <c r="F43" s="5">
        <f>COLUMN(basic!R24)</f>
        <v>18</v>
      </c>
      <c r="G43" s="13">
        <f>basic!R24</f>
        <v>45017</v>
      </c>
      <c r="H43" s="9" t="s">
        <v>477</v>
      </c>
      <c r="I43" t="str">
        <f t="shared" si="4"/>
        <v>Sheets("basic").Cells((Sheets("macromap").Cells(43, 5)), Sheets("macromap").Cells(43, 6)).Select</v>
      </c>
      <c r="J43" s="9" t="s">
        <v>480</v>
      </c>
      <c r="K43" t="str">
        <f t="shared" si="5"/>
        <v>Let sol = Sheets("macromap").Cells(43, 7)</v>
      </c>
    </row>
    <row r="44" spans="2:11" x14ac:dyDescent="0.35">
      <c r="B44" t="s">
        <v>850</v>
      </c>
      <c r="D44" t="s">
        <v>449</v>
      </c>
      <c r="E44" s="5">
        <f>ROW(basic!R25)</f>
        <v>25</v>
      </c>
      <c r="F44" s="5">
        <f>COLUMN(basic!R25)</f>
        <v>18</v>
      </c>
      <c r="G44" s="13">
        <f>basic!R25</f>
        <v>46112</v>
      </c>
      <c r="H44" s="9" t="s">
        <v>477</v>
      </c>
      <c r="I44" t="str">
        <f t="shared" si="4"/>
        <v>Sheets("basic").Cells((Sheets("macromap").Cells(44, 5)), Sheets("macromap").Cells(44, 6)).Select</v>
      </c>
      <c r="J44" s="9" t="s">
        <v>480</v>
      </c>
      <c r="K44" t="str">
        <f t="shared" si="5"/>
        <v>Let eol = Sheets("macromap").Cells(44, 7)</v>
      </c>
    </row>
    <row r="45" spans="2:11" x14ac:dyDescent="0.35">
      <c r="B45" t="s">
        <v>851</v>
      </c>
      <c r="D45" t="s">
        <v>449</v>
      </c>
      <c r="E45" s="5">
        <f>ROW(basic!I23)</f>
        <v>23</v>
      </c>
      <c r="F45" s="5">
        <f>COLUMN(basic!I23)</f>
        <v>9</v>
      </c>
      <c r="G45" s="13">
        <f>basic!I23</f>
        <v>45017</v>
      </c>
      <c r="H45" s="9" t="s">
        <v>477</v>
      </c>
      <c r="I45" t="str">
        <f t="shared" si="4"/>
        <v>Sheets("basic").Cells((Sheets("macromap").Cells(45, 5)), Sheets("macromap").Cells(45, 6)).Select</v>
      </c>
      <c r="J45" s="9" t="s">
        <v>480</v>
      </c>
      <c r="K45" t="str">
        <f t="shared" si="5"/>
        <v>Let basicstartdate = Sheets("macromap").Cells(45, 7)</v>
      </c>
    </row>
    <row r="46" spans="2:11" x14ac:dyDescent="0.35">
      <c r="B46" t="s">
        <v>852</v>
      </c>
      <c r="D46" t="s">
        <v>449</v>
      </c>
      <c r="E46" s="5">
        <f>ROW(basic!I24)</f>
        <v>24</v>
      </c>
      <c r="F46" s="5">
        <f>COLUMN(basic!I24)</f>
        <v>9</v>
      </c>
      <c r="G46" s="13">
        <f>basic!I24</f>
        <v>46112</v>
      </c>
      <c r="H46" s="9" t="s">
        <v>477</v>
      </c>
      <c r="I46" t="str">
        <f t="shared" si="4"/>
        <v>Sheets("basic").Cells((Sheets("macromap").Cells(46, 5)), Sheets("macromap").Cells(46, 6)).Select</v>
      </c>
      <c r="J46" s="9" t="s">
        <v>480</v>
      </c>
      <c r="K46" t="str">
        <f t="shared" si="5"/>
        <v>Let basicenddate = Sheets("macromap").Cells(46, 7)</v>
      </c>
    </row>
    <row r="47" spans="2:11" x14ac:dyDescent="0.35">
      <c r="B47" t="s">
        <v>853</v>
      </c>
      <c r="D47" t="s">
        <v>449</v>
      </c>
      <c r="E47" s="5">
        <f>ROW(basic!W21)</f>
        <v>21</v>
      </c>
      <c r="F47" s="5">
        <f>COLUMN(basic!W21)</f>
        <v>23</v>
      </c>
      <c r="G47" s="5" t="b">
        <f>basic!W21</f>
        <v>0</v>
      </c>
      <c r="H47" s="9" t="s">
        <v>477</v>
      </c>
      <c r="I47" t="str">
        <f t="shared" si="4"/>
        <v>Sheets("basic").Cells((Sheets("macromap").Cells(47, 5)), Sheets("macromap").Cells(47, 6)).Select</v>
      </c>
      <c r="J47" s="9" t="s">
        <v>480</v>
      </c>
      <c r="K47" t="str">
        <f t="shared" si="5"/>
        <v>Let basictickempty = Sheets("macromap").Cells(47, 7)</v>
      </c>
    </row>
    <row r="48" spans="2:11" x14ac:dyDescent="0.35">
      <c r="B48" t="s">
        <v>854</v>
      </c>
      <c r="D48" t="s">
        <v>449</v>
      </c>
      <c r="E48" s="5">
        <f>ROW(basic!W22)</f>
        <v>22</v>
      </c>
      <c r="F48" s="5">
        <f>COLUMN(basic!W22)</f>
        <v>23</v>
      </c>
      <c r="G48" s="5" t="b">
        <f>basic!W22</f>
        <v>0</v>
      </c>
      <c r="H48" s="9" t="s">
        <v>477</v>
      </c>
      <c r="I48" t="str">
        <f t="shared" si="4"/>
        <v>Sheets("basic").Cells((Sheets("macromap").Cells(48, 5)), Sheets("macromap").Cells(48, 6)).Select</v>
      </c>
      <c r="J48" s="9" t="s">
        <v>480</v>
      </c>
      <c r="K48" t="str">
        <f t="shared" si="5"/>
        <v>Let basictickcharity = Sheets("macromap").Cells(48, 7)</v>
      </c>
    </row>
    <row r="49" spans="2:11" x14ac:dyDescent="0.35">
      <c r="B49" t="s">
        <v>855</v>
      </c>
      <c r="D49" t="s">
        <v>449</v>
      </c>
      <c r="E49" s="5">
        <f>ROW(basic!W23)</f>
        <v>23</v>
      </c>
      <c r="F49" s="5">
        <f>COLUMN(basic!W23)</f>
        <v>23</v>
      </c>
      <c r="G49" s="5" t="b">
        <f>basic!W23</f>
        <v>0</v>
      </c>
      <c r="H49" s="9" t="s">
        <v>477</v>
      </c>
      <c r="I49" t="str">
        <f t="shared" si="4"/>
        <v>Sheets("basic").Cells((Sheets("macromap").Cells(49, 5)), Sheets("macromap").Cells(49, 6)).Select</v>
      </c>
      <c r="J49" s="9" t="s">
        <v>480</v>
      </c>
      <c r="K49" t="str">
        <f t="shared" si="5"/>
        <v>Let basicticksmall = Sheets("macromap").Cells(49, 7)</v>
      </c>
    </row>
    <row r="50" spans="2:11" x14ac:dyDescent="0.35">
      <c r="B50" t="s">
        <v>857</v>
      </c>
      <c r="D50" t="s">
        <v>449</v>
      </c>
      <c r="E50" s="5">
        <f>ROW(basic!W24)</f>
        <v>24</v>
      </c>
      <c r="F50" s="5">
        <f>COLUMN(basic!W24)</f>
        <v>23</v>
      </c>
      <c r="G50" s="5" t="b">
        <f>basic!W24</f>
        <v>0</v>
      </c>
      <c r="H50" s="9" t="s">
        <v>477</v>
      </c>
      <c r="I50" t="str">
        <f t="shared" ref="I50:I86" si="6">"Sheets("&amp;CHAR(34)&amp;D50&amp;CHAR(34)&amp;").Cells((Sheets(""macromap"").Cells("&amp;ROW(E50)&amp;", "&amp;COLUMN(E50)&amp;")), Sheets(""macromap"").Cells("&amp;ROW(F50)&amp;", "&amp;COLUMN(F50)&amp;")).Select"</f>
        <v>Sheets("basic").Cells((Sheets("macromap").Cells(50, 5)), Sheets("macromap").Cells(50, 6)).Select</v>
      </c>
      <c r="J50" s="9" t="s">
        <v>480</v>
      </c>
      <c r="K50" t="str">
        <f t="shared" ref="K50:K86" si="7">"Let "&amp;B50&amp;" = Sheets("&amp;CHAR(34)&amp;"macromap"&amp;CHAR(34)&amp;").Cells("&amp;ROW(G50)&amp;", "&amp;COLUMN(G50)&amp;")"</f>
        <v>Let basictickretail = Sheets("macromap").Cells(50, 7)</v>
      </c>
    </row>
    <row r="51" spans="2:11" x14ac:dyDescent="0.35">
      <c r="B51" t="s">
        <v>858</v>
      </c>
      <c r="D51" t="s">
        <v>449</v>
      </c>
      <c r="E51" s="5">
        <f>ROW(basic!W25)</f>
        <v>25</v>
      </c>
      <c r="F51" s="5">
        <f>COLUMN(basic!W25)</f>
        <v>23</v>
      </c>
      <c r="G51" s="5" t="b">
        <f>basic!W25</f>
        <v>0</v>
      </c>
      <c r="H51" s="9" t="s">
        <v>477</v>
      </c>
      <c r="I51" t="str">
        <f t="shared" si="6"/>
        <v>Sheets("basic").Cells((Sheets("macromap").Cells(51, 5)), Sheets("macromap").Cells(51, 6)).Select</v>
      </c>
      <c r="J51" s="9" t="s">
        <v>480</v>
      </c>
      <c r="K51" t="str">
        <f t="shared" si="7"/>
        <v>Let basictickuserbl = Sheets("macromap").Cells(51, 7)</v>
      </c>
    </row>
    <row r="52" spans="2:11" x14ac:dyDescent="0.35">
      <c r="B52" t="s">
        <v>859</v>
      </c>
      <c r="D52" t="s">
        <v>449</v>
      </c>
      <c r="E52" s="5">
        <f>ROW(basic!$H$9)</f>
        <v>9</v>
      </c>
      <c r="F52" s="5">
        <f>COLUMN(basic!$H$9)</f>
        <v>8</v>
      </c>
      <c r="G52" s="15">
        <f>basic!$H$9</f>
        <v>0</v>
      </c>
      <c r="H52" s="9" t="s">
        <v>477</v>
      </c>
      <c r="I52" t="str">
        <f t="shared" si="6"/>
        <v>Sheets("basic").Cells((Sheets("macromap").Cells(52, 5)), Sheets("macromap").Cells(52, 6)).Select</v>
      </c>
      <c r="J52" s="9" t="s">
        <v>480</v>
      </c>
      <c r="K52" t="str">
        <f t="shared" si="7"/>
        <v>Let basicuserblvalue = Sheets("macromap").Cells(52, 7)</v>
      </c>
    </row>
    <row r="53" spans="2:11" x14ac:dyDescent="0.35">
      <c r="B53" t="s">
        <v>1346</v>
      </c>
      <c r="D53" t="s">
        <v>1347</v>
      </c>
      <c r="E53" s="5">
        <f>ROW('basic output'!I7)</f>
        <v>7</v>
      </c>
      <c r="F53" s="5">
        <f>COLUMN('basic output'!I7)</f>
        <v>9</v>
      </c>
      <c r="G53" s="355">
        <f ca="1">'basic output'!I7</f>
        <v>46155</v>
      </c>
      <c r="H53" s="9" t="s">
        <v>477</v>
      </c>
      <c r="I53" t="str">
        <f t="shared" si="6"/>
        <v>Sheets("basic output").Cells((Sheets("macromap").Cells(53, 5)), Sheets("macromap").Cells(53, 6)).Select</v>
      </c>
      <c r="J53" s="9" t="s">
        <v>480</v>
      </c>
      <c r="K53" t="str">
        <f t="shared" si="7"/>
        <v>Let basicoutputhome = Sheets("macromap").Cells(53, 7)</v>
      </c>
    </row>
    <row r="54" spans="2:11" x14ac:dyDescent="0.35">
      <c r="B54" t="s">
        <v>1351</v>
      </c>
      <c r="D54" t="s">
        <v>449</v>
      </c>
      <c r="E54" s="5">
        <f>ROW(basic!W23)</f>
        <v>23</v>
      </c>
      <c r="F54" s="5">
        <f>COLUMN(basic!W23)</f>
        <v>23</v>
      </c>
      <c r="G54" s="5" t="b">
        <f>basic!W23</f>
        <v>0</v>
      </c>
      <c r="H54" s="9" t="s">
        <v>477</v>
      </c>
      <c r="I54" t="str">
        <f t="shared" si="6"/>
        <v>Sheets("basic").Cells((Sheets("macromap").Cells(54, 5)), Sheets("macromap").Cells(54, 6)).Select</v>
      </c>
      <c r="J54" s="9" t="s">
        <v>480</v>
      </c>
      <c r="K54" t="str">
        <f t="shared" si="7"/>
        <v>Let basicsbrrtick = Sheets("macromap").Cells(54, 7)</v>
      </c>
    </row>
    <row r="55" spans="2:11" x14ac:dyDescent="0.35">
      <c r="B55" t="s">
        <v>1352</v>
      </c>
      <c r="D55" t="s">
        <v>449</v>
      </c>
      <c r="E55" s="5">
        <f>ROW(basic!S16)</f>
        <v>16</v>
      </c>
      <c r="F55" s="5">
        <f>COLUMN(basic!S16)</f>
        <v>19</v>
      </c>
      <c r="G55" s="5" t="b">
        <f>basic!S16</f>
        <v>0</v>
      </c>
      <c r="H55" s="9" t="s">
        <v>477</v>
      </c>
      <c r="I55" t="str">
        <f t="shared" si="6"/>
        <v>Sheets("basic").Cells((Sheets("macromap").Cells(55, 5)), Sheets("macromap").Cells(55, 6)).Select</v>
      </c>
      <c r="J55" s="9" t="s">
        <v>480</v>
      </c>
      <c r="K55" t="str">
        <f t="shared" si="7"/>
        <v>Let basicsbrqualifier = Sheets("macromap").Cells(55, 7)</v>
      </c>
    </row>
    <row r="56" spans="2:11" x14ac:dyDescent="0.35">
      <c r="B56" t="s">
        <v>1354</v>
      </c>
      <c r="D56" t="s">
        <v>449</v>
      </c>
      <c r="E56" s="5">
        <f>ROW(basic!W24)</f>
        <v>24</v>
      </c>
      <c r="F56" s="5">
        <f>COLUMN(basic!W24)</f>
        <v>23</v>
      </c>
      <c r="G56" s="5" t="b">
        <f>basic!W24</f>
        <v>0</v>
      </c>
      <c r="H56" s="9" t="s">
        <v>477</v>
      </c>
      <c r="I56" t="str">
        <f t="shared" si="6"/>
        <v>Sheets("basic").Cells((Sheets("macromap").Cells(56, 5)), Sheets("macromap").Cells(56, 6)).Select</v>
      </c>
      <c r="J56" s="9" t="s">
        <v>480</v>
      </c>
      <c r="K56" t="str">
        <f t="shared" si="7"/>
        <v>Let basicretailtick = Sheets("macromap").Cells(56, 7)</v>
      </c>
    </row>
    <row r="57" spans="2:11" x14ac:dyDescent="0.35">
      <c r="B57" t="s">
        <v>1355</v>
      </c>
      <c r="D57" t="s">
        <v>449</v>
      </c>
      <c r="E57" s="5">
        <f>ROW(basic!S17)</f>
        <v>17</v>
      </c>
      <c r="F57" s="5">
        <f>COLUMN(basic!S17)</f>
        <v>19</v>
      </c>
      <c r="G57" s="5" t="b">
        <f>basic!S17</f>
        <v>1</v>
      </c>
      <c r="H57" s="9" t="s">
        <v>477</v>
      </c>
      <c r="I57" t="str">
        <f t="shared" si="6"/>
        <v>Sheets("basic").Cells((Sheets("macromap").Cells(57, 5)), Sheets("macromap").Cells(57, 6)).Select</v>
      </c>
      <c r="J57" s="9" t="s">
        <v>480</v>
      </c>
      <c r="K57" t="str">
        <f t="shared" si="7"/>
        <v>Let basicretailqualifier = Sheets("macromap").Cells(57, 7)</v>
      </c>
    </row>
    <row r="58" spans="2:11" x14ac:dyDescent="0.35">
      <c r="B58" t="s">
        <v>61</v>
      </c>
      <c r="D58" t="s">
        <v>62</v>
      </c>
      <c r="E58" s="5">
        <f>ROW('ta analysis original yr1'!H4)</f>
        <v>4</v>
      </c>
      <c r="F58" s="5">
        <f>COLUMN('ta analysis original yr1'!A4)</f>
        <v>1</v>
      </c>
      <c r="H58" s="9" t="s">
        <v>477</v>
      </c>
      <c r="I58" t="str">
        <f t="shared" si="6"/>
        <v>Sheets("ta analysis original yr1").Cells((Sheets("macromap").Cells(58, 5)), Sheets("macromap").Cells(58, 6)).Select</v>
      </c>
      <c r="J58" s="9" t="s">
        <v>480</v>
      </c>
      <c r="K58" t="str">
        <f t="shared" si="7"/>
        <v>Let transanalysisorghome = Sheets("macromap").Cells(58, 7)</v>
      </c>
    </row>
    <row r="59" spans="2:11" x14ac:dyDescent="0.35">
      <c r="B59" t="s">
        <v>210</v>
      </c>
      <c r="D59" t="s">
        <v>211</v>
      </c>
      <c r="E59" s="5">
        <f>ROW('folder settings'!C12)</f>
        <v>12</v>
      </c>
      <c r="F59" s="5">
        <f>COLUMN('folder settings'!C12)</f>
        <v>3</v>
      </c>
      <c r="G59" s="5" t="str">
        <f>'folder settings'!C12</f>
        <v>Calcurate Saved Calculations</v>
      </c>
      <c r="H59" s="9" t="s">
        <v>477</v>
      </c>
      <c r="I59" t="str">
        <f t="shared" si="6"/>
        <v>Sheets("folder settings").Cells((Sheets("macromap").Cells(59, 5)), Sheets("macromap").Cells(59, 6)).Select</v>
      </c>
      <c r="J59" s="9" t="s">
        <v>480</v>
      </c>
      <c r="K59" t="str">
        <f t="shared" si="7"/>
        <v>Let foldersettingshome = Sheets("macromap").Cells(59, 7)</v>
      </c>
    </row>
    <row r="60" spans="2:11" x14ac:dyDescent="0.35">
      <c r="B60" t="s">
        <v>213</v>
      </c>
      <c r="D60" t="s">
        <v>211</v>
      </c>
      <c r="E60" s="5">
        <f>ROW('folder settings'!C13)</f>
        <v>13</v>
      </c>
      <c r="F60" s="5">
        <f>COLUMN('folder settings'!C13)</f>
        <v>3</v>
      </c>
      <c r="G60" s="5" t="str">
        <f>'folder settings'!C13</f>
        <v/>
      </c>
      <c r="H60" s="9" t="s">
        <v>477</v>
      </c>
      <c r="I60" t="str">
        <f t="shared" si="6"/>
        <v>Sheets("folder settings").Cells((Sheets("macromap").Cells(60, 5)), Sheets("macromap").Cells(60, 6)).Select</v>
      </c>
      <c r="J60" s="9" t="s">
        <v>480</v>
      </c>
      <c r="K60" t="str">
        <f t="shared" si="7"/>
        <v>Let foldererrormessage = Sheets("macromap").Cells(60, 7)</v>
      </c>
    </row>
    <row r="61" spans="2:11" x14ac:dyDescent="0.35">
      <c r="B61" t="s">
        <v>214</v>
      </c>
      <c r="D61" t="s">
        <v>211</v>
      </c>
      <c r="E61" s="5">
        <f>ROW('folder settings'!N23)</f>
        <v>23</v>
      </c>
      <c r="F61" s="5">
        <f>COLUMN('folder settings'!N23)</f>
        <v>14</v>
      </c>
      <c r="G61" s="5" t="b">
        <f>'folder settings'!N23</f>
        <v>0</v>
      </c>
      <c r="H61" s="9" t="s">
        <v>477</v>
      </c>
      <c r="I61" t="str">
        <f t="shared" si="6"/>
        <v>Sheets("folder settings").Cells((Sheets("macromap").Cells(61, 5)), Sheets("macromap").Cells(61, 6)).Select</v>
      </c>
      <c r="J61" s="9" t="s">
        <v>480</v>
      </c>
      <c r="K61" t="str">
        <f t="shared" si="7"/>
        <v>Let foldererrorindicator = Sheets("macromap").Cells(61, 7)</v>
      </c>
    </row>
    <row r="62" spans="2:11" x14ac:dyDescent="0.35">
      <c r="B62" t="s">
        <v>216</v>
      </c>
      <c r="D62" t="s">
        <v>449</v>
      </c>
      <c r="E62" s="5">
        <f>ROW(basic!S28)</f>
        <v>28</v>
      </c>
      <c r="F62" s="5">
        <f>COLUMN(basic!S28)</f>
        <v>19</v>
      </c>
      <c r="G62" s="5" t="b">
        <f>basic!S28</f>
        <v>1</v>
      </c>
      <c r="H62" s="9" t="s">
        <v>477</v>
      </c>
      <c r="I62" t="str">
        <f t="shared" si="6"/>
        <v>Sheets("basic").Cells((Sheets("macromap").Cells(62, 5)), Sheets("macromap").Cells(62, 6)).Select</v>
      </c>
      <c r="J62" s="9" t="s">
        <v>480</v>
      </c>
      <c r="K62" t="str">
        <f t="shared" si="7"/>
        <v>Let basicconfirmimport = Sheets("macromap").Cells(62, 7)</v>
      </c>
    </row>
    <row r="63" spans="2:11" x14ac:dyDescent="0.35">
      <c r="B63" t="s">
        <v>218</v>
      </c>
      <c r="D63" t="s">
        <v>211</v>
      </c>
      <c r="E63" s="5">
        <f>ROW('folder settings'!F15)</f>
        <v>15</v>
      </c>
      <c r="F63" s="5">
        <f>COLUMN('folder settings'!F15)</f>
        <v>6</v>
      </c>
      <c r="G63" s="5" t="str">
        <f>'folder settings'!F15</f>
        <v>yes</v>
      </c>
      <c r="H63" s="9" t="s">
        <v>477</v>
      </c>
      <c r="I63" t="str">
        <f t="shared" si="6"/>
        <v>Sheets("folder settings").Cells((Sheets("macromap").Cells(63, 5)), Sheets("macromap").Cells(63, 6)).Select</v>
      </c>
      <c r="J63" s="9" t="s">
        <v>480</v>
      </c>
      <c r="K63" t="str">
        <f t="shared" si="7"/>
        <v>Let openaftersaving = Sheets("macromap").Cells(63, 7)</v>
      </c>
    </row>
    <row r="64" spans="2:11" x14ac:dyDescent="0.35">
      <c r="B64" t="s">
        <v>219</v>
      </c>
      <c r="D64" t="s">
        <v>211</v>
      </c>
      <c r="E64" s="5">
        <f>ROW('folder settings'!F14)</f>
        <v>14</v>
      </c>
      <c r="F64" s="5">
        <f>COLUMN('folder settings'!F14)</f>
        <v>6</v>
      </c>
      <c r="G64" s="5" t="str">
        <f>'folder settings'!F14</f>
        <v>no</v>
      </c>
      <c r="H64" s="9" t="s">
        <v>477</v>
      </c>
      <c r="I64" t="str">
        <f t="shared" si="6"/>
        <v>Sheets("folder settings").Cells((Sheets("macromap").Cells(64, 5)), Sheets("macromap").Cells(64, 6)).Select</v>
      </c>
      <c r="J64" s="9" t="s">
        <v>480</v>
      </c>
      <c r="K64" t="str">
        <f t="shared" si="7"/>
        <v>Let selectownfolder = Sheets("macromap").Cells(64, 7)</v>
      </c>
    </row>
    <row r="65" spans="2:11" x14ac:dyDescent="0.35">
      <c r="B65" t="s">
        <v>2359</v>
      </c>
      <c r="C65">
        <v>3</v>
      </c>
      <c r="D65" t="s">
        <v>2659</v>
      </c>
      <c r="E65" s="5">
        <f>ROW('basic client report'!A1)</f>
        <v>1</v>
      </c>
      <c r="F65" s="5">
        <f>COLUMN('basic client report'!A1)</f>
        <v>1</v>
      </c>
      <c r="H65" s="9" t="s">
        <v>477</v>
      </c>
      <c r="I65" t="str">
        <f t="shared" si="6"/>
        <v>Sheets("basic client report").Cells((Sheets("macromap").Cells(65, 5)), Sheets("macromap").Cells(65, 6)).Select</v>
      </c>
      <c r="J65" s="9" t="s">
        <v>480</v>
      </c>
      <c r="K65" t="str">
        <f t="shared" si="7"/>
        <v>Let basicclientreporthome = Sheets("macromap").Cells(65, 7)</v>
      </c>
    </row>
    <row r="66" spans="2:11" x14ac:dyDescent="0.35">
      <c r="B66" t="s">
        <v>2371</v>
      </c>
      <c r="C66">
        <v>3</v>
      </c>
      <c r="D66" t="s">
        <v>449</v>
      </c>
      <c r="E66" s="5">
        <f>ROW(basic!V30)</f>
        <v>30</v>
      </c>
      <c r="F66" s="5">
        <f>COLUMN(basic!V30)</f>
        <v>22</v>
      </c>
      <c r="G66" s="5" t="b">
        <f ca="1">basic!V30</f>
        <v>1</v>
      </c>
      <c r="H66" s="9" t="s">
        <v>477</v>
      </c>
      <c r="I66" t="str">
        <f t="shared" si="6"/>
        <v>Sheets("basic").Cells((Sheets("macromap").Cells(66, 5)), Sheets("macromap").Cells(66, 6)).Select</v>
      </c>
      <c r="J66" s="9" t="s">
        <v>480</v>
      </c>
      <c r="K66" t="str">
        <f t="shared" si="7"/>
        <v>Let basicallOK = Sheets("macromap").Cells(66, 7)</v>
      </c>
    </row>
    <row r="67" spans="2:11" x14ac:dyDescent="0.35">
      <c r="B67" t="s">
        <v>2395</v>
      </c>
      <c r="C67">
        <v>3</v>
      </c>
      <c r="D67" t="s">
        <v>449</v>
      </c>
      <c r="E67" s="5">
        <f>ROW(basic!D11)</f>
        <v>11</v>
      </c>
      <c r="F67" s="5">
        <f>COLUMN(basic!D11)</f>
        <v>4</v>
      </c>
      <c r="G67" s="5" t="str">
        <f ca="1">basic!D11</f>
        <v>Please Enter the RV's Where Indicated Above</v>
      </c>
      <c r="H67" s="9" t="s">
        <v>477</v>
      </c>
      <c r="I67" t="str">
        <f t="shared" si="6"/>
        <v>Sheets("basic").Cells((Sheets("macromap").Cells(67, 5)), Sheets("macromap").Cells(67, 6)).Select</v>
      </c>
      <c r="J67" s="9" t="s">
        <v>480</v>
      </c>
      <c r="K67" t="str">
        <f t="shared" si="7"/>
        <v>Let basicerrormessage = Sheets("macromap").Cells(67, 7)</v>
      </c>
    </row>
    <row r="68" spans="2:11" x14ac:dyDescent="0.35">
      <c r="B68" t="s">
        <v>2407</v>
      </c>
      <c r="C68">
        <v>3</v>
      </c>
      <c r="D68" t="s">
        <v>2408</v>
      </c>
      <c r="E68" s="5">
        <f>ROW('basic analysis original'!$L$2)</f>
        <v>2</v>
      </c>
      <c r="F68" s="5">
        <f>COLUMN('basic analysis original'!$L$2)</f>
        <v>12</v>
      </c>
      <c r="G68" s="5">
        <f>'basic analysis original'!$L$2</f>
        <v>0</v>
      </c>
      <c r="H68" s="9" t="s">
        <v>477</v>
      </c>
      <c r="I68" t="str">
        <f t="shared" si="6"/>
        <v>Sheets("basic analysis original").Cells((Sheets("macromap").Cells(68, 5)), Sheets("macromap").Cells(68, 6)).Select</v>
      </c>
      <c r="J68" s="9" t="s">
        <v>480</v>
      </c>
      <c r="K68" t="str">
        <f t="shared" si="7"/>
        <v>Let basicanalysisorighome = Sheets("macromap").Cells(68, 7)</v>
      </c>
    </row>
    <row r="69" spans="2:11" x14ac:dyDescent="0.35">
      <c r="B69" t="s">
        <v>2411</v>
      </c>
      <c r="C69">
        <v>4</v>
      </c>
      <c r="D69" t="s">
        <v>2412</v>
      </c>
      <c r="E69" s="5">
        <f>ROW('basic analysis revised'!$L$2)</f>
        <v>2</v>
      </c>
      <c r="F69" s="5">
        <f>COLUMN('basic analysis revised'!$L$2)</f>
        <v>12</v>
      </c>
      <c r="G69" s="5">
        <f>'basic analysis revised'!$L$2</f>
        <v>0</v>
      </c>
      <c r="H69" s="9" t="s">
        <v>477</v>
      </c>
      <c r="I69" t="str">
        <f t="shared" si="6"/>
        <v>Sheets("basic analysis revised").Cells((Sheets("macromap").Cells(69, 5)), Sheets("macromap").Cells(69, 6)).Select</v>
      </c>
      <c r="J69" s="9" t="s">
        <v>480</v>
      </c>
      <c r="K69" t="str">
        <f t="shared" si="7"/>
        <v>Let basicanalysisrevisedhome = Sheets("macromap").Cells(69, 7)</v>
      </c>
    </row>
    <row r="70" spans="2:11" x14ac:dyDescent="0.35">
      <c r="B70" t="s">
        <v>2104</v>
      </c>
      <c r="D70" t="s">
        <v>449</v>
      </c>
      <c r="E70" s="5">
        <f>ROW(basic!R10)</f>
        <v>10</v>
      </c>
      <c r="F70" s="5">
        <f>COLUMN(basic!R10)</f>
        <v>18</v>
      </c>
      <c r="G70" s="5" t="b">
        <f>basic!R10</f>
        <v>1</v>
      </c>
      <c r="H70" s="9" t="s">
        <v>477</v>
      </c>
      <c r="I70" t="str">
        <f t="shared" si="6"/>
        <v>Sheets("basic").Cells((Sheets("macromap").Cells(70, 5)), Sheets("macromap").Cells(70, 6)).Select</v>
      </c>
      <c r="J70" s="9" t="s">
        <v>480</v>
      </c>
      <c r="K70" t="str">
        <f t="shared" si="7"/>
        <v>Let brscheck = Sheets("macromap").Cells(70, 7)</v>
      </c>
    </row>
    <row r="71" spans="2:11" x14ac:dyDescent="0.35">
      <c r="B71" t="s">
        <v>498</v>
      </c>
      <c r="D71" t="s">
        <v>691</v>
      </c>
      <c r="E71" s="5">
        <f>ROW(advanced!V13)</f>
        <v>13</v>
      </c>
      <c r="F71" s="5">
        <f>COLUMN(advanced!V13)</f>
        <v>22</v>
      </c>
      <c r="G71" s="5" t="b">
        <f>advanced!V13</f>
        <v>0</v>
      </c>
      <c r="H71" s="9" t="s">
        <v>477</v>
      </c>
      <c r="I71" t="str">
        <f t="shared" si="6"/>
        <v>Sheets("advanced").Cells((Sheets("macromap").Cells(71, 5)), Sheets("macromap").Cells(71, 6)).Select</v>
      </c>
      <c r="J71" s="9" t="s">
        <v>480</v>
      </c>
      <c r="K71" t="str">
        <f t="shared" si="7"/>
        <v>Let user_bl_advanced_o_tick = Sheets("macromap").Cells(71, 7)</v>
      </c>
    </row>
    <row r="72" spans="2:11" x14ac:dyDescent="0.35">
      <c r="B72" t="s">
        <v>501</v>
      </c>
      <c r="D72" t="s">
        <v>691</v>
      </c>
      <c r="E72" s="5">
        <f>ROW(advanced!H13)</f>
        <v>13</v>
      </c>
      <c r="F72" s="5">
        <f>COLUMN(advanced!H13)</f>
        <v>8</v>
      </c>
      <c r="G72" s="5">
        <f>advanced!H13</f>
        <v>0</v>
      </c>
      <c r="H72" s="9" t="s">
        <v>477</v>
      </c>
      <c r="I72" t="str">
        <f t="shared" si="6"/>
        <v>Sheets("advanced").Cells((Sheets("macromap").Cells(72, 5)), Sheets("macromap").Cells(72, 6)).Select</v>
      </c>
      <c r="J72" s="9" t="s">
        <v>480</v>
      </c>
      <c r="K72" t="str">
        <f t="shared" si="7"/>
        <v>Let user_bl_advanced_o_value = Sheets("macromap").Cells(72, 7)</v>
      </c>
    </row>
    <row r="73" spans="2:11" x14ac:dyDescent="0.35">
      <c r="B73" t="s">
        <v>499</v>
      </c>
      <c r="D73" t="s">
        <v>691</v>
      </c>
      <c r="E73" s="5">
        <f>ROW(advanced!W13)</f>
        <v>13</v>
      </c>
      <c r="F73" s="5">
        <f>COLUMN(advanced!W13)</f>
        <v>23</v>
      </c>
      <c r="G73" s="5" t="b">
        <f>advanced!W13</f>
        <v>0</v>
      </c>
      <c r="H73" s="9" t="s">
        <v>477</v>
      </c>
      <c r="I73" t="str">
        <f t="shared" si="6"/>
        <v>Sheets("advanced").Cells((Sheets("macromap").Cells(73, 5)), Sheets("macromap").Cells(73, 6)).Select</v>
      </c>
      <c r="J73" s="9" t="s">
        <v>480</v>
      </c>
      <c r="K73" t="str">
        <f t="shared" si="7"/>
        <v>Let user_bl_advanced_r_tick = Sheets("macromap").Cells(73, 7)</v>
      </c>
    </row>
    <row r="74" spans="2:11" x14ac:dyDescent="0.35">
      <c r="B74" t="s">
        <v>500</v>
      </c>
      <c r="D74" t="s">
        <v>691</v>
      </c>
      <c r="E74" s="5">
        <f>ROW(advanced!N13)</f>
        <v>13</v>
      </c>
      <c r="F74" s="5">
        <f>COLUMN(advanced!N13)</f>
        <v>14</v>
      </c>
      <c r="G74" s="5">
        <f>advanced!N13</f>
        <v>0</v>
      </c>
      <c r="H74" s="9" t="s">
        <v>477</v>
      </c>
      <c r="I74" t="str">
        <f t="shared" si="6"/>
        <v>Sheets("advanced").Cells((Sheets("macromap").Cells(74, 5)), Sheets("macromap").Cells(74, 6)).Select</v>
      </c>
      <c r="J74" s="9" t="s">
        <v>480</v>
      </c>
      <c r="K74" t="str">
        <f t="shared" si="7"/>
        <v>Let user_bl_advanced_r_value = Sheets("macromap").Cells(74, 7)</v>
      </c>
    </row>
    <row r="75" spans="2:11" x14ac:dyDescent="0.35">
      <c r="B75" t="s">
        <v>1942</v>
      </c>
      <c r="D75" t="s">
        <v>691</v>
      </c>
      <c r="E75" s="5">
        <f>ROW(advanced!AJ7)</f>
        <v>7</v>
      </c>
      <c r="F75" s="5">
        <f>COLUMN(advanced!AJ7)</f>
        <v>36</v>
      </c>
      <c r="G75" s="5" t="b">
        <f>advanced!AJ7</f>
        <v>0</v>
      </c>
      <c r="H75" s="9" t="s">
        <v>477</v>
      </c>
      <c r="I75" t="str">
        <f t="shared" si="6"/>
        <v>Sheets("advanced").Cells((Sheets("macromap").Cells(75, 5)), Sheets("macromap").Cells(75, 6)).Select</v>
      </c>
      <c r="J75" s="9" t="s">
        <v>480</v>
      </c>
      <c r="K75" t="str">
        <f t="shared" si="7"/>
        <v>Let adv_o_charitytick = Sheets("macromap").Cells(75, 7)</v>
      </c>
    </row>
    <row r="76" spans="2:11" x14ac:dyDescent="0.35">
      <c r="B76" t="s">
        <v>1943</v>
      </c>
      <c r="D76" t="s">
        <v>691</v>
      </c>
      <c r="E76" s="5">
        <f>ROW(advanced!I11)</f>
        <v>11</v>
      </c>
      <c r="F76" s="5">
        <f>COLUMN(advanced!I11)</f>
        <v>9</v>
      </c>
      <c r="G76" s="1049">
        <f>advanced!I11</f>
        <v>1</v>
      </c>
      <c r="H76" s="9" t="s">
        <v>477</v>
      </c>
      <c r="I76" t="str">
        <f t="shared" si="6"/>
        <v>Sheets("advanced").Cells((Sheets("macromap").Cells(76, 5)), Sheets("macromap").Cells(76, 6)).Select</v>
      </c>
      <c r="J76" s="9" t="s">
        <v>480</v>
      </c>
      <c r="K76" t="str">
        <f t="shared" si="7"/>
        <v>Let adv_o_perc = Sheets("macromap").Cells(76, 7)</v>
      </c>
    </row>
    <row r="77" spans="2:11" x14ac:dyDescent="0.35">
      <c r="B77" t="s">
        <v>1944</v>
      </c>
      <c r="D77" t="s">
        <v>691</v>
      </c>
      <c r="E77" s="5">
        <f>ROW(advanced!AK7)</f>
        <v>7</v>
      </c>
      <c r="F77" s="5">
        <f>COLUMN(advanced!AK7)</f>
        <v>37</v>
      </c>
      <c r="G77" s="5" t="b">
        <f>advanced!AK7</f>
        <v>0</v>
      </c>
      <c r="H77" s="9" t="s">
        <v>477</v>
      </c>
      <c r="I77" t="str">
        <f t="shared" si="6"/>
        <v>Sheets("advanced").Cells((Sheets("macromap").Cells(77, 5)), Sheets("macromap").Cells(77, 6)).Select</v>
      </c>
      <c r="J77" s="9" t="s">
        <v>480</v>
      </c>
      <c r="K77" t="str">
        <f t="shared" si="7"/>
        <v>Let adv_r_charitytick = Sheets("macromap").Cells(77, 7)</v>
      </c>
    </row>
    <row r="78" spans="2:11" x14ac:dyDescent="0.35">
      <c r="B78" t="s">
        <v>1945</v>
      </c>
      <c r="D78" t="s">
        <v>691</v>
      </c>
      <c r="E78" s="5">
        <f>ROW(advanced!M11)</f>
        <v>11</v>
      </c>
      <c r="F78" s="5">
        <f>COLUMN(advanced!M11)</f>
        <v>13</v>
      </c>
      <c r="G78" s="1049">
        <f>advanced!M11</f>
        <v>1</v>
      </c>
      <c r="H78" s="9" t="s">
        <v>477</v>
      </c>
      <c r="I78" t="str">
        <f t="shared" si="6"/>
        <v>Sheets("advanced").Cells((Sheets("macromap").Cells(78, 5)), Sheets("macromap").Cells(78, 6)).Select</v>
      </c>
      <c r="J78" s="9" t="s">
        <v>480</v>
      </c>
      <c r="K78" t="str">
        <f t="shared" si="7"/>
        <v>Let adv_r_perc = Sheets("macromap").Cells(78, 7)</v>
      </c>
    </row>
    <row r="79" spans="2:11" x14ac:dyDescent="0.35">
      <c r="B79" t="s">
        <v>1000</v>
      </c>
      <c r="C79">
        <v>8</v>
      </c>
      <c r="D79" t="s">
        <v>691</v>
      </c>
      <c r="E79" s="5">
        <f>ROW(advanced!M9)</f>
        <v>9</v>
      </c>
      <c r="F79" s="5">
        <f>COLUMN(advanced!M9)</f>
        <v>13</v>
      </c>
      <c r="G79" s="27">
        <f>advanced!M9</f>
        <v>0</v>
      </c>
      <c r="H79" s="9" t="s">
        <v>477</v>
      </c>
      <c r="I79" t="str">
        <f t="shared" si="6"/>
        <v>Sheets("advanced").Cells((Sheets("macromap").Cells(79, 5)), Sheets("macromap").Cells(79, 6)).Select</v>
      </c>
      <c r="J79" s="9" t="s">
        <v>480</v>
      </c>
      <c r="K79" t="str">
        <f t="shared" si="7"/>
        <v>Let plrevisedrvonadvanced = Sheets("macromap").Cells(79, 7)</v>
      </c>
    </row>
    <row r="80" spans="2:11" x14ac:dyDescent="0.35">
      <c r="B80" t="s">
        <v>1001</v>
      </c>
      <c r="D80" t="s">
        <v>691</v>
      </c>
      <c r="E80" s="5">
        <f>ROW(advanced!H70)</f>
        <v>70</v>
      </c>
      <c r="F80" s="5">
        <f>COLUMN(advanced!H70)</f>
        <v>8</v>
      </c>
      <c r="G80" s="13">
        <f>advanced!H70</f>
        <v>0</v>
      </c>
      <c r="H80" s="9" t="s">
        <v>477</v>
      </c>
      <c r="I80" t="str">
        <f t="shared" si="6"/>
        <v>Sheets("advanced").Cells((Sheets("macromap").Cells(80, 5)), Sheets("macromap").Cells(80, 6)).Select</v>
      </c>
      <c r="J80" s="9" t="s">
        <v>480</v>
      </c>
      <c r="K80" t="str">
        <f t="shared" si="7"/>
        <v>Let advancedfirstdate = Sheets("macromap").Cells(80, 7)</v>
      </c>
    </row>
    <row r="81" spans="2:11" x14ac:dyDescent="0.35">
      <c r="B81" t="s">
        <v>1002</v>
      </c>
      <c r="D81" t="s">
        <v>691</v>
      </c>
      <c r="E81" s="5">
        <f>ROW(advanced!I11)</f>
        <v>11</v>
      </c>
      <c r="F81" s="5">
        <f>COLUMN(advanced!I11)</f>
        <v>9</v>
      </c>
      <c r="G81" s="1049">
        <f>advanced!I11</f>
        <v>1</v>
      </c>
      <c r="H81" s="9" t="s">
        <v>477</v>
      </c>
      <c r="I81" t="str">
        <f t="shared" si="6"/>
        <v>Sheets("advanced").Cells((Sheets("macromap").Cells(81, 5)), Sheets("macromap").Cells(81, 6)).Select</v>
      </c>
      <c r="J81" s="9" t="s">
        <v>480</v>
      </c>
      <c r="K81" t="str">
        <f t="shared" si="7"/>
        <v>Let advancedtopperc = Sheets("macromap").Cells(81, 7)</v>
      </c>
    </row>
    <row r="82" spans="2:11" x14ac:dyDescent="0.35">
      <c r="B82" t="s">
        <v>1003</v>
      </c>
      <c r="D82" t="s">
        <v>691</v>
      </c>
      <c r="E82" s="5">
        <f>ROW(advanced!I12)</f>
        <v>12</v>
      </c>
      <c r="F82" s="5">
        <f>COLUMN(advanced!I12)</f>
        <v>9</v>
      </c>
      <c r="G82" s="1049" t="str">
        <f>advanced!I12</f>
        <v>n</v>
      </c>
      <c r="H82" s="9" t="s">
        <v>477</v>
      </c>
      <c r="I82" t="str">
        <f t="shared" si="6"/>
        <v>Sheets("advanced").Cells((Sheets("macromap").Cells(82, 5)), Sheets("macromap").Cells(82, 6)).Select</v>
      </c>
      <c r="J82" s="9" t="s">
        <v>480</v>
      </c>
      <c r="K82" t="str">
        <f t="shared" si="7"/>
        <v>Let advancedtopvac = Sheets("macromap").Cells(82, 7)</v>
      </c>
    </row>
    <row r="83" spans="2:11" x14ac:dyDescent="0.35">
      <c r="B83" t="s">
        <v>1004</v>
      </c>
      <c r="D83" t="s">
        <v>691</v>
      </c>
      <c r="E83" s="5">
        <f>ROW(advanced!M11)</f>
        <v>11</v>
      </c>
      <c r="F83" s="5">
        <f>COLUMN(advanced!M11)</f>
        <v>13</v>
      </c>
      <c r="G83" s="1049">
        <f>advanced!IM11</f>
        <v>0</v>
      </c>
      <c r="H83" s="9" t="s">
        <v>477</v>
      </c>
      <c r="I83" t="str">
        <f t="shared" si="6"/>
        <v>Sheets("advanced").Cells((Sheets("macromap").Cells(83, 5)), Sheets("macromap").Cells(83, 6)).Select</v>
      </c>
      <c r="J83" s="9" t="s">
        <v>480</v>
      </c>
      <c r="K83" t="str">
        <f t="shared" si="7"/>
        <v>Let advancedtoppercrevised = Sheets("macromap").Cells(83, 7)</v>
      </c>
    </row>
    <row r="84" spans="2:11" x14ac:dyDescent="0.35">
      <c r="B84" t="s">
        <v>1005</v>
      </c>
      <c r="D84" t="s">
        <v>691</v>
      </c>
      <c r="E84" s="5">
        <f>ROW(advanced!M12)</f>
        <v>12</v>
      </c>
      <c r="F84" s="5">
        <f>COLUMN(advanced!M12)</f>
        <v>13</v>
      </c>
      <c r="G84" s="1049">
        <f>advanced!IM12</f>
        <v>0</v>
      </c>
      <c r="H84" s="9" t="s">
        <v>477</v>
      </c>
      <c r="I84" t="str">
        <f t="shared" si="6"/>
        <v>Sheets("advanced").Cells((Sheets("macromap").Cells(84, 5)), Sheets("macromap").Cells(84, 6)).Select</v>
      </c>
      <c r="J84" s="9" t="s">
        <v>480</v>
      </c>
      <c r="K84" t="str">
        <f t="shared" si="7"/>
        <v>Let advancedtopvacrevised = Sheets("macromap").Cells(84, 7)</v>
      </c>
    </row>
    <row r="85" spans="2:11" x14ac:dyDescent="0.35">
      <c r="B85" t="s">
        <v>1009</v>
      </c>
      <c r="D85" t="s">
        <v>691</v>
      </c>
      <c r="E85" s="5">
        <f>ROW(advanced!V3)</f>
        <v>3</v>
      </c>
      <c r="F85" s="5">
        <f>COLUMN(advanced!V3)</f>
        <v>22</v>
      </c>
      <c r="G85" s="5">
        <f>advanced!V3</f>
        <v>0</v>
      </c>
      <c r="H85" s="9" t="s">
        <v>477</v>
      </c>
      <c r="I85" t="str">
        <f t="shared" si="6"/>
        <v>Sheets("advanced").Cells((Sheets("macromap").Cells(85, 5)), Sheets("macromap").Cells(85, 6)).Select</v>
      </c>
      <c r="J85" s="9" t="s">
        <v>480</v>
      </c>
      <c r="K85" t="str">
        <f t="shared" si="7"/>
        <v>Let advancedcalcnumber = Sheets("macromap").Cells(85, 7)</v>
      </c>
    </row>
    <row r="86" spans="2:11" x14ac:dyDescent="0.35">
      <c r="B86" t="s">
        <v>1011</v>
      </c>
      <c r="D86" t="s">
        <v>691</v>
      </c>
      <c r="E86" s="5">
        <f>ROW(advanced!V4)</f>
        <v>4</v>
      </c>
      <c r="F86" s="5">
        <f>COLUMN(advanced!V4)</f>
        <v>22</v>
      </c>
      <c r="G86" s="5" t="b">
        <f>advanced!V4</f>
        <v>0</v>
      </c>
      <c r="H86" s="9" t="s">
        <v>477</v>
      </c>
      <c r="I86" t="str">
        <f t="shared" si="6"/>
        <v>Sheets("advanced").Cells((Sheets("macromap").Cells(86, 5)), Sheets("macromap").Cells(86, 6)).Select</v>
      </c>
      <c r="J86" s="9" t="s">
        <v>480</v>
      </c>
      <c r="K86" t="str">
        <f t="shared" si="7"/>
        <v>Let advancedhypo = Sheets("macromap").Cells(86, 7)</v>
      </c>
    </row>
    <row r="87" spans="2:11" x14ac:dyDescent="0.35">
      <c r="B87" t="s">
        <v>1029</v>
      </c>
      <c r="D87" t="s">
        <v>691</v>
      </c>
      <c r="E87" s="5">
        <f>ROW(advanced!I22)</f>
        <v>22</v>
      </c>
      <c r="F87" s="5">
        <f>COLUMN(advanced!I22)</f>
        <v>9</v>
      </c>
      <c r="G87" s="5" t="str">
        <f>advanced!I22</f>
        <v>n</v>
      </c>
      <c r="H87" s="9" t="s">
        <v>477</v>
      </c>
      <c r="I87" t="str">
        <f t="shared" ref="I87:I144" si="8">"Sheets("&amp;CHAR(34)&amp;D87&amp;CHAR(34)&amp;").Cells((Sheets(""macromap"").Cells("&amp;ROW(E87)&amp;", "&amp;COLUMN(E87)&amp;")), Sheets(""macromap"").Cells("&amp;ROW(F87)&amp;", "&amp;COLUMN(F87)&amp;")).Select"</f>
        <v>Sheets("advanced").Cells((Sheets("macromap").Cells(87, 5)), Sheets("macromap").Cells(87, 6)).Select</v>
      </c>
      <c r="J87" s="9" t="s">
        <v>480</v>
      </c>
      <c r="K87" t="str">
        <f t="shared" ref="K87:K144" si="9">"Let "&amp;B87&amp;" = Sheets("&amp;CHAR(34)&amp;"macromap"&amp;CHAR(34)&amp;").Cells("&amp;ROW(G87)&amp;", "&amp;COLUMN(G87)&amp;")"</f>
        <v>Let advanced_sbrr_orig1 = Sheets("macromap").Cells(87, 7)</v>
      </c>
    </row>
    <row r="88" spans="2:11" x14ac:dyDescent="0.35">
      <c r="B88" t="s">
        <v>1030</v>
      </c>
      <c r="D88" t="s">
        <v>691</v>
      </c>
      <c r="E88" s="5">
        <f>ROW(advanced!I23)</f>
        <v>23</v>
      </c>
      <c r="F88" s="5">
        <f>COLUMN(advanced!I23)</f>
        <v>9</v>
      </c>
      <c r="G88" s="5" t="str">
        <f>advanced!I23</f>
        <v>n</v>
      </c>
      <c r="H88" s="9" t="s">
        <v>477</v>
      </c>
      <c r="I88" t="str">
        <f t="shared" si="8"/>
        <v>Sheets("advanced").Cells((Sheets("macromap").Cells(88, 5)), Sheets("macromap").Cells(88, 6)).Select</v>
      </c>
      <c r="J88" s="9" t="s">
        <v>480</v>
      </c>
      <c r="K88" t="str">
        <f t="shared" si="9"/>
        <v>Let advanced_sbrr_orig2 = Sheets("macromap").Cells(88, 7)</v>
      </c>
    </row>
    <row r="89" spans="2:11" x14ac:dyDescent="0.35">
      <c r="B89" t="s">
        <v>1032</v>
      </c>
      <c r="D89" t="s">
        <v>691</v>
      </c>
      <c r="E89" s="5">
        <f>ROW(advanced!I24)</f>
        <v>24</v>
      </c>
      <c r="F89" s="5">
        <f>COLUMN(advanced!I24)</f>
        <v>9</v>
      </c>
      <c r="G89" s="5" t="str">
        <f>advanced!I24</f>
        <v>n</v>
      </c>
      <c r="H89" s="9" t="s">
        <v>477</v>
      </c>
      <c r="I89" t="str">
        <f t="shared" si="8"/>
        <v>Sheets("advanced").Cells((Sheets("macromap").Cells(89, 5)), Sheets("macromap").Cells(89, 6)).Select</v>
      </c>
      <c r="J89" s="9" t="s">
        <v>480</v>
      </c>
      <c r="K89" t="str">
        <f t="shared" si="9"/>
        <v>Let advanced_sbrr_orig3 = Sheets("macromap").Cells(89, 7)</v>
      </c>
    </row>
    <row r="90" spans="2:11" x14ac:dyDescent="0.35">
      <c r="B90" t="s">
        <v>1033</v>
      </c>
      <c r="D90" t="s">
        <v>691</v>
      </c>
      <c r="E90" s="5">
        <f>ROW(advanced!I25)</f>
        <v>25</v>
      </c>
      <c r="F90" s="5">
        <f>COLUMN(advanced!I25)</f>
        <v>9</v>
      </c>
      <c r="G90" s="5">
        <f>advanced!I25</f>
        <v>0</v>
      </c>
      <c r="H90" s="9" t="s">
        <v>477</v>
      </c>
      <c r="I90" t="str">
        <f t="shared" si="8"/>
        <v>Sheets("advanced").Cells((Sheets("macromap").Cells(90, 5)), Sheets("macromap").Cells(90, 6)).Select</v>
      </c>
      <c r="J90" s="9" t="s">
        <v>480</v>
      </c>
      <c r="K90" t="str">
        <f t="shared" si="9"/>
        <v>Let advanced_sbrr_orig4 = Sheets("macromap").Cells(90, 7)</v>
      </c>
    </row>
    <row r="91" spans="2:11" x14ac:dyDescent="0.35">
      <c r="B91" t="s">
        <v>1034</v>
      </c>
      <c r="D91" t="s">
        <v>691</v>
      </c>
      <c r="E91" s="5">
        <f>ROW(advanced!M22)</f>
        <v>22</v>
      </c>
      <c r="F91" s="5">
        <f>COLUMN(advanced!M22)</f>
        <v>13</v>
      </c>
      <c r="G91" s="5" t="str">
        <f>advanced!M22</f>
        <v>n</v>
      </c>
      <c r="H91" s="9" t="s">
        <v>477</v>
      </c>
      <c r="I91" t="str">
        <f t="shared" si="8"/>
        <v>Sheets("advanced").Cells((Sheets("macromap").Cells(91, 5)), Sheets("macromap").Cells(91, 6)).Select</v>
      </c>
      <c r="J91" s="9" t="s">
        <v>480</v>
      </c>
      <c r="K91" t="str">
        <f t="shared" si="9"/>
        <v>Let advanced_sbrr_revised1 = Sheets("macromap").Cells(91, 7)</v>
      </c>
    </row>
    <row r="92" spans="2:11" x14ac:dyDescent="0.35">
      <c r="B92" t="s">
        <v>1036</v>
      </c>
      <c r="D92" t="s">
        <v>691</v>
      </c>
      <c r="E92" s="5">
        <f>ROW(advanced!M23)</f>
        <v>23</v>
      </c>
      <c r="F92" s="5">
        <f>COLUMN(advanced!M23)</f>
        <v>13</v>
      </c>
      <c r="G92" s="5" t="str">
        <f>advanced!M23</f>
        <v>n</v>
      </c>
      <c r="H92" s="9" t="s">
        <v>477</v>
      </c>
      <c r="I92" t="str">
        <f t="shared" si="8"/>
        <v>Sheets("advanced").Cells((Sheets("macromap").Cells(92, 5)), Sheets("macromap").Cells(92, 6)).Select</v>
      </c>
      <c r="J92" s="9" t="s">
        <v>480</v>
      </c>
      <c r="K92" t="str">
        <f t="shared" si="9"/>
        <v>Let advanced_sbrr_revised2 = Sheets("macromap").Cells(92, 7)</v>
      </c>
    </row>
    <row r="93" spans="2:11" x14ac:dyDescent="0.35">
      <c r="B93" t="s">
        <v>1037</v>
      </c>
      <c r="D93" t="s">
        <v>691</v>
      </c>
      <c r="E93" s="5">
        <f>ROW(advanced!M24)</f>
        <v>24</v>
      </c>
      <c r="F93" s="5">
        <f>COLUMN(advanced!M24)</f>
        <v>13</v>
      </c>
      <c r="G93" s="5" t="str">
        <f>advanced!M24</f>
        <v>n</v>
      </c>
      <c r="H93" s="9" t="s">
        <v>477</v>
      </c>
      <c r="I93" t="str">
        <f t="shared" si="8"/>
        <v>Sheets("advanced").Cells((Sheets("macromap").Cells(93, 5)), Sheets("macromap").Cells(93, 6)).Select</v>
      </c>
      <c r="J93" s="9" t="s">
        <v>480</v>
      </c>
      <c r="K93" t="str">
        <f t="shared" si="9"/>
        <v>Let advanced_sbrr_revised3 = Sheets("macromap").Cells(93, 7)</v>
      </c>
    </row>
    <row r="94" spans="2:11" x14ac:dyDescent="0.35">
      <c r="B94" t="s">
        <v>1038</v>
      </c>
      <c r="D94" t="s">
        <v>691</v>
      </c>
      <c r="E94" s="5">
        <f>ROW(advanced!M25)</f>
        <v>25</v>
      </c>
      <c r="F94" s="5">
        <f>COLUMN(advanced!M25)</f>
        <v>13</v>
      </c>
      <c r="G94" s="5">
        <f>advanced!M25</f>
        <v>0</v>
      </c>
      <c r="H94" s="9" t="s">
        <v>477</v>
      </c>
      <c r="I94" t="str">
        <f t="shared" si="8"/>
        <v>Sheets("advanced").Cells((Sheets("macromap").Cells(94, 5)), Sheets("macromap").Cells(94, 6)).Select</v>
      </c>
      <c r="J94" s="9" t="s">
        <v>480</v>
      </c>
      <c r="K94" t="str">
        <f t="shared" si="9"/>
        <v>Let advanced_sbrr_revised4 = Sheets("macromap").Cells(94, 7)</v>
      </c>
    </row>
    <row r="95" spans="2:11" x14ac:dyDescent="0.35">
      <c r="B95" t="s">
        <v>1040</v>
      </c>
      <c r="D95" t="s">
        <v>691</v>
      </c>
      <c r="E95" s="5">
        <f>ROW(advanced!$U$20)</f>
        <v>20</v>
      </c>
      <c r="F95" s="5">
        <f>COLUMN(advanced!$U$20)</f>
        <v>21</v>
      </c>
      <c r="G95" s="5" t="str">
        <f>advanced!$U$20</f>
        <v>closed</v>
      </c>
      <c r="H95" s="9" t="s">
        <v>477</v>
      </c>
      <c r="I95" t="str">
        <f t="shared" si="8"/>
        <v>Sheets("advanced").Cells((Sheets("macromap").Cells(95, 5)), Sheets("macromap").Cells(95, 6)).Select</v>
      </c>
      <c r="J95" s="9" t="s">
        <v>480</v>
      </c>
      <c r="K95" t="str">
        <f t="shared" si="9"/>
        <v>Let sbrr_panel_open_or_closed = Sheets("macromap").Cells(95, 7)</v>
      </c>
    </row>
    <row r="96" spans="2:11" x14ac:dyDescent="0.35">
      <c r="B96" t="s">
        <v>1046</v>
      </c>
      <c r="D96" t="s">
        <v>691</v>
      </c>
      <c r="E96" s="27">
        <f>ROW(advanced!I36)</f>
        <v>36</v>
      </c>
      <c r="F96" s="27">
        <f>COLUMN(advanced!I36)</f>
        <v>9</v>
      </c>
      <c r="G96" s="27">
        <f>advanced!I36</f>
        <v>0</v>
      </c>
      <c r="H96" s="9" t="s">
        <v>477</v>
      </c>
      <c r="I96" t="str">
        <f t="shared" si="8"/>
        <v>Sheets("advanced").Cells((Sheets("macromap").Cells(96, 5)), Sheets("macromap").Cells(96, 6)).Select</v>
      </c>
      <c r="J96" s="9" t="s">
        <v>480</v>
      </c>
      <c r="K96" t="str">
        <f t="shared" si="9"/>
        <v>Let solcertvalorig = Sheets("macromap").Cells(96, 7)</v>
      </c>
    </row>
    <row r="97" spans="2:11" x14ac:dyDescent="0.35">
      <c r="B97" t="s">
        <v>1045</v>
      </c>
      <c r="D97" t="s">
        <v>691</v>
      </c>
      <c r="E97" s="27">
        <f>ROW(advanced!I37)</f>
        <v>37</v>
      </c>
      <c r="F97" s="5">
        <f>COLUMN(advanced!I37)</f>
        <v>9</v>
      </c>
      <c r="G97" s="13">
        <f>advanced!I37</f>
        <v>0</v>
      </c>
      <c r="H97" s="9" t="s">
        <v>477</v>
      </c>
      <c r="I97" t="str">
        <f t="shared" si="8"/>
        <v>Sheets("advanced").Cells((Sheets("macromap").Cells(97, 5)), Sheets("macromap").Cells(97, 6)).Select</v>
      </c>
      <c r="J97" s="9" t="s">
        <v>480</v>
      </c>
      <c r="K97" t="str">
        <f t="shared" si="9"/>
        <v>Let solcertdateorig = Sheets("macromap").Cells(97, 7)</v>
      </c>
    </row>
    <row r="98" spans="2:11" x14ac:dyDescent="0.35">
      <c r="B98" t="s">
        <v>1047</v>
      </c>
      <c r="D98" t="s">
        <v>691</v>
      </c>
      <c r="E98" s="27">
        <f>ROW(advanced!I41)</f>
        <v>41</v>
      </c>
      <c r="F98" s="5">
        <f>COLUMN(advanced!I41)</f>
        <v>9</v>
      </c>
      <c r="G98" s="27">
        <f>advanced!I41</f>
        <v>0</v>
      </c>
      <c r="H98" s="9" t="s">
        <v>477</v>
      </c>
      <c r="I98" t="str">
        <f t="shared" si="8"/>
        <v>Sheets("advanced").Cells((Sheets("macromap").Cells(98, 5)), Sheets("macromap").Cells(98, 6)).Select</v>
      </c>
      <c r="J98" s="9" t="s">
        <v>480</v>
      </c>
      <c r="K98" t="str">
        <f t="shared" si="9"/>
        <v>Let plcertvalorig = Sheets("macromap").Cells(98, 7)</v>
      </c>
    </row>
    <row r="99" spans="2:11" x14ac:dyDescent="0.35">
      <c r="B99" t="s">
        <v>1048</v>
      </c>
      <c r="D99" t="s">
        <v>691</v>
      </c>
      <c r="E99" s="27">
        <f>ROW(advanced!I42)</f>
        <v>42</v>
      </c>
      <c r="F99" s="5">
        <f>COLUMN(advanced!I42)</f>
        <v>9</v>
      </c>
      <c r="G99" s="13">
        <f>advanced!I42</f>
        <v>0</v>
      </c>
      <c r="H99" s="9" t="s">
        <v>477</v>
      </c>
      <c r="I99" t="str">
        <f t="shared" si="8"/>
        <v>Sheets("advanced").Cells((Sheets("macromap").Cells(99, 5)), Sheets("macromap").Cells(99, 6)).Select</v>
      </c>
      <c r="J99" s="9" t="s">
        <v>480</v>
      </c>
      <c r="K99" t="str">
        <f t="shared" si="9"/>
        <v>Let plcertdateorig = Sheets("macromap").Cells(99, 7)</v>
      </c>
    </row>
    <row r="100" spans="2:11" x14ac:dyDescent="0.35">
      <c r="B100" t="s">
        <v>1049</v>
      </c>
      <c r="D100" t="s">
        <v>691</v>
      </c>
      <c r="E100" s="27">
        <f>ROW(advanced!M36)</f>
        <v>36</v>
      </c>
      <c r="F100" s="5">
        <f>COLUMN(advanced!M36)</f>
        <v>13</v>
      </c>
      <c r="G100" s="27">
        <f>advanced!M36</f>
        <v>0</v>
      </c>
      <c r="H100" s="9" t="s">
        <v>477</v>
      </c>
      <c r="I100" t="str">
        <f t="shared" si="8"/>
        <v>Sheets("advanced").Cells((Sheets("macromap").Cells(100, 5)), Sheets("macromap").Cells(100, 6)).Select</v>
      </c>
      <c r="J100" s="9" t="s">
        <v>480</v>
      </c>
      <c r="K100" t="str">
        <f t="shared" si="9"/>
        <v>Let solcertvalrev = Sheets("macromap").Cells(100, 7)</v>
      </c>
    </row>
    <row r="101" spans="2:11" x14ac:dyDescent="0.35">
      <c r="B101" t="s">
        <v>1050</v>
      </c>
      <c r="D101" t="s">
        <v>691</v>
      </c>
      <c r="E101" s="27">
        <f>ROW(advanced!M37)</f>
        <v>37</v>
      </c>
      <c r="F101" s="5">
        <f>COLUMN(advanced!M37)</f>
        <v>13</v>
      </c>
      <c r="G101" s="13">
        <f>advanced!M37</f>
        <v>0</v>
      </c>
      <c r="H101" s="9" t="s">
        <v>477</v>
      </c>
      <c r="I101" t="str">
        <f t="shared" si="8"/>
        <v>Sheets("advanced").Cells((Sheets("macromap").Cells(101, 5)), Sheets("macromap").Cells(101, 6)).Select</v>
      </c>
      <c r="J101" s="9" t="s">
        <v>480</v>
      </c>
      <c r="K101" t="str">
        <f t="shared" si="9"/>
        <v>Let solcertdaterev = Sheets("macromap").Cells(101, 7)</v>
      </c>
    </row>
    <row r="102" spans="2:11" x14ac:dyDescent="0.35">
      <c r="B102" t="s">
        <v>1051</v>
      </c>
      <c r="D102" t="s">
        <v>691</v>
      </c>
      <c r="E102" s="27">
        <f>ROW(advanced!M41)</f>
        <v>41</v>
      </c>
      <c r="F102" s="5">
        <f>COLUMN(advanced!M41)</f>
        <v>13</v>
      </c>
      <c r="G102" s="27">
        <f>advanced!M41</f>
        <v>0</v>
      </c>
      <c r="H102" s="9" t="s">
        <v>477</v>
      </c>
      <c r="I102" t="str">
        <f t="shared" si="8"/>
        <v>Sheets("advanced").Cells((Sheets("macromap").Cells(102, 5)), Sheets("macromap").Cells(102, 6)).Select</v>
      </c>
      <c r="J102" s="9" t="s">
        <v>480</v>
      </c>
      <c r="K102" t="str">
        <f t="shared" si="9"/>
        <v>Let plcertvalrev = Sheets("macromap").Cells(102, 7)</v>
      </c>
    </row>
    <row r="103" spans="2:11" x14ac:dyDescent="0.35">
      <c r="B103" t="s">
        <v>1052</v>
      </c>
      <c r="D103" t="s">
        <v>691</v>
      </c>
      <c r="E103" s="27">
        <f>ROW(advanced!M42)</f>
        <v>42</v>
      </c>
      <c r="F103" s="5">
        <f>COLUMN(advanced!M42)</f>
        <v>13</v>
      </c>
      <c r="G103" s="13">
        <f>advanced!M42</f>
        <v>0</v>
      </c>
      <c r="H103" s="9" t="s">
        <v>477</v>
      </c>
      <c r="I103" t="str">
        <f t="shared" si="8"/>
        <v>Sheets("advanced").Cells((Sheets("macromap").Cells(103, 5)), Sheets("macromap").Cells(103, 6)).Select</v>
      </c>
      <c r="J103" s="9" t="s">
        <v>480</v>
      </c>
      <c r="K103" t="str">
        <f t="shared" si="9"/>
        <v>Let plcertdaterev = Sheets("macromap").Cells(103, 7)</v>
      </c>
    </row>
    <row r="104" spans="2:11" x14ac:dyDescent="0.35">
      <c r="B104" t="s">
        <v>1053</v>
      </c>
      <c r="D104" t="s">
        <v>691</v>
      </c>
      <c r="E104" s="5">
        <f>ROW(advanced!AJ70)</f>
        <v>70</v>
      </c>
      <c r="F104" s="5">
        <f>COLUMN(advanced!AJ70)</f>
        <v>36</v>
      </c>
      <c r="G104" s="5">
        <f>advanced!AJ70</f>
        <v>0</v>
      </c>
      <c r="H104" s="9" t="s">
        <v>477</v>
      </c>
      <c r="I104" t="str">
        <f t="shared" si="8"/>
        <v>Sheets("advanced").Cells((Sheets("macromap").Cells(104, 5)), Sheets("macromap").Cells(104, 6)).Select</v>
      </c>
      <c r="J104" s="9" t="s">
        <v>480</v>
      </c>
      <c r="K104" t="str">
        <f t="shared" si="9"/>
        <v>Let origcertickstop = Sheets("macromap").Cells(104, 7)</v>
      </c>
    </row>
    <row r="105" spans="2:11" x14ac:dyDescent="0.35">
      <c r="B105" t="s">
        <v>1054</v>
      </c>
      <c r="D105" t="s">
        <v>691</v>
      </c>
      <c r="E105" s="5">
        <f>ROW(advanced!AJ80)</f>
        <v>80</v>
      </c>
      <c r="F105" s="5">
        <f>COLUMN(advanced!AJ80)</f>
        <v>36</v>
      </c>
      <c r="G105" s="5">
        <f>advanced!AJ80</f>
        <v>0</v>
      </c>
      <c r="H105" s="9" t="s">
        <v>477</v>
      </c>
      <c r="I105" t="str">
        <f t="shared" si="8"/>
        <v>Sheets("advanced").Cells((Sheets("macromap").Cells(105, 5)), Sheets("macromap").Cells(105, 6)).Select</v>
      </c>
      <c r="J105" s="9" t="s">
        <v>480</v>
      </c>
      <c r="K105" t="str">
        <f t="shared" si="9"/>
        <v>Let origcerticksbottom = Sheets("macromap").Cells(105, 7)</v>
      </c>
    </row>
    <row r="106" spans="2:11" x14ac:dyDescent="0.35">
      <c r="B106" t="s">
        <v>1055</v>
      </c>
      <c r="D106" t="s">
        <v>691</v>
      </c>
      <c r="E106" s="5">
        <f>ROW(advanced!AK70)</f>
        <v>70</v>
      </c>
      <c r="F106" s="5">
        <f>COLUMN(advanced!AK70)</f>
        <v>37</v>
      </c>
      <c r="G106" s="5">
        <f>advanced!AK70</f>
        <v>0</v>
      </c>
      <c r="H106" s="9" t="s">
        <v>477</v>
      </c>
      <c r="I106" t="str">
        <f t="shared" si="8"/>
        <v>Sheets("advanced").Cells((Sheets("macromap").Cells(106, 5)), Sheets("macromap").Cells(106, 6)).Select</v>
      </c>
      <c r="J106" s="9" t="s">
        <v>480</v>
      </c>
      <c r="K106" t="str">
        <f t="shared" si="9"/>
        <v>Let revcertickstop = Sheets("macromap").Cells(106, 7)</v>
      </c>
    </row>
    <row r="107" spans="2:11" x14ac:dyDescent="0.35">
      <c r="B107" t="s">
        <v>1056</v>
      </c>
      <c r="D107" t="s">
        <v>691</v>
      </c>
      <c r="E107" s="5">
        <f>ROW(advanced!AK80)</f>
        <v>80</v>
      </c>
      <c r="F107" s="5">
        <f>COLUMN(advanced!AK80)</f>
        <v>37</v>
      </c>
      <c r="G107" s="5">
        <f>advanced!AK80</f>
        <v>0</v>
      </c>
      <c r="H107" s="9" t="s">
        <v>477</v>
      </c>
      <c r="I107" t="str">
        <f t="shared" si="8"/>
        <v>Sheets("advanced").Cells((Sheets("macromap").Cells(107, 5)), Sheets("macromap").Cells(107, 6)).Select</v>
      </c>
      <c r="J107" s="9" t="s">
        <v>480</v>
      </c>
      <c r="K107" t="str">
        <f t="shared" si="9"/>
        <v>Let revcerticksbottom = Sheets("macromap").Cells(107, 7)</v>
      </c>
    </row>
    <row r="108" spans="2:11" x14ac:dyDescent="0.35">
      <c r="B108" t="s">
        <v>1057</v>
      </c>
      <c r="D108" t="s">
        <v>691</v>
      </c>
      <c r="E108" s="5">
        <f>ROW(advanced!U37)</f>
        <v>37</v>
      </c>
      <c r="F108" s="5">
        <f>COLUMN(advanced!U37)</f>
        <v>21</v>
      </c>
      <c r="G108" s="5" t="b">
        <f>advanced!U37</f>
        <v>0</v>
      </c>
      <c r="H108" s="9" t="s">
        <v>477</v>
      </c>
      <c r="I108" t="str">
        <f>"Sheets("&amp;CHAR(34)&amp;D108&amp;CHAR(34)&amp;").Cells((Sheets(""macromap"").Cells("&amp;ROW(E108)&amp;", "&amp;COLUMN(E108)&amp;")), Sheets(""macromap"").Cells("&amp;ROW(F108)&amp;", "&amp;COLUMN(F108)&amp;")).Select"</f>
        <v>Sheets("advanced").Cells((Sheets("macromap").Cells(108, 5)), Sheets("macromap").Cells(108, 6)).Select</v>
      </c>
      <c r="J108" s="9" t="s">
        <v>480</v>
      </c>
      <c r="K108" t="str">
        <f t="shared" si="9"/>
        <v>Let macro_truefalse_1 = Sheets("macromap").Cells(108, 7)</v>
      </c>
    </row>
    <row r="109" spans="2:11" x14ac:dyDescent="0.35">
      <c r="B109" t="s">
        <v>1058</v>
      </c>
      <c r="D109" t="s">
        <v>691</v>
      </c>
      <c r="E109" s="5">
        <f>ROW(advanced!V37)</f>
        <v>37</v>
      </c>
      <c r="F109" s="5">
        <f>COLUMN(advanced!V37)</f>
        <v>22</v>
      </c>
      <c r="G109" s="5" t="b">
        <f>advanced!V37</f>
        <v>1</v>
      </c>
      <c r="H109" s="9" t="s">
        <v>477</v>
      </c>
      <c r="I109" t="str">
        <f>"Sheets("&amp;CHAR(34)&amp;D109&amp;CHAR(34)&amp;").Cells((Sheets(""macromap"").Cells("&amp;ROW(E109)&amp;", "&amp;COLUMN(E109)&amp;")), Sheets(""macromap"").Cells("&amp;ROW(F109)&amp;", "&amp;COLUMN(F109)&amp;")).Select"</f>
        <v>Sheets("advanced").Cells((Sheets("macromap").Cells(109, 5)), Sheets("macromap").Cells(109, 6)).Select</v>
      </c>
      <c r="J109" s="9" t="s">
        <v>480</v>
      </c>
      <c r="K109" t="str">
        <f t="shared" si="9"/>
        <v>Let macro_truefalse_2 = Sheets("macromap").Cells(109, 7)</v>
      </c>
    </row>
    <row r="110" spans="2:11" x14ac:dyDescent="0.35">
      <c r="B110" t="s">
        <v>1059</v>
      </c>
      <c r="D110" t="s">
        <v>691</v>
      </c>
      <c r="E110" s="5">
        <f>ROW(advanced!W37)</f>
        <v>37</v>
      </c>
      <c r="F110" s="5">
        <f>COLUMN(advanced!W37)</f>
        <v>23</v>
      </c>
      <c r="G110" s="5" t="b">
        <f>advanced!W37</f>
        <v>0</v>
      </c>
      <c r="H110" s="9" t="s">
        <v>477</v>
      </c>
      <c r="I110" t="str">
        <f t="shared" si="8"/>
        <v>Sheets("advanced").Cells((Sheets("macromap").Cells(110, 5)), Sheets("macromap").Cells(110, 6)).Select</v>
      </c>
      <c r="J110" s="9" t="s">
        <v>480</v>
      </c>
      <c r="K110" t="str">
        <f t="shared" si="9"/>
        <v>Let macro_truefalse_3 = Sheets("macromap").Cells(110, 7)</v>
      </c>
    </row>
    <row r="111" spans="2:11" x14ac:dyDescent="0.35">
      <c r="B111" t="s">
        <v>1060</v>
      </c>
      <c r="D111" t="s">
        <v>691</v>
      </c>
      <c r="E111" s="5">
        <f>ROW(advanced!X37)</f>
        <v>37</v>
      </c>
      <c r="F111" s="5">
        <f>COLUMN(advanced!X37)</f>
        <v>24</v>
      </c>
      <c r="G111" s="5" t="b">
        <f>advanced!X37</f>
        <v>1</v>
      </c>
      <c r="H111" s="9" t="s">
        <v>477</v>
      </c>
      <c r="I111" t="str">
        <f t="shared" si="8"/>
        <v>Sheets("advanced").Cells((Sheets("macromap").Cells(111, 5)), Sheets("macromap").Cells(111, 6)).Select</v>
      </c>
      <c r="J111" s="9" t="s">
        <v>480</v>
      </c>
      <c r="K111" t="str">
        <f t="shared" si="9"/>
        <v>Let macro_truefalse_4 = Sheets("macromap").Cells(111, 7)</v>
      </c>
    </row>
    <row r="112" spans="2:11" x14ac:dyDescent="0.35">
      <c r="B112" t="s">
        <v>1066</v>
      </c>
      <c r="D112" t="s">
        <v>691</v>
      </c>
      <c r="E112" s="5">
        <f>ROW(advanced!U31)</f>
        <v>31</v>
      </c>
      <c r="F112" s="5">
        <f>COLUMN(advanced!U31)</f>
        <v>21</v>
      </c>
      <c r="G112" s="5" t="str">
        <f>advanced!U31</f>
        <v>closed</v>
      </c>
      <c r="H112" s="9" t="s">
        <v>477</v>
      </c>
      <c r="I112" t="str">
        <f t="shared" si="8"/>
        <v>Sheets("advanced").Cells((Sheets("macromap").Cells(112, 5)), Sheets("macromap").Cells(112, 6)).Select</v>
      </c>
      <c r="J112" s="9" t="s">
        <v>480</v>
      </c>
      <c r="K112" t="str">
        <f t="shared" si="9"/>
        <v>Let tc_panel_open_or_closed = Sheets("macromap").Cells(112, 7)</v>
      </c>
    </row>
    <row r="113" spans="2:11" x14ac:dyDescent="0.35">
      <c r="B113" t="s">
        <v>1067</v>
      </c>
      <c r="D113" t="s">
        <v>691</v>
      </c>
      <c r="E113" s="5">
        <f>ROW(advanced!$A$30)</f>
        <v>30</v>
      </c>
      <c r="F113" s="5">
        <f>COLUMN(advanced!$A$30)</f>
        <v>1</v>
      </c>
      <c r="G113" s="5">
        <f>advanced!$A$30</f>
        <v>0</v>
      </c>
      <c r="H113" s="9" t="s">
        <v>477</v>
      </c>
      <c r="I113" t="str">
        <f t="shared" si="8"/>
        <v>Sheets("advanced").Cells((Sheets("macromap").Cells(113, 5)), Sheets("macromap").Cells(113, 6)).Select</v>
      </c>
      <c r="J113" s="9" t="s">
        <v>480</v>
      </c>
      <c r="K113" t="str">
        <f t="shared" si="9"/>
        <v>Let tc_panel_top = Sheets("macromap").Cells(113, 7)</v>
      </c>
    </row>
    <row r="114" spans="2:11" x14ac:dyDescent="0.35">
      <c r="B114" t="s">
        <v>1068</v>
      </c>
      <c r="D114" t="s">
        <v>691</v>
      </c>
      <c r="E114" s="5">
        <f>ROW(advanced!$A$47)</f>
        <v>47</v>
      </c>
      <c r="F114" s="5">
        <f>COLUMN(advanced!$A$47)</f>
        <v>1</v>
      </c>
      <c r="G114" s="5">
        <f>advanced!$A$47</f>
        <v>0</v>
      </c>
      <c r="H114" s="9" t="s">
        <v>477</v>
      </c>
      <c r="I114" t="str">
        <f t="shared" si="8"/>
        <v>Sheets("advanced").Cells((Sheets("macromap").Cells(114, 5)), Sheets("macromap").Cells(114, 6)).Select</v>
      </c>
      <c r="J114" s="9" t="s">
        <v>480</v>
      </c>
      <c r="K114" t="str">
        <f t="shared" si="9"/>
        <v>Let tc_panel_bottom = Sheets("macromap").Cells(114, 7)</v>
      </c>
    </row>
    <row r="115" spans="2:11" x14ac:dyDescent="0.35">
      <c r="B115" t="s">
        <v>1069</v>
      </c>
      <c r="D115" t="s">
        <v>691</v>
      </c>
      <c r="E115" s="5">
        <f>ROW(advanced!$V$31)</f>
        <v>31</v>
      </c>
      <c r="F115" s="5">
        <f>COLUMN(advanced!$V$31)</f>
        <v>22</v>
      </c>
      <c r="G115" s="5" t="str">
        <f>advanced!$V$31</f>
        <v>Open the Transitional Certificates Input Panel</v>
      </c>
      <c r="H115" s="9" t="s">
        <v>477</v>
      </c>
      <c r="I115" t="str">
        <f>"Sheets("&amp;CHAR(34)&amp;D115&amp;CHAR(34)&amp;").Cells((Sheets(""macromap"").Cells("&amp;ROW(G115)&amp;", "&amp;COLUMN(G115)&amp;")), Sheets(""macromap"").Cells("&amp;ROW(F115)&amp;", "&amp;COLUMN(F115)&amp;")).Select"</f>
        <v>Sheets("advanced").Cells((Sheets("macromap").Cells(115, 7)), Sheets("macromap").Cells(115, 6)).Select</v>
      </c>
      <c r="J115" s="9" t="s">
        <v>480</v>
      </c>
      <c r="K115" t="str">
        <f t="shared" si="9"/>
        <v>Let tc_button_text = Sheets("macromap").Cells(115, 7)</v>
      </c>
    </row>
    <row r="116" spans="2:11" x14ac:dyDescent="0.35">
      <c r="B116" t="s">
        <v>1071</v>
      </c>
      <c r="D116" t="s">
        <v>691</v>
      </c>
      <c r="E116" s="5">
        <f>ROW(advanced!M10)</f>
        <v>10</v>
      </c>
      <c r="F116" s="5">
        <f>COLUMN(advanced!M10)</f>
        <v>13</v>
      </c>
      <c r="G116" s="27">
        <f>advanced!M10</f>
        <v>0</v>
      </c>
      <c r="H116" s="9" t="s">
        <v>477</v>
      </c>
      <c r="I116" t="str">
        <f t="shared" si="8"/>
        <v>Sheets("advanced").Cells((Sheets("macromap").Cells(116, 5)), Sheets("macromap").Cells(116, 6)).Select</v>
      </c>
      <c r="J116" s="9" t="s">
        <v>480</v>
      </c>
      <c r="K116" t="str">
        <f t="shared" si="9"/>
        <v>Let rrvadvanced = Sheets("macromap").Cells(116, 7)</v>
      </c>
    </row>
    <row r="117" spans="2:11" x14ac:dyDescent="0.35">
      <c r="B117" t="s">
        <v>1087</v>
      </c>
      <c r="D117" t="s">
        <v>691</v>
      </c>
      <c r="E117" s="5">
        <f>ROW(advanced!AJ8)</f>
        <v>8</v>
      </c>
      <c r="F117" s="5">
        <f>COLUMN(advanced!AJ8)</f>
        <v>36</v>
      </c>
      <c r="G117" s="5" t="b">
        <f>advanced!AJ8</f>
        <v>0</v>
      </c>
      <c r="H117" s="9" t="s">
        <v>477</v>
      </c>
      <c r="I117" t="str">
        <f t="shared" si="8"/>
        <v>Sheets("advanced").Cells((Sheets("macromap").Cells(117, 5)), Sheets("macromap").Cells(117, 6)).Select</v>
      </c>
      <c r="J117" s="9" t="s">
        <v>480</v>
      </c>
      <c r="K117" t="str">
        <f t="shared" si="9"/>
        <v>Let advanced_retail_ticko = Sheets("macromap").Cells(117, 7)</v>
      </c>
    </row>
    <row r="118" spans="2:11" x14ac:dyDescent="0.35">
      <c r="B118" t="s">
        <v>1088</v>
      </c>
      <c r="D118" t="s">
        <v>691</v>
      </c>
      <c r="E118" s="5">
        <f>ROW(advanced!AK8)</f>
        <v>8</v>
      </c>
      <c r="F118" s="5">
        <f>COLUMN(advanced!AK8)</f>
        <v>37</v>
      </c>
      <c r="G118" s="5" t="b">
        <f>advanced!AK8</f>
        <v>0</v>
      </c>
      <c r="H118" s="9" t="s">
        <v>477</v>
      </c>
      <c r="I118" t="str">
        <f t="shared" si="8"/>
        <v>Sheets("advanced").Cells((Sheets("macromap").Cells(118, 5)), Sheets("macromap").Cells(118, 6)).Select</v>
      </c>
      <c r="J118" s="9" t="s">
        <v>480</v>
      </c>
      <c r="K118" t="str">
        <f t="shared" si="9"/>
        <v>Let advanced_retail_tickr = Sheets("macromap").Cells(118, 7)</v>
      </c>
    </row>
    <row r="119" spans="2:11" x14ac:dyDescent="0.35">
      <c r="B119" t="s">
        <v>1089</v>
      </c>
      <c r="D119" t="s">
        <v>691</v>
      </c>
      <c r="E119" s="5">
        <f>ROW(advanced!AJ4)</f>
        <v>4</v>
      </c>
      <c r="F119" s="5">
        <f>COLUMN(advanced!AJ4)</f>
        <v>36</v>
      </c>
      <c r="G119" s="5" t="b">
        <f>advanced!AJ4</f>
        <v>0</v>
      </c>
      <c r="H119" s="9" t="s">
        <v>477</v>
      </c>
      <c r="I119" t="str">
        <f t="shared" si="8"/>
        <v>Sheets("advanced").Cells((Sheets("macromap").Cells(119, 5)), Sheets("macromap").Cells(119, 6)).Select</v>
      </c>
      <c r="J119" s="9" t="s">
        <v>480</v>
      </c>
      <c r="K119" t="str">
        <f t="shared" si="9"/>
        <v>Let advanced_pub_ticko = Sheets("macromap").Cells(119, 7)</v>
      </c>
    </row>
    <row r="120" spans="2:11" x14ac:dyDescent="0.35">
      <c r="B120" t="s">
        <v>1090</v>
      </c>
      <c r="D120" t="s">
        <v>691</v>
      </c>
      <c r="E120" s="5">
        <f>ROW(advanced!AK4)</f>
        <v>4</v>
      </c>
      <c r="F120" s="5">
        <f>COLUMN(advanced!AK4)</f>
        <v>37</v>
      </c>
      <c r="G120" s="5" t="b">
        <f>advanced!AK4</f>
        <v>0</v>
      </c>
      <c r="H120" s="9" t="s">
        <v>477</v>
      </c>
      <c r="I120" t="str">
        <f t="shared" si="8"/>
        <v>Sheets("advanced").Cells((Sheets("macromap").Cells(120, 5)), Sheets("macromap").Cells(120, 6)).Select</v>
      </c>
      <c r="J120" s="9" t="s">
        <v>480</v>
      </c>
      <c r="K120" t="str">
        <f t="shared" si="9"/>
        <v>Let advanced_pub_tickr = Sheets("macromap").Cells(120, 7)</v>
      </c>
    </row>
    <row r="121" spans="2:11" x14ac:dyDescent="0.35">
      <c r="B121" t="s">
        <v>1689</v>
      </c>
      <c r="D121" t="s">
        <v>691</v>
      </c>
      <c r="E121" s="5">
        <f>ROW(advanced!F5)</f>
        <v>5</v>
      </c>
      <c r="F121" s="5">
        <f>COLUMN(advanced!F5)</f>
        <v>6</v>
      </c>
      <c r="G121" s="5" t="str">
        <f>advanced!F5</f>
        <v>Click Button Below to Enter Address</v>
      </c>
      <c r="H121" s="9" t="s">
        <v>477</v>
      </c>
      <c r="I121" t="str">
        <f t="shared" si="8"/>
        <v>Sheets("advanced").Cells((Sheets("macromap").Cells(121, 5)), Sheets("macromap").Cells(121, 6)).Select</v>
      </c>
      <c r="J121" s="9" t="s">
        <v>480</v>
      </c>
      <c r="K121" t="str">
        <f t="shared" si="9"/>
        <v>Let advanced_address = Sheets("macromap").Cells(121, 7)</v>
      </c>
    </row>
    <row r="122" spans="2:11" x14ac:dyDescent="0.35">
      <c r="B122" t="s">
        <v>1698</v>
      </c>
      <c r="D122" t="s">
        <v>449</v>
      </c>
      <c r="E122" s="5">
        <f>ROW(basic!$W$26)</f>
        <v>26</v>
      </c>
      <c r="F122" s="5">
        <f>COLUMN(basic!$W$26)</f>
        <v>23</v>
      </c>
      <c r="G122" s="5" t="b">
        <f>basic!$W$26</f>
        <v>0</v>
      </c>
      <c r="H122" s="9" t="s">
        <v>477</v>
      </c>
      <c r="I122" t="str">
        <f t="shared" si="8"/>
        <v>Sheets("basic").Cells((Sheets("macromap").Cells(122, 5)), Sheets("macromap").Cells(122, 6)).Select</v>
      </c>
      <c r="J122" s="9" t="s">
        <v>480</v>
      </c>
      <c r="K122" t="str">
        <f t="shared" si="9"/>
        <v>Let basicpubtick = Sheets("macromap").Cells(122, 7)</v>
      </c>
    </row>
    <row r="123" spans="2:11" x14ac:dyDescent="0.35">
      <c r="B123" t="s">
        <v>1722</v>
      </c>
      <c r="D123" t="s">
        <v>691</v>
      </c>
      <c r="E123" s="5">
        <f>ROW(advanced!$W$64)</f>
        <v>64</v>
      </c>
      <c r="F123" s="5">
        <f>COLUMN(advanced!$W$64)</f>
        <v>23</v>
      </c>
      <c r="G123" s="5" t="str">
        <f>advanced!$W$64</f>
        <v>yes</v>
      </c>
      <c r="H123" s="9" t="s">
        <v>477</v>
      </c>
      <c r="I123" t="str">
        <f t="shared" si="8"/>
        <v>Sheets("advanced").Cells((Sheets("macromap").Cells(123, 5)), Sheets("macromap").Cells(123, 6)).Select</v>
      </c>
      <c r="J123" s="9" t="s">
        <v>480</v>
      </c>
      <c r="K123" t="str">
        <f t="shared" si="9"/>
        <v>Let advanced_sequence_check = Sheets("macromap").Cells(123, 7)</v>
      </c>
    </row>
    <row r="124" spans="2:11" x14ac:dyDescent="0.35">
      <c r="B124" t="s">
        <v>921</v>
      </c>
      <c r="D124" t="s">
        <v>691</v>
      </c>
      <c r="E124" s="5">
        <f>ROW('advanced report'!$K$7)</f>
        <v>7</v>
      </c>
      <c r="F124" s="5">
        <f>COLUMN('advanced report'!$K$7)</f>
        <v>11</v>
      </c>
      <c r="H124" s="9" t="s">
        <v>477</v>
      </c>
      <c r="I124" t="str">
        <f t="shared" si="8"/>
        <v>Sheets("advanced").Cells((Sheets("macromap").Cells(124, 5)), Sheets("macromap").Cells(124, 6)).Select</v>
      </c>
      <c r="J124" s="9" t="s">
        <v>480</v>
      </c>
      <c r="K124" t="str">
        <f t="shared" si="9"/>
        <v>Let advanced_report_home = Sheets("macromap").Cells(124, 7)</v>
      </c>
    </row>
    <row r="125" spans="2:11" x14ac:dyDescent="0.35">
      <c r="B125" t="s">
        <v>189</v>
      </c>
      <c r="D125" t="s">
        <v>200</v>
      </c>
      <c r="E125" s="5">
        <v>135</v>
      </c>
      <c r="F125" s="5">
        <v>4</v>
      </c>
      <c r="H125" s="9" t="s">
        <v>477</v>
      </c>
      <c r="I125" t="str">
        <f t="shared" si="8"/>
        <v>Sheets("calc1").Cells((Sheets("macromap").Cells(125, 5)), Sheets("macromap").Cells(125, 6)).Select</v>
      </c>
      <c r="J125" s="9" t="s">
        <v>480</v>
      </c>
      <c r="K125" t="str">
        <f t="shared" si="9"/>
        <v>Let localbasico1 = Sheets("macromap").Cells(125, 7)</v>
      </c>
    </row>
    <row r="126" spans="2:11" x14ac:dyDescent="0.35">
      <c r="B126" t="s">
        <v>190</v>
      </c>
      <c r="D126" t="s">
        <v>200</v>
      </c>
      <c r="E126" s="5">
        <v>135</v>
      </c>
      <c r="F126" s="5">
        <v>5</v>
      </c>
      <c r="H126" s="9" t="s">
        <v>477</v>
      </c>
      <c r="I126" t="str">
        <f t="shared" si="8"/>
        <v>Sheets("calc1").Cells((Sheets("macromap").Cells(126, 5)), Sheets("macromap").Cells(126, 6)).Select</v>
      </c>
      <c r="J126" s="9" t="s">
        <v>480</v>
      </c>
      <c r="K126" t="str">
        <f t="shared" si="9"/>
        <v>Let localbasico2 = Sheets("macromap").Cells(126, 7)</v>
      </c>
    </row>
    <row r="127" spans="2:11" x14ac:dyDescent="0.35">
      <c r="B127" t="s">
        <v>191</v>
      </c>
      <c r="D127" t="s">
        <v>200</v>
      </c>
      <c r="E127" s="5">
        <v>135</v>
      </c>
      <c r="F127" s="5">
        <v>6</v>
      </c>
      <c r="H127" s="9" t="s">
        <v>477</v>
      </c>
      <c r="I127" t="str">
        <f t="shared" si="8"/>
        <v>Sheets("calc1").Cells((Sheets("macromap").Cells(127, 5)), Sheets("macromap").Cells(127, 6)).Select</v>
      </c>
      <c r="J127" s="9" t="s">
        <v>480</v>
      </c>
      <c r="K127" t="str">
        <f t="shared" si="9"/>
        <v>Let localbasico3 = Sheets("macromap").Cells(127, 7)</v>
      </c>
    </row>
    <row r="128" spans="2:11" x14ac:dyDescent="0.35">
      <c r="B128" t="s">
        <v>192</v>
      </c>
      <c r="D128" t="s">
        <v>200</v>
      </c>
      <c r="E128" s="5">
        <v>135</v>
      </c>
      <c r="F128" s="5">
        <v>7</v>
      </c>
      <c r="H128" s="9" t="s">
        <v>477</v>
      </c>
      <c r="I128" t="str">
        <f t="shared" si="8"/>
        <v>Sheets("calc1").Cells((Sheets("macromap").Cells(128, 5)), Sheets("macromap").Cells(128, 6)).Select</v>
      </c>
      <c r="J128" s="9" t="s">
        <v>480</v>
      </c>
      <c r="K128" t="str">
        <f t="shared" si="9"/>
        <v>Let localbasico4 = Sheets("macromap").Cells(128, 7)</v>
      </c>
    </row>
    <row r="129" spans="2:11" x14ac:dyDescent="0.35">
      <c r="B129" t="s">
        <v>193</v>
      </c>
      <c r="D129" t="s">
        <v>200</v>
      </c>
      <c r="E129" s="5">
        <v>135</v>
      </c>
      <c r="F129" s="5">
        <v>8</v>
      </c>
      <c r="H129" s="9" t="s">
        <v>477</v>
      </c>
      <c r="I129" t="str">
        <f t="shared" si="8"/>
        <v>Sheets("calc1").Cells((Sheets("macromap").Cells(129, 5)), Sheets("macromap").Cells(129, 6)).Select</v>
      </c>
      <c r="J129" s="9" t="s">
        <v>480</v>
      </c>
      <c r="K129" t="str">
        <f t="shared" si="9"/>
        <v>Let localbasico5 = Sheets("macromap").Cells(129, 7)</v>
      </c>
    </row>
    <row r="130" spans="2:11" x14ac:dyDescent="0.35">
      <c r="B130" t="s">
        <v>194</v>
      </c>
      <c r="D130" t="s">
        <v>201</v>
      </c>
      <c r="E130" s="5">
        <v>135</v>
      </c>
      <c r="F130" s="5">
        <v>4</v>
      </c>
      <c r="H130" s="9" t="s">
        <v>477</v>
      </c>
      <c r="I130" t="str">
        <f t="shared" si="8"/>
        <v>Sheets("calc2").Cells((Sheets("macromap").Cells(130, 5)), Sheets("macromap").Cells(130, 6)).Select</v>
      </c>
      <c r="J130" s="9" t="s">
        <v>480</v>
      </c>
      <c r="K130" t="str">
        <f t="shared" si="9"/>
        <v>Let localbasicr1 = Sheets("macromap").Cells(130, 7)</v>
      </c>
    </row>
    <row r="131" spans="2:11" x14ac:dyDescent="0.35">
      <c r="B131" t="s">
        <v>196</v>
      </c>
      <c r="D131" t="s">
        <v>201</v>
      </c>
      <c r="E131" s="5">
        <v>135</v>
      </c>
      <c r="F131" s="5">
        <v>5</v>
      </c>
      <c r="H131" s="9" t="s">
        <v>477</v>
      </c>
      <c r="I131" t="str">
        <f t="shared" si="8"/>
        <v>Sheets("calc2").Cells((Sheets("macromap").Cells(131, 5)), Sheets("macromap").Cells(131, 6)).Select</v>
      </c>
      <c r="J131" s="9" t="s">
        <v>480</v>
      </c>
      <c r="K131" t="str">
        <f t="shared" si="9"/>
        <v>Let localbasicr2 = Sheets("macromap").Cells(131, 7)</v>
      </c>
    </row>
    <row r="132" spans="2:11" x14ac:dyDescent="0.35">
      <c r="B132" t="s">
        <v>197</v>
      </c>
      <c r="D132" t="s">
        <v>201</v>
      </c>
      <c r="E132" s="5">
        <v>135</v>
      </c>
      <c r="F132" s="5">
        <v>6</v>
      </c>
      <c r="H132" s="9" t="s">
        <v>477</v>
      </c>
      <c r="I132" t="str">
        <f t="shared" si="8"/>
        <v>Sheets("calc2").Cells((Sheets("macromap").Cells(132, 5)), Sheets("macromap").Cells(132, 6)).Select</v>
      </c>
      <c r="J132" s="9" t="s">
        <v>480</v>
      </c>
      <c r="K132" t="str">
        <f t="shared" si="9"/>
        <v>Let localbasicr3 = Sheets("macromap").Cells(132, 7)</v>
      </c>
    </row>
    <row r="133" spans="2:11" x14ac:dyDescent="0.35">
      <c r="B133" t="s">
        <v>198</v>
      </c>
      <c r="D133" t="s">
        <v>201</v>
      </c>
      <c r="E133" s="5">
        <v>135</v>
      </c>
      <c r="F133" s="5">
        <v>7</v>
      </c>
      <c r="H133" s="9" t="s">
        <v>477</v>
      </c>
      <c r="I133" t="str">
        <f t="shared" si="8"/>
        <v>Sheets("calc2").Cells((Sheets("macromap").Cells(133, 5)), Sheets("macromap").Cells(133, 6)).Select</v>
      </c>
      <c r="J133" s="9" t="s">
        <v>480</v>
      </c>
      <c r="K133" t="str">
        <f t="shared" si="9"/>
        <v>Let localbasicr4 = Sheets("macromap").Cells(133, 7)</v>
      </c>
    </row>
    <row r="134" spans="2:11" x14ac:dyDescent="0.35">
      <c r="B134" t="s">
        <v>199</v>
      </c>
      <c r="D134" t="s">
        <v>201</v>
      </c>
      <c r="E134" s="5">
        <v>135</v>
      </c>
      <c r="F134" s="5">
        <v>8</v>
      </c>
      <c r="H134" s="9" t="s">
        <v>477</v>
      </c>
      <c r="I134" t="str">
        <f t="shared" si="8"/>
        <v>Sheets("calc2").Cells((Sheets("macromap").Cells(134, 5)), Sheets("macromap").Cells(134, 6)).Select</v>
      </c>
      <c r="J134" s="9" t="s">
        <v>480</v>
      </c>
      <c r="K134" t="str">
        <f t="shared" si="9"/>
        <v>Let localbasicr5 = Sheets("macromap").Cells(134, 7)</v>
      </c>
    </row>
    <row r="135" spans="2:11" x14ac:dyDescent="0.35">
      <c r="B135" t="s">
        <v>202</v>
      </c>
      <c r="D135" t="s">
        <v>200</v>
      </c>
      <c r="E135" s="5">
        <v>135</v>
      </c>
      <c r="F135" s="5">
        <v>3</v>
      </c>
      <c r="H135" s="9" t="s">
        <v>477</v>
      </c>
      <c r="I135" t="str">
        <f t="shared" si="8"/>
        <v>Sheets("calc1").Cells((Sheets("macromap").Cells(135, 5)), Sheets("macromap").Cells(135, 6)).Select</v>
      </c>
      <c r="J135" s="9" t="s">
        <v>480</v>
      </c>
      <c r="K135" t="str">
        <f t="shared" si="9"/>
        <v>Let localbasicdesc = Sheets("macromap").Cells(135, 7)</v>
      </c>
    </row>
    <row r="136" spans="2:11" x14ac:dyDescent="0.35">
      <c r="B136" t="s">
        <v>1072</v>
      </c>
      <c r="C136" t="s">
        <v>1085</v>
      </c>
      <c r="D136" t="s">
        <v>449</v>
      </c>
      <c r="E136" s="5">
        <v>15</v>
      </c>
      <c r="F136" s="5">
        <v>4</v>
      </c>
      <c r="G136" s="5" t="str">
        <f>basic!D15</f>
        <v xml:space="preserve">2023/24 </v>
      </c>
      <c r="H136" s="9" t="s">
        <v>477</v>
      </c>
      <c r="I136" t="str">
        <f t="shared" si="8"/>
        <v>Sheets("basic").Cells((Sheets("macromap").Cells(136, 5)), Sheets("macromap").Cells(136, 6)).Select</v>
      </c>
      <c r="J136" s="9" t="s">
        <v>480</v>
      </c>
      <c r="K136" t="str">
        <f t="shared" si="9"/>
        <v>Let text_yr1 = Sheets("macromap").Cells(136, 7)</v>
      </c>
    </row>
    <row r="137" spans="2:11" x14ac:dyDescent="0.35">
      <c r="B137" t="s">
        <v>1081</v>
      </c>
      <c r="C137" t="s">
        <v>1085</v>
      </c>
      <c r="D137" t="s">
        <v>449</v>
      </c>
      <c r="E137" s="5">
        <v>16</v>
      </c>
      <c r="F137" s="5">
        <v>4</v>
      </c>
      <c r="G137" s="5" t="str">
        <f>basic!D16</f>
        <v xml:space="preserve">2024/25 </v>
      </c>
      <c r="H137" s="9" t="s">
        <v>477</v>
      </c>
      <c r="I137" t="str">
        <f t="shared" si="8"/>
        <v>Sheets("basic").Cells((Sheets("macromap").Cells(137, 5)), Sheets("macromap").Cells(137, 6)).Select</v>
      </c>
      <c r="J137" s="9" t="s">
        <v>480</v>
      </c>
      <c r="K137" t="str">
        <f t="shared" si="9"/>
        <v>Let text_yr2 = Sheets("macromap").Cells(137, 7)</v>
      </c>
    </row>
    <row r="138" spans="2:11" x14ac:dyDescent="0.35">
      <c r="B138" t="s">
        <v>1082</v>
      </c>
      <c r="C138" t="s">
        <v>1085</v>
      </c>
      <c r="D138" t="s">
        <v>449</v>
      </c>
      <c r="E138" s="5">
        <v>17</v>
      </c>
      <c r="F138" s="5">
        <v>4</v>
      </c>
      <c r="G138" s="5" t="str">
        <f>basic!D17</f>
        <v xml:space="preserve">2025/26 </v>
      </c>
      <c r="H138" s="9" t="s">
        <v>477</v>
      </c>
      <c r="I138" t="str">
        <f t="shared" si="8"/>
        <v>Sheets("basic").Cells((Sheets("macromap").Cells(138, 5)), Sheets("macromap").Cells(138, 6)).Select</v>
      </c>
      <c r="J138" s="9" t="s">
        <v>480</v>
      </c>
      <c r="K138" t="str">
        <f t="shared" si="9"/>
        <v>Let text_yr3 = Sheets("macromap").Cells(138, 7)</v>
      </c>
    </row>
    <row r="139" spans="2:11" x14ac:dyDescent="0.35">
      <c r="B139" t="s">
        <v>1083</v>
      </c>
      <c r="C139" t="s">
        <v>1085</v>
      </c>
      <c r="D139" t="s">
        <v>449</v>
      </c>
      <c r="E139" s="5">
        <v>18</v>
      </c>
      <c r="F139" s="5">
        <v>4</v>
      </c>
      <c r="G139" s="5" t="str">
        <f>basic!D18</f>
        <v xml:space="preserve">2026/27 </v>
      </c>
      <c r="H139" s="9" t="s">
        <v>477</v>
      </c>
      <c r="I139" t="str">
        <f t="shared" si="8"/>
        <v>Sheets("basic").Cells((Sheets("macromap").Cells(139, 5)), Sheets("macromap").Cells(139, 6)).Select</v>
      </c>
      <c r="J139" s="9" t="s">
        <v>480</v>
      </c>
      <c r="K139" t="str">
        <f t="shared" si="9"/>
        <v>Let text_yr4 = Sheets("macromap").Cells(139, 7)</v>
      </c>
    </row>
    <row r="140" spans="2:11" x14ac:dyDescent="0.35">
      <c r="B140" t="s">
        <v>1084</v>
      </c>
      <c r="C140" t="s">
        <v>1085</v>
      </c>
      <c r="D140" t="s">
        <v>449</v>
      </c>
      <c r="E140" s="5">
        <v>19</v>
      </c>
      <c r="F140" s="5">
        <v>4</v>
      </c>
      <c r="G140" s="5" t="str">
        <f>basic!D19</f>
        <v xml:space="preserve">2027/28 </v>
      </c>
      <c r="H140" s="9" t="s">
        <v>477</v>
      </c>
      <c r="I140" t="str">
        <f t="shared" si="8"/>
        <v>Sheets("basic").Cells((Sheets("macromap").Cells(140, 5)), Sheets("macromap").Cells(140, 6)).Select</v>
      </c>
      <c r="J140" s="9" t="s">
        <v>480</v>
      </c>
      <c r="K140" t="str">
        <f t="shared" si="9"/>
        <v>Let text_yr5 = Sheets("macromap").Cells(140, 7)</v>
      </c>
    </row>
    <row r="141" spans="2:11" x14ac:dyDescent="0.35">
      <c r="B141" t="s">
        <v>2159</v>
      </c>
      <c r="C141" t="s">
        <v>1085</v>
      </c>
      <c r="D141" t="s">
        <v>449</v>
      </c>
      <c r="E141" s="5">
        <v>20</v>
      </c>
      <c r="F141" s="5">
        <v>4</v>
      </c>
      <c r="G141" s="5" t="str">
        <f>basic!D20</f>
        <v xml:space="preserve">2028/29 </v>
      </c>
      <c r="H141" s="9" t="s">
        <v>477</v>
      </c>
      <c r="I141" t="str">
        <f t="shared" si="8"/>
        <v>Sheets("basic").Cells((Sheets("macromap").Cells(141, 5)), Sheets("macromap").Cells(141, 6)).Select</v>
      </c>
      <c r="J141" s="9" t="s">
        <v>480</v>
      </c>
      <c r="K141" t="str">
        <f t="shared" si="9"/>
        <v>Let text_yr6 = Sheets("macromap").Cells(141, 7)</v>
      </c>
    </row>
    <row r="142" spans="2:11" x14ac:dyDescent="0.35">
      <c r="B142" t="s">
        <v>2161</v>
      </c>
      <c r="D142" t="s">
        <v>200</v>
      </c>
      <c r="E142" s="5">
        <f>calc1!A135</f>
        <v>135</v>
      </c>
      <c r="F142" s="5">
        <v>1</v>
      </c>
      <c r="G142" s="5">
        <f>calc1!A135</f>
        <v>135</v>
      </c>
      <c r="H142" s="9" t="s">
        <v>477</v>
      </c>
      <c r="I142" t="str">
        <f t="shared" si="8"/>
        <v>Sheets("calc1").Cells((Sheets("macromap").Cells(142, 5)), Sheets("macromap").Cells(142, 6)).Select</v>
      </c>
      <c r="J142" s="9" t="s">
        <v>480</v>
      </c>
      <c r="K142" t="str">
        <f t="shared" si="9"/>
        <v>Let relrow = Sheets("macromap").Cells(142, 7)</v>
      </c>
    </row>
    <row r="143" spans="2:11" x14ac:dyDescent="0.35">
      <c r="B143" t="s">
        <v>176</v>
      </c>
      <c r="C143">
        <v>3</v>
      </c>
      <c r="D143" t="s">
        <v>175</v>
      </c>
      <c r="E143" s="5">
        <f>ROW(rjs!G18)</f>
        <v>18</v>
      </c>
      <c r="F143" s="5">
        <f>COLUMN((rjs!G18))</f>
        <v>7</v>
      </c>
      <c r="G143" s="5" t="s">
        <v>677</v>
      </c>
      <c r="H143" s="9" t="s">
        <v>477</v>
      </c>
      <c r="I143" t="str">
        <f t="shared" si="8"/>
        <v>Sheets("rjs").Cells((Sheets("macromap").Cells(143, 5)), Sheets("macromap").Cells(143, 6)).Select</v>
      </c>
      <c r="J143" s="9" t="s">
        <v>480</v>
      </c>
      <c r="K143" t="str">
        <f t="shared" si="9"/>
        <v>Let rjshome = Sheets("macromap").Cells(143, 7)</v>
      </c>
    </row>
    <row r="144" spans="2:11" x14ac:dyDescent="0.35">
      <c r="B144" t="s">
        <v>1857</v>
      </c>
      <c r="D144" t="s">
        <v>1313</v>
      </c>
      <c r="E144" s="5">
        <f>ROW(split!E6)</f>
        <v>6</v>
      </c>
      <c r="F144" s="5">
        <f>COLUMN((split!E6))</f>
        <v>5</v>
      </c>
      <c r="H144" s="9" t="s">
        <v>477</v>
      </c>
      <c r="I144" t="str">
        <f t="shared" si="8"/>
        <v>Sheets("split").Cells((Sheets("macromap").Cells(144, 5)), Sheets("macromap").Cells(144, 6)).Select</v>
      </c>
      <c r="J144" s="9" t="s">
        <v>480</v>
      </c>
      <c r="K144" t="str">
        <f t="shared" si="9"/>
        <v>Let splithome = Sheets("macromap").Cells(144, 7)</v>
      </c>
    </row>
    <row r="145" spans="2:11" x14ac:dyDescent="0.35">
      <c r="B145" t="s">
        <v>1560</v>
      </c>
      <c r="D145" t="s">
        <v>1315</v>
      </c>
      <c r="E145" s="5">
        <f>ROW(merge!D6)</f>
        <v>6</v>
      </c>
      <c r="F145" s="5">
        <f>COLUMN((merge!D6))</f>
        <v>4</v>
      </c>
      <c r="H145" s="9" t="s">
        <v>477</v>
      </c>
      <c r="I145" t="str">
        <f t="shared" ref="I145:I150" si="10">"Sheets("&amp;CHAR(34)&amp;D145&amp;CHAR(34)&amp;").Cells((Sheets(""macromap"").Cells("&amp;ROW(E145)&amp;", "&amp;COLUMN(E145)&amp;")), Sheets(""macromap"").Cells("&amp;ROW(F145)&amp;", "&amp;COLUMN(F145)&amp;")).Select"</f>
        <v>Sheets("merge").Cells((Sheets("macromap").Cells(145, 5)), Sheets("macromap").Cells(145, 6)).Select</v>
      </c>
      <c r="J145" s="9" t="s">
        <v>480</v>
      </c>
      <c r="K145" t="str">
        <f t="shared" ref="K145:K150" si="11">"Let "&amp;B145&amp;" = Sheets("&amp;CHAR(34)&amp;"macromap"&amp;CHAR(34)&amp;").Cells("&amp;ROW(G145)&amp;", "&amp;COLUMN(G145)&amp;")"</f>
        <v>Let mergehome = Sheets("macromap").Cells(145, 7)</v>
      </c>
    </row>
    <row r="146" spans="2:11" x14ac:dyDescent="0.35">
      <c r="B146" t="s">
        <v>1035</v>
      </c>
      <c r="D146" t="s">
        <v>2394</v>
      </c>
      <c r="E146" s="27">
        <f>ROW(s44a!F9)</f>
        <v>9</v>
      </c>
      <c r="F146" s="27">
        <f>COLUMN(s44a!F9)</f>
        <v>6</v>
      </c>
      <c r="H146" s="9" t="s">
        <v>477</v>
      </c>
      <c r="I146" t="str">
        <f t="shared" si="10"/>
        <v>Sheets("s44a").Cells((Sheets("macromap").Cells(146, 5)), Sheets("macromap").Cells(146, 6)).Select</v>
      </c>
      <c r="J146" s="9" t="s">
        <v>480</v>
      </c>
      <c r="K146" t="str">
        <f t="shared" si="11"/>
        <v>Let s44home = Sheets("macromap").Cells(146, 7)</v>
      </c>
    </row>
    <row r="147" spans="2:11" x14ac:dyDescent="0.35">
      <c r="B147" t="s">
        <v>2830</v>
      </c>
      <c r="D147" t="s">
        <v>691</v>
      </c>
      <c r="E147" s="5">
        <f>ROW(advanced!A49)</f>
        <v>49</v>
      </c>
      <c r="F147" s="27">
        <f>COLUMN(advanced!A49)</f>
        <v>1</v>
      </c>
      <c r="H147" s="9" t="s">
        <v>477</v>
      </c>
      <c r="I147" t="str">
        <f t="shared" si="10"/>
        <v>Sheets("advanced").Cells((Sheets("macromap").Cells(147, 5)), Sheets("macromap").Cells(147, 6)).Select</v>
      </c>
      <c r="J147" s="9" t="s">
        <v>480</v>
      </c>
      <c r="K147" t="str">
        <f t="shared" si="11"/>
        <v>Let improvement_top = Sheets("macromap").Cells(147, 7)</v>
      </c>
    </row>
    <row r="148" spans="2:11" x14ac:dyDescent="0.35">
      <c r="B148" t="s">
        <v>2831</v>
      </c>
      <c r="D148" t="s">
        <v>691</v>
      </c>
      <c r="E148" s="5">
        <f>ROW(advanced!A61)</f>
        <v>61</v>
      </c>
      <c r="F148" s="27">
        <f>COLUMN(advanced!A61)</f>
        <v>1</v>
      </c>
      <c r="H148" s="9" t="s">
        <v>477</v>
      </c>
      <c r="I148" t="str">
        <f t="shared" si="10"/>
        <v>Sheets("advanced").Cells((Sheets("macromap").Cells(148, 5)), Sheets("macromap").Cells(148, 6)).Select</v>
      </c>
      <c r="J148" s="9" t="s">
        <v>480</v>
      </c>
      <c r="K148" t="str">
        <f t="shared" si="11"/>
        <v>Let improvement_bottom = Sheets("macromap").Cells(148, 7)</v>
      </c>
    </row>
    <row r="149" spans="2:11" x14ac:dyDescent="0.35">
      <c r="B149" t="s">
        <v>2832</v>
      </c>
      <c r="D149" t="s">
        <v>691</v>
      </c>
      <c r="E149" s="5">
        <f>ROW(advanced!U53)</f>
        <v>53</v>
      </c>
      <c r="F149" s="27">
        <f>COLUMN(advanced!U53)</f>
        <v>21</v>
      </c>
      <c r="G149" s="5" t="str">
        <f>advanced!U53</f>
        <v>closed</v>
      </c>
      <c r="H149" s="9" t="s">
        <v>477</v>
      </c>
      <c r="I149" t="str">
        <f t="shared" si="10"/>
        <v>Sheets("advanced").Cells((Sheets("macromap").Cells(149, 5)), Sheets("macromap").Cells(149, 6)).Select</v>
      </c>
      <c r="J149" s="9" t="s">
        <v>480</v>
      </c>
      <c r="K149" t="str">
        <f t="shared" si="11"/>
        <v>Let improvement_open_or_closed = Sheets("macromap").Cells(149, 7)</v>
      </c>
    </row>
    <row r="150" spans="2:11" x14ac:dyDescent="0.35">
      <c r="B150" t="s">
        <v>2857</v>
      </c>
      <c r="D150" t="s">
        <v>691</v>
      </c>
      <c r="E150" s="5">
        <f>ROW(advanced!W103)</f>
        <v>103</v>
      </c>
      <c r="F150" s="27">
        <f>COLUMN(advanced!W103)</f>
        <v>23</v>
      </c>
      <c r="G150" s="5" t="b">
        <f ca="1">advanced!W103</f>
        <v>1</v>
      </c>
      <c r="H150" s="9" t="s">
        <v>477</v>
      </c>
      <c r="I150" t="str">
        <f t="shared" si="10"/>
        <v>Sheets("advanced").Cells((Sheets("macromap").Cells(150, 5)), Sheets("macromap").Cells(150, 6)).Select</v>
      </c>
      <c r="J150" s="9" t="s">
        <v>480</v>
      </c>
      <c r="K150" t="str">
        <f t="shared" si="11"/>
        <v>Let adv_all_ok = Sheets("macromap").Cells(150, 7)</v>
      </c>
    </row>
    <row r="151" spans="2:11" x14ac:dyDescent="0.35">
      <c r="B151" t="s">
        <v>2858</v>
      </c>
      <c r="D151" t="s">
        <v>691</v>
      </c>
      <c r="E151" s="5">
        <f>ROW(advanced!H66)</f>
        <v>66</v>
      </c>
      <c r="F151" s="27">
        <f>COLUMN(advanced!H66)</f>
        <v>8</v>
      </c>
      <c r="G151" s="5" t="e">
        <f ca="1">advanced!H66</f>
        <v>#N/A</v>
      </c>
      <c r="H151" s="9" t="s">
        <v>477</v>
      </c>
      <c r="I151" t="str">
        <f t="shared" ref="I151:I159" si="12">"Sheets("&amp;CHAR(34)&amp;D151&amp;CHAR(34)&amp;").Cells((Sheets(""macromap"").Cells("&amp;ROW(E151)&amp;", "&amp;COLUMN(E151)&amp;")), Sheets(""macromap"").Cells("&amp;ROW(F151)&amp;", "&amp;COLUMN(F151)&amp;")).Select"</f>
        <v>Sheets("advanced").Cells((Sheets("macromap").Cells(151, 5)), Sheets("macromap").Cells(151, 6)).Select</v>
      </c>
      <c r="J151" s="9" t="s">
        <v>480</v>
      </c>
      <c r="K151" t="str">
        <f t="shared" ref="K151:K159" si="13">"Let "&amp;B151&amp;" = Sheets("&amp;CHAR(34)&amp;"macromap"&amp;CHAR(34)&amp;").Cells("&amp;ROW(G151)&amp;", "&amp;COLUMN(G151)&amp;")"</f>
        <v>Let adv_error_message = Sheets("macromap").Cells(151, 7)</v>
      </c>
    </row>
    <row r="152" spans="2:11" x14ac:dyDescent="0.35">
      <c r="B152" t="s">
        <v>2916</v>
      </c>
      <c r="D152" t="s">
        <v>691</v>
      </c>
      <c r="E152" s="5">
        <f>ROW(advanced!AN12)</f>
        <v>12</v>
      </c>
      <c r="F152" s="5">
        <f>COLUMN(advanced!AN12)</f>
        <v>40</v>
      </c>
      <c r="G152" s="15">
        <f>advanced!AN12</f>
        <v>0</v>
      </c>
      <c r="H152" s="9" t="s">
        <v>477</v>
      </c>
      <c r="I152" t="str">
        <f t="shared" si="12"/>
        <v>Sheets("advanced").Cells((Sheets("macromap").Cells(152, 5)), Sheets("macromap").Cells(152, 6)).Select</v>
      </c>
      <c r="J152" s="9" t="s">
        <v>480</v>
      </c>
      <c r="K152" t="str">
        <f t="shared" si="13"/>
        <v>Let adv_rhlinput_orig = Sheets("macromap").Cells(152, 7)</v>
      </c>
    </row>
    <row r="153" spans="2:11" x14ac:dyDescent="0.35">
      <c r="B153" t="s">
        <v>2917</v>
      </c>
      <c r="D153" t="s">
        <v>691</v>
      </c>
      <c r="E153" s="5">
        <f>ROW(advanced!AN13)</f>
        <v>13</v>
      </c>
      <c r="F153" s="5">
        <f>COLUMN(advanced!AN13)</f>
        <v>40</v>
      </c>
      <c r="G153" s="15" t="str">
        <f>advanced!AN13</f>
        <v>n</v>
      </c>
      <c r="H153" s="9" t="s">
        <v>477</v>
      </c>
      <c r="I153" t="str">
        <f t="shared" si="12"/>
        <v>Sheets("advanced").Cells((Sheets("macromap").Cells(153, 5)), Sheets("macromap").Cells(153, 6)).Select</v>
      </c>
      <c r="J153" s="9" t="s">
        <v>480</v>
      </c>
      <c r="K153" t="str">
        <f t="shared" si="13"/>
        <v>Let adv_rhlinputy_orig = Sheets("macromap").Cells(153, 7)</v>
      </c>
    </row>
    <row r="154" spans="2:11" x14ac:dyDescent="0.35">
      <c r="B154" t="s">
        <v>2918</v>
      </c>
      <c r="D154" t="s">
        <v>691</v>
      </c>
      <c r="E154" s="5">
        <f>ROW(advanced!AO12)</f>
        <v>12</v>
      </c>
      <c r="F154" s="5">
        <f>COLUMN(advanced!AO12)</f>
        <v>41</v>
      </c>
      <c r="G154" s="15">
        <f>advanced!AO12</f>
        <v>0</v>
      </c>
      <c r="H154" s="9" t="s">
        <v>477</v>
      </c>
      <c r="I154" t="str">
        <f t="shared" si="12"/>
        <v>Sheets("advanced").Cells((Sheets("macromap").Cells(154, 5)), Sheets("macromap").Cells(154, 6)).Select</v>
      </c>
      <c r="J154" s="9" t="s">
        <v>480</v>
      </c>
      <c r="K154" t="str">
        <f t="shared" si="13"/>
        <v>Let adv_rhlinput_rev = Sheets("macromap").Cells(154, 7)</v>
      </c>
    </row>
    <row r="155" spans="2:11" x14ac:dyDescent="0.35">
      <c r="B155" t="s">
        <v>2919</v>
      </c>
      <c r="D155" t="s">
        <v>691</v>
      </c>
      <c r="E155" s="5">
        <f>ROW(advanced!AO13)</f>
        <v>13</v>
      </c>
      <c r="F155" s="5">
        <f>COLUMN(advanced!AO13)</f>
        <v>41</v>
      </c>
      <c r="G155" s="15" t="str">
        <f>advanced!AO13</f>
        <v>n</v>
      </c>
      <c r="H155" s="9" t="s">
        <v>477</v>
      </c>
      <c r="I155" t="str">
        <f t="shared" si="12"/>
        <v>Sheets("advanced").Cells((Sheets("macromap").Cells(155, 5)), Sheets("macromap").Cells(155, 6)).Select</v>
      </c>
      <c r="J155" s="9" t="s">
        <v>480</v>
      </c>
      <c r="K155" t="str">
        <f t="shared" si="13"/>
        <v>Let adv_rhlinputy_rev = Sheets("macromap").Cells(155, 7)</v>
      </c>
    </row>
    <row r="156" spans="2:11" x14ac:dyDescent="0.35">
      <c r="B156" t="s">
        <v>2949</v>
      </c>
      <c r="D156" t="s">
        <v>691</v>
      </c>
      <c r="E156" s="5">
        <f>ROW(advanced!AJ11)</f>
        <v>11</v>
      </c>
      <c r="F156" s="5">
        <f>COLUMN(advanced!AJ11)</f>
        <v>36</v>
      </c>
      <c r="G156" s="15" t="b">
        <f>advanced!AJ11</f>
        <v>0</v>
      </c>
      <c r="H156" s="9" t="s">
        <v>477</v>
      </c>
      <c r="I156" t="str">
        <f t="shared" si="12"/>
        <v>Sheets("advanced").Cells((Sheets("macromap").Cells(156, 5)), Sheets("macromap").Cells(156, 6)).Select</v>
      </c>
      <c r="J156" s="9" t="s">
        <v>480</v>
      </c>
      <c r="K156" t="str">
        <f t="shared" si="13"/>
        <v>Let adv_ssbr_prevo = Sheets("macromap").Cells(156, 7)</v>
      </c>
    </row>
    <row r="157" spans="2:11" x14ac:dyDescent="0.35">
      <c r="B157" t="s">
        <v>2950</v>
      </c>
      <c r="D157" t="s">
        <v>691</v>
      </c>
      <c r="E157" s="5">
        <f>ROW(advanced!AK11)</f>
        <v>11</v>
      </c>
      <c r="F157" s="5">
        <f>COLUMN(advanced!AK11)</f>
        <v>37</v>
      </c>
      <c r="G157" s="15" t="b">
        <f>advanced!AK11</f>
        <v>0</v>
      </c>
      <c r="H157" s="9" t="s">
        <v>477</v>
      </c>
      <c r="I157" t="str">
        <f t="shared" si="12"/>
        <v>Sheets("advanced").Cells((Sheets("macromap").Cells(157, 5)), Sheets("macromap").Cells(157, 6)).Select</v>
      </c>
      <c r="J157" s="9" t="s">
        <v>480</v>
      </c>
      <c r="K157" t="str">
        <f t="shared" si="13"/>
        <v>Let adv_ssbr_prevr = Sheets("macromap").Cells(157, 7)</v>
      </c>
    </row>
    <row r="158" spans="2:11" x14ac:dyDescent="0.35">
      <c r="B158" t="s">
        <v>2951</v>
      </c>
      <c r="D158" t="s">
        <v>691</v>
      </c>
      <c r="E158" s="5">
        <f>ROW(advanced!AJ5)</f>
        <v>5</v>
      </c>
      <c r="F158" s="5">
        <f>COLUMN(advanced!AJ5)</f>
        <v>36</v>
      </c>
      <c r="G158" s="15" t="b">
        <f>advanced!AJ5</f>
        <v>0</v>
      </c>
      <c r="H158" s="9" t="s">
        <v>477</v>
      </c>
      <c r="I158" t="str">
        <f t="shared" si="12"/>
        <v>Sheets("advanced").Cells((Sheets("macromap").Cells(158, 5)), Sheets("macromap").Cells(158, 6)).Select</v>
      </c>
      <c r="J158" s="9" t="s">
        <v>480</v>
      </c>
      <c r="K158" t="str">
        <f t="shared" si="13"/>
        <v>Let adv_ssbr_o = Sheets("macromap").Cells(158, 7)</v>
      </c>
    </row>
    <row r="159" spans="2:11" x14ac:dyDescent="0.35">
      <c r="B159" t="s">
        <v>2952</v>
      </c>
      <c r="D159" t="s">
        <v>691</v>
      </c>
      <c r="E159" s="5">
        <f>ROW(advanced!AK5)</f>
        <v>5</v>
      </c>
      <c r="F159" s="5">
        <f>COLUMN(advanced!AK5)</f>
        <v>37</v>
      </c>
      <c r="G159" s="15" t="b">
        <f>advanced!AK5</f>
        <v>0</v>
      </c>
      <c r="H159" s="9" t="s">
        <v>477</v>
      </c>
      <c r="I159" t="str">
        <f t="shared" si="12"/>
        <v>Sheets("advanced").Cells((Sheets("macromap").Cells(159, 5)), Sheets("macromap").Cells(159, 6)).Select</v>
      </c>
      <c r="J159" s="9" t="s">
        <v>480</v>
      </c>
      <c r="K159" t="str">
        <f t="shared" si="13"/>
        <v>Let adv_ssbr_r = Sheets("macromap").Cells(159, 7)</v>
      </c>
    </row>
  </sheetData>
  <sheetProtection password="BCD8" sheet="1" objects="1" scenarios="1"/>
  <phoneticPr fontId="0" type="noConversion"/>
  <pageMargins left="0.7" right="0.7" top="0.75" bottom="0.75" header="0.3" footer="0.3"/>
  <pageSetup paperSize="9"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4AB0E-A52D-4769-B4B3-4F5F55183C87}">
  <sheetPr codeName="Sheet26"/>
  <dimension ref="A1"/>
  <sheetViews>
    <sheetView workbookViewId="0">
      <selection activeCell="B2" sqref="B2"/>
    </sheetView>
  </sheetViews>
  <sheetFormatPr defaultRowHeight="14.5" x14ac:dyDescent="0.35"/>
  <sheetData>
    <row r="1" spans="1:1" x14ac:dyDescent="0.35">
      <c r="A1" t="s">
        <v>670</v>
      </c>
    </row>
  </sheetData>
  <phoneticPr fontId="0" type="noConversion"/>
  <pageMargins left="0.7" right="0.7" top="0.75" bottom="0.75" header="0.3" footer="0.3"/>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4EF14-5F81-4454-A547-373F101F8DA0}">
  <sheetPr codeName="Sheet3"/>
  <dimension ref="A1:Z48"/>
  <sheetViews>
    <sheetView showGridLines="0" zoomScaleNormal="100" workbookViewId="0"/>
  </sheetViews>
  <sheetFormatPr defaultColWidth="9.08984375" defaultRowHeight="15.5" x14ac:dyDescent="0.35"/>
  <cols>
    <col min="1" max="1" width="15.08984375" style="162" customWidth="1"/>
    <col min="2" max="2" width="8.54296875" style="162" customWidth="1"/>
    <col min="3" max="3" width="3.08984375" style="162" customWidth="1"/>
    <col min="4" max="4" width="15.08984375" style="162" customWidth="1"/>
    <col min="5" max="5" width="3.36328125" style="162" customWidth="1"/>
    <col min="6" max="6" width="18.453125" style="162" customWidth="1"/>
    <col min="7" max="7" width="3.36328125" style="162" customWidth="1"/>
    <col min="8" max="8" width="18.6328125" style="162" customWidth="1"/>
    <col min="9" max="9" width="16.6328125" style="162" customWidth="1"/>
    <col min="10" max="10" width="4" style="162" customWidth="1"/>
    <col min="11" max="11" width="2.6328125" style="162" customWidth="1"/>
    <col min="12" max="12" width="23.36328125" style="162" customWidth="1"/>
    <col min="13" max="13" width="7.36328125" style="162" customWidth="1"/>
    <col min="14" max="14" width="8.6328125" style="162" customWidth="1"/>
    <col min="15" max="16384" width="9.08984375" style="162"/>
  </cols>
  <sheetData>
    <row r="1" spans="1:26" ht="14.25" customHeight="1" x14ac:dyDescent="0.35">
      <c r="A1" s="578"/>
      <c r="B1" s="578"/>
      <c r="C1" s="578"/>
      <c r="D1" s="578"/>
      <c r="E1" s="578"/>
      <c r="F1" s="578"/>
      <c r="G1" s="578"/>
      <c r="H1" s="578"/>
      <c r="I1" s="578"/>
      <c r="J1" s="578"/>
      <c r="K1" s="578"/>
      <c r="L1" s="578"/>
      <c r="M1" s="578"/>
      <c r="N1" s="578"/>
      <c r="O1" s="578"/>
      <c r="P1" s="578"/>
      <c r="Q1" s="578"/>
      <c r="R1" s="578"/>
      <c r="S1" s="578"/>
      <c r="T1" s="578"/>
      <c r="U1" s="578"/>
      <c r="V1" s="578"/>
      <c r="W1" s="578"/>
      <c r="X1" s="578"/>
      <c r="Y1" s="578"/>
      <c r="Z1" s="578"/>
    </row>
    <row r="2" spans="1:26" ht="6.75" customHeight="1" thickBot="1" x14ac:dyDescent="0.4">
      <c r="A2" s="578"/>
      <c r="B2" s="578"/>
      <c r="C2" s="578"/>
      <c r="D2" s="578"/>
      <c r="E2" s="578"/>
      <c r="F2" s="578"/>
      <c r="G2" s="578"/>
      <c r="H2" s="578"/>
      <c r="I2" s="578"/>
      <c r="J2" s="578"/>
      <c r="K2" s="578"/>
      <c r="L2" s="578"/>
      <c r="M2" s="578"/>
      <c r="N2" s="578"/>
      <c r="O2" s="578"/>
      <c r="P2" s="578"/>
      <c r="Q2" s="578"/>
      <c r="R2" s="578"/>
      <c r="S2" s="578"/>
      <c r="T2" s="578"/>
      <c r="U2" s="578"/>
      <c r="V2" s="578"/>
      <c r="W2" s="578"/>
      <c r="X2" s="578"/>
      <c r="Y2" s="578"/>
      <c r="Z2" s="578"/>
    </row>
    <row r="3" spans="1:26" ht="22.5" customHeight="1" thickTop="1" x14ac:dyDescent="0.4">
      <c r="A3" s="578"/>
      <c r="B3" s="578"/>
      <c r="C3" s="1240"/>
      <c r="D3" s="1241"/>
      <c r="E3" s="1242"/>
      <c r="F3" s="1242"/>
      <c r="G3" s="1242"/>
      <c r="H3" s="1242"/>
      <c r="I3" s="1242"/>
      <c r="J3" s="1243"/>
      <c r="K3" s="578"/>
      <c r="L3" s="578"/>
      <c r="M3" s="578"/>
      <c r="N3" s="578"/>
      <c r="O3" s="578"/>
      <c r="P3" s="578"/>
      <c r="Q3" s="578"/>
      <c r="R3" s="578"/>
      <c r="S3" s="578"/>
      <c r="T3" s="578"/>
      <c r="U3" s="578"/>
      <c r="V3" s="578"/>
      <c r="W3" s="578"/>
      <c r="X3" s="578"/>
      <c r="Y3" s="578"/>
      <c r="Z3" s="578"/>
    </row>
    <row r="4" spans="1:26" ht="22.5" customHeight="1" x14ac:dyDescent="0.35">
      <c r="A4" s="578"/>
      <c r="B4" s="578"/>
      <c r="C4" s="1244"/>
      <c r="D4" s="1245"/>
      <c r="E4" s="1246"/>
      <c r="F4" s="1246"/>
      <c r="G4" s="1246"/>
      <c r="H4" s="1246"/>
      <c r="I4" s="1247"/>
      <c r="J4" s="1248"/>
      <c r="K4" s="578"/>
      <c r="L4" s="578"/>
      <c r="M4" s="578"/>
      <c r="N4" s="578"/>
      <c r="O4" s="578"/>
      <c r="P4" s="578"/>
      <c r="Q4" s="578"/>
      <c r="R4" s="578"/>
      <c r="S4" s="578"/>
      <c r="T4" s="578"/>
      <c r="U4" s="578"/>
      <c r="V4" s="578"/>
      <c r="W4" s="578"/>
      <c r="X4" s="578"/>
      <c r="Y4" s="578"/>
      <c r="Z4" s="578"/>
    </row>
    <row r="5" spans="1:26" ht="18" customHeight="1" x14ac:dyDescent="0.35">
      <c r="A5" s="578"/>
      <c r="B5" s="578"/>
      <c r="C5" s="1244"/>
      <c r="D5" s="1249"/>
      <c r="E5" s="1250"/>
      <c r="F5" s="1250"/>
      <c r="G5" s="1251"/>
      <c r="H5" s="1252"/>
      <c r="I5" s="1253"/>
      <c r="J5" s="1248"/>
      <c r="K5" s="578"/>
      <c r="L5" s="578"/>
      <c r="M5" s="578"/>
      <c r="N5" s="578"/>
      <c r="O5" s="578"/>
      <c r="P5" s="578"/>
      <c r="Q5" s="578"/>
      <c r="R5" s="578"/>
      <c r="S5" s="578"/>
      <c r="T5" s="578"/>
      <c r="U5" s="578"/>
      <c r="V5" s="578"/>
      <c r="W5" s="578"/>
      <c r="X5" s="578"/>
      <c r="Y5" s="578"/>
      <c r="Z5" s="578"/>
    </row>
    <row r="6" spans="1:26" ht="18" customHeight="1" x14ac:dyDescent="0.35">
      <c r="A6" s="578"/>
      <c r="B6" s="578"/>
      <c r="C6" s="1244"/>
      <c r="D6" s="1249"/>
      <c r="E6" s="1250"/>
      <c r="F6" s="1250"/>
      <c r="G6" s="1250"/>
      <c r="H6" s="1254"/>
      <c r="I6" s="1253"/>
      <c r="J6" s="1248"/>
      <c r="K6" s="578"/>
      <c r="L6" s="578"/>
      <c r="M6" s="578"/>
      <c r="N6" s="578"/>
      <c r="O6" s="578"/>
      <c r="P6" s="578"/>
      <c r="Q6" s="578"/>
      <c r="R6" s="578"/>
      <c r="S6" s="578"/>
      <c r="T6" s="578"/>
      <c r="U6" s="578"/>
      <c r="V6" s="578"/>
      <c r="W6" s="578"/>
      <c r="X6" s="578"/>
      <c r="Y6" s="578"/>
      <c r="Z6" s="578"/>
    </row>
    <row r="7" spans="1:26" ht="18" customHeight="1" x14ac:dyDescent="0.35">
      <c r="A7" s="578"/>
      <c r="B7" s="578"/>
      <c r="C7" s="1244"/>
      <c r="D7" s="1249"/>
      <c r="E7" s="1250"/>
      <c r="F7" s="1250"/>
      <c r="G7" s="1250"/>
      <c r="H7" s="1254"/>
      <c r="I7" s="1253"/>
      <c r="J7" s="1248"/>
      <c r="K7" s="578"/>
      <c r="L7" s="578"/>
      <c r="M7" s="578"/>
      <c r="N7" s="578"/>
      <c r="O7" s="578"/>
      <c r="P7" s="578"/>
      <c r="Q7" s="578"/>
      <c r="R7" s="578"/>
      <c r="S7" s="578"/>
      <c r="T7" s="578"/>
      <c r="U7" s="578"/>
      <c r="V7" s="578"/>
      <c r="W7" s="578"/>
      <c r="X7" s="578"/>
      <c r="Y7" s="578"/>
      <c r="Z7" s="578"/>
    </row>
    <row r="8" spans="1:26" x14ac:dyDescent="0.35">
      <c r="A8" s="578"/>
      <c r="B8" s="578"/>
      <c r="C8" s="1244"/>
      <c r="D8" s="1255"/>
      <c r="E8" s="1250"/>
      <c r="F8" s="1250"/>
      <c r="G8" s="1250"/>
      <c r="H8" s="1250"/>
      <c r="I8" s="1256"/>
      <c r="J8" s="1248"/>
      <c r="K8" s="578"/>
      <c r="L8" s="578"/>
      <c r="M8" s="578"/>
      <c r="N8" s="578"/>
      <c r="O8" s="578"/>
      <c r="P8" s="578"/>
      <c r="Q8" s="578"/>
      <c r="R8" s="578"/>
      <c r="S8" s="578"/>
      <c r="T8" s="578"/>
      <c r="U8" s="578"/>
      <c r="V8" s="578"/>
      <c r="W8" s="578"/>
      <c r="X8" s="578"/>
      <c r="Y8" s="578"/>
      <c r="Z8" s="578"/>
    </row>
    <row r="9" spans="1:26" ht="20.25" customHeight="1" x14ac:dyDescent="0.35">
      <c r="A9" s="578"/>
      <c r="B9" s="578"/>
      <c r="C9" s="1244"/>
      <c r="D9" s="1245"/>
      <c r="E9" s="1257"/>
      <c r="F9" s="1257"/>
      <c r="G9" s="1258"/>
      <c r="H9" s="1259"/>
      <c r="I9" s="1260"/>
      <c r="J9" s="1248"/>
      <c r="K9" s="578"/>
      <c r="L9" s="578"/>
      <c r="M9" s="578"/>
      <c r="N9" s="578"/>
      <c r="O9" s="578"/>
      <c r="P9" s="578"/>
      <c r="Q9" s="578"/>
      <c r="R9" s="578"/>
      <c r="S9" s="578"/>
      <c r="T9" s="578"/>
      <c r="U9" s="578"/>
      <c r="V9" s="578"/>
      <c r="W9" s="578"/>
      <c r="X9" s="578"/>
      <c r="Y9" s="578"/>
      <c r="Z9" s="578"/>
    </row>
    <row r="10" spans="1:26" ht="16.5" customHeight="1" x14ac:dyDescent="0.35">
      <c r="A10" s="578"/>
      <c r="B10" s="578"/>
      <c r="C10" s="1244"/>
      <c r="D10" s="1249"/>
      <c r="E10" s="1250"/>
      <c r="F10" s="1250"/>
      <c r="G10" s="1250"/>
      <c r="H10" s="1250"/>
      <c r="I10" s="1261"/>
      <c r="J10" s="1248"/>
      <c r="K10" s="578"/>
      <c r="L10" s="578"/>
      <c r="M10" s="578"/>
      <c r="N10" s="578"/>
      <c r="O10" s="578"/>
      <c r="P10" s="578"/>
      <c r="Q10" s="578"/>
      <c r="R10" s="578"/>
      <c r="S10" s="578"/>
      <c r="T10" s="578"/>
      <c r="U10" s="578"/>
      <c r="V10" s="578"/>
      <c r="W10" s="578"/>
      <c r="X10" s="578"/>
      <c r="Y10" s="578"/>
      <c r="Z10" s="578"/>
    </row>
    <row r="11" spans="1:26" ht="16.5" customHeight="1" x14ac:dyDescent="0.35">
      <c r="A11" s="578"/>
      <c r="B11" s="578"/>
      <c r="C11" s="1244"/>
      <c r="D11" s="25"/>
      <c r="E11" s="2"/>
      <c r="F11" s="2"/>
      <c r="G11" s="2"/>
      <c r="H11" s="2"/>
      <c r="I11" s="2"/>
      <c r="J11" s="1248"/>
      <c r="K11" s="578"/>
      <c r="L11" s="578"/>
      <c r="M11" s="578"/>
      <c r="N11" s="578"/>
      <c r="O11" s="578"/>
      <c r="P11" s="578"/>
      <c r="Q11" s="578"/>
      <c r="R11" s="578"/>
      <c r="S11" s="578"/>
      <c r="T11" s="578"/>
      <c r="U11" s="578"/>
      <c r="V11" s="578"/>
      <c r="W11" s="578"/>
      <c r="X11" s="578"/>
      <c r="Y11" s="578"/>
      <c r="Z11" s="578"/>
    </row>
    <row r="12" spans="1:26" ht="21" customHeight="1" x14ac:dyDescent="0.35">
      <c r="A12" s="578"/>
      <c r="B12" s="578"/>
      <c r="C12" s="1244"/>
      <c r="D12" s="542"/>
      <c r="E12" s="543"/>
      <c r="F12" s="543"/>
      <c r="G12" s="543"/>
      <c r="H12" s="543"/>
      <c r="I12" s="544"/>
      <c r="J12" s="1248"/>
      <c r="K12" s="578"/>
      <c r="L12" s="578"/>
      <c r="M12" s="578"/>
      <c r="N12" s="578"/>
      <c r="O12" s="578"/>
      <c r="P12" s="578"/>
      <c r="Q12" s="578"/>
      <c r="R12" s="578"/>
      <c r="S12" s="578"/>
      <c r="T12" s="578"/>
      <c r="U12" s="578"/>
      <c r="V12" s="578"/>
      <c r="W12" s="578"/>
      <c r="X12" s="578"/>
      <c r="Y12" s="578"/>
      <c r="Z12" s="578"/>
    </row>
    <row r="13" spans="1:26" ht="6.75" customHeight="1" x14ac:dyDescent="0.35">
      <c r="A13" s="578"/>
      <c r="B13" s="578"/>
      <c r="C13" s="1244"/>
      <c r="D13" s="2"/>
      <c r="E13" s="2"/>
      <c r="F13" s="2"/>
      <c r="G13" s="2"/>
      <c r="H13" s="2"/>
      <c r="I13" s="2"/>
      <c r="J13" s="1248"/>
      <c r="K13" s="578"/>
      <c r="L13" s="578"/>
      <c r="M13" s="578"/>
      <c r="N13" s="578"/>
      <c r="O13" s="578"/>
      <c r="P13" s="578"/>
      <c r="Q13" s="578"/>
      <c r="R13" s="578"/>
      <c r="S13" s="578"/>
      <c r="T13" s="578"/>
      <c r="U13" s="578"/>
      <c r="V13" s="578"/>
      <c r="W13" s="578"/>
      <c r="X13" s="578"/>
      <c r="Y13" s="578"/>
      <c r="Z13" s="578"/>
    </row>
    <row r="14" spans="1:26" ht="21" customHeight="1" x14ac:dyDescent="0.35">
      <c r="A14" s="578"/>
      <c r="B14" s="578"/>
      <c r="C14" s="1244"/>
      <c r="D14" s="34"/>
      <c r="E14" s="1262"/>
      <c r="F14" s="1262"/>
      <c r="G14" s="1262"/>
      <c r="H14" s="1262"/>
      <c r="I14" s="1262"/>
      <c r="J14" s="1248"/>
      <c r="K14" s="578"/>
      <c r="L14" s="578"/>
      <c r="M14" s="578"/>
      <c r="N14" s="578"/>
      <c r="O14" s="578"/>
      <c r="P14" s="578"/>
      <c r="Q14" s="578"/>
      <c r="R14" s="578"/>
      <c r="S14" s="578"/>
      <c r="T14" s="578"/>
      <c r="U14" s="578"/>
      <c r="V14" s="578"/>
      <c r="W14" s="578"/>
      <c r="X14" s="578"/>
      <c r="Y14" s="578"/>
      <c r="Z14" s="578"/>
    </row>
    <row r="15" spans="1:26" ht="21.75" customHeight="1" x14ac:dyDescent="0.35">
      <c r="A15" s="578"/>
      <c r="B15" s="578"/>
      <c r="C15" s="1244"/>
      <c r="D15" s="1263"/>
      <c r="E15" s="1264"/>
      <c r="F15" s="1265"/>
      <c r="G15" s="1264"/>
      <c r="H15" s="1265"/>
      <c r="I15" s="1266"/>
      <c r="J15" s="1267"/>
      <c r="K15" s="578"/>
      <c r="L15" s="578"/>
      <c r="M15" s="578"/>
      <c r="N15" s="578"/>
      <c r="O15" s="578"/>
      <c r="P15" s="578"/>
      <c r="Q15" s="578"/>
      <c r="R15" s="578"/>
      <c r="S15" s="578"/>
      <c r="T15" s="578"/>
      <c r="U15" s="578"/>
      <c r="V15" s="578"/>
      <c r="W15" s="578"/>
      <c r="X15" s="578"/>
      <c r="Y15" s="578"/>
      <c r="Z15" s="578"/>
    </row>
    <row r="16" spans="1:26" ht="18" customHeight="1" x14ac:dyDescent="0.35">
      <c r="A16" s="578"/>
      <c r="B16" s="578"/>
      <c r="C16" s="1244"/>
      <c r="D16" s="1263"/>
      <c r="E16" s="1264"/>
      <c r="F16" s="1265"/>
      <c r="G16" s="1264"/>
      <c r="H16" s="1265"/>
      <c r="I16" s="1266"/>
      <c r="J16" s="1248"/>
      <c r="K16" s="578"/>
      <c r="L16" s="578"/>
      <c r="M16" s="578"/>
      <c r="N16" s="578"/>
      <c r="O16" s="578"/>
      <c r="P16" s="578"/>
      <c r="Q16" s="578"/>
      <c r="R16" s="578"/>
      <c r="S16" s="578"/>
      <c r="T16" s="578"/>
      <c r="U16" s="578"/>
      <c r="V16" s="578"/>
      <c r="W16" s="578"/>
      <c r="X16" s="578"/>
      <c r="Y16" s="578"/>
      <c r="Z16" s="578"/>
    </row>
    <row r="17" spans="1:26" ht="18" customHeight="1" x14ac:dyDescent="0.35">
      <c r="A17" s="578"/>
      <c r="B17" s="578"/>
      <c r="C17" s="1244"/>
      <c r="D17" s="1263"/>
      <c r="E17" s="1264"/>
      <c r="F17" s="1265"/>
      <c r="G17" s="1264"/>
      <c r="H17" s="1265"/>
      <c r="I17" s="1266"/>
      <c r="J17" s="1248"/>
      <c r="K17" s="578"/>
      <c r="L17" s="578"/>
      <c r="M17" s="578"/>
      <c r="N17" s="578"/>
      <c r="O17" s="578"/>
      <c r="P17" s="578"/>
      <c r="Q17" s="578"/>
      <c r="R17" s="578"/>
      <c r="S17" s="578"/>
      <c r="T17" s="578"/>
      <c r="U17" s="578"/>
      <c r="V17" s="578"/>
      <c r="W17" s="578"/>
      <c r="X17" s="578"/>
      <c r="Y17" s="578"/>
      <c r="Z17" s="578"/>
    </row>
    <row r="18" spans="1:26" ht="18" hidden="1" customHeight="1" x14ac:dyDescent="0.35">
      <c r="A18" s="578"/>
      <c r="B18" s="578"/>
      <c r="C18" s="1244"/>
      <c r="D18" s="1263"/>
      <c r="E18" s="1264"/>
      <c r="F18" s="1265"/>
      <c r="G18" s="1264"/>
      <c r="H18" s="1265"/>
      <c r="I18" s="1266"/>
      <c r="J18" s="1248"/>
      <c r="K18" s="578"/>
      <c r="L18" s="578"/>
      <c r="M18" s="578"/>
      <c r="N18" s="578"/>
      <c r="O18" s="578"/>
      <c r="P18" s="578"/>
      <c r="Q18" s="578"/>
      <c r="R18" s="578"/>
      <c r="S18" s="578"/>
      <c r="T18" s="578"/>
      <c r="U18" s="578"/>
      <c r="V18" s="578"/>
      <c r="W18" s="578"/>
      <c r="X18" s="578"/>
      <c r="Y18" s="578"/>
      <c r="Z18" s="578"/>
    </row>
    <row r="19" spans="1:26" ht="18" hidden="1" customHeight="1" x14ac:dyDescent="0.35">
      <c r="A19" s="578"/>
      <c r="B19" s="578"/>
      <c r="C19" s="1244"/>
      <c r="D19" s="1263"/>
      <c r="E19" s="1264"/>
      <c r="F19" s="1265"/>
      <c r="G19" s="1264"/>
      <c r="H19" s="1265"/>
      <c r="I19" s="1266"/>
      <c r="J19" s="1248"/>
      <c r="K19" s="578"/>
      <c r="L19" s="578"/>
      <c r="M19" s="578"/>
      <c r="N19" s="578"/>
      <c r="O19" s="578"/>
      <c r="P19" s="578"/>
      <c r="Q19" s="578"/>
      <c r="R19" s="578"/>
      <c r="S19" s="578"/>
      <c r="T19" s="578"/>
      <c r="U19" s="578"/>
      <c r="V19" s="578"/>
      <c r="W19" s="578"/>
      <c r="X19" s="578"/>
      <c r="Y19" s="578"/>
      <c r="Z19" s="578"/>
    </row>
    <row r="20" spans="1:26" ht="18" hidden="1" customHeight="1" x14ac:dyDescent="0.35">
      <c r="A20" s="578"/>
      <c r="B20" s="578"/>
      <c r="C20" s="1244"/>
      <c r="D20" s="1263"/>
      <c r="E20" s="1264"/>
      <c r="F20" s="1265"/>
      <c r="G20" s="1264"/>
      <c r="H20" s="1265"/>
      <c r="I20" s="1266"/>
      <c r="J20" s="1248"/>
      <c r="K20" s="578"/>
      <c r="L20" s="578"/>
      <c r="M20" s="578"/>
      <c r="N20" s="578"/>
      <c r="O20" s="578"/>
      <c r="P20" s="578"/>
      <c r="Q20" s="578"/>
      <c r="R20" s="578"/>
      <c r="S20" s="578"/>
      <c r="T20" s="578"/>
      <c r="U20" s="578"/>
      <c r="V20" s="578"/>
      <c r="W20" s="578"/>
      <c r="X20" s="578"/>
      <c r="Y20" s="578"/>
      <c r="Z20" s="578"/>
    </row>
    <row r="21" spans="1:26" ht="22.5" customHeight="1" thickBot="1" x14ac:dyDescent="0.4">
      <c r="A21" s="578"/>
      <c r="B21" s="578"/>
      <c r="C21" s="1244"/>
      <c r="D21" s="1268"/>
      <c r="E21" s="1269"/>
      <c r="F21" s="1270"/>
      <c r="G21" s="1269"/>
      <c r="H21" s="1270"/>
      <c r="I21" s="1271"/>
      <c r="J21" s="1248"/>
      <c r="K21" s="578"/>
      <c r="L21" s="578"/>
      <c r="M21" s="578"/>
      <c r="N21" s="578"/>
      <c r="O21" s="578"/>
      <c r="P21" s="578"/>
      <c r="Q21" s="578"/>
      <c r="R21" s="578"/>
      <c r="S21" s="578"/>
      <c r="T21" s="578"/>
      <c r="U21" s="578"/>
      <c r="V21" s="578"/>
      <c r="W21" s="578"/>
      <c r="X21" s="578"/>
      <c r="Y21" s="578"/>
      <c r="Z21" s="578"/>
    </row>
    <row r="22" spans="1:26" ht="16" thickTop="1" x14ac:dyDescent="0.35">
      <c r="A22" s="578"/>
      <c r="B22" s="578"/>
      <c r="C22" s="1244"/>
      <c r="D22" s="25"/>
      <c r="E22" s="500"/>
      <c r="F22" s="500"/>
      <c r="G22" s="500"/>
      <c r="H22" s="500"/>
      <c r="I22" s="1272"/>
      <c r="J22" s="1248"/>
      <c r="K22" s="578"/>
      <c r="L22" s="578"/>
      <c r="M22" s="578"/>
      <c r="N22" s="578"/>
      <c r="O22" s="578"/>
      <c r="P22" s="578"/>
      <c r="Q22" s="578"/>
      <c r="R22" s="578"/>
      <c r="S22" s="578"/>
      <c r="T22" s="578"/>
      <c r="U22" s="578"/>
      <c r="V22" s="578"/>
      <c r="W22" s="578"/>
      <c r="X22" s="578"/>
      <c r="Y22" s="578"/>
      <c r="Z22" s="578"/>
    </row>
    <row r="23" spans="1:26" x14ac:dyDescent="0.35">
      <c r="A23" s="578"/>
      <c r="B23" s="578"/>
      <c r="C23" s="1244"/>
      <c r="D23" s="500"/>
      <c r="E23" s="500"/>
      <c r="F23" s="500"/>
      <c r="G23" s="500"/>
      <c r="H23" s="1273"/>
      <c r="I23" s="1274"/>
      <c r="J23" s="1248"/>
      <c r="K23" s="578"/>
      <c r="L23" s="578"/>
      <c r="M23" s="578"/>
      <c r="N23" s="578"/>
      <c r="O23" s="578"/>
      <c r="P23" s="578"/>
      <c r="Q23" s="578"/>
      <c r="R23" s="578"/>
      <c r="S23" s="578"/>
      <c r="T23" s="578"/>
      <c r="U23" s="578"/>
      <c r="V23" s="578"/>
      <c r="W23" s="578"/>
      <c r="X23" s="578"/>
      <c r="Y23" s="578"/>
      <c r="Z23" s="578"/>
    </row>
    <row r="24" spans="1:26" x14ac:dyDescent="0.35">
      <c r="A24" s="578"/>
      <c r="B24" s="578"/>
      <c r="C24" s="1244"/>
      <c r="D24" s="500"/>
      <c r="E24" s="500"/>
      <c r="F24" s="500"/>
      <c r="G24" s="500"/>
      <c r="H24" s="1273"/>
      <c r="I24" s="1274"/>
      <c r="J24" s="1248"/>
      <c r="K24" s="578"/>
      <c r="L24" s="578"/>
      <c r="M24" s="578"/>
      <c r="N24" s="578"/>
      <c r="O24" s="578"/>
      <c r="P24" s="578"/>
      <c r="Q24" s="578"/>
      <c r="R24" s="578"/>
      <c r="S24" s="578"/>
      <c r="T24" s="578"/>
      <c r="U24" s="578"/>
      <c r="V24" s="578"/>
      <c r="W24" s="578"/>
      <c r="X24" s="578"/>
      <c r="Y24" s="578"/>
      <c r="Z24" s="578"/>
    </row>
    <row r="25" spans="1:26" x14ac:dyDescent="0.35">
      <c r="A25" s="578"/>
      <c r="B25" s="578"/>
      <c r="C25" s="1244"/>
      <c r="D25" s="500"/>
      <c r="E25" s="500"/>
      <c r="F25" s="500"/>
      <c r="G25" s="500"/>
      <c r="H25" s="500"/>
      <c r="I25" s="500"/>
      <c r="J25" s="1248"/>
      <c r="K25" s="578"/>
      <c r="L25" s="578"/>
      <c r="M25" s="578"/>
      <c r="N25" s="578"/>
      <c r="O25" s="578"/>
      <c r="P25" s="578"/>
      <c r="Q25" s="578"/>
      <c r="R25" s="578"/>
      <c r="S25" s="578"/>
      <c r="T25" s="578"/>
      <c r="U25" s="578"/>
      <c r="V25" s="578"/>
      <c r="W25" s="578"/>
      <c r="X25" s="578"/>
      <c r="Y25" s="578"/>
      <c r="Z25" s="578"/>
    </row>
    <row r="26" spans="1:26" ht="18.75" customHeight="1" x14ac:dyDescent="0.35">
      <c r="A26" s="578"/>
      <c r="B26" s="578"/>
      <c r="C26" s="1244"/>
      <c r="D26" s="25"/>
      <c r="E26" s="1275"/>
      <c r="F26" s="1275"/>
      <c r="G26" s="1275"/>
      <c r="H26" s="1275"/>
      <c r="I26" s="1275"/>
      <c r="J26" s="1248"/>
      <c r="K26" s="578"/>
      <c r="L26" s="578"/>
      <c r="M26" s="578"/>
      <c r="N26" s="578"/>
      <c r="O26" s="578"/>
      <c r="P26" s="578"/>
      <c r="Q26" s="578"/>
      <c r="R26" s="578"/>
      <c r="S26" s="578"/>
      <c r="T26" s="578"/>
      <c r="U26" s="578"/>
      <c r="V26" s="578"/>
      <c r="W26" s="578"/>
      <c r="X26" s="578"/>
      <c r="Y26" s="578"/>
      <c r="Z26" s="578"/>
    </row>
    <row r="27" spans="1:26" x14ac:dyDescent="0.35">
      <c r="A27" s="578"/>
      <c r="B27" s="578"/>
      <c r="C27" s="1244"/>
      <c r="D27" s="1275"/>
      <c r="E27" s="1275"/>
      <c r="F27" s="1275"/>
      <c r="G27" s="1275"/>
      <c r="H27" s="1275"/>
      <c r="I27" s="1275"/>
      <c r="J27" s="1248"/>
      <c r="K27" s="578"/>
      <c r="L27" s="578"/>
      <c r="M27" s="578"/>
      <c r="N27" s="578"/>
      <c r="O27" s="578"/>
      <c r="P27" s="578"/>
      <c r="Q27" s="578"/>
      <c r="R27" s="578"/>
      <c r="S27" s="578"/>
      <c r="T27" s="578"/>
      <c r="U27" s="578"/>
      <c r="V27" s="578"/>
      <c r="W27" s="578"/>
      <c r="X27" s="578"/>
      <c r="Y27" s="578"/>
      <c r="Z27" s="578"/>
    </row>
    <row r="28" spans="1:26" x14ac:dyDescent="0.35">
      <c r="A28" s="578"/>
      <c r="B28" s="578"/>
      <c r="C28" s="1244"/>
      <c r="D28" s="500"/>
      <c r="E28" s="500"/>
      <c r="F28" s="500"/>
      <c r="G28" s="500"/>
      <c r="H28" s="500"/>
      <c r="I28" s="500"/>
      <c r="J28" s="1248"/>
      <c r="K28" s="578"/>
      <c r="L28" s="578"/>
      <c r="M28" s="578"/>
      <c r="N28" s="578"/>
      <c r="O28" s="578"/>
      <c r="P28" s="578"/>
      <c r="Q28" s="578"/>
      <c r="R28" s="578"/>
      <c r="S28" s="578"/>
      <c r="T28" s="578"/>
      <c r="U28" s="578"/>
      <c r="V28" s="578"/>
      <c r="W28" s="578"/>
      <c r="X28" s="578"/>
      <c r="Y28" s="578"/>
      <c r="Z28" s="578"/>
    </row>
    <row r="29" spans="1:26" x14ac:dyDescent="0.35">
      <c r="A29" s="578"/>
      <c r="B29" s="578"/>
      <c r="C29" s="1244"/>
      <c r="D29" s="500"/>
      <c r="E29" s="500"/>
      <c r="F29" s="500"/>
      <c r="G29" s="500"/>
      <c r="H29" s="500"/>
      <c r="I29" s="500"/>
      <c r="J29" s="1248"/>
      <c r="K29" s="578"/>
      <c r="L29" s="578"/>
      <c r="M29" s="578"/>
      <c r="N29" s="578"/>
      <c r="O29" s="578"/>
      <c r="P29" s="578"/>
      <c r="Q29" s="578"/>
      <c r="R29" s="578"/>
      <c r="S29" s="578"/>
      <c r="T29" s="578"/>
      <c r="U29" s="578"/>
      <c r="V29" s="578"/>
      <c r="W29" s="578"/>
      <c r="X29" s="578"/>
      <c r="Y29" s="578"/>
      <c r="Z29" s="578"/>
    </row>
    <row r="30" spans="1:26" ht="16" thickBot="1" x14ac:dyDescent="0.4">
      <c r="A30" s="578"/>
      <c r="B30" s="578"/>
      <c r="C30" s="1276"/>
      <c r="D30" s="1277"/>
      <c r="E30" s="1278"/>
      <c r="F30" s="1277"/>
      <c r="G30" s="1277"/>
      <c r="H30" s="1277"/>
      <c r="I30" s="1279"/>
      <c r="J30" s="1280"/>
      <c r="K30" s="578"/>
      <c r="L30" s="578"/>
      <c r="M30" s="578"/>
      <c r="N30" s="578"/>
      <c r="O30" s="578"/>
      <c r="P30" s="578"/>
      <c r="Q30" s="578"/>
      <c r="R30" s="578"/>
      <c r="S30" s="578"/>
      <c r="T30" s="578"/>
      <c r="U30" s="578"/>
      <c r="V30" s="578"/>
      <c r="W30" s="578"/>
      <c r="X30" s="578"/>
      <c r="Y30" s="578"/>
      <c r="Z30" s="578"/>
    </row>
    <row r="31" spans="1:26" ht="21" customHeight="1" thickTop="1" x14ac:dyDescent="0.35">
      <c r="A31" s="578"/>
      <c r="B31" s="578"/>
      <c r="C31" s="578"/>
      <c r="D31" s="578"/>
      <c r="E31" s="578"/>
      <c r="F31" s="578"/>
      <c r="G31" s="578"/>
      <c r="H31" s="578"/>
      <c r="I31" s="578"/>
      <c r="J31" s="578"/>
      <c r="K31" s="578"/>
      <c r="L31" s="578"/>
      <c r="M31" s="578"/>
      <c r="N31" s="578"/>
      <c r="O31" s="578"/>
      <c r="P31" s="578"/>
      <c r="Q31" s="578"/>
      <c r="R31" s="578"/>
      <c r="S31" s="578"/>
      <c r="T31" s="578"/>
      <c r="U31" s="578"/>
      <c r="V31" s="578"/>
      <c r="W31" s="578"/>
      <c r="X31" s="578"/>
      <c r="Y31" s="578"/>
      <c r="Z31" s="578"/>
    </row>
    <row r="32" spans="1:26" ht="24.75" customHeight="1" x14ac:dyDescent="0.35">
      <c r="A32" s="578"/>
      <c r="B32" s="578"/>
      <c r="C32" s="578"/>
      <c r="D32" s="578"/>
      <c r="E32" s="578"/>
      <c r="F32" s="578"/>
      <c r="G32" s="578"/>
      <c r="H32" s="578"/>
      <c r="I32" s="578"/>
      <c r="J32" s="578"/>
      <c r="K32" s="578"/>
      <c r="L32" s="578"/>
      <c r="M32" s="578"/>
      <c r="N32" s="578"/>
      <c r="O32" s="578"/>
      <c r="P32" s="578"/>
      <c r="Q32" s="578"/>
      <c r="R32" s="578"/>
      <c r="S32" s="578"/>
      <c r="T32" s="578"/>
      <c r="U32" s="578"/>
      <c r="V32" s="578"/>
      <c r="W32" s="578"/>
      <c r="X32" s="578"/>
      <c r="Y32" s="578"/>
      <c r="Z32" s="578"/>
    </row>
    <row r="33" spans="1:26" x14ac:dyDescent="0.35">
      <c r="A33" s="578"/>
      <c r="B33" s="578"/>
      <c r="C33" s="578"/>
      <c r="D33" s="578"/>
      <c r="E33" s="578"/>
      <c r="F33" s="578"/>
      <c r="G33" s="578"/>
      <c r="H33" s="578"/>
      <c r="I33" s="578"/>
      <c r="J33" s="578"/>
      <c r="K33" s="578"/>
      <c r="L33" s="578"/>
      <c r="M33" s="578"/>
      <c r="N33" s="578"/>
      <c r="O33" s="578"/>
      <c r="P33" s="578"/>
      <c r="Q33" s="578"/>
      <c r="R33" s="578"/>
      <c r="S33" s="578"/>
      <c r="T33" s="578"/>
      <c r="U33" s="578"/>
      <c r="V33" s="578"/>
      <c r="W33" s="578"/>
      <c r="X33" s="578"/>
      <c r="Y33" s="578"/>
      <c r="Z33" s="578"/>
    </row>
    <row r="34" spans="1:26" x14ac:dyDescent="0.35">
      <c r="A34" s="578"/>
      <c r="B34" s="578"/>
      <c r="C34" s="578"/>
      <c r="D34" s="578"/>
      <c r="E34" s="578"/>
      <c r="F34" s="578"/>
      <c r="G34" s="578"/>
      <c r="H34" s="578"/>
      <c r="I34" s="578"/>
      <c r="J34" s="578"/>
      <c r="K34" s="578"/>
      <c r="L34" s="578"/>
      <c r="M34" s="578"/>
      <c r="N34" s="578"/>
      <c r="O34" s="578"/>
      <c r="P34" s="578"/>
      <c r="Q34" s="578"/>
      <c r="R34" s="578"/>
      <c r="S34" s="578"/>
      <c r="T34" s="578"/>
      <c r="U34" s="578"/>
      <c r="V34" s="578"/>
      <c r="W34" s="578"/>
      <c r="X34" s="578"/>
      <c r="Y34" s="578"/>
      <c r="Z34" s="578"/>
    </row>
    <row r="35" spans="1:26" x14ac:dyDescent="0.35">
      <c r="A35" s="578"/>
      <c r="B35" s="578"/>
      <c r="C35" s="578"/>
      <c r="D35" s="578"/>
      <c r="E35" s="578"/>
      <c r="F35" s="578"/>
      <c r="G35" s="578"/>
      <c r="H35" s="578"/>
      <c r="I35" s="578"/>
      <c r="J35" s="578"/>
      <c r="K35" s="578"/>
      <c r="L35" s="578"/>
      <c r="M35" s="578"/>
      <c r="N35" s="578"/>
      <c r="O35" s="578"/>
      <c r="P35" s="578"/>
      <c r="Q35" s="578"/>
      <c r="R35" s="578"/>
      <c r="S35" s="578"/>
      <c r="T35" s="578"/>
      <c r="U35" s="578"/>
      <c r="V35" s="578"/>
      <c r="W35" s="578"/>
      <c r="X35" s="578"/>
      <c r="Y35" s="578"/>
      <c r="Z35" s="578"/>
    </row>
    <row r="36" spans="1:26" x14ac:dyDescent="0.35">
      <c r="A36" s="578"/>
      <c r="B36" s="578"/>
      <c r="C36" s="578"/>
      <c r="D36" s="578"/>
      <c r="E36" s="578"/>
      <c r="F36" s="578"/>
      <c r="G36" s="578"/>
      <c r="H36" s="578"/>
      <c r="I36" s="578"/>
      <c r="J36" s="578"/>
      <c r="K36" s="578"/>
      <c r="L36" s="578"/>
      <c r="M36" s="578"/>
      <c r="N36" s="578"/>
      <c r="O36" s="578"/>
      <c r="P36" s="578"/>
      <c r="Q36" s="578"/>
      <c r="R36" s="578"/>
      <c r="S36" s="578"/>
      <c r="T36" s="578"/>
      <c r="U36" s="578"/>
      <c r="V36" s="578"/>
      <c r="W36" s="578"/>
      <c r="X36" s="578"/>
      <c r="Y36" s="578"/>
      <c r="Z36" s="578"/>
    </row>
    <row r="37" spans="1:26" x14ac:dyDescent="0.35">
      <c r="A37" s="578"/>
      <c r="B37" s="578"/>
      <c r="C37" s="578"/>
      <c r="D37" s="578"/>
      <c r="E37" s="578"/>
      <c r="F37" s="578"/>
      <c r="G37" s="578"/>
      <c r="H37" s="578"/>
      <c r="I37" s="578"/>
      <c r="J37" s="578"/>
      <c r="K37" s="578"/>
      <c r="L37" s="578"/>
      <c r="M37" s="578"/>
      <c r="N37" s="578"/>
      <c r="O37" s="578"/>
      <c r="P37" s="578"/>
      <c r="Q37" s="578"/>
      <c r="R37" s="578"/>
      <c r="S37" s="578"/>
      <c r="T37" s="578"/>
      <c r="U37" s="578"/>
      <c r="V37" s="578"/>
      <c r="W37" s="578"/>
      <c r="X37" s="578"/>
      <c r="Y37" s="578"/>
      <c r="Z37" s="578"/>
    </row>
    <row r="38" spans="1:26" x14ac:dyDescent="0.35">
      <c r="A38" s="578"/>
      <c r="B38" s="578"/>
      <c r="C38" s="578"/>
      <c r="D38" s="578"/>
      <c r="E38" s="578"/>
      <c r="F38" s="578"/>
      <c r="G38" s="578"/>
      <c r="H38" s="578"/>
      <c r="I38" s="578"/>
      <c r="J38" s="578"/>
      <c r="K38" s="578"/>
      <c r="L38" s="578"/>
      <c r="M38" s="578"/>
      <c r="N38" s="578"/>
      <c r="O38" s="578"/>
      <c r="P38" s="578"/>
      <c r="Q38" s="578"/>
      <c r="R38" s="578"/>
      <c r="S38" s="578"/>
      <c r="T38" s="578"/>
      <c r="U38" s="578"/>
      <c r="V38" s="578"/>
      <c r="W38" s="578"/>
      <c r="X38" s="578"/>
      <c r="Y38" s="578"/>
      <c r="Z38" s="578"/>
    </row>
    <row r="39" spans="1:26" x14ac:dyDescent="0.35">
      <c r="A39" s="578"/>
      <c r="B39" s="578"/>
      <c r="C39" s="578"/>
      <c r="D39" s="578"/>
      <c r="E39" s="578"/>
      <c r="F39" s="578"/>
      <c r="G39" s="578"/>
      <c r="H39" s="578"/>
      <c r="I39" s="578"/>
      <c r="J39" s="578"/>
      <c r="K39" s="578"/>
      <c r="L39" s="578"/>
      <c r="M39" s="578"/>
      <c r="N39" s="578"/>
      <c r="O39" s="578"/>
      <c r="P39" s="578"/>
      <c r="Q39" s="578"/>
      <c r="R39" s="578"/>
      <c r="S39" s="578"/>
      <c r="T39" s="578"/>
      <c r="U39" s="578"/>
      <c r="V39" s="578"/>
      <c r="W39" s="578"/>
      <c r="X39" s="578"/>
      <c r="Y39" s="578"/>
      <c r="Z39" s="578"/>
    </row>
    <row r="40" spans="1:26" x14ac:dyDescent="0.35">
      <c r="A40" s="578"/>
      <c r="B40" s="578"/>
      <c r="C40" s="578"/>
      <c r="D40" s="578"/>
      <c r="E40" s="578"/>
      <c r="F40" s="578"/>
      <c r="G40" s="578"/>
      <c r="H40" s="578"/>
      <c r="I40" s="578"/>
      <c r="J40" s="578"/>
      <c r="K40" s="578"/>
      <c r="L40" s="578"/>
      <c r="M40" s="578"/>
      <c r="N40" s="578"/>
      <c r="O40" s="578"/>
      <c r="P40" s="578"/>
      <c r="Q40" s="578"/>
      <c r="R40" s="578"/>
      <c r="S40" s="578"/>
      <c r="T40" s="578"/>
      <c r="U40" s="578"/>
      <c r="V40" s="578"/>
      <c r="W40" s="578"/>
      <c r="X40" s="578"/>
      <c r="Y40" s="578"/>
      <c r="Z40" s="578"/>
    </row>
    <row r="41" spans="1:26" x14ac:dyDescent="0.35">
      <c r="A41" s="578"/>
      <c r="B41" s="578"/>
      <c r="C41" s="578"/>
      <c r="D41" s="578"/>
      <c r="E41" s="578"/>
      <c r="F41" s="578"/>
      <c r="G41" s="578"/>
      <c r="H41" s="578"/>
      <c r="I41" s="578"/>
      <c r="J41" s="578"/>
      <c r="K41" s="578"/>
      <c r="L41" s="578"/>
      <c r="M41" s="578"/>
      <c r="N41" s="578"/>
      <c r="O41" s="578"/>
      <c r="P41" s="578"/>
      <c r="Q41" s="578"/>
      <c r="R41" s="578"/>
      <c r="S41" s="578"/>
      <c r="T41" s="578"/>
      <c r="U41" s="578"/>
      <c r="V41" s="578"/>
      <c r="W41" s="578"/>
      <c r="X41" s="578"/>
      <c r="Y41" s="578"/>
      <c r="Z41" s="578"/>
    </row>
    <row r="42" spans="1:26" x14ac:dyDescent="0.35">
      <c r="A42" s="578"/>
      <c r="B42" s="578"/>
      <c r="C42" s="578"/>
      <c r="D42" s="578"/>
      <c r="E42" s="578"/>
      <c r="F42" s="578"/>
      <c r="G42" s="578"/>
      <c r="H42" s="578"/>
      <c r="I42" s="578"/>
      <c r="J42" s="578"/>
      <c r="K42" s="578"/>
      <c r="L42" s="578"/>
      <c r="M42" s="578"/>
      <c r="N42" s="578"/>
      <c r="O42" s="578"/>
      <c r="P42" s="578"/>
      <c r="Q42" s="578"/>
      <c r="R42" s="578"/>
      <c r="S42" s="578"/>
      <c r="T42" s="578"/>
      <c r="U42" s="578"/>
      <c r="V42" s="578"/>
      <c r="W42" s="578"/>
      <c r="X42" s="578"/>
      <c r="Y42" s="578"/>
      <c r="Z42" s="578"/>
    </row>
    <row r="43" spans="1:26" x14ac:dyDescent="0.35">
      <c r="A43" s="578"/>
      <c r="B43" s="578"/>
      <c r="C43" s="578"/>
      <c r="D43" s="578"/>
      <c r="E43" s="578"/>
      <c r="F43" s="578"/>
      <c r="G43" s="578"/>
      <c r="H43" s="578"/>
      <c r="I43" s="578"/>
      <c r="J43" s="578"/>
      <c r="K43" s="578"/>
      <c r="L43" s="578"/>
      <c r="M43" s="578"/>
      <c r="N43" s="578"/>
      <c r="O43" s="578"/>
      <c r="P43" s="578"/>
      <c r="Q43" s="578"/>
      <c r="R43" s="578"/>
      <c r="S43" s="578"/>
      <c r="T43" s="578"/>
      <c r="U43" s="578"/>
      <c r="V43" s="578"/>
      <c r="W43" s="578"/>
      <c r="X43" s="578"/>
      <c r="Y43" s="578"/>
      <c r="Z43" s="578"/>
    </row>
    <row r="44" spans="1:26" x14ac:dyDescent="0.35">
      <c r="A44" s="578"/>
      <c r="B44" s="578"/>
      <c r="C44" s="578"/>
      <c r="D44" s="578"/>
      <c r="E44" s="578"/>
      <c r="F44" s="578"/>
      <c r="G44" s="578"/>
      <c r="H44" s="578"/>
      <c r="I44" s="578"/>
      <c r="J44" s="578"/>
      <c r="K44" s="578"/>
      <c r="L44" s="578"/>
      <c r="M44" s="578"/>
      <c r="N44" s="578"/>
      <c r="O44" s="578"/>
      <c r="P44" s="578"/>
      <c r="Q44" s="578"/>
      <c r="R44" s="578"/>
      <c r="S44" s="578"/>
      <c r="T44" s="578"/>
      <c r="U44" s="578"/>
      <c r="V44" s="578"/>
      <c r="W44" s="578"/>
      <c r="X44" s="578"/>
      <c r="Y44" s="578"/>
      <c r="Z44" s="578"/>
    </row>
    <row r="45" spans="1:26" x14ac:dyDescent="0.35">
      <c r="A45" s="578"/>
      <c r="B45" s="578"/>
      <c r="C45" s="578"/>
      <c r="D45" s="578"/>
      <c r="E45" s="578"/>
      <c r="F45" s="578"/>
      <c r="G45" s="578"/>
      <c r="H45" s="578"/>
      <c r="I45" s="578"/>
      <c r="J45" s="578"/>
      <c r="K45" s="578"/>
      <c r="L45" s="578"/>
      <c r="M45" s="578"/>
      <c r="N45" s="578"/>
      <c r="O45" s="578"/>
      <c r="P45" s="578"/>
      <c r="Q45" s="578"/>
      <c r="R45" s="578"/>
      <c r="S45" s="578"/>
      <c r="T45" s="578"/>
      <c r="U45" s="578"/>
      <c r="V45" s="578"/>
      <c r="W45" s="578"/>
      <c r="X45" s="578"/>
      <c r="Y45" s="578"/>
      <c r="Z45" s="578"/>
    </row>
    <row r="46" spans="1:26" x14ac:dyDescent="0.35">
      <c r="A46" s="578"/>
      <c r="B46" s="578"/>
      <c r="C46" s="578"/>
      <c r="D46" s="578"/>
      <c r="E46" s="578"/>
      <c r="F46" s="578"/>
      <c r="G46" s="578"/>
      <c r="H46" s="578"/>
      <c r="I46" s="578"/>
      <c r="J46" s="578"/>
      <c r="K46" s="578"/>
      <c r="L46" s="578"/>
      <c r="M46" s="578"/>
      <c r="N46" s="578"/>
      <c r="O46" s="578"/>
      <c r="P46" s="578"/>
      <c r="Q46" s="578"/>
      <c r="R46" s="578"/>
      <c r="S46" s="578"/>
      <c r="T46" s="578"/>
      <c r="U46" s="578"/>
      <c r="V46" s="578"/>
      <c r="W46" s="578"/>
      <c r="X46" s="578"/>
      <c r="Y46" s="578"/>
      <c r="Z46" s="578"/>
    </row>
    <row r="47" spans="1:26" x14ac:dyDescent="0.35">
      <c r="A47" s="578"/>
      <c r="B47" s="578"/>
      <c r="C47" s="578"/>
      <c r="D47" s="578"/>
      <c r="E47" s="578"/>
      <c r="F47" s="578"/>
      <c r="G47" s="578"/>
      <c r="H47" s="578"/>
      <c r="I47" s="578"/>
      <c r="J47" s="578"/>
      <c r="K47" s="578"/>
      <c r="L47" s="578"/>
      <c r="M47" s="578"/>
      <c r="N47" s="578"/>
      <c r="O47" s="578"/>
      <c r="P47" s="578"/>
      <c r="Q47" s="578"/>
      <c r="R47" s="578"/>
      <c r="S47" s="578"/>
      <c r="T47" s="578"/>
      <c r="U47" s="578"/>
      <c r="V47" s="578"/>
      <c r="W47" s="578"/>
      <c r="X47" s="578"/>
      <c r="Y47" s="578"/>
      <c r="Z47" s="578"/>
    </row>
    <row r="48" spans="1:26" x14ac:dyDescent="0.35">
      <c r="A48" s="578"/>
      <c r="B48" s="578"/>
      <c r="C48" s="578"/>
      <c r="D48" s="578"/>
      <c r="E48" s="578"/>
      <c r="F48" s="578"/>
      <c r="G48" s="578"/>
      <c r="H48" s="578"/>
      <c r="I48" s="578"/>
      <c r="J48" s="578"/>
      <c r="K48" s="578"/>
      <c r="L48" s="578"/>
      <c r="M48" s="578"/>
      <c r="N48" s="578"/>
      <c r="O48" s="578"/>
      <c r="P48" s="578"/>
      <c r="Q48" s="578"/>
      <c r="R48" s="578"/>
      <c r="S48" s="578"/>
      <c r="T48" s="578"/>
      <c r="U48" s="578"/>
      <c r="V48" s="578"/>
      <c r="W48" s="578"/>
      <c r="X48" s="578"/>
      <c r="Y48" s="578"/>
      <c r="Z48" s="578"/>
    </row>
  </sheetData>
  <phoneticPr fontId="0" type="noConversion"/>
  <conditionalFormatting sqref="D5:H5">
    <cfRule type="expression" dxfId="27" priority="1" stopIfTrue="1">
      <formula>$R$6=TRUE</formula>
    </cfRule>
  </conditionalFormatting>
  <conditionalFormatting sqref="D6:H6">
    <cfRule type="expression" dxfId="26" priority="2" stopIfTrue="1">
      <formula>$R$7=TRUE</formula>
    </cfRule>
  </conditionalFormatting>
  <conditionalFormatting sqref="D7:H7">
    <cfRule type="expression" dxfId="25" priority="3" stopIfTrue="1">
      <formula>$R$8=TRUE</formula>
    </cfRule>
  </conditionalFormatting>
  <conditionalFormatting sqref="D12">
    <cfRule type="expression" dxfId="24" priority="4" stopIfTrue="1">
      <formula>$W$21=TRUE</formula>
    </cfRule>
  </conditionalFormatting>
  <conditionalFormatting sqref="I23">
    <cfRule type="expression" dxfId="23" priority="5" stopIfTrue="1">
      <formula>$V$10=TRUE</formula>
    </cfRule>
  </conditionalFormatting>
  <conditionalFormatting sqref="I24">
    <cfRule type="expression" dxfId="22" priority="6" stopIfTrue="1">
      <formula>$V$11=TRUE</formula>
    </cfRule>
  </conditionalFormatting>
  <conditionalFormatting sqref="F12">
    <cfRule type="expression" dxfId="21" priority="7" stopIfTrue="1">
      <formula>$W$22=TRUE</formula>
    </cfRule>
  </conditionalFormatting>
  <conditionalFormatting sqref="C5">
    <cfRule type="expression" dxfId="20" priority="8" stopIfTrue="1">
      <formula>$R$6=TRUE</formula>
    </cfRule>
  </conditionalFormatting>
  <conditionalFormatting sqref="F15:F20 H15:H20">
    <cfRule type="expression" dxfId="19" priority="9" stopIfTrue="1">
      <formula>AND($AH15=TRUE,$AJ15=TRUE)</formula>
    </cfRule>
    <cfRule type="expression" dxfId="18" priority="10" stopIfTrue="1">
      <formula>$AH15=TRUE</formula>
    </cfRule>
    <cfRule type="expression" dxfId="17" priority="11" stopIfTrue="1">
      <formula>$AJ15=TRUE</formula>
    </cfRule>
  </conditionalFormatting>
  <conditionalFormatting sqref="I12">
    <cfRule type="expression" dxfId="16" priority="12" stopIfTrue="1">
      <formula>AND($S$17=TRUE,$W$24=TRUE)</formula>
    </cfRule>
  </conditionalFormatting>
  <conditionalFormatting sqref="D9:H9">
    <cfRule type="expression" dxfId="15" priority="13" stopIfTrue="1">
      <formula>$AA$7&lt;&gt;""</formula>
    </cfRule>
  </conditionalFormatting>
  <conditionalFormatting sqref="C12">
    <cfRule type="expression" dxfId="14" priority="14" stopIfTrue="1">
      <formula>OR($AH$12&gt;0,$AI$12&gt;0)</formula>
    </cfRule>
  </conditionalFormatting>
  <conditionalFormatting sqref="A1:B48 C1:Z2 C31:J48 K3:Z48">
    <cfRule type="expression" dxfId="13" priority="15" stopIfTrue="1">
      <formula>$U$10=TRUE</formula>
    </cfRule>
  </conditionalFormatting>
  <pageMargins left="0.70866141732283472" right="0.70866141732283472" top="0.74803149606299213" bottom="0.74803149606299213" header="0.31496062992125984" footer="0.31496062992125984"/>
  <pageSetup paperSize="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91" r:id="rId4" name="basic2button">
              <controlPr defaultSize="0" print="0" autoFill="0" autoPict="0" macro="[0]!returnfromcopy">
                <anchor moveWithCells="1" sizeWithCells="1">
                  <from>
                    <xdr:col>11</xdr:col>
                    <xdr:colOff>266700</xdr:colOff>
                    <xdr:row>2</xdr:row>
                    <xdr:rowOff>0</xdr:rowOff>
                  </from>
                  <to>
                    <xdr:col>11</xdr:col>
                    <xdr:colOff>1155700</xdr:colOff>
                    <xdr:row>3</xdr:row>
                    <xdr:rowOff>158750</xdr:rowOff>
                  </to>
                </anchor>
              </controlPr>
            </control>
          </mc:Choice>
        </mc:AlternateContent>
        <mc:AlternateContent xmlns:mc="http://schemas.openxmlformats.org/markup-compatibility/2006">
          <mc:Choice Requires="x14">
            <control shapeId="69692" r:id="rId5" name="basic2delbutton">
              <controlPr defaultSize="0" print="0" autoFill="0" autoPict="0" macro="[0]!delete_basic2button">
                <anchor moveWithCells="1" sizeWithCells="1">
                  <from>
                    <xdr:col>11</xdr:col>
                    <xdr:colOff>266700</xdr:colOff>
                    <xdr:row>3</xdr:row>
                    <xdr:rowOff>184150</xdr:rowOff>
                  </from>
                  <to>
                    <xdr:col>11</xdr:col>
                    <xdr:colOff>1155700</xdr:colOff>
                    <xdr:row>6</xdr:row>
                    <xdr:rowOff>0</xdr:rowOff>
                  </to>
                </anchor>
              </controlPr>
            </control>
          </mc:Choice>
        </mc:AlternateContent>
        <mc:AlternateContent xmlns:mc="http://schemas.openxmlformats.org/markup-compatibility/2006">
          <mc:Choice Requires="x14">
            <control shapeId="69693" r:id="rId6" name="pdfbutton">
              <controlPr defaultSize="0" print="0" autoFill="0" autoPict="0" macro="[0]!pdfonly">
                <anchor moveWithCells="1" sizeWithCells="1">
                  <from>
                    <xdr:col>11</xdr:col>
                    <xdr:colOff>1250950</xdr:colOff>
                    <xdr:row>2</xdr:row>
                    <xdr:rowOff>158750</xdr:rowOff>
                  </from>
                  <to>
                    <xdr:col>13</xdr:col>
                    <xdr:colOff>38100</xdr:colOff>
                    <xdr:row>4</xdr:row>
                    <xdr:rowOff>152400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F4D1F-5805-47D6-A23F-912531312783}">
  <sheetPr codeName="Sheet41"/>
  <dimension ref="A1:Z57"/>
  <sheetViews>
    <sheetView showGridLines="0" zoomScaleNormal="100" workbookViewId="0"/>
  </sheetViews>
  <sheetFormatPr defaultColWidth="9.08984375" defaultRowHeight="15.5" x14ac:dyDescent="0.35"/>
  <cols>
    <col min="1" max="1" width="11.08984375" style="162" customWidth="1"/>
    <col min="2" max="2" width="8" style="162" customWidth="1"/>
    <col min="3" max="3" width="3.08984375" style="162" customWidth="1"/>
    <col min="4" max="4" width="15.08984375" style="162" customWidth="1"/>
    <col min="5" max="5" width="3.36328125" style="162" customWidth="1"/>
    <col min="6" max="6" width="18.453125" style="162" customWidth="1"/>
    <col min="7" max="7" width="3.36328125" style="162" customWidth="1"/>
    <col min="8" max="8" width="18.6328125" style="162" customWidth="1"/>
    <col min="9" max="9" width="16.6328125" style="162" customWidth="1"/>
    <col min="10" max="10" width="4" style="162" customWidth="1"/>
    <col min="11" max="11" width="2.6328125" style="162" customWidth="1"/>
    <col min="12" max="12" width="3" style="162" customWidth="1"/>
    <col min="13" max="13" width="33.08984375" style="162" customWidth="1"/>
    <col min="14" max="14" width="8.6328125" style="162" customWidth="1"/>
    <col min="15" max="16" width="9.08984375" style="162"/>
    <col min="17" max="17" width="12.6328125" style="162" customWidth="1"/>
    <col min="18" max="18" width="9.08984375" style="187"/>
    <col min="19" max="25" width="9.08984375" style="162"/>
    <col min="26" max="26" width="53.54296875" style="162" customWidth="1"/>
    <col min="27" max="16384" width="9.08984375" style="162"/>
  </cols>
  <sheetData>
    <row r="1" spans="1:26" ht="30" customHeight="1" x14ac:dyDescent="0.4">
      <c r="A1" s="724"/>
      <c r="B1" s="725"/>
      <c r="C1" s="724"/>
      <c r="D1" s="724"/>
      <c r="E1" s="724"/>
      <c r="F1" s="724"/>
      <c r="G1" s="724"/>
      <c r="H1" s="724"/>
      <c r="I1" s="724"/>
      <c r="J1" s="724"/>
      <c r="K1" s="724"/>
      <c r="L1" s="724"/>
      <c r="M1" s="724"/>
      <c r="N1" s="724"/>
      <c r="O1" s="724"/>
      <c r="P1" s="724"/>
      <c r="Q1" s="724"/>
      <c r="R1" s="205"/>
      <c r="S1" s="205"/>
      <c r="T1" s="205"/>
      <c r="U1" s="205"/>
      <c r="V1" s="205"/>
      <c r="W1" s="205"/>
      <c r="X1" s="205"/>
      <c r="Y1" s="205"/>
      <c r="Z1" s="205"/>
    </row>
    <row r="2" spans="1:26" ht="16.5" customHeight="1" thickBot="1" x14ac:dyDescent="0.4">
      <c r="A2" s="724"/>
      <c r="B2" s="205"/>
      <c r="C2" s="205"/>
      <c r="D2" s="205"/>
      <c r="E2" s="205"/>
      <c r="F2" s="205"/>
      <c r="G2" s="205"/>
      <c r="H2" s="205"/>
      <c r="I2" s="205"/>
      <c r="J2" s="205"/>
      <c r="K2" s="205"/>
      <c r="L2" s="205"/>
      <c r="M2" s="205"/>
      <c r="N2" s="724"/>
      <c r="O2" s="724"/>
      <c r="P2" s="724"/>
      <c r="Q2" s="724"/>
      <c r="R2" s="205"/>
      <c r="S2" s="205"/>
      <c r="T2" s="205"/>
      <c r="U2" s="205"/>
      <c r="V2" s="205"/>
      <c r="W2" s="205"/>
      <c r="X2" s="205"/>
      <c r="Y2" s="205"/>
      <c r="Z2" s="205"/>
    </row>
    <row r="3" spans="1:26" ht="22.5" customHeight="1" thickTop="1" x14ac:dyDescent="0.4">
      <c r="A3" s="724"/>
      <c r="B3" s="205"/>
      <c r="C3" s="525"/>
      <c r="D3" s="526"/>
      <c r="E3" s="527"/>
      <c r="F3" s="527"/>
      <c r="G3" s="527"/>
      <c r="H3" s="527"/>
      <c r="I3" s="527"/>
      <c r="J3" s="528"/>
      <c r="K3" s="205"/>
      <c r="L3" s="730"/>
      <c r="M3" s="205"/>
      <c r="N3" s="724"/>
      <c r="O3" s="724"/>
      <c r="P3" s="724"/>
      <c r="Q3" s="724"/>
      <c r="R3" s="205"/>
      <c r="S3" s="205"/>
      <c r="T3" s="205"/>
      <c r="U3" s="205"/>
      <c r="V3" s="205"/>
      <c r="W3" s="205"/>
      <c r="X3" s="205"/>
      <c r="Y3" s="205"/>
      <c r="Z3" s="205"/>
    </row>
    <row r="4" spans="1:26" ht="22.5" customHeight="1" x14ac:dyDescent="0.35">
      <c r="A4" s="724"/>
      <c r="B4" s="205"/>
      <c r="C4" s="529"/>
      <c r="D4" s="530"/>
      <c r="E4" s="531"/>
      <c r="F4" s="531"/>
      <c r="G4" s="531"/>
      <c r="H4" s="531"/>
      <c r="I4" s="726"/>
      <c r="J4" s="532"/>
      <c r="K4" s="205"/>
      <c r="L4" s="205"/>
      <c r="M4" s="205"/>
      <c r="N4" s="724"/>
      <c r="O4" s="724"/>
      <c r="P4" s="724"/>
      <c r="Q4" s="724"/>
      <c r="R4" s="205"/>
      <c r="S4" s="205"/>
      <c r="T4" s="205"/>
      <c r="U4" s="205"/>
      <c r="V4" s="205"/>
      <c r="W4" s="205"/>
      <c r="X4" s="205"/>
      <c r="Y4" s="205"/>
      <c r="Z4" s="205"/>
    </row>
    <row r="5" spans="1:26" x14ac:dyDescent="0.35">
      <c r="A5" s="724"/>
      <c r="B5" s="569"/>
      <c r="C5" s="529"/>
      <c r="D5" s="535"/>
      <c r="E5" s="533"/>
      <c r="F5" s="533"/>
      <c r="G5" s="533"/>
      <c r="H5" s="534"/>
      <c r="I5" s="716"/>
      <c r="J5" s="532"/>
      <c r="K5" s="205"/>
      <c r="L5" s="205"/>
      <c r="M5" s="205"/>
      <c r="N5" s="724"/>
      <c r="O5" s="724"/>
      <c r="P5" s="724"/>
      <c r="Q5" s="724"/>
      <c r="R5" s="205"/>
      <c r="S5" s="205"/>
      <c r="T5" s="205"/>
      <c r="U5" s="205"/>
      <c r="V5" s="205"/>
      <c r="W5" s="205"/>
      <c r="X5" s="205"/>
      <c r="Y5" s="205"/>
      <c r="Z5" s="205"/>
    </row>
    <row r="6" spans="1:26" x14ac:dyDescent="0.35">
      <c r="A6" s="724"/>
      <c r="B6" s="205"/>
      <c r="C6" s="529"/>
      <c r="D6" s="535"/>
      <c r="E6" s="533"/>
      <c r="F6" s="533"/>
      <c r="G6" s="533"/>
      <c r="H6" s="534"/>
      <c r="I6" s="716"/>
      <c r="J6" s="532"/>
      <c r="K6" s="205"/>
      <c r="L6" s="205"/>
      <c r="M6" s="205"/>
      <c r="N6" s="724"/>
      <c r="O6" s="724"/>
      <c r="P6" s="724"/>
      <c r="Q6" s="724"/>
      <c r="R6" s="205"/>
      <c r="S6" s="205"/>
      <c r="T6" s="205"/>
      <c r="U6" s="205"/>
      <c r="V6" s="205"/>
      <c r="W6" s="205"/>
      <c r="X6" s="205"/>
      <c r="Y6" s="205"/>
      <c r="Z6" s="205"/>
    </row>
    <row r="7" spans="1:26" x14ac:dyDescent="0.35">
      <c r="A7" s="724"/>
      <c r="B7" s="205"/>
      <c r="C7" s="529"/>
      <c r="D7" s="535"/>
      <c r="E7" s="533"/>
      <c r="F7" s="533"/>
      <c r="G7" s="533"/>
      <c r="H7" s="534"/>
      <c r="I7" s="716"/>
      <c r="J7" s="532"/>
      <c r="K7" s="205"/>
      <c r="L7" s="205"/>
      <c r="M7" s="205"/>
      <c r="N7" s="724"/>
      <c r="O7" s="732"/>
      <c r="P7" s="724"/>
      <c r="Q7" s="724"/>
      <c r="R7" s="205"/>
      <c r="S7" s="205"/>
      <c r="T7" s="205"/>
      <c r="U7" s="205"/>
      <c r="V7" s="205"/>
      <c r="W7" s="205"/>
      <c r="X7" s="205"/>
      <c r="Y7" s="205"/>
      <c r="Z7" s="205"/>
    </row>
    <row r="8" spans="1:26" x14ac:dyDescent="0.35">
      <c r="A8" s="724"/>
      <c r="B8" s="205"/>
      <c r="C8" s="529"/>
      <c r="D8" s="140"/>
      <c r="E8" s="533"/>
      <c r="F8" s="533"/>
      <c r="G8" s="533"/>
      <c r="H8" s="533"/>
      <c r="I8" s="536"/>
      <c r="J8" s="532"/>
      <c r="K8" s="205"/>
      <c r="L8" s="205"/>
      <c r="M8" s="205"/>
      <c r="N8" s="724"/>
      <c r="O8" s="724"/>
      <c r="P8" s="724"/>
      <c r="Q8" s="724"/>
      <c r="R8" s="205"/>
      <c r="S8" s="205"/>
      <c r="T8" s="205"/>
      <c r="U8" s="205"/>
      <c r="V8" s="205"/>
      <c r="W8" s="205"/>
      <c r="X8" s="205"/>
      <c r="Y8" s="205"/>
      <c r="Z8" s="205"/>
    </row>
    <row r="9" spans="1:26" ht="16.5" customHeight="1" x14ac:dyDescent="0.35">
      <c r="A9" s="724"/>
      <c r="B9" s="205"/>
      <c r="C9" s="529"/>
      <c r="D9" s="535"/>
      <c r="E9" s="533"/>
      <c r="F9" s="533"/>
      <c r="G9" s="537"/>
      <c r="H9" s="538"/>
      <c r="I9" s="539"/>
      <c r="J9" s="532"/>
      <c r="K9" s="205"/>
      <c r="L9" s="205"/>
      <c r="M9" s="205"/>
      <c r="N9" s="724"/>
      <c r="O9" s="724"/>
      <c r="P9" s="724"/>
      <c r="Q9" s="724"/>
      <c r="R9" s="205"/>
      <c r="S9" s="205"/>
      <c r="T9" s="205"/>
      <c r="U9" s="205"/>
      <c r="V9" s="205"/>
      <c r="W9" s="205"/>
      <c r="X9" s="205"/>
      <c r="Y9" s="205"/>
      <c r="Z9" s="205"/>
    </row>
    <row r="10" spans="1:26" ht="16.5" customHeight="1" x14ac:dyDescent="0.35">
      <c r="A10" s="724"/>
      <c r="B10" s="205"/>
      <c r="C10" s="529"/>
      <c r="D10" s="535"/>
      <c r="E10" s="533"/>
      <c r="F10" s="533"/>
      <c r="G10" s="533"/>
      <c r="H10" s="533"/>
      <c r="I10" s="540"/>
      <c r="J10" s="532"/>
      <c r="K10" s="205"/>
      <c r="L10" s="205"/>
      <c r="M10" s="205"/>
      <c r="N10" s="724"/>
      <c r="O10" s="724"/>
      <c r="P10" s="724"/>
      <c r="Q10" s="724"/>
      <c r="R10" s="205"/>
      <c r="S10" s="205"/>
      <c r="T10" s="205"/>
      <c r="U10" s="205"/>
      <c r="V10" s="205"/>
      <c r="W10" s="205"/>
      <c r="X10" s="205"/>
      <c r="Y10" s="205"/>
      <c r="Z10" s="205"/>
    </row>
    <row r="11" spans="1:26" ht="16.5" customHeight="1" x14ac:dyDescent="0.35">
      <c r="A11" s="724"/>
      <c r="B11" s="205"/>
      <c r="C11" s="529"/>
      <c r="D11" s="541"/>
      <c r="J11" s="532"/>
      <c r="K11" s="205"/>
      <c r="L11" s="205"/>
      <c r="M11" s="205"/>
      <c r="N11" s="724"/>
      <c r="O11" s="724"/>
      <c r="P11" s="724"/>
      <c r="Q11" s="724"/>
      <c r="R11" s="205"/>
      <c r="S11" s="205"/>
      <c r="T11" s="205"/>
      <c r="U11" s="205"/>
      <c r="V11" s="205"/>
      <c r="W11" s="205"/>
      <c r="X11" s="205"/>
      <c r="Y11" s="205"/>
      <c r="Z11" s="205"/>
    </row>
    <row r="12" spans="1:26" ht="21" customHeight="1" x14ac:dyDescent="0.35">
      <c r="A12" s="724"/>
      <c r="B12" s="205"/>
      <c r="C12" s="529"/>
      <c r="D12" s="542"/>
      <c r="E12" s="543"/>
      <c r="F12" s="542"/>
      <c r="G12" s="543"/>
      <c r="H12" s="542"/>
      <c r="I12" s="727"/>
      <c r="J12" s="532"/>
      <c r="K12" s="205"/>
      <c r="L12" s="205"/>
      <c r="M12" s="205"/>
      <c r="N12" s="724"/>
      <c r="O12" s="724"/>
      <c r="P12" s="724"/>
      <c r="Q12" s="724"/>
      <c r="R12" s="205"/>
      <c r="S12" s="205"/>
      <c r="T12" s="205"/>
      <c r="U12" s="205"/>
      <c r="V12" s="205"/>
      <c r="W12" s="205"/>
      <c r="X12" s="205"/>
      <c r="Y12" s="205"/>
      <c r="Z12" s="205"/>
    </row>
    <row r="13" spans="1:26" ht="6.75" customHeight="1" x14ac:dyDescent="0.35">
      <c r="A13" s="724"/>
      <c r="B13" s="205"/>
      <c r="C13" s="529"/>
      <c r="J13" s="532"/>
      <c r="K13" s="205"/>
      <c r="L13" s="205"/>
      <c r="M13" s="205"/>
      <c r="N13" s="724"/>
      <c r="O13" s="724"/>
      <c r="P13" s="724"/>
      <c r="Q13" s="724"/>
      <c r="R13" s="205"/>
      <c r="S13" s="205"/>
      <c r="T13" s="205"/>
      <c r="U13" s="205"/>
      <c r="V13" s="205"/>
      <c r="W13" s="205"/>
      <c r="X13" s="205"/>
      <c r="Y13" s="205"/>
      <c r="Z13" s="205"/>
    </row>
    <row r="14" spans="1:26" ht="21" customHeight="1" x14ac:dyDescent="0.35">
      <c r="A14" s="724"/>
      <c r="B14" s="205"/>
      <c r="C14" s="529"/>
      <c r="D14" s="545"/>
      <c r="E14" s="546"/>
      <c r="F14" s="546"/>
      <c r="G14" s="546"/>
      <c r="H14" s="546"/>
      <c r="I14" s="546"/>
      <c r="J14" s="532"/>
      <c r="K14" s="205"/>
      <c r="L14" s="205"/>
      <c r="M14" s="205"/>
      <c r="N14" s="724"/>
      <c r="O14" s="724"/>
      <c r="P14" s="724"/>
      <c r="Q14" s="724"/>
      <c r="R14" s="205"/>
      <c r="S14" s="205"/>
      <c r="T14" s="205"/>
      <c r="U14" s="205"/>
      <c r="V14" s="205"/>
      <c r="W14" s="205"/>
      <c r="X14" s="205"/>
      <c r="Y14" s="205"/>
      <c r="Z14" s="205"/>
    </row>
    <row r="15" spans="1:26" ht="20.25" customHeight="1" x14ac:dyDescent="0.35">
      <c r="A15" s="724"/>
      <c r="B15" s="205"/>
      <c r="C15" s="529"/>
      <c r="D15" s="547"/>
      <c r="E15" s="548"/>
      <c r="F15" s="728"/>
      <c r="G15" s="548"/>
      <c r="H15" s="549"/>
      <c r="I15" s="550"/>
      <c r="J15" s="551"/>
      <c r="K15" s="205"/>
      <c r="L15" s="731"/>
      <c r="M15" s="205"/>
      <c r="N15" s="724"/>
      <c r="O15" s="724"/>
      <c r="P15" s="724"/>
      <c r="Q15" s="724"/>
      <c r="R15" s="205"/>
      <c r="S15" s="205"/>
      <c r="T15" s="205"/>
      <c r="U15" s="205"/>
      <c r="V15" s="205"/>
      <c r="W15" s="205"/>
      <c r="X15" s="205"/>
      <c r="Y15" s="205"/>
      <c r="Z15" s="205"/>
    </row>
    <row r="16" spans="1:26" ht="18" customHeight="1" x14ac:dyDescent="0.35">
      <c r="A16" s="724"/>
      <c r="B16" s="205"/>
      <c r="C16" s="529"/>
      <c r="D16" s="547"/>
      <c r="E16" s="548"/>
      <c r="F16" s="728"/>
      <c r="G16" s="548"/>
      <c r="H16" s="549"/>
      <c r="I16" s="550"/>
      <c r="J16" s="532"/>
      <c r="K16" s="205"/>
      <c r="L16" s="731"/>
      <c r="M16" s="205"/>
      <c r="N16" s="724"/>
      <c r="O16" s="724"/>
      <c r="P16" s="724"/>
      <c r="Q16" s="724"/>
      <c r="R16" s="205"/>
      <c r="S16" s="205"/>
      <c r="T16" s="205"/>
      <c r="U16" s="205"/>
      <c r="V16" s="205"/>
      <c r="W16" s="205"/>
      <c r="X16" s="205"/>
      <c r="Y16" s="205"/>
      <c r="Z16" s="205"/>
    </row>
    <row r="17" spans="1:26" ht="18" customHeight="1" x14ac:dyDescent="0.35">
      <c r="A17" s="724"/>
      <c r="B17" s="205"/>
      <c r="C17" s="529"/>
      <c r="D17" s="547"/>
      <c r="E17" s="548"/>
      <c r="F17" s="728"/>
      <c r="G17" s="548"/>
      <c r="H17" s="549"/>
      <c r="I17" s="550"/>
      <c r="J17" s="532"/>
      <c r="K17" s="205"/>
      <c r="L17" s="731"/>
      <c r="M17" s="205"/>
      <c r="N17" s="724"/>
      <c r="O17" s="724"/>
      <c r="P17" s="724"/>
      <c r="Q17" s="724"/>
      <c r="R17" s="205"/>
      <c r="S17" s="205"/>
      <c r="T17" s="205"/>
      <c r="U17" s="205"/>
      <c r="V17" s="205"/>
      <c r="W17" s="205"/>
      <c r="X17" s="205"/>
      <c r="Y17" s="205"/>
      <c r="Z17" s="205"/>
    </row>
    <row r="18" spans="1:26" ht="15" hidden="1" customHeight="1" x14ac:dyDescent="0.35">
      <c r="A18" s="724"/>
      <c r="B18" s="205"/>
      <c r="C18" s="529"/>
      <c r="D18" s="547"/>
      <c r="E18" s="548"/>
      <c r="F18" s="728"/>
      <c r="G18" s="548"/>
      <c r="H18" s="549"/>
      <c r="I18" s="550"/>
      <c r="J18" s="532"/>
      <c r="K18" s="205"/>
      <c r="L18" s="731"/>
      <c r="M18" s="205"/>
      <c r="N18" s="724"/>
      <c r="O18" s="724"/>
      <c r="P18" s="724"/>
      <c r="Q18" s="724"/>
      <c r="R18" s="205"/>
      <c r="S18" s="205"/>
      <c r="T18" s="205"/>
      <c r="U18" s="205"/>
      <c r="V18" s="205"/>
      <c r="W18" s="205"/>
      <c r="X18" s="205"/>
      <c r="Y18" s="205"/>
      <c r="Z18" s="205"/>
    </row>
    <row r="19" spans="1:26" hidden="1" x14ac:dyDescent="0.35">
      <c r="A19" s="724"/>
      <c r="B19" s="205"/>
      <c r="C19" s="529"/>
      <c r="D19" s="552"/>
      <c r="E19" s="553"/>
      <c r="F19" s="553"/>
      <c r="G19" s="553"/>
      <c r="H19" s="553"/>
      <c r="I19" s="554"/>
      <c r="J19" s="532"/>
      <c r="K19" s="205"/>
      <c r="L19" s="205"/>
      <c r="M19" s="205"/>
      <c r="N19" s="724"/>
      <c r="O19" s="724"/>
      <c r="P19" s="724"/>
      <c r="Q19" s="724"/>
      <c r="R19" s="205"/>
      <c r="S19" s="205"/>
      <c r="T19" s="205"/>
      <c r="U19" s="205"/>
      <c r="V19" s="205"/>
      <c r="W19" s="205"/>
      <c r="X19" s="205"/>
      <c r="Y19" s="205"/>
      <c r="Z19" s="205"/>
    </row>
    <row r="20" spans="1:26" ht="16" thickBot="1" x14ac:dyDescent="0.4">
      <c r="A20" s="724"/>
      <c r="B20" s="205"/>
      <c r="C20" s="529"/>
      <c r="D20" s="555"/>
      <c r="E20" s="556"/>
      <c r="F20" s="557"/>
      <c r="G20" s="556"/>
      <c r="H20" s="557"/>
      <c r="I20" s="558"/>
      <c r="J20" s="532"/>
      <c r="K20" s="205"/>
      <c r="L20" s="205"/>
      <c r="M20" s="205"/>
      <c r="N20" s="724"/>
      <c r="O20" s="724"/>
      <c r="P20" s="724"/>
      <c r="Q20" s="724"/>
      <c r="R20" s="205"/>
      <c r="S20" s="205"/>
      <c r="T20" s="205"/>
      <c r="U20" s="205"/>
      <c r="V20" s="205"/>
      <c r="W20" s="205"/>
      <c r="X20" s="205"/>
      <c r="Y20" s="205"/>
      <c r="Z20" s="205"/>
    </row>
    <row r="21" spans="1:26" ht="16" thickTop="1" x14ac:dyDescent="0.35">
      <c r="A21" s="724"/>
      <c r="B21" s="205"/>
      <c r="C21" s="529"/>
      <c r="D21" s="131"/>
      <c r="E21" s="559"/>
      <c r="F21" s="559"/>
      <c r="G21" s="559"/>
      <c r="H21" s="559"/>
      <c r="I21" s="560"/>
      <c r="J21" s="532"/>
      <c r="K21" s="205"/>
      <c r="L21" s="205"/>
      <c r="M21" s="205"/>
      <c r="N21" s="724"/>
      <c r="O21" s="724"/>
      <c r="P21" s="724"/>
      <c r="Q21" s="724"/>
      <c r="R21" s="205"/>
      <c r="S21" s="205"/>
      <c r="T21" s="205"/>
      <c r="U21" s="205"/>
      <c r="V21" s="205"/>
      <c r="W21" s="205"/>
      <c r="X21" s="205"/>
      <c r="Y21" s="205"/>
      <c r="Z21" s="205"/>
    </row>
    <row r="22" spans="1:26" x14ac:dyDescent="0.35">
      <c r="A22" s="724"/>
      <c r="B22" s="205"/>
      <c r="C22" s="529"/>
      <c r="D22" s="559"/>
      <c r="E22" s="559"/>
      <c r="F22" s="559"/>
      <c r="G22" s="559"/>
      <c r="H22" s="561"/>
      <c r="I22" s="562"/>
      <c r="J22" s="532"/>
      <c r="K22" s="205"/>
      <c r="L22" s="205"/>
      <c r="M22" s="205"/>
      <c r="N22" s="724"/>
      <c r="O22" s="724"/>
      <c r="P22" s="724"/>
      <c r="Q22" s="724"/>
      <c r="R22" s="205"/>
      <c r="S22" s="205"/>
      <c r="T22" s="205"/>
      <c r="U22" s="205"/>
      <c r="V22" s="205"/>
      <c r="W22" s="205"/>
      <c r="X22" s="205"/>
      <c r="Y22" s="205"/>
      <c r="Z22" s="205"/>
    </row>
    <row r="23" spans="1:26" x14ac:dyDescent="0.35">
      <c r="A23" s="724"/>
      <c r="B23" s="205"/>
      <c r="C23" s="529"/>
      <c r="D23" s="559"/>
      <c r="E23" s="559"/>
      <c r="F23" s="559"/>
      <c r="G23" s="559"/>
      <c r="H23" s="561"/>
      <c r="I23" s="562"/>
      <c r="J23" s="532"/>
      <c r="K23" s="205"/>
      <c r="L23" s="205"/>
      <c r="M23" s="205"/>
      <c r="N23" s="724"/>
      <c r="O23" s="724"/>
      <c r="P23" s="724"/>
      <c r="Q23" s="724"/>
      <c r="R23" s="205"/>
      <c r="S23" s="205"/>
      <c r="T23" s="205"/>
      <c r="U23" s="205"/>
      <c r="V23" s="205"/>
      <c r="W23" s="205"/>
      <c r="X23" s="205"/>
      <c r="Y23" s="205"/>
      <c r="Z23" s="205"/>
    </row>
    <row r="24" spans="1:26" x14ac:dyDescent="0.35">
      <c r="A24" s="724"/>
      <c r="B24" s="733"/>
      <c r="C24" s="529"/>
      <c r="D24" s="559"/>
      <c r="E24" s="559"/>
      <c r="F24" s="559"/>
      <c r="G24" s="559"/>
      <c r="H24" s="559"/>
      <c r="I24" s="559"/>
      <c r="J24" s="532"/>
      <c r="K24" s="205"/>
      <c r="L24" s="205"/>
      <c r="M24" s="205"/>
      <c r="N24" s="724"/>
      <c r="O24" s="724"/>
      <c r="P24" s="724"/>
      <c r="Q24" s="724"/>
      <c r="R24" s="205"/>
      <c r="S24" s="205"/>
      <c r="T24" s="205"/>
      <c r="U24" s="205"/>
      <c r="V24" s="205"/>
      <c r="W24" s="205"/>
      <c r="X24" s="205"/>
      <c r="Y24" s="205"/>
      <c r="Z24" s="205"/>
    </row>
    <row r="25" spans="1:26" ht="18.75" customHeight="1" x14ac:dyDescent="0.35">
      <c r="A25" s="724"/>
      <c r="B25" s="205"/>
      <c r="C25" s="529"/>
      <c r="D25" s="563"/>
      <c r="E25" s="564"/>
      <c r="F25" s="564"/>
      <c r="G25" s="564"/>
      <c r="H25" s="564"/>
      <c r="I25" s="564"/>
      <c r="J25" s="532"/>
      <c r="K25" s="205"/>
      <c r="L25" s="205"/>
      <c r="M25" s="205"/>
      <c r="N25" s="724"/>
      <c r="O25" s="724"/>
      <c r="P25" s="724"/>
      <c r="Q25" s="724"/>
      <c r="R25" s="205"/>
      <c r="S25" s="205"/>
      <c r="T25" s="205"/>
      <c r="U25" s="205"/>
      <c r="V25" s="205"/>
      <c r="W25" s="205"/>
      <c r="X25" s="205"/>
      <c r="Y25" s="205"/>
      <c r="Z25" s="205"/>
    </row>
    <row r="26" spans="1:26" x14ac:dyDescent="0.35">
      <c r="A26" s="724"/>
      <c r="B26" s="205"/>
      <c r="C26" s="529"/>
      <c r="D26" s="564"/>
      <c r="E26" s="564"/>
      <c r="F26" s="564"/>
      <c r="G26" s="564"/>
      <c r="H26" s="564"/>
      <c r="I26" s="564"/>
      <c r="J26" s="532"/>
      <c r="K26" s="205"/>
      <c r="L26" s="205"/>
      <c r="M26" s="205"/>
      <c r="N26" s="724"/>
      <c r="O26" s="724"/>
      <c r="P26" s="724"/>
      <c r="Q26" s="724"/>
      <c r="R26" s="205"/>
      <c r="S26" s="205"/>
      <c r="T26" s="205"/>
      <c r="U26" s="205"/>
      <c r="V26" s="205"/>
      <c r="W26" s="205"/>
      <c r="X26" s="205"/>
      <c r="Y26" s="205"/>
      <c r="Z26" s="205"/>
    </row>
    <row r="27" spans="1:26" x14ac:dyDescent="0.35">
      <c r="A27" s="724"/>
      <c r="B27" s="205"/>
      <c r="C27" s="529"/>
      <c r="D27" s="559"/>
      <c r="E27" s="559"/>
      <c r="F27" s="559"/>
      <c r="G27" s="559"/>
      <c r="H27" s="559"/>
      <c r="I27" s="559"/>
      <c r="J27" s="532"/>
      <c r="K27" s="205"/>
      <c r="L27" s="205"/>
      <c r="M27" s="205"/>
      <c r="N27" s="724"/>
      <c r="O27" s="724"/>
      <c r="P27" s="724"/>
      <c r="Q27" s="724"/>
      <c r="R27" s="205"/>
      <c r="S27" s="205"/>
      <c r="T27" s="205"/>
      <c r="U27" s="205"/>
      <c r="V27" s="205"/>
      <c r="W27" s="205"/>
      <c r="X27" s="205"/>
      <c r="Y27" s="205"/>
      <c r="Z27" s="205"/>
    </row>
    <row r="28" spans="1:26" x14ac:dyDescent="0.35">
      <c r="A28" s="724"/>
      <c r="B28" s="205"/>
      <c r="C28" s="529"/>
      <c r="D28" s="559"/>
      <c r="E28" s="559"/>
      <c r="F28" s="559"/>
      <c r="G28" s="559"/>
      <c r="H28" s="559"/>
      <c r="I28" s="559"/>
      <c r="J28" s="532"/>
      <c r="K28" s="205"/>
      <c r="L28" s="205"/>
      <c r="M28" s="205"/>
      <c r="N28" s="724"/>
      <c r="O28" s="724"/>
      <c r="P28" s="724"/>
      <c r="Q28" s="724"/>
      <c r="R28" s="205"/>
      <c r="S28" s="205"/>
      <c r="T28" s="205"/>
      <c r="U28" s="205"/>
      <c r="V28" s="205"/>
      <c r="W28" s="205"/>
      <c r="X28" s="205"/>
      <c r="Y28" s="205"/>
      <c r="Z28" s="205"/>
    </row>
    <row r="29" spans="1:26" ht="16" thickBot="1" x14ac:dyDescent="0.4">
      <c r="A29" s="724"/>
      <c r="B29" s="205"/>
      <c r="C29" s="565"/>
      <c r="D29" s="566"/>
      <c r="E29" s="567"/>
      <c r="F29" s="566"/>
      <c r="G29" s="566"/>
      <c r="H29" s="566"/>
      <c r="I29" s="729"/>
      <c r="J29" s="568"/>
      <c r="K29" s="205"/>
      <c r="L29" s="205"/>
      <c r="M29" s="205"/>
      <c r="N29" s="724"/>
      <c r="O29" s="724"/>
      <c r="P29" s="724"/>
      <c r="Q29" s="724"/>
      <c r="R29" s="205"/>
      <c r="S29" s="205"/>
      <c r="T29" s="205"/>
      <c r="U29" s="205"/>
      <c r="V29" s="205"/>
      <c r="W29" s="205"/>
      <c r="X29" s="205"/>
      <c r="Y29" s="205"/>
      <c r="Z29" s="205"/>
    </row>
    <row r="30" spans="1:26" ht="21" customHeight="1" thickTop="1" x14ac:dyDescent="0.35">
      <c r="A30" s="724"/>
      <c r="B30" s="205"/>
      <c r="C30" s="734"/>
      <c r="D30" s="734"/>
      <c r="E30" s="734"/>
      <c r="F30" s="734"/>
      <c r="G30" s="734"/>
      <c r="H30" s="734"/>
      <c r="I30" s="735"/>
      <c r="J30" s="734"/>
      <c r="K30" s="205"/>
      <c r="L30" s="205"/>
      <c r="M30" s="205"/>
      <c r="N30" s="724"/>
      <c r="O30" s="724"/>
      <c r="P30" s="724"/>
      <c r="Q30" s="724"/>
      <c r="R30" s="205"/>
      <c r="S30" s="205"/>
      <c r="T30" s="205"/>
      <c r="U30" s="205"/>
      <c r="V30" s="205"/>
      <c r="W30" s="205"/>
      <c r="X30" s="205"/>
      <c r="Y30" s="205"/>
      <c r="Z30" s="205"/>
    </row>
    <row r="31" spans="1:26" ht="24.75" customHeight="1" x14ac:dyDescent="0.35">
      <c r="A31" s="724"/>
      <c r="B31" s="205"/>
      <c r="C31" s="205"/>
      <c r="D31" s="205"/>
      <c r="E31" s="205"/>
      <c r="F31" s="205"/>
      <c r="G31" s="205"/>
      <c r="H31" s="205"/>
      <c r="I31" s="205"/>
      <c r="J31" s="205"/>
      <c r="K31" s="205"/>
      <c r="L31" s="205"/>
      <c r="M31" s="205"/>
      <c r="N31" s="724"/>
      <c r="O31" s="724"/>
      <c r="P31" s="724"/>
      <c r="Q31" s="724"/>
      <c r="R31" s="205"/>
      <c r="S31" s="205"/>
      <c r="T31" s="205"/>
      <c r="U31" s="205"/>
      <c r="V31" s="205"/>
      <c r="W31" s="205"/>
      <c r="X31" s="205"/>
      <c r="Y31" s="205"/>
      <c r="Z31" s="205"/>
    </row>
    <row r="32" spans="1:26" x14ac:dyDescent="0.35">
      <c r="A32" s="724"/>
      <c r="B32" s="724"/>
      <c r="C32" s="724"/>
      <c r="D32" s="724"/>
      <c r="E32" s="724"/>
      <c r="F32" s="724"/>
      <c r="G32" s="724"/>
      <c r="H32" s="724"/>
      <c r="I32" s="724"/>
      <c r="J32" s="724"/>
      <c r="K32" s="724"/>
      <c r="L32" s="724"/>
      <c r="M32" s="724"/>
      <c r="N32" s="724"/>
      <c r="O32" s="724"/>
      <c r="P32" s="724"/>
      <c r="Q32" s="724"/>
      <c r="R32" s="205"/>
      <c r="S32" s="205"/>
      <c r="T32" s="205"/>
      <c r="U32" s="205"/>
      <c r="V32" s="205"/>
      <c r="W32" s="205"/>
      <c r="X32" s="205"/>
      <c r="Y32" s="205"/>
      <c r="Z32" s="205"/>
    </row>
    <row r="33" spans="1:26" x14ac:dyDescent="0.35">
      <c r="A33" s="724"/>
      <c r="B33" s="724"/>
      <c r="C33" s="724"/>
      <c r="D33" s="724"/>
      <c r="E33" s="724"/>
      <c r="F33" s="724"/>
      <c r="G33" s="724"/>
      <c r="H33" s="724"/>
      <c r="I33" s="724"/>
      <c r="J33" s="724"/>
      <c r="K33" s="724"/>
      <c r="L33" s="724"/>
      <c r="M33" s="724"/>
      <c r="N33" s="724"/>
      <c r="O33" s="724"/>
      <c r="P33" s="724"/>
      <c r="Q33" s="724"/>
      <c r="R33" s="205"/>
      <c r="S33" s="205"/>
      <c r="T33" s="205"/>
      <c r="U33" s="205"/>
      <c r="V33" s="205"/>
      <c r="W33" s="205"/>
      <c r="X33" s="205"/>
      <c r="Y33" s="205"/>
      <c r="Z33" s="205"/>
    </row>
    <row r="34" spans="1:26" x14ac:dyDescent="0.35">
      <c r="A34" s="724"/>
      <c r="B34" s="724"/>
      <c r="C34" s="724"/>
      <c r="D34" s="724"/>
      <c r="E34" s="724"/>
      <c r="F34" s="724"/>
      <c r="G34" s="724"/>
      <c r="H34" s="724"/>
      <c r="I34" s="724"/>
      <c r="J34" s="724"/>
      <c r="K34" s="724"/>
      <c r="L34" s="724"/>
      <c r="M34" s="724"/>
      <c r="N34" s="724"/>
      <c r="O34" s="724"/>
      <c r="P34" s="724"/>
      <c r="Q34" s="724"/>
      <c r="R34" s="205"/>
      <c r="S34" s="205"/>
      <c r="T34" s="205"/>
      <c r="U34" s="205"/>
      <c r="V34" s="205"/>
      <c r="W34" s="205"/>
      <c r="X34" s="205"/>
      <c r="Y34" s="205"/>
      <c r="Z34" s="205"/>
    </row>
    <row r="35" spans="1:26" x14ac:dyDescent="0.35">
      <c r="A35" s="724"/>
      <c r="B35" s="724"/>
      <c r="C35" s="724"/>
      <c r="D35" s="724"/>
      <c r="E35" s="724"/>
      <c r="F35" s="724"/>
      <c r="G35" s="724"/>
      <c r="H35" s="724"/>
      <c r="I35" s="724"/>
      <c r="J35" s="724"/>
      <c r="K35" s="724"/>
      <c r="L35" s="724"/>
      <c r="M35" s="724"/>
      <c r="N35" s="724"/>
      <c r="O35" s="724"/>
      <c r="P35" s="724"/>
      <c r="Q35" s="724"/>
      <c r="R35" s="205"/>
      <c r="S35" s="205"/>
      <c r="T35" s="205"/>
      <c r="U35" s="205"/>
      <c r="V35" s="205"/>
      <c r="W35" s="205"/>
      <c r="X35" s="205"/>
      <c r="Y35" s="205"/>
      <c r="Z35" s="205"/>
    </row>
    <row r="36" spans="1:26" x14ac:dyDescent="0.35">
      <c r="A36" s="724"/>
      <c r="B36" s="724"/>
      <c r="C36" s="724"/>
      <c r="D36" s="724"/>
      <c r="E36" s="724"/>
      <c r="F36" s="724"/>
      <c r="G36" s="724"/>
      <c r="H36" s="724"/>
      <c r="I36" s="724"/>
      <c r="J36" s="724"/>
      <c r="K36" s="724"/>
      <c r="L36" s="724"/>
      <c r="M36" s="724"/>
      <c r="N36" s="724"/>
      <c r="O36" s="724"/>
      <c r="P36" s="724"/>
      <c r="Q36" s="724"/>
      <c r="R36" s="205"/>
      <c r="S36" s="205"/>
      <c r="T36" s="205"/>
      <c r="U36" s="205"/>
      <c r="V36" s="205"/>
      <c r="W36" s="205"/>
      <c r="X36" s="205"/>
      <c r="Y36" s="205"/>
      <c r="Z36" s="205"/>
    </row>
    <row r="37" spans="1:26" x14ac:dyDescent="0.35">
      <c r="A37" s="205"/>
      <c r="B37" s="205"/>
      <c r="C37" s="205"/>
      <c r="D37" s="205"/>
      <c r="E37" s="205"/>
      <c r="F37" s="205"/>
      <c r="G37" s="205"/>
      <c r="H37" s="205"/>
      <c r="I37" s="205"/>
      <c r="J37" s="205"/>
      <c r="K37" s="205"/>
      <c r="L37" s="205"/>
      <c r="M37" s="205"/>
      <c r="N37" s="205"/>
      <c r="O37" s="205"/>
      <c r="P37" s="205"/>
      <c r="Q37" s="205"/>
      <c r="R37" s="205"/>
      <c r="S37" s="205"/>
      <c r="T37" s="205"/>
      <c r="U37" s="205"/>
      <c r="V37" s="205"/>
      <c r="W37" s="205"/>
      <c r="X37" s="205"/>
      <c r="Y37" s="205"/>
      <c r="Z37" s="205"/>
    </row>
    <row r="38" spans="1:26" x14ac:dyDescent="0.35">
      <c r="A38" s="205"/>
      <c r="B38" s="205"/>
      <c r="C38" s="205"/>
      <c r="D38" s="205"/>
      <c r="E38" s="205"/>
      <c r="F38" s="205"/>
      <c r="G38" s="205"/>
      <c r="H38" s="205"/>
      <c r="I38" s="205"/>
      <c r="J38" s="205"/>
      <c r="K38" s="205"/>
      <c r="L38" s="205"/>
      <c r="M38" s="205"/>
      <c r="N38" s="205"/>
      <c r="O38" s="205"/>
      <c r="P38" s="205"/>
      <c r="Q38" s="205"/>
      <c r="R38" s="205"/>
      <c r="S38" s="205"/>
      <c r="T38" s="205"/>
      <c r="U38" s="205"/>
      <c r="V38" s="205"/>
      <c r="W38" s="205"/>
      <c r="X38" s="205"/>
      <c r="Y38" s="205"/>
      <c r="Z38" s="205"/>
    </row>
    <row r="39" spans="1:26" x14ac:dyDescent="0.35">
      <c r="A39" s="205"/>
      <c r="B39" s="205"/>
      <c r="C39" s="205"/>
      <c r="D39" s="205"/>
      <c r="E39" s="205"/>
      <c r="F39" s="205"/>
      <c r="G39" s="205"/>
      <c r="H39" s="205"/>
      <c r="I39" s="205"/>
      <c r="J39" s="205"/>
      <c r="K39" s="205"/>
      <c r="L39" s="205"/>
      <c r="M39" s="205"/>
      <c r="N39" s="205"/>
      <c r="O39" s="205"/>
      <c r="P39" s="205"/>
      <c r="Q39" s="205"/>
      <c r="R39" s="205"/>
      <c r="S39" s="205"/>
      <c r="T39" s="205"/>
      <c r="U39" s="205"/>
      <c r="V39" s="205"/>
      <c r="W39" s="205"/>
      <c r="X39" s="205"/>
      <c r="Y39" s="205"/>
      <c r="Z39" s="205"/>
    </row>
    <row r="40" spans="1:26" x14ac:dyDescent="0.35">
      <c r="A40" s="205"/>
      <c r="B40" s="205"/>
      <c r="C40" s="205"/>
      <c r="D40" s="205"/>
      <c r="E40" s="205"/>
      <c r="F40" s="205"/>
      <c r="G40" s="205"/>
      <c r="H40" s="205"/>
      <c r="I40" s="205"/>
      <c r="J40" s="205"/>
      <c r="K40" s="205"/>
      <c r="L40" s="205"/>
      <c r="M40" s="205"/>
      <c r="N40" s="205"/>
      <c r="O40" s="205"/>
      <c r="P40" s="205"/>
      <c r="Q40" s="205"/>
      <c r="R40" s="205"/>
      <c r="S40" s="205"/>
      <c r="T40" s="205"/>
      <c r="U40" s="205"/>
      <c r="V40" s="205"/>
      <c r="W40" s="205"/>
      <c r="X40" s="205"/>
      <c r="Y40" s="205"/>
      <c r="Z40" s="205"/>
    </row>
    <row r="41" spans="1:26" x14ac:dyDescent="0.35">
      <c r="A41" s="205"/>
      <c r="B41" s="205"/>
      <c r="C41" s="205"/>
      <c r="D41" s="205"/>
      <c r="E41" s="205"/>
      <c r="F41" s="205"/>
      <c r="G41" s="205"/>
      <c r="H41" s="205"/>
      <c r="I41" s="205"/>
      <c r="J41" s="205"/>
      <c r="K41" s="205"/>
      <c r="L41" s="205"/>
      <c r="M41" s="205"/>
      <c r="N41" s="205"/>
      <c r="O41" s="205"/>
      <c r="P41" s="205"/>
      <c r="Q41" s="205"/>
      <c r="R41" s="205"/>
      <c r="S41" s="205"/>
      <c r="T41" s="205"/>
      <c r="U41" s="205"/>
      <c r="V41" s="205"/>
      <c r="W41" s="205"/>
      <c r="X41" s="205"/>
      <c r="Y41" s="205"/>
      <c r="Z41" s="205"/>
    </row>
    <row r="42" spans="1:26" x14ac:dyDescent="0.35">
      <c r="A42" s="205"/>
      <c r="B42" s="205"/>
      <c r="C42" s="205"/>
      <c r="D42" s="205"/>
      <c r="E42" s="205"/>
      <c r="F42" s="205"/>
      <c r="G42" s="205"/>
      <c r="H42" s="205"/>
      <c r="I42" s="205"/>
      <c r="J42" s="205"/>
      <c r="K42" s="205"/>
      <c r="L42" s="205"/>
      <c r="M42" s="205"/>
      <c r="N42" s="205"/>
      <c r="O42" s="205"/>
      <c r="P42" s="205"/>
      <c r="Q42" s="205"/>
      <c r="R42" s="205"/>
      <c r="S42" s="205"/>
      <c r="T42" s="205"/>
      <c r="U42" s="205"/>
      <c r="V42" s="205"/>
      <c r="W42" s="205"/>
      <c r="X42" s="205"/>
      <c r="Y42" s="205"/>
      <c r="Z42" s="205"/>
    </row>
    <row r="43" spans="1:26" x14ac:dyDescent="0.35">
      <c r="A43" s="205"/>
      <c r="B43" s="205"/>
      <c r="C43" s="205"/>
      <c r="D43" s="205"/>
      <c r="E43" s="205"/>
      <c r="F43" s="205"/>
      <c r="G43" s="205"/>
      <c r="H43" s="205"/>
      <c r="I43" s="205"/>
      <c r="J43" s="205"/>
      <c r="K43" s="205"/>
      <c r="L43" s="205"/>
      <c r="M43" s="205"/>
      <c r="N43" s="205"/>
      <c r="O43" s="205"/>
      <c r="P43" s="205"/>
      <c r="Q43" s="205"/>
      <c r="R43" s="205"/>
      <c r="S43" s="205"/>
      <c r="T43" s="205"/>
      <c r="U43" s="205"/>
      <c r="V43" s="205"/>
      <c r="W43" s="205"/>
      <c r="X43" s="205"/>
      <c r="Y43" s="205"/>
      <c r="Z43" s="205"/>
    </row>
    <row r="44" spans="1:26" x14ac:dyDescent="0.35">
      <c r="A44" s="205"/>
      <c r="B44" s="205"/>
      <c r="C44" s="205"/>
      <c r="D44" s="205"/>
      <c r="E44" s="205"/>
      <c r="F44" s="205"/>
      <c r="G44" s="205"/>
      <c r="H44" s="205"/>
      <c r="I44" s="205"/>
      <c r="J44" s="205"/>
      <c r="K44" s="205"/>
      <c r="L44" s="205"/>
      <c r="M44" s="205"/>
      <c r="N44" s="205"/>
      <c r="O44" s="205"/>
      <c r="P44" s="205"/>
      <c r="Q44" s="205"/>
      <c r="R44" s="205"/>
      <c r="S44" s="205"/>
      <c r="T44" s="205"/>
      <c r="U44" s="205"/>
      <c r="V44" s="205"/>
      <c r="W44" s="205"/>
      <c r="X44" s="205"/>
      <c r="Y44" s="205"/>
      <c r="Z44" s="205"/>
    </row>
    <row r="45" spans="1:26" x14ac:dyDescent="0.35">
      <c r="A45" s="205"/>
      <c r="B45" s="205"/>
      <c r="C45" s="205"/>
      <c r="D45" s="205"/>
      <c r="E45" s="205"/>
      <c r="F45" s="205"/>
      <c r="G45" s="205"/>
      <c r="H45" s="205"/>
      <c r="I45" s="205"/>
      <c r="J45" s="205"/>
      <c r="K45" s="205"/>
      <c r="L45" s="205"/>
      <c r="M45" s="205"/>
      <c r="N45" s="205"/>
      <c r="O45" s="205"/>
      <c r="P45" s="205"/>
      <c r="Q45" s="205"/>
      <c r="R45" s="205"/>
      <c r="S45" s="205"/>
      <c r="T45" s="205"/>
      <c r="U45" s="205"/>
      <c r="V45" s="205"/>
      <c r="W45" s="205"/>
      <c r="X45" s="205"/>
      <c r="Y45" s="205"/>
      <c r="Z45" s="205"/>
    </row>
    <row r="46" spans="1:26" x14ac:dyDescent="0.35">
      <c r="A46" s="205"/>
      <c r="B46" s="205"/>
      <c r="C46" s="205"/>
      <c r="D46" s="205"/>
      <c r="E46" s="205"/>
      <c r="F46" s="205"/>
      <c r="G46" s="205"/>
      <c r="H46" s="205"/>
      <c r="I46" s="205"/>
      <c r="J46" s="205"/>
      <c r="K46" s="205"/>
      <c r="L46" s="205"/>
      <c r="M46" s="205"/>
      <c r="N46" s="205"/>
      <c r="O46" s="205"/>
      <c r="P46" s="205"/>
      <c r="Q46" s="205"/>
      <c r="R46" s="205"/>
      <c r="S46" s="205"/>
      <c r="T46" s="205"/>
      <c r="U46" s="205"/>
      <c r="V46" s="205"/>
      <c r="W46" s="205"/>
      <c r="X46" s="205"/>
      <c r="Y46" s="205"/>
      <c r="Z46" s="205"/>
    </row>
    <row r="47" spans="1:26" x14ac:dyDescent="0.35">
      <c r="A47" s="205"/>
      <c r="B47" s="205"/>
      <c r="C47" s="205"/>
      <c r="D47" s="205"/>
      <c r="E47" s="205"/>
      <c r="F47" s="205"/>
      <c r="G47" s="205"/>
      <c r="H47" s="205"/>
      <c r="I47" s="205"/>
      <c r="J47" s="205"/>
      <c r="K47" s="205"/>
      <c r="L47" s="205"/>
      <c r="M47" s="205"/>
      <c r="N47" s="205"/>
      <c r="O47" s="205"/>
      <c r="P47" s="205"/>
      <c r="Q47" s="205"/>
      <c r="R47" s="205"/>
      <c r="S47" s="205"/>
      <c r="T47" s="205"/>
      <c r="U47" s="205"/>
      <c r="V47" s="205"/>
      <c r="W47" s="205"/>
      <c r="X47" s="205"/>
      <c r="Y47" s="205"/>
      <c r="Z47" s="205"/>
    </row>
    <row r="48" spans="1:26" x14ac:dyDescent="0.35">
      <c r="A48" s="205"/>
      <c r="B48" s="205"/>
      <c r="C48" s="205"/>
      <c r="D48" s="205"/>
      <c r="E48" s="205"/>
      <c r="F48" s="205"/>
      <c r="G48" s="205"/>
      <c r="H48" s="205"/>
      <c r="I48" s="205"/>
      <c r="J48" s="205"/>
      <c r="K48" s="205"/>
      <c r="L48" s="205"/>
      <c r="M48" s="205"/>
      <c r="N48" s="205"/>
      <c r="O48" s="205"/>
      <c r="P48" s="205"/>
      <c r="Q48" s="205"/>
      <c r="R48" s="205"/>
      <c r="S48" s="205"/>
      <c r="T48" s="205"/>
      <c r="U48" s="205"/>
      <c r="V48" s="205"/>
      <c r="W48" s="205"/>
      <c r="X48" s="205"/>
      <c r="Y48" s="205"/>
      <c r="Z48" s="205"/>
    </row>
    <row r="49" spans="1:26" x14ac:dyDescent="0.35">
      <c r="A49" s="205"/>
      <c r="B49" s="205"/>
      <c r="C49" s="205"/>
      <c r="D49" s="205"/>
      <c r="E49" s="205"/>
      <c r="F49" s="205"/>
      <c r="G49" s="205"/>
      <c r="H49" s="205"/>
      <c r="I49" s="205"/>
      <c r="J49" s="205"/>
      <c r="K49" s="205"/>
      <c r="L49" s="205"/>
      <c r="M49" s="205"/>
      <c r="N49" s="205"/>
      <c r="O49" s="205"/>
      <c r="P49" s="205"/>
      <c r="Q49" s="205"/>
      <c r="R49" s="205"/>
      <c r="S49" s="205"/>
      <c r="T49" s="205"/>
      <c r="U49" s="205"/>
      <c r="V49" s="205"/>
      <c r="W49" s="205"/>
      <c r="X49" s="205"/>
      <c r="Y49" s="205"/>
      <c r="Z49" s="205"/>
    </row>
    <row r="50" spans="1:26" x14ac:dyDescent="0.35">
      <c r="A50" s="205"/>
      <c r="B50" s="205"/>
      <c r="C50" s="205"/>
      <c r="D50" s="205"/>
      <c r="E50" s="205"/>
      <c r="F50" s="205"/>
      <c r="G50" s="205"/>
      <c r="H50" s="205"/>
      <c r="I50" s="205"/>
      <c r="J50" s="205"/>
      <c r="K50" s="205"/>
      <c r="L50" s="205"/>
      <c r="M50" s="205"/>
      <c r="N50" s="205"/>
      <c r="O50" s="205"/>
      <c r="P50" s="205"/>
      <c r="Q50" s="205"/>
      <c r="R50" s="205"/>
      <c r="S50" s="205"/>
      <c r="T50" s="205"/>
      <c r="U50" s="205"/>
      <c r="V50" s="205"/>
      <c r="W50" s="205"/>
      <c r="X50" s="205"/>
      <c r="Y50" s="205"/>
      <c r="Z50" s="205"/>
    </row>
    <row r="51" spans="1:26" x14ac:dyDescent="0.35">
      <c r="A51" s="205"/>
      <c r="B51" s="205"/>
      <c r="C51" s="205"/>
      <c r="D51" s="205"/>
      <c r="E51" s="205"/>
      <c r="F51" s="205"/>
      <c r="G51" s="205"/>
      <c r="H51" s="205"/>
      <c r="I51" s="205"/>
      <c r="J51" s="205"/>
      <c r="K51" s="205"/>
      <c r="L51" s="205"/>
      <c r="M51" s="205"/>
      <c r="N51" s="205"/>
      <c r="O51" s="205"/>
      <c r="P51" s="205"/>
      <c r="Q51" s="205"/>
      <c r="R51" s="205"/>
      <c r="S51" s="205"/>
      <c r="T51" s="205"/>
      <c r="U51" s="205"/>
      <c r="V51" s="205"/>
      <c r="W51" s="205"/>
      <c r="X51" s="205"/>
      <c r="Y51" s="205"/>
      <c r="Z51" s="205"/>
    </row>
    <row r="52" spans="1:26" x14ac:dyDescent="0.35">
      <c r="A52" s="205"/>
      <c r="B52" s="205"/>
      <c r="C52" s="205"/>
      <c r="D52" s="205"/>
      <c r="E52" s="205"/>
      <c r="F52" s="205"/>
      <c r="G52" s="205"/>
      <c r="H52" s="205"/>
      <c r="I52" s="205"/>
      <c r="J52" s="205"/>
      <c r="K52" s="205"/>
      <c r="L52" s="205"/>
      <c r="M52" s="205"/>
      <c r="N52" s="205"/>
      <c r="O52" s="205"/>
      <c r="P52" s="205"/>
      <c r="Q52" s="205"/>
      <c r="R52" s="205"/>
      <c r="S52" s="205"/>
      <c r="T52" s="205"/>
      <c r="U52" s="205"/>
      <c r="V52" s="205"/>
      <c r="W52" s="205"/>
      <c r="X52" s="205"/>
      <c r="Y52" s="205"/>
      <c r="Z52" s="205"/>
    </row>
    <row r="53" spans="1:26" x14ac:dyDescent="0.35">
      <c r="A53" s="205"/>
      <c r="B53" s="205"/>
      <c r="C53" s="205"/>
      <c r="D53" s="205"/>
      <c r="E53" s="205"/>
      <c r="F53" s="205"/>
      <c r="G53" s="205"/>
      <c r="H53" s="205"/>
      <c r="I53" s="205"/>
      <c r="J53" s="205"/>
      <c r="K53" s="205"/>
      <c r="L53" s="205"/>
      <c r="M53" s="205"/>
      <c r="N53" s="205"/>
      <c r="O53" s="205"/>
      <c r="P53" s="205"/>
      <c r="Q53" s="205"/>
      <c r="R53" s="205"/>
      <c r="S53" s="205"/>
      <c r="T53" s="205"/>
      <c r="U53" s="205"/>
      <c r="V53" s="205"/>
      <c r="W53" s="205"/>
      <c r="X53" s="205"/>
      <c r="Y53" s="205"/>
      <c r="Z53" s="205"/>
    </row>
    <row r="54" spans="1:26" x14ac:dyDescent="0.35">
      <c r="A54" s="205"/>
      <c r="B54" s="205"/>
      <c r="C54" s="205"/>
      <c r="D54" s="205"/>
      <c r="E54" s="205"/>
      <c r="F54" s="205"/>
      <c r="G54" s="205"/>
      <c r="H54" s="205"/>
      <c r="I54" s="205"/>
      <c r="J54" s="205"/>
      <c r="K54" s="205"/>
      <c r="L54" s="205"/>
      <c r="M54" s="205"/>
      <c r="N54" s="205"/>
      <c r="O54" s="205"/>
      <c r="P54" s="205"/>
      <c r="Q54" s="205"/>
      <c r="R54" s="205"/>
      <c r="S54" s="205"/>
      <c r="T54" s="205"/>
      <c r="U54" s="205"/>
      <c r="V54" s="205"/>
      <c r="W54" s="205"/>
      <c r="X54" s="205"/>
      <c r="Y54" s="205"/>
      <c r="Z54" s="205"/>
    </row>
    <row r="55" spans="1:26" x14ac:dyDescent="0.35">
      <c r="A55" s="205"/>
      <c r="B55" s="205"/>
      <c r="C55" s="205"/>
      <c r="D55" s="205"/>
      <c r="E55" s="205"/>
      <c r="F55" s="205"/>
      <c r="G55" s="205"/>
      <c r="H55" s="205"/>
      <c r="I55" s="205"/>
      <c r="J55" s="205"/>
      <c r="K55" s="205"/>
      <c r="L55" s="205"/>
      <c r="M55" s="205"/>
      <c r="N55" s="205"/>
      <c r="O55" s="205"/>
      <c r="P55" s="205"/>
      <c r="Q55" s="205"/>
      <c r="R55" s="205"/>
      <c r="S55" s="205"/>
      <c r="T55" s="205"/>
      <c r="U55" s="205"/>
      <c r="V55" s="205"/>
      <c r="W55" s="205"/>
      <c r="X55" s="205"/>
      <c r="Y55" s="205"/>
      <c r="Z55" s="205"/>
    </row>
    <row r="56" spans="1:26" x14ac:dyDescent="0.35">
      <c r="A56" s="205"/>
      <c r="B56" s="205"/>
      <c r="C56" s="205"/>
      <c r="D56" s="205"/>
      <c r="E56" s="205"/>
      <c r="F56" s="205"/>
      <c r="G56" s="205"/>
      <c r="H56" s="205"/>
      <c r="I56" s="205"/>
      <c r="J56" s="205"/>
      <c r="K56" s="205"/>
      <c r="L56" s="205"/>
      <c r="M56" s="205"/>
      <c r="N56" s="205"/>
      <c r="O56" s="205"/>
      <c r="P56" s="205"/>
      <c r="Q56" s="205"/>
      <c r="R56" s="205"/>
      <c r="S56" s="205"/>
      <c r="T56" s="205"/>
      <c r="U56" s="205"/>
      <c r="V56" s="205"/>
      <c r="W56" s="205"/>
      <c r="X56" s="205"/>
      <c r="Y56" s="205"/>
      <c r="Z56" s="205"/>
    </row>
    <row r="57" spans="1:26" x14ac:dyDescent="0.35">
      <c r="A57" s="205"/>
      <c r="B57" s="205"/>
      <c r="C57" s="205"/>
      <c r="D57" s="205"/>
      <c r="E57" s="205"/>
      <c r="F57" s="205"/>
      <c r="G57" s="205"/>
      <c r="H57" s="205"/>
      <c r="I57" s="205"/>
      <c r="J57" s="205"/>
      <c r="K57" s="205"/>
      <c r="L57" s="205"/>
      <c r="M57" s="205"/>
      <c r="N57" s="205"/>
      <c r="O57" s="205"/>
      <c r="P57" s="205"/>
      <c r="Q57" s="205"/>
      <c r="R57" s="205"/>
      <c r="S57" s="205"/>
      <c r="T57" s="205"/>
      <c r="U57" s="205"/>
      <c r="V57" s="205"/>
      <c r="W57" s="205"/>
      <c r="X57" s="205"/>
      <c r="Y57" s="205"/>
      <c r="Z57" s="205"/>
    </row>
  </sheetData>
  <phoneticPr fontId="0" type="noConversion"/>
  <pageMargins left="0.70866141732283472" right="0.70866141732283472" top="0.74803149606299213" bottom="0.74803149606299213" header="0.31496062992125984" footer="0.31496062992125984"/>
  <pageSetup paperSize="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Group Box 3">
              <controlPr defaultSize="0" autoFill="0" autoPict="0">
                <anchor moveWithCells="1">
                  <from>
                    <xdr:col>3</xdr:col>
                    <xdr:colOff>939800</xdr:colOff>
                    <xdr:row>3</xdr:row>
                    <xdr:rowOff>0</xdr:rowOff>
                  </from>
                  <to>
                    <xdr:col>9</xdr:col>
                    <xdr:colOff>0</xdr:colOff>
                    <xdr:row>4</xdr:row>
                    <xdr:rowOff>0</xdr:rowOff>
                  </to>
                </anchor>
              </controlPr>
            </control>
          </mc:Choice>
        </mc:AlternateContent>
        <mc:AlternateContent xmlns:mc="http://schemas.openxmlformats.org/markup-compatibility/2006">
          <mc:Choice Requires="x14">
            <control shapeId="52248" r:id="rId5" name="basic2button">
              <controlPr defaultSize="0" print="0" autoFill="0" autoPict="0" macro="[0]!returnfromcopy">
                <anchor moveWithCells="1" sizeWithCells="1">
                  <from>
                    <xdr:col>12</xdr:col>
                    <xdr:colOff>76200</xdr:colOff>
                    <xdr:row>0</xdr:row>
                    <xdr:rowOff>298450</xdr:rowOff>
                  </from>
                  <to>
                    <xdr:col>12</xdr:col>
                    <xdr:colOff>965200</xdr:colOff>
                    <xdr:row>2</xdr:row>
                    <xdr:rowOff>152400</xdr:rowOff>
                  </to>
                </anchor>
              </controlPr>
            </control>
          </mc:Choice>
        </mc:AlternateContent>
        <mc:AlternateContent xmlns:mc="http://schemas.openxmlformats.org/markup-compatibility/2006">
          <mc:Choice Requires="x14">
            <control shapeId="52249" r:id="rId6" name="basic2delbutton">
              <controlPr defaultSize="0" print="0" autoFill="0" autoPict="0" macro="[0]!delete_basic2button">
                <anchor moveWithCells="1" sizeWithCells="1">
                  <from>
                    <xdr:col>12</xdr:col>
                    <xdr:colOff>76200</xdr:colOff>
                    <xdr:row>2</xdr:row>
                    <xdr:rowOff>177800</xdr:rowOff>
                  </from>
                  <to>
                    <xdr:col>12</xdr:col>
                    <xdr:colOff>965200</xdr:colOff>
                    <xdr:row>4</xdr:row>
                    <xdr:rowOff>158750</xdr:rowOff>
                  </to>
                </anchor>
              </controlPr>
            </control>
          </mc:Choice>
        </mc:AlternateContent>
        <mc:AlternateContent xmlns:mc="http://schemas.openxmlformats.org/markup-compatibility/2006">
          <mc:Choice Requires="x14">
            <control shapeId="52250" r:id="rId7" name="pdfbutton">
              <controlPr defaultSize="0" print="0" autoFill="0" autoPict="0" macro="[0]!pdfonly">
                <anchor moveWithCells="1" sizeWithCells="1">
                  <from>
                    <xdr:col>12</xdr:col>
                    <xdr:colOff>1060450</xdr:colOff>
                    <xdr:row>1</xdr:row>
                    <xdr:rowOff>76200</xdr:rowOff>
                  </from>
                  <to>
                    <xdr:col>12</xdr:col>
                    <xdr:colOff>1949450</xdr:colOff>
                    <xdr:row>3</xdr:row>
                    <xdr:rowOff>146050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BE3E0-8A7D-4857-9AE5-1F4911DB57C5}">
  <sheetPr codeName="Sheet43"/>
  <dimension ref="A1:AC80"/>
  <sheetViews>
    <sheetView workbookViewId="0"/>
  </sheetViews>
  <sheetFormatPr defaultColWidth="9.08984375" defaultRowHeight="12.5" x14ac:dyDescent="0.25"/>
  <cols>
    <col min="1" max="1" width="20" style="763" customWidth="1"/>
    <col min="2" max="2" width="11.6328125" style="764" customWidth="1"/>
    <col min="3" max="3" width="20.6328125" style="764" customWidth="1"/>
    <col min="4" max="4" width="21" style="764" customWidth="1"/>
    <col min="5" max="5" width="3.54296875" style="763" customWidth="1"/>
    <col min="6" max="6" width="6.08984375" style="736" customWidth="1"/>
    <col min="7" max="7" width="27.36328125" style="736" customWidth="1"/>
    <col min="8" max="8" width="10.453125" style="736" customWidth="1"/>
    <col min="9" max="9" width="9.08984375" style="736"/>
    <col min="10" max="10" width="17.453125" style="736" customWidth="1"/>
    <col min="11" max="13" width="9.08984375" style="736"/>
    <col min="14" max="14" width="19.54296875" style="736" customWidth="1"/>
    <col min="15" max="16384" width="9.08984375" style="736"/>
  </cols>
  <sheetData>
    <row r="1" spans="1:29" ht="15.5" x14ac:dyDescent="0.35">
      <c r="A1" s="759"/>
      <c r="B1" s="759"/>
      <c r="C1" s="759"/>
      <c r="D1" s="759"/>
      <c r="E1" s="759"/>
      <c r="F1" s="205"/>
      <c r="G1" s="205"/>
      <c r="H1" s="205"/>
      <c r="I1" s="205"/>
      <c r="J1" s="205"/>
      <c r="K1" s="205"/>
      <c r="L1" s="205"/>
      <c r="M1" s="205"/>
      <c r="N1" s="205"/>
      <c r="O1" s="205"/>
      <c r="P1" s="205"/>
      <c r="Q1" s="205"/>
      <c r="R1" s="205"/>
      <c r="S1" s="205"/>
      <c r="T1" s="205"/>
      <c r="U1" s="205"/>
      <c r="V1" s="205"/>
      <c r="W1" s="205"/>
      <c r="X1" s="205"/>
      <c r="Y1" s="205"/>
      <c r="Z1" s="205"/>
      <c r="AA1" s="205"/>
      <c r="AB1" s="205"/>
      <c r="AC1" s="205"/>
    </row>
    <row r="2" spans="1:29" ht="21" customHeight="1" x14ac:dyDescent="0.35">
      <c r="A2" s="759"/>
      <c r="B2" s="766"/>
      <c r="C2" s="767"/>
      <c r="D2" s="760"/>
      <c r="E2" s="759"/>
      <c r="F2" s="205"/>
      <c r="G2" s="205"/>
      <c r="H2" s="205"/>
      <c r="I2" s="205"/>
      <c r="J2" s="205"/>
      <c r="K2" s="205"/>
      <c r="L2" s="205"/>
      <c r="M2" s="205"/>
      <c r="N2" s="205"/>
      <c r="O2" s="205"/>
      <c r="P2" s="205"/>
      <c r="Q2" s="205"/>
      <c r="R2" s="205"/>
      <c r="S2" s="205"/>
      <c r="T2" s="205"/>
      <c r="U2" s="205"/>
      <c r="V2" s="205"/>
      <c r="W2" s="205"/>
      <c r="X2" s="205"/>
      <c r="Y2" s="205"/>
      <c r="Z2" s="205"/>
      <c r="AA2" s="205"/>
      <c r="AB2" s="205"/>
      <c r="AC2" s="205"/>
    </row>
    <row r="3" spans="1:29" ht="19.5" customHeight="1" x14ac:dyDescent="0.35">
      <c r="A3" s="759"/>
      <c r="B3" s="773"/>
      <c r="C3" s="770"/>
      <c r="D3" s="765"/>
      <c r="E3" s="759"/>
      <c r="F3" s="205"/>
      <c r="G3" s="205"/>
      <c r="H3" s="205"/>
      <c r="I3" s="205"/>
      <c r="J3" s="205"/>
      <c r="K3" s="205"/>
      <c r="L3" s="205"/>
      <c r="M3" s="205"/>
      <c r="N3" s="205"/>
      <c r="O3" s="205"/>
      <c r="P3" s="205"/>
      <c r="Q3" s="205"/>
      <c r="R3" s="205"/>
      <c r="S3" s="205"/>
      <c r="T3" s="205"/>
      <c r="U3" s="205"/>
      <c r="V3" s="205"/>
      <c r="W3" s="205"/>
      <c r="X3" s="205"/>
      <c r="Y3" s="205"/>
      <c r="Z3" s="205"/>
      <c r="AA3" s="205"/>
      <c r="AB3" s="205"/>
      <c r="AC3" s="205"/>
    </row>
    <row r="4" spans="1:29" ht="19.5" customHeight="1" x14ac:dyDescent="0.35">
      <c r="A4" s="759"/>
      <c r="B4" s="773"/>
      <c r="C4" s="770"/>
      <c r="D4" s="768"/>
      <c r="E4" s="759"/>
      <c r="F4" s="205"/>
      <c r="G4" s="205"/>
      <c r="H4" s="205"/>
      <c r="I4" s="205"/>
      <c r="J4" s="205"/>
      <c r="K4" s="205"/>
      <c r="L4" s="205"/>
      <c r="M4" s="205"/>
      <c r="N4" s="205"/>
      <c r="O4" s="205"/>
      <c r="P4" s="205"/>
      <c r="Q4" s="205"/>
      <c r="R4" s="205"/>
      <c r="S4" s="205"/>
      <c r="T4" s="205"/>
      <c r="U4" s="205"/>
      <c r="V4" s="205"/>
      <c r="W4" s="205"/>
      <c r="X4" s="205"/>
      <c r="Y4" s="205"/>
      <c r="Z4" s="205"/>
      <c r="AA4" s="205"/>
      <c r="AB4" s="205"/>
      <c r="AC4" s="205"/>
    </row>
    <row r="5" spans="1:29" ht="19.5" customHeight="1" x14ac:dyDescent="0.35">
      <c r="A5" s="759"/>
      <c r="B5" s="769"/>
      <c r="C5" s="769"/>
      <c r="D5" s="762"/>
      <c r="E5" s="759"/>
      <c r="F5" s="205"/>
      <c r="G5" s="205"/>
      <c r="H5" s="205"/>
      <c r="I5" s="205"/>
      <c r="J5" s="205"/>
      <c r="K5" s="205"/>
      <c r="L5" s="205"/>
      <c r="M5" s="205"/>
      <c r="N5" s="205"/>
      <c r="O5" s="205"/>
      <c r="P5" s="205"/>
      <c r="Q5" s="205"/>
      <c r="R5" s="205"/>
      <c r="S5" s="205"/>
      <c r="T5" s="205"/>
      <c r="U5" s="205"/>
      <c r="V5" s="205"/>
      <c r="W5" s="205"/>
      <c r="X5" s="205"/>
      <c r="Y5" s="205"/>
      <c r="Z5" s="205"/>
      <c r="AA5" s="205"/>
      <c r="AB5" s="205"/>
      <c r="AC5" s="205"/>
    </row>
    <row r="6" spans="1:29" ht="19.5" customHeight="1" x14ac:dyDescent="0.35">
      <c r="A6" s="759"/>
      <c r="B6" s="761"/>
      <c r="C6" s="761"/>
      <c r="D6" s="762"/>
      <c r="E6" s="759"/>
      <c r="F6" s="205"/>
      <c r="G6" s="205"/>
      <c r="H6" s="205"/>
      <c r="I6" s="205"/>
      <c r="J6" s="205"/>
      <c r="K6" s="205"/>
      <c r="L6" s="205"/>
      <c r="M6" s="205"/>
      <c r="N6" s="205"/>
      <c r="O6" s="205"/>
      <c r="P6" s="205"/>
      <c r="Q6" s="205"/>
      <c r="R6" s="205"/>
      <c r="S6" s="205"/>
      <c r="T6" s="205"/>
      <c r="U6" s="205"/>
      <c r="V6" s="205"/>
      <c r="W6" s="205"/>
      <c r="X6" s="205"/>
      <c r="Y6" s="205"/>
      <c r="Z6" s="205"/>
      <c r="AA6" s="205"/>
      <c r="AB6" s="205"/>
      <c r="AC6" s="205"/>
    </row>
    <row r="7" spans="1:29" ht="19.5" customHeight="1" x14ac:dyDescent="0.35">
      <c r="A7" s="759"/>
      <c r="B7" s="761"/>
      <c r="C7" s="761"/>
      <c r="D7" s="762"/>
      <c r="E7" s="759"/>
      <c r="F7" s="205"/>
      <c r="G7" s="205"/>
      <c r="H7" s="205"/>
      <c r="I7" s="205"/>
      <c r="J7" s="205"/>
      <c r="K7" s="205"/>
      <c r="L7" s="205"/>
      <c r="M7" s="205"/>
      <c r="N7" s="205"/>
      <c r="O7" s="205"/>
      <c r="P7" s="205"/>
      <c r="Q7" s="205"/>
      <c r="R7" s="205"/>
      <c r="S7" s="205"/>
      <c r="T7" s="205"/>
      <c r="U7" s="205"/>
      <c r="V7" s="205"/>
      <c r="W7" s="205"/>
      <c r="X7" s="205"/>
      <c r="Y7" s="205"/>
      <c r="Z7" s="205"/>
      <c r="AA7" s="205"/>
      <c r="AB7" s="205"/>
      <c r="AC7" s="205"/>
    </row>
    <row r="8" spans="1:29" ht="19.5" customHeight="1" x14ac:dyDescent="0.35">
      <c r="A8" s="759"/>
      <c r="B8" s="761"/>
      <c r="C8" s="761"/>
      <c r="D8" s="762"/>
      <c r="E8" s="759"/>
      <c r="F8" s="205"/>
      <c r="G8" s="205"/>
      <c r="H8" s="205"/>
      <c r="I8" s="205"/>
      <c r="J8" s="205"/>
      <c r="K8" s="205"/>
      <c r="L8" s="205"/>
      <c r="M8" s="205"/>
      <c r="N8" s="205"/>
      <c r="O8" s="205"/>
      <c r="P8" s="205"/>
      <c r="Q8" s="205"/>
      <c r="R8" s="205"/>
      <c r="S8" s="205"/>
      <c r="T8" s="205"/>
      <c r="U8" s="205"/>
      <c r="V8" s="205"/>
      <c r="W8" s="205"/>
      <c r="X8" s="205"/>
      <c r="Y8" s="205"/>
      <c r="Z8" s="205"/>
      <c r="AA8" s="205"/>
      <c r="AB8" s="205"/>
      <c r="AC8" s="205"/>
    </row>
    <row r="9" spans="1:29" ht="19.5" customHeight="1" x14ac:dyDescent="0.35">
      <c r="A9" s="759"/>
      <c r="B9" s="761"/>
      <c r="C9" s="761"/>
      <c r="D9" s="762"/>
      <c r="E9" s="759"/>
      <c r="F9" s="205"/>
      <c r="G9" s="205"/>
      <c r="H9" s="205"/>
      <c r="I9" s="205"/>
      <c r="J9" s="205"/>
      <c r="K9" s="205"/>
      <c r="L9" s="205"/>
      <c r="M9" s="205"/>
      <c r="N9" s="205"/>
      <c r="O9" s="205"/>
      <c r="P9" s="205"/>
      <c r="Q9" s="205"/>
      <c r="R9" s="205"/>
      <c r="S9" s="205"/>
      <c r="T9" s="205"/>
      <c r="U9" s="205"/>
      <c r="V9" s="205"/>
      <c r="W9" s="205"/>
      <c r="X9" s="205"/>
      <c r="Y9" s="205"/>
      <c r="Z9" s="205"/>
      <c r="AA9" s="205"/>
      <c r="AB9" s="205"/>
      <c r="AC9" s="205"/>
    </row>
    <row r="10" spans="1:29" ht="19.5" customHeight="1" x14ac:dyDescent="0.35">
      <c r="A10" s="759"/>
      <c r="B10" s="761"/>
      <c r="C10" s="761"/>
      <c r="D10" s="762"/>
      <c r="E10" s="759"/>
      <c r="F10" s="205"/>
      <c r="G10" s="205"/>
      <c r="H10" s="205"/>
      <c r="I10" s="205"/>
      <c r="J10" s="205"/>
      <c r="K10" s="205"/>
      <c r="L10" s="205"/>
      <c r="M10" s="205"/>
      <c r="N10" s="205"/>
      <c r="O10" s="205"/>
      <c r="P10" s="205"/>
      <c r="Q10" s="205"/>
      <c r="R10" s="205"/>
      <c r="S10" s="205"/>
      <c r="T10" s="205"/>
      <c r="U10" s="205"/>
      <c r="V10" s="205"/>
      <c r="W10" s="205"/>
      <c r="X10" s="205"/>
      <c r="Y10" s="205"/>
      <c r="Z10" s="205"/>
      <c r="AA10" s="205"/>
      <c r="AB10" s="205"/>
      <c r="AC10" s="205"/>
    </row>
    <row r="11" spans="1:29" ht="19.5" customHeight="1" x14ac:dyDescent="0.35">
      <c r="A11" s="759"/>
      <c r="B11" s="761"/>
      <c r="C11" s="761"/>
      <c r="D11" s="762"/>
      <c r="E11" s="759"/>
      <c r="F11" s="205"/>
      <c r="G11" s="205"/>
      <c r="H11" s="205"/>
      <c r="I11" s="205"/>
      <c r="J11" s="205"/>
      <c r="K11" s="205"/>
      <c r="L11" s="205"/>
      <c r="M11" s="205"/>
      <c r="N11" s="205"/>
      <c r="O11" s="205"/>
      <c r="P11" s="205"/>
      <c r="Q11" s="205"/>
      <c r="R11" s="205"/>
      <c r="S11" s="205"/>
      <c r="T11" s="205"/>
      <c r="U11" s="205"/>
      <c r="V11" s="205"/>
      <c r="W11" s="205"/>
      <c r="X11" s="205"/>
      <c r="Y11" s="205"/>
      <c r="Z11" s="205"/>
      <c r="AA11" s="205"/>
      <c r="AB11" s="205"/>
      <c r="AC11" s="205"/>
    </row>
    <row r="12" spans="1:29" ht="19.5" customHeight="1" x14ac:dyDescent="0.35">
      <c r="A12" s="759"/>
      <c r="B12" s="761"/>
      <c r="C12" s="761"/>
      <c r="D12" s="762"/>
      <c r="E12" s="759"/>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row>
    <row r="13" spans="1:29" ht="19.5" customHeight="1" x14ac:dyDescent="0.35">
      <c r="A13" s="759"/>
      <c r="B13" s="761"/>
      <c r="C13" s="761"/>
      <c r="D13" s="762"/>
      <c r="E13" s="759"/>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row>
    <row r="14" spans="1:29" ht="19.5" customHeight="1" x14ac:dyDescent="0.35">
      <c r="A14" s="759"/>
      <c r="B14" s="761"/>
      <c r="C14" s="761"/>
      <c r="D14" s="762"/>
      <c r="E14" s="759"/>
      <c r="F14" s="205"/>
      <c r="G14" s="205"/>
      <c r="H14" s="205"/>
      <c r="I14" s="205"/>
      <c r="J14" s="205"/>
      <c r="K14" s="205"/>
      <c r="L14" s="205"/>
      <c r="M14" s="205"/>
      <c r="N14" s="205"/>
      <c r="O14" s="205"/>
      <c r="P14" s="205"/>
      <c r="Q14" s="205"/>
      <c r="R14" s="205"/>
      <c r="S14" s="205"/>
      <c r="T14" s="205"/>
      <c r="U14" s="205"/>
      <c r="V14" s="205"/>
      <c r="W14" s="205"/>
      <c r="X14" s="205"/>
      <c r="Y14" s="205"/>
      <c r="Z14" s="205"/>
      <c r="AA14" s="205"/>
      <c r="AB14" s="205"/>
      <c r="AC14" s="205"/>
    </row>
    <row r="15" spans="1:29" ht="19.5" customHeight="1" x14ac:dyDescent="0.35">
      <c r="A15" s="759"/>
      <c r="B15" s="761"/>
      <c r="C15" s="761"/>
      <c r="D15" s="762"/>
      <c r="E15" s="759"/>
      <c r="F15" s="205"/>
      <c r="G15" s="205"/>
      <c r="H15" s="205"/>
      <c r="I15" s="205"/>
      <c r="J15" s="205"/>
      <c r="K15" s="205"/>
      <c r="L15" s="205"/>
      <c r="M15" s="205"/>
      <c r="N15" s="205"/>
      <c r="O15" s="205"/>
      <c r="P15" s="205"/>
      <c r="Q15" s="205"/>
      <c r="R15" s="205"/>
      <c r="S15" s="205"/>
      <c r="T15" s="205"/>
      <c r="U15" s="205"/>
      <c r="V15" s="205"/>
      <c r="W15" s="205"/>
      <c r="X15" s="205"/>
      <c r="Y15" s="205"/>
      <c r="Z15" s="205"/>
      <c r="AA15" s="205"/>
      <c r="AB15" s="205"/>
      <c r="AC15" s="205"/>
    </row>
    <row r="16" spans="1:29" ht="19.5" customHeight="1" x14ac:dyDescent="0.35">
      <c r="A16" s="759"/>
      <c r="B16" s="761"/>
      <c r="C16" s="761"/>
      <c r="D16" s="762"/>
      <c r="E16" s="759"/>
      <c r="F16" s="205"/>
      <c r="G16" s="205"/>
      <c r="H16" s="205"/>
      <c r="I16" s="205"/>
      <c r="J16" s="205"/>
      <c r="K16" s="205"/>
      <c r="L16" s="205"/>
      <c r="M16" s="205"/>
      <c r="N16" s="205"/>
      <c r="O16" s="205"/>
      <c r="P16" s="205"/>
      <c r="Q16" s="205"/>
      <c r="R16" s="205"/>
      <c r="S16" s="205"/>
      <c r="T16" s="205"/>
      <c r="U16" s="205"/>
      <c r="V16" s="205"/>
      <c r="W16" s="205"/>
      <c r="X16" s="205"/>
      <c r="Y16" s="205"/>
      <c r="Z16" s="205"/>
      <c r="AA16" s="205"/>
      <c r="AB16" s="205"/>
      <c r="AC16" s="205"/>
    </row>
    <row r="17" spans="1:29" ht="15.5" x14ac:dyDescent="0.35">
      <c r="A17" s="759"/>
      <c r="B17" s="759"/>
      <c r="C17" s="759"/>
      <c r="D17" s="1210"/>
      <c r="E17" s="759"/>
      <c r="F17" s="205"/>
      <c r="G17" s="205"/>
      <c r="H17" s="205"/>
      <c r="I17" s="205"/>
      <c r="J17" s="205"/>
      <c r="K17" s="205"/>
      <c r="L17" s="205"/>
      <c r="M17" s="205"/>
      <c r="N17" s="205"/>
      <c r="O17" s="205"/>
      <c r="P17" s="205"/>
      <c r="Q17" s="205"/>
      <c r="R17" s="205"/>
      <c r="S17" s="205"/>
      <c r="T17" s="205"/>
      <c r="U17" s="205"/>
      <c r="V17" s="205"/>
      <c r="W17" s="205"/>
      <c r="X17" s="205"/>
      <c r="Y17" s="205"/>
      <c r="Z17" s="205"/>
      <c r="AA17" s="205"/>
      <c r="AB17" s="205"/>
      <c r="AC17" s="205"/>
    </row>
    <row r="18" spans="1:29" ht="15.5" x14ac:dyDescent="0.35">
      <c r="A18" s="759"/>
      <c r="B18" s="759"/>
      <c r="C18" s="759"/>
      <c r="D18" s="759"/>
      <c r="E18" s="759"/>
      <c r="F18" s="205"/>
      <c r="G18" s="205"/>
      <c r="H18" s="205"/>
      <c r="I18" s="205"/>
      <c r="J18" s="205"/>
      <c r="K18" s="205"/>
      <c r="L18" s="205"/>
      <c r="M18" s="205"/>
      <c r="N18" s="205"/>
      <c r="O18" s="205"/>
      <c r="P18" s="205"/>
      <c r="Q18" s="205"/>
      <c r="R18" s="205"/>
      <c r="S18" s="205"/>
      <c r="T18" s="205"/>
      <c r="U18" s="205"/>
      <c r="V18" s="205"/>
      <c r="W18" s="205"/>
      <c r="X18" s="205"/>
      <c r="Y18" s="205"/>
      <c r="Z18" s="205"/>
      <c r="AA18" s="205"/>
      <c r="AB18" s="205"/>
      <c r="AC18" s="205"/>
    </row>
    <row r="19" spans="1:29" ht="15.5" x14ac:dyDescent="0.35">
      <c r="A19" s="759"/>
      <c r="B19" s="759"/>
      <c r="C19" s="759"/>
      <c r="D19" s="759"/>
      <c r="E19" s="759"/>
      <c r="F19" s="205"/>
      <c r="G19" s="205"/>
      <c r="H19" s="205"/>
      <c r="I19" s="205"/>
      <c r="J19" s="205"/>
      <c r="K19" s="205"/>
      <c r="L19" s="205"/>
      <c r="M19" s="205"/>
      <c r="N19" s="205"/>
      <c r="O19" s="205"/>
      <c r="P19" s="205"/>
      <c r="Q19" s="205"/>
      <c r="R19" s="205"/>
      <c r="S19" s="205"/>
      <c r="T19" s="205"/>
      <c r="U19" s="205"/>
      <c r="V19" s="205"/>
      <c r="W19" s="205"/>
      <c r="X19" s="205"/>
      <c r="Y19" s="205"/>
      <c r="Z19" s="205"/>
      <c r="AA19" s="205"/>
      <c r="AB19" s="205"/>
      <c r="AC19" s="205"/>
    </row>
    <row r="20" spans="1:29" ht="15.5" x14ac:dyDescent="0.35">
      <c r="A20" s="759"/>
      <c r="B20" s="759"/>
      <c r="C20" s="759"/>
      <c r="D20" s="759"/>
      <c r="E20" s="759"/>
      <c r="F20" s="205"/>
      <c r="G20" s="205"/>
      <c r="H20" s="205"/>
      <c r="I20" s="205"/>
      <c r="J20" s="205"/>
      <c r="K20" s="205"/>
      <c r="L20" s="205"/>
      <c r="M20" s="205"/>
      <c r="N20" s="205"/>
      <c r="O20" s="205"/>
      <c r="P20" s="205"/>
      <c r="Q20" s="205"/>
      <c r="R20" s="205"/>
      <c r="S20" s="205"/>
      <c r="T20" s="205"/>
      <c r="U20" s="205"/>
      <c r="V20" s="205"/>
      <c r="W20" s="205"/>
      <c r="X20" s="205"/>
      <c r="Y20" s="205"/>
      <c r="Z20" s="205"/>
      <c r="AA20" s="205"/>
      <c r="AB20" s="205"/>
      <c r="AC20" s="205"/>
    </row>
    <row r="21" spans="1:29" ht="15.5" x14ac:dyDescent="0.35">
      <c r="A21" s="759"/>
      <c r="B21" s="759"/>
      <c r="C21" s="759"/>
      <c r="D21" s="759"/>
      <c r="E21" s="759"/>
      <c r="F21" s="205"/>
      <c r="G21" s="205"/>
      <c r="H21" s="205"/>
      <c r="I21" s="205"/>
      <c r="J21" s="205"/>
      <c r="K21" s="205"/>
      <c r="L21" s="205"/>
      <c r="M21" s="205"/>
      <c r="N21" s="205"/>
      <c r="O21" s="205"/>
      <c r="P21" s="205"/>
      <c r="Q21" s="205"/>
      <c r="R21" s="205"/>
      <c r="S21" s="205"/>
      <c r="T21" s="205"/>
      <c r="U21" s="205"/>
      <c r="V21" s="205"/>
      <c r="W21" s="205"/>
      <c r="X21" s="205"/>
      <c r="Y21" s="205"/>
      <c r="Z21" s="205"/>
      <c r="AA21" s="205"/>
      <c r="AB21" s="205"/>
      <c r="AC21" s="205"/>
    </row>
    <row r="22" spans="1:29" ht="15.5" x14ac:dyDescent="0.35">
      <c r="A22" s="759"/>
      <c r="B22" s="759"/>
      <c r="C22" s="759"/>
      <c r="D22" s="759"/>
      <c r="E22" s="759"/>
      <c r="F22" s="205"/>
      <c r="G22" s="205"/>
      <c r="H22" s="205"/>
      <c r="I22" s="205"/>
      <c r="J22" s="205"/>
      <c r="K22" s="205"/>
      <c r="L22" s="205"/>
      <c r="M22" s="205"/>
      <c r="N22" s="205"/>
      <c r="O22" s="205"/>
      <c r="P22" s="205"/>
      <c r="Q22" s="205"/>
      <c r="R22" s="205"/>
      <c r="S22" s="205"/>
      <c r="T22" s="205"/>
      <c r="U22" s="205"/>
      <c r="V22" s="205"/>
      <c r="W22" s="205"/>
      <c r="X22" s="205"/>
      <c r="Y22" s="205"/>
      <c r="Z22" s="205"/>
      <c r="AA22" s="205"/>
      <c r="AB22" s="205"/>
      <c r="AC22" s="205"/>
    </row>
    <row r="23" spans="1:29" ht="15.5" x14ac:dyDescent="0.35">
      <c r="A23" s="759"/>
      <c r="B23" s="759"/>
      <c r="C23" s="759"/>
      <c r="D23" s="759"/>
      <c r="E23" s="759"/>
      <c r="F23" s="205"/>
      <c r="G23" s="205"/>
      <c r="H23" s="205"/>
      <c r="I23" s="205"/>
      <c r="J23" s="205"/>
      <c r="K23" s="205"/>
      <c r="L23" s="205"/>
      <c r="M23" s="205"/>
      <c r="N23" s="205"/>
      <c r="O23" s="205"/>
      <c r="P23" s="205"/>
      <c r="Q23" s="205"/>
      <c r="R23" s="205"/>
      <c r="S23" s="205"/>
      <c r="T23" s="205"/>
      <c r="U23" s="205"/>
      <c r="V23" s="205"/>
      <c r="W23" s="205"/>
      <c r="X23" s="205"/>
      <c r="Y23" s="205"/>
      <c r="Z23" s="205"/>
      <c r="AA23" s="205"/>
      <c r="AB23" s="205"/>
      <c r="AC23" s="205"/>
    </row>
    <row r="24" spans="1:29" ht="15.5" x14ac:dyDescent="0.35">
      <c r="A24" s="759"/>
      <c r="B24" s="759"/>
      <c r="C24" s="759"/>
      <c r="D24" s="759"/>
      <c r="E24" s="759"/>
      <c r="F24" s="205"/>
      <c r="G24" s="205"/>
      <c r="H24" s="205"/>
      <c r="I24" s="205"/>
      <c r="J24" s="205"/>
      <c r="K24" s="205"/>
      <c r="L24" s="205"/>
      <c r="M24" s="205"/>
      <c r="N24" s="205"/>
      <c r="O24" s="205"/>
      <c r="P24" s="205"/>
      <c r="Q24" s="205"/>
      <c r="R24" s="205"/>
      <c r="S24" s="205"/>
      <c r="T24" s="205"/>
      <c r="U24" s="205"/>
      <c r="V24" s="205"/>
      <c r="W24" s="205"/>
      <c r="X24" s="205"/>
      <c r="Y24" s="205"/>
      <c r="Z24" s="205"/>
      <c r="AA24" s="205"/>
      <c r="AB24" s="205"/>
      <c r="AC24" s="205"/>
    </row>
    <row r="25" spans="1:29" ht="15.5" x14ac:dyDescent="0.35">
      <c r="A25" s="759"/>
      <c r="B25" s="759"/>
      <c r="C25" s="759"/>
      <c r="D25" s="759"/>
      <c r="E25" s="759"/>
      <c r="F25" s="205"/>
      <c r="G25" s="205"/>
      <c r="H25" s="205"/>
      <c r="I25" s="205"/>
      <c r="J25" s="205"/>
      <c r="K25" s="205"/>
      <c r="L25" s="205"/>
      <c r="M25" s="205"/>
      <c r="N25" s="205"/>
      <c r="O25" s="205"/>
      <c r="P25" s="205"/>
      <c r="Q25" s="205"/>
      <c r="R25" s="205"/>
      <c r="S25" s="205"/>
      <c r="T25" s="205"/>
      <c r="U25" s="205"/>
      <c r="V25" s="205"/>
      <c r="W25" s="205"/>
      <c r="X25" s="205"/>
      <c r="Y25" s="205"/>
      <c r="Z25" s="205"/>
      <c r="AA25" s="205"/>
      <c r="AB25" s="205"/>
      <c r="AC25" s="205"/>
    </row>
    <row r="26" spans="1:29" ht="15.5" x14ac:dyDescent="0.35">
      <c r="A26" s="759"/>
      <c r="B26" s="759"/>
      <c r="C26" s="759"/>
      <c r="D26" s="759"/>
      <c r="E26" s="759"/>
      <c r="F26" s="205"/>
      <c r="G26" s="205"/>
      <c r="H26" s="205"/>
      <c r="I26" s="205"/>
      <c r="J26" s="205"/>
      <c r="K26" s="205"/>
      <c r="L26" s="205"/>
      <c r="M26" s="205"/>
      <c r="N26" s="205"/>
      <c r="O26" s="205"/>
      <c r="P26" s="205"/>
      <c r="Q26" s="205"/>
      <c r="R26" s="205"/>
      <c r="S26" s="205"/>
      <c r="T26" s="205"/>
      <c r="U26" s="205"/>
      <c r="V26" s="205"/>
      <c r="W26" s="205"/>
      <c r="X26" s="205"/>
      <c r="Y26" s="205"/>
      <c r="Z26" s="205"/>
      <c r="AA26" s="205"/>
      <c r="AB26" s="205"/>
      <c r="AC26" s="205"/>
    </row>
    <row r="27" spans="1:29" ht="15.5" x14ac:dyDescent="0.35">
      <c r="A27" s="759"/>
      <c r="B27" s="759"/>
      <c r="C27" s="759"/>
      <c r="D27" s="759"/>
      <c r="E27" s="759"/>
      <c r="F27" s="205"/>
      <c r="G27" s="205"/>
      <c r="H27" s="205"/>
      <c r="I27" s="205"/>
      <c r="J27" s="205"/>
      <c r="K27" s="205"/>
      <c r="L27" s="205"/>
      <c r="M27" s="205"/>
      <c r="N27" s="205"/>
      <c r="O27" s="205"/>
      <c r="P27" s="205"/>
      <c r="Q27" s="205"/>
      <c r="R27" s="205"/>
      <c r="S27" s="205"/>
      <c r="T27" s="205"/>
      <c r="U27" s="205"/>
      <c r="V27" s="205"/>
      <c r="W27" s="205"/>
      <c r="X27" s="205"/>
      <c r="Y27" s="205"/>
      <c r="Z27" s="205"/>
      <c r="AA27" s="205"/>
      <c r="AB27" s="205"/>
      <c r="AC27" s="205"/>
    </row>
    <row r="28" spans="1:29" ht="15.5" x14ac:dyDescent="0.35">
      <c r="A28" s="759"/>
      <c r="B28" s="759"/>
      <c r="C28" s="759"/>
      <c r="D28" s="759"/>
      <c r="E28" s="759"/>
      <c r="F28" s="205"/>
      <c r="G28" s="205"/>
      <c r="H28" s="205"/>
      <c r="I28" s="205"/>
      <c r="J28" s="205"/>
      <c r="K28" s="205"/>
      <c r="L28" s="205"/>
      <c r="M28" s="205"/>
      <c r="N28" s="205"/>
      <c r="O28" s="205"/>
      <c r="P28" s="205"/>
      <c r="Q28" s="205"/>
      <c r="R28" s="205"/>
      <c r="S28" s="205"/>
      <c r="T28" s="205"/>
      <c r="U28" s="205"/>
      <c r="V28" s="205"/>
      <c r="W28" s="205"/>
      <c r="X28" s="205"/>
      <c r="Y28" s="205"/>
      <c r="Z28" s="205"/>
      <c r="AA28" s="205"/>
      <c r="AB28" s="205"/>
      <c r="AC28" s="205"/>
    </row>
    <row r="29" spans="1:29" ht="15.5" x14ac:dyDescent="0.35">
      <c r="A29" s="759"/>
      <c r="B29" s="759"/>
      <c r="C29" s="759"/>
      <c r="D29" s="759"/>
      <c r="E29" s="759"/>
      <c r="F29" s="205"/>
      <c r="G29" s="205"/>
      <c r="H29" s="205"/>
      <c r="I29" s="205"/>
      <c r="J29" s="205"/>
      <c r="K29" s="205"/>
      <c r="L29" s="205"/>
      <c r="M29" s="205"/>
      <c r="N29" s="205"/>
      <c r="O29" s="205"/>
      <c r="P29" s="205"/>
      <c r="Q29" s="205"/>
      <c r="R29" s="205"/>
      <c r="S29" s="205"/>
      <c r="T29" s="205"/>
      <c r="U29" s="205"/>
      <c r="V29" s="205"/>
      <c r="W29" s="205"/>
      <c r="X29" s="205"/>
      <c r="Y29" s="205"/>
      <c r="Z29" s="205"/>
      <c r="AA29" s="205"/>
      <c r="AB29" s="205"/>
      <c r="AC29" s="205"/>
    </row>
    <row r="30" spans="1:29" ht="15.5" x14ac:dyDescent="0.35">
      <c r="A30" s="759"/>
      <c r="B30" s="759"/>
      <c r="C30" s="759"/>
      <c r="D30" s="759"/>
      <c r="E30" s="759"/>
      <c r="F30" s="205"/>
      <c r="G30" s="205"/>
      <c r="H30" s="205"/>
      <c r="I30" s="205"/>
      <c r="J30" s="205"/>
      <c r="K30" s="205"/>
      <c r="L30" s="205"/>
      <c r="M30" s="205"/>
      <c r="N30" s="205"/>
      <c r="O30" s="205"/>
      <c r="P30" s="205"/>
      <c r="Q30" s="205"/>
      <c r="R30" s="205"/>
      <c r="S30" s="205"/>
      <c r="T30" s="205"/>
      <c r="U30" s="205"/>
      <c r="V30" s="205"/>
      <c r="W30" s="205"/>
      <c r="X30" s="205"/>
      <c r="Y30" s="205"/>
      <c r="Z30" s="205"/>
      <c r="AA30" s="205"/>
      <c r="AB30" s="205"/>
      <c r="AC30" s="205"/>
    </row>
    <row r="31" spans="1:29" ht="15.5" x14ac:dyDescent="0.35">
      <c r="A31" s="759"/>
      <c r="B31" s="759"/>
      <c r="C31" s="759"/>
      <c r="D31" s="759"/>
      <c r="E31" s="759"/>
      <c r="F31" s="205"/>
      <c r="G31" s="205"/>
      <c r="H31" s="205"/>
      <c r="I31" s="205"/>
      <c r="J31" s="205"/>
      <c r="K31" s="205"/>
      <c r="L31" s="205"/>
      <c r="M31" s="205"/>
      <c r="N31" s="205"/>
      <c r="O31" s="205"/>
      <c r="P31" s="205"/>
      <c r="Q31" s="205"/>
      <c r="R31" s="205"/>
      <c r="S31" s="205"/>
      <c r="T31" s="205"/>
      <c r="U31" s="205"/>
      <c r="V31" s="205"/>
      <c r="W31" s="205"/>
      <c r="X31" s="205"/>
      <c r="Y31" s="205"/>
      <c r="Z31" s="205"/>
      <c r="AA31" s="205"/>
      <c r="AB31" s="205"/>
      <c r="AC31" s="205"/>
    </row>
    <row r="32" spans="1:29" ht="15.5" x14ac:dyDescent="0.35">
      <c r="A32" s="759"/>
      <c r="B32" s="759"/>
      <c r="C32" s="759"/>
      <c r="D32" s="759"/>
      <c r="E32" s="759"/>
      <c r="F32" s="205"/>
      <c r="G32" s="205"/>
      <c r="H32" s="205"/>
      <c r="I32" s="205"/>
      <c r="J32" s="205"/>
      <c r="K32" s="205"/>
      <c r="L32" s="205"/>
      <c r="M32" s="205"/>
      <c r="N32" s="205"/>
      <c r="O32" s="205"/>
      <c r="P32" s="205"/>
      <c r="Q32" s="205"/>
      <c r="R32" s="205"/>
      <c r="S32" s="205"/>
      <c r="T32" s="205"/>
      <c r="U32" s="205"/>
      <c r="V32" s="205"/>
      <c r="W32" s="205"/>
      <c r="X32" s="205"/>
      <c r="Y32" s="205"/>
      <c r="Z32" s="205"/>
      <c r="AA32" s="205"/>
      <c r="AB32" s="205"/>
      <c r="AC32" s="205"/>
    </row>
    <row r="33" spans="1:29" ht="15.5" x14ac:dyDescent="0.35">
      <c r="A33" s="759"/>
      <c r="B33" s="759"/>
      <c r="C33" s="759"/>
      <c r="D33" s="759"/>
      <c r="E33" s="759"/>
      <c r="F33" s="205"/>
      <c r="G33" s="205"/>
      <c r="H33" s="205"/>
      <c r="I33" s="205"/>
      <c r="J33" s="205"/>
      <c r="K33" s="205"/>
      <c r="L33" s="205"/>
      <c r="M33" s="205"/>
      <c r="N33" s="205"/>
      <c r="O33" s="205"/>
      <c r="P33" s="205"/>
      <c r="Q33" s="205"/>
      <c r="R33" s="205"/>
      <c r="S33" s="205"/>
      <c r="T33" s="205"/>
      <c r="U33" s="205"/>
      <c r="V33" s="205"/>
      <c r="W33" s="205"/>
      <c r="X33" s="205"/>
      <c r="Y33" s="205"/>
      <c r="Z33" s="205"/>
      <c r="AA33" s="205"/>
      <c r="AB33" s="205"/>
      <c r="AC33" s="205"/>
    </row>
    <row r="34" spans="1:29" ht="15.5" x14ac:dyDescent="0.35">
      <c r="A34" s="759"/>
      <c r="B34" s="759"/>
      <c r="C34" s="759"/>
      <c r="D34" s="759"/>
      <c r="E34" s="759"/>
      <c r="F34" s="205"/>
      <c r="G34" s="205"/>
      <c r="H34" s="205"/>
      <c r="I34" s="205"/>
      <c r="J34" s="205"/>
      <c r="K34" s="205"/>
      <c r="L34" s="205"/>
      <c r="M34" s="205"/>
      <c r="N34" s="205"/>
      <c r="O34" s="205"/>
      <c r="P34" s="205"/>
      <c r="Q34" s="205"/>
      <c r="R34" s="205"/>
      <c r="S34" s="205"/>
      <c r="T34" s="205"/>
      <c r="U34" s="205"/>
      <c r="V34" s="205"/>
      <c r="W34" s="205"/>
      <c r="X34" s="205"/>
      <c r="Y34" s="205"/>
      <c r="Z34" s="205"/>
      <c r="AA34" s="205"/>
      <c r="AB34" s="205"/>
      <c r="AC34" s="205"/>
    </row>
    <row r="35" spans="1:29" ht="15.5" x14ac:dyDescent="0.35">
      <c r="A35" s="759"/>
      <c r="B35" s="759"/>
      <c r="C35" s="759"/>
      <c r="D35" s="759"/>
      <c r="E35" s="759"/>
      <c r="F35" s="205"/>
      <c r="G35" s="205"/>
      <c r="H35" s="205"/>
      <c r="I35" s="205"/>
      <c r="J35" s="205"/>
      <c r="K35" s="205"/>
      <c r="L35" s="205"/>
      <c r="M35" s="205"/>
      <c r="N35" s="205"/>
      <c r="O35" s="205"/>
      <c r="P35" s="205"/>
      <c r="Q35" s="205"/>
      <c r="R35" s="205"/>
      <c r="S35" s="205"/>
      <c r="T35" s="205"/>
      <c r="U35" s="205"/>
      <c r="V35" s="205"/>
      <c r="W35" s="205"/>
      <c r="X35" s="205"/>
      <c r="Y35" s="205"/>
      <c r="Z35" s="205"/>
      <c r="AA35" s="205"/>
      <c r="AB35" s="205"/>
      <c r="AC35" s="205"/>
    </row>
    <row r="36" spans="1:29" ht="15.5" x14ac:dyDescent="0.35">
      <c r="A36" s="759"/>
      <c r="B36" s="759"/>
      <c r="C36" s="759"/>
      <c r="D36" s="759"/>
      <c r="E36" s="759"/>
      <c r="F36" s="205"/>
      <c r="G36" s="205"/>
      <c r="H36" s="205"/>
      <c r="I36" s="205"/>
      <c r="J36" s="205"/>
      <c r="K36" s="205"/>
      <c r="L36" s="205"/>
      <c r="M36" s="205"/>
      <c r="N36" s="205"/>
      <c r="O36" s="205"/>
      <c r="P36" s="205"/>
      <c r="Q36" s="205"/>
      <c r="R36" s="205"/>
      <c r="S36" s="205"/>
      <c r="T36" s="205"/>
      <c r="U36" s="205"/>
      <c r="V36" s="205"/>
      <c r="W36" s="205"/>
      <c r="X36" s="205"/>
      <c r="Y36" s="205"/>
      <c r="Z36" s="205"/>
      <c r="AA36" s="205"/>
      <c r="AB36" s="205"/>
      <c r="AC36" s="205"/>
    </row>
    <row r="37" spans="1:29" ht="15.5" x14ac:dyDescent="0.35">
      <c r="A37" s="759"/>
      <c r="B37" s="759"/>
      <c r="C37" s="759"/>
      <c r="D37" s="759"/>
      <c r="E37" s="759"/>
      <c r="F37" s="205"/>
      <c r="G37" s="205"/>
      <c r="H37" s="205"/>
      <c r="I37" s="205"/>
      <c r="J37" s="205"/>
      <c r="K37" s="205"/>
      <c r="L37" s="205"/>
      <c r="M37" s="205"/>
      <c r="N37" s="205"/>
      <c r="O37" s="205"/>
      <c r="P37" s="205"/>
      <c r="Q37" s="205"/>
      <c r="R37" s="205"/>
      <c r="S37" s="205"/>
      <c r="T37" s="205"/>
      <c r="U37" s="205"/>
      <c r="V37" s="205"/>
      <c r="W37" s="205"/>
      <c r="X37" s="205"/>
      <c r="Y37" s="205"/>
      <c r="Z37" s="205"/>
      <c r="AA37" s="205"/>
      <c r="AB37" s="205"/>
      <c r="AC37" s="205"/>
    </row>
    <row r="38" spans="1:29" ht="15.5" x14ac:dyDescent="0.35">
      <c r="A38" s="759"/>
      <c r="B38" s="759"/>
      <c r="C38" s="759"/>
      <c r="D38" s="759"/>
      <c r="E38" s="759"/>
      <c r="F38" s="205"/>
      <c r="G38" s="205"/>
      <c r="H38" s="205"/>
      <c r="I38" s="205"/>
      <c r="J38" s="205"/>
      <c r="K38" s="205"/>
      <c r="L38" s="205"/>
      <c r="M38" s="205"/>
      <c r="N38" s="205"/>
      <c r="O38" s="205"/>
      <c r="P38" s="205"/>
      <c r="Q38" s="205"/>
      <c r="R38" s="205"/>
      <c r="S38" s="205"/>
      <c r="T38" s="205"/>
      <c r="U38" s="205"/>
      <c r="V38" s="205"/>
      <c r="W38" s="205"/>
      <c r="X38" s="205"/>
      <c r="Y38" s="205"/>
      <c r="Z38" s="205"/>
      <c r="AA38" s="205"/>
      <c r="AB38" s="205"/>
      <c r="AC38" s="205"/>
    </row>
    <row r="39" spans="1:29" ht="15.5" x14ac:dyDescent="0.35">
      <c r="A39" s="759"/>
      <c r="B39" s="759"/>
      <c r="C39" s="759"/>
      <c r="D39" s="759"/>
      <c r="E39" s="759"/>
      <c r="F39" s="205"/>
      <c r="G39" s="205"/>
      <c r="H39" s="205"/>
      <c r="I39" s="205"/>
      <c r="J39" s="205"/>
      <c r="K39" s="205"/>
      <c r="L39" s="205"/>
      <c r="M39" s="205"/>
      <c r="N39" s="205"/>
      <c r="O39" s="205"/>
      <c r="P39" s="205"/>
      <c r="Q39" s="205"/>
      <c r="R39" s="205"/>
      <c r="S39" s="205"/>
      <c r="T39" s="205"/>
      <c r="U39" s="205"/>
      <c r="V39" s="205"/>
      <c r="W39" s="205"/>
      <c r="X39" s="205"/>
      <c r="Y39" s="205"/>
      <c r="Z39" s="205"/>
      <c r="AA39" s="205"/>
      <c r="AB39" s="205"/>
      <c r="AC39" s="205"/>
    </row>
    <row r="40" spans="1:29" ht="15.5" x14ac:dyDescent="0.35">
      <c r="A40" s="759"/>
      <c r="B40" s="759"/>
      <c r="C40" s="759"/>
      <c r="D40" s="759"/>
      <c r="E40" s="759"/>
      <c r="F40" s="205"/>
      <c r="G40" s="205"/>
      <c r="H40" s="205"/>
      <c r="I40" s="205"/>
      <c r="J40" s="205"/>
      <c r="K40" s="205"/>
      <c r="L40" s="205"/>
      <c r="M40" s="205"/>
      <c r="N40" s="205"/>
      <c r="O40" s="205"/>
      <c r="P40" s="205"/>
      <c r="Q40" s="205"/>
      <c r="R40" s="205"/>
      <c r="S40" s="205"/>
      <c r="T40" s="205"/>
      <c r="U40" s="205"/>
      <c r="V40" s="205"/>
      <c r="W40" s="205"/>
      <c r="X40" s="205"/>
      <c r="Y40" s="205"/>
      <c r="Z40" s="205"/>
      <c r="AA40" s="205"/>
      <c r="AB40" s="205"/>
      <c r="AC40" s="205"/>
    </row>
    <row r="41" spans="1:29" ht="15.5" x14ac:dyDescent="0.35">
      <c r="A41" s="759"/>
      <c r="B41" s="759"/>
      <c r="C41" s="759"/>
      <c r="D41" s="759"/>
      <c r="E41" s="759"/>
      <c r="F41" s="205"/>
      <c r="G41" s="205"/>
      <c r="H41" s="205"/>
      <c r="I41" s="205"/>
      <c r="J41" s="205"/>
      <c r="K41" s="205"/>
      <c r="L41" s="205"/>
      <c r="M41" s="205"/>
      <c r="N41" s="205"/>
      <c r="O41" s="205"/>
      <c r="P41" s="205"/>
      <c r="Q41" s="205"/>
      <c r="R41" s="205"/>
      <c r="S41" s="205"/>
      <c r="T41" s="205"/>
      <c r="U41" s="205"/>
      <c r="V41" s="205"/>
      <c r="W41" s="205"/>
      <c r="X41" s="205"/>
      <c r="Y41" s="205"/>
      <c r="Z41" s="205"/>
      <c r="AA41" s="205"/>
      <c r="AB41" s="205"/>
      <c r="AC41" s="205"/>
    </row>
    <row r="42" spans="1:29" ht="15.5" x14ac:dyDescent="0.35">
      <c r="A42" s="759"/>
      <c r="B42" s="759"/>
      <c r="C42" s="759"/>
      <c r="D42" s="759"/>
      <c r="E42" s="759"/>
      <c r="F42" s="205"/>
      <c r="G42" s="205"/>
      <c r="H42" s="205"/>
      <c r="I42" s="205"/>
      <c r="J42" s="205"/>
      <c r="K42" s="205"/>
      <c r="L42" s="205"/>
      <c r="M42" s="205"/>
      <c r="N42" s="205"/>
      <c r="O42" s="205"/>
      <c r="P42" s="205"/>
      <c r="Q42" s="205"/>
      <c r="R42" s="205"/>
      <c r="S42" s="205"/>
      <c r="T42" s="205"/>
      <c r="U42" s="205"/>
      <c r="V42" s="205"/>
      <c r="W42" s="205"/>
      <c r="X42" s="205"/>
      <c r="Y42" s="205"/>
      <c r="Z42" s="205"/>
      <c r="AA42" s="205"/>
      <c r="AB42" s="205"/>
      <c r="AC42" s="205"/>
    </row>
    <row r="43" spans="1:29" ht="15.5" x14ac:dyDescent="0.35">
      <c r="A43" s="759"/>
      <c r="B43" s="759"/>
      <c r="C43" s="759"/>
      <c r="D43" s="759"/>
      <c r="E43" s="759"/>
      <c r="F43" s="205"/>
      <c r="G43" s="205"/>
      <c r="H43" s="205"/>
      <c r="I43" s="205"/>
      <c r="J43" s="205"/>
      <c r="K43" s="205"/>
      <c r="L43" s="205"/>
      <c r="M43" s="205"/>
      <c r="N43" s="205"/>
      <c r="O43" s="205"/>
      <c r="P43" s="205"/>
      <c r="Q43" s="205"/>
      <c r="R43" s="205"/>
      <c r="S43" s="205"/>
      <c r="T43" s="205"/>
      <c r="U43" s="205"/>
      <c r="V43" s="205"/>
      <c r="W43" s="205"/>
      <c r="X43" s="205"/>
      <c r="Y43" s="205"/>
      <c r="Z43" s="205"/>
      <c r="AA43" s="205"/>
      <c r="AB43" s="205"/>
      <c r="AC43" s="205"/>
    </row>
    <row r="44" spans="1:29" ht="15.5" x14ac:dyDescent="0.35">
      <c r="A44" s="759"/>
      <c r="B44" s="759"/>
      <c r="C44" s="759"/>
      <c r="D44" s="759"/>
      <c r="E44" s="759"/>
      <c r="F44" s="205"/>
      <c r="G44" s="205"/>
      <c r="H44" s="205"/>
      <c r="I44" s="205"/>
      <c r="J44" s="205"/>
      <c r="K44" s="205"/>
      <c r="L44" s="205"/>
      <c r="M44" s="205"/>
      <c r="N44" s="205"/>
      <c r="O44" s="205"/>
      <c r="P44" s="205"/>
      <c r="Q44" s="205"/>
      <c r="R44" s="205"/>
      <c r="S44" s="205"/>
      <c r="T44" s="205"/>
      <c r="U44" s="205"/>
      <c r="V44" s="205"/>
      <c r="W44" s="205"/>
      <c r="X44" s="205"/>
      <c r="Y44" s="205"/>
      <c r="Z44" s="205"/>
      <c r="AA44" s="205"/>
      <c r="AB44" s="205"/>
      <c r="AC44" s="205"/>
    </row>
    <row r="45" spans="1:29" ht="15.5" x14ac:dyDescent="0.35">
      <c r="A45" s="759"/>
      <c r="B45" s="759"/>
      <c r="C45" s="759"/>
      <c r="D45" s="759"/>
      <c r="E45" s="759"/>
      <c r="F45" s="205"/>
      <c r="G45" s="205"/>
      <c r="H45" s="205"/>
      <c r="I45" s="205"/>
      <c r="J45" s="205"/>
      <c r="K45" s="205"/>
      <c r="L45" s="205"/>
      <c r="M45" s="205"/>
      <c r="N45" s="205"/>
      <c r="O45" s="205"/>
      <c r="P45" s="205"/>
      <c r="Q45" s="205"/>
      <c r="R45" s="205"/>
      <c r="S45" s="205"/>
      <c r="T45" s="205"/>
      <c r="U45" s="205"/>
      <c r="V45" s="205"/>
      <c r="W45" s="205"/>
      <c r="X45" s="205"/>
      <c r="Y45" s="205"/>
      <c r="Z45" s="205"/>
      <c r="AA45" s="205"/>
      <c r="AB45" s="205"/>
      <c r="AC45" s="205"/>
    </row>
    <row r="46" spans="1:29" ht="15.5" x14ac:dyDescent="0.35">
      <c r="A46" s="759"/>
      <c r="B46" s="759"/>
      <c r="C46" s="759"/>
      <c r="D46" s="759"/>
      <c r="E46" s="759"/>
      <c r="F46" s="205"/>
      <c r="G46" s="205"/>
      <c r="H46" s="205"/>
      <c r="I46" s="205"/>
      <c r="J46" s="205"/>
      <c r="K46" s="205"/>
      <c r="L46" s="205"/>
      <c r="M46" s="205"/>
      <c r="N46" s="205"/>
      <c r="O46" s="205"/>
      <c r="P46" s="205"/>
      <c r="Q46" s="205"/>
      <c r="R46" s="205"/>
      <c r="S46" s="205"/>
      <c r="T46" s="205"/>
      <c r="U46" s="205"/>
      <c r="V46" s="205"/>
      <c r="W46" s="205"/>
      <c r="X46" s="205"/>
      <c r="Y46" s="205"/>
      <c r="Z46" s="205"/>
      <c r="AA46" s="205"/>
      <c r="AB46" s="205"/>
      <c r="AC46" s="205"/>
    </row>
    <row r="47" spans="1:29" ht="15.5" x14ac:dyDescent="0.35">
      <c r="A47" s="759"/>
      <c r="B47" s="759"/>
      <c r="C47" s="759"/>
      <c r="D47" s="759"/>
      <c r="E47" s="759"/>
      <c r="F47" s="205"/>
      <c r="G47" s="205"/>
      <c r="H47" s="205"/>
      <c r="I47" s="205"/>
      <c r="J47" s="205"/>
      <c r="K47" s="205"/>
      <c r="L47" s="205"/>
      <c r="M47" s="205"/>
      <c r="N47" s="205"/>
      <c r="O47" s="205"/>
      <c r="P47" s="205"/>
      <c r="Q47" s="205"/>
      <c r="R47" s="205"/>
      <c r="S47" s="205"/>
      <c r="T47" s="205"/>
      <c r="U47" s="205"/>
      <c r="V47" s="205"/>
      <c r="W47" s="205"/>
      <c r="X47" s="205"/>
      <c r="Y47" s="205"/>
      <c r="Z47" s="205"/>
      <c r="AA47" s="205"/>
      <c r="AB47" s="205"/>
      <c r="AC47" s="205"/>
    </row>
    <row r="48" spans="1:29" ht="15.5" x14ac:dyDescent="0.35">
      <c r="A48" s="759"/>
      <c r="B48" s="759"/>
      <c r="C48" s="759"/>
      <c r="D48" s="759"/>
      <c r="E48" s="759"/>
      <c r="F48" s="205"/>
      <c r="G48" s="205"/>
      <c r="H48" s="205"/>
      <c r="I48" s="205"/>
      <c r="J48" s="205"/>
      <c r="K48" s="205"/>
      <c r="L48" s="205"/>
      <c r="M48" s="205"/>
      <c r="N48" s="205"/>
      <c r="O48" s="205"/>
      <c r="P48" s="205"/>
      <c r="Q48" s="205"/>
      <c r="R48" s="205"/>
      <c r="S48" s="205"/>
      <c r="T48" s="205"/>
      <c r="U48" s="205"/>
      <c r="V48" s="205"/>
      <c r="W48" s="205"/>
      <c r="X48" s="205"/>
      <c r="Y48" s="205"/>
      <c r="Z48" s="205"/>
      <c r="AA48" s="205"/>
      <c r="AB48" s="205"/>
      <c r="AC48" s="205"/>
    </row>
    <row r="49" spans="1:29" ht="15.5" x14ac:dyDescent="0.35">
      <c r="A49" s="759"/>
      <c r="B49" s="759"/>
      <c r="C49" s="759"/>
      <c r="D49" s="759"/>
      <c r="E49" s="759"/>
      <c r="F49" s="205"/>
      <c r="G49" s="205"/>
      <c r="H49" s="205"/>
      <c r="I49" s="205"/>
      <c r="J49" s="205"/>
      <c r="K49" s="205"/>
      <c r="L49" s="205"/>
      <c r="M49" s="205"/>
      <c r="N49" s="205"/>
      <c r="O49" s="205"/>
      <c r="P49" s="205"/>
      <c r="Q49" s="205"/>
      <c r="R49" s="205"/>
      <c r="S49" s="205"/>
      <c r="T49" s="205"/>
      <c r="U49" s="205"/>
      <c r="V49" s="205"/>
      <c r="W49" s="205"/>
      <c r="X49" s="205"/>
      <c r="Y49" s="205"/>
      <c r="Z49" s="205"/>
      <c r="AA49" s="205"/>
      <c r="AB49" s="205"/>
      <c r="AC49" s="205"/>
    </row>
    <row r="50" spans="1:29" ht="15.5" x14ac:dyDescent="0.35">
      <c r="A50" s="759"/>
      <c r="B50" s="759"/>
      <c r="C50" s="759"/>
      <c r="D50" s="759"/>
      <c r="E50" s="759"/>
      <c r="F50" s="205"/>
      <c r="G50" s="205"/>
      <c r="H50" s="205"/>
      <c r="I50" s="205"/>
      <c r="J50" s="205"/>
      <c r="K50" s="205"/>
      <c r="L50" s="205"/>
      <c r="M50" s="205"/>
      <c r="N50" s="205"/>
      <c r="O50" s="205"/>
      <c r="P50" s="205"/>
      <c r="Q50" s="205"/>
      <c r="R50" s="205"/>
      <c r="S50" s="205"/>
      <c r="T50" s="205"/>
      <c r="U50" s="205"/>
      <c r="V50" s="205"/>
      <c r="W50" s="205"/>
      <c r="X50" s="205"/>
      <c r="Y50" s="205"/>
      <c r="Z50" s="205"/>
      <c r="AA50" s="205"/>
      <c r="AB50" s="205"/>
      <c r="AC50" s="205"/>
    </row>
    <row r="51" spans="1:29" ht="15.5" x14ac:dyDescent="0.35">
      <c r="A51" s="759"/>
      <c r="B51" s="759"/>
      <c r="C51" s="759"/>
      <c r="D51" s="759"/>
      <c r="E51" s="759"/>
      <c r="F51" s="205"/>
      <c r="G51" s="205"/>
      <c r="H51" s="205"/>
      <c r="I51" s="205"/>
      <c r="J51" s="205"/>
      <c r="K51" s="205"/>
      <c r="L51" s="205"/>
      <c r="M51" s="205"/>
      <c r="N51" s="205"/>
      <c r="O51" s="205"/>
      <c r="P51" s="205"/>
      <c r="Q51" s="205"/>
      <c r="R51" s="205"/>
      <c r="S51" s="205"/>
      <c r="T51" s="205"/>
      <c r="U51" s="205"/>
      <c r="V51" s="205"/>
      <c r="W51" s="205"/>
      <c r="X51" s="205"/>
      <c r="Y51" s="205"/>
      <c r="Z51" s="205"/>
      <c r="AA51" s="205"/>
      <c r="AB51" s="205"/>
      <c r="AC51" s="205"/>
    </row>
    <row r="52" spans="1:29" ht="15.5" x14ac:dyDescent="0.35">
      <c r="A52" s="759"/>
      <c r="B52" s="759"/>
      <c r="C52" s="759"/>
      <c r="D52" s="759"/>
      <c r="E52" s="759"/>
      <c r="F52" s="205"/>
      <c r="G52" s="205"/>
      <c r="H52" s="205"/>
      <c r="I52" s="205"/>
      <c r="J52" s="205"/>
      <c r="K52" s="205"/>
      <c r="L52" s="205"/>
      <c r="M52" s="205"/>
      <c r="N52" s="205"/>
      <c r="O52" s="205"/>
      <c r="P52" s="205"/>
      <c r="Q52" s="205"/>
      <c r="R52" s="205"/>
      <c r="S52" s="205"/>
      <c r="T52" s="205"/>
      <c r="U52" s="205"/>
      <c r="V52" s="205"/>
      <c r="W52" s="205"/>
      <c r="X52" s="205"/>
      <c r="Y52" s="205"/>
      <c r="Z52" s="205"/>
      <c r="AA52" s="205"/>
      <c r="AB52" s="205"/>
      <c r="AC52" s="205"/>
    </row>
    <row r="53" spans="1:29" ht="15.5" x14ac:dyDescent="0.35">
      <c r="A53" s="759"/>
      <c r="B53" s="759"/>
      <c r="C53" s="759"/>
      <c r="D53" s="759"/>
      <c r="E53" s="759"/>
      <c r="F53" s="205"/>
      <c r="G53" s="205"/>
      <c r="H53" s="205"/>
      <c r="I53" s="205"/>
      <c r="J53" s="205"/>
      <c r="K53" s="205"/>
      <c r="L53" s="205"/>
      <c r="M53" s="205"/>
      <c r="N53" s="205"/>
      <c r="O53" s="205"/>
      <c r="P53" s="205"/>
      <c r="Q53" s="205"/>
      <c r="R53" s="205"/>
      <c r="S53" s="205"/>
      <c r="T53" s="205"/>
      <c r="U53" s="205"/>
      <c r="V53" s="205"/>
      <c r="W53" s="205"/>
      <c r="X53" s="205"/>
      <c r="Y53" s="205"/>
      <c r="Z53" s="205"/>
      <c r="AA53" s="205"/>
      <c r="AB53" s="205"/>
      <c r="AC53" s="205"/>
    </row>
    <row r="54" spans="1:29" ht="15.5" x14ac:dyDescent="0.35">
      <c r="A54" s="759"/>
      <c r="B54" s="759"/>
      <c r="C54" s="759"/>
      <c r="D54" s="759"/>
      <c r="E54" s="759"/>
      <c r="F54" s="205"/>
      <c r="G54" s="205"/>
      <c r="H54" s="205"/>
      <c r="I54" s="205"/>
      <c r="J54" s="205"/>
      <c r="K54" s="205"/>
      <c r="L54" s="205"/>
      <c r="M54" s="205"/>
      <c r="N54" s="205"/>
      <c r="O54" s="205"/>
      <c r="P54" s="205"/>
      <c r="Q54" s="205"/>
      <c r="R54" s="205"/>
      <c r="S54" s="205"/>
      <c r="T54" s="205"/>
      <c r="U54" s="205"/>
      <c r="V54" s="205"/>
      <c r="W54" s="205"/>
      <c r="X54" s="205"/>
      <c r="Y54" s="205"/>
      <c r="Z54" s="205"/>
      <c r="AA54" s="205"/>
      <c r="AB54" s="205"/>
      <c r="AC54" s="205"/>
    </row>
    <row r="55" spans="1:29" ht="15.5" x14ac:dyDescent="0.35">
      <c r="A55" s="759"/>
      <c r="B55" s="759"/>
      <c r="C55" s="759"/>
      <c r="D55" s="759"/>
      <c r="E55" s="759"/>
      <c r="F55" s="205"/>
      <c r="G55" s="205"/>
      <c r="H55" s="205"/>
      <c r="I55" s="205"/>
      <c r="J55" s="205"/>
      <c r="K55" s="205"/>
      <c r="L55" s="205"/>
      <c r="M55" s="205"/>
      <c r="N55" s="205"/>
      <c r="O55" s="205"/>
      <c r="P55" s="205"/>
      <c r="Q55" s="205"/>
      <c r="R55" s="205"/>
      <c r="S55" s="205"/>
      <c r="T55" s="205"/>
      <c r="U55" s="205"/>
      <c r="V55" s="205"/>
      <c r="W55" s="205"/>
      <c r="X55" s="205"/>
      <c r="Y55" s="205"/>
      <c r="Z55" s="205"/>
      <c r="AA55" s="205"/>
      <c r="AB55" s="205"/>
      <c r="AC55" s="205"/>
    </row>
    <row r="56" spans="1:29" ht="15.5" x14ac:dyDescent="0.35">
      <c r="A56" s="759"/>
      <c r="B56" s="759"/>
      <c r="C56" s="759"/>
      <c r="D56" s="759"/>
      <c r="E56" s="759"/>
      <c r="F56" s="205"/>
      <c r="G56" s="205"/>
      <c r="H56" s="205"/>
      <c r="I56" s="205"/>
      <c r="J56" s="205"/>
      <c r="K56" s="205"/>
      <c r="L56" s="205"/>
      <c r="M56" s="205"/>
      <c r="N56" s="205"/>
      <c r="O56" s="205"/>
      <c r="P56" s="205"/>
      <c r="Q56" s="205"/>
      <c r="R56" s="205"/>
      <c r="S56" s="205"/>
      <c r="T56" s="205"/>
      <c r="U56" s="205"/>
      <c r="V56" s="205"/>
      <c r="W56" s="205"/>
      <c r="X56" s="205"/>
      <c r="Y56" s="205"/>
      <c r="Z56" s="205"/>
      <c r="AA56" s="205"/>
      <c r="AB56" s="205"/>
      <c r="AC56" s="205"/>
    </row>
    <row r="57" spans="1:29" ht="15.5" x14ac:dyDescent="0.35">
      <c r="A57" s="759"/>
      <c r="B57" s="759"/>
      <c r="C57" s="759"/>
      <c r="D57" s="759"/>
      <c r="E57" s="759"/>
      <c r="F57" s="205"/>
      <c r="G57" s="205"/>
      <c r="H57" s="205"/>
      <c r="I57" s="205"/>
      <c r="J57" s="205"/>
      <c r="K57" s="205"/>
      <c r="L57" s="205"/>
      <c r="M57" s="205"/>
      <c r="N57" s="205"/>
      <c r="O57" s="205"/>
      <c r="P57" s="205"/>
      <c r="Q57" s="205"/>
      <c r="R57" s="205"/>
      <c r="S57" s="205"/>
      <c r="T57" s="205"/>
      <c r="U57" s="205"/>
      <c r="V57" s="205"/>
      <c r="W57" s="205"/>
      <c r="X57" s="205"/>
      <c r="Y57" s="205"/>
      <c r="Z57" s="205"/>
      <c r="AA57" s="205"/>
      <c r="AB57" s="205"/>
      <c r="AC57" s="205"/>
    </row>
    <row r="58" spans="1:29" ht="15.5" x14ac:dyDescent="0.35">
      <c r="A58" s="759"/>
      <c r="B58" s="759"/>
      <c r="C58" s="759"/>
      <c r="D58" s="759"/>
      <c r="E58" s="759"/>
      <c r="F58" s="205"/>
      <c r="G58" s="205"/>
      <c r="H58" s="205"/>
      <c r="I58" s="205"/>
      <c r="J58" s="205"/>
      <c r="K58" s="205"/>
      <c r="L58" s="205"/>
      <c r="M58" s="205"/>
      <c r="N58" s="205"/>
      <c r="O58" s="205"/>
      <c r="P58" s="205"/>
      <c r="Q58" s="205"/>
      <c r="R58" s="205"/>
      <c r="S58" s="205"/>
      <c r="T58" s="205"/>
      <c r="U58" s="205"/>
      <c r="V58" s="205"/>
      <c r="W58" s="205"/>
      <c r="X58" s="205"/>
      <c r="Y58" s="205"/>
      <c r="Z58" s="205"/>
      <c r="AA58" s="205"/>
      <c r="AB58" s="205"/>
      <c r="AC58" s="205"/>
    </row>
    <row r="59" spans="1:29" ht="15.5" x14ac:dyDescent="0.35">
      <c r="A59" s="759"/>
      <c r="B59" s="759"/>
      <c r="C59" s="759"/>
      <c r="D59" s="759"/>
      <c r="E59" s="759"/>
      <c r="F59" s="205"/>
      <c r="G59" s="205"/>
      <c r="H59" s="205"/>
      <c r="I59" s="205"/>
      <c r="J59" s="205"/>
      <c r="K59" s="205"/>
      <c r="L59" s="205"/>
      <c r="M59" s="205"/>
      <c r="N59" s="205"/>
      <c r="O59" s="205"/>
      <c r="P59" s="205"/>
      <c r="Q59" s="205"/>
      <c r="R59" s="205"/>
      <c r="S59" s="205"/>
      <c r="T59" s="205"/>
      <c r="U59" s="205"/>
      <c r="V59" s="205"/>
      <c r="W59" s="205"/>
      <c r="X59" s="205"/>
      <c r="Y59" s="205"/>
      <c r="Z59" s="205"/>
      <c r="AA59" s="205"/>
      <c r="AB59" s="205"/>
      <c r="AC59" s="205"/>
    </row>
    <row r="60" spans="1:29" ht="15.5" x14ac:dyDescent="0.35">
      <c r="A60" s="759"/>
      <c r="B60" s="759"/>
      <c r="C60" s="759"/>
      <c r="D60" s="759"/>
      <c r="E60" s="759"/>
      <c r="F60" s="205"/>
      <c r="G60" s="205"/>
      <c r="H60" s="205"/>
      <c r="I60" s="205"/>
      <c r="J60" s="205"/>
      <c r="K60" s="205"/>
      <c r="L60" s="205"/>
      <c r="M60" s="205"/>
      <c r="N60" s="205"/>
      <c r="O60" s="205"/>
      <c r="P60" s="205"/>
      <c r="Q60" s="205"/>
      <c r="R60" s="205"/>
      <c r="S60" s="205"/>
      <c r="T60" s="205"/>
      <c r="U60" s="205"/>
      <c r="V60" s="205"/>
      <c r="W60" s="205"/>
      <c r="X60" s="205"/>
      <c r="Y60" s="205"/>
      <c r="Z60" s="205"/>
      <c r="AA60" s="205"/>
      <c r="AB60" s="205"/>
      <c r="AC60" s="205"/>
    </row>
    <row r="61" spans="1:29" ht="15.5" x14ac:dyDescent="0.35">
      <c r="A61" s="759"/>
      <c r="B61" s="759"/>
      <c r="C61" s="759"/>
      <c r="D61" s="759"/>
      <c r="E61" s="759"/>
      <c r="F61" s="205"/>
      <c r="G61" s="205"/>
      <c r="H61" s="205"/>
      <c r="I61" s="205"/>
      <c r="J61" s="205"/>
      <c r="K61" s="205"/>
      <c r="L61" s="205"/>
      <c r="M61" s="205"/>
      <c r="N61" s="205"/>
      <c r="O61" s="205"/>
      <c r="P61" s="205"/>
      <c r="Q61" s="205"/>
      <c r="R61" s="205"/>
      <c r="S61" s="205"/>
      <c r="T61" s="205"/>
      <c r="U61" s="205"/>
      <c r="V61" s="205"/>
      <c r="W61" s="205"/>
      <c r="X61" s="205"/>
      <c r="Y61" s="205"/>
      <c r="Z61" s="205"/>
      <c r="AA61" s="205"/>
      <c r="AB61" s="205"/>
      <c r="AC61" s="205"/>
    </row>
    <row r="62" spans="1:29" ht="15.5" x14ac:dyDescent="0.35">
      <c r="A62" s="759"/>
      <c r="B62" s="759"/>
      <c r="C62" s="759"/>
      <c r="D62" s="759"/>
      <c r="E62" s="759"/>
      <c r="F62" s="205"/>
      <c r="G62" s="205"/>
      <c r="H62" s="205"/>
      <c r="I62" s="205"/>
      <c r="J62" s="205"/>
      <c r="K62" s="205"/>
      <c r="L62" s="205"/>
      <c r="M62" s="205"/>
      <c r="N62" s="205"/>
      <c r="O62" s="205"/>
      <c r="P62" s="205"/>
      <c r="Q62" s="205"/>
      <c r="R62" s="205"/>
      <c r="S62" s="205"/>
      <c r="T62" s="205"/>
      <c r="U62" s="205"/>
      <c r="V62" s="205"/>
      <c r="W62" s="205"/>
      <c r="X62" s="205"/>
      <c r="Y62" s="205"/>
      <c r="Z62" s="205"/>
      <c r="AA62" s="205"/>
      <c r="AB62" s="205"/>
      <c r="AC62" s="205"/>
    </row>
    <row r="63" spans="1:29" ht="15.5" x14ac:dyDescent="0.35">
      <c r="A63" s="759"/>
      <c r="B63" s="759"/>
      <c r="C63" s="759"/>
      <c r="D63" s="759"/>
      <c r="E63" s="759"/>
      <c r="F63" s="205"/>
      <c r="G63" s="205"/>
      <c r="H63" s="205"/>
      <c r="I63" s="205"/>
      <c r="J63" s="205"/>
      <c r="K63" s="205"/>
      <c r="L63" s="205"/>
      <c r="M63" s="205"/>
      <c r="N63" s="205"/>
      <c r="O63" s="205"/>
      <c r="P63" s="205"/>
      <c r="Q63" s="205"/>
      <c r="R63" s="205"/>
      <c r="S63" s="205"/>
      <c r="T63" s="205"/>
      <c r="U63" s="205"/>
      <c r="V63" s="205"/>
      <c r="W63" s="205"/>
      <c r="X63" s="205"/>
      <c r="Y63" s="205"/>
      <c r="Z63" s="205"/>
      <c r="AA63" s="205"/>
      <c r="AB63" s="205"/>
      <c r="AC63" s="205"/>
    </row>
    <row r="64" spans="1:29" ht="15.5" x14ac:dyDescent="0.35">
      <c r="A64" s="759"/>
      <c r="B64" s="759"/>
      <c r="C64" s="759"/>
      <c r="D64" s="759"/>
      <c r="E64" s="759"/>
      <c r="F64" s="205"/>
      <c r="G64" s="205"/>
      <c r="H64" s="205"/>
      <c r="I64" s="205"/>
      <c r="J64" s="205"/>
      <c r="K64" s="205"/>
      <c r="L64" s="205"/>
      <c r="M64" s="205"/>
      <c r="N64" s="205"/>
      <c r="O64" s="205"/>
      <c r="P64" s="205"/>
      <c r="Q64" s="205"/>
      <c r="R64" s="205"/>
      <c r="S64" s="205"/>
      <c r="T64" s="205"/>
      <c r="U64" s="205"/>
      <c r="V64" s="205"/>
      <c r="W64" s="205"/>
      <c r="X64" s="205"/>
      <c r="Y64" s="205"/>
      <c r="Z64" s="205"/>
      <c r="AA64" s="205"/>
      <c r="AB64" s="205"/>
      <c r="AC64" s="205"/>
    </row>
    <row r="65" spans="1:29" ht="15.5" x14ac:dyDescent="0.35">
      <c r="A65" s="759"/>
      <c r="B65" s="759"/>
      <c r="C65" s="759"/>
      <c r="D65" s="759"/>
      <c r="E65" s="759"/>
      <c r="F65" s="205"/>
      <c r="G65" s="205"/>
      <c r="H65" s="205"/>
      <c r="I65" s="205"/>
      <c r="J65" s="205"/>
      <c r="K65" s="205"/>
      <c r="L65" s="205"/>
      <c r="M65" s="205"/>
      <c r="N65" s="205"/>
      <c r="O65" s="205"/>
      <c r="P65" s="205"/>
      <c r="Q65" s="205"/>
      <c r="R65" s="205"/>
      <c r="S65" s="205"/>
      <c r="T65" s="205"/>
      <c r="U65" s="205"/>
      <c r="V65" s="205"/>
      <c r="W65" s="205"/>
      <c r="X65" s="205"/>
      <c r="Y65" s="205"/>
      <c r="Z65" s="205"/>
      <c r="AA65" s="205"/>
      <c r="AB65" s="205"/>
      <c r="AC65" s="205"/>
    </row>
    <row r="66" spans="1:29" ht="15.5" x14ac:dyDescent="0.35">
      <c r="A66" s="759"/>
      <c r="B66" s="759"/>
      <c r="C66" s="759"/>
      <c r="D66" s="759"/>
      <c r="E66" s="759"/>
      <c r="F66" s="205"/>
      <c r="G66" s="205"/>
      <c r="H66" s="205"/>
      <c r="I66" s="205"/>
      <c r="J66" s="205"/>
      <c r="K66" s="205"/>
      <c r="L66" s="205"/>
      <c r="M66" s="205"/>
      <c r="N66" s="205"/>
      <c r="O66" s="205"/>
      <c r="P66" s="205"/>
      <c r="Q66" s="205"/>
      <c r="R66" s="205"/>
      <c r="S66" s="205"/>
      <c r="T66" s="205"/>
      <c r="U66" s="205"/>
      <c r="V66" s="205"/>
      <c r="W66" s="205"/>
      <c r="X66" s="205"/>
      <c r="Y66" s="205"/>
      <c r="Z66" s="205"/>
      <c r="AA66" s="205"/>
      <c r="AB66" s="205"/>
      <c r="AC66" s="205"/>
    </row>
    <row r="67" spans="1:29" ht="15.5" x14ac:dyDescent="0.35">
      <c r="A67" s="759"/>
      <c r="B67" s="759"/>
      <c r="C67" s="759"/>
      <c r="D67" s="759"/>
      <c r="E67" s="759"/>
      <c r="F67" s="205"/>
      <c r="G67" s="205"/>
      <c r="H67" s="205"/>
      <c r="I67" s="205"/>
      <c r="J67" s="205"/>
      <c r="K67" s="205"/>
      <c r="L67" s="205"/>
      <c r="M67" s="205"/>
      <c r="N67" s="205"/>
      <c r="O67" s="205"/>
      <c r="P67" s="205"/>
      <c r="Q67" s="205"/>
      <c r="R67" s="205"/>
      <c r="S67" s="205"/>
      <c r="T67" s="205"/>
      <c r="U67" s="205"/>
      <c r="V67" s="205"/>
      <c r="W67" s="205"/>
      <c r="X67" s="205"/>
      <c r="Y67" s="205"/>
      <c r="Z67" s="205"/>
      <c r="AA67" s="205"/>
      <c r="AB67" s="205"/>
      <c r="AC67" s="205"/>
    </row>
    <row r="68" spans="1:29" ht="15.5" x14ac:dyDescent="0.35">
      <c r="A68" s="759"/>
      <c r="B68" s="759"/>
      <c r="C68" s="759"/>
      <c r="D68" s="759"/>
      <c r="E68" s="759"/>
      <c r="F68" s="205"/>
      <c r="G68" s="205"/>
      <c r="H68" s="205"/>
      <c r="I68" s="205"/>
      <c r="J68" s="205"/>
      <c r="K68" s="205"/>
      <c r="L68" s="205"/>
      <c r="M68" s="205"/>
      <c r="N68" s="205"/>
      <c r="O68" s="205"/>
      <c r="P68" s="205"/>
      <c r="Q68" s="205"/>
      <c r="R68" s="205"/>
      <c r="S68" s="205"/>
      <c r="T68" s="205"/>
      <c r="U68" s="205"/>
      <c r="V68" s="205"/>
      <c r="W68" s="205"/>
      <c r="X68" s="205"/>
      <c r="Y68" s="205"/>
      <c r="Z68" s="205"/>
      <c r="AA68" s="205"/>
      <c r="AB68" s="205"/>
      <c r="AC68" s="205"/>
    </row>
    <row r="69" spans="1:29" ht="15.5" x14ac:dyDescent="0.35">
      <c r="A69" s="759"/>
      <c r="B69" s="759"/>
      <c r="C69" s="759"/>
      <c r="D69" s="759"/>
      <c r="E69" s="759"/>
      <c r="F69" s="205"/>
      <c r="G69" s="205"/>
      <c r="H69" s="205"/>
      <c r="I69" s="205"/>
      <c r="J69" s="205"/>
      <c r="K69" s="205"/>
      <c r="L69" s="205"/>
      <c r="M69" s="205"/>
      <c r="N69" s="205"/>
      <c r="O69" s="205"/>
      <c r="P69" s="205"/>
      <c r="Q69" s="205"/>
      <c r="R69" s="205"/>
      <c r="S69" s="205"/>
      <c r="T69" s="205"/>
      <c r="U69" s="205"/>
      <c r="V69" s="205"/>
      <c r="W69" s="205"/>
      <c r="X69" s="205"/>
      <c r="Y69" s="205"/>
      <c r="Z69" s="205"/>
      <c r="AA69" s="205"/>
      <c r="AB69" s="205"/>
      <c r="AC69" s="205"/>
    </row>
    <row r="70" spans="1:29" ht="15.5" x14ac:dyDescent="0.35">
      <c r="A70" s="759"/>
      <c r="B70" s="759"/>
      <c r="C70" s="759"/>
      <c r="D70" s="759"/>
      <c r="E70" s="759"/>
      <c r="F70" s="205"/>
      <c r="G70" s="205"/>
      <c r="H70" s="205"/>
      <c r="I70" s="205"/>
      <c r="J70" s="205"/>
      <c r="K70" s="205"/>
      <c r="L70" s="205"/>
      <c r="M70" s="205"/>
      <c r="N70" s="205"/>
      <c r="O70" s="205"/>
      <c r="P70" s="205"/>
      <c r="Q70" s="205"/>
      <c r="R70" s="205"/>
      <c r="S70" s="205"/>
      <c r="T70" s="205"/>
      <c r="U70" s="205"/>
      <c r="V70" s="205"/>
      <c r="W70" s="205"/>
      <c r="X70" s="205"/>
      <c r="Y70" s="205"/>
      <c r="Z70" s="205"/>
      <c r="AA70" s="205"/>
      <c r="AB70" s="205"/>
      <c r="AC70" s="205"/>
    </row>
    <row r="71" spans="1:29" ht="15.5" x14ac:dyDescent="0.35">
      <c r="A71" s="759"/>
      <c r="B71" s="759"/>
      <c r="C71" s="759"/>
      <c r="D71" s="759"/>
      <c r="E71" s="759"/>
      <c r="F71" s="205"/>
      <c r="G71" s="205"/>
      <c r="H71" s="205"/>
      <c r="I71" s="205"/>
      <c r="J71" s="205"/>
      <c r="K71" s="205"/>
      <c r="L71" s="205"/>
      <c r="M71" s="205"/>
      <c r="N71" s="205"/>
      <c r="O71" s="205"/>
      <c r="P71" s="205"/>
      <c r="Q71" s="205"/>
      <c r="R71" s="205"/>
      <c r="S71" s="205"/>
      <c r="T71" s="205"/>
      <c r="U71" s="205"/>
      <c r="V71" s="205"/>
      <c r="W71" s="205"/>
      <c r="X71" s="205"/>
      <c r="Y71" s="205"/>
      <c r="Z71" s="205"/>
      <c r="AA71" s="205"/>
      <c r="AB71" s="205"/>
      <c r="AC71" s="205"/>
    </row>
    <row r="72" spans="1:29" ht="15.5" x14ac:dyDescent="0.35">
      <c r="A72" s="759"/>
      <c r="B72" s="759"/>
      <c r="C72" s="759"/>
      <c r="D72" s="759"/>
      <c r="E72" s="759"/>
      <c r="F72" s="205"/>
      <c r="G72" s="205"/>
      <c r="H72" s="205"/>
      <c r="I72" s="205"/>
      <c r="J72" s="205"/>
      <c r="K72" s="205"/>
      <c r="L72" s="205"/>
      <c r="M72" s="205"/>
      <c r="N72" s="205"/>
      <c r="O72" s="205"/>
      <c r="P72" s="205"/>
      <c r="Q72" s="205"/>
      <c r="R72" s="205"/>
      <c r="S72" s="205"/>
      <c r="T72" s="205"/>
      <c r="U72" s="205"/>
      <c r="V72" s="205"/>
      <c r="W72" s="205"/>
      <c r="X72" s="205"/>
      <c r="Y72" s="205"/>
      <c r="Z72" s="205"/>
      <c r="AA72" s="205"/>
      <c r="AB72" s="205"/>
      <c r="AC72" s="205"/>
    </row>
    <row r="73" spans="1:29" ht="15.5" x14ac:dyDescent="0.35">
      <c r="A73" s="759"/>
      <c r="B73" s="759"/>
      <c r="C73" s="759"/>
      <c r="D73" s="759"/>
      <c r="E73" s="759"/>
      <c r="F73" s="205"/>
      <c r="G73" s="205"/>
      <c r="H73" s="205"/>
      <c r="I73" s="205"/>
      <c r="J73" s="205"/>
      <c r="K73" s="205"/>
      <c r="L73" s="205"/>
      <c r="M73" s="205"/>
      <c r="N73" s="205"/>
      <c r="O73" s="205"/>
      <c r="P73" s="205"/>
      <c r="Q73" s="205"/>
      <c r="R73" s="205"/>
      <c r="S73" s="205"/>
      <c r="T73" s="205"/>
      <c r="U73" s="205"/>
      <c r="V73" s="205"/>
      <c r="W73" s="205"/>
      <c r="X73" s="205"/>
      <c r="Y73" s="205"/>
      <c r="Z73" s="205"/>
      <c r="AA73" s="205"/>
      <c r="AB73" s="205"/>
      <c r="AC73" s="205"/>
    </row>
    <row r="74" spans="1:29" ht="15.5" x14ac:dyDescent="0.35">
      <c r="A74" s="759"/>
      <c r="B74" s="759"/>
      <c r="C74" s="759"/>
      <c r="D74" s="759"/>
      <c r="E74" s="759"/>
      <c r="F74" s="205"/>
      <c r="G74" s="205"/>
      <c r="H74" s="205"/>
      <c r="I74" s="205"/>
      <c r="J74" s="205"/>
      <c r="K74" s="205"/>
      <c r="L74" s="205"/>
      <c r="M74" s="205"/>
      <c r="N74" s="205"/>
      <c r="O74" s="205"/>
      <c r="P74" s="205"/>
      <c r="Q74" s="205"/>
      <c r="R74" s="205"/>
      <c r="S74" s="205"/>
      <c r="T74" s="205"/>
      <c r="U74" s="205"/>
      <c r="V74" s="205"/>
      <c r="W74" s="205"/>
      <c r="X74" s="205"/>
      <c r="Y74" s="205"/>
      <c r="Z74" s="205"/>
      <c r="AA74" s="205"/>
      <c r="AB74" s="205"/>
      <c r="AC74" s="205"/>
    </row>
    <row r="75" spans="1:29" ht="15.5" x14ac:dyDescent="0.35">
      <c r="A75" s="759"/>
      <c r="B75" s="759"/>
      <c r="C75" s="759"/>
      <c r="D75" s="759"/>
      <c r="E75" s="759"/>
      <c r="F75" s="205"/>
      <c r="G75" s="205"/>
      <c r="H75" s="205"/>
      <c r="I75" s="205"/>
      <c r="J75" s="205"/>
      <c r="K75" s="205"/>
      <c r="L75" s="205"/>
      <c r="M75" s="205"/>
      <c r="N75" s="205"/>
      <c r="O75" s="205"/>
      <c r="P75" s="205"/>
      <c r="Q75" s="205"/>
      <c r="R75" s="205"/>
      <c r="S75" s="205"/>
      <c r="T75" s="205"/>
      <c r="U75" s="205"/>
      <c r="V75" s="205"/>
      <c r="W75" s="205"/>
      <c r="X75" s="205"/>
      <c r="Y75" s="205"/>
      <c r="Z75" s="205"/>
      <c r="AA75" s="205"/>
      <c r="AB75" s="205"/>
      <c r="AC75" s="205"/>
    </row>
    <row r="76" spans="1:29" ht="15.5" x14ac:dyDescent="0.35">
      <c r="A76" s="759"/>
      <c r="B76" s="759"/>
      <c r="C76" s="759"/>
      <c r="D76" s="759"/>
      <c r="E76" s="759"/>
      <c r="F76" s="205"/>
      <c r="G76" s="205"/>
      <c r="H76" s="205"/>
      <c r="I76" s="205"/>
      <c r="J76" s="205"/>
      <c r="K76" s="205"/>
      <c r="L76" s="205"/>
      <c r="M76" s="205"/>
      <c r="N76" s="205"/>
      <c r="O76" s="205"/>
      <c r="P76" s="205"/>
      <c r="Q76" s="205"/>
      <c r="R76" s="205"/>
      <c r="S76" s="205"/>
      <c r="T76" s="205"/>
      <c r="U76" s="205"/>
      <c r="V76" s="205"/>
      <c r="W76" s="205"/>
      <c r="X76" s="205"/>
      <c r="Y76" s="205"/>
      <c r="Z76" s="205"/>
      <c r="AA76" s="205"/>
      <c r="AB76" s="205"/>
      <c r="AC76" s="205"/>
    </row>
    <row r="77" spans="1:29" ht="15.5" x14ac:dyDescent="0.35">
      <c r="A77" s="759"/>
      <c r="B77" s="759"/>
      <c r="C77" s="759"/>
      <c r="D77" s="759"/>
      <c r="E77" s="759"/>
      <c r="F77" s="205"/>
      <c r="G77" s="205"/>
      <c r="H77" s="205"/>
      <c r="I77" s="205"/>
      <c r="J77" s="205"/>
      <c r="K77" s="205"/>
      <c r="L77" s="205"/>
      <c r="M77" s="205"/>
      <c r="N77" s="205"/>
      <c r="O77" s="205"/>
      <c r="P77" s="205"/>
      <c r="Q77" s="205"/>
      <c r="R77" s="205"/>
      <c r="S77" s="205"/>
      <c r="T77" s="205"/>
      <c r="U77" s="205"/>
      <c r="V77" s="205"/>
      <c r="W77" s="205"/>
      <c r="X77" s="205"/>
      <c r="Y77" s="205"/>
      <c r="Z77" s="205"/>
      <c r="AA77" s="205"/>
      <c r="AB77" s="205"/>
      <c r="AC77" s="205"/>
    </row>
    <row r="78" spans="1:29" ht="15.5" x14ac:dyDescent="0.35">
      <c r="A78" s="759"/>
      <c r="B78" s="759"/>
      <c r="C78" s="759"/>
      <c r="D78" s="759"/>
      <c r="E78" s="759"/>
      <c r="F78" s="205"/>
      <c r="G78" s="205"/>
      <c r="H78" s="205"/>
      <c r="I78" s="205"/>
      <c r="J78" s="205"/>
      <c r="K78" s="205"/>
      <c r="L78" s="205"/>
      <c r="M78" s="205"/>
      <c r="N78" s="205"/>
      <c r="O78" s="205"/>
      <c r="P78" s="205"/>
      <c r="Q78" s="205"/>
      <c r="R78" s="205"/>
      <c r="S78" s="205"/>
      <c r="T78" s="205"/>
      <c r="U78" s="205"/>
      <c r="V78" s="205"/>
      <c r="W78" s="205"/>
      <c r="X78" s="205"/>
      <c r="Y78" s="205"/>
      <c r="Z78" s="205"/>
      <c r="AA78" s="205"/>
      <c r="AB78" s="205"/>
      <c r="AC78" s="205"/>
    </row>
    <row r="79" spans="1:29" ht="15.5" x14ac:dyDescent="0.35">
      <c r="A79" s="759"/>
      <c r="B79" s="759"/>
      <c r="C79" s="759"/>
      <c r="D79" s="759"/>
      <c r="E79" s="759"/>
      <c r="F79" s="205"/>
      <c r="G79" s="205"/>
      <c r="H79" s="205"/>
      <c r="I79" s="205"/>
      <c r="J79" s="205"/>
      <c r="K79" s="205"/>
      <c r="L79" s="205"/>
      <c r="M79" s="205"/>
      <c r="N79" s="205"/>
      <c r="O79" s="205"/>
      <c r="P79" s="205"/>
      <c r="Q79" s="205"/>
      <c r="R79" s="205"/>
      <c r="S79" s="205"/>
      <c r="T79" s="205"/>
      <c r="U79" s="205"/>
      <c r="V79" s="205"/>
      <c r="W79" s="205"/>
      <c r="X79" s="205"/>
      <c r="Y79" s="205"/>
      <c r="Z79" s="205"/>
      <c r="AA79" s="205"/>
      <c r="AB79" s="205"/>
      <c r="AC79" s="205"/>
    </row>
    <row r="80" spans="1:29" ht="15.5" x14ac:dyDescent="0.35">
      <c r="A80" s="759"/>
      <c r="B80" s="759"/>
      <c r="C80" s="759"/>
      <c r="D80" s="759"/>
      <c r="E80" s="759"/>
      <c r="F80" s="205"/>
      <c r="G80" s="205"/>
      <c r="H80" s="205"/>
      <c r="I80" s="205"/>
      <c r="J80" s="205"/>
      <c r="K80" s="205"/>
      <c r="L80" s="205"/>
      <c r="M80" s="205"/>
      <c r="N80" s="205"/>
      <c r="O80" s="205"/>
      <c r="P80" s="205"/>
      <c r="Q80" s="205"/>
      <c r="R80" s="205"/>
      <c r="S80" s="205"/>
      <c r="T80" s="205"/>
      <c r="U80" s="205"/>
      <c r="V80" s="205"/>
      <c r="W80" s="205"/>
      <c r="X80" s="205"/>
      <c r="Y80" s="205"/>
      <c r="Z80" s="205"/>
      <c r="AA80" s="205"/>
      <c r="AB80" s="205"/>
      <c r="AC80" s="205"/>
    </row>
  </sheetData>
  <phoneticPr fontId="0" type="noConversion"/>
  <pageMargins left="0.74803149606299213" right="0.74803149606299213" top="0.98425196850393704" bottom="0.98425196850393704" header="0.51181102362204722" footer="0.51181102362204722"/>
  <pageSetup paperSize="9" orientation="portrait" blackAndWhite="1" r:id="rId1"/>
  <headerFooter alignWithMargins="0">
    <oddFooter>&amp;R&amp;"-,Italic"Created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84" r:id="rId4" name="basic2button">
              <controlPr defaultSize="0" print="0" autoFill="0" autoPict="0" macro="[0]!returnfromcopy">
                <anchor moveWithCells="1" sizeWithCells="1">
                  <from>
                    <xdr:col>6</xdr:col>
                    <xdr:colOff>44450</xdr:colOff>
                    <xdr:row>0</xdr:row>
                    <xdr:rowOff>127000</xdr:rowOff>
                  </from>
                  <to>
                    <xdr:col>6</xdr:col>
                    <xdr:colOff>946150</xdr:colOff>
                    <xdr:row>2</xdr:row>
                    <xdr:rowOff>120650</xdr:rowOff>
                  </to>
                </anchor>
              </controlPr>
            </control>
          </mc:Choice>
        </mc:AlternateContent>
        <mc:AlternateContent xmlns:mc="http://schemas.openxmlformats.org/markup-compatibility/2006">
          <mc:Choice Requires="x14">
            <control shapeId="54285" r:id="rId5" name="basic2delbutton">
              <controlPr defaultSize="0" print="0" autoFill="0" autoPict="0" macro="[0]!delete_basic2button">
                <anchor moveWithCells="1" sizeWithCells="1">
                  <from>
                    <xdr:col>6</xdr:col>
                    <xdr:colOff>44450</xdr:colOff>
                    <xdr:row>2</xdr:row>
                    <xdr:rowOff>146050</xdr:rowOff>
                  </from>
                  <to>
                    <xdr:col>6</xdr:col>
                    <xdr:colOff>946150</xdr:colOff>
                    <xdr:row>4</xdr:row>
                    <xdr:rowOff>215900</xdr:rowOff>
                  </to>
                </anchor>
              </controlPr>
            </control>
          </mc:Choice>
        </mc:AlternateContent>
        <mc:AlternateContent xmlns:mc="http://schemas.openxmlformats.org/markup-compatibility/2006">
          <mc:Choice Requires="x14">
            <control shapeId="54286" r:id="rId6" name="pdfbutton">
              <controlPr defaultSize="0" print="0" autoFill="0" autoPict="0" macro="[0]!pdfonly">
                <anchor moveWithCells="1" sizeWithCells="1">
                  <from>
                    <xdr:col>6</xdr:col>
                    <xdr:colOff>1028700</xdr:colOff>
                    <xdr:row>1</xdr:row>
                    <xdr:rowOff>107950</xdr:rowOff>
                  </from>
                  <to>
                    <xdr:col>7</xdr:col>
                    <xdr:colOff>44450</xdr:colOff>
                    <xdr:row>3</xdr:row>
                    <xdr:rowOff>152400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234B4-A8D6-4FC2-A2F1-A523BB0FEDF3}">
  <sheetPr codeName="Sheet40"/>
  <dimension ref="A1:Z95"/>
  <sheetViews>
    <sheetView showGridLines="0" workbookViewId="0"/>
  </sheetViews>
  <sheetFormatPr defaultColWidth="9.08984375" defaultRowHeight="12.5" x14ac:dyDescent="0.25"/>
  <cols>
    <col min="1" max="1" width="15.08984375" style="249" customWidth="1"/>
    <col min="2" max="2" width="3" style="249" customWidth="1"/>
    <col min="3" max="3" width="9" style="249" customWidth="1"/>
    <col min="4" max="4" width="3.90625" style="249" customWidth="1"/>
    <col min="5" max="5" width="8.6328125" style="249" customWidth="1"/>
    <col min="6" max="6" width="15" style="249" customWidth="1"/>
    <col min="7" max="7" width="16" style="249" customWidth="1"/>
    <col min="8" max="8" width="14.453125" style="249" customWidth="1"/>
    <col min="9" max="9" width="16.54296875" style="249" customWidth="1"/>
    <col min="10" max="10" width="1.36328125" style="249" customWidth="1"/>
    <col min="11" max="11" width="3.08984375" style="249" customWidth="1"/>
    <col min="12" max="12" width="21.90625" style="597" customWidth="1"/>
    <col min="13" max="13" width="31.6328125" style="249" customWidth="1"/>
    <col min="14" max="15" width="9.08984375" style="249"/>
    <col min="16" max="16" width="10.90625" style="249" customWidth="1"/>
    <col min="17" max="23" width="9.08984375" style="249"/>
    <col min="24" max="26" width="15.54296875" style="249" customWidth="1"/>
    <col min="27" max="30" width="9.08984375" style="249"/>
    <col min="31" max="31" width="10.08984375" style="249" customWidth="1"/>
    <col min="32" max="35" width="9.08984375" style="249"/>
    <col min="36" max="36" width="5" style="249" customWidth="1"/>
    <col min="37" max="16384" width="9.08984375" style="249"/>
  </cols>
  <sheetData>
    <row r="1" spans="1:26" ht="15.75" customHeight="1" x14ac:dyDescent="0.25">
      <c r="A1" s="578"/>
      <c r="B1" s="578"/>
      <c r="C1" s="578"/>
      <c r="D1" s="578"/>
      <c r="E1" s="578"/>
      <c r="F1" s="578"/>
      <c r="G1" s="578"/>
      <c r="H1" s="578"/>
      <c r="I1" s="578"/>
      <c r="J1" s="578"/>
      <c r="K1" s="578"/>
      <c r="L1" s="578"/>
      <c r="M1" s="578"/>
      <c r="N1" s="578"/>
      <c r="O1" s="578"/>
      <c r="P1" s="578"/>
      <c r="Q1" s="578"/>
      <c r="R1" s="578"/>
      <c r="S1" s="578"/>
      <c r="T1" s="578"/>
      <c r="U1" s="578"/>
      <c r="V1" s="578"/>
      <c r="W1" s="578"/>
      <c r="X1" s="578"/>
      <c r="Y1" s="578"/>
      <c r="Z1" s="578"/>
    </row>
    <row r="2" spans="1:26" ht="17.5" x14ac:dyDescent="0.35">
      <c r="A2" s="578"/>
      <c r="B2" s="251"/>
      <c r="C2" s="354"/>
      <c r="D2" s="252"/>
      <c r="E2" s="253"/>
      <c r="F2" s="253"/>
      <c r="G2" s="253"/>
      <c r="H2" s="253"/>
      <c r="I2" s="253"/>
      <c r="J2" s="253"/>
      <c r="K2" s="578"/>
      <c r="L2" s="578"/>
      <c r="M2" s="578"/>
      <c r="N2" s="578"/>
      <c r="O2" s="578"/>
      <c r="P2" s="578"/>
      <c r="Q2" s="578"/>
      <c r="R2" s="578"/>
      <c r="S2" s="578"/>
      <c r="T2" s="578"/>
      <c r="U2" s="578"/>
      <c r="V2" s="578"/>
      <c r="W2" s="578"/>
      <c r="X2" s="578"/>
      <c r="Y2" s="578"/>
      <c r="Z2" s="578"/>
    </row>
    <row r="3" spans="1:26" ht="13" x14ac:dyDescent="0.3">
      <c r="A3" s="578"/>
      <c r="B3" s="251"/>
      <c r="C3" s="251"/>
      <c r="D3" s="253"/>
      <c r="E3" s="253"/>
      <c r="F3" s="253"/>
      <c r="G3" s="253"/>
      <c r="H3" s="253"/>
      <c r="I3" s="254"/>
      <c r="J3" s="254"/>
      <c r="K3" s="578"/>
      <c r="L3" s="578"/>
      <c r="M3" s="578"/>
      <c r="N3" s="578"/>
      <c r="O3" s="578"/>
      <c r="P3" s="578"/>
      <c r="Q3" s="578"/>
      <c r="R3" s="578"/>
      <c r="S3" s="578"/>
      <c r="T3" s="578"/>
      <c r="U3" s="578"/>
      <c r="V3" s="578"/>
      <c r="W3" s="578"/>
      <c r="X3" s="578"/>
      <c r="Y3" s="578"/>
      <c r="Z3" s="578"/>
    </row>
    <row r="4" spans="1:26" x14ac:dyDescent="0.25">
      <c r="A4" s="578"/>
      <c r="B4" s="251"/>
      <c r="C4" s="251"/>
      <c r="D4" s="253"/>
      <c r="E4" s="253"/>
      <c r="F4" s="253"/>
      <c r="G4" s="253"/>
      <c r="H4" s="253"/>
      <c r="I4" s="253"/>
      <c r="J4" s="253"/>
      <c r="K4" s="578"/>
      <c r="L4" s="578"/>
      <c r="M4" s="578"/>
      <c r="N4" s="578"/>
      <c r="O4" s="578"/>
      <c r="P4" s="578"/>
      <c r="Q4" s="578"/>
      <c r="R4" s="578"/>
      <c r="S4" s="578"/>
      <c r="T4" s="578"/>
      <c r="U4" s="578"/>
      <c r="V4" s="578"/>
      <c r="W4" s="578"/>
      <c r="X4" s="578"/>
      <c r="Y4" s="578"/>
      <c r="Z4" s="578"/>
    </row>
    <row r="5" spans="1:26" ht="13" x14ac:dyDescent="0.3">
      <c r="A5" s="578"/>
      <c r="B5" s="251"/>
      <c r="C5" s="255"/>
      <c r="D5" s="253"/>
      <c r="E5" s="256"/>
      <c r="F5" s="253"/>
      <c r="G5" s="253"/>
      <c r="H5" s="254"/>
      <c r="I5" s="257"/>
      <c r="J5" s="258"/>
      <c r="K5" s="578"/>
      <c r="L5" s="578"/>
      <c r="M5" s="578"/>
      <c r="N5" s="578"/>
      <c r="O5" s="578"/>
      <c r="P5" s="578"/>
      <c r="Q5" s="578"/>
      <c r="R5" s="578"/>
      <c r="S5" s="578"/>
      <c r="T5" s="578"/>
      <c r="U5" s="578"/>
      <c r="V5" s="578"/>
      <c r="W5" s="578"/>
      <c r="X5" s="578"/>
      <c r="Y5" s="578"/>
      <c r="Z5" s="578"/>
    </row>
    <row r="6" spans="1:26" ht="13" x14ac:dyDescent="0.3">
      <c r="A6" s="578"/>
      <c r="B6" s="251"/>
      <c r="D6" s="259"/>
      <c r="F6" s="253"/>
      <c r="G6" s="253"/>
      <c r="H6" s="254"/>
      <c r="I6" s="257"/>
      <c r="J6" s="258"/>
      <c r="K6" s="578"/>
      <c r="L6" s="578"/>
      <c r="M6" s="578"/>
      <c r="N6" s="578"/>
      <c r="O6" s="578"/>
      <c r="P6" s="578"/>
      <c r="Q6" s="578"/>
      <c r="R6" s="578"/>
      <c r="S6" s="578"/>
      <c r="T6" s="578"/>
      <c r="U6" s="578"/>
      <c r="V6" s="578"/>
      <c r="W6" s="578"/>
      <c r="X6" s="578"/>
      <c r="Y6" s="578"/>
      <c r="Z6" s="578"/>
    </row>
    <row r="7" spans="1:26" ht="13" x14ac:dyDescent="0.3">
      <c r="A7" s="578"/>
      <c r="B7" s="251"/>
      <c r="C7" s="255"/>
      <c r="D7" s="253"/>
      <c r="E7" s="256"/>
      <c r="F7" s="253"/>
      <c r="G7" s="253"/>
      <c r="H7" s="254"/>
      <c r="I7" s="260"/>
      <c r="J7" s="260"/>
      <c r="K7" s="578"/>
      <c r="L7" s="578"/>
      <c r="M7" s="578"/>
      <c r="N7" s="578"/>
      <c r="O7" s="578"/>
      <c r="P7" s="578"/>
      <c r="Q7" s="578"/>
      <c r="R7" s="578"/>
      <c r="S7" s="578"/>
      <c r="T7" s="578"/>
      <c r="U7" s="578"/>
      <c r="V7" s="578"/>
      <c r="W7" s="578"/>
      <c r="X7" s="578"/>
      <c r="Y7" s="578"/>
      <c r="Z7" s="578"/>
    </row>
    <row r="8" spans="1:26" x14ac:dyDescent="0.25">
      <c r="A8" s="578"/>
      <c r="B8" s="251"/>
      <c r="C8" s="261"/>
      <c r="D8" s="262"/>
      <c r="E8" s="262"/>
      <c r="F8" s="262"/>
      <c r="G8" s="262"/>
      <c r="H8" s="262"/>
      <c r="I8" s="262"/>
      <c r="J8" s="253"/>
      <c r="K8" s="578"/>
      <c r="L8" s="578"/>
      <c r="M8" s="578"/>
      <c r="N8" s="578"/>
      <c r="O8" s="578"/>
      <c r="P8" s="578"/>
      <c r="Q8" s="578"/>
      <c r="R8" s="578"/>
      <c r="S8" s="578"/>
      <c r="T8" s="578"/>
      <c r="U8" s="578"/>
      <c r="V8" s="578"/>
      <c r="W8" s="578"/>
      <c r="X8" s="578"/>
      <c r="Y8" s="578"/>
      <c r="Z8" s="578"/>
    </row>
    <row r="9" spans="1:26" ht="13" x14ac:dyDescent="0.3">
      <c r="A9" s="578"/>
      <c r="B9" s="251"/>
      <c r="C9" s="263"/>
      <c r="D9" s="264"/>
      <c r="E9" s="264"/>
      <c r="F9" s="264"/>
      <c r="G9" s="264"/>
      <c r="H9" s="264"/>
      <c r="I9" s="264"/>
      <c r="J9" s="253"/>
      <c r="K9" s="578"/>
      <c r="L9" s="578"/>
      <c r="M9" s="578"/>
      <c r="N9" s="578"/>
      <c r="O9" s="578"/>
      <c r="P9" s="578"/>
      <c r="Q9" s="578"/>
      <c r="R9" s="578"/>
      <c r="S9" s="578"/>
      <c r="T9" s="578"/>
      <c r="U9" s="578"/>
      <c r="V9" s="578"/>
      <c r="W9" s="578"/>
      <c r="X9" s="578"/>
      <c r="Y9" s="578"/>
      <c r="Z9" s="578"/>
    </row>
    <row r="10" spans="1:26" ht="13" x14ac:dyDescent="0.3">
      <c r="A10" s="578"/>
      <c r="B10" s="251"/>
      <c r="C10" s="263"/>
      <c r="D10" s="253"/>
      <c r="E10" s="253"/>
      <c r="F10" s="253"/>
      <c r="G10" s="253"/>
      <c r="H10" s="253"/>
      <c r="I10" s="253"/>
      <c r="J10" s="265"/>
      <c r="K10" s="578"/>
      <c r="L10" s="578"/>
      <c r="M10" s="578"/>
      <c r="N10" s="578"/>
      <c r="O10" s="578"/>
      <c r="P10" s="578"/>
      <c r="Q10" s="578"/>
      <c r="R10" s="578"/>
      <c r="S10" s="578"/>
      <c r="T10" s="578"/>
      <c r="U10" s="578"/>
      <c r="V10" s="578"/>
      <c r="W10" s="578"/>
      <c r="X10" s="578"/>
      <c r="Y10" s="578"/>
      <c r="Z10" s="578"/>
    </row>
    <row r="11" spans="1:26" ht="13" x14ac:dyDescent="0.3">
      <c r="A11" s="578"/>
      <c r="B11" s="251"/>
      <c r="C11" s="263"/>
      <c r="D11" s="253"/>
      <c r="E11" s="253"/>
      <c r="F11" s="253"/>
      <c r="G11" s="253"/>
      <c r="H11" s="253"/>
      <c r="I11" s="253"/>
      <c r="J11" s="265"/>
      <c r="K11" s="578"/>
      <c r="L11" s="578"/>
      <c r="M11" s="578"/>
      <c r="N11" s="578"/>
      <c r="O11" s="578"/>
      <c r="P11" s="578"/>
      <c r="Q11" s="578"/>
      <c r="R11" s="578"/>
      <c r="S11" s="578"/>
      <c r="T11" s="578"/>
      <c r="U11" s="578"/>
      <c r="V11" s="578"/>
      <c r="W11" s="578"/>
      <c r="X11" s="578"/>
      <c r="Y11" s="578"/>
      <c r="Z11" s="578"/>
    </row>
    <row r="12" spans="1:26" ht="13" x14ac:dyDescent="0.3">
      <c r="A12" s="578"/>
      <c r="B12" s="251"/>
      <c r="C12" s="263"/>
      <c r="D12" s="253"/>
      <c r="E12" s="253"/>
      <c r="F12" s="253"/>
      <c r="G12" s="253"/>
      <c r="H12" s="253"/>
      <c r="I12" s="253"/>
      <c r="J12" s="265"/>
      <c r="K12" s="578"/>
      <c r="L12" s="578"/>
      <c r="M12" s="578"/>
      <c r="N12" s="578"/>
      <c r="O12" s="578"/>
      <c r="P12" s="578"/>
      <c r="Q12" s="578"/>
      <c r="R12" s="578"/>
      <c r="S12" s="578"/>
      <c r="T12" s="578"/>
      <c r="U12" s="578"/>
      <c r="V12" s="578"/>
      <c r="W12" s="578"/>
      <c r="X12" s="578"/>
      <c r="Y12" s="578"/>
      <c r="Z12" s="578"/>
    </row>
    <row r="13" spans="1:26" x14ac:dyDescent="0.25">
      <c r="A13" s="578"/>
      <c r="B13" s="251"/>
      <c r="C13" s="266"/>
      <c r="D13" s="262"/>
      <c r="E13" s="262"/>
      <c r="F13" s="262"/>
      <c r="G13" s="262"/>
      <c r="H13" s="262"/>
      <c r="I13" s="262"/>
      <c r="J13" s="265"/>
      <c r="K13" s="578"/>
      <c r="L13" s="578"/>
      <c r="M13" s="578"/>
      <c r="N13" s="578"/>
      <c r="O13" s="578"/>
      <c r="P13" s="578"/>
      <c r="Q13" s="578"/>
      <c r="R13" s="578"/>
      <c r="S13" s="578"/>
      <c r="T13" s="578"/>
      <c r="U13" s="578"/>
      <c r="V13" s="578"/>
      <c r="W13" s="578"/>
      <c r="X13" s="578"/>
      <c r="Y13" s="578"/>
      <c r="Z13" s="578"/>
    </row>
    <row r="14" spans="1:26" x14ac:dyDescent="0.25">
      <c r="A14" s="578"/>
      <c r="B14" s="251"/>
      <c r="C14" s="267"/>
      <c r="D14" s="253"/>
      <c r="E14" s="253"/>
      <c r="F14" s="268"/>
      <c r="G14" s="253"/>
      <c r="H14" s="268"/>
      <c r="I14" s="253"/>
      <c r="J14" s="265"/>
      <c r="K14" s="578"/>
      <c r="L14" s="578"/>
      <c r="M14" s="578"/>
      <c r="N14" s="578"/>
      <c r="O14" s="578"/>
      <c r="P14" s="578"/>
      <c r="Q14" s="578"/>
      <c r="R14" s="578"/>
      <c r="S14" s="578"/>
      <c r="T14" s="578"/>
      <c r="U14" s="578"/>
      <c r="V14" s="578"/>
      <c r="W14" s="578"/>
      <c r="X14" s="578"/>
      <c r="Y14" s="578"/>
      <c r="Z14" s="578"/>
    </row>
    <row r="15" spans="1:26" x14ac:dyDescent="0.25">
      <c r="A15" s="578"/>
      <c r="B15" s="251"/>
      <c r="C15" s="267"/>
      <c r="D15" s="253"/>
      <c r="E15" s="253"/>
      <c r="F15" s="268"/>
      <c r="G15" s="253"/>
      <c r="H15" s="268"/>
      <c r="I15" s="253"/>
      <c r="J15" s="253"/>
      <c r="K15" s="578"/>
      <c r="L15" s="578"/>
      <c r="M15" s="578"/>
      <c r="N15" s="578"/>
      <c r="O15" s="578"/>
      <c r="P15" s="578"/>
      <c r="Q15" s="578"/>
      <c r="R15" s="578"/>
      <c r="S15" s="578"/>
      <c r="T15" s="578"/>
      <c r="U15" s="578"/>
      <c r="V15" s="578"/>
      <c r="W15" s="578"/>
      <c r="X15" s="578"/>
      <c r="Y15" s="578"/>
      <c r="Z15" s="578"/>
    </row>
    <row r="16" spans="1:26" x14ac:dyDescent="0.25">
      <c r="A16" s="578"/>
      <c r="B16" s="251"/>
      <c r="C16" s="267"/>
      <c r="D16" s="253"/>
      <c r="E16" s="253"/>
      <c r="F16" s="268"/>
      <c r="G16" s="253"/>
      <c r="H16" s="268"/>
      <c r="I16" s="253"/>
      <c r="J16" s="253"/>
      <c r="K16" s="578"/>
      <c r="L16" s="578"/>
      <c r="M16" s="578"/>
      <c r="N16" s="578"/>
      <c r="O16" s="578"/>
      <c r="P16" s="578"/>
      <c r="Q16" s="578"/>
      <c r="R16" s="578"/>
      <c r="S16" s="578"/>
      <c r="T16" s="578"/>
      <c r="U16" s="578"/>
      <c r="V16" s="578"/>
      <c r="W16" s="578"/>
      <c r="X16" s="578"/>
      <c r="Y16" s="578"/>
      <c r="Z16" s="578"/>
    </row>
    <row r="17" spans="1:26" x14ac:dyDescent="0.25">
      <c r="A17" s="578"/>
      <c r="B17" s="251"/>
      <c r="C17" s="269"/>
      <c r="D17" s="253"/>
      <c r="E17" s="253"/>
      <c r="F17" s="253"/>
      <c r="G17" s="253"/>
      <c r="H17" s="253"/>
      <c r="I17" s="253"/>
      <c r="J17" s="253"/>
      <c r="K17" s="578"/>
      <c r="L17" s="578"/>
      <c r="M17" s="578"/>
      <c r="N17" s="578"/>
      <c r="O17" s="578"/>
      <c r="P17" s="578"/>
      <c r="Q17" s="578"/>
      <c r="R17" s="578"/>
      <c r="S17" s="578"/>
      <c r="T17" s="578"/>
      <c r="U17" s="578"/>
      <c r="V17" s="578"/>
      <c r="W17" s="578"/>
      <c r="X17" s="578"/>
      <c r="Y17" s="578"/>
      <c r="Z17" s="578"/>
    </row>
    <row r="18" spans="1:26" ht="5.25" customHeight="1" x14ac:dyDescent="0.25">
      <c r="A18" s="578"/>
      <c r="B18" s="253"/>
      <c r="C18" s="262"/>
      <c r="D18" s="262"/>
      <c r="E18" s="262"/>
      <c r="F18" s="262"/>
      <c r="G18" s="262"/>
      <c r="H18" s="262"/>
      <c r="I18" s="262"/>
      <c r="J18" s="253"/>
      <c r="K18" s="578"/>
      <c r="L18" s="578"/>
      <c r="M18" s="578"/>
      <c r="N18" s="578"/>
      <c r="O18" s="578"/>
      <c r="P18" s="578"/>
      <c r="Q18" s="578"/>
      <c r="R18" s="578"/>
      <c r="S18" s="578"/>
      <c r="T18" s="578"/>
      <c r="U18" s="578"/>
      <c r="V18" s="578"/>
      <c r="W18" s="578"/>
      <c r="X18" s="578"/>
      <c r="Y18" s="578"/>
      <c r="Z18" s="578"/>
    </row>
    <row r="19" spans="1:26" ht="5.25" customHeight="1" x14ac:dyDescent="0.3">
      <c r="A19" s="578"/>
      <c r="B19" s="251"/>
      <c r="C19" s="253"/>
      <c r="D19" s="253"/>
      <c r="E19" s="270"/>
      <c r="F19" s="271"/>
      <c r="G19" s="253"/>
      <c r="H19" s="253"/>
      <c r="I19" s="253"/>
      <c r="J19" s="253"/>
      <c r="K19" s="578"/>
      <c r="L19" s="578"/>
      <c r="M19" s="578"/>
      <c r="N19" s="578"/>
      <c r="O19" s="578"/>
      <c r="P19" s="578"/>
      <c r="Q19" s="578"/>
      <c r="R19" s="578"/>
      <c r="S19" s="578"/>
      <c r="T19" s="578"/>
      <c r="U19" s="578"/>
      <c r="V19" s="578"/>
      <c r="W19" s="578"/>
      <c r="X19" s="578"/>
      <c r="Y19" s="578"/>
      <c r="Z19" s="578"/>
    </row>
    <row r="20" spans="1:26" ht="13" x14ac:dyDescent="0.3">
      <c r="A20" s="578"/>
      <c r="B20" s="251"/>
      <c r="C20" s="272"/>
      <c r="D20" s="256"/>
      <c r="E20" s="256"/>
      <c r="F20" s="273"/>
      <c r="G20" s="256"/>
      <c r="H20" s="273"/>
      <c r="I20" s="256"/>
      <c r="J20" s="253"/>
      <c r="K20" s="578"/>
      <c r="L20" s="578"/>
      <c r="M20" s="578"/>
      <c r="N20" s="578"/>
      <c r="O20" s="578"/>
      <c r="P20" s="578"/>
      <c r="Q20" s="578"/>
      <c r="R20" s="578"/>
      <c r="S20" s="578"/>
      <c r="T20" s="578"/>
      <c r="U20" s="578"/>
      <c r="V20" s="578"/>
      <c r="W20" s="578"/>
      <c r="X20" s="578"/>
      <c r="Y20" s="578"/>
      <c r="Z20" s="578"/>
    </row>
    <row r="21" spans="1:26" ht="13" x14ac:dyDescent="0.3">
      <c r="A21" s="578"/>
      <c r="B21" s="251"/>
      <c r="C21" s="274"/>
      <c r="D21" s="256"/>
      <c r="E21" s="275"/>
      <c r="F21" s="276"/>
      <c r="G21" s="256"/>
      <c r="H21" s="276"/>
      <c r="I21" s="256"/>
      <c r="J21" s="253"/>
      <c r="K21" s="578"/>
      <c r="L21" s="578"/>
      <c r="M21" s="578"/>
      <c r="N21" s="578"/>
      <c r="O21" s="578"/>
      <c r="P21" s="578"/>
      <c r="Q21" s="578"/>
      <c r="R21" s="578"/>
      <c r="S21" s="578"/>
      <c r="T21" s="578"/>
      <c r="U21" s="578"/>
      <c r="V21" s="578"/>
      <c r="W21" s="578"/>
      <c r="X21" s="578"/>
      <c r="Y21" s="578"/>
      <c r="Z21" s="578"/>
    </row>
    <row r="22" spans="1:26" ht="13" x14ac:dyDescent="0.3">
      <c r="A22" s="578"/>
      <c r="B22" s="251"/>
      <c r="C22" s="257"/>
      <c r="D22" s="256"/>
      <c r="E22" s="277"/>
      <c r="F22" s="278"/>
      <c r="G22" s="277"/>
      <c r="H22" s="278"/>
      <c r="I22" s="256"/>
      <c r="J22" s="253"/>
      <c r="K22" s="578"/>
      <c r="L22" s="578"/>
      <c r="M22" s="578"/>
      <c r="N22" s="578"/>
      <c r="O22" s="578"/>
      <c r="P22" s="578"/>
      <c r="Q22" s="578"/>
      <c r="R22" s="578"/>
      <c r="S22" s="578"/>
      <c r="T22" s="578"/>
      <c r="U22" s="578"/>
      <c r="V22" s="578"/>
      <c r="W22" s="578"/>
      <c r="X22" s="578"/>
      <c r="Y22" s="578"/>
      <c r="Z22" s="578"/>
    </row>
    <row r="23" spans="1:26" ht="13" x14ac:dyDescent="0.3">
      <c r="A23" s="578"/>
      <c r="B23" s="279"/>
      <c r="C23" s="257"/>
      <c r="D23" s="256"/>
      <c r="E23" s="256"/>
      <c r="F23" s="280"/>
      <c r="G23" s="281"/>
      <c r="H23" s="280"/>
      <c r="I23" s="256"/>
      <c r="J23" s="270"/>
      <c r="K23" s="578"/>
      <c r="L23" s="578"/>
      <c r="M23" s="578"/>
      <c r="N23" s="578"/>
      <c r="O23" s="578"/>
      <c r="P23" s="578"/>
      <c r="Q23" s="578"/>
      <c r="R23" s="578"/>
      <c r="S23" s="578"/>
      <c r="T23" s="578"/>
      <c r="U23" s="578"/>
      <c r="V23" s="578"/>
      <c r="W23" s="578"/>
      <c r="X23" s="578"/>
      <c r="Y23" s="578"/>
      <c r="Z23" s="578"/>
    </row>
    <row r="24" spans="1:26" ht="13" x14ac:dyDescent="0.3">
      <c r="A24" s="578"/>
      <c r="B24" s="279"/>
      <c r="C24" s="257"/>
      <c r="D24" s="256"/>
      <c r="E24" s="256"/>
      <c r="F24" s="282"/>
      <c r="G24" s="281"/>
      <c r="H24" s="282"/>
      <c r="I24" s="256"/>
      <c r="J24" s="253"/>
      <c r="K24" s="578"/>
      <c r="L24" s="578"/>
      <c r="M24" s="578"/>
      <c r="N24" s="578"/>
      <c r="O24" s="578"/>
      <c r="P24" s="578"/>
      <c r="Q24" s="578"/>
      <c r="R24" s="578"/>
      <c r="S24" s="578"/>
      <c r="T24" s="578"/>
      <c r="U24" s="578"/>
      <c r="V24" s="578"/>
      <c r="W24" s="578"/>
      <c r="X24" s="578"/>
      <c r="Y24" s="578"/>
      <c r="Z24" s="578"/>
    </row>
    <row r="25" spans="1:26" ht="6" customHeight="1" x14ac:dyDescent="0.3">
      <c r="A25" s="578"/>
      <c r="B25" s="279"/>
      <c r="C25" s="281"/>
      <c r="D25" s="256"/>
      <c r="E25" s="256"/>
      <c r="F25" s="273"/>
      <c r="G25" s="277"/>
      <c r="H25" s="256"/>
      <c r="I25" s="256"/>
      <c r="J25" s="253"/>
      <c r="K25" s="578"/>
      <c r="L25" s="578"/>
      <c r="M25" s="578"/>
      <c r="N25" s="578"/>
      <c r="O25" s="578"/>
      <c r="P25" s="578"/>
      <c r="Q25" s="578"/>
      <c r="R25" s="578"/>
      <c r="S25" s="578"/>
      <c r="T25" s="578"/>
      <c r="U25" s="578"/>
      <c r="V25" s="578"/>
      <c r="W25" s="578"/>
      <c r="X25" s="578"/>
      <c r="Y25" s="578"/>
      <c r="Z25" s="578"/>
    </row>
    <row r="26" spans="1:26" ht="5.25" customHeight="1" x14ac:dyDescent="0.25">
      <c r="A26" s="578"/>
      <c r="B26" s="253"/>
      <c r="C26" s="283"/>
      <c r="D26" s="283"/>
      <c r="E26" s="283"/>
      <c r="F26" s="283"/>
      <c r="G26" s="283"/>
      <c r="H26" s="283"/>
      <c r="I26" s="283"/>
      <c r="J26" s="253"/>
      <c r="K26" s="578"/>
      <c r="L26" s="578"/>
      <c r="M26" s="578"/>
      <c r="N26" s="578"/>
      <c r="O26" s="578"/>
      <c r="P26" s="578"/>
      <c r="Q26" s="578"/>
      <c r="R26" s="578"/>
      <c r="S26" s="578"/>
      <c r="T26" s="578"/>
      <c r="U26" s="578"/>
      <c r="V26" s="578"/>
      <c r="W26" s="578"/>
      <c r="X26" s="578"/>
      <c r="Y26" s="578"/>
      <c r="Z26" s="578"/>
    </row>
    <row r="27" spans="1:26" ht="5.25" customHeight="1" x14ac:dyDescent="0.3">
      <c r="A27" s="578"/>
      <c r="B27" s="251"/>
      <c r="C27" s="272"/>
      <c r="D27" s="256"/>
      <c r="E27" s="256"/>
      <c r="F27" s="256"/>
      <c r="G27" s="256"/>
      <c r="H27" s="256"/>
      <c r="I27" s="256"/>
      <c r="J27" s="253"/>
      <c r="K27" s="578"/>
      <c r="L27" s="578"/>
      <c r="M27" s="578"/>
      <c r="N27" s="578"/>
      <c r="O27" s="578"/>
      <c r="P27" s="578"/>
      <c r="Q27" s="578"/>
      <c r="R27" s="578"/>
      <c r="S27" s="578"/>
      <c r="T27" s="578"/>
      <c r="U27" s="578"/>
      <c r="V27" s="578"/>
      <c r="W27" s="578"/>
      <c r="X27" s="578"/>
      <c r="Y27" s="578"/>
      <c r="Z27" s="578"/>
    </row>
    <row r="28" spans="1:26" hidden="1" x14ac:dyDescent="0.25">
      <c r="A28" s="578"/>
      <c r="B28" s="251"/>
      <c r="C28" s="256"/>
      <c r="D28" s="256"/>
      <c r="E28" s="256"/>
      <c r="F28" s="256"/>
      <c r="H28" s="256"/>
      <c r="I28" s="256"/>
      <c r="J28" s="253"/>
      <c r="K28" s="578"/>
      <c r="L28" s="578"/>
      <c r="M28" s="578"/>
      <c r="N28" s="578"/>
      <c r="O28" s="578"/>
      <c r="P28" s="578"/>
      <c r="Q28" s="578"/>
      <c r="R28" s="578"/>
      <c r="S28" s="578"/>
      <c r="T28" s="578"/>
      <c r="U28" s="578"/>
      <c r="V28" s="578"/>
      <c r="W28" s="578"/>
      <c r="X28" s="578"/>
      <c r="Y28" s="578"/>
      <c r="Z28" s="578"/>
    </row>
    <row r="29" spans="1:26" ht="13" hidden="1" x14ac:dyDescent="0.3">
      <c r="A29" s="578"/>
      <c r="B29" s="251"/>
      <c r="D29" s="284"/>
      <c r="E29" s="284"/>
      <c r="G29" s="285"/>
      <c r="I29" s="273"/>
      <c r="J29" s="286"/>
      <c r="K29" s="578"/>
      <c r="L29" s="578"/>
      <c r="M29" s="578"/>
      <c r="N29" s="578"/>
      <c r="O29" s="578"/>
      <c r="P29" s="578"/>
      <c r="Q29" s="578"/>
      <c r="R29" s="578"/>
      <c r="S29" s="578"/>
      <c r="T29" s="578"/>
      <c r="U29" s="578"/>
      <c r="V29" s="578"/>
      <c r="W29" s="578"/>
      <c r="X29" s="578"/>
      <c r="Y29" s="578"/>
      <c r="Z29" s="578"/>
    </row>
    <row r="30" spans="1:26" ht="13" hidden="1" x14ac:dyDescent="0.3">
      <c r="A30" s="578"/>
      <c r="B30" s="287"/>
      <c r="C30" s="256"/>
      <c r="D30" s="256"/>
      <c r="E30" s="256"/>
      <c r="F30" s="273"/>
      <c r="G30" s="256"/>
      <c r="H30" s="288"/>
      <c r="I30" s="273"/>
      <c r="J30" s="286"/>
      <c r="K30" s="578"/>
      <c r="L30" s="578"/>
      <c r="M30" s="578"/>
      <c r="N30" s="578"/>
      <c r="O30" s="578"/>
      <c r="P30" s="578"/>
      <c r="Q30" s="578"/>
      <c r="R30" s="578"/>
      <c r="S30" s="578"/>
      <c r="T30" s="578"/>
      <c r="U30" s="578"/>
      <c r="V30" s="578"/>
      <c r="W30" s="578"/>
      <c r="X30" s="578"/>
      <c r="Y30" s="578"/>
      <c r="Z30" s="578"/>
    </row>
    <row r="31" spans="1:26" hidden="1" x14ac:dyDescent="0.25">
      <c r="A31" s="578"/>
      <c r="B31" s="251"/>
      <c r="C31" s="256"/>
      <c r="D31" s="256"/>
      <c r="E31" s="256"/>
      <c r="G31" s="289"/>
      <c r="J31" s="290"/>
      <c r="K31" s="578"/>
      <c r="L31" s="578"/>
      <c r="M31" s="578"/>
      <c r="N31" s="578"/>
      <c r="O31" s="578"/>
      <c r="P31" s="578"/>
      <c r="Q31" s="578"/>
      <c r="R31" s="578"/>
      <c r="S31" s="578"/>
      <c r="T31" s="578"/>
      <c r="U31" s="578"/>
      <c r="V31" s="578"/>
      <c r="W31" s="578"/>
      <c r="X31" s="578"/>
      <c r="Y31" s="578"/>
      <c r="Z31" s="578"/>
    </row>
    <row r="32" spans="1:26" ht="13" x14ac:dyDescent="0.3">
      <c r="A32" s="578"/>
      <c r="B32" s="251"/>
      <c r="C32" s="291"/>
      <c r="D32" s="281"/>
      <c r="E32" s="256"/>
      <c r="F32" s="256"/>
      <c r="H32" s="292"/>
      <c r="J32" s="293"/>
      <c r="K32" s="578"/>
      <c r="L32" s="578"/>
      <c r="M32" s="578"/>
      <c r="N32" s="578"/>
      <c r="O32" s="578"/>
      <c r="P32" s="578"/>
      <c r="Q32" s="578"/>
      <c r="R32" s="578"/>
      <c r="S32" s="578"/>
      <c r="T32" s="578"/>
      <c r="U32" s="578"/>
      <c r="V32" s="578"/>
      <c r="W32" s="578"/>
      <c r="X32" s="578"/>
      <c r="Y32" s="578"/>
      <c r="Z32" s="578"/>
    </row>
    <row r="33" spans="1:26" ht="13" x14ac:dyDescent="0.3">
      <c r="A33" s="578"/>
      <c r="B33" s="251"/>
      <c r="C33" s="256"/>
      <c r="D33" s="281"/>
      <c r="E33" s="256"/>
      <c r="F33" s="256"/>
      <c r="G33" s="289"/>
      <c r="H33" s="292"/>
      <c r="I33" s="256"/>
      <c r="J33" s="253"/>
      <c r="K33" s="578"/>
      <c r="L33" s="578"/>
      <c r="M33" s="578"/>
      <c r="N33" s="578"/>
      <c r="O33" s="578"/>
      <c r="P33" s="578"/>
      <c r="Q33" s="578"/>
      <c r="R33" s="578"/>
      <c r="S33" s="578"/>
      <c r="T33" s="578"/>
      <c r="U33" s="578"/>
      <c r="V33" s="578"/>
      <c r="W33" s="578"/>
      <c r="X33" s="578"/>
      <c r="Y33" s="578"/>
      <c r="Z33" s="578"/>
    </row>
    <row r="34" spans="1:26" ht="13" x14ac:dyDescent="0.3">
      <c r="A34" s="578"/>
      <c r="B34" s="294"/>
      <c r="C34" s="295"/>
      <c r="D34" s="296"/>
      <c r="E34" s="296"/>
      <c r="F34" s="297"/>
      <c r="G34" s="298"/>
      <c r="H34" s="299"/>
      <c r="I34" s="300"/>
      <c r="J34" s="301"/>
      <c r="K34" s="578"/>
      <c r="L34" s="578"/>
      <c r="M34" s="578"/>
      <c r="N34" s="578"/>
      <c r="O34" s="578"/>
      <c r="P34" s="578"/>
      <c r="Q34" s="578"/>
      <c r="R34" s="578"/>
      <c r="S34" s="578"/>
      <c r="T34" s="578"/>
      <c r="U34" s="578"/>
      <c r="V34" s="578"/>
      <c r="W34" s="578"/>
      <c r="X34" s="578"/>
      <c r="Y34" s="578"/>
      <c r="Z34" s="578"/>
    </row>
    <row r="35" spans="1:26" ht="13" x14ac:dyDescent="0.3">
      <c r="A35" s="578"/>
      <c r="B35" s="294"/>
      <c r="C35" s="257"/>
      <c r="D35" s="296"/>
      <c r="E35" s="296"/>
      <c r="F35" s="594"/>
      <c r="G35" s="298"/>
      <c r="H35" s="594"/>
      <c r="I35" s="300"/>
      <c r="J35" s="301"/>
      <c r="K35" s="578"/>
      <c r="L35" s="578"/>
      <c r="M35" s="578"/>
      <c r="N35" s="578"/>
      <c r="O35" s="578"/>
      <c r="P35" s="578"/>
      <c r="Q35" s="578"/>
      <c r="R35" s="578"/>
      <c r="S35" s="578"/>
      <c r="T35" s="578"/>
      <c r="U35" s="578"/>
      <c r="V35" s="578"/>
      <c r="W35" s="578"/>
      <c r="X35" s="578"/>
      <c r="Y35" s="578"/>
      <c r="Z35" s="578"/>
    </row>
    <row r="36" spans="1:26" ht="13" x14ac:dyDescent="0.3">
      <c r="A36" s="578"/>
      <c r="B36" s="251"/>
      <c r="C36" s="257"/>
      <c r="D36" s="296"/>
      <c r="E36" s="296"/>
      <c r="F36" s="302"/>
      <c r="G36" s="303"/>
      <c r="H36" s="304"/>
      <c r="I36" s="277"/>
      <c r="J36" s="270"/>
      <c r="K36" s="578"/>
      <c r="L36" s="578"/>
      <c r="M36" s="578"/>
      <c r="N36" s="578"/>
      <c r="O36" s="578"/>
      <c r="P36" s="578"/>
      <c r="Q36" s="578"/>
      <c r="R36" s="578"/>
      <c r="S36" s="578"/>
      <c r="T36" s="578"/>
      <c r="U36" s="578"/>
      <c r="V36" s="578"/>
      <c r="W36" s="578"/>
      <c r="X36" s="578"/>
      <c r="Y36" s="578"/>
      <c r="Z36" s="578"/>
    </row>
    <row r="37" spans="1:26" ht="13" x14ac:dyDescent="0.3">
      <c r="A37" s="578"/>
      <c r="B37" s="251"/>
      <c r="C37" s="257"/>
      <c r="D37" s="296"/>
      <c r="E37" s="296"/>
      <c r="F37" s="305"/>
      <c r="G37" s="306"/>
      <c r="H37" s="307"/>
      <c r="I37" s="277"/>
      <c r="J37" s="270"/>
      <c r="K37" s="578"/>
      <c r="L37" s="578"/>
      <c r="M37" s="578"/>
      <c r="N37" s="578"/>
      <c r="O37" s="578"/>
      <c r="P37" s="578"/>
      <c r="Q37" s="578"/>
      <c r="R37" s="578"/>
      <c r="S37" s="578"/>
      <c r="T37" s="578"/>
      <c r="U37" s="578"/>
      <c r="V37" s="578"/>
      <c r="W37" s="578"/>
      <c r="X37" s="578"/>
      <c r="Y37" s="578"/>
      <c r="Z37" s="578"/>
    </row>
    <row r="38" spans="1:26" ht="6" customHeight="1" x14ac:dyDescent="0.3">
      <c r="A38" s="578"/>
      <c r="B38" s="251"/>
      <c r="C38" s="308"/>
      <c r="D38" s="309"/>
      <c r="E38" s="309"/>
      <c r="F38" s="310"/>
      <c r="G38" s="311"/>
      <c r="H38" s="312"/>
      <c r="I38" s="313"/>
      <c r="J38" s="270"/>
      <c r="K38" s="578"/>
      <c r="L38" s="578"/>
      <c r="M38" s="578"/>
      <c r="N38" s="578"/>
      <c r="O38" s="578"/>
      <c r="P38" s="578"/>
      <c r="Q38" s="578"/>
      <c r="R38" s="578"/>
      <c r="S38" s="578"/>
      <c r="T38" s="578"/>
      <c r="U38" s="578"/>
      <c r="V38" s="578"/>
      <c r="W38" s="578"/>
      <c r="X38" s="578"/>
      <c r="Y38" s="578"/>
      <c r="Z38" s="578"/>
    </row>
    <row r="39" spans="1:26" ht="18" customHeight="1" x14ac:dyDescent="0.3">
      <c r="A39" s="578"/>
      <c r="B39" s="251"/>
      <c r="C39" s="272"/>
      <c r="D39" s="296"/>
      <c r="E39" s="296"/>
      <c r="F39" s="305"/>
      <c r="H39" s="307"/>
      <c r="I39" s="277"/>
      <c r="J39" s="270"/>
      <c r="K39" s="578"/>
      <c r="L39" s="578"/>
      <c r="M39" s="578"/>
      <c r="N39" s="578"/>
      <c r="O39" s="578"/>
      <c r="P39" s="578"/>
      <c r="Q39" s="578"/>
      <c r="R39" s="578"/>
      <c r="S39" s="578"/>
      <c r="T39" s="578"/>
      <c r="U39" s="578"/>
      <c r="V39" s="578"/>
      <c r="W39" s="578"/>
      <c r="X39" s="578"/>
      <c r="Y39" s="578"/>
      <c r="Z39" s="578"/>
    </row>
    <row r="40" spans="1:26" ht="14.25" customHeight="1" x14ac:dyDescent="0.3">
      <c r="A40" s="578"/>
      <c r="B40" s="251"/>
      <c r="C40" s="257"/>
      <c r="D40" s="296"/>
      <c r="E40" s="296"/>
      <c r="F40" s="305"/>
      <c r="G40" s="314"/>
      <c r="H40" s="307"/>
      <c r="I40" s="277"/>
      <c r="J40" s="270"/>
      <c r="K40" s="578"/>
      <c r="L40" s="578"/>
      <c r="M40" s="578"/>
      <c r="N40" s="578"/>
      <c r="O40" s="578"/>
      <c r="P40" s="578"/>
      <c r="Q40" s="578"/>
      <c r="R40" s="578"/>
      <c r="S40" s="578"/>
      <c r="T40" s="578"/>
      <c r="U40" s="578"/>
      <c r="V40" s="578"/>
      <c r="W40" s="578"/>
      <c r="X40" s="578"/>
      <c r="Y40" s="578"/>
      <c r="Z40" s="578"/>
    </row>
    <row r="41" spans="1:26" ht="14.25" customHeight="1" x14ac:dyDescent="0.3">
      <c r="A41" s="578"/>
      <c r="B41" s="251"/>
      <c r="C41" s="257"/>
      <c r="D41" s="296"/>
      <c r="E41" s="296"/>
      <c r="F41" s="305"/>
      <c r="G41" s="314"/>
      <c r="H41" s="307"/>
      <c r="I41" s="277"/>
      <c r="J41" s="270"/>
      <c r="K41" s="578"/>
      <c r="L41" s="578"/>
      <c r="M41" s="578"/>
      <c r="N41" s="578"/>
      <c r="O41" s="578"/>
      <c r="P41" s="578"/>
      <c r="Q41" s="578"/>
      <c r="R41" s="578"/>
      <c r="S41" s="578"/>
      <c r="T41" s="578"/>
      <c r="U41" s="578"/>
      <c r="V41" s="578"/>
      <c r="W41" s="578"/>
      <c r="X41" s="578"/>
      <c r="Y41" s="578"/>
      <c r="Z41" s="578"/>
    </row>
    <row r="42" spans="1:26" ht="18" customHeight="1" x14ac:dyDescent="0.3">
      <c r="A42" s="578"/>
      <c r="B42" s="251"/>
      <c r="C42" s="315"/>
      <c r="D42" s="296"/>
      <c r="E42" s="316"/>
      <c r="F42" s="317"/>
      <c r="G42" s="318"/>
      <c r="H42" s="317"/>
      <c r="I42" s="277"/>
      <c r="J42" s="270"/>
      <c r="K42" s="578"/>
      <c r="L42" s="578"/>
      <c r="M42" s="578"/>
      <c r="N42" s="578"/>
      <c r="O42" s="578"/>
      <c r="P42" s="578"/>
      <c r="Q42" s="578"/>
      <c r="R42" s="578"/>
      <c r="S42" s="578"/>
      <c r="T42" s="578"/>
      <c r="U42" s="578"/>
      <c r="V42" s="578"/>
      <c r="W42" s="578"/>
      <c r="X42" s="578"/>
      <c r="Y42" s="578"/>
      <c r="Z42" s="578"/>
    </row>
    <row r="43" spans="1:26" ht="13" x14ac:dyDescent="0.3">
      <c r="A43" s="578"/>
      <c r="B43" s="251"/>
      <c r="D43" s="296"/>
      <c r="E43" s="319"/>
      <c r="F43" s="317"/>
      <c r="G43" s="320"/>
      <c r="H43" s="317"/>
      <c r="I43" s="321"/>
      <c r="J43" s="270"/>
      <c r="K43" s="578"/>
      <c r="L43" s="578"/>
      <c r="M43" s="578"/>
      <c r="N43" s="578"/>
      <c r="O43" s="578"/>
      <c r="P43" s="578"/>
      <c r="Q43" s="578"/>
      <c r="R43" s="578"/>
      <c r="S43" s="578"/>
      <c r="T43" s="578"/>
      <c r="U43" s="578"/>
      <c r="V43" s="578"/>
      <c r="W43" s="578"/>
      <c r="X43" s="578"/>
      <c r="Y43" s="578"/>
      <c r="Z43" s="578"/>
    </row>
    <row r="44" spans="1:26" ht="13" x14ac:dyDescent="0.3">
      <c r="A44" s="578"/>
      <c r="B44" s="251"/>
      <c r="C44" s="593"/>
      <c r="D44" s="296"/>
      <c r="E44" s="322"/>
      <c r="F44" s="296"/>
      <c r="G44" s="323"/>
      <c r="H44" s="324"/>
      <c r="I44" s="277"/>
      <c r="J44" s="270"/>
      <c r="K44" s="578"/>
      <c r="L44" s="578"/>
      <c r="M44" s="578"/>
      <c r="N44" s="578"/>
      <c r="O44" s="578"/>
      <c r="P44" s="578"/>
      <c r="Q44" s="578"/>
      <c r="R44" s="578"/>
      <c r="S44" s="578"/>
      <c r="T44" s="578"/>
      <c r="U44" s="578"/>
      <c r="V44" s="578"/>
      <c r="W44" s="578"/>
      <c r="X44" s="578"/>
      <c r="Y44" s="578"/>
      <c r="Z44" s="578"/>
    </row>
    <row r="45" spans="1:26" ht="13" x14ac:dyDescent="0.3">
      <c r="A45" s="578"/>
      <c r="B45" s="251"/>
      <c r="C45" s="593"/>
      <c r="D45" s="325"/>
      <c r="E45" s="324"/>
      <c r="F45" s="317"/>
      <c r="G45" s="324"/>
      <c r="H45" s="324"/>
      <c r="J45" s="326"/>
      <c r="K45" s="578"/>
      <c r="L45" s="578"/>
      <c r="M45" s="578"/>
      <c r="N45" s="578"/>
      <c r="O45" s="578"/>
      <c r="P45" s="578"/>
      <c r="Q45" s="578"/>
      <c r="R45" s="578"/>
      <c r="S45" s="578"/>
      <c r="T45" s="578"/>
      <c r="U45" s="578"/>
      <c r="V45" s="578"/>
      <c r="W45" s="578"/>
      <c r="X45" s="578"/>
      <c r="Y45" s="578"/>
      <c r="Z45" s="578"/>
    </row>
    <row r="46" spans="1:26" ht="18" customHeight="1" x14ac:dyDescent="0.25">
      <c r="A46" s="578"/>
      <c r="B46" s="251"/>
      <c r="C46" s="327"/>
      <c r="D46" s="328"/>
      <c r="E46" s="329"/>
      <c r="F46" s="330"/>
      <c r="G46" s="329"/>
      <c r="H46" s="330"/>
      <c r="I46" s="331"/>
      <c r="J46" s="332"/>
      <c r="K46" s="578"/>
      <c r="L46" s="578"/>
      <c r="M46" s="578"/>
      <c r="N46" s="578"/>
      <c r="O46" s="578"/>
      <c r="P46" s="578"/>
      <c r="Q46" s="578"/>
      <c r="R46" s="578"/>
      <c r="S46" s="578"/>
      <c r="T46" s="578"/>
      <c r="U46" s="578"/>
      <c r="V46" s="578"/>
      <c r="W46" s="578"/>
      <c r="X46" s="578"/>
      <c r="Y46" s="578"/>
      <c r="Z46" s="578"/>
    </row>
    <row r="47" spans="1:26" ht="15.75" customHeight="1" x14ac:dyDescent="0.25">
      <c r="A47" s="578"/>
      <c r="B47" s="251"/>
      <c r="C47" s="327"/>
      <c r="D47" s="328"/>
      <c r="E47" s="329"/>
      <c r="F47" s="330"/>
      <c r="G47" s="329"/>
      <c r="H47" s="330"/>
      <c r="I47" s="331"/>
      <c r="J47" s="332"/>
      <c r="K47" s="578"/>
      <c r="L47" s="578"/>
      <c r="M47" s="578"/>
      <c r="N47" s="578"/>
      <c r="O47" s="578"/>
      <c r="P47" s="578"/>
      <c r="Q47" s="578"/>
      <c r="R47" s="578"/>
      <c r="S47" s="578"/>
      <c r="T47" s="578"/>
      <c r="U47" s="578"/>
      <c r="V47" s="578"/>
      <c r="W47" s="578"/>
      <c r="X47" s="578"/>
      <c r="Y47" s="578"/>
      <c r="Z47" s="578"/>
    </row>
    <row r="48" spans="1:26" ht="15.75" customHeight="1" x14ac:dyDescent="0.25">
      <c r="A48" s="578"/>
      <c r="B48" s="253"/>
      <c r="C48" s="327"/>
      <c r="D48" s="333"/>
      <c r="E48" s="329"/>
      <c r="F48" s="330"/>
      <c r="G48" s="329"/>
      <c r="H48" s="330"/>
      <c r="I48" s="331"/>
      <c r="J48" s="332"/>
      <c r="K48" s="578"/>
      <c r="L48" s="578"/>
      <c r="M48" s="578"/>
      <c r="N48" s="578"/>
      <c r="O48" s="578"/>
      <c r="P48" s="578"/>
      <c r="Q48" s="578"/>
      <c r="R48" s="578"/>
      <c r="S48" s="578"/>
      <c r="T48" s="578"/>
      <c r="U48" s="578"/>
      <c r="V48" s="578"/>
      <c r="W48" s="578"/>
      <c r="X48" s="578"/>
      <c r="Y48" s="578"/>
      <c r="Z48" s="578"/>
    </row>
    <row r="49" spans="1:26" x14ac:dyDescent="0.25">
      <c r="A49" s="578"/>
      <c r="B49" s="253"/>
      <c r="C49" s="334"/>
      <c r="D49" s="335"/>
      <c r="E49" s="335"/>
      <c r="F49" s="335"/>
      <c r="G49" s="335"/>
      <c r="H49" s="335"/>
      <c r="I49" s="335"/>
      <c r="J49" s="286"/>
      <c r="K49" s="578"/>
      <c r="L49" s="578"/>
      <c r="M49" s="578"/>
      <c r="N49" s="578"/>
      <c r="O49" s="578"/>
      <c r="P49" s="578"/>
      <c r="Q49" s="578"/>
      <c r="R49" s="578"/>
      <c r="S49" s="578"/>
      <c r="T49" s="578"/>
      <c r="U49" s="578"/>
      <c r="V49" s="578"/>
      <c r="W49" s="578"/>
      <c r="X49" s="578"/>
      <c r="Y49" s="578"/>
      <c r="Z49" s="578"/>
    </row>
    <row r="50" spans="1:26" ht="21" customHeight="1" thickBot="1" x14ac:dyDescent="0.3">
      <c r="A50" s="578"/>
      <c r="B50" s="253"/>
      <c r="C50" s="336"/>
      <c r="D50" s="337"/>
      <c r="E50" s="337"/>
      <c r="F50" s="338"/>
      <c r="G50" s="337"/>
      <c r="H50" s="338"/>
      <c r="I50" s="339"/>
      <c r="J50" s="340"/>
      <c r="K50" s="578"/>
      <c r="L50" s="578"/>
      <c r="M50" s="578"/>
      <c r="N50" s="578"/>
      <c r="O50" s="578"/>
      <c r="P50" s="578"/>
      <c r="Q50" s="578"/>
      <c r="R50" s="578"/>
      <c r="S50" s="578"/>
      <c r="T50" s="578"/>
      <c r="U50" s="578"/>
      <c r="V50" s="578"/>
      <c r="W50" s="578"/>
      <c r="X50" s="578"/>
      <c r="Y50" s="578"/>
      <c r="Z50" s="578"/>
    </row>
    <row r="51" spans="1:26" ht="13.5" customHeight="1" thickTop="1" x14ac:dyDescent="0.3">
      <c r="A51" s="578"/>
      <c r="B51" s="253"/>
      <c r="C51" s="341"/>
      <c r="D51" s="273"/>
      <c r="E51" s="257"/>
      <c r="F51" s="273"/>
      <c r="G51" s="342"/>
      <c r="H51" s="273"/>
      <c r="I51" s="343"/>
      <c r="J51" s="286"/>
      <c r="K51" s="578"/>
      <c r="L51" s="578"/>
      <c r="M51" s="578"/>
      <c r="N51" s="578"/>
      <c r="O51" s="578"/>
      <c r="P51" s="578"/>
      <c r="Q51" s="578"/>
      <c r="R51" s="578"/>
      <c r="S51" s="578"/>
      <c r="T51" s="578"/>
      <c r="U51" s="578"/>
      <c r="V51" s="578"/>
      <c r="W51" s="578"/>
      <c r="X51" s="578"/>
      <c r="Y51" s="578"/>
      <c r="Z51" s="578"/>
    </row>
    <row r="52" spans="1:26" ht="13" x14ac:dyDescent="0.3">
      <c r="A52" s="578"/>
      <c r="B52" s="253"/>
      <c r="C52" s="356"/>
      <c r="E52" s="284"/>
      <c r="F52" s="256"/>
      <c r="G52" s="344"/>
      <c r="H52" s="256"/>
      <c r="J52" s="253"/>
      <c r="K52" s="578"/>
      <c r="L52" s="578"/>
      <c r="M52" s="578"/>
      <c r="N52" s="578"/>
      <c r="O52" s="578"/>
      <c r="P52" s="578"/>
      <c r="Q52" s="578"/>
      <c r="R52" s="578"/>
      <c r="S52" s="578"/>
      <c r="T52" s="578"/>
      <c r="U52" s="578"/>
      <c r="V52" s="578"/>
      <c r="W52" s="578"/>
      <c r="X52" s="578"/>
      <c r="Y52" s="578"/>
      <c r="Z52" s="578"/>
    </row>
    <row r="53" spans="1:26" ht="13" x14ac:dyDescent="0.3">
      <c r="A53" s="578"/>
      <c r="B53" s="253"/>
      <c r="C53" s="356"/>
      <c r="D53" s="257"/>
      <c r="E53" s="257"/>
      <c r="F53" s="257"/>
      <c r="G53" s="345"/>
      <c r="H53" s="257"/>
      <c r="I53" s="257"/>
      <c r="J53" s="259"/>
      <c r="K53" s="578"/>
      <c r="L53" s="578"/>
      <c r="M53" s="578"/>
      <c r="N53" s="578"/>
      <c r="O53" s="578"/>
      <c r="P53" s="578"/>
      <c r="Q53" s="578"/>
      <c r="R53" s="578"/>
      <c r="S53" s="578"/>
      <c r="T53" s="578"/>
      <c r="U53" s="578"/>
      <c r="V53" s="578"/>
      <c r="W53" s="578"/>
      <c r="X53" s="578"/>
      <c r="Y53" s="578"/>
      <c r="Z53" s="578"/>
    </row>
    <row r="54" spans="1:26" ht="11.25" customHeight="1" x14ac:dyDescent="0.3">
      <c r="A54" s="578"/>
      <c r="B54" s="253"/>
      <c r="C54" s="346"/>
      <c r="D54" s="256"/>
      <c r="E54" s="257"/>
      <c r="F54" s="257"/>
      <c r="G54" s="256"/>
      <c r="H54" s="257"/>
      <c r="I54" s="257"/>
      <c r="J54" s="259"/>
      <c r="K54" s="578"/>
      <c r="L54" s="578"/>
      <c r="M54" s="578"/>
      <c r="N54" s="578"/>
      <c r="O54" s="578"/>
      <c r="P54" s="578"/>
      <c r="Q54" s="578"/>
      <c r="R54" s="578"/>
      <c r="S54" s="578"/>
      <c r="T54" s="578"/>
      <c r="U54" s="578"/>
      <c r="V54" s="578"/>
      <c r="W54" s="578"/>
      <c r="X54" s="578"/>
      <c r="Y54" s="578"/>
      <c r="Z54" s="578"/>
    </row>
    <row r="55" spans="1:26" ht="21" customHeight="1" x14ac:dyDescent="0.3">
      <c r="A55" s="578"/>
      <c r="B55" s="253"/>
      <c r="C55" s="346"/>
      <c r="D55" s="256"/>
      <c r="E55" s="256"/>
      <c r="F55" s="256"/>
      <c r="G55" s="256"/>
      <c r="H55" s="257"/>
      <c r="I55" s="257"/>
      <c r="J55" s="259"/>
      <c r="K55" s="578"/>
      <c r="L55" s="578"/>
      <c r="M55" s="578"/>
      <c r="N55" s="578"/>
      <c r="O55" s="578"/>
      <c r="P55" s="578"/>
      <c r="Q55" s="578"/>
      <c r="R55" s="578"/>
      <c r="S55" s="578"/>
      <c r="T55" s="578"/>
      <c r="U55" s="578"/>
      <c r="V55" s="578"/>
      <c r="W55" s="578"/>
      <c r="X55" s="578"/>
      <c r="Y55" s="578"/>
      <c r="Z55" s="578"/>
    </row>
    <row r="56" spans="1:26" ht="20.25" customHeight="1" x14ac:dyDescent="0.25">
      <c r="A56" s="578"/>
      <c r="B56" s="253"/>
      <c r="C56" s="256"/>
      <c r="D56" s="256"/>
      <c r="E56" s="347"/>
      <c r="F56" s="347"/>
      <c r="G56" s="347"/>
      <c r="H56" s="347"/>
      <c r="I56" s="257"/>
      <c r="J56" s="259"/>
      <c r="K56" s="578"/>
      <c r="L56" s="578"/>
      <c r="M56" s="578"/>
      <c r="N56" s="578"/>
      <c r="O56" s="578"/>
      <c r="P56" s="578"/>
      <c r="Q56" s="578"/>
      <c r="R56" s="578"/>
      <c r="S56" s="578"/>
      <c r="T56" s="578"/>
      <c r="U56" s="578"/>
      <c r="V56" s="578"/>
      <c r="W56" s="578"/>
      <c r="X56" s="578"/>
      <c r="Y56" s="578"/>
      <c r="Z56" s="578"/>
    </row>
    <row r="57" spans="1:26" ht="15.5" x14ac:dyDescent="0.35">
      <c r="A57" s="578"/>
      <c r="B57" s="253"/>
      <c r="C57" s="284"/>
      <c r="D57" s="315"/>
      <c r="E57" s="348"/>
      <c r="F57" s="257"/>
      <c r="G57" s="257"/>
      <c r="H57" s="257"/>
      <c r="I57" s="257"/>
      <c r="J57" s="259"/>
      <c r="K57" s="578"/>
      <c r="L57" s="578"/>
      <c r="M57" s="578"/>
      <c r="N57" s="578"/>
      <c r="O57" s="578"/>
      <c r="P57" s="578"/>
      <c r="Q57" s="578"/>
      <c r="R57" s="578"/>
      <c r="S57" s="578"/>
      <c r="T57" s="578"/>
      <c r="U57" s="578"/>
      <c r="V57" s="578"/>
      <c r="W57" s="578"/>
      <c r="X57" s="578"/>
      <c r="Y57" s="578"/>
      <c r="Z57" s="578"/>
    </row>
    <row r="58" spans="1:26" x14ac:dyDescent="0.25">
      <c r="A58" s="578"/>
      <c r="B58" s="578"/>
      <c r="C58" s="578"/>
      <c r="D58" s="578"/>
      <c r="E58" s="578"/>
      <c r="F58" s="578"/>
      <c r="G58" s="578"/>
      <c r="H58" s="578"/>
      <c r="I58" s="578"/>
      <c r="J58" s="578"/>
      <c r="K58" s="578"/>
      <c r="L58" s="578"/>
      <c r="M58" s="578"/>
      <c r="N58" s="578"/>
      <c r="O58" s="578"/>
      <c r="P58" s="578"/>
      <c r="Q58" s="578"/>
      <c r="R58" s="578"/>
      <c r="S58" s="578"/>
      <c r="T58" s="578"/>
      <c r="U58" s="578"/>
      <c r="V58" s="578"/>
      <c r="W58" s="578"/>
      <c r="X58" s="578"/>
      <c r="Y58" s="578"/>
      <c r="Z58" s="578"/>
    </row>
    <row r="59" spans="1:26" x14ac:dyDescent="0.25">
      <c r="A59" s="578"/>
      <c r="B59" s="578"/>
      <c r="C59" s="578"/>
      <c r="D59" s="578"/>
      <c r="E59" s="578"/>
      <c r="F59" s="578"/>
      <c r="G59" s="578"/>
      <c r="H59" s="578"/>
      <c r="I59" s="578"/>
      <c r="J59" s="578"/>
      <c r="K59" s="578"/>
      <c r="L59" s="578"/>
      <c r="M59" s="578"/>
      <c r="N59" s="578"/>
      <c r="O59" s="578"/>
      <c r="P59" s="578"/>
      <c r="Q59" s="578"/>
      <c r="R59" s="578"/>
      <c r="S59" s="578"/>
      <c r="T59" s="578"/>
      <c r="U59" s="578"/>
      <c r="V59" s="578"/>
      <c r="W59" s="578"/>
      <c r="X59" s="578"/>
      <c r="Y59" s="578"/>
      <c r="Z59" s="578"/>
    </row>
    <row r="60" spans="1:26" x14ac:dyDescent="0.25">
      <c r="A60" s="578"/>
      <c r="B60" s="578"/>
      <c r="C60" s="578"/>
      <c r="D60" s="578"/>
      <c r="E60" s="578"/>
      <c r="F60" s="578"/>
      <c r="G60" s="578"/>
      <c r="H60" s="578"/>
      <c r="I60" s="578"/>
      <c r="J60" s="578"/>
      <c r="K60" s="578"/>
      <c r="L60" s="578"/>
      <c r="M60" s="578"/>
      <c r="N60" s="578"/>
      <c r="O60" s="578"/>
      <c r="P60" s="578"/>
      <c r="Q60" s="578"/>
      <c r="R60" s="578"/>
      <c r="S60" s="578"/>
      <c r="T60" s="578"/>
      <c r="U60" s="578"/>
      <c r="V60" s="578"/>
      <c r="W60" s="578"/>
      <c r="X60" s="578"/>
      <c r="Y60" s="578"/>
      <c r="Z60" s="578"/>
    </row>
    <row r="61" spans="1:26" x14ac:dyDescent="0.25">
      <c r="A61" s="578"/>
      <c r="B61" s="578"/>
      <c r="C61" s="578"/>
      <c r="D61" s="578"/>
      <c r="E61" s="578"/>
      <c r="F61" s="578"/>
      <c r="G61" s="578"/>
      <c r="H61" s="578"/>
      <c r="I61" s="578"/>
      <c r="J61" s="578"/>
      <c r="K61" s="578"/>
      <c r="L61" s="578"/>
      <c r="M61" s="578"/>
      <c r="N61" s="578"/>
      <c r="O61" s="578"/>
      <c r="P61" s="578"/>
      <c r="Q61" s="578"/>
      <c r="R61" s="578"/>
      <c r="S61" s="578"/>
      <c r="T61" s="578"/>
      <c r="U61" s="578"/>
      <c r="V61" s="578"/>
      <c r="W61" s="578"/>
      <c r="X61" s="578"/>
      <c r="Y61" s="578"/>
      <c r="Z61" s="578"/>
    </row>
    <row r="62" spans="1:26" ht="65.25" customHeight="1" x14ac:dyDescent="0.25">
      <c r="A62" s="578"/>
      <c r="B62" s="578"/>
      <c r="C62" s="578"/>
      <c r="D62" s="578"/>
      <c r="E62" s="578"/>
      <c r="F62" s="578"/>
      <c r="G62" s="578"/>
      <c r="H62" s="578"/>
      <c r="I62" s="578"/>
      <c r="J62" s="578"/>
      <c r="K62" s="578"/>
      <c r="L62" s="578"/>
      <c r="M62" s="578"/>
      <c r="N62" s="578"/>
      <c r="O62" s="578"/>
      <c r="P62" s="578"/>
      <c r="Q62" s="578"/>
      <c r="R62" s="578"/>
      <c r="S62" s="578"/>
      <c r="T62" s="578"/>
      <c r="U62" s="578"/>
      <c r="V62" s="578"/>
      <c r="W62" s="578"/>
      <c r="X62" s="578"/>
      <c r="Y62" s="578"/>
      <c r="Z62" s="578"/>
    </row>
    <row r="63" spans="1:26" x14ac:dyDescent="0.25">
      <c r="A63" s="578"/>
      <c r="B63" s="578"/>
      <c r="C63" s="578"/>
      <c r="D63" s="578"/>
      <c r="E63" s="578"/>
      <c r="F63" s="578"/>
      <c r="G63" s="578"/>
      <c r="H63" s="578"/>
      <c r="I63" s="578"/>
      <c r="J63" s="578"/>
      <c r="K63" s="578"/>
      <c r="L63" s="578"/>
      <c r="M63" s="578"/>
      <c r="N63" s="578"/>
      <c r="O63" s="578"/>
      <c r="P63" s="578"/>
      <c r="Q63" s="578"/>
      <c r="R63" s="578"/>
      <c r="S63" s="578"/>
      <c r="T63" s="578"/>
      <c r="U63" s="578"/>
      <c r="V63" s="578"/>
      <c r="W63" s="578"/>
      <c r="X63" s="578"/>
      <c r="Y63" s="578"/>
      <c r="Z63" s="578"/>
    </row>
    <row r="64" spans="1:26" hidden="1" x14ac:dyDescent="0.25">
      <c r="A64" s="578"/>
      <c r="B64" s="578"/>
      <c r="C64" s="578"/>
      <c r="D64" s="578"/>
      <c r="E64" s="578"/>
      <c r="F64" s="578"/>
      <c r="G64" s="578"/>
      <c r="H64" s="578"/>
      <c r="I64" s="578"/>
      <c r="J64" s="578"/>
      <c r="K64" s="578"/>
      <c r="L64" s="578"/>
      <c r="M64" s="578"/>
      <c r="N64" s="578"/>
      <c r="O64" s="578"/>
      <c r="P64" s="578"/>
      <c r="Q64" s="578"/>
      <c r="R64" s="578"/>
      <c r="S64" s="578"/>
      <c r="T64" s="578"/>
      <c r="U64" s="578"/>
      <c r="V64" s="578"/>
      <c r="W64" s="578"/>
      <c r="X64" s="578"/>
      <c r="Y64" s="578"/>
      <c r="Z64" s="578"/>
    </row>
    <row r="65" spans="1:26" hidden="1" x14ac:dyDescent="0.25">
      <c r="A65" s="578"/>
      <c r="B65" s="578"/>
      <c r="C65" s="578"/>
      <c r="D65" s="578"/>
      <c r="E65" s="578"/>
      <c r="F65" s="578"/>
      <c r="G65" s="578"/>
      <c r="H65" s="578"/>
      <c r="I65" s="578"/>
      <c r="J65" s="578"/>
      <c r="K65" s="578"/>
      <c r="L65" s="578"/>
      <c r="M65" s="578"/>
      <c r="N65" s="578"/>
      <c r="O65" s="578"/>
      <c r="P65" s="578"/>
      <c r="Q65" s="578"/>
      <c r="R65" s="578"/>
      <c r="S65" s="578"/>
      <c r="T65" s="578"/>
      <c r="U65" s="578"/>
      <c r="V65" s="578"/>
      <c r="W65" s="578"/>
      <c r="X65" s="578"/>
      <c r="Y65" s="578"/>
      <c r="Z65" s="578"/>
    </row>
    <row r="66" spans="1:26" hidden="1" x14ac:dyDescent="0.25">
      <c r="A66" s="578"/>
      <c r="B66" s="578"/>
      <c r="C66" s="578"/>
      <c r="D66" s="578"/>
      <c r="E66" s="578"/>
      <c r="F66" s="578"/>
      <c r="G66" s="578"/>
      <c r="H66" s="578"/>
      <c r="I66" s="578"/>
      <c r="J66" s="578"/>
      <c r="K66" s="578"/>
      <c r="L66" s="578"/>
      <c r="M66" s="578"/>
      <c r="N66" s="578"/>
      <c r="O66" s="578"/>
      <c r="P66" s="578"/>
      <c r="Q66" s="578"/>
      <c r="R66" s="578"/>
      <c r="S66" s="578"/>
      <c r="T66" s="578"/>
      <c r="U66" s="578"/>
      <c r="V66" s="578"/>
      <c r="W66" s="578"/>
      <c r="X66" s="578"/>
      <c r="Y66" s="578"/>
      <c r="Z66" s="578"/>
    </row>
    <row r="67" spans="1:26" hidden="1" x14ac:dyDescent="0.25">
      <c r="A67" s="578"/>
      <c r="B67" s="578"/>
      <c r="C67" s="578"/>
      <c r="D67" s="578"/>
      <c r="E67" s="578"/>
      <c r="F67" s="578"/>
      <c r="G67" s="578"/>
      <c r="H67" s="578"/>
      <c r="I67" s="578"/>
      <c r="J67" s="578"/>
      <c r="K67" s="578"/>
      <c r="L67" s="578"/>
      <c r="M67" s="578"/>
      <c r="N67" s="578"/>
      <c r="O67" s="578"/>
      <c r="P67" s="578"/>
      <c r="Q67" s="578"/>
      <c r="R67" s="578"/>
      <c r="S67" s="578"/>
      <c r="T67" s="578"/>
      <c r="U67" s="578"/>
      <c r="V67" s="578"/>
      <c r="W67" s="578"/>
      <c r="X67" s="578"/>
      <c r="Y67" s="578"/>
      <c r="Z67" s="578"/>
    </row>
    <row r="68" spans="1:26" hidden="1" x14ac:dyDescent="0.25">
      <c r="A68" s="578"/>
      <c r="B68" s="578"/>
      <c r="C68" s="578"/>
      <c r="D68" s="578"/>
      <c r="E68" s="578"/>
      <c r="F68" s="578"/>
      <c r="G68" s="578"/>
      <c r="H68" s="578"/>
      <c r="I68" s="578"/>
      <c r="J68" s="578"/>
      <c r="K68" s="578"/>
      <c r="L68" s="578"/>
      <c r="M68" s="578"/>
      <c r="N68" s="578"/>
      <c r="O68" s="578"/>
      <c r="P68" s="578"/>
      <c r="Q68" s="578"/>
      <c r="R68" s="578"/>
      <c r="S68" s="578"/>
      <c r="T68" s="578"/>
      <c r="U68" s="578"/>
      <c r="V68" s="578"/>
      <c r="W68" s="578"/>
      <c r="X68" s="578"/>
      <c r="Y68" s="578"/>
      <c r="Z68" s="578"/>
    </row>
    <row r="69" spans="1:26" hidden="1" x14ac:dyDescent="0.25">
      <c r="A69" s="578"/>
      <c r="B69" s="578"/>
      <c r="C69" s="578"/>
      <c r="D69" s="578"/>
      <c r="E69" s="578"/>
      <c r="F69" s="578"/>
      <c r="G69" s="578"/>
      <c r="H69" s="578"/>
      <c r="I69" s="578"/>
      <c r="J69" s="578"/>
      <c r="K69" s="578"/>
      <c r="L69" s="578"/>
      <c r="M69" s="578"/>
      <c r="N69" s="578"/>
      <c r="O69" s="578"/>
      <c r="P69" s="578"/>
      <c r="Q69" s="578"/>
      <c r="R69" s="578"/>
      <c r="S69" s="578"/>
      <c r="T69" s="578"/>
      <c r="U69" s="578"/>
      <c r="V69" s="578"/>
      <c r="W69" s="578"/>
      <c r="X69" s="578"/>
      <c r="Y69" s="578"/>
      <c r="Z69" s="578"/>
    </row>
    <row r="70" spans="1:26" hidden="1" x14ac:dyDescent="0.25">
      <c r="A70" s="578"/>
      <c r="B70" s="578"/>
      <c r="C70" s="578"/>
      <c r="D70" s="578"/>
      <c r="E70" s="578"/>
      <c r="F70" s="578"/>
      <c r="G70" s="578"/>
      <c r="H70" s="578"/>
      <c r="I70" s="578"/>
      <c r="J70" s="578"/>
      <c r="K70" s="578"/>
      <c r="L70" s="578"/>
      <c r="M70" s="578"/>
      <c r="N70" s="578"/>
      <c r="O70" s="578"/>
      <c r="P70" s="578"/>
      <c r="Q70" s="578"/>
      <c r="R70" s="578"/>
      <c r="S70" s="578"/>
      <c r="T70" s="578"/>
      <c r="U70" s="578"/>
      <c r="V70" s="578"/>
      <c r="W70" s="578"/>
      <c r="X70" s="578"/>
      <c r="Y70" s="578"/>
      <c r="Z70" s="578"/>
    </row>
    <row r="71" spans="1:26" hidden="1" x14ac:dyDescent="0.25">
      <c r="A71" s="578"/>
      <c r="B71" s="578"/>
      <c r="C71" s="578"/>
      <c r="D71" s="578"/>
      <c r="E71" s="578"/>
      <c r="F71" s="578"/>
      <c r="G71" s="578"/>
      <c r="H71" s="578"/>
      <c r="I71" s="578"/>
      <c r="J71" s="578"/>
      <c r="K71" s="578"/>
      <c r="L71" s="578"/>
      <c r="M71" s="578"/>
      <c r="N71" s="578"/>
      <c r="O71" s="578"/>
      <c r="P71" s="578"/>
      <c r="Q71" s="578"/>
      <c r="R71" s="578"/>
      <c r="S71" s="578"/>
      <c r="T71" s="578"/>
      <c r="U71" s="578"/>
      <c r="V71" s="578"/>
      <c r="W71" s="578"/>
      <c r="X71" s="578"/>
      <c r="Y71" s="578"/>
      <c r="Z71" s="578"/>
    </row>
    <row r="72" spans="1:26" hidden="1" x14ac:dyDescent="0.25">
      <c r="A72" s="578"/>
      <c r="B72" s="578"/>
      <c r="C72" s="578"/>
      <c r="D72" s="578"/>
      <c r="E72" s="578"/>
      <c r="F72" s="578"/>
      <c r="G72" s="578"/>
      <c r="H72" s="578"/>
      <c r="I72" s="578"/>
      <c r="J72" s="578"/>
      <c r="K72" s="578"/>
      <c r="L72" s="578"/>
      <c r="M72" s="578"/>
      <c r="N72" s="578"/>
      <c r="O72" s="578"/>
      <c r="P72" s="578"/>
      <c r="Q72" s="578"/>
      <c r="R72" s="578"/>
      <c r="S72" s="578"/>
      <c r="T72" s="578"/>
      <c r="U72" s="578"/>
      <c r="V72" s="578"/>
      <c r="W72" s="578"/>
      <c r="X72" s="578"/>
      <c r="Y72" s="578"/>
      <c r="Z72" s="578"/>
    </row>
    <row r="73" spans="1:26" hidden="1" x14ac:dyDescent="0.25">
      <c r="A73" s="578"/>
      <c r="B73" s="578"/>
      <c r="C73" s="578"/>
      <c r="D73" s="578"/>
      <c r="E73" s="578"/>
      <c r="F73" s="578"/>
      <c r="G73" s="578"/>
      <c r="H73" s="578"/>
      <c r="I73" s="578"/>
      <c r="J73" s="578"/>
      <c r="K73" s="578"/>
      <c r="L73" s="578"/>
      <c r="M73" s="578"/>
      <c r="N73" s="578"/>
      <c r="O73" s="578"/>
      <c r="P73" s="578"/>
      <c r="Q73" s="578"/>
      <c r="R73" s="578"/>
      <c r="S73" s="578"/>
      <c r="T73" s="578"/>
      <c r="U73" s="578"/>
      <c r="V73" s="578"/>
      <c r="W73" s="578"/>
      <c r="X73" s="578"/>
      <c r="Y73" s="578"/>
      <c r="Z73" s="578"/>
    </row>
    <row r="74" spans="1:26" x14ac:dyDescent="0.25">
      <c r="A74" s="578"/>
      <c r="B74" s="578"/>
      <c r="C74" s="578"/>
      <c r="D74" s="578"/>
      <c r="E74" s="578"/>
      <c r="F74" s="578"/>
      <c r="G74" s="578"/>
      <c r="H74" s="578"/>
      <c r="I74" s="578"/>
      <c r="J74" s="578"/>
      <c r="K74" s="578"/>
      <c r="L74" s="578"/>
      <c r="M74" s="578"/>
      <c r="N74" s="578"/>
      <c r="O74" s="578"/>
      <c r="P74" s="578"/>
      <c r="Q74" s="578"/>
      <c r="R74" s="578"/>
      <c r="S74" s="578"/>
      <c r="T74" s="578"/>
      <c r="U74" s="578"/>
      <c r="V74" s="578"/>
      <c r="W74" s="578"/>
      <c r="X74" s="578"/>
      <c r="Y74" s="578"/>
      <c r="Z74" s="578"/>
    </row>
    <row r="75" spans="1:26" x14ac:dyDescent="0.25">
      <c r="A75" s="578"/>
      <c r="B75" s="578"/>
      <c r="C75" s="578"/>
      <c r="D75" s="578"/>
      <c r="E75" s="578"/>
      <c r="F75" s="578"/>
      <c r="G75" s="578"/>
      <c r="H75" s="578"/>
      <c r="I75" s="578"/>
      <c r="J75" s="578"/>
      <c r="K75" s="578"/>
      <c r="L75" s="578"/>
      <c r="M75" s="578"/>
      <c r="N75" s="578"/>
      <c r="O75" s="578"/>
      <c r="P75" s="578"/>
      <c r="Q75" s="578"/>
      <c r="R75" s="578"/>
      <c r="S75" s="578"/>
      <c r="T75" s="578"/>
      <c r="U75" s="578"/>
      <c r="V75" s="578"/>
      <c r="W75" s="578"/>
      <c r="X75" s="578"/>
      <c r="Y75" s="578"/>
      <c r="Z75" s="578"/>
    </row>
    <row r="76" spans="1:26" x14ac:dyDescent="0.25">
      <c r="A76" s="578"/>
      <c r="B76" s="578"/>
      <c r="C76" s="578"/>
      <c r="D76" s="578"/>
      <c r="E76" s="578"/>
      <c r="F76" s="578"/>
      <c r="G76" s="578"/>
      <c r="H76" s="578"/>
      <c r="I76" s="578"/>
      <c r="J76" s="578"/>
      <c r="K76" s="578"/>
      <c r="L76" s="578"/>
      <c r="M76" s="578"/>
      <c r="N76" s="578"/>
      <c r="O76" s="578"/>
      <c r="P76" s="578"/>
      <c r="Q76" s="578"/>
      <c r="R76" s="578"/>
      <c r="S76" s="578"/>
      <c r="T76" s="578"/>
      <c r="U76" s="578"/>
      <c r="V76" s="578"/>
      <c r="W76" s="578"/>
      <c r="X76" s="578"/>
      <c r="Y76" s="578"/>
      <c r="Z76" s="578"/>
    </row>
    <row r="77" spans="1:26" x14ac:dyDescent="0.25">
      <c r="A77" s="578"/>
      <c r="B77" s="578"/>
      <c r="C77" s="578"/>
      <c r="D77" s="578"/>
      <c r="E77" s="578"/>
      <c r="F77" s="578"/>
      <c r="G77" s="578"/>
      <c r="H77" s="578"/>
      <c r="I77" s="578"/>
      <c r="J77" s="578"/>
      <c r="K77" s="578"/>
      <c r="L77" s="578"/>
      <c r="M77" s="578"/>
      <c r="N77" s="578"/>
      <c r="O77" s="578"/>
      <c r="P77" s="578"/>
      <c r="Q77" s="578"/>
      <c r="R77" s="578"/>
      <c r="S77" s="578"/>
      <c r="T77" s="578"/>
      <c r="U77" s="578"/>
      <c r="V77" s="578"/>
      <c r="W77" s="578"/>
      <c r="X77" s="578"/>
      <c r="Y77" s="578"/>
      <c r="Z77" s="578"/>
    </row>
    <row r="78" spans="1:26" x14ac:dyDescent="0.25">
      <c r="A78" s="578"/>
      <c r="B78" s="578"/>
      <c r="C78" s="578"/>
      <c r="D78" s="578"/>
      <c r="E78" s="578"/>
      <c r="F78" s="578"/>
      <c r="G78" s="578"/>
      <c r="H78" s="578"/>
      <c r="I78" s="578"/>
      <c r="J78" s="578"/>
      <c r="K78" s="578"/>
      <c r="L78" s="578"/>
      <c r="M78" s="578"/>
      <c r="N78" s="578"/>
      <c r="O78" s="578"/>
      <c r="P78" s="578"/>
      <c r="Q78" s="578"/>
      <c r="R78" s="578"/>
      <c r="S78" s="578"/>
      <c r="T78" s="578"/>
      <c r="U78" s="578"/>
      <c r="V78" s="578"/>
      <c r="W78" s="578"/>
      <c r="X78" s="578"/>
      <c r="Y78" s="578"/>
      <c r="Z78" s="578"/>
    </row>
    <row r="79" spans="1:26" x14ac:dyDescent="0.25">
      <c r="A79" s="578"/>
      <c r="B79" s="578"/>
      <c r="C79" s="578"/>
      <c r="D79" s="578"/>
      <c r="E79" s="578"/>
      <c r="F79" s="578"/>
      <c r="G79" s="578"/>
      <c r="H79" s="578"/>
      <c r="I79" s="578"/>
      <c r="J79" s="578"/>
      <c r="K79" s="578"/>
      <c r="L79" s="578"/>
      <c r="M79" s="578"/>
      <c r="N79" s="578"/>
      <c r="O79" s="578"/>
      <c r="P79" s="578"/>
      <c r="Q79" s="578"/>
      <c r="R79" s="578"/>
      <c r="S79" s="578"/>
      <c r="T79" s="578"/>
      <c r="U79" s="578"/>
      <c r="V79" s="578"/>
      <c r="W79" s="578"/>
      <c r="X79" s="578"/>
      <c r="Y79" s="578"/>
      <c r="Z79" s="578"/>
    </row>
    <row r="80" spans="1:26" x14ac:dyDescent="0.25">
      <c r="A80" s="578"/>
      <c r="B80" s="578"/>
      <c r="C80" s="578"/>
      <c r="D80" s="578"/>
      <c r="E80" s="578"/>
      <c r="F80" s="578"/>
      <c r="G80" s="578"/>
      <c r="H80" s="578"/>
      <c r="I80" s="578"/>
      <c r="J80" s="578"/>
      <c r="K80" s="578"/>
      <c r="L80" s="578"/>
      <c r="M80" s="578"/>
      <c r="N80" s="578"/>
      <c r="O80" s="578"/>
      <c r="P80" s="578"/>
      <c r="Q80" s="578"/>
      <c r="R80" s="578"/>
      <c r="S80" s="578"/>
      <c r="T80" s="578"/>
      <c r="U80" s="578"/>
      <c r="V80" s="578"/>
      <c r="W80" s="578"/>
      <c r="X80" s="578"/>
      <c r="Y80" s="578"/>
      <c r="Z80" s="578"/>
    </row>
    <row r="81" spans="1:26" x14ac:dyDescent="0.25">
      <c r="A81" s="578"/>
      <c r="B81" s="578"/>
      <c r="C81" s="578"/>
      <c r="D81" s="578"/>
      <c r="E81" s="578"/>
      <c r="F81" s="578"/>
      <c r="G81" s="578"/>
      <c r="H81" s="578"/>
      <c r="I81" s="578"/>
      <c r="J81" s="578"/>
      <c r="K81" s="578"/>
      <c r="L81" s="578"/>
      <c r="M81" s="578"/>
      <c r="N81" s="578"/>
      <c r="O81" s="578"/>
      <c r="P81" s="578"/>
      <c r="Q81" s="578"/>
      <c r="R81" s="578"/>
      <c r="S81" s="578"/>
      <c r="T81" s="578"/>
      <c r="U81" s="578"/>
      <c r="V81" s="578"/>
      <c r="W81" s="578"/>
      <c r="X81" s="578"/>
      <c r="Y81" s="578"/>
      <c r="Z81" s="578"/>
    </row>
    <row r="82" spans="1:26" x14ac:dyDescent="0.25">
      <c r="A82" s="578"/>
      <c r="B82" s="578"/>
      <c r="C82" s="578"/>
      <c r="D82" s="578"/>
      <c r="E82" s="578"/>
      <c r="F82" s="578"/>
      <c r="G82" s="578"/>
      <c r="H82" s="578"/>
      <c r="I82" s="578"/>
      <c r="J82" s="578"/>
      <c r="K82" s="578"/>
      <c r="L82" s="578"/>
      <c r="M82" s="578"/>
      <c r="N82" s="578"/>
      <c r="O82" s="578"/>
      <c r="P82" s="578"/>
      <c r="Q82" s="578"/>
      <c r="R82" s="578"/>
      <c r="S82" s="578"/>
      <c r="T82" s="578"/>
      <c r="U82" s="578"/>
      <c r="V82" s="578"/>
      <c r="W82" s="578"/>
      <c r="X82" s="578"/>
      <c r="Y82" s="578"/>
      <c r="Z82" s="578"/>
    </row>
    <row r="83" spans="1:26" x14ac:dyDescent="0.25">
      <c r="A83" s="578"/>
      <c r="B83" s="578"/>
      <c r="C83" s="578"/>
      <c r="D83" s="578"/>
      <c r="E83" s="578"/>
      <c r="F83" s="578"/>
      <c r="G83" s="578"/>
      <c r="H83" s="578"/>
      <c r="I83" s="578"/>
      <c r="J83" s="578"/>
      <c r="K83" s="578"/>
      <c r="L83" s="578"/>
      <c r="M83" s="578"/>
      <c r="N83" s="578"/>
      <c r="O83" s="578"/>
      <c r="P83" s="578"/>
      <c r="Q83" s="578"/>
      <c r="R83" s="578"/>
      <c r="S83" s="578"/>
      <c r="T83" s="578"/>
      <c r="U83" s="578"/>
      <c r="V83" s="578"/>
      <c r="W83" s="578"/>
      <c r="X83" s="578"/>
      <c r="Y83" s="578"/>
      <c r="Z83" s="578"/>
    </row>
    <row r="84" spans="1:26" x14ac:dyDescent="0.25">
      <c r="A84" s="578"/>
      <c r="B84" s="578"/>
      <c r="C84" s="578"/>
      <c r="D84" s="578"/>
      <c r="E84" s="578"/>
      <c r="F84" s="578"/>
      <c r="G84" s="578"/>
      <c r="H84" s="578"/>
      <c r="I84" s="578"/>
      <c r="J84" s="578"/>
      <c r="K84" s="578"/>
      <c r="L84" s="578"/>
      <c r="M84" s="578"/>
      <c r="N84" s="578"/>
      <c r="O84" s="578"/>
      <c r="P84" s="578"/>
      <c r="Q84" s="578"/>
      <c r="R84" s="578"/>
      <c r="S84" s="578"/>
      <c r="T84" s="578"/>
      <c r="U84" s="578"/>
      <c r="V84" s="578"/>
      <c r="W84" s="578"/>
      <c r="X84" s="578"/>
      <c r="Y84" s="578"/>
      <c r="Z84" s="578"/>
    </row>
    <row r="85" spans="1:26" x14ac:dyDescent="0.25">
      <c r="A85" s="578"/>
      <c r="B85" s="578"/>
      <c r="C85" s="578"/>
      <c r="D85" s="578"/>
      <c r="E85" s="578"/>
      <c r="F85" s="578"/>
      <c r="G85" s="578"/>
      <c r="H85" s="578"/>
      <c r="I85" s="578"/>
      <c r="J85" s="578"/>
      <c r="K85" s="578"/>
      <c r="L85" s="578"/>
      <c r="M85" s="578"/>
      <c r="N85" s="578"/>
      <c r="O85" s="578"/>
      <c r="P85" s="578"/>
      <c r="Q85" s="578"/>
      <c r="R85" s="578"/>
      <c r="S85" s="578"/>
      <c r="T85" s="578"/>
      <c r="U85" s="578"/>
      <c r="V85" s="578"/>
      <c r="W85" s="578"/>
      <c r="X85" s="578"/>
      <c r="Y85" s="578"/>
      <c r="Z85" s="578"/>
    </row>
    <row r="86" spans="1:26" x14ac:dyDescent="0.25">
      <c r="A86" s="578"/>
      <c r="B86" s="578"/>
      <c r="C86" s="578"/>
      <c r="D86" s="578"/>
      <c r="E86" s="578"/>
      <c r="F86" s="578"/>
      <c r="G86" s="578"/>
      <c r="H86" s="578"/>
      <c r="I86" s="578"/>
      <c r="J86" s="578"/>
      <c r="K86" s="578"/>
      <c r="L86" s="578"/>
      <c r="M86" s="578"/>
      <c r="N86" s="578"/>
      <c r="O86" s="578"/>
      <c r="P86" s="578"/>
      <c r="Q86" s="578"/>
      <c r="R86" s="578"/>
      <c r="S86" s="578"/>
      <c r="T86" s="578"/>
      <c r="U86" s="578"/>
      <c r="V86" s="578"/>
      <c r="W86" s="578"/>
      <c r="X86" s="578"/>
      <c r="Y86" s="578"/>
      <c r="Z86" s="578"/>
    </row>
    <row r="87" spans="1:26" x14ac:dyDescent="0.25">
      <c r="A87" s="578"/>
      <c r="B87" s="578"/>
      <c r="C87" s="578"/>
      <c r="D87" s="578"/>
      <c r="E87" s="578"/>
      <c r="F87" s="578"/>
      <c r="G87" s="578"/>
      <c r="H87" s="578"/>
      <c r="I87" s="578"/>
      <c r="J87" s="578"/>
      <c r="K87" s="578"/>
      <c r="L87" s="578"/>
      <c r="M87" s="578"/>
      <c r="N87" s="578"/>
      <c r="O87" s="578"/>
      <c r="P87" s="578"/>
      <c r="Q87" s="578"/>
      <c r="R87" s="578"/>
      <c r="S87" s="578"/>
      <c r="T87" s="578"/>
      <c r="U87" s="578"/>
      <c r="V87" s="578"/>
      <c r="W87" s="578"/>
      <c r="X87" s="578"/>
      <c r="Y87" s="578"/>
      <c r="Z87" s="578"/>
    </row>
    <row r="88" spans="1:26" x14ac:dyDescent="0.25">
      <c r="A88" s="578"/>
      <c r="B88" s="578"/>
      <c r="C88" s="578"/>
      <c r="D88" s="578"/>
      <c r="E88" s="578"/>
      <c r="F88" s="578"/>
      <c r="G88" s="578"/>
      <c r="H88" s="578"/>
      <c r="I88" s="578"/>
      <c r="J88" s="578"/>
      <c r="K88" s="578"/>
      <c r="L88" s="578"/>
      <c r="M88" s="578"/>
      <c r="N88" s="578"/>
      <c r="O88" s="578"/>
      <c r="P88" s="578"/>
      <c r="Q88" s="578"/>
      <c r="R88" s="578"/>
      <c r="S88" s="578"/>
      <c r="T88" s="578"/>
      <c r="U88" s="578"/>
      <c r="V88" s="578"/>
      <c r="W88" s="578"/>
      <c r="X88" s="578"/>
      <c r="Y88" s="578"/>
      <c r="Z88" s="578"/>
    </row>
    <row r="89" spans="1:26" x14ac:dyDescent="0.25">
      <c r="A89" s="578"/>
      <c r="B89" s="578"/>
      <c r="C89" s="578"/>
      <c r="D89" s="578"/>
      <c r="E89" s="578"/>
      <c r="F89" s="578"/>
      <c r="G89" s="578"/>
      <c r="H89" s="578"/>
      <c r="I89" s="578"/>
      <c r="J89" s="578"/>
      <c r="K89" s="578"/>
      <c r="L89" s="578"/>
      <c r="M89" s="578"/>
      <c r="N89" s="578"/>
      <c r="O89" s="578"/>
      <c r="P89" s="578"/>
      <c r="Q89" s="578"/>
      <c r="R89" s="578"/>
      <c r="S89" s="578"/>
      <c r="T89" s="578"/>
      <c r="U89" s="578"/>
      <c r="V89" s="578"/>
      <c r="W89" s="578"/>
      <c r="X89" s="578"/>
      <c r="Y89" s="578"/>
      <c r="Z89" s="578"/>
    </row>
    <row r="90" spans="1:26" x14ac:dyDescent="0.25">
      <c r="A90" s="578"/>
      <c r="B90" s="578"/>
      <c r="C90" s="578"/>
      <c r="D90" s="578"/>
      <c r="E90" s="578"/>
      <c r="F90" s="578"/>
      <c r="G90" s="578"/>
      <c r="H90" s="578"/>
      <c r="I90" s="578"/>
      <c r="J90" s="578"/>
      <c r="K90" s="578"/>
      <c r="L90" s="578"/>
      <c r="M90" s="578"/>
      <c r="N90" s="578"/>
      <c r="O90" s="578"/>
      <c r="P90" s="578"/>
      <c r="Q90" s="578"/>
      <c r="R90" s="578"/>
      <c r="S90" s="578"/>
      <c r="T90" s="578"/>
      <c r="U90" s="578"/>
      <c r="V90" s="578"/>
      <c r="W90" s="578"/>
      <c r="X90" s="578"/>
      <c r="Y90" s="578"/>
      <c r="Z90" s="578"/>
    </row>
    <row r="91" spans="1:26" x14ac:dyDescent="0.25">
      <c r="A91" s="578"/>
      <c r="B91" s="578"/>
      <c r="C91" s="578"/>
      <c r="D91" s="578"/>
      <c r="E91" s="578"/>
      <c r="F91" s="578"/>
      <c r="G91" s="578"/>
      <c r="H91" s="578"/>
      <c r="I91" s="578"/>
      <c r="J91" s="578"/>
      <c r="K91" s="578"/>
      <c r="L91" s="578"/>
      <c r="M91" s="578"/>
      <c r="N91" s="578"/>
      <c r="O91" s="578"/>
      <c r="P91" s="578"/>
      <c r="Q91" s="578"/>
      <c r="R91" s="578"/>
      <c r="S91" s="578"/>
      <c r="T91" s="578"/>
      <c r="U91" s="578"/>
      <c r="V91" s="578"/>
      <c r="W91" s="578"/>
      <c r="X91" s="578"/>
      <c r="Y91" s="578"/>
      <c r="Z91" s="578"/>
    </row>
    <row r="92" spans="1:26" x14ac:dyDescent="0.25">
      <c r="A92" s="578"/>
      <c r="B92" s="578"/>
      <c r="C92" s="578"/>
      <c r="D92" s="578"/>
      <c r="E92" s="578"/>
      <c r="F92" s="578"/>
      <c r="G92" s="578"/>
      <c r="H92" s="578"/>
      <c r="I92" s="578"/>
      <c r="J92" s="578"/>
      <c r="K92" s="578"/>
      <c r="L92" s="578"/>
      <c r="M92" s="578"/>
      <c r="N92" s="578"/>
      <c r="O92" s="578"/>
      <c r="P92" s="578"/>
      <c r="Q92" s="578"/>
      <c r="R92" s="578"/>
      <c r="S92" s="578"/>
      <c r="T92" s="578"/>
      <c r="U92" s="578"/>
      <c r="V92" s="578"/>
      <c r="W92" s="578"/>
      <c r="X92" s="578"/>
      <c r="Y92" s="578"/>
      <c r="Z92" s="578"/>
    </row>
    <row r="93" spans="1:26" x14ac:dyDescent="0.25">
      <c r="A93" s="578"/>
      <c r="B93" s="578"/>
      <c r="C93" s="578"/>
      <c r="D93" s="578"/>
      <c r="E93" s="578"/>
      <c r="F93" s="578"/>
      <c r="G93" s="578"/>
      <c r="H93" s="578"/>
      <c r="I93" s="578"/>
      <c r="J93" s="578"/>
      <c r="K93" s="578"/>
      <c r="L93" s="578"/>
      <c r="M93" s="578"/>
      <c r="N93" s="578"/>
      <c r="O93" s="578"/>
      <c r="P93" s="578"/>
      <c r="Q93" s="578"/>
      <c r="R93" s="578"/>
      <c r="S93" s="578"/>
      <c r="T93" s="578"/>
      <c r="U93" s="578"/>
      <c r="V93" s="578"/>
      <c r="W93" s="578"/>
      <c r="X93" s="578"/>
      <c r="Y93" s="578"/>
      <c r="Z93" s="578"/>
    </row>
    <row r="94" spans="1:26" x14ac:dyDescent="0.25">
      <c r="A94" s="578"/>
      <c r="B94" s="578"/>
      <c r="C94" s="578"/>
      <c r="D94" s="578"/>
      <c r="E94" s="578"/>
      <c r="F94" s="578"/>
      <c r="G94" s="578"/>
      <c r="H94" s="578"/>
      <c r="I94" s="578"/>
      <c r="J94" s="578"/>
      <c r="K94" s="578"/>
      <c r="L94" s="578"/>
      <c r="M94" s="578"/>
      <c r="N94" s="578"/>
      <c r="O94" s="578"/>
      <c r="P94" s="578"/>
      <c r="Q94" s="578"/>
      <c r="R94" s="578"/>
      <c r="S94" s="578"/>
      <c r="T94" s="578"/>
      <c r="U94" s="578"/>
      <c r="V94" s="578"/>
      <c r="W94" s="578"/>
      <c r="X94" s="578"/>
      <c r="Y94" s="578"/>
      <c r="Z94" s="578"/>
    </row>
    <row r="95" spans="1:26" x14ac:dyDescent="0.25">
      <c r="A95" s="578"/>
      <c r="B95" s="578"/>
      <c r="C95" s="578"/>
      <c r="D95" s="578"/>
      <c r="E95" s="578"/>
      <c r="F95" s="578"/>
      <c r="G95" s="578"/>
      <c r="H95" s="578"/>
      <c r="I95" s="578"/>
      <c r="J95" s="578"/>
      <c r="K95" s="578"/>
      <c r="L95" s="578"/>
      <c r="M95" s="578"/>
      <c r="N95" s="578"/>
      <c r="O95" s="578"/>
      <c r="P95" s="578"/>
      <c r="Q95" s="578"/>
      <c r="R95" s="578"/>
      <c r="S95" s="578"/>
      <c r="T95" s="578"/>
      <c r="U95" s="578"/>
      <c r="V95" s="578"/>
      <c r="W95" s="578"/>
      <c r="X95" s="578"/>
      <c r="Y95" s="578"/>
      <c r="Z95" s="578"/>
    </row>
  </sheetData>
  <phoneticPr fontId="0" type="noConversion"/>
  <conditionalFormatting sqref="A1:A95 B1:Z1 K2:Z95 B58:J95">
    <cfRule type="expression" dxfId="12" priority="1" stopIfTrue="1">
      <formula>$U$10=TRUE</formula>
    </cfRule>
  </conditionalFormatting>
  <pageMargins left="0.57999999999999996" right="0.75" top="0.5" bottom="0.28999999999999998" header="0.22" footer="0.2"/>
  <pageSetup paperSize="9" orientation="portrait"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46" r:id="rId4" name="basic2button">
              <controlPr defaultSize="0" print="0" autoFill="0" autoPict="0" macro="[0]!returnfromcopy">
                <anchor moveWithCells="1" sizeWithCells="1">
                  <from>
                    <xdr:col>11</xdr:col>
                    <xdr:colOff>38100</xdr:colOff>
                    <xdr:row>0</xdr:row>
                    <xdr:rowOff>190500</xdr:rowOff>
                  </from>
                  <to>
                    <xdr:col>11</xdr:col>
                    <xdr:colOff>927100</xdr:colOff>
                    <xdr:row>3</xdr:row>
                    <xdr:rowOff>44450</xdr:rowOff>
                  </to>
                </anchor>
              </controlPr>
            </control>
          </mc:Choice>
        </mc:AlternateContent>
        <mc:AlternateContent xmlns:mc="http://schemas.openxmlformats.org/markup-compatibility/2006">
          <mc:Choice Requires="x14">
            <control shapeId="44047" r:id="rId5" name="basic2delbutton">
              <controlPr defaultSize="0" print="0" autoFill="0" autoPict="0" macro="[0]!delete_basic2button">
                <anchor moveWithCells="1" sizeWithCells="1">
                  <from>
                    <xdr:col>11</xdr:col>
                    <xdr:colOff>38100</xdr:colOff>
                    <xdr:row>3</xdr:row>
                    <xdr:rowOff>69850</xdr:rowOff>
                  </from>
                  <to>
                    <xdr:col>11</xdr:col>
                    <xdr:colOff>927100</xdr:colOff>
                    <xdr:row>6</xdr:row>
                    <xdr:rowOff>146050</xdr:rowOff>
                  </to>
                </anchor>
              </controlPr>
            </control>
          </mc:Choice>
        </mc:AlternateContent>
        <mc:AlternateContent xmlns:mc="http://schemas.openxmlformats.org/markup-compatibility/2006">
          <mc:Choice Requires="x14">
            <control shapeId="44048" r:id="rId6" name="pdfbutton">
              <controlPr defaultSize="0" print="0" autoFill="0" autoPict="0" macro="[0]!pdfonly">
                <anchor moveWithCells="1" sizeWithCells="1">
                  <from>
                    <xdr:col>11</xdr:col>
                    <xdr:colOff>1022350</xdr:colOff>
                    <xdr:row>1</xdr:row>
                    <xdr:rowOff>146050</xdr:rowOff>
                  </from>
                  <to>
                    <xdr:col>12</xdr:col>
                    <xdr:colOff>412750</xdr:colOff>
                    <xdr:row>5</xdr:row>
                    <xdr:rowOff>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5010E-AFBE-4320-ACDB-7D0FFDA63992}">
  <sheetPr codeName="Sheet34"/>
  <dimension ref="A1:Z55"/>
  <sheetViews>
    <sheetView showGridLines="0" workbookViewId="0"/>
  </sheetViews>
  <sheetFormatPr defaultColWidth="9.08984375" defaultRowHeight="12.5" x14ac:dyDescent="0.25"/>
  <cols>
    <col min="1" max="1" width="13" style="600" customWidth="1"/>
    <col min="2" max="2" width="2.36328125" style="600" customWidth="1"/>
    <col min="3" max="3" width="10.36328125" style="600" customWidth="1"/>
    <col min="4" max="4" width="6.6328125" style="600" customWidth="1"/>
    <col min="5" max="5" width="11.36328125" style="600" customWidth="1"/>
    <col min="6" max="6" width="3" style="600" customWidth="1"/>
    <col min="7" max="7" width="14.6328125" style="600" customWidth="1"/>
    <col min="8" max="8" width="3" style="600" customWidth="1"/>
    <col min="9" max="9" width="14.08984375" style="600" customWidth="1"/>
    <col min="10" max="10" width="3" style="600" customWidth="1"/>
    <col min="11" max="11" width="13.36328125" style="600" customWidth="1"/>
    <col min="12" max="12" width="4" style="600" customWidth="1"/>
    <col min="13" max="13" width="2" style="600" customWidth="1"/>
    <col min="14" max="14" width="3" style="600" customWidth="1"/>
    <col min="15" max="15" width="32.453125" style="600" customWidth="1"/>
    <col min="16" max="16" width="9.08984375" style="600"/>
    <col min="17" max="17" width="44.453125" style="600" customWidth="1"/>
    <col min="18" max="25" width="9.08984375" style="600"/>
    <col min="26" max="26" width="84.6328125" style="600" customWidth="1"/>
    <col min="27" max="16384" width="9.08984375" style="600"/>
  </cols>
  <sheetData>
    <row r="1" spans="1:26" ht="6.75" customHeight="1" x14ac:dyDescent="0.25">
      <c r="A1" s="578"/>
      <c r="B1" s="578"/>
      <c r="C1" s="578"/>
      <c r="D1" s="578"/>
      <c r="E1" s="578"/>
      <c r="F1" s="578"/>
      <c r="G1" s="578"/>
      <c r="H1" s="578"/>
      <c r="I1" s="578"/>
      <c r="J1" s="578"/>
      <c r="K1" s="578"/>
      <c r="L1" s="578"/>
      <c r="M1" s="578"/>
      <c r="N1" s="578"/>
      <c r="O1" s="578"/>
      <c r="P1" s="578"/>
      <c r="Q1" s="578"/>
      <c r="R1" s="578"/>
      <c r="S1" s="578"/>
      <c r="T1" s="578"/>
      <c r="U1" s="578"/>
      <c r="V1" s="578"/>
      <c r="W1" s="578"/>
      <c r="X1" s="578"/>
      <c r="Y1" s="578"/>
      <c r="Z1" s="578"/>
    </row>
    <row r="2" spans="1:26" ht="6.75" customHeight="1" x14ac:dyDescent="0.25">
      <c r="A2" s="578"/>
      <c r="B2" s="578"/>
      <c r="C2" s="578"/>
      <c r="D2" s="578"/>
      <c r="E2" s="578"/>
      <c r="F2" s="578"/>
      <c r="G2" s="578"/>
      <c r="H2" s="578"/>
      <c r="I2" s="578"/>
      <c r="J2" s="578"/>
      <c r="K2" s="578"/>
      <c r="L2" s="578"/>
      <c r="M2" s="578"/>
      <c r="N2" s="578"/>
      <c r="O2" s="578"/>
      <c r="P2" s="578"/>
      <c r="Q2" s="578"/>
      <c r="R2" s="578"/>
      <c r="S2" s="578"/>
      <c r="T2" s="578"/>
      <c r="U2" s="578"/>
      <c r="V2" s="578"/>
      <c r="W2" s="578"/>
      <c r="X2" s="578"/>
      <c r="Y2" s="578"/>
      <c r="Z2" s="578"/>
    </row>
    <row r="3" spans="1:26" ht="8.25" customHeight="1" x14ac:dyDescent="0.25">
      <c r="A3" s="578"/>
      <c r="B3" s="578"/>
      <c r="C3" s="578"/>
      <c r="D3" s="578"/>
      <c r="E3" s="578"/>
      <c r="F3" s="578"/>
      <c r="G3" s="578"/>
      <c r="H3" s="578"/>
      <c r="I3" s="578"/>
      <c r="J3" s="578"/>
      <c r="K3" s="578"/>
      <c r="L3" s="578"/>
      <c r="M3" s="578"/>
      <c r="N3" s="578"/>
      <c r="O3" s="578"/>
      <c r="P3" s="578"/>
      <c r="Q3" s="578"/>
      <c r="R3" s="578"/>
      <c r="S3" s="578"/>
      <c r="T3" s="578"/>
      <c r="U3" s="578"/>
      <c r="V3" s="578"/>
      <c r="W3" s="578"/>
      <c r="X3" s="578"/>
      <c r="Y3" s="578"/>
      <c r="Z3" s="578"/>
    </row>
    <row r="4" spans="1:26" x14ac:dyDescent="0.25">
      <c r="A4" s="578"/>
      <c r="K4" s="607"/>
      <c r="L4" s="607"/>
      <c r="N4" s="578"/>
      <c r="O4" s="578"/>
      <c r="P4" s="578"/>
      <c r="Q4" s="578"/>
      <c r="R4" s="578"/>
      <c r="S4" s="578"/>
      <c r="T4" s="578"/>
      <c r="U4" s="578"/>
      <c r="V4" s="578"/>
      <c r="W4" s="578"/>
      <c r="X4" s="578"/>
      <c r="Y4" s="578"/>
      <c r="Z4" s="578"/>
    </row>
    <row r="5" spans="1:26" x14ac:dyDescent="0.25">
      <c r="A5" s="578"/>
      <c r="K5" s="607"/>
      <c r="L5" s="607"/>
      <c r="N5" s="578"/>
      <c r="O5" s="578"/>
      <c r="P5" s="578"/>
      <c r="Q5" s="578"/>
      <c r="R5" s="578"/>
      <c r="S5" s="578"/>
      <c r="T5" s="578"/>
      <c r="U5" s="578"/>
      <c r="V5" s="578"/>
      <c r="W5" s="578"/>
      <c r="X5" s="578"/>
      <c r="Y5" s="578"/>
      <c r="Z5" s="578"/>
    </row>
    <row r="6" spans="1:26" x14ac:dyDescent="0.25">
      <c r="A6" s="578"/>
      <c r="K6" s="607"/>
      <c r="L6" s="607"/>
      <c r="N6" s="578"/>
      <c r="O6" s="578"/>
      <c r="P6" s="578"/>
      <c r="Q6" s="578"/>
      <c r="R6" s="578"/>
      <c r="S6" s="578"/>
      <c r="T6" s="578"/>
      <c r="U6" s="578"/>
      <c r="V6" s="578"/>
      <c r="W6" s="578"/>
      <c r="X6" s="578"/>
      <c r="Y6" s="578"/>
      <c r="Z6" s="578"/>
    </row>
    <row r="7" spans="1:26" ht="13" x14ac:dyDescent="0.3">
      <c r="A7" s="578"/>
      <c r="K7" s="608"/>
      <c r="L7" s="607"/>
      <c r="N7" s="578"/>
      <c r="O7" s="578"/>
      <c r="P7" s="578"/>
      <c r="Q7" s="578"/>
      <c r="R7" s="578"/>
      <c r="S7" s="578"/>
      <c r="T7" s="578"/>
      <c r="U7" s="578"/>
      <c r="V7" s="578"/>
      <c r="W7" s="578"/>
      <c r="X7" s="578"/>
      <c r="Y7" s="578"/>
      <c r="Z7" s="578"/>
    </row>
    <row r="8" spans="1:26" ht="69.75" customHeight="1" x14ac:dyDescent="0.25">
      <c r="A8" s="578"/>
      <c r="N8" s="578"/>
      <c r="O8" s="578"/>
      <c r="P8" s="578"/>
      <c r="Q8" s="578"/>
      <c r="R8" s="578"/>
      <c r="S8" s="578"/>
      <c r="T8" s="578"/>
      <c r="U8" s="578"/>
      <c r="V8" s="578"/>
      <c r="W8" s="578"/>
      <c r="X8" s="578"/>
      <c r="Y8" s="578"/>
      <c r="Z8" s="578"/>
    </row>
    <row r="9" spans="1:26" ht="22.5" x14ac:dyDescent="0.45">
      <c r="A9" s="578"/>
      <c r="C9" s="609"/>
      <c r="D9" s="610"/>
      <c r="E9" s="610"/>
      <c r="F9" s="610"/>
      <c r="G9" s="610"/>
      <c r="H9" s="610"/>
      <c r="I9" s="610"/>
      <c r="J9" s="610"/>
      <c r="K9" s="610"/>
      <c r="L9" s="610"/>
      <c r="N9" s="578"/>
      <c r="O9" s="578"/>
      <c r="P9" s="578"/>
      <c r="Q9" s="578"/>
      <c r="R9" s="578"/>
      <c r="S9" s="578"/>
      <c r="T9" s="578"/>
      <c r="U9" s="578"/>
      <c r="V9" s="578"/>
      <c r="W9" s="578"/>
      <c r="X9" s="578"/>
      <c r="Y9" s="578"/>
      <c r="Z9" s="578"/>
    </row>
    <row r="10" spans="1:26" x14ac:dyDescent="0.25">
      <c r="A10" s="578"/>
      <c r="N10" s="578"/>
      <c r="O10" s="578"/>
      <c r="P10" s="578"/>
      <c r="Q10" s="578"/>
      <c r="R10" s="578"/>
      <c r="S10" s="578"/>
      <c r="T10" s="578"/>
      <c r="U10" s="578"/>
      <c r="V10" s="578"/>
      <c r="W10" s="578"/>
      <c r="X10" s="578"/>
      <c r="Y10" s="578"/>
      <c r="Z10" s="578"/>
    </row>
    <row r="11" spans="1:26" ht="17.5" x14ac:dyDescent="0.35">
      <c r="A11" s="578"/>
      <c r="D11" s="611"/>
      <c r="E11" s="611"/>
      <c r="F11" s="611"/>
      <c r="G11" s="612"/>
      <c r="H11" s="611"/>
      <c r="I11" s="611"/>
      <c r="J11" s="611"/>
      <c r="K11" s="611"/>
      <c r="L11" s="611"/>
      <c r="N11" s="578"/>
      <c r="O11" s="578"/>
      <c r="P11" s="578"/>
      <c r="Q11" s="578"/>
      <c r="R11" s="578"/>
      <c r="S11" s="578"/>
      <c r="T11" s="578"/>
      <c r="U11" s="578"/>
      <c r="V11" s="578"/>
      <c r="W11" s="578"/>
      <c r="X11" s="578"/>
      <c r="Y11" s="578"/>
      <c r="Z11" s="578"/>
    </row>
    <row r="12" spans="1:26" ht="17.5" x14ac:dyDescent="0.35">
      <c r="A12" s="578"/>
      <c r="D12" s="614"/>
      <c r="E12" s="614"/>
      <c r="F12" s="614"/>
      <c r="G12" s="612"/>
      <c r="H12" s="614"/>
      <c r="I12" s="614"/>
      <c r="J12" s="614"/>
      <c r="K12" s="614"/>
      <c r="L12" s="614"/>
      <c r="N12" s="578"/>
      <c r="O12" s="578"/>
      <c r="P12" s="578"/>
      <c r="Q12" s="578"/>
      <c r="R12" s="578"/>
      <c r="S12" s="578"/>
      <c r="T12" s="578"/>
      <c r="U12" s="578"/>
      <c r="V12" s="578"/>
      <c r="W12" s="578"/>
      <c r="X12" s="578"/>
      <c r="Y12" s="578"/>
      <c r="Z12" s="578"/>
    </row>
    <row r="13" spans="1:26" ht="17.5" x14ac:dyDescent="0.35">
      <c r="A13" s="578"/>
      <c r="C13" s="613"/>
      <c r="D13" s="613"/>
      <c r="E13" s="613"/>
      <c r="F13" s="613"/>
      <c r="G13" s="612"/>
      <c r="H13" s="613"/>
      <c r="I13" s="613"/>
      <c r="J13" s="613"/>
      <c r="K13" s="613"/>
      <c r="L13" s="613"/>
      <c r="N13" s="578"/>
      <c r="O13" s="578"/>
      <c r="P13" s="578"/>
      <c r="Q13" s="578"/>
      <c r="R13" s="578"/>
      <c r="S13" s="578"/>
      <c r="T13" s="578"/>
      <c r="U13" s="578"/>
      <c r="V13" s="578"/>
      <c r="W13" s="578"/>
      <c r="X13" s="578"/>
      <c r="Y13" s="578"/>
      <c r="Z13" s="578"/>
    </row>
    <row r="14" spans="1:26" x14ac:dyDescent="0.25">
      <c r="A14" s="578"/>
      <c r="C14" s="613"/>
      <c r="D14" s="613"/>
      <c r="E14" s="613"/>
      <c r="F14" s="613"/>
      <c r="G14" s="613"/>
      <c r="H14" s="613"/>
      <c r="I14" s="613"/>
      <c r="J14" s="613"/>
      <c r="K14" s="613"/>
      <c r="L14" s="613"/>
      <c r="N14" s="578"/>
      <c r="O14" s="578"/>
      <c r="P14" s="578"/>
      <c r="Q14" s="578"/>
      <c r="R14" s="578"/>
      <c r="S14" s="578"/>
      <c r="T14" s="578"/>
      <c r="U14" s="578"/>
      <c r="V14" s="578"/>
      <c r="W14" s="578"/>
      <c r="X14" s="578"/>
      <c r="Y14" s="578"/>
      <c r="Z14" s="578"/>
    </row>
    <row r="15" spans="1:26" x14ac:dyDescent="0.25">
      <c r="A15" s="578"/>
      <c r="C15" s="613"/>
      <c r="D15" s="613"/>
      <c r="E15" s="613"/>
      <c r="F15" s="613"/>
      <c r="G15" s="613"/>
      <c r="H15" s="613"/>
      <c r="I15" s="613"/>
      <c r="J15" s="613"/>
      <c r="K15" s="613"/>
      <c r="L15" s="613"/>
      <c r="N15" s="578"/>
      <c r="O15" s="578"/>
      <c r="P15" s="578"/>
      <c r="Q15" s="578"/>
      <c r="R15" s="578"/>
      <c r="S15" s="578"/>
      <c r="T15" s="578"/>
      <c r="U15" s="578"/>
      <c r="V15" s="578"/>
      <c r="W15" s="578"/>
      <c r="X15" s="578"/>
      <c r="Y15" s="578"/>
      <c r="Z15" s="578"/>
    </row>
    <row r="16" spans="1:26" ht="13" x14ac:dyDescent="0.3">
      <c r="A16" s="578"/>
      <c r="C16" s="615"/>
      <c r="D16" s="615"/>
      <c r="E16" s="615"/>
      <c r="F16" s="615"/>
      <c r="G16" s="615"/>
      <c r="H16" s="615"/>
      <c r="I16" s="615"/>
      <c r="J16" s="615"/>
      <c r="K16" s="616"/>
      <c r="L16" s="615"/>
      <c r="N16" s="578"/>
      <c r="O16" s="578"/>
      <c r="P16" s="578"/>
      <c r="Q16" s="578"/>
      <c r="R16" s="578"/>
      <c r="S16" s="578"/>
      <c r="T16" s="578"/>
      <c r="U16" s="578"/>
      <c r="V16" s="578"/>
      <c r="W16" s="578"/>
      <c r="X16" s="578"/>
      <c r="Y16" s="578"/>
      <c r="Z16" s="578"/>
    </row>
    <row r="17" spans="1:26" x14ac:dyDescent="0.25">
      <c r="A17" s="578"/>
      <c r="C17" s="617"/>
      <c r="D17" s="617"/>
      <c r="E17" s="617"/>
      <c r="F17" s="617"/>
      <c r="N17" s="578"/>
      <c r="O17" s="578"/>
      <c r="P17" s="578"/>
      <c r="Q17" s="578"/>
      <c r="R17" s="578"/>
      <c r="S17" s="578"/>
      <c r="T17" s="578"/>
      <c r="U17" s="578"/>
      <c r="V17" s="578"/>
      <c r="W17" s="578"/>
      <c r="X17" s="578"/>
      <c r="Y17" s="578"/>
      <c r="Z17" s="578"/>
    </row>
    <row r="18" spans="1:26" s="619" customFormat="1" ht="25.5" customHeight="1" x14ac:dyDescent="0.25">
      <c r="A18" s="578"/>
      <c r="C18" s="620"/>
      <c r="D18" s="621"/>
      <c r="E18" s="621"/>
      <c r="F18" s="622"/>
      <c r="G18" s="623"/>
      <c r="H18" s="624"/>
      <c r="I18" s="623"/>
      <c r="J18" s="624"/>
      <c r="K18" s="625"/>
      <c r="L18" s="624"/>
      <c r="N18" s="578"/>
      <c r="O18" s="578"/>
      <c r="P18" s="578"/>
      <c r="Q18" s="578"/>
      <c r="R18" s="578"/>
      <c r="S18" s="578"/>
      <c r="T18" s="578"/>
      <c r="U18" s="578"/>
      <c r="V18" s="578"/>
      <c r="W18" s="578"/>
      <c r="X18" s="578"/>
      <c r="Y18" s="578"/>
      <c r="Z18" s="578"/>
    </row>
    <row r="19" spans="1:26" x14ac:dyDescent="0.25">
      <c r="A19" s="578"/>
      <c r="C19" s="627"/>
      <c r="D19" s="628"/>
      <c r="E19" s="628"/>
      <c r="F19" s="629"/>
      <c r="G19" s="630"/>
      <c r="H19" s="631"/>
      <c r="I19" s="630"/>
      <c r="J19" s="631"/>
      <c r="K19" s="627"/>
      <c r="L19" s="629"/>
      <c r="N19" s="578"/>
      <c r="O19" s="578"/>
      <c r="P19" s="578"/>
      <c r="Q19" s="578"/>
      <c r="R19" s="578"/>
      <c r="S19" s="578"/>
      <c r="T19" s="578"/>
      <c r="U19" s="578"/>
      <c r="V19" s="578"/>
      <c r="W19" s="578"/>
      <c r="X19" s="578"/>
      <c r="Y19" s="578"/>
      <c r="Z19" s="578"/>
    </row>
    <row r="20" spans="1:26" x14ac:dyDescent="0.25">
      <c r="A20" s="578"/>
      <c r="C20" s="627"/>
      <c r="D20" s="628"/>
      <c r="E20" s="628"/>
      <c r="F20" s="629"/>
      <c r="G20" s="632"/>
      <c r="H20" s="631"/>
      <c r="I20" s="632"/>
      <c r="J20" s="631"/>
      <c r="K20" s="627"/>
      <c r="L20" s="629"/>
      <c r="N20" s="578"/>
      <c r="O20" s="578"/>
      <c r="P20" s="578"/>
      <c r="Q20" s="578"/>
      <c r="R20" s="578"/>
      <c r="S20" s="578"/>
      <c r="T20" s="578"/>
      <c r="U20" s="578"/>
      <c r="V20" s="578"/>
      <c r="W20" s="578"/>
      <c r="X20" s="578"/>
      <c r="Y20" s="578"/>
      <c r="Z20" s="578"/>
    </row>
    <row r="21" spans="1:26" x14ac:dyDescent="0.25">
      <c r="A21" s="578"/>
      <c r="C21" s="633"/>
      <c r="D21" s="634"/>
      <c r="E21" s="634"/>
      <c r="F21" s="635"/>
      <c r="G21" s="636"/>
      <c r="H21" s="637"/>
      <c r="I21" s="638"/>
      <c r="J21" s="637"/>
      <c r="K21" s="633"/>
      <c r="L21" s="635"/>
      <c r="N21" s="578"/>
      <c r="O21" s="578"/>
      <c r="P21" s="578"/>
      <c r="Q21" s="578"/>
      <c r="R21" s="578"/>
      <c r="S21" s="578"/>
      <c r="T21" s="578"/>
      <c r="U21" s="578"/>
      <c r="V21" s="578"/>
      <c r="W21" s="578"/>
      <c r="X21" s="578"/>
      <c r="Y21" s="578"/>
      <c r="Z21" s="578"/>
    </row>
    <row r="22" spans="1:26" ht="21.75" customHeight="1" x14ac:dyDescent="0.25">
      <c r="A22" s="578"/>
      <c r="C22" s="639"/>
      <c r="D22" s="640"/>
      <c r="E22" s="640"/>
      <c r="F22" s="628"/>
      <c r="G22" s="641"/>
      <c r="H22" s="642"/>
      <c r="I22" s="641"/>
      <c r="J22" s="643"/>
      <c r="K22" s="644"/>
      <c r="L22" s="642"/>
      <c r="N22" s="578"/>
      <c r="O22" s="578"/>
      <c r="P22" s="578"/>
      <c r="Q22" s="578"/>
      <c r="R22" s="578"/>
      <c r="S22" s="578"/>
      <c r="T22" s="578"/>
      <c r="U22" s="578"/>
      <c r="V22" s="578"/>
      <c r="W22" s="578"/>
      <c r="X22" s="578"/>
      <c r="Y22" s="578"/>
      <c r="Z22" s="578"/>
    </row>
    <row r="23" spans="1:26" ht="15" customHeight="1" x14ac:dyDescent="0.25">
      <c r="A23" s="578"/>
      <c r="C23" s="639"/>
      <c r="D23" s="640"/>
      <c r="E23" s="640"/>
      <c r="F23" s="628"/>
      <c r="G23" s="646"/>
      <c r="H23" s="647"/>
      <c r="I23" s="646"/>
      <c r="J23" s="648"/>
      <c r="K23" s="649"/>
      <c r="L23" s="647"/>
      <c r="N23" s="578"/>
      <c r="O23" s="578"/>
      <c r="P23" s="578"/>
      <c r="Q23" s="578"/>
      <c r="R23" s="578"/>
      <c r="S23" s="578"/>
      <c r="T23" s="578"/>
      <c r="U23" s="578"/>
      <c r="V23" s="578"/>
      <c r="W23" s="578"/>
      <c r="X23" s="578"/>
      <c r="Y23" s="578"/>
      <c r="Z23" s="578"/>
    </row>
    <row r="24" spans="1:26" ht="15" customHeight="1" x14ac:dyDescent="0.25">
      <c r="A24" s="578"/>
      <c r="C24" s="639"/>
      <c r="D24" s="640"/>
      <c r="E24" s="640"/>
      <c r="F24" s="628"/>
      <c r="G24" s="646"/>
      <c r="H24" s="647"/>
      <c r="I24" s="646"/>
      <c r="J24" s="648"/>
      <c r="K24" s="649"/>
      <c r="L24" s="647"/>
      <c r="N24" s="578"/>
      <c r="O24" s="578"/>
      <c r="P24" s="578"/>
      <c r="Q24" s="578"/>
      <c r="R24" s="578"/>
      <c r="S24" s="578"/>
      <c r="T24" s="578"/>
      <c r="U24" s="578"/>
      <c r="V24" s="578"/>
      <c r="W24" s="578"/>
      <c r="X24" s="578"/>
      <c r="Y24" s="578"/>
      <c r="Z24" s="578"/>
    </row>
    <row r="25" spans="1:26" x14ac:dyDescent="0.25">
      <c r="A25" s="578"/>
      <c r="C25" s="633"/>
      <c r="D25" s="634"/>
      <c r="E25" s="634"/>
      <c r="F25" s="635"/>
      <c r="G25" s="650"/>
      <c r="H25" s="651"/>
      <c r="I25" s="650"/>
      <c r="J25" s="652"/>
      <c r="K25" s="653"/>
      <c r="L25" s="651"/>
      <c r="N25" s="578"/>
      <c r="O25" s="578"/>
      <c r="P25" s="578"/>
      <c r="Q25" s="578"/>
      <c r="R25" s="578"/>
      <c r="S25" s="578"/>
      <c r="T25" s="578"/>
      <c r="U25" s="578"/>
      <c r="V25" s="578"/>
      <c r="W25" s="578"/>
      <c r="X25" s="578"/>
      <c r="Y25" s="578"/>
      <c r="Z25" s="578"/>
    </row>
    <row r="26" spans="1:26" ht="25.5" customHeight="1" x14ac:dyDescent="0.3">
      <c r="A26" s="578"/>
      <c r="C26" s="654"/>
      <c r="D26" s="628"/>
      <c r="E26" s="628"/>
      <c r="F26" s="628"/>
      <c r="G26" s="648"/>
      <c r="H26" s="648"/>
      <c r="I26" s="648"/>
      <c r="J26" s="648"/>
      <c r="K26" s="655"/>
      <c r="L26" s="642"/>
      <c r="N26" s="578"/>
      <c r="O26" s="578"/>
      <c r="P26" s="578"/>
      <c r="Q26" s="578"/>
      <c r="R26" s="578"/>
      <c r="S26" s="578"/>
      <c r="T26" s="578"/>
      <c r="U26" s="578"/>
      <c r="V26" s="578"/>
      <c r="W26" s="578"/>
      <c r="X26" s="578"/>
      <c r="Y26" s="578"/>
      <c r="Z26" s="578"/>
    </row>
    <row r="27" spans="1:26" ht="13.5" thickBot="1" x14ac:dyDescent="0.35">
      <c r="A27" s="578"/>
      <c r="C27" s="656"/>
      <c r="D27" s="657"/>
      <c r="E27" s="657"/>
      <c r="F27" s="657"/>
      <c r="G27" s="657"/>
      <c r="H27" s="657"/>
      <c r="I27" s="657"/>
      <c r="J27" s="657"/>
      <c r="K27" s="657"/>
      <c r="L27" s="658"/>
      <c r="N27" s="578"/>
      <c r="O27" s="578"/>
      <c r="P27" s="578"/>
      <c r="Q27" s="578"/>
      <c r="R27" s="578"/>
      <c r="S27" s="578"/>
      <c r="T27" s="578"/>
      <c r="U27" s="578"/>
      <c r="V27" s="578"/>
      <c r="W27" s="578"/>
      <c r="X27" s="578"/>
      <c r="Y27" s="578"/>
      <c r="Z27" s="578"/>
    </row>
    <row r="28" spans="1:26" ht="13.5" thickTop="1" x14ac:dyDescent="0.3">
      <c r="A28" s="578"/>
      <c r="K28" s="659"/>
      <c r="N28" s="578"/>
      <c r="O28" s="578"/>
      <c r="P28" s="578"/>
      <c r="Q28" s="578"/>
      <c r="R28" s="578"/>
      <c r="S28" s="578"/>
      <c r="T28" s="578"/>
      <c r="U28" s="578"/>
      <c r="V28" s="578"/>
      <c r="W28" s="578"/>
      <c r="X28" s="578"/>
      <c r="Y28" s="578"/>
      <c r="Z28" s="578"/>
    </row>
    <row r="29" spans="1:26" ht="13" x14ac:dyDescent="0.3">
      <c r="A29" s="578"/>
      <c r="C29" s="670"/>
      <c r="G29" s="660"/>
      <c r="N29" s="578"/>
      <c r="O29" s="578"/>
      <c r="P29" s="578"/>
      <c r="Q29" s="578"/>
      <c r="R29" s="578"/>
      <c r="S29" s="578"/>
      <c r="T29" s="578"/>
      <c r="U29" s="578"/>
      <c r="V29" s="578"/>
      <c r="W29" s="578"/>
      <c r="X29" s="578"/>
      <c r="Y29" s="578"/>
      <c r="Z29" s="578"/>
    </row>
    <row r="30" spans="1:26" ht="13" x14ac:dyDescent="0.3">
      <c r="A30" s="578"/>
      <c r="C30" s="661"/>
      <c r="D30" s="660"/>
      <c r="N30" s="578"/>
      <c r="O30" s="578"/>
      <c r="P30" s="578"/>
      <c r="Q30" s="578"/>
      <c r="R30" s="578"/>
      <c r="S30" s="578"/>
      <c r="T30" s="578"/>
      <c r="U30" s="578"/>
      <c r="V30" s="578"/>
      <c r="W30" s="578"/>
      <c r="X30" s="578"/>
      <c r="Y30" s="578"/>
      <c r="Z30" s="578"/>
    </row>
    <row r="31" spans="1:26" x14ac:dyDescent="0.25">
      <c r="A31" s="578"/>
      <c r="C31" s="661"/>
      <c r="N31" s="578"/>
      <c r="O31" s="578"/>
      <c r="P31" s="578"/>
      <c r="Q31" s="578"/>
      <c r="R31" s="578"/>
      <c r="S31" s="578"/>
      <c r="T31" s="578"/>
      <c r="U31" s="578"/>
      <c r="V31" s="578"/>
      <c r="W31" s="578"/>
      <c r="X31" s="578"/>
      <c r="Y31" s="578"/>
      <c r="Z31" s="578"/>
    </row>
    <row r="32" spans="1:26" ht="13" x14ac:dyDescent="0.3">
      <c r="A32" s="578"/>
      <c r="C32" s="661"/>
      <c r="H32" s="662"/>
      <c r="I32" s="663"/>
      <c r="J32" s="663"/>
      <c r="K32" s="664"/>
      <c r="L32" s="664"/>
      <c r="N32" s="578"/>
      <c r="O32" s="578"/>
      <c r="P32" s="578"/>
      <c r="Q32" s="578"/>
      <c r="R32" s="578"/>
      <c r="S32" s="578"/>
      <c r="T32" s="578"/>
      <c r="U32" s="578"/>
      <c r="V32" s="578"/>
      <c r="W32" s="578"/>
      <c r="X32" s="578"/>
      <c r="Y32" s="578"/>
      <c r="Z32" s="578"/>
    </row>
    <row r="33" spans="1:26" x14ac:dyDescent="0.25">
      <c r="A33" s="578"/>
      <c r="C33" s="661"/>
      <c r="N33" s="578"/>
      <c r="O33" s="578"/>
      <c r="P33" s="578"/>
      <c r="Q33" s="578"/>
      <c r="R33" s="578"/>
      <c r="S33" s="578"/>
      <c r="T33" s="578"/>
      <c r="U33" s="578"/>
      <c r="V33" s="578"/>
      <c r="W33" s="578"/>
      <c r="X33" s="578"/>
      <c r="Y33" s="578"/>
      <c r="Z33" s="578"/>
    </row>
    <row r="34" spans="1:26" x14ac:dyDescent="0.25">
      <c r="A34" s="578"/>
      <c r="C34" s="661"/>
      <c r="N34" s="578"/>
      <c r="O34" s="578"/>
      <c r="P34" s="578"/>
      <c r="Q34" s="578"/>
      <c r="R34" s="578"/>
      <c r="S34" s="578"/>
      <c r="T34" s="578"/>
      <c r="U34" s="578"/>
      <c r="V34" s="578"/>
      <c r="W34" s="578"/>
      <c r="X34" s="578"/>
      <c r="Y34" s="578"/>
      <c r="Z34" s="578"/>
    </row>
    <row r="35" spans="1:26" x14ac:dyDescent="0.25">
      <c r="A35" s="578"/>
      <c r="N35" s="578"/>
      <c r="O35" s="578"/>
      <c r="P35" s="578"/>
      <c r="Q35" s="578"/>
      <c r="R35" s="578"/>
      <c r="S35" s="578"/>
      <c r="T35" s="578"/>
      <c r="U35" s="578"/>
      <c r="V35" s="578"/>
      <c r="W35" s="578"/>
      <c r="X35" s="578"/>
      <c r="Y35" s="578"/>
      <c r="Z35" s="578"/>
    </row>
    <row r="36" spans="1:26" x14ac:dyDescent="0.25">
      <c r="A36" s="578"/>
      <c r="N36" s="578"/>
      <c r="O36" s="578"/>
      <c r="P36" s="578"/>
      <c r="Q36" s="578"/>
      <c r="R36" s="578"/>
      <c r="S36" s="578"/>
      <c r="T36" s="578"/>
      <c r="U36" s="578"/>
      <c r="V36" s="578"/>
      <c r="W36" s="578"/>
      <c r="X36" s="578"/>
      <c r="Y36" s="578"/>
      <c r="Z36" s="578"/>
    </row>
    <row r="37" spans="1:26" x14ac:dyDescent="0.25">
      <c r="A37" s="578"/>
      <c r="N37" s="578"/>
      <c r="O37" s="578"/>
      <c r="P37" s="578"/>
      <c r="Q37" s="578"/>
      <c r="R37" s="578"/>
      <c r="S37" s="578"/>
      <c r="T37" s="578"/>
      <c r="U37" s="578"/>
      <c r="V37" s="578"/>
      <c r="W37" s="578"/>
      <c r="X37" s="578"/>
      <c r="Y37" s="578"/>
      <c r="Z37" s="578"/>
    </row>
    <row r="38" spans="1:26" ht="13" x14ac:dyDescent="0.3">
      <c r="A38" s="578"/>
      <c r="K38" s="665"/>
      <c r="L38" s="665"/>
      <c r="N38" s="578"/>
      <c r="O38" s="578"/>
      <c r="P38" s="578"/>
      <c r="Q38" s="578"/>
      <c r="R38" s="578"/>
      <c r="S38" s="578"/>
      <c r="T38" s="578"/>
      <c r="U38" s="578"/>
      <c r="V38" s="578"/>
      <c r="W38" s="578"/>
      <c r="X38" s="578"/>
      <c r="Y38" s="578"/>
      <c r="Z38" s="578"/>
    </row>
    <row r="39" spans="1:26" ht="13" x14ac:dyDescent="0.3">
      <c r="A39" s="578"/>
      <c r="K39" s="665"/>
      <c r="L39" s="665"/>
      <c r="N39" s="578"/>
      <c r="O39" s="578"/>
      <c r="P39" s="578"/>
      <c r="Q39" s="578"/>
      <c r="R39" s="578"/>
      <c r="S39" s="578"/>
      <c r="T39" s="578"/>
      <c r="U39" s="578"/>
      <c r="V39" s="578"/>
      <c r="W39" s="578"/>
      <c r="X39" s="578"/>
      <c r="Y39" s="578"/>
      <c r="Z39" s="578"/>
    </row>
    <row r="40" spans="1:26" x14ac:dyDescent="0.25">
      <c r="A40" s="578"/>
      <c r="N40" s="578"/>
      <c r="O40" s="578"/>
      <c r="P40" s="578"/>
      <c r="Q40" s="578"/>
      <c r="R40" s="578"/>
      <c r="S40" s="578"/>
      <c r="T40" s="578"/>
      <c r="U40" s="578"/>
      <c r="V40" s="578"/>
      <c r="W40" s="578"/>
      <c r="X40" s="578"/>
      <c r="Y40" s="578"/>
      <c r="Z40" s="578"/>
    </row>
    <row r="41" spans="1:26" x14ac:dyDescent="0.25">
      <c r="A41" s="578"/>
      <c r="N41" s="578"/>
      <c r="O41" s="578"/>
      <c r="P41" s="578"/>
      <c r="Q41" s="578"/>
      <c r="R41" s="578"/>
      <c r="S41" s="578"/>
      <c r="T41" s="578"/>
      <c r="U41" s="578"/>
      <c r="V41" s="578"/>
      <c r="W41" s="578"/>
      <c r="X41" s="578"/>
      <c r="Y41" s="578"/>
      <c r="Z41" s="578"/>
    </row>
    <row r="42" spans="1:26" ht="13" x14ac:dyDescent="0.3">
      <c r="A42" s="578"/>
      <c r="C42" s="666"/>
      <c r="F42" s="666"/>
      <c r="K42" s="666"/>
      <c r="L42" s="666"/>
      <c r="N42" s="578"/>
      <c r="O42" s="578"/>
      <c r="P42" s="578"/>
      <c r="Q42" s="578"/>
      <c r="R42" s="578"/>
      <c r="S42" s="578"/>
      <c r="T42" s="578"/>
      <c r="U42" s="578"/>
      <c r="V42" s="578"/>
      <c r="W42" s="578"/>
      <c r="X42" s="578"/>
      <c r="Y42" s="578"/>
      <c r="Z42" s="578"/>
    </row>
    <row r="43" spans="1:26" x14ac:dyDescent="0.25">
      <c r="A43" s="578"/>
      <c r="N43" s="578"/>
      <c r="O43" s="578"/>
      <c r="P43" s="578"/>
      <c r="Q43" s="578"/>
      <c r="R43" s="578"/>
      <c r="S43" s="578"/>
      <c r="T43" s="578"/>
      <c r="U43" s="578"/>
      <c r="V43" s="578"/>
      <c r="W43" s="578"/>
      <c r="X43" s="578"/>
      <c r="Y43" s="578"/>
      <c r="Z43" s="578"/>
    </row>
    <row r="44" spans="1:26" ht="17.5" x14ac:dyDescent="0.35">
      <c r="A44" s="578"/>
      <c r="C44" s="667"/>
      <c r="E44" s="668"/>
      <c r="G44" s="662"/>
      <c r="H44" s="662"/>
      <c r="K44" s="669"/>
      <c r="L44" s="608"/>
      <c r="N44" s="578"/>
      <c r="O44" s="578"/>
      <c r="P44" s="578"/>
      <c r="Q44" s="578"/>
      <c r="R44" s="578"/>
      <c r="S44" s="578"/>
      <c r="T44" s="578"/>
      <c r="U44" s="578"/>
      <c r="V44" s="578"/>
      <c r="W44" s="578"/>
      <c r="X44" s="578"/>
      <c r="Y44" s="578"/>
      <c r="Z44" s="578"/>
    </row>
    <row r="45" spans="1:26" x14ac:dyDescent="0.25">
      <c r="A45" s="578"/>
      <c r="N45" s="578"/>
      <c r="O45" s="578"/>
      <c r="P45" s="578"/>
      <c r="Q45" s="578"/>
      <c r="R45" s="578"/>
      <c r="S45" s="578"/>
      <c r="T45" s="578"/>
      <c r="U45" s="578"/>
      <c r="V45" s="578"/>
      <c r="W45" s="578"/>
      <c r="X45" s="578"/>
      <c r="Y45" s="578"/>
      <c r="Z45" s="578"/>
    </row>
    <row r="46" spans="1:26" x14ac:dyDescent="0.25">
      <c r="A46" s="578"/>
      <c r="B46" s="578"/>
      <c r="C46" s="578"/>
      <c r="D46" s="578"/>
      <c r="E46" s="578"/>
      <c r="F46" s="578"/>
      <c r="G46" s="578"/>
      <c r="H46" s="578"/>
      <c r="I46" s="578"/>
      <c r="J46" s="578"/>
      <c r="K46" s="578"/>
      <c r="L46" s="578"/>
      <c r="M46" s="578"/>
      <c r="N46" s="578"/>
      <c r="O46" s="578"/>
      <c r="P46" s="578"/>
      <c r="Q46" s="578"/>
      <c r="R46" s="578"/>
      <c r="S46" s="578"/>
      <c r="T46" s="578"/>
      <c r="U46" s="578"/>
      <c r="V46" s="578"/>
      <c r="W46" s="578"/>
      <c r="X46" s="578"/>
      <c r="Y46" s="578"/>
      <c r="Z46" s="578"/>
    </row>
    <row r="47" spans="1:26" x14ac:dyDescent="0.25">
      <c r="A47" s="578"/>
      <c r="B47" s="578"/>
      <c r="C47" s="578"/>
      <c r="D47" s="578"/>
      <c r="E47" s="578"/>
      <c r="F47" s="578"/>
      <c r="G47" s="578"/>
      <c r="H47" s="578"/>
      <c r="I47" s="578"/>
      <c r="J47" s="578"/>
      <c r="K47" s="578"/>
      <c r="L47" s="578"/>
      <c r="M47" s="578"/>
      <c r="N47" s="578"/>
      <c r="O47" s="578"/>
      <c r="P47" s="578"/>
      <c r="Q47" s="578"/>
      <c r="R47" s="578"/>
      <c r="S47" s="578"/>
      <c r="T47" s="578"/>
      <c r="U47" s="578"/>
      <c r="V47" s="578"/>
      <c r="W47" s="578"/>
      <c r="X47" s="578"/>
      <c r="Y47" s="578"/>
      <c r="Z47" s="578"/>
    </row>
    <row r="48" spans="1:26" x14ac:dyDescent="0.25">
      <c r="A48" s="578"/>
      <c r="B48" s="578"/>
      <c r="C48" s="578"/>
      <c r="D48" s="578"/>
      <c r="E48" s="578"/>
      <c r="F48" s="578"/>
      <c r="G48" s="578"/>
      <c r="H48" s="578"/>
      <c r="I48" s="578"/>
      <c r="J48" s="578"/>
      <c r="K48" s="578"/>
      <c r="L48" s="578"/>
      <c r="M48" s="578"/>
      <c r="N48" s="578"/>
      <c r="O48" s="578"/>
      <c r="P48" s="578"/>
      <c r="Q48" s="578"/>
      <c r="R48" s="578"/>
      <c r="S48" s="578"/>
      <c r="T48" s="578"/>
      <c r="U48" s="578"/>
      <c r="V48" s="578"/>
      <c r="W48" s="578"/>
      <c r="X48" s="578"/>
      <c r="Y48" s="578"/>
      <c r="Z48" s="578"/>
    </row>
    <row r="49" spans="1:26" x14ac:dyDescent="0.25">
      <c r="A49" s="578"/>
      <c r="B49" s="578"/>
      <c r="C49" s="578"/>
      <c r="D49" s="578"/>
      <c r="E49" s="578"/>
      <c r="F49" s="578"/>
      <c r="G49" s="578"/>
      <c r="H49" s="578"/>
      <c r="I49" s="578"/>
      <c r="J49" s="578"/>
      <c r="K49" s="578"/>
      <c r="L49" s="578"/>
      <c r="M49" s="578"/>
      <c r="N49" s="578"/>
      <c r="O49" s="578"/>
      <c r="P49" s="578"/>
      <c r="Q49" s="578"/>
      <c r="R49" s="578"/>
      <c r="S49" s="578"/>
      <c r="T49" s="578"/>
      <c r="U49" s="578"/>
      <c r="V49" s="578"/>
      <c r="W49" s="578"/>
      <c r="X49" s="578"/>
      <c r="Y49" s="578"/>
      <c r="Z49" s="578"/>
    </row>
    <row r="50" spans="1:26" x14ac:dyDescent="0.25">
      <c r="A50" s="578"/>
      <c r="B50" s="578"/>
      <c r="C50" s="578"/>
      <c r="D50" s="578"/>
      <c r="E50" s="578"/>
      <c r="F50" s="578"/>
      <c r="G50" s="578"/>
      <c r="H50" s="578"/>
      <c r="I50" s="578"/>
      <c r="J50" s="578"/>
      <c r="K50" s="578"/>
      <c r="L50" s="578"/>
      <c r="M50" s="578"/>
      <c r="N50" s="578"/>
      <c r="O50" s="578"/>
      <c r="P50" s="578"/>
      <c r="Q50" s="578"/>
      <c r="R50" s="578"/>
      <c r="S50" s="578"/>
      <c r="T50" s="578"/>
      <c r="U50" s="578"/>
      <c r="V50" s="578"/>
      <c r="W50" s="578"/>
      <c r="X50" s="578"/>
      <c r="Y50" s="578"/>
      <c r="Z50" s="578"/>
    </row>
    <row r="51" spans="1:26" x14ac:dyDescent="0.25">
      <c r="A51" s="578"/>
      <c r="B51" s="578"/>
      <c r="C51" s="578"/>
      <c r="D51" s="578"/>
      <c r="E51" s="578"/>
      <c r="F51" s="578"/>
      <c r="G51" s="578"/>
      <c r="H51" s="578"/>
      <c r="I51" s="578"/>
      <c r="J51" s="578"/>
      <c r="K51" s="578"/>
      <c r="L51" s="578"/>
      <c r="M51" s="578"/>
      <c r="N51" s="578"/>
      <c r="O51" s="578"/>
      <c r="P51" s="578"/>
      <c r="Q51" s="578"/>
      <c r="R51" s="578"/>
      <c r="S51" s="578"/>
      <c r="T51" s="578"/>
      <c r="U51" s="578"/>
      <c r="V51" s="578"/>
      <c r="W51" s="578"/>
      <c r="X51" s="578"/>
      <c r="Y51" s="578"/>
      <c r="Z51" s="578"/>
    </row>
    <row r="52" spans="1:26" x14ac:dyDescent="0.25">
      <c r="A52" s="578"/>
      <c r="B52" s="578"/>
      <c r="C52" s="578"/>
      <c r="D52" s="578"/>
      <c r="E52" s="578"/>
      <c r="F52" s="578"/>
      <c r="G52" s="578"/>
      <c r="H52" s="578"/>
      <c r="I52" s="578"/>
      <c r="J52" s="578"/>
      <c r="K52" s="578"/>
      <c r="L52" s="578"/>
      <c r="M52" s="578"/>
      <c r="N52" s="578"/>
      <c r="O52" s="578"/>
      <c r="P52" s="578"/>
      <c r="Q52" s="578"/>
      <c r="R52" s="578"/>
      <c r="S52" s="578"/>
      <c r="T52" s="578"/>
      <c r="U52" s="578"/>
      <c r="V52" s="578"/>
      <c r="W52" s="578"/>
      <c r="X52" s="578"/>
      <c r="Y52" s="578"/>
      <c r="Z52" s="578"/>
    </row>
    <row r="53" spans="1:26" x14ac:dyDescent="0.25">
      <c r="A53" s="578"/>
      <c r="B53" s="578"/>
      <c r="C53" s="578"/>
      <c r="D53" s="578"/>
      <c r="E53" s="578"/>
      <c r="F53" s="578"/>
      <c r="G53" s="578"/>
      <c r="H53" s="578"/>
      <c r="I53" s="578"/>
      <c r="J53" s="578"/>
      <c r="K53" s="578"/>
      <c r="L53" s="578"/>
      <c r="M53" s="578"/>
      <c r="N53" s="578"/>
      <c r="O53" s="578"/>
      <c r="P53" s="578"/>
      <c r="Q53" s="578"/>
      <c r="R53" s="578"/>
      <c r="S53" s="578"/>
      <c r="T53" s="578"/>
      <c r="U53" s="578"/>
      <c r="V53" s="578"/>
      <c r="W53" s="578"/>
      <c r="X53" s="578"/>
      <c r="Y53" s="578"/>
      <c r="Z53" s="578"/>
    </row>
    <row r="54" spans="1:26" x14ac:dyDescent="0.25">
      <c r="A54" s="578"/>
      <c r="B54" s="578"/>
      <c r="C54" s="578"/>
      <c r="D54" s="578"/>
      <c r="E54" s="578"/>
      <c r="F54" s="578"/>
      <c r="G54" s="578"/>
      <c r="H54" s="578"/>
      <c r="I54" s="578"/>
      <c r="J54" s="578"/>
      <c r="K54" s="578"/>
      <c r="L54" s="578"/>
      <c r="M54" s="578"/>
      <c r="N54" s="578"/>
      <c r="O54" s="578"/>
      <c r="P54" s="578"/>
      <c r="Q54" s="578"/>
      <c r="R54" s="578"/>
      <c r="S54" s="578"/>
      <c r="T54" s="578"/>
      <c r="U54" s="578"/>
      <c r="V54" s="578"/>
      <c r="W54" s="578"/>
      <c r="X54" s="578"/>
      <c r="Y54" s="578"/>
      <c r="Z54" s="578"/>
    </row>
    <row r="55" spans="1:26" x14ac:dyDescent="0.25">
      <c r="A55" s="578"/>
      <c r="B55" s="578"/>
      <c r="C55" s="578"/>
      <c r="D55" s="578"/>
      <c r="E55" s="578"/>
      <c r="F55" s="578"/>
      <c r="G55" s="578"/>
      <c r="H55" s="578"/>
      <c r="I55" s="578"/>
      <c r="J55" s="578"/>
      <c r="K55" s="578"/>
      <c r="L55" s="578"/>
      <c r="M55" s="578"/>
      <c r="N55" s="578"/>
      <c r="O55" s="578"/>
      <c r="P55" s="578"/>
      <c r="Q55" s="578"/>
      <c r="R55" s="578"/>
      <c r="S55" s="578"/>
      <c r="T55" s="578"/>
      <c r="U55" s="578"/>
      <c r="V55" s="578"/>
      <c r="W55" s="578"/>
      <c r="X55" s="578"/>
      <c r="Y55" s="578"/>
      <c r="Z55" s="578"/>
    </row>
  </sheetData>
  <phoneticPr fontId="0" type="noConversion"/>
  <conditionalFormatting sqref="A1:A55 B1:Z3 N4:Z45 B46:Z55">
    <cfRule type="expression" dxfId="11" priority="1" stopIfTrue="1">
      <formula>$U$10=TRUE</formula>
    </cfRule>
  </conditionalFormatting>
  <pageMargins left="0.59" right="0.53" top="0.31" bottom="1" header="0.5" footer="0.5"/>
  <pageSetup paperSize="9" orientation="portrait" blackAndWhite="1" horizontalDpi="4294967292"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104" r:id="rId4" name="basic2button">
              <controlPr defaultSize="0" print="0" autoFill="0" autoPict="0" macro="[0]!returnfromcopy">
                <anchor moveWithCells="1" sizeWithCells="1">
                  <from>
                    <xdr:col>14</xdr:col>
                    <xdr:colOff>190500</xdr:colOff>
                    <xdr:row>5</xdr:row>
                    <xdr:rowOff>0</xdr:rowOff>
                  </from>
                  <to>
                    <xdr:col>14</xdr:col>
                    <xdr:colOff>1073150</xdr:colOff>
                    <xdr:row>7</xdr:row>
                    <xdr:rowOff>120650</xdr:rowOff>
                  </to>
                </anchor>
              </controlPr>
            </control>
          </mc:Choice>
        </mc:AlternateContent>
        <mc:AlternateContent xmlns:mc="http://schemas.openxmlformats.org/markup-compatibility/2006">
          <mc:Choice Requires="x14">
            <control shapeId="46105" r:id="rId5" name="basic2delbutton">
              <controlPr defaultSize="0" print="0" autoFill="0" autoPict="0" macro="[0]!delete_basic2button">
                <anchor moveWithCells="1" sizeWithCells="1">
                  <from>
                    <xdr:col>14</xdr:col>
                    <xdr:colOff>190500</xdr:colOff>
                    <xdr:row>7</xdr:row>
                    <xdr:rowOff>146050</xdr:rowOff>
                  </from>
                  <to>
                    <xdr:col>14</xdr:col>
                    <xdr:colOff>1079500</xdr:colOff>
                    <xdr:row>7</xdr:row>
                    <xdr:rowOff>711200</xdr:rowOff>
                  </to>
                </anchor>
              </controlPr>
            </control>
          </mc:Choice>
        </mc:AlternateContent>
        <mc:AlternateContent xmlns:mc="http://schemas.openxmlformats.org/markup-compatibility/2006">
          <mc:Choice Requires="x14">
            <control shapeId="46106" r:id="rId6" name="pdfbutton">
              <controlPr defaultSize="0" print="0" autoFill="0" autoPict="0" macro="[0]!pdfonly">
                <anchor moveWithCells="1" sizeWithCells="1">
                  <from>
                    <xdr:col>14</xdr:col>
                    <xdr:colOff>1168400</xdr:colOff>
                    <xdr:row>6</xdr:row>
                    <xdr:rowOff>0</xdr:rowOff>
                  </from>
                  <to>
                    <xdr:col>14</xdr:col>
                    <xdr:colOff>2057400</xdr:colOff>
                    <xdr:row>7</xdr:row>
                    <xdr:rowOff>406400</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D9EEC-6CEB-478E-A9A2-F59961A4ED68}">
  <sheetPr codeName="Sheet37">
    <pageSetUpPr fitToPage="1"/>
  </sheetPr>
  <dimension ref="A1:AR139"/>
  <sheetViews>
    <sheetView showGridLines="0" workbookViewId="0"/>
  </sheetViews>
  <sheetFormatPr defaultColWidth="9.08984375" defaultRowHeight="12.5" x14ac:dyDescent="0.25"/>
  <cols>
    <col min="1" max="1" width="12.08984375" style="30" customWidth="1"/>
    <col min="2" max="2" width="2.6328125" style="30" customWidth="1"/>
    <col min="3" max="3" width="10.90625" style="30" customWidth="1"/>
    <col min="4" max="4" width="24" style="30" bestFit="1" customWidth="1"/>
    <col min="5" max="5" width="12.08984375" style="698" customWidth="1"/>
    <col min="6" max="6" width="5.54296875" style="698" customWidth="1"/>
    <col min="7" max="7" width="7" style="698" customWidth="1"/>
    <col min="8" max="8" width="12.54296875" style="30" bestFit="1" customWidth="1"/>
    <col min="9" max="9" width="12.453125" style="699" customWidth="1"/>
    <col min="10" max="10" width="4.36328125" style="30" customWidth="1"/>
    <col min="11" max="11" width="3" style="30" customWidth="1"/>
    <col min="12" max="12" width="42.36328125" style="30" customWidth="1"/>
    <col min="13" max="16384" width="9.08984375" style="30"/>
  </cols>
  <sheetData>
    <row r="1" spans="1:44" ht="6.75" customHeight="1" x14ac:dyDescent="0.25">
      <c r="A1" s="708"/>
      <c r="B1" s="708"/>
      <c r="C1" s="708"/>
      <c r="D1" s="708"/>
      <c r="E1" s="709"/>
      <c r="F1" s="709"/>
      <c r="G1" s="709"/>
      <c r="H1" s="708"/>
      <c r="I1" s="710"/>
      <c r="J1" s="708"/>
      <c r="K1" s="708"/>
      <c r="L1" s="708"/>
      <c r="M1" s="708"/>
      <c r="N1" s="708"/>
      <c r="O1" s="708"/>
      <c r="P1" s="708"/>
      <c r="Q1" s="708"/>
      <c r="R1" s="708"/>
      <c r="S1" s="708"/>
      <c r="T1" s="708"/>
      <c r="U1" s="708"/>
      <c r="V1" s="708"/>
      <c r="W1" s="708"/>
      <c r="X1" s="708"/>
      <c r="Y1" s="708"/>
      <c r="Z1" s="708"/>
      <c r="AA1" s="708"/>
      <c r="AB1" s="708"/>
      <c r="AC1" s="708"/>
      <c r="AD1" s="708"/>
      <c r="AE1" s="708"/>
      <c r="AF1" s="708"/>
      <c r="AG1" s="708"/>
      <c r="AH1" s="708"/>
      <c r="AI1" s="708"/>
      <c r="AJ1" s="708"/>
      <c r="AK1" s="708"/>
      <c r="AL1" s="708"/>
      <c r="AM1" s="708"/>
      <c r="AN1" s="708"/>
      <c r="AO1" s="708"/>
      <c r="AP1" s="708"/>
      <c r="AQ1" s="708"/>
      <c r="AR1" s="708"/>
    </row>
    <row r="2" spans="1:44" ht="8.25" customHeight="1" x14ac:dyDescent="0.25">
      <c r="A2" s="708"/>
      <c r="B2" s="708"/>
      <c r="C2" s="708"/>
      <c r="D2" s="708"/>
      <c r="E2" s="709"/>
      <c r="F2" s="709"/>
      <c r="G2" s="709"/>
      <c r="H2" s="708"/>
      <c r="I2" s="710"/>
      <c r="J2" s="708"/>
      <c r="K2" s="708"/>
      <c r="L2" s="708"/>
      <c r="M2" s="708"/>
      <c r="N2" s="708"/>
      <c r="O2" s="708"/>
      <c r="P2" s="708"/>
      <c r="Q2" s="708"/>
      <c r="R2" s="708"/>
      <c r="S2" s="708"/>
      <c r="T2" s="708"/>
      <c r="U2" s="708"/>
      <c r="V2" s="708"/>
      <c r="W2" s="708"/>
      <c r="X2" s="708"/>
      <c r="Y2" s="708"/>
      <c r="Z2" s="708"/>
      <c r="AA2" s="708"/>
      <c r="AB2" s="708"/>
      <c r="AC2" s="708"/>
      <c r="AD2" s="708"/>
      <c r="AE2" s="708"/>
      <c r="AF2" s="708"/>
      <c r="AG2" s="708"/>
      <c r="AH2" s="708"/>
      <c r="AI2" s="708"/>
      <c r="AJ2" s="708"/>
      <c r="AK2" s="708"/>
      <c r="AL2" s="708"/>
      <c r="AM2" s="708"/>
      <c r="AN2" s="708"/>
      <c r="AO2" s="708"/>
      <c r="AP2" s="708"/>
      <c r="AQ2" s="708"/>
      <c r="AR2" s="708"/>
    </row>
    <row r="3" spans="1:44" x14ac:dyDescent="0.25">
      <c r="A3" s="708"/>
      <c r="K3" s="708"/>
      <c r="L3" s="708"/>
      <c r="M3" s="708"/>
      <c r="N3" s="708"/>
      <c r="O3" s="708"/>
      <c r="P3" s="708"/>
      <c r="Q3" s="708"/>
      <c r="R3" s="708"/>
      <c r="S3" s="708"/>
      <c r="T3" s="708"/>
      <c r="U3" s="708"/>
      <c r="V3" s="708"/>
      <c r="W3" s="708"/>
      <c r="X3" s="708"/>
      <c r="Y3" s="708"/>
      <c r="Z3" s="708"/>
      <c r="AA3" s="708"/>
      <c r="AB3" s="708"/>
      <c r="AC3" s="708"/>
      <c r="AD3" s="708"/>
      <c r="AE3" s="708"/>
      <c r="AF3" s="708"/>
      <c r="AG3" s="708"/>
      <c r="AH3" s="708"/>
      <c r="AI3" s="708"/>
      <c r="AJ3" s="708"/>
      <c r="AK3" s="708"/>
      <c r="AL3" s="708"/>
      <c r="AM3" s="708"/>
      <c r="AN3" s="708"/>
      <c r="AO3" s="708"/>
      <c r="AP3" s="708"/>
      <c r="AQ3" s="708"/>
      <c r="AR3" s="708"/>
    </row>
    <row r="4" spans="1:44" ht="13" x14ac:dyDescent="0.3">
      <c r="A4" s="708"/>
      <c r="C4" s="291"/>
      <c r="D4" s="256"/>
      <c r="E4" s="273"/>
      <c r="F4" s="273"/>
      <c r="G4" s="273"/>
      <c r="H4" s="291"/>
      <c r="I4" s="475"/>
      <c r="K4" s="708"/>
      <c r="L4" s="708"/>
      <c r="M4" s="708"/>
      <c r="N4" s="708"/>
      <c r="O4" s="708"/>
      <c r="P4" s="708"/>
      <c r="Q4" s="708"/>
      <c r="R4" s="708"/>
      <c r="S4" s="708"/>
      <c r="T4" s="708"/>
      <c r="U4" s="708"/>
      <c r="V4" s="708"/>
      <c r="W4" s="708"/>
      <c r="X4" s="708"/>
      <c r="Y4" s="708"/>
      <c r="Z4" s="708"/>
      <c r="AA4" s="708"/>
      <c r="AB4" s="708"/>
      <c r="AC4" s="708"/>
      <c r="AD4" s="708"/>
      <c r="AE4" s="708"/>
      <c r="AF4" s="708"/>
      <c r="AG4" s="708"/>
      <c r="AH4" s="708"/>
      <c r="AI4" s="708"/>
      <c r="AJ4" s="708"/>
      <c r="AK4" s="708"/>
      <c r="AL4" s="708"/>
      <c r="AM4" s="708"/>
      <c r="AN4" s="708"/>
      <c r="AO4" s="708"/>
      <c r="AP4" s="708"/>
      <c r="AQ4" s="708"/>
      <c r="AR4" s="708"/>
    </row>
    <row r="5" spans="1:44" ht="9" customHeight="1" x14ac:dyDescent="0.3">
      <c r="A5" s="708"/>
      <c r="C5" s="291"/>
      <c r="D5" s="256"/>
      <c r="E5" s="273"/>
      <c r="F5" s="273"/>
      <c r="G5" s="273"/>
      <c r="H5" s="256"/>
      <c r="I5" s="475"/>
      <c r="K5" s="708"/>
      <c r="L5" s="708"/>
      <c r="M5" s="708"/>
      <c r="N5" s="708"/>
      <c r="O5" s="708"/>
      <c r="P5" s="708"/>
      <c r="Q5" s="708"/>
      <c r="R5" s="708"/>
      <c r="S5" s="708"/>
      <c r="T5" s="708"/>
      <c r="U5" s="708"/>
      <c r="V5" s="708"/>
      <c r="W5" s="708"/>
      <c r="X5" s="708"/>
      <c r="Y5" s="708"/>
      <c r="Z5" s="708"/>
      <c r="AA5" s="708"/>
      <c r="AB5" s="708"/>
      <c r="AC5" s="708"/>
      <c r="AD5" s="708"/>
      <c r="AE5" s="708"/>
      <c r="AF5" s="708"/>
      <c r="AG5" s="708"/>
      <c r="AH5" s="708"/>
      <c r="AI5" s="708"/>
      <c r="AJ5" s="708"/>
      <c r="AK5" s="708"/>
      <c r="AL5" s="708"/>
      <c r="AM5" s="708"/>
      <c r="AN5" s="708"/>
      <c r="AO5" s="708"/>
      <c r="AP5" s="708"/>
      <c r="AQ5" s="708"/>
      <c r="AR5" s="708"/>
    </row>
    <row r="6" spans="1:44" ht="13" x14ac:dyDescent="0.3">
      <c r="A6" s="708"/>
      <c r="C6" s="291"/>
      <c r="D6" s="291"/>
      <c r="E6" s="273"/>
      <c r="F6" s="273"/>
      <c r="G6" s="273"/>
      <c r="H6" s="256"/>
      <c r="I6" s="475"/>
      <c r="K6" s="708"/>
      <c r="L6" s="708"/>
      <c r="M6" s="708"/>
      <c r="N6" s="708"/>
      <c r="O6" s="708"/>
      <c r="P6" s="708"/>
      <c r="Q6" s="708"/>
      <c r="R6" s="708"/>
      <c r="S6" s="708"/>
      <c r="T6" s="708"/>
      <c r="U6" s="708"/>
      <c r="V6" s="708"/>
      <c r="W6" s="708"/>
      <c r="X6" s="708"/>
      <c r="Y6" s="708"/>
      <c r="Z6" s="708"/>
      <c r="AA6" s="708"/>
      <c r="AB6" s="708"/>
      <c r="AC6" s="708"/>
      <c r="AD6" s="708"/>
      <c r="AE6" s="708"/>
      <c r="AF6" s="708"/>
      <c r="AG6" s="708"/>
      <c r="AH6" s="708"/>
      <c r="AI6" s="708"/>
      <c r="AJ6" s="708"/>
      <c r="AK6" s="708"/>
      <c r="AL6" s="708"/>
      <c r="AM6" s="708"/>
      <c r="AN6" s="708"/>
      <c r="AO6" s="708"/>
      <c r="AP6" s="708"/>
      <c r="AQ6" s="708"/>
      <c r="AR6" s="708"/>
    </row>
    <row r="7" spans="1:44" ht="13" x14ac:dyDescent="0.3">
      <c r="A7" s="708"/>
      <c r="C7" s="291"/>
      <c r="D7" s="291"/>
      <c r="E7" s="273"/>
      <c r="F7" s="273"/>
      <c r="G7" s="273"/>
      <c r="H7" s="256"/>
      <c r="I7" s="475"/>
      <c r="K7" s="708"/>
      <c r="L7" s="708"/>
      <c r="M7" s="708"/>
      <c r="N7" s="708"/>
      <c r="O7" s="708"/>
      <c r="P7" s="708"/>
      <c r="Q7" s="708"/>
      <c r="R7" s="708"/>
      <c r="S7" s="708"/>
      <c r="T7" s="708"/>
      <c r="U7" s="708"/>
      <c r="V7" s="708"/>
      <c r="W7" s="708"/>
      <c r="X7" s="708"/>
      <c r="Y7" s="708"/>
      <c r="Z7" s="708"/>
      <c r="AA7" s="708"/>
      <c r="AB7" s="708"/>
      <c r="AC7" s="708"/>
      <c r="AD7" s="708"/>
      <c r="AE7" s="708"/>
      <c r="AF7" s="708"/>
      <c r="AG7" s="708"/>
      <c r="AH7" s="708"/>
      <c r="AI7" s="708"/>
      <c r="AJ7" s="708"/>
      <c r="AK7" s="708"/>
      <c r="AL7" s="708"/>
      <c r="AM7" s="708"/>
      <c r="AN7" s="708"/>
      <c r="AO7" s="708"/>
      <c r="AP7" s="708"/>
      <c r="AQ7" s="708"/>
      <c r="AR7" s="708"/>
    </row>
    <row r="8" spans="1:44" ht="18.75" customHeight="1" x14ac:dyDescent="0.3">
      <c r="A8" s="708"/>
      <c r="C8" s="291"/>
      <c r="D8" s="700"/>
      <c r="E8" s="273"/>
      <c r="F8" s="273"/>
      <c r="G8" s="273"/>
      <c r="H8" s="701"/>
      <c r="I8" s="475"/>
      <c r="K8" s="708"/>
      <c r="L8" s="708"/>
      <c r="M8" s="708"/>
      <c r="N8" s="708"/>
      <c r="O8" s="708"/>
      <c r="P8" s="708"/>
      <c r="Q8" s="708"/>
      <c r="R8" s="708"/>
      <c r="S8" s="708"/>
      <c r="T8" s="708"/>
      <c r="U8" s="708"/>
      <c r="V8" s="708"/>
      <c r="W8" s="708"/>
      <c r="X8" s="708"/>
      <c r="Y8" s="708"/>
      <c r="Z8" s="708"/>
      <c r="AA8" s="708"/>
      <c r="AB8" s="708"/>
      <c r="AC8" s="708"/>
      <c r="AD8" s="708"/>
      <c r="AE8" s="708"/>
      <c r="AF8" s="708"/>
      <c r="AG8" s="708"/>
      <c r="AH8" s="708"/>
      <c r="AI8" s="708"/>
      <c r="AJ8" s="708"/>
      <c r="AK8" s="708"/>
      <c r="AL8" s="708"/>
      <c r="AM8" s="708"/>
      <c r="AN8" s="708"/>
      <c r="AO8" s="708"/>
      <c r="AP8" s="708"/>
      <c r="AQ8" s="708"/>
      <c r="AR8" s="708"/>
    </row>
    <row r="9" spans="1:44" ht="9.75" customHeight="1" x14ac:dyDescent="0.3">
      <c r="A9" s="708"/>
      <c r="C9" s="291"/>
      <c r="D9" s="256"/>
      <c r="E9" s="273"/>
      <c r="F9" s="273"/>
      <c r="G9" s="273"/>
      <c r="H9" s="256"/>
      <c r="I9" s="475"/>
      <c r="K9" s="708"/>
      <c r="L9" s="708"/>
      <c r="M9" s="708"/>
      <c r="N9" s="708"/>
      <c r="O9" s="708"/>
      <c r="P9" s="708"/>
      <c r="Q9" s="708"/>
      <c r="R9" s="708"/>
      <c r="S9" s="708"/>
      <c r="T9" s="708"/>
      <c r="U9" s="708"/>
      <c r="V9" s="708"/>
      <c r="W9" s="708"/>
      <c r="X9" s="708"/>
      <c r="Y9" s="708"/>
      <c r="Z9" s="708"/>
      <c r="AA9" s="708"/>
      <c r="AB9" s="708"/>
      <c r="AC9" s="708"/>
      <c r="AD9" s="708"/>
      <c r="AE9" s="708"/>
      <c r="AF9" s="708"/>
      <c r="AG9" s="708"/>
      <c r="AH9" s="708"/>
      <c r="AI9" s="708"/>
      <c r="AJ9" s="708"/>
      <c r="AK9" s="708"/>
      <c r="AL9" s="708"/>
      <c r="AM9" s="708"/>
      <c r="AN9" s="708"/>
      <c r="AO9" s="708"/>
      <c r="AP9" s="708"/>
      <c r="AQ9" s="708"/>
      <c r="AR9" s="708"/>
    </row>
    <row r="10" spans="1:44" ht="14.15" customHeight="1" x14ac:dyDescent="0.3">
      <c r="A10" s="708"/>
      <c r="C10" s="291"/>
      <c r="D10" s="256"/>
      <c r="E10" s="276"/>
      <c r="F10" s="273"/>
      <c r="G10" s="273"/>
      <c r="H10" s="327"/>
      <c r="I10" s="475"/>
      <c r="K10" s="708"/>
      <c r="L10" s="708"/>
      <c r="M10" s="708"/>
      <c r="N10" s="708"/>
      <c r="O10" s="708"/>
      <c r="P10" s="708"/>
      <c r="Q10" s="708"/>
      <c r="R10" s="708"/>
      <c r="S10" s="708"/>
      <c r="T10" s="708"/>
      <c r="U10" s="708"/>
      <c r="V10" s="708"/>
      <c r="W10" s="708"/>
      <c r="X10" s="708"/>
      <c r="Y10" s="708"/>
      <c r="Z10" s="708"/>
      <c r="AA10" s="708"/>
      <c r="AB10" s="708"/>
      <c r="AC10" s="708"/>
      <c r="AD10" s="708"/>
      <c r="AE10" s="708"/>
      <c r="AF10" s="708"/>
      <c r="AG10" s="708"/>
      <c r="AH10" s="708"/>
      <c r="AI10" s="708"/>
      <c r="AJ10" s="708"/>
      <c r="AK10" s="708"/>
      <c r="AL10" s="708"/>
      <c r="AM10" s="708"/>
      <c r="AN10" s="708"/>
      <c r="AO10" s="708"/>
      <c r="AP10" s="708"/>
      <c r="AQ10" s="708"/>
      <c r="AR10" s="708"/>
    </row>
    <row r="11" spans="1:44" ht="14.15" customHeight="1" x14ac:dyDescent="0.25">
      <c r="A11" s="708"/>
      <c r="C11" s="256"/>
      <c r="D11" s="256"/>
      <c r="E11" s="276"/>
      <c r="F11" s="273"/>
      <c r="G11" s="273"/>
      <c r="H11" s="256"/>
      <c r="I11" s="475"/>
      <c r="K11" s="708"/>
      <c r="L11" s="708"/>
      <c r="M11" s="708"/>
      <c r="N11" s="708"/>
      <c r="O11" s="708"/>
      <c r="P11" s="708"/>
      <c r="Q11" s="708"/>
      <c r="R11" s="708"/>
      <c r="S11" s="708"/>
      <c r="T11" s="708"/>
      <c r="U11" s="708"/>
      <c r="V11" s="708"/>
      <c r="W11" s="708"/>
      <c r="X11" s="708"/>
      <c r="Y11" s="708"/>
      <c r="Z11" s="708"/>
      <c r="AA11" s="708"/>
      <c r="AB11" s="708"/>
      <c r="AC11" s="708"/>
      <c r="AD11" s="708"/>
      <c r="AE11" s="708"/>
      <c r="AF11" s="708"/>
      <c r="AG11" s="708"/>
      <c r="AH11" s="708"/>
      <c r="AI11" s="708"/>
      <c r="AJ11" s="708"/>
      <c r="AK11" s="708"/>
      <c r="AL11" s="708"/>
      <c r="AM11" s="708"/>
      <c r="AN11" s="708"/>
      <c r="AO11" s="708"/>
      <c r="AP11" s="708"/>
      <c r="AQ11" s="708"/>
      <c r="AR11" s="708"/>
    </row>
    <row r="12" spans="1:44" ht="14.15" customHeight="1" x14ac:dyDescent="0.25">
      <c r="A12" s="708"/>
      <c r="C12" s="256"/>
      <c r="D12" s="256"/>
      <c r="E12" s="273"/>
      <c r="F12" s="273"/>
      <c r="G12" s="273"/>
      <c r="H12" s="256"/>
      <c r="I12" s="475"/>
      <c r="K12" s="708"/>
      <c r="L12" s="708"/>
      <c r="M12" s="708"/>
      <c r="N12" s="708"/>
      <c r="O12" s="708"/>
      <c r="P12" s="708"/>
      <c r="Q12" s="708"/>
      <c r="R12" s="708"/>
      <c r="S12" s="708"/>
      <c r="T12" s="708"/>
      <c r="U12" s="708"/>
      <c r="V12" s="708"/>
      <c r="W12" s="708"/>
      <c r="X12" s="708"/>
      <c r="Y12" s="708"/>
      <c r="Z12" s="708"/>
      <c r="AA12" s="708"/>
      <c r="AB12" s="708"/>
      <c r="AC12" s="708"/>
      <c r="AD12" s="708"/>
      <c r="AE12" s="708"/>
      <c r="AF12" s="708"/>
      <c r="AG12" s="708"/>
      <c r="AH12" s="708"/>
      <c r="AI12" s="708"/>
      <c r="AJ12" s="708"/>
      <c r="AK12" s="708"/>
      <c r="AL12" s="708"/>
      <c r="AM12" s="708"/>
      <c r="AN12" s="708"/>
      <c r="AO12" s="708"/>
      <c r="AP12" s="708"/>
      <c r="AQ12" s="708"/>
      <c r="AR12" s="708"/>
    </row>
    <row r="13" spans="1:44" ht="14.15" customHeight="1" x14ac:dyDescent="0.25">
      <c r="A13" s="708"/>
      <c r="C13" s="256"/>
      <c r="D13" s="256"/>
      <c r="E13" s="276"/>
      <c r="F13" s="273"/>
      <c r="G13" s="273"/>
      <c r="H13" s="256"/>
      <c r="I13" s="475"/>
      <c r="K13" s="708"/>
      <c r="L13" s="708"/>
      <c r="M13" s="708"/>
      <c r="N13" s="708"/>
      <c r="O13" s="708"/>
      <c r="P13" s="708"/>
      <c r="Q13" s="708"/>
      <c r="R13" s="708"/>
      <c r="S13" s="708"/>
      <c r="T13" s="708"/>
      <c r="U13" s="708"/>
      <c r="V13" s="708"/>
      <c r="W13" s="708"/>
      <c r="X13" s="708"/>
      <c r="Y13" s="708"/>
      <c r="Z13" s="708"/>
      <c r="AA13" s="708"/>
      <c r="AB13" s="708"/>
      <c r="AC13" s="708"/>
      <c r="AD13" s="708"/>
      <c r="AE13" s="708"/>
      <c r="AF13" s="708"/>
      <c r="AG13" s="708"/>
      <c r="AH13" s="708"/>
      <c r="AI13" s="708"/>
      <c r="AJ13" s="708"/>
      <c r="AK13" s="708"/>
      <c r="AL13" s="708"/>
      <c r="AM13" s="708"/>
      <c r="AN13" s="708"/>
      <c r="AO13" s="708"/>
      <c r="AP13" s="708"/>
      <c r="AQ13" s="708"/>
      <c r="AR13" s="708"/>
    </row>
    <row r="14" spans="1:44" ht="14.15" customHeight="1" x14ac:dyDescent="0.25">
      <c r="A14" s="708"/>
      <c r="C14" s="256"/>
      <c r="D14" s="256"/>
      <c r="E14" s="273"/>
      <c r="F14" s="273"/>
      <c r="G14" s="273"/>
      <c r="H14" s="256"/>
      <c r="I14" s="475"/>
      <c r="K14" s="708"/>
      <c r="L14" s="708"/>
      <c r="M14" s="708"/>
      <c r="N14" s="708"/>
      <c r="O14" s="708"/>
      <c r="P14" s="708"/>
      <c r="Q14" s="708"/>
      <c r="R14" s="708"/>
      <c r="S14" s="708"/>
      <c r="T14" s="708"/>
      <c r="U14" s="708"/>
      <c r="V14" s="708"/>
      <c r="W14" s="708"/>
      <c r="X14" s="708"/>
      <c r="Y14" s="708"/>
      <c r="Z14" s="708"/>
      <c r="AA14" s="708"/>
      <c r="AB14" s="708"/>
      <c r="AC14" s="708"/>
      <c r="AD14" s="708"/>
      <c r="AE14" s="708"/>
      <c r="AF14" s="708"/>
      <c r="AG14" s="708"/>
      <c r="AH14" s="708"/>
      <c r="AI14" s="708"/>
      <c r="AJ14" s="708"/>
      <c r="AK14" s="708"/>
      <c r="AL14" s="708"/>
      <c r="AM14" s="708"/>
      <c r="AN14" s="708"/>
      <c r="AO14" s="708"/>
      <c r="AP14" s="708"/>
      <c r="AQ14" s="708"/>
      <c r="AR14" s="708"/>
    </row>
    <row r="15" spans="1:44" ht="14.15" customHeight="1" x14ac:dyDescent="0.25">
      <c r="A15" s="708"/>
      <c r="C15" s="256"/>
      <c r="D15" s="256"/>
      <c r="E15" s="276"/>
      <c r="F15" s="273"/>
      <c r="G15" s="273"/>
      <c r="H15" s="256"/>
      <c r="I15" s="475"/>
      <c r="K15" s="708"/>
      <c r="L15" s="708"/>
      <c r="M15" s="708"/>
      <c r="N15" s="708"/>
      <c r="O15" s="708"/>
      <c r="P15" s="708"/>
      <c r="Q15" s="708"/>
      <c r="R15" s="708"/>
      <c r="S15" s="708"/>
      <c r="T15" s="708"/>
      <c r="U15" s="708"/>
      <c r="V15" s="708"/>
      <c r="W15" s="708"/>
      <c r="X15" s="708"/>
      <c r="Y15" s="708"/>
      <c r="Z15" s="708"/>
      <c r="AA15" s="708"/>
      <c r="AB15" s="708"/>
      <c r="AC15" s="708"/>
      <c r="AD15" s="708"/>
      <c r="AE15" s="708"/>
      <c r="AF15" s="708"/>
      <c r="AG15" s="708"/>
      <c r="AH15" s="708"/>
      <c r="AI15" s="708"/>
      <c r="AJ15" s="708"/>
      <c r="AK15" s="708"/>
      <c r="AL15" s="708"/>
      <c r="AM15" s="708"/>
      <c r="AN15" s="708"/>
      <c r="AO15" s="708"/>
      <c r="AP15" s="708"/>
      <c r="AQ15" s="708"/>
      <c r="AR15" s="708"/>
    </row>
    <row r="16" spans="1:44" ht="14.15" customHeight="1" x14ac:dyDescent="0.25">
      <c r="A16" s="708"/>
      <c r="C16" s="256"/>
      <c r="D16" s="256"/>
      <c r="E16" s="273"/>
      <c r="F16" s="273"/>
      <c r="G16" s="273"/>
      <c r="H16" s="256"/>
      <c r="I16" s="475"/>
      <c r="K16" s="708"/>
      <c r="L16" s="708"/>
      <c r="M16" s="708"/>
      <c r="N16" s="708"/>
      <c r="O16" s="708"/>
      <c r="P16" s="708"/>
      <c r="Q16" s="708"/>
      <c r="R16" s="708"/>
      <c r="S16" s="708"/>
      <c r="T16" s="708"/>
      <c r="U16" s="708"/>
      <c r="V16" s="708"/>
      <c r="W16" s="708"/>
      <c r="X16" s="708"/>
      <c r="Y16" s="708"/>
      <c r="Z16" s="708"/>
      <c r="AA16" s="708"/>
      <c r="AB16" s="708"/>
      <c r="AC16" s="708"/>
      <c r="AD16" s="708"/>
      <c r="AE16" s="708"/>
      <c r="AF16" s="708"/>
      <c r="AG16" s="708"/>
      <c r="AH16" s="708"/>
      <c r="AI16" s="708"/>
      <c r="AJ16" s="708"/>
      <c r="AK16" s="708"/>
      <c r="AL16" s="708"/>
      <c r="AM16" s="708"/>
      <c r="AN16" s="708"/>
      <c r="AO16" s="708"/>
      <c r="AP16" s="708"/>
      <c r="AQ16" s="708"/>
      <c r="AR16" s="708"/>
    </row>
    <row r="17" spans="1:44" ht="14.15" customHeight="1" x14ac:dyDescent="0.25">
      <c r="A17" s="708"/>
      <c r="C17" s="256"/>
      <c r="D17" s="256"/>
      <c r="E17" s="273"/>
      <c r="F17" s="273"/>
      <c r="G17" s="273"/>
      <c r="H17" s="256"/>
      <c r="I17" s="475"/>
      <c r="K17" s="708"/>
      <c r="L17" s="708"/>
      <c r="M17" s="708"/>
      <c r="N17" s="708"/>
      <c r="O17" s="708"/>
      <c r="P17" s="708"/>
      <c r="Q17" s="708"/>
      <c r="R17" s="708"/>
      <c r="S17" s="708"/>
      <c r="T17" s="708"/>
      <c r="U17" s="708"/>
      <c r="V17" s="708"/>
      <c r="W17" s="708"/>
      <c r="X17" s="708"/>
      <c r="Y17" s="708"/>
      <c r="Z17" s="708"/>
      <c r="AA17" s="708"/>
      <c r="AB17" s="708"/>
      <c r="AC17" s="708"/>
      <c r="AD17" s="708"/>
      <c r="AE17" s="708"/>
      <c r="AF17" s="708"/>
      <c r="AG17" s="708"/>
      <c r="AH17" s="708"/>
      <c r="AI17" s="708"/>
      <c r="AJ17" s="708"/>
      <c r="AK17" s="708"/>
      <c r="AL17" s="708"/>
      <c r="AM17" s="708"/>
      <c r="AN17" s="708"/>
      <c r="AO17" s="708"/>
      <c r="AP17" s="708"/>
      <c r="AQ17" s="708"/>
      <c r="AR17" s="708"/>
    </row>
    <row r="18" spans="1:44" ht="14.15" customHeight="1" x14ac:dyDescent="0.25">
      <c r="A18" s="708"/>
      <c r="C18" s="256"/>
      <c r="D18" s="256"/>
      <c r="E18" s="273"/>
      <c r="F18" s="273"/>
      <c r="G18" s="273"/>
      <c r="H18" s="256"/>
      <c r="I18" s="475"/>
      <c r="K18" s="708"/>
      <c r="L18" s="708"/>
      <c r="M18" s="708"/>
      <c r="N18" s="708"/>
      <c r="O18" s="708"/>
      <c r="P18" s="708"/>
      <c r="Q18" s="708"/>
      <c r="R18" s="708"/>
      <c r="S18" s="708"/>
      <c r="T18" s="708"/>
      <c r="U18" s="708"/>
      <c r="V18" s="708"/>
      <c r="W18" s="708"/>
      <c r="X18" s="708"/>
      <c r="Y18" s="708"/>
      <c r="Z18" s="708"/>
      <c r="AA18" s="708"/>
      <c r="AB18" s="708"/>
      <c r="AC18" s="708"/>
      <c r="AD18" s="708"/>
      <c r="AE18" s="708"/>
      <c r="AF18" s="708"/>
      <c r="AG18" s="708"/>
      <c r="AH18" s="708"/>
      <c r="AI18" s="708"/>
      <c r="AJ18" s="708"/>
      <c r="AK18" s="708"/>
      <c r="AL18" s="708"/>
      <c r="AM18" s="708"/>
      <c r="AN18" s="708"/>
      <c r="AO18" s="708"/>
      <c r="AP18" s="708"/>
      <c r="AQ18" s="708"/>
      <c r="AR18" s="708"/>
    </row>
    <row r="19" spans="1:44" ht="14.15" customHeight="1" x14ac:dyDescent="0.25">
      <c r="A19" s="708"/>
      <c r="C19" s="256"/>
      <c r="D19" s="256"/>
      <c r="E19" s="273"/>
      <c r="F19" s="273"/>
      <c r="G19" s="273"/>
      <c r="H19" s="256"/>
      <c r="I19" s="475"/>
      <c r="K19" s="708"/>
      <c r="L19" s="708"/>
      <c r="M19" s="708"/>
      <c r="N19" s="708"/>
      <c r="O19" s="708"/>
      <c r="P19" s="708"/>
      <c r="Q19" s="708"/>
      <c r="R19" s="708"/>
      <c r="S19" s="708"/>
      <c r="T19" s="708"/>
      <c r="U19" s="708"/>
      <c r="V19" s="708"/>
      <c r="W19" s="708"/>
      <c r="X19" s="708"/>
      <c r="Y19" s="708"/>
      <c r="Z19" s="708"/>
      <c r="AA19" s="708"/>
      <c r="AB19" s="708"/>
      <c r="AC19" s="708"/>
      <c r="AD19" s="708"/>
      <c r="AE19" s="708"/>
      <c r="AF19" s="708"/>
      <c r="AG19" s="708"/>
      <c r="AH19" s="708"/>
      <c r="AI19" s="708"/>
      <c r="AJ19" s="708"/>
      <c r="AK19" s="708"/>
      <c r="AL19" s="708"/>
      <c r="AM19" s="708"/>
      <c r="AN19" s="708"/>
      <c r="AO19" s="708"/>
      <c r="AP19" s="708"/>
      <c r="AQ19" s="708"/>
      <c r="AR19" s="708"/>
    </row>
    <row r="20" spans="1:44" ht="14.15" customHeight="1" x14ac:dyDescent="0.25">
      <c r="A20" s="708"/>
      <c r="C20" s="256"/>
      <c r="D20" s="256"/>
      <c r="E20" s="273"/>
      <c r="F20" s="273"/>
      <c r="G20" s="273"/>
      <c r="H20" s="256"/>
      <c r="I20" s="475"/>
      <c r="K20" s="708"/>
      <c r="L20" s="708"/>
      <c r="M20" s="708"/>
      <c r="N20" s="708"/>
      <c r="O20" s="708"/>
      <c r="P20" s="708"/>
      <c r="Q20" s="708"/>
      <c r="R20" s="708"/>
      <c r="S20" s="708"/>
      <c r="T20" s="708"/>
      <c r="U20" s="708"/>
      <c r="V20" s="708"/>
      <c r="W20" s="708"/>
      <c r="X20" s="708"/>
      <c r="Y20" s="708"/>
      <c r="Z20" s="708"/>
      <c r="AA20" s="708"/>
      <c r="AB20" s="708"/>
      <c r="AC20" s="708"/>
      <c r="AD20" s="708"/>
      <c r="AE20" s="708"/>
      <c r="AF20" s="708"/>
      <c r="AG20" s="708"/>
      <c r="AH20" s="708"/>
      <c r="AI20" s="708"/>
      <c r="AJ20" s="708"/>
      <c r="AK20" s="708"/>
      <c r="AL20" s="708"/>
      <c r="AM20" s="708"/>
      <c r="AN20" s="708"/>
      <c r="AO20" s="708"/>
      <c r="AP20" s="708"/>
      <c r="AQ20" s="708"/>
      <c r="AR20" s="708"/>
    </row>
    <row r="21" spans="1:44" ht="15" customHeight="1" thickBot="1" x14ac:dyDescent="0.35">
      <c r="A21" s="708"/>
      <c r="C21" s="291"/>
      <c r="D21" s="702"/>
      <c r="E21" s="703"/>
      <c r="F21" s="703"/>
      <c r="G21" s="703"/>
      <c r="H21" s="702"/>
      <c r="I21" s="704"/>
      <c r="K21" s="708"/>
      <c r="L21" s="708"/>
      <c r="M21" s="708"/>
      <c r="N21" s="708"/>
      <c r="O21" s="708"/>
      <c r="P21" s="708"/>
      <c r="Q21" s="708"/>
      <c r="R21" s="708"/>
      <c r="S21" s="708"/>
      <c r="T21" s="708"/>
      <c r="U21" s="708"/>
      <c r="V21" s="708"/>
      <c r="W21" s="708"/>
      <c r="X21" s="708"/>
      <c r="Y21" s="708"/>
      <c r="Z21" s="708"/>
      <c r="AA21" s="708"/>
      <c r="AB21" s="708"/>
      <c r="AC21" s="708"/>
      <c r="AD21" s="708"/>
      <c r="AE21" s="708"/>
      <c r="AF21" s="708"/>
      <c r="AG21" s="708"/>
      <c r="AH21" s="708"/>
      <c r="AI21" s="708"/>
      <c r="AJ21" s="708"/>
      <c r="AK21" s="708"/>
      <c r="AL21" s="708"/>
      <c r="AM21" s="708"/>
      <c r="AN21" s="708"/>
      <c r="AO21" s="708"/>
      <c r="AP21" s="708"/>
      <c r="AQ21" s="708"/>
      <c r="AR21" s="708"/>
    </row>
    <row r="22" spans="1:44" ht="9.75" customHeight="1" thickTop="1" x14ac:dyDescent="0.25">
      <c r="A22" s="708"/>
      <c r="C22" s="256"/>
      <c r="D22" s="256"/>
      <c r="E22" s="273"/>
      <c r="F22" s="273"/>
      <c r="G22" s="273"/>
      <c r="H22" s="256"/>
      <c r="I22" s="475"/>
      <c r="K22" s="708"/>
      <c r="L22" s="708"/>
      <c r="M22" s="708"/>
      <c r="N22" s="708"/>
      <c r="O22" s="708"/>
      <c r="P22" s="708"/>
      <c r="Q22" s="708"/>
      <c r="R22" s="708"/>
      <c r="S22" s="708"/>
      <c r="T22" s="708"/>
      <c r="U22" s="708"/>
      <c r="V22" s="708"/>
      <c r="W22" s="708"/>
      <c r="X22" s="708"/>
      <c r="Y22" s="708"/>
      <c r="Z22" s="708"/>
      <c r="AA22" s="708"/>
      <c r="AB22" s="708"/>
      <c r="AC22" s="708"/>
      <c r="AD22" s="708"/>
      <c r="AE22" s="708"/>
      <c r="AF22" s="708"/>
      <c r="AG22" s="708"/>
      <c r="AH22" s="708"/>
      <c r="AI22" s="708"/>
      <c r="AJ22" s="708"/>
      <c r="AK22" s="708"/>
      <c r="AL22" s="708"/>
      <c r="AM22" s="708"/>
      <c r="AN22" s="708"/>
      <c r="AO22" s="708"/>
      <c r="AP22" s="708"/>
      <c r="AQ22" s="708"/>
      <c r="AR22" s="708"/>
    </row>
    <row r="23" spans="1:44" ht="14.15" customHeight="1" x14ac:dyDescent="0.3">
      <c r="A23" s="708"/>
      <c r="C23" s="291"/>
      <c r="D23" s="256"/>
      <c r="E23" s="276"/>
      <c r="F23" s="273"/>
      <c r="G23" s="273"/>
      <c r="H23" s="327"/>
      <c r="I23" s="475"/>
      <c r="K23" s="708"/>
      <c r="L23" s="708"/>
      <c r="M23" s="708"/>
      <c r="N23" s="708"/>
      <c r="O23" s="708"/>
      <c r="P23" s="708"/>
      <c r="Q23" s="708"/>
      <c r="R23" s="708"/>
      <c r="S23" s="708"/>
      <c r="T23" s="708"/>
      <c r="U23" s="708"/>
      <c r="V23" s="708"/>
      <c r="W23" s="708"/>
      <c r="X23" s="708"/>
      <c r="Y23" s="708"/>
      <c r="Z23" s="708"/>
      <c r="AA23" s="708"/>
      <c r="AB23" s="708"/>
      <c r="AC23" s="708"/>
      <c r="AD23" s="708"/>
      <c r="AE23" s="708"/>
      <c r="AF23" s="708"/>
      <c r="AG23" s="708"/>
      <c r="AH23" s="708"/>
      <c r="AI23" s="708"/>
      <c r="AJ23" s="708"/>
      <c r="AK23" s="708"/>
      <c r="AL23" s="708"/>
      <c r="AM23" s="708"/>
      <c r="AN23" s="708"/>
      <c r="AO23" s="708"/>
      <c r="AP23" s="708"/>
      <c r="AQ23" s="708"/>
      <c r="AR23" s="708"/>
    </row>
    <row r="24" spans="1:44" ht="14.15" customHeight="1" x14ac:dyDescent="0.25">
      <c r="A24" s="708"/>
      <c r="C24" s="256"/>
      <c r="D24" s="256"/>
      <c r="E24" s="276"/>
      <c r="F24" s="273"/>
      <c r="G24" s="273"/>
      <c r="H24" s="256"/>
      <c r="I24" s="475"/>
      <c r="K24" s="708"/>
      <c r="L24" s="708"/>
      <c r="M24" s="708"/>
      <c r="N24" s="708"/>
      <c r="O24" s="708"/>
      <c r="P24" s="708"/>
      <c r="Q24" s="708"/>
      <c r="R24" s="708"/>
      <c r="S24" s="708"/>
      <c r="T24" s="708"/>
      <c r="U24" s="708"/>
      <c r="V24" s="708"/>
      <c r="W24" s="708"/>
      <c r="X24" s="708"/>
      <c r="Y24" s="708"/>
      <c r="Z24" s="708"/>
      <c r="AA24" s="708"/>
      <c r="AB24" s="708"/>
      <c r="AC24" s="708"/>
      <c r="AD24" s="708"/>
      <c r="AE24" s="708"/>
      <c r="AF24" s="708"/>
      <c r="AG24" s="708"/>
      <c r="AH24" s="708"/>
      <c r="AI24" s="708"/>
      <c r="AJ24" s="708"/>
      <c r="AK24" s="708"/>
      <c r="AL24" s="708"/>
      <c r="AM24" s="708"/>
      <c r="AN24" s="708"/>
      <c r="AO24" s="708"/>
      <c r="AP24" s="708"/>
      <c r="AQ24" s="708"/>
      <c r="AR24" s="708"/>
    </row>
    <row r="25" spans="1:44" ht="14.15" customHeight="1" x14ac:dyDescent="0.25">
      <c r="A25" s="708"/>
      <c r="C25" s="256"/>
      <c r="D25" s="256"/>
      <c r="E25" s="273"/>
      <c r="F25" s="273"/>
      <c r="G25" s="273"/>
      <c r="H25" s="256"/>
      <c r="I25" s="475"/>
      <c r="K25" s="708"/>
      <c r="L25" s="708"/>
      <c r="M25" s="708"/>
      <c r="N25" s="708"/>
      <c r="O25" s="708"/>
      <c r="P25" s="708"/>
      <c r="Q25" s="708"/>
      <c r="R25" s="708"/>
      <c r="S25" s="708"/>
      <c r="T25" s="708"/>
      <c r="U25" s="708"/>
      <c r="V25" s="708"/>
      <c r="W25" s="708"/>
      <c r="X25" s="708"/>
      <c r="Y25" s="708"/>
      <c r="Z25" s="708"/>
      <c r="AA25" s="708"/>
      <c r="AB25" s="708"/>
      <c r="AC25" s="708"/>
      <c r="AD25" s="708"/>
      <c r="AE25" s="708"/>
      <c r="AF25" s="708"/>
      <c r="AG25" s="708"/>
      <c r="AH25" s="708"/>
      <c r="AI25" s="708"/>
      <c r="AJ25" s="708"/>
      <c r="AK25" s="708"/>
      <c r="AL25" s="708"/>
      <c r="AM25" s="708"/>
      <c r="AN25" s="708"/>
      <c r="AO25" s="708"/>
      <c r="AP25" s="708"/>
      <c r="AQ25" s="708"/>
      <c r="AR25" s="708"/>
    </row>
    <row r="26" spans="1:44" ht="14.15" customHeight="1" x14ac:dyDescent="0.25">
      <c r="A26" s="708"/>
      <c r="C26" s="256"/>
      <c r="D26" s="256"/>
      <c r="E26" s="276"/>
      <c r="F26" s="273"/>
      <c r="G26" s="273"/>
      <c r="H26" s="256"/>
      <c r="I26" s="475"/>
      <c r="K26" s="708"/>
      <c r="L26" s="708"/>
      <c r="M26" s="708"/>
      <c r="N26" s="708"/>
      <c r="O26" s="708"/>
      <c r="P26" s="708"/>
      <c r="Q26" s="708"/>
      <c r="R26" s="708"/>
      <c r="S26" s="708"/>
      <c r="T26" s="708"/>
      <c r="U26" s="708"/>
      <c r="V26" s="708"/>
      <c r="W26" s="708"/>
      <c r="X26" s="708"/>
      <c r="Y26" s="708"/>
      <c r="Z26" s="708"/>
      <c r="AA26" s="708"/>
      <c r="AB26" s="708"/>
      <c r="AC26" s="708"/>
      <c r="AD26" s="708"/>
      <c r="AE26" s="708"/>
      <c r="AF26" s="708"/>
      <c r="AG26" s="708"/>
      <c r="AH26" s="708"/>
      <c r="AI26" s="708"/>
      <c r="AJ26" s="708"/>
      <c r="AK26" s="708"/>
      <c r="AL26" s="708"/>
      <c r="AM26" s="708"/>
      <c r="AN26" s="708"/>
      <c r="AO26" s="708"/>
      <c r="AP26" s="708"/>
      <c r="AQ26" s="708"/>
      <c r="AR26" s="708"/>
    </row>
    <row r="27" spans="1:44" ht="14.15" customHeight="1" x14ac:dyDescent="0.25">
      <c r="A27" s="708"/>
      <c r="C27" s="256"/>
      <c r="D27" s="256"/>
      <c r="E27" s="273"/>
      <c r="F27" s="273"/>
      <c r="G27" s="273"/>
      <c r="H27" s="256"/>
      <c r="I27" s="475"/>
      <c r="K27" s="708"/>
      <c r="L27" s="708"/>
      <c r="M27" s="708"/>
      <c r="N27" s="708"/>
      <c r="O27" s="708"/>
      <c r="P27" s="708"/>
      <c r="Q27" s="708"/>
      <c r="R27" s="708"/>
      <c r="S27" s="708"/>
      <c r="T27" s="708"/>
      <c r="U27" s="708"/>
      <c r="V27" s="708"/>
      <c r="W27" s="708"/>
      <c r="X27" s="708"/>
      <c r="Y27" s="708"/>
      <c r="Z27" s="708"/>
      <c r="AA27" s="708"/>
      <c r="AB27" s="708"/>
      <c r="AC27" s="708"/>
      <c r="AD27" s="708"/>
      <c r="AE27" s="708"/>
      <c r="AF27" s="708"/>
      <c r="AG27" s="708"/>
      <c r="AH27" s="708"/>
      <c r="AI27" s="708"/>
      <c r="AJ27" s="708"/>
      <c r="AK27" s="708"/>
      <c r="AL27" s="708"/>
      <c r="AM27" s="708"/>
      <c r="AN27" s="708"/>
      <c r="AO27" s="708"/>
      <c r="AP27" s="708"/>
      <c r="AQ27" s="708"/>
      <c r="AR27" s="708"/>
    </row>
    <row r="28" spans="1:44" ht="14.15" customHeight="1" x14ac:dyDescent="0.25">
      <c r="A28" s="708"/>
      <c r="C28" s="256"/>
      <c r="D28" s="256"/>
      <c r="E28" s="276"/>
      <c r="F28" s="273"/>
      <c r="G28" s="273"/>
      <c r="H28" s="256"/>
      <c r="I28" s="475"/>
      <c r="K28" s="708"/>
      <c r="L28" s="708"/>
      <c r="M28" s="708"/>
      <c r="N28" s="708"/>
      <c r="O28" s="708"/>
      <c r="P28" s="708"/>
      <c r="Q28" s="708"/>
      <c r="R28" s="708"/>
      <c r="S28" s="708"/>
      <c r="T28" s="708"/>
      <c r="U28" s="708"/>
      <c r="V28" s="708"/>
      <c r="W28" s="708"/>
      <c r="X28" s="708"/>
      <c r="Y28" s="708"/>
      <c r="Z28" s="708"/>
      <c r="AA28" s="708"/>
      <c r="AB28" s="708"/>
      <c r="AC28" s="708"/>
      <c r="AD28" s="708"/>
      <c r="AE28" s="708"/>
      <c r="AF28" s="708"/>
      <c r="AG28" s="708"/>
      <c r="AH28" s="708"/>
      <c r="AI28" s="708"/>
      <c r="AJ28" s="708"/>
      <c r="AK28" s="708"/>
      <c r="AL28" s="708"/>
      <c r="AM28" s="708"/>
      <c r="AN28" s="708"/>
      <c r="AO28" s="708"/>
      <c r="AP28" s="708"/>
      <c r="AQ28" s="708"/>
      <c r="AR28" s="708"/>
    </row>
    <row r="29" spans="1:44" ht="14.15" customHeight="1" x14ac:dyDescent="0.25">
      <c r="A29" s="708"/>
      <c r="C29" s="256"/>
      <c r="D29" s="256"/>
      <c r="E29" s="273"/>
      <c r="F29" s="273"/>
      <c r="G29" s="273"/>
      <c r="H29" s="256"/>
      <c r="I29" s="475"/>
      <c r="K29" s="708"/>
      <c r="L29" s="708"/>
      <c r="M29" s="708"/>
      <c r="N29" s="708"/>
      <c r="O29" s="708"/>
      <c r="P29" s="708"/>
      <c r="Q29" s="708"/>
      <c r="R29" s="708"/>
      <c r="S29" s="708"/>
      <c r="T29" s="708"/>
      <c r="U29" s="708"/>
      <c r="V29" s="708"/>
      <c r="W29" s="708"/>
      <c r="X29" s="708"/>
      <c r="Y29" s="708"/>
      <c r="Z29" s="708"/>
      <c r="AA29" s="708"/>
      <c r="AB29" s="708"/>
      <c r="AC29" s="708"/>
      <c r="AD29" s="708"/>
      <c r="AE29" s="708"/>
      <c r="AF29" s="708"/>
      <c r="AG29" s="708"/>
      <c r="AH29" s="708"/>
      <c r="AI29" s="708"/>
      <c r="AJ29" s="708"/>
      <c r="AK29" s="708"/>
      <c r="AL29" s="708"/>
      <c r="AM29" s="708"/>
      <c r="AN29" s="708"/>
      <c r="AO29" s="708"/>
      <c r="AP29" s="708"/>
      <c r="AQ29" s="708"/>
      <c r="AR29" s="708"/>
    </row>
    <row r="30" spans="1:44" ht="14.15" customHeight="1" x14ac:dyDescent="0.25">
      <c r="A30" s="708"/>
      <c r="C30" s="256"/>
      <c r="D30" s="256"/>
      <c r="E30" s="273"/>
      <c r="F30" s="273"/>
      <c r="G30" s="273"/>
      <c r="H30" s="256"/>
      <c r="I30" s="475"/>
      <c r="K30" s="708"/>
      <c r="L30" s="708"/>
      <c r="M30" s="708"/>
      <c r="N30" s="708"/>
      <c r="O30" s="708"/>
      <c r="P30" s="708"/>
      <c r="Q30" s="708"/>
      <c r="R30" s="708"/>
      <c r="S30" s="708"/>
      <c r="T30" s="708"/>
      <c r="U30" s="708"/>
      <c r="V30" s="708"/>
      <c r="W30" s="708"/>
      <c r="X30" s="708"/>
      <c r="Y30" s="708"/>
      <c r="Z30" s="708"/>
      <c r="AA30" s="708"/>
      <c r="AB30" s="708"/>
      <c r="AC30" s="708"/>
      <c r="AD30" s="708"/>
      <c r="AE30" s="708"/>
      <c r="AF30" s="708"/>
      <c r="AG30" s="708"/>
      <c r="AH30" s="708"/>
      <c r="AI30" s="708"/>
      <c r="AJ30" s="708"/>
      <c r="AK30" s="708"/>
      <c r="AL30" s="708"/>
      <c r="AM30" s="708"/>
      <c r="AN30" s="708"/>
      <c r="AO30" s="708"/>
      <c r="AP30" s="708"/>
      <c r="AQ30" s="708"/>
      <c r="AR30" s="708"/>
    </row>
    <row r="31" spans="1:44" ht="14.15" customHeight="1" x14ac:dyDescent="0.25">
      <c r="A31" s="708"/>
      <c r="C31" s="256"/>
      <c r="D31" s="256"/>
      <c r="E31" s="273"/>
      <c r="F31" s="273"/>
      <c r="G31" s="273"/>
      <c r="H31" s="256"/>
      <c r="I31" s="475"/>
      <c r="K31" s="708"/>
      <c r="L31" s="708"/>
      <c r="M31" s="708"/>
      <c r="N31" s="708"/>
      <c r="O31" s="708"/>
      <c r="P31" s="708"/>
      <c r="Q31" s="708"/>
      <c r="R31" s="708"/>
      <c r="S31" s="708"/>
      <c r="T31" s="708"/>
      <c r="U31" s="708"/>
      <c r="V31" s="708"/>
      <c r="W31" s="708"/>
      <c r="X31" s="708"/>
      <c r="Y31" s="708"/>
      <c r="Z31" s="708"/>
      <c r="AA31" s="708"/>
      <c r="AB31" s="708"/>
      <c r="AC31" s="708"/>
      <c r="AD31" s="708"/>
      <c r="AE31" s="708"/>
      <c r="AF31" s="708"/>
      <c r="AG31" s="708"/>
      <c r="AH31" s="708"/>
      <c r="AI31" s="708"/>
      <c r="AJ31" s="708"/>
      <c r="AK31" s="708"/>
      <c r="AL31" s="708"/>
      <c r="AM31" s="708"/>
      <c r="AN31" s="708"/>
      <c r="AO31" s="708"/>
      <c r="AP31" s="708"/>
      <c r="AQ31" s="708"/>
      <c r="AR31" s="708"/>
    </row>
    <row r="32" spans="1:44" ht="14.15" customHeight="1" x14ac:dyDescent="0.25">
      <c r="A32" s="708"/>
      <c r="C32" s="256"/>
      <c r="D32" s="256"/>
      <c r="E32" s="273"/>
      <c r="F32" s="273"/>
      <c r="G32" s="273"/>
      <c r="H32" s="256"/>
      <c r="I32" s="475"/>
      <c r="K32" s="708"/>
      <c r="L32" s="708"/>
      <c r="M32" s="708"/>
      <c r="N32" s="708"/>
      <c r="O32" s="708"/>
      <c r="P32" s="708"/>
      <c r="Q32" s="708"/>
      <c r="R32" s="708"/>
      <c r="S32" s="708"/>
      <c r="T32" s="708"/>
      <c r="U32" s="708"/>
      <c r="V32" s="708"/>
      <c r="W32" s="708"/>
      <c r="X32" s="708"/>
      <c r="Y32" s="708"/>
      <c r="Z32" s="708"/>
      <c r="AA32" s="708"/>
      <c r="AB32" s="708"/>
      <c r="AC32" s="708"/>
      <c r="AD32" s="708"/>
      <c r="AE32" s="708"/>
      <c r="AF32" s="708"/>
      <c r="AG32" s="708"/>
      <c r="AH32" s="708"/>
      <c r="AI32" s="708"/>
      <c r="AJ32" s="708"/>
      <c r="AK32" s="708"/>
      <c r="AL32" s="708"/>
      <c r="AM32" s="708"/>
      <c r="AN32" s="708"/>
      <c r="AO32" s="708"/>
      <c r="AP32" s="708"/>
      <c r="AQ32" s="708"/>
      <c r="AR32" s="708"/>
    </row>
    <row r="33" spans="1:44" ht="14.15" customHeight="1" x14ac:dyDescent="0.25">
      <c r="A33" s="708"/>
      <c r="C33" s="256"/>
      <c r="D33" s="256"/>
      <c r="E33" s="273"/>
      <c r="F33" s="273"/>
      <c r="G33" s="273"/>
      <c r="H33" s="256"/>
      <c r="I33" s="475"/>
      <c r="K33" s="708"/>
      <c r="L33" s="708"/>
      <c r="M33" s="708"/>
      <c r="N33" s="708"/>
      <c r="O33" s="708"/>
      <c r="P33" s="708"/>
      <c r="Q33" s="708"/>
      <c r="R33" s="708"/>
      <c r="S33" s="708"/>
      <c r="T33" s="708"/>
      <c r="U33" s="708"/>
      <c r="V33" s="708"/>
      <c r="W33" s="708"/>
      <c r="X33" s="708"/>
      <c r="Y33" s="708"/>
      <c r="Z33" s="708"/>
      <c r="AA33" s="708"/>
      <c r="AB33" s="708"/>
      <c r="AC33" s="708"/>
      <c r="AD33" s="708"/>
      <c r="AE33" s="708"/>
      <c r="AF33" s="708"/>
      <c r="AG33" s="708"/>
      <c r="AH33" s="708"/>
      <c r="AI33" s="708"/>
      <c r="AJ33" s="708"/>
      <c r="AK33" s="708"/>
      <c r="AL33" s="708"/>
      <c r="AM33" s="708"/>
      <c r="AN33" s="708"/>
      <c r="AO33" s="708"/>
      <c r="AP33" s="708"/>
      <c r="AQ33" s="708"/>
      <c r="AR33" s="708"/>
    </row>
    <row r="34" spans="1:44" ht="15" customHeight="1" thickBot="1" x14ac:dyDescent="0.35">
      <c r="A34" s="708"/>
      <c r="C34" s="291"/>
      <c r="D34" s="702"/>
      <c r="E34" s="703"/>
      <c r="F34" s="703"/>
      <c r="G34" s="703"/>
      <c r="H34" s="702"/>
      <c r="I34" s="704"/>
      <c r="K34" s="708"/>
      <c r="L34" s="708"/>
      <c r="M34" s="708"/>
      <c r="N34" s="708"/>
      <c r="O34" s="708"/>
      <c r="P34" s="708"/>
      <c r="Q34" s="708"/>
      <c r="R34" s="708"/>
      <c r="S34" s="708"/>
      <c r="T34" s="708"/>
      <c r="U34" s="708"/>
      <c r="V34" s="708"/>
      <c r="W34" s="708"/>
      <c r="X34" s="708"/>
      <c r="Y34" s="708"/>
      <c r="Z34" s="708"/>
      <c r="AA34" s="708"/>
      <c r="AB34" s="708"/>
      <c r="AC34" s="708"/>
      <c r="AD34" s="708"/>
      <c r="AE34" s="708"/>
      <c r="AF34" s="708"/>
      <c r="AG34" s="708"/>
      <c r="AH34" s="708"/>
      <c r="AI34" s="708"/>
      <c r="AJ34" s="708"/>
      <c r="AK34" s="708"/>
      <c r="AL34" s="708"/>
      <c r="AM34" s="708"/>
      <c r="AN34" s="708"/>
      <c r="AO34" s="708"/>
      <c r="AP34" s="708"/>
      <c r="AQ34" s="708"/>
      <c r="AR34" s="708"/>
    </row>
    <row r="35" spans="1:44" ht="10.5" customHeight="1" thickTop="1" x14ac:dyDescent="0.25">
      <c r="A35" s="708"/>
      <c r="C35" s="256"/>
      <c r="D35" s="256"/>
      <c r="E35" s="273"/>
      <c r="F35" s="273"/>
      <c r="G35" s="273"/>
      <c r="H35" s="256"/>
      <c r="I35" s="475"/>
      <c r="K35" s="708"/>
      <c r="L35" s="708"/>
      <c r="M35" s="708"/>
      <c r="N35" s="708"/>
      <c r="O35" s="708"/>
      <c r="P35" s="708"/>
      <c r="Q35" s="708"/>
      <c r="R35" s="708"/>
      <c r="S35" s="708"/>
      <c r="T35" s="708"/>
      <c r="U35" s="708"/>
      <c r="V35" s="708"/>
      <c r="W35" s="708"/>
      <c r="X35" s="708"/>
      <c r="Y35" s="708"/>
      <c r="Z35" s="708"/>
      <c r="AA35" s="708"/>
      <c r="AB35" s="708"/>
      <c r="AC35" s="708"/>
      <c r="AD35" s="708"/>
      <c r="AE35" s="708"/>
      <c r="AF35" s="708"/>
      <c r="AG35" s="708"/>
      <c r="AH35" s="708"/>
      <c r="AI35" s="708"/>
      <c r="AJ35" s="708"/>
      <c r="AK35" s="708"/>
      <c r="AL35" s="708"/>
      <c r="AM35" s="708"/>
      <c r="AN35" s="708"/>
      <c r="AO35" s="708"/>
      <c r="AP35" s="708"/>
      <c r="AQ35" s="708"/>
      <c r="AR35" s="708"/>
    </row>
    <row r="36" spans="1:44" ht="14.15" customHeight="1" x14ac:dyDescent="0.3">
      <c r="A36" s="708"/>
      <c r="C36" s="291"/>
      <c r="D36" s="256"/>
      <c r="E36" s="276"/>
      <c r="F36" s="273"/>
      <c r="G36" s="273"/>
      <c r="H36" s="327"/>
      <c r="I36" s="475"/>
      <c r="K36" s="708"/>
      <c r="L36" s="708"/>
      <c r="M36" s="708"/>
      <c r="N36" s="708"/>
      <c r="O36" s="708"/>
      <c r="P36" s="708"/>
      <c r="Q36" s="708"/>
      <c r="R36" s="708"/>
      <c r="S36" s="708"/>
      <c r="T36" s="708"/>
      <c r="U36" s="708"/>
      <c r="V36" s="708"/>
      <c r="W36" s="708"/>
      <c r="X36" s="708"/>
      <c r="Y36" s="708"/>
      <c r="Z36" s="708"/>
      <c r="AA36" s="708"/>
      <c r="AB36" s="708"/>
      <c r="AC36" s="708"/>
      <c r="AD36" s="708"/>
      <c r="AE36" s="708"/>
      <c r="AF36" s="708"/>
      <c r="AG36" s="708"/>
      <c r="AH36" s="708"/>
      <c r="AI36" s="708"/>
      <c r="AJ36" s="708"/>
      <c r="AK36" s="708"/>
      <c r="AL36" s="708"/>
      <c r="AM36" s="708"/>
      <c r="AN36" s="708"/>
      <c r="AO36" s="708"/>
      <c r="AP36" s="708"/>
      <c r="AQ36" s="708"/>
      <c r="AR36" s="708"/>
    </row>
    <row r="37" spans="1:44" ht="14.15" customHeight="1" x14ac:dyDescent="0.25">
      <c r="A37" s="708"/>
      <c r="C37" s="256"/>
      <c r="D37" s="256"/>
      <c r="E37" s="276"/>
      <c r="F37" s="273"/>
      <c r="G37" s="273"/>
      <c r="H37" s="256"/>
      <c r="I37" s="475"/>
      <c r="K37" s="708"/>
      <c r="L37" s="708"/>
      <c r="M37" s="708"/>
      <c r="N37" s="708"/>
      <c r="O37" s="708"/>
      <c r="P37" s="708"/>
      <c r="Q37" s="708"/>
      <c r="R37" s="708"/>
      <c r="S37" s="708"/>
      <c r="T37" s="708"/>
      <c r="U37" s="708"/>
      <c r="V37" s="708"/>
      <c r="W37" s="708"/>
      <c r="X37" s="708"/>
      <c r="Y37" s="708"/>
      <c r="Z37" s="708"/>
      <c r="AA37" s="708"/>
      <c r="AB37" s="708"/>
      <c r="AC37" s="708"/>
      <c r="AD37" s="708"/>
      <c r="AE37" s="708"/>
      <c r="AF37" s="708"/>
      <c r="AG37" s="708"/>
      <c r="AH37" s="708"/>
      <c r="AI37" s="708"/>
      <c r="AJ37" s="708"/>
      <c r="AK37" s="708"/>
      <c r="AL37" s="708"/>
      <c r="AM37" s="708"/>
      <c r="AN37" s="708"/>
      <c r="AO37" s="708"/>
      <c r="AP37" s="708"/>
      <c r="AQ37" s="708"/>
      <c r="AR37" s="708"/>
    </row>
    <row r="38" spans="1:44" ht="14.15" customHeight="1" x14ac:dyDescent="0.25">
      <c r="A38" s="708"/>
      <c r="C38" s="256"/>
      <c r="D38" s="256"/>
      <c r="E38" s="273"/>
      <c r="F38" s="273"/>
      <c r="G38" s="273"/>
      <c r="H38" s="256"/>
      <c r="I38" s="475"/>
      <c r="K38" s="708"/>
      <c r="L38" s="708"/>
      <c r="M38" s="708"/>
      <c r="N38" s="708"/>
      <c r="O38" s="708"/>
      <c r="P38" s="708"/>
      <c r="Q38" s="708"/>
      <c r="R38" s="708"/>
      <c r="S38" s="708"/>
      <c r="T38" s="708"/>
      <c r="U38" s="708"/>
      <c r="V38" s="708"/>
      <c r="W38" s="708"/>
      <c r="X38" s="708"/>
      <c r="Y38" s="708"/>
      <c r="Z38" s="708"/>
      <c r="AA38" s="708"/>
      <c r="AB38" s="708"/>
      <c r="AC38" s="708"/>
      <c r="AD38" s="708"/>
      <c r="AE38" s="708"/>
      <c r="AF38" s="708"/>
      <c r="AG38" s="708"/>
      <c r="AH38" s="708"/>
      <c r="AI38" s="708"/>
      <c r="AJ38" s="708"/>
      <c r="AK38" s="708"/>
      <c r="AL38" s="708"/>
      <c r="AM38" s="708"/>
      <c r="AN38" s="708"/>
      <c r="AO38" s="708"/>
      <c r="AP38" s="708"/>
      <c r="AQ38" s="708"/>
      <c r="AR38" s="708"/>
    </row>
    <row r="39" spans="1:44" ht="14.15" customHeight="1" x14ac:dyDescent="0.25">
      <c r="A39" s="708"/>
      <c r="C39" s="256"/>
      <c r="D39" s="256"/>
      <c r="E39" s="276"/>
      <c r="F39" s="273"/>
      <c r="G39" s="273"/>
      <c r="H39" s="256"/>
      <c r="I39" s="475"/>
      <c r="K39" s="708"/>
      <c r="L39" s="708"/>
      <c r="M39" s="708"/>
      <c r="N39" s="708"/>
      <c r="O39" s="708"/>
      <c r="P39" s="708"/>
      <c r="Q39" s="708"/>
      <c r="R39" s="708"/>
      <c r="S39" s="708"/>
      <c r="T39" s="708"/>
      <c r="U39" s="708"/>
      <c r="V39" s="708"/>
      <c r="W39" s="708"/>
      <c r="X39" s="708"/>
      <c r="Y39" s="708"/>
      <c r="Z39" s="708"/>
      <c r="AA39" s="708"/>
      <c r="AB39" s="708"/>
      <c r="AC39" s="708"/>
      <c r="AD39" s="708"/>
      <c r="AE39" s="708"/>
      <c r="AF39" s="708"/>
      <c r="AG39" s="708"/>
      <c r="AH39" s="708"/>
      <c r="AI39" s="708"/>
      <c r="AJ39" s="708"/>
      <c r="AK39" s="708"/>
      <c r="AL39" s="708"/>
      <c r="AM39" s="708"/>
      <c r="AN39" s="708"/>
      <c r="AO39" s="708"/>
      <c r="AP39" s="708"/>
      <c r="AQ39" s="708"/>
      <c r="AR39" s="708"/>
    </row>
    <row r="40" spans="1:44" ht="14.15" customHeight="1" x14ac:dyDescent="0.25">
      <c r="A40" s="708"/>
      <c r="C40" s="256"/>
      <c r="D40" s="256"/>
      <c r="E40" s="273"/>
      <c r="F40" s="273"/>
      <c r="G40" s="273"/>
      <c r="H40" s="256"/>
      <c r="I40" s="475"/>
      <c r="K40" s="708"/>
      <c r="L40" s="708"/>
      <c r="M40" s="708"/>
      <c r="N40" s="708"/>
      <c r="O40" s="708"/>
      <c r="P40" s="708"/>
      <c r="Q40" s="708"/>
      <c r="R40" s="708"/>
      <c r="S40" s="708"/>
      <c r="T40" s="708"/>
      <c r="U40" s="708"/>
      <c r="V40" s="708"/>
      <c r="W40" s="708"/>
      <c r="X40" s="708"/>
      <c r="Y40" s="708"/>
      <c r="Z40" s="708"/>
      <c r="AA40" s="708"/>
      <c r="AB40" s="708"/>
      <c r="AC40" s="708"/>
      <c r="AD40" s="708"/>
      <c r="AE40" s="708"/>
      <c r="AF40" s="708"/>
      <c r="AG40" s="708"/>
      <c r="AH40" s="708"/>
      <c r="AI40" s="708"/>
      <c r="AJ40" s="708"/>
      <c r="AK40" s="708"/>
      <c r="AL40" s="708"/>
      <c r="AM40" s="708"/>
      <c r="AN40" s="708"/>
      <c r="AO40" s="708"/>
      <c r="AP40" s="708"/>
      <c r="AQ40" s="708"/>
      <c r="AR40" s="708"/>
    </row>
    <row r="41" spans="1:44" ht="14.15" customHeight="1" x14ac:dyDescent="0.25">
      <c r="A41" s="708"/>
      <c r="C41" s="256"/>
      <c r="D41" s="256"/>
      <c r="E41" s="276"/>
      <c r="F41" s="273"/>
      <c r="G41" s="273"/>
      <c r="H41" s="256"/>
      <c r="I41" s="475"/>
      <c r="K41" s="708"/>
      <c r="L41" s="708"/>
      <c r="M41" s="708"/>
      <c r="N41" s="708"/>
      <c r="O41" s="708"/>
      <c r="P41" s="708"/>
      <c r="Q41" s="708"/>
      <c r="R41" s="708"/>
      <c r="S41" s="708"/>
      <c r="T41" s="708"/>
      <c r="U41" s="708"/>
      <c r="V41" s="708"/>
      <c r="W41" s="708"/>
      <c r="X41" s="708"/>
      <c r="Y41" s="708"/>
      <c r="Z41" s="708"/>
      <c r="AA41" s="708"/>
      <c r="AB41" s="708"/>
      <c r="AC41" s="708"/>
      <c r="AD41" s="708"/>
      <c r="AE41" s="708"/>
      <c r="AF41" s="708"/>
      <c r="AG41" s="708"/>
      <c r="AH41" s="708"/>
      <c r="AI41" s="708"/>
      <c r="AJ41" s="708"/>
      <c r="AK41" s="708"/>
      <c r="AL41" s="708"/>
      <c r="AM41" s="708"/>
      <c r="AN41" s="708"/>
      <c r="AO41" s="708"/>
      <c r="AP41" s="708"/>
      <c r="AQ41" s="708"/>
      <c r="AR41" s="708"/>
    </row>
    <row r="42" spans="1:44" ht="14.15" customHeight="1" x14ac:dyDescent="0.25">
      <c r="A42" s="708"/>
      <c r="C42" s="256"/>
      <c r="D42" s="256"/>
      <c r="E42" s="273"/>
      <c r="F42" s="273"/>
      <c r="G42" s="273"/>
      <c r="H42" s="256"/>
      <c r="I42" s="475"/>
      <c r="K42" s="708"/>
      <c r="L42" s="708"/>
      <c r="M42" s="708"/>
      <c r="N42" s="708"/>
      <c r="O42" s="708"/>
      <c r="P42" s="708"/>
      <c r="Q42" s="708"/>
      <c r="R42" s="708"/>
      <c r="S42" s="708"/>
      <c r="T42" s="708"/>
      <c r="U42" s="708"/>
      <c r="V42" s="708"/>
      <c r="W42" s="708"/>
      <c r="X42" s="708"/>
      <c r="Y42" s="708"/>
      <c r="Z42" s="708"/>
      <c r="AA42" s="708"/>
      <c r="AB42" s="708"/>
      <c r="AC42" s="708"/>
      <c r="AD42" s="708"/>
      <c r="AE42" s="708"/>
      <c r="AF42" s="708"/>
      <c r="AG42" s="708"/>
      <c r="AH42" s="708"/>
      <c r="AI42" s="708"/>
      <c r="AJ42" s="708"/>
      <c r="AK42" s="708"/>
      <c r="AL42" s="708"/>
      <c r="AM42" s="708"/>
      <c r="AN42" s="708"/>
      <c r="AO42" s="708"/>
      <c r="AP42" s="708"/>
      <c r="AQ42" s="708"/>
      <c r="AR42" s="708"/>
    </row>
    <row r="43" spans="1:44" ht="14.15" customHeight="1" x14ac:dyDescent="0.25">
      <c r="A43" s="708"/>
      <c r="C43" s="256"/>
      <c r="D43" s="256"/>
      <c r="E43" s="273"/>
      <c r="F43" s="273"/>
      <c r="G43" s="273"/>
      <c r="H43" s="256"/>
      <c r="I43" s="475"/>
      <c r="K43" s="708"/>
      <c r="L43" s="708"/>
      <c r="M43" s="708"/>
      <c r="N43" s="708"/>
      <c r="O43" s="708"/>
      <c r="P43" s="708"/>
      <c r="Q43" s="708"/>
      <c r="R43" s="708"/>
      <c r="S43" s="708"/>
      <c r="T43" s="708"/>
      <c r="U43" s="708"/>
      <c r="V43" s="708"/>
      <c r="W43" s="708"/>
      <c r="X43" s="708"/>
      <c r="Y43" s="708"/>
      <c r="Z43" s="708"/>
      <c r="AA43" s="708"/>
      <c r="AB43" s="708"/>
      <c r="AC43" s="708"/>
      <c r="AD43" s="708"/>
      <c r="AE43" s="708"/>
      <c r="AF43" s="708"/>
      <c r="AG43" s="708"/>
      <c r="AH43" s="708"/>
      <c r="AI43" s="708"/>
      <c r="AJ43" s="708"/>
      <c r="AK43" s="708"/>
      <c r="AL43" s="708"/>
      <c r="AM43" s="708"/>
      <c r="AN43" s="708"/>
      <c r="AO43" s="708"/>
      <c r="AP43" s="708"/>
      <c r="AQ43" s="708"/>
      <c r="AR43" s="708"/>
    </row>
    <row r="44" spans="1:44" ht="14.15" customHeight="1" x14ac:dyDescent="0.25">
      <c r="A44" s="708"/>
      <c r="C44" s="256"/>
      <c r="D44" s="256"/>
      <c r="E44" s="273"/>
      <c r="F44" s="273"/>
      <c r="G44" s="273"/>
      <c r="H44" s="256"/>
      <c r="I44" s="475"/>
      <c r="K44" s="708"/>
      <c r="L44" s="708"/>
      <c r="M44" s="708"/>
      <c r="N44" s="708"/>
      <c r="O44" s="708"/>
      <c r="P44" s="708"/>
      <c r="Q44" s="708"/>
      <c r="R44" s="708"/>
      <c r="S44" s="708"/>
      <c r="T44" s="708"/>
      <c r="U44" s="708"/>
      <c r="V44" s="708"/>
      <c r="W44" s="708"/>
      <c r="X44" s="708"/>
      <c r="Y44" s="708"/>
      <c r="Z44" s="708"/>
      <c r="AA44" s="708"/>
      <c r="AB44" s="708"/>
      <c r="AC44" s="708"/>
      <c r="AD44" s="708"/>
      <c r="AE44" s="708"/>
      <c r="AF44" s="708"/>
      <c r="AG44" s="708"/>
      <c r="AH44" s="708"/>
      <c r="AI44" s="708"/>
      <c r="AJ44" s="708"/>
      <c r="AK44" s="708"/>
      <c r="AL44" s="708"/>
      <c r="AM44" s="708"/>
      <c r="AN44" s="708"/>
      <c r="AO44" s="708"/>
      <c r="AP44" s="708"/>
      <c r="AQ44" s="708"/>
      <c r="AR44" s="708"/>
    </row>
    <row r="45" spans="1:44" ht="14.15" customHeight="1" x14ac:dyDescent="0.25">
      <c r="A45" s="708"/>
      <c r="C45" s="256"/>
      <c r="D45" s="256"/>
      <c r="E45" s="273"/>
      <c r="F45" s="273"/>
      <c r="G45" s="273"/>
      <c r="H45" s="256"/>
      <c r="I45" s="475"/>
      <c r="K45" s="708"/>
      <c r="L45" s="708"/>
      <c r="M45" s="708"/>
      <c r="N45" s="708"/>
      <c r="O45" s="708"/>
      <c r="P45" s="708"/>
      <c r="Q45" s="708"/>
      <c r="R45" s="708"/>
      <c r="S45" s="708"/>
      <c r="T45" s="708"/>
      <c r="U45" s="708"/>
      <c r="V45" s="708"/>
      <c r="W45" s="708"/>
      <c r="X45" s="708"/>
      <c r="Y45" s="708"/>
      <c r="Z45" s="708"/>
      <c r="AA45" s="708"/>
      <c r="AB45" s="708"/>
      <c r="AC45" s="708"/>
      <c r="AD45" s="708"/>
      <c r="AE45" s="708"/>
      <c r="AF45" s="708"/>
      <c r="AG45" s="708"/>
      <c r="AH45" s="708"/>
      <c r="AI45" s="708"/>
      <c r="AJ45" s="708"/>
      <c r="AK45" s="708"/>
      <c r="AL45" s="708"/>
      <c r="AM45" s="708"/>
      <c r="AN45" s="708"/>
      <c r="AO45" s="708"/>
      <c r="AP45" s="708"/>
      <c r="AQ45" s="708"/>
      <c r="AR45" s="708"/>
    </row>
    <row r="46" spans="1:44" ht="15" customHeight="1" x14ac:dyDescent="0.25">
      <c r="A46" s="708"/>
      <c r="C46" s="256"/>
      <c r="D46" s="256"/>
      <c r="E46" s="273"/>
      <c r="F46" s="273"/>
      <c r="G46" s="273"/>
      <c r="H46" s="256"/>
      <c r="I46" s="475"/>
      <c r="K46" s="708"/>
      <c r="L46" s="708"/>
      <c r="M46" s="708"/>
      <c r="N46" s="708"/>
      <c r="O46" s="708"/>
      <c r="P46" s="708"/>
      <c r="Q46" s="708"/>
      <c r="R46" s="708"/>
      <c r="S46" s="708"/>
      <c r="T46" s="708"/>
      <c r="U46" s="708"/>
      <c r="V46" s="708"/>
      <c r="W46" s="708"/>
      <c r="X46" s="708"/>
      <c r="Y46" s="708"/>
      <c r="Z46" s="708"/>
      <c r="AA46" s="708"/>
      <c r="AB46" s="708"/>
      <c r="AC46" s="708"/>
      <c r="AD46" s="708"/>
      <c r="AE46" s="708"/>
      <c r="AF46" s="708"/>
      <c r="AG46" s="708"/>
      <c r="AH46" s="708"/>
      <c r="AI46" s="708"/>
      <c r="AJ46" s="708"/>
      <c r="AK46" s="708"/>
      <c r="AL46" s="708"/>
      <c r="AM46" s="708"/>
      <c r="AN46" s="708"/>
      <c r="AO46" s="708"/>
      <c r="AP46" s="708"/>
      <c r="AQ46" s="708"/>
      <c r="AR46" s="708"/>
    </row>
    <row r="47" spans="1:44" ht="15" customHeight="1" thickBot="1" x14ac:dyDescent="0.35">
      <c r="A47" s="708"/>
      <c r="C47" s="291"/>
      <c r="D47" s="702"/>
      <c r="E47" s="703"/>
      <c r="F47" s="703"/>
      <c r="G47" s="703"/>
      <c r="H47" s="702"/>
      <c r="I47" s="704"/>
      <c r="K47" s="708"/>
      <c r="L47" s="708"/>
      <c r="M47" s="708"/>
      <c r="N47" s="708"/>
      <c r="O47" s="708"/>
      <c r="P47" s="708"/>
      <c r="Q47" s="708"/>
      <c r="R47" s="708"/>
      <c r="S47" s="708"/>
      <c r="T47" s="708"/>
      <c r="U47" s="708"/>
      <c r="V47" s="708"/>
      <c r="W47" s="708"/>
      <c r="X47" s="708"/>
      <c r="Y47" s="708"/>
      <c r="Z47" s="708"/>
      <c r="AA47" s="708"/>
      <c r="AB47" s="708"/>
      <c r="AC47" s="708"/>
      <c r="AD47" s="708"/>
      <c r="AE47" s="708"/>
      <c r="AF47" s="708"/>
      <c r="AG47" s="708"/>
      <c r="AH47" s="708"/>
      <c r="AI47" s="708"/>
      <c r="AJ47" s="708"/>
      <c r="AK47" s="708"/>
      <c r="AL47" s="708"/>
      <c r="AM47" s="708"/>
      <c r="AN47" s="708"/>
      <c r="AO47" s="708"/>
      <c r="AP47" s="708"/>
      <c r="AQ47" s="708"/>
      <c r="AR47" s="708"/>
    </row>
    <row r="48" spans="1:44" ht="14.15" customHeight="1" thickTop="1" x14ac:dyDescent="0.25">
      <c r="A48" s="708"/>
      <c r="C48" s="256"/>
      <c r="D48" s="256"/>
      <c r="E48" s="273"/>
      <c r="F48" s="273"/>
      <c r="G48" s="273"/>
      <c r="H48" s="256"/>
      <c r="I48" s="475"/>
      <c r="K48" s="708"/>
      <c r="L48" s="708"/>
      <c r="M48" s="708"/>
      <c r="N48" s="708"/>
      <c r="O48" s="708"/>
      <c r="P48" s="708"/>
      <c r="Q48" s="708"/>
      <c r="R48" s="708"/>
      <c r="S48" s="708"/>
      <c r="T48" s="708"/>
      <c r="U48" s="708"/>
      <c r="V48" s="708"/>
      <c r="W48" s="708"/>
      <c r="X48" s="708"/>
      <c r="Y48" s="708"/>
      <c r="Z48" s="708"/>
      <c r="AA48" s="708"/>
      <c r="AB48" s="708"/>
      <c r="AC48" s="708"/>
      <c r="AD48" s="708"/>
      <c r="AE48" s="708"/>
      <c r="AF48" s="708"/>
      <c r="AG48" s="708"/>
      <c r="AH48" s="708"/>
      <c r="AI48" s="708"/>
      <c r="AJ48" s="708"/>
      <c r="AK48" s="708"/>
      <c r="AL48" s="708"/>
      <c r="AM48" s="708"/>
      <c r="AN48" s="708"/>
      <c r="AO48" s="708"/>
      <c r="AP48" s="708"/>
      <c r="AQ48" s="708"/>
      <c r="AR48" s="708"/>
    </row>
    <row r="49" spans="1:44" ht="11.25" customHeight="1" x14ac:dyDescent="0.25">
      <c r="A49" s="708"/>
      <c r="C49" s="256"/>
      <c r="D49" s="256"/>
      <c r="E49" s="273"/>
      <c r="F49" s="273"/>
      <c r="G49" s="273"/>
      <c r="H49" s="256"/>
      <c r="I49" s="475"/>
      <c r="K49" s="708"/>
      <c r="L49" s="708"/>
      <c r="M49" s="708"/>
      <c r="N49" s="708"/>
      <c r="O49" s="708"/>
      <c r="P49" s="708"/>
      <c r="Q49" s="708"/>
      <c r="R49" s="708"/>
      <c r="S49" s="708"/>
      <c r="T49" s="708"/>
      <c r="U49" s="708"/>
      <c r="V49" s="708"/>
      <c r="W49" s="708"/>
      <c r="X49" s="708"/>
      <c r="Y49" s="708"/>
      <c r="Z49" s="708"/>
      <c r="AA49" s="708"/>
      <c r="AB49" s="708"/>
      <c r="AC49" s="708"/>
      <c r="AD49" s="708"/>
      <c r="AE49" s="708"/>
      <c r="AF49" s="708"/>
      <c r="AG49" s="708"/>
      <c r="AH49" s="708"/>
      <c r="AI49" s="708"/>
      <c r="AJ49" s="708"/>
      <c r="AK49" s="708"/>
      <c r="AL49" s="708"/>
      <c r="AM49" s="708"/>
      <c r="AN49" s="708"/>
      <c r="AO49" s="708"/>
      <c r="AP49" s="708"/>
      <c r="AQ49" s="708"/>
      <c r="AR49" s="708"/>
    </row>
    <row r="50" spans="1:44" ht="8.25" customHeight="1" x14ac:dyDescent="0.25">
      <c r="A50" s="708"/>
      <c r="C50" s="256"/>
      <c r="D50" s="256"/>
      <c r="E50" s="273"/>
      <c r="F50" s="273"/>
      <c r="G50" s="273"/>
      <c r="H50" s="256"/>
      <c r="I50" s="475"/>
      <c r="K50" s="708"/>
      <c r="L50" s="708"/>
      <c r="M50" s="708"/>
      <c r="N50" s="708"/>
      <c r="O50" s="708"/>
      <c r="P50" s="708"/>
      <c r="Q50" s="708"/>
      <c r="R50" s="708"/>
      <c r="S50" s="708"/>
      <c r="T50" s="708"/>
      <c r="U50" s="708"/>
      <c r="V50" s="708"/>
      <c r="W50" s="708"/>
      <c r="X50" s="708"/>
      <c r="Y50" s="708"/>
      <c r="Z50" s="708"/>
      <c r="AA50" s="708"/>
      <c r="AB50" s="708"/>
      <c r="AC50" s="708"/>
      <c r="AD50" s="708"/>
      <c r="AE50" s="708"/>
      <c r="AF50" s="708"/>
      <c r="AG50" s="708"/>
      <c r="AH50" s="708"/>
      <c r="AI50" s="708"/>
      <c r="AJ50" s="708"/>
      <c r="AK50" s="708"/>
      <c r="AL50" s="708"/>
      <c r="AM50" s="708"/>
      <c r="AN50" s="708"/>
      <c r="AO50" s="708"/>
      <c r="AP50" s="708"/>
      <c r="AQ50" s="708"/>
      <c r="AR50" s="708"/>
    </row>
    <row r="51" spans="1:44" ht="6.75" customHeight="1" x14ac:dyDescent="0.25">
      <c r="A51" s="708"/>
      <c r="C51" s="283"/>
      <c r="D51" s="283"/>
      <c r="E51" s="335"/>
      <c r="F51" s="335"/>
      <c r="G51" s="335"/>
      <c r="H51" s="283"/>
      <c r="I51" s="487"/>
      <c r="J51" s="468"/>
      <c r="K51" s="708"/>
      <c r="L51" s="708"/>
      <c r="M51" s="708"/>
      <c r="N51" s="708"/>
      <c r="O51" s="708"/>
      <c r="P51" s="708"/>
      <c r="Q51" s="708"/>
      <c r="R51" s="708"/>
      <c r="S51" s="708"/>
      <c r="T51" s="708"/>
      <c r="U51" s="708"/>
      <c r="V51" s="708"/>
      <c r="W51" s="708"/>
      <c r="X51" s="708"/>
      <c r="Y51" s="708"/>
      <c r="Z51" s="708"/>
      <c r="AA51" s="708"/>
      <c r="AB51" s="708"/>
      <c r="AC51" s="708"/>
      <c r="AD51" s="708"/>
      <c r="AE51" s="708"/>
      <c r="AF51" s="708"/>
      <c r="AG51" s="708"/>
      <c r="AH51" s="708"/>
      <c r="AI51" s="708"/>
      <c r="AJ51" s="708"/>
      <c r="AK51" s="708"/>
      <c r="AL51" s="708"/>
      <c r="AM51" s="708"/>
      <c r="AN51" s="708"/>
      <c r="AO51" s="708"/>
      <c r="AP51" s="708"/>
      <c r="AQ51" s="708"/>
      <c r="AR51" s="708"/>
    </row>
    <row r="52" spans="1:44" ht="9" customHeight="1" x14ac:dyDescent="0.25">
      <c r="A52" s="708"/>
      <c r="C52" s="256"/>
      <c r="D52" s="256"/>
      <c r="E52" s="273"/>
      <c r="F52" s="273"/>
      <c r="G52" s="273"/>
      <c r="H52" s="256"/>
      <c r="I52" s="475"/>
      <c r="K52" s="708"/>
      <c r="L52" s="708"/>
      <c r="M52" s="708"/>
      <c r="N52" s="708"/>
      <c r="O52" s="708"/>
      <c r="P52" s="708"/>
      <c r="Q52" s="708"/>
      <c r="R52" s="708"/>
      <c r="S52" s="708"/>
      <c r="T52" s="708"/>
      <c r="U52" s="708"/>
      <c r="V52" s="708"/>
      <c r="W52" s="708"/>
      <c r="X52" s="708"/>
      <c r="Y52" s="708"/>
      <c r="Z52" s="708"/>
      <c r="AA52" s="708"/>
      <c r="AB52" s="708"/>
      <c r="AC52" s="708"/>
      <c r="AD52" s="708"/>
      <c r="AE52" s="708"/>
      <c r="AF52" s="708"/>
      <c r="AG52" s="708"/>
      <c r="AH52" s="708"/>
      <c r="AI52" s="708"/>
      <c r="AJ52" s="708"/>
      <c r="AK52" s="708"/>
      <c r="AL52" s="708"/>
      <c r="AM52" s="708"/>
      <c r="AN52" s="708"/>
      <c r="AO52" s="708"/>
      <c r="AP52" s="708"/>
      <c r="AQ52" s="708"/>
      <c r="AR52" s="708"/>
    </row>
    <row r="53" spans="1:44" ht="13" x14ac:dyDescent="0.3">
      <c r="A53" s="708"/>
      <c r="C53" s="256"/>
      <c r="D53" s="291"/>
      <c r="E53" s="273"/>
      <c r="F53" s="273"/>
      <c r="G53" s="273"/>
      <c r="H53" s="256"/>
      <c r="I53" s="475"/>
      <c r="K53" s="708"/>
      <c r="L53" s="708"/>
      <c r="M53" s="708"/>
      <c r="N53" s="708"/>
      <c r="O53" s="708"/>
      <c r="P53" s="708"/>
      <c r="Q53" s="708"/>
      <c r="R53" s="708"/>
      <c r="S53" s="708"/>
      <c r="T53" s="708"/>
      <c r="U53" s="708"/>
      <c r="V53" s="708"/>
      <c r="W53" s="708"/>
      <c r="X53" s="708"/>
      <c r="Y53" s="708"/>
      <c r="Z53" s="708"/>
      <c r="AA53" s="708"/>
      <c r="AB53" s="708"/>
      <c r="AC53" s="708"/>
      <c r="AD53" s="708"/>
      <c r="AE53" s="708"/>
      <c r="AF53" s="708"/>
      <c r="AG53" s="708"/>
      <c r="AH53" s="708"/>
      <c r="AI53" s="708"/>
      <c r="AJ53" s="708"/>
      <c r="AK53" s="708"/>
      <c r="AL53" s="708"/>
      <c r="AM53" s="708"/>
      <c r="AN53" s="708"/>
      <c r="AO53" s="708"/>
      <c r="AP53" s="708"/>
      <c r="AQ53" s="708"/>
      <c r="AR53" s="708"/>
    </row>
    <row r="54" spans="1:44" ht="11.25" customHeight="1" x14ac:dyDescent="0.25">
      <c r="A54" s="708"/>
      <c r="K54" s="708"/>
      <c r="L54" s="708"/>
      <c r="M54" s="708"/>
      <c r="N54" s="708"/>
      <c r="O54" s="708"/>
      <c r="P54" s="708"/>
      <c r="Q54" s="708"/>
      <c r="R54" s="708"/>
      <c r="S54" s="708"/>
      <c r="T54" s="708"/>
      <c r="U54" s="708"/>
      <c r="V54" s="708"/>
      <c r="W54" s="708"/>
      <c r="X54" s="708"/>
      <c r="Y54" s="708"/>
      <c r="Z54" s="708"/>
      <c r="AA54" s="708"/>
      <c r="AB54" s="708"/>
      <c r="AC54" s="708"/>
      <c r="AD54" s="708"/>
      <c r="AE54" s="708"/>
      <c r="AF54" s="708"/>
      <c r="AG54" s="708"/>
      <c r="AH54" s="708"/>
      <c r="AI54" s="708"/>
      <c r="AJ54" s="708"/>
      <c r="AK54" s="708"/>
      <c r="AL54" s="708"/>
      <c r="AM54" s="708"/>
      <c r="AN54" s="708"/>
      <c r="AO54" s="708"/>
      <c r="AP54" s="708"/>
      <c r="AQ54" s="708"/>
      <c r="AR54" s="708"/>
    </row>
    <row r="55" spans="1:44" x14ac:dyDescent="0.25">
      <c r="A55" s="708"/>
      <c r="B55" s="708"/>
      <c r="C55" s="708"/>
      <c r="D55" s="708"/>
      <c r="E55" s="708"/>
      <c r="F55" s="708"/>
      <c r="G55" s="708"/>
      <c r="H55" s="708"/>
      <c r="I55" s="708"/>
      <c r="J55" s="708"/>
      <c r="K55" s="708"/>
      <c r="L55" s="708"/>
      <c r="M55" s="708"/>
      <c r="N55" s="708"/>
      <c r="O55" s="708"/>
      <c r="P55" s="708"/>
      <c r="Q55" s="708"/>
      <c r="R55" s="708"/>
      <c r="S55" s="708"/>
      <c r="T55" s="708"/>
      <c r="U55" s="708"/>
      <c r="V55" s="708"/>
      <c r="W55" s="708"/>
      <c r="X55" s="708"/>
      <c r="Y55" s="708"/>
      <c r="Z55" s="708"/>
      <c r="AA55" s="708"/>
      <c r="AB55" s="708"/>
      <c r="AC55" s="708"/>
      <c r="AD55" s="708"/>
      <c r="AE55" s="708"/>
      <c r="AF55" s="708"/>
      <c r="AG55" s="708"/>
      <c r="AH55" s="708"/>
      <c r="AI55" s="708"/>
      <c r="AJ55" s="708"/>
      <c r="AK55" s="708"/>
      <c r="AL55" s="708"/>
      <c r="AM55" s="708"/>
      <c r="AN55" s="708"/>
      <c r="AO55" s="708"/>
      <c r="AP55" s="708"/>
      <c r="AQ55" s="708"/>
      <c r="AR55" s="708"/>
    </row>
    <row r="56" spans="1:44" x14ac:dyDescent="0.25">
      <c r="A56" s="708"/>
      <c r="B56" s="708"/>
      <c r="C56" s="708"/>
      <c r="D56" s="708"/>
      <c r="E56" s="708"/>
      <c r="F56" s="708"/>
      <c r="G56" s="708"/>
      <c r="H56" s="708"/>
      <c r="I56" s="708"/>
      <c r="J56" s="708"/>
      <c r="K56" s="708"/>
      <c r="L56" s="708"/>
      <c r="M56" s="708"/>
      <c r="N56" s="708"/>
      <c r="O56" s="708"/>
      <c r="P56" s="708"/>
      <c r="Q56" s="708"/>
      <c r="R56" s="708"/>
      <c r="S56" s="708"/>
      <c r="T56" s="708"/>
      <c r="U56" s="708"/>
      <c r="V56" s="708"/>
      <c r="W56" s="708"/>
      <c r="X56" s="708"/>
      <c r="Y56" s="708"/>
      <c r="Z56" s="708"/>
      <c r="AA56" s="708"/>
      <c r="AB56" s="708"/>
      <c r="AC56" s="708"/>
      <c r="AD56" s="708"/>
      <c r="AE56" s="708"/>
      <c r="AF56" s="708"/>
      <c r="AG56" s="708"/>
      <c r="AH56" s="708"/>
      <c r="AI56" s="708"/>
      <c r="AJ56" s="708"/>
      <c r="AK56" s="708"/>
      <c r="AL56" s="708"/>
      <c r="AM56" s="708"/>
      <c r="AN56" s="708"/>
      <c r="AO56" s="708"/>
      <c r="AP56" s="708"/>
      <c r="AQ56" s="708"/>
      <c r="AR56" s="708"/>
    </row>
    <row r="57" spans="1:44" x14ac:dyDescent="0.25">
      <c r="A57" s="708"/>
      <c r="B57" s="708"/>
      <c r="C57" s="708"/>
      <c r="D57" s="708"/>
      <c r="E57" s="708"/>
      <c r="F57" s="708"/>
      <c r="G57" s="708"/>
      <c r="H57" s="708"/>
      <c r="I57" s="708"/>
      <c r="J57" s="708"/>
      <c r="K57" s="708"/>
      <c r="L57" s="708"/>
      <c r="M57" s="708"/>
      <c r="N57" s="708"/>
      <c r="O57" s="708"/>
      <c r="P57" s="708"/>
      <c r="Q57" s="708"/>
      <c r="R57" s="708"/>
      <c r="S57" s="708"/>
      <c r="T57" s="708"/>
      <c r="U57" s="708"/>
      <c r="V57" s="708"/>
      <c r="W57" s="708"/>
      <c r="X57" s="708"/>
      <c r="Y57" s="708"/>
      <c r="Z57" s="708"/>
      <c r="AA57" s="708"/>
      <c r="AB57" s="708"/>
      <c r="AC57" s="708"/>
      <c r="AD57" s="708"/>
      <c r="AE57" s="708"/>
      <c r="AF57" s="708"/>
      <c r="AG57" s="708"/>
      <c r="AH57" s="708"/>
      <c r="AI57" s="708"/>
      <c r="AJ57" s="708"/>
      <c r="AK57" s="708"/>
      <c r="AL57" s="708"/>
      <c r="AM57" s="708"/>
      <c r="AN57" s="708"/>
      <c r="AO57" s="708"/>
      <c r="AP57" s="708"/>
      <c r="AQ57" s="708"/>
      <c r="AR57" s="708"/>
    </row>
    <row r="58" spans="1:44" x14ac:dyDescent="0.25">
      <c r="A58" s="708"/>
      <c r="B58" s="708"/>
      <c r="C58" s="708"/>
      <c r="D58" s="708"/>
      <c r="E58" s="708"/>
      <c r="F58" s="708"/>
      <c r="G58" s="708"/>
      <c r="H58" s="708"/>
      <c r="I58" s="708"/>
      <c r="J58" s="708"/>
      <c r="K58" s="708"/>
      <c r="L58" s="708"/>
      <c r="M58" s="708"/>
      <c r="N58" s="708"/>
      <c r="O58" s="708"/>
      <c r="P58" s="708"/>
      <c r="Q58" s="708"/>
      <c r="R58" s="708"/>
      <c r="S58" s="708"/>
      <c r="T58" s="708"/>
      <c r="U58" s="708"/>
      <c r="V58" s="708"/>
      <c r="W58" s="708"/>
      <c r="X58" s="708"/>
      <c r="Y58" s="708"/>
      <c r="Z58" s="708"/>
      <c r="AA58" s="708"/>
      <c r="AB58" s="708"/>
      <c r="AC58" s="708"/>
      <c r="AD58" s="708"/>
      <c r="AE58" s="708"/>
      <c r="AF58" s="708"/>
      <c r="AG58" s="708"/>
      <c r="AH58" s="708"/>
      <c r="AI58" s="708"/>
      <c r="AJ58" s="708"/>
      <c r="AK58" s="708"/>
      <c r="AL58" s="708"/>
      <c r="AM58" s="708"/>
      <c r="AN58" s="708"/>
      <c r="AO58" s="708"/>
      <c r="AP58" s="708"/>
      <c r="AQ58" s="708"/>
      <c r="AR58" s="708"/>
    </row>
    <row r="59" spans="1:44" x14ac:dyDescent="0.25">
      <c r="A59" s="708"/>
      <c r="B59" s="708"/>
      <c r="C59" s="708"/>
      <c r="D59" s="708"/>
      <c r="E59" s="708"/>
      <c r="F59" s="708"/>
      <c r="G59" s="708"/>
      <c r="H59" s="708"/>
      <c r="I59" s="708"/>
      <c r="J59" s="708"/>
      <c r="K59" s="708"/>
      <c r="L59" s="708"/>
      <c r="M59" s="708"/>
      <c r="N59" s="708"/>
      <c r="O59" s="708"/>
      <c r="P59" s="708"/>
      <c r="Q59" s="708"/>
      <c r="R59" s="708"/>
      <c r="S59" s="708"/>
      <c r="T59" s="708"/>
      <c r="U59" s="708"/>
      <c r="V59" s="708"/>
      <c r="W59" s="708"/>
      <c r="X59" s="708"/>
      <c r="Y59" s="708"/>
      <c r="Z59" s="708"/>
      <c r="AA59" s="708"/>
      <c r="AB59" s="708"/>
      <c r="AC59" s="708"/>
      <c r="AD59" s="708"/>
      <c r="AE59" s="708"/>
      <c r="AF59" s="708"/>
      <c r="AG59" s="708"/>
      <c r="AH59" s="708"/>
      <c r="AI59" s="708"/>
      <c r="AJ59" s="708"/>
      <c r="AK59" s="708"/>
      <c r="AL59" s="708"/>
      <c r="AM59" s="708"/>
      <c r="AN59" s="708"/>
      <c r="AO59" s="708"/>
      <c r="AP59" s="708"/>
      <c r="AQ59" s="708"/>
      <c r="AR59" s="708"/>
    </row>
    <row r="60" spans="1:44" x14ac:dyDescent="0.25">
      <c r="A60" s="708"/>
      <c r="B60" s="708"/>
      <c r="C60" s="708"/>
      <c r="D60" s="708"/>
      <c r="E60" s="708"/>
      <c r="F60" s="708"/>
      <c r="G60" s="708"/>
      <c r="H60" s="708"/>
      <c r="I60" s="708"/>
      <c r="J60" s="708"/>
      <c r="K60" s="708"/>
      <c r="L60" s="708"/>
      <c r="M60" s="708"/>
      <c r="N60" s="708"/>
      <c r="O60" s="708"/>
      <c r="P60" s="708"/>
      <c r="Q60" s="708"/>
      <c r="R60" s="708"/>
      <c r="S60" s="708"/>
      <c r="T60" s="708"/>
      <c r="U60" s="708"/>
      <c r="V60" s="708"/>
      <c r="W60" s="708"/>
      <c r="X60" s="708"/>
      <c r="Y60" s="708"/>
      <c r="Z60" s="708"/>
      <c r="AA60" s="708"/>
      <c r="AB60" s="708"/>
      <c r="AC60" s="708"/>
      <c r="AD60" s="708"/>
      <c r="AE60" s="708"/>
      <c r="AF60" s="708"/>
      <c r="AG60" s="708"/>
      <c r="AH60" s="708"/>
      <c r="AI60" s="708"/>
      <c r="AJ60" s="708"/>
      <c r="AK60" s="708"/>
      <c r="AL60" s="708"/>
      <c r="AM60" s="708"/>
      <c r="AN60" s="708"/>
      <c r="AO60" s="708"/>
      <c r="AP60" s="708"/>
      <c r="AQ60" s="708"/>
      <c r="AR60" s="708"/>
    </row>
    <row r="61" spans="1:44" x14ac:dyDescent="0.25">
      <c r="A61" s="708"/>
      <c r="B61" s="708"/>
      <c r="C61" s="708"/>
      <c r="D61" s="708"/>
      <c r="E61" s="708"/>
      <c r="F61" s="708"/>
      <c r="G61" s="708"/>
      <c r="H61" s="708"/>
      <c r="I61" s="708"/>
      <c r="J61" s="708"/>
      <c r="K61" s="708"/>
      <c r="L61" s="708"/>
      <c r="M61" s="708"/>
      <c r="N61" s="708"/>
      <c r="O61" s="708"/>
      <c r="P61" s="708"/>
      <c r="Q61" s="708"/>
      <c r="R61" s="708"/>
      <c r="S61" s="708"/>
      <c r="T61" s="708"/>
      <c r="U61" s="708"/>
      <c r="V61" s="708"/>
      <c r="W61" s="708"/>
      <c r="X61" s="708"/>
      <c r="Y61" s="708"/>
      <c r="Z61" s="708"/>
      <c r="AA61" s="708"/>
      <c r="AB61" s="708"/>
      <c r="AC61" s="708"/>
      <c r="AD61" s="708"/>
      <c r="AE61" s="708"/>
      <c r="AF61" s="708"/>
      <c r="AG61" s="708"/>
      <c r="AH61" s="708"/>
      <c r="AI61" s="708"/>
      <c r="AJ61" s="708"/>
      <c r="AK61" s="708"/>
      <c r="AL61" s="708"/>
      <c r="AM61" s="708"/>
      <c r="AN61" s="708"/>
      <c r="AO61" s="708"/>
      <c r="AP61" s="708"/>
      <c r="AQ61" s="708"/>
      <c r="AR61" s="708"/>
    </row>
    <row r="62" spans="1:44" x14ac:dyDescent="0.25">
      <c r="A62" s="708"/>
      <c r="B62" s="708"/>
      <c r="C62" s="708"/>
      <c r="D62" s="708"/>
      <c r="E62" s="708"/>
      <c r="F62" s="708"/>
      <c r="G62" s="708"/>
      <c r="H62" s="708"/>
      <c r="I62" s="708"/>
      <c r="J62" s="708"/>
      <c r="K62" s="708"/>
      <c r="L62" s="708"/>
      <c r="M62" s="708"/>
      <c r="N62" s="708"/>
      <c r="O62" s="708"/>
      <c r="P62" s="708"/>
      <c r="Q62" s="708"/>
      <c r="R62" s="708"/>
      <c r="S62" s="708"/>
      <c r="T62" s="708"/>
      <c r="U62" s="708"/>
      <c r="V62" s="708"/>
      <c r="W62" s="708"/>
      <c r="X62" s="708"/>
      <c r="Y62" s="708"/>
      <c r="Z62" s="708"/>
      <c r="AA62" s="708"/>
      <c r="AB62" s="708"/>
      <c r="AC62" s="708"/>
      <c r="AD62" s="708"/>
      <c r="AE62" s="708"/>
      <c r="AF62" s="708"/>
      <c r="AG62" s="708"/>
      <c r="AH62" s="708"/>
      <c r="AI62" s="708"/>
      <c r="AJ62" s="708"/>
      <c r="AK62" s="708"/>
      <c r="AL62" s="708"/>
      <c r="AM62" s="708"/>
      <c r="AN62" s="708"/>
      <c r="AO62" s="708"/>
      <c r="AP62" s="708"/>
      <c r="AQ62" s="708"/>
      <c r="AR62" s="708"/>
    </row>
    <row r="63" spans="1:44" x14ac:dyDescent="0.25">
      <c r="A63" s="708"/>
      <c r="B63" s="708"/>
      <c r="C63" s="708"/>
      <c r="D63" s="708"/>
      <c r="E63" s="708"/>
      <c r="F63" s="708"/>
      <c r="G63" s="708"/>
      <c r="H63" s="708"/>
      <c r="I63" s="708"/>
      <c r="J63" s="708"/>
      <c r="K63" s="708"/>
      <c r="L63" s="708"/>
      <c r="M63" s="708"/>
      <c r="N63" s="708"/>
      <c r="O63" s="708"/>
      <c r="P63" s="708"/>
      <c r="Q63" s="708"/>
      <c r="R63" s="708"/>
      <c r="S63" s="708"/>
      <c r="T63" s="708"/>
      <c r="U63" s="708"/>
      <c r="V63" s="708"/>
      <c r="W63" s="708"/>
      <c r="X63" s="708"/>
      <c r="Y63" s="708"/>
      <c r="Z63" s="708"/>
      <c r="AA63" s="708"/>
      <c r="AB63" s="708"/>
      <c r="AC63" s="708"/>
      <c r="AD63" s="708"/>
      <c r="AE63" s="708"/>
      <c r="AF63" s="708"/>
      <c r="AG63" s="708"/>
      <c r="AH63" s="708"/>
      <c r="AI63" s="708"/>
      <c r="AJ63" s="708"/>
      <c r="AK63" s="708"/>
      <c r="AL63" s="708"/>
      <c r="AM63" s="708"/>
      <c r="AN63" s="708"/>
      <c r="AO63" s="708"/>
      <c r="AP63" s="708"/>
      <c r="AQ63" s="708"/>
      <c r="AR63" s="708"/>
    </row>
    <row r="64" spans="1:44" x14ac:dyDescent="0.25">
      <c r="A64" s="708"/>
      <c r="B64" s="708"/>
      <c r="C64" s="708"/>
      <c r="D64" s="708"/>
      <c r="E64" s="708"/>
      <c r="F64" s="708"/>
      <c r="G64" s="708"/>
      <c r="H64" s="708"/>
      <c r="I64" s="708"/>
      <c r="J64" s="708"/>
      <c r="K64" s="708"/>
      <c r="L64" s="708"/>
      <c r="M64" s="708"/>
      <c r="N64" s="708"/>
      <c r="O64" s="708"/>
      <c r="P64" s="708"/>
      <c r="Q64" s="708"/>
      <c r="R64" s="708"/>
      <c r="S64" s="708"/>
      <c r="T64" s="708"/>
      <c r="U64" s="708"/>
      <c r="V64" s="708"/>
      <c r="W64" s="708"/>
      <c r="X64" s="708"/>
      <c r="Y64" s="708"/>
      <c r="Z64" s="708"/>
      <c r="AA64" s="708"/>
      <c r="AB64" s="708"/>
      <c r="AC64" s="708"/>
      <c r="AD64" s="708"/>
      <c r="AE64" s="708"/>
      <c r="AF64" s="708"/>
      <c r="AG64" s="708"/>
      <c r="AH64" s="708"/>
      <c r="AI64" s="708"/>
      <c r="AJ64" s="708"/>
      <c r="AK64" s="708"/>
      <c r="AL64" s="708"/>
      <c r="AM64" s="708"/>
      <c r="AN64" s="708"/>
      <c r="AO64" s="708"/>
      <c r="AP64" s="708"/>
      <c r="AQ64" s="708"/>
      <c r="AR64" s="708"/>
    </row>
    <row r="65" spans="1:44" x14ac:dyDescent="0.25">
      <c r="A65" s="708"/>
      <c r="B65" s="708"/>
      <c r="C65" s="708"/>
      <c r="D65" s="708"/>
      <c r="E65" s="708"/>
      <c r="F65" s="708"/>
      <c r="G65" s="708"/>
      <c r="H65" s="708"/>
      <c r="I65" s="708"/>
      <c r="J65" s="708"/>
      <c r="K65" s="708"/>
      <c r="L65" s="708"/>
      <c r="M65" s="708"/>
      <c r="N65" s="708"/>
      <c r="O65" s="708"/>
      <c r="P65" s="708"/>
      <c r="Q65" s="708"/>
      <c r="R65" s="708"/>
      <c r="S65" s="708"/>
      <c r="T65" s="708"/>
      <c r="U65" s="708"/>
      <c r="V65" s="708"/>
      <c r="W65" s="708"/>
      <c r="X65" s="708"/>
      <c r="Y65" s="708"/>
      <c r="Z65" s="708"/>
      <c r="AA65" s="708"/>
      <c r="AB65" s="708"/>
      <c r="AC65" s="708"/>
      <c r="AD65" s="708"/>
      <c r="AE65" s="708"/>
      <c r="AF65" s="708"/>
      <c r="AG65" s="708"/>
      <c r="AH65" s="708"/>
      <c r="AI65" s="708"/>
      <c r="AJ65" s="708"/>
      <c r="AK65" s="708"/>
      <c r="AL65" s="708"/>
      <c r="AM65" s="708"/>
      <c r="AN65" s="708"/>
      <c r="AO65" s="708"/>
      <c r="AP65" s="708"/>
      <c r="AQ65" s="708"/>
      <c r="AR65" s="708"/>
    </row>
    <row r="66" spans="1:44" x14ac:dyDescent="0.25">
      <c r="A66" s="708"/>
      <c r="B66" s="708"/>
      <c r="C66" s="708"/>
      <c r="D66" s="708"/>
      <c r="E66" s="708"/>
      <c r="F66" s="708"/>
      <c r="G66" s="708"/>
      <c r="H66" s="708"/>
      <c r="I66" s="708"/>
      <c r="J66" s="708"/>
      <c r="K66" s="708"/>
      <c r="L66" s="708"/>
      <c r="M66" s="708"/>
      <c r="N66" s="708"/>
      <c r="O66" s="708"/>
      <c r="P66" s="708"/>
      <c r="Q66" s="708"/>
      <c r="R66" s="708"/>
      <c r="S66" s="708"/>
      <c r="T66" s="708"/>
      <c r="U66" s="708"/>
      <c r="V66" s="708"/>
      <c r="W66" s="708"/>
      <c r="X66" s="708"/>
      <c r="Y66" s="708"/>
      <c r="Z66" s="708"/>
      <c r="AA66" s="708"/>
      <c r="AB66" s="708"/>
      <c r="AC66" s="708"/>
      <c r="AD66" s="708"/>
      <c r="AE66" s="708"/>
      <c r="AF66" s="708"/>
      <c r="AG66" s="708"/>
      <c r="AH66" s="708"/>
      <c r="AI66" s="708"/>
      <c r="AJ66" s="708"/>
      <c r="AK66" s="708"/>
      <c r="AL66" s="708"/>
      <c r="AM66" s="708"/>
      <c r="AN66" s="708"/>
      <c r="AO66" s="708"/>
      <c r="AP66" s="708"/>
      <c r="AQ66" s="708"/>
      <c r="AR66" s="708"/>
    </row>
    <row r="67" spans="1:44" x14ac:dyDescent="0.25">
      <c r="A67" s="708"/>
      <c r="B67" s="708"/>
      <c r="C67" s="708"/>
      <c r="D67" s="708"/>
      <c r="E67" s="708"/>
      <c r="F67" s="708"/>
      <c r="G67" s="708"/>
      <c r="H67" s="708"/>
      <c r="I67" s="708"/>
      <c r="J67" s="708"/>
      <c r="K67" s="708"/>
      <c r="L67" s="708"/>
      <c r="M67" s="708"/>
      <c r="N67" s="708"/>
      <c r="O67" s="708"/>
      <c r="P67" s="708"/>
      <c r="Q67" s="708"/>
      <c r="R67" s="708"/>
      <c r="S67" s="708"/>
      <c r="T67" s="708"/>
      <c r="U67" s="708"/>
      <c r="V67" s="708"/>
      <c r="W67" s="708"/>
      <c r="X67" s="708"/>
      <c r="Y67" s="708"/>
      <c r="Z67" s="708"/>
      <c r="AA67" s="708"/>
      <c r="AB67" s="708"/>
      <c r="AC67" s="708"/>
      <c r="AD67" s="708"/>
      <c r="AE67" s="708"/>
      <c r="AF67" s="708"/>
      <c r="AG67" s="708"/>
      <c r="AH67" s="708"/>
      <c r="AI67" s="708"/>
      <c r="AJ67" s="708"/>
      <c r="AK67" s="708"/>
      <c r="AL67" s="708"/>
      <c r="AM67" s="708"/>
      <c r="AN67" s="708"/>
      <c r="AO67" s="708"/>
      <c r="AP67" s="708"/>
      <c r="AQ67" s="708"/>
      <c r="AR67" s="708"/>
    </row>
    <row r="68" spans="1:44" x14ac:dyDescent="0.25">
      <c r="A68" s="708"/>
      <c r="B68" s="708"/>
      <c r="C68" s="708"/>
      <c r="D68" s="708"/>
      <c r="E68" s="708"/>
      <c r="F68" s="708"/>
      <c r="G68" s="708"/>
      <c r="H68" s="708"/>
      <c r="I68" s="708"/>
      <c r="J68" s="708"/>
      <c r="K68" s="708"/>
      <c r="L68" s="708"/>
      <c r="M68" s="708"/>
      <c r="N68" s="708"/>
      <c r="O68" s="708"/>
      <c r="P68" s="708"/>
      <c r="Q68" s="708"/>
      <c r="R68" s="708"/>
      <c r="S68" s="708"/>
      <c r="T68" s="708"/>
      <c r="U68" s="708"/>
      <c r="V68" s="708"/>
      <c r="W68" s="708"/>
      <c r="X68" s="708"/>
      <c r="Y68" s="708"/>
      <c r="Z68" s="708"/>
      <c r="AA68" s="708"/>
      <c r="AB68" s="708"/>
      <c r="AC68" s="708"/>
      <c r="AD68" s="708"/>
      <c r="AE68" s="708"/>
      <c r="AF68" s="708"/>
      <c r="AG68" s="708"/>
      <c r="AH68" s="708"/>
      <c r="AI68" s="708"/>
      <c r="AJ68" s="708"/>
      <c r="AK68" s="708"/>
      <c r="AL68" s="708"/>
      <c r="AM68" s="708"/>
      <c r="AN68" s="708"/>
      <c r="AO68" s="708"/>
      <c r="AP68" s="708"/>
      <c r="AQ68" s="708"/>
      <c r="AR68" s="708"/>
    </row>
    <row r="69" spans="1:44" x14ac:dyDescent="0.25">
      <c r="A69" s="708"/>
      <c r="B69" s="708"/>
      <c r="C69" s="708"/>
      <c r="D69" s="708"/>
      <c r="E69" s="708"/>
      <c r="F69" s="708"/>
      <c r="G69" s="708"/>
      <c r="H69" s="708"/>
      <c r="I69" s="708"/>
      <c r="J69" s="708"/>
      <c r="K69" s="708"/>
      <c r="L69" s="708"/>
      <c r="M69" s="708"/>
      <c r="N69" s="708"/>
      <c r="O69" s="708"/>
      <c r="P69" s="708"/>
      <c r="Q69" s="708"/>
      <c r="R69" s="708"/>
      <c r="S69" s="708"/>
      <c r="T69" s="708"/>
      <c r="U69" s="708"/>
      <c r="V69" s="708"/>
      <c r="W69" s="708"/>
      <c r="X69" s="708"/>
      <c r="Y69" s="708"/>
      <c r="Z69" s="708"/>
      <c r="AA69" s="708"/>
      <c r="AB69" s="708"/>
      <c r="AC69" s="708"/>
      <c r="AD69" s="708"/>
      <c r="AE69" s="708"/>
      <c r="AF69" s="708"/>
      <c r="AG69" s="708"/>
      <c r="AH69" s="708"/>
      <c r="AI69" s="708"/>
      <c r="AJ69" s="708"/>
      <c r="AK69" s="708"/>
      <c r="AL69" s="708"/>
      <c r="AM69" s="708"/>
      <c r="AN69" s="708"/>
      <c r="AO69" s="708"/>
      <c r="AP69" s="708"/>
      <c r="AQ69" s="708"/>
      <c r="AR69" s="708"/>
    </row>
    <row r="70" spans="1:44" x14ac:dyDescent="0.25">
      <c r="A70" s="708"/>
      <c r="B70" s="708"/>
      <c r="C70" s="708"/>
      <c r="D70" s="708"/>
      <c r="E70" s="708"/>
      <c r="F70" s="708"/>
      <c r="G70" s="708"/>
      <c r="H70" s="708"/>
      <c r="I70" s="708"/>
      <c r="J70" s="708"/>
      <c r="K70" s="708"/>
      <c r="L70" s="708"/>
      <c r="M70" s="708"/>
      <c r="N70" s="708"/>
      <c r="O70" s="708"/>
      <c r="P70" s="708"/>
      <c r="Q70" s="708"/>
      <c r="R70" s="708"/>
      <c r="S70" s="708"/>
      <c r="T70" s="708"/>
      <c r="U70" s="708"/>
      <c r="V70" s="708"/>
      <c r="W70" s="708"/>
      <c r="X70" s="708"/>
      <c r="Y70" s="708"/>
      <c r="Z70" s="708"/>
      <c r="AA70" s="708"/>
      <c r="AB70" s="708"/>
      <c r="AC70" s="708"/>
      <c r="AD70" s="708"/>
      <c r="AE70" s="708"/>
      <c r="AF70" s="708"/>
      <c r="AG70" s="708"/>
      <c r="AH70" s="708"/>
      <c r="AI70" s="708"/>
      <c r="AJ70" s="708"/>
      <c r="AK70" s="708"/>
      <c r="AL70" s="708"/>
      <c r="AM70" s="708"/>
      <c r="AN70" s="708"/>
      <c r="AO70" s="708"/>
      <c r="AP70" s="708"/>
      <c r="AQ70" s="708"/>
      <c r="AR70" s="708"/>
    </row>
    <row r="71" spans="1:44" x14ac:dyDescent="0.25">
      <c r="A71" s="708"/>
      <c r="B71" s="708"/>
      <c r="C71" s="708"/>
      <c r="D71" s="708"/>
      <c r="E71" s="708"/>
      <c r="F71" s="708"/>
      <c r="G71" s="708"/>
      <c r="H71" s="708"/>
      <c r="I71" s="708"/>
      <c r="J71" s="708"/>
      <c r="K71" s="708"/>
      <c r="L71" s="708"/>
      <c r="M71" s="708"/>
      <c r="N71" s="708"/>
      <c r="O71" s="708"/>
      <c r="P71" s="708"/>
      <c r="Q71" s="708"/>
      <c r="R71" s="708"/>
      <c r="S71" s="708"/>
      <c r="T71" s="708"/>
      <c r="U71" s="708"/>
      <c r="V71" s="708"/>
      <c r="W71" s="708"/>
      <c r="X71" s="708"/>
      <c r="Y71" s="708"/>
      <c r="Z71" s="708"/>
      <c r="AA71" s="708"/>
      <c r="AB71" s="708"/>
      <c r="AC71" s="708"/>
      <c r="AD71" s="708"/>
      <c r="AE71" s="708"/>
      <c r="AF71" s="708"/>
      <c r="AG71" s="708"/>
      <c r="AH71" s="708"/>
      <c r="AI71" s="708"/>
      <c r="AJ71" s="708"/>
      <c r="AK71" s="708"/>
      <c r="AL71" s="708"/>
      <c r="AM71" s="708"/>
      <c r="AN71" s="708"/>
      <c r="AO71" s="708"/>
      <c r="AP71" s="708"/>
      <c r="AQ71" s="708"/>
      <c r="AR71" s="708"/>
    </row>
    <row r="72" spans="1:44" x14ac:dyDescent="0.25">
      <c r="A72" s="708"/>
      <c r="B72" s="708"/>
      <c r="C72" s="708"/>
      <c r="D72" s="708"/>
      <c r="E72" s="708"/>
      <c r="F72" s="708"/>
      <c r="G72" s="708"/>
      <c r="H72" s="708"/>
      <c r="I72" s="708"/>
      <c r="J72" s="708"/>
      <c r="K72" s="708"/>
      <c r="L72" s="708"/>
      <c r="M72" s="708"/>
      <c r="N72" s="708"/>
      <c r="O72" s="708"/>
      <c r="P72" s="708"/>
      <c r="Q72" s="708"/>
      <c r="R72" s="708"/>
      <c r="S72" s="708"/>
      <c r="T72" s="708"/>
      <c r="U72" s="708"/>
      <c r="V72" s="708"/>
      <c r="W72" s="708"/>
      <c r="X72" s="708"/>
      <c r="Y72" s="708"/>
      <c r="Z72" s="708"/>
      <c r="AA72" s="708"/>
      <c r="AB72" s="708"/>
      <c r="AC72" s="708"/>
      <c r="AD72" s="708"/>
      <c r="AE72" s="708"/>
      <c r="AF72" s="708"/>
      <c r="AG72" s="708"/>
      <c r="AH72" s="708"/>
      <c r="AI72" s="708"/>
      <c r="AJ72" s="708"/>
      <c r="AK72" s="708"/>
      <c r="AL72" s="708"/>
      <c r="AM72" s="708"/>
      <c r="AN72" s="708"/>
      <c r="AO72" s="708"/>
      <c r="AP72" s="708"/>
      <c r="AQ72" s="708"/>
      <c r="AR72" s="708"/>
    </row>
    <row r="73" spans="1:44" x14ac:dyDescent="0.25">
      <c r="A73" s="708"/>
      <c r="B73" s="708"/>
      <c r="C73" s="708"/>
      <c r="D73" s="708"/>
      <c r="E73" s="708"/>
      <c r="F73" s="708"/>
      <c r="G73" s="708"/>
      <c r="H73" s="708"/>
      <c r="I73" s="708"/>
      <c r="J73" s="708"/>
      <c r="K73" s="708"/>
      <c r="L73" s="708"/>
      <c r="M73" s="708"/>
      <c r="N73" s="708"/>
      <c r="O73" s="708"/>
      <c r="P73" s="708"/>
      <c r="Q73" s="708"/>
      <c r="R73" s="708"/>
      <c r="S73" s="708"/>
      <c r="T73" s="708"/>
      <c r="U73" s="708"/>
      <c r="V73" s="708"/>
      <c r="W73" s="708"/>
      <c r="X73" s="708"/>
      <c r="Y73" s="708"/>
      <c r="Z73" s="708"/>
      <c r="AA73" s="708"/>
      <c r="AB73" s="708"/>
      <c r="AC73" s="708"/>
      <c r="AD73" s="708"/>
      <c r="AE73" s="708"/>
      <c r="AF73" s="708"/>
      <c r="AG73" s="708"/>
      <c r="AH73" s="708"/>
      <c r="AI73" s="708"/>
      <c r="AJ73" s="708"/>
      <c r="AK73" s="708"/>
      <c r="AL73" s="708"/>
      <c r="AM73" s="708"/>
      <c r="AN73" s="708"/>
      <c r="AO73" s="708"/>
      <c r="AP73" s="708"/>
      <c r="AQ73" s="708"/>
      <c r="AR73" s="708"/>
    </row>
    <row r="74" spans="1:44" x14ac:dyDescent="0.25">
      <c r="A74" s="708"/>
      <c r="B74" s="708"/>
      <c r="C74" s="708"/>
      <c r="D74" s="708"/>
      <c r="E74" s="708"/>
      <c r="F74" s="708"/>
      <c r="G74" s="708"/>
      <c r="H74" s="708"/>
      <c r="I74" s="708"/>
      <c r="J74" s="708"/>
      <c r="K74" s="708"/>
      <c r="L74" s="708"/>
      <c r="M74" s="708"/>
      <c r="N74" s="708"/>
      <c r="O74" s="708"/>
      <c r="P74" s="708"/>
      <c r="Q74" s="708"/>
      <c r="R74" s="708"/>
      <c r="S74" s="708"/>
      <c r="T74" s="708"/>
      <c r="U74" s="708"/>
      <c r="V74" s="708"/>
      <c r="W74" s="708"/>
      <c r="X74" s="708"/>
      <c r="Y74" s="708"/>
      <c r="Z74" s="708"/>
      <c r="AA74" s="708"/>
      <c r="AB74" s="708"/>
      <c r="AC74" s="708"/>
      <c r="AD74" s="708"/>
      <c r="AE74" s="708"/>
      <c r="AF74" s="708"/>
      <c r="AG74" s="708"/>
      <c r="AH74" s="708"/>
      <c r="AI74" s="708"/>
      <c r="AJ74" s="708"/>
      <c r="AK74" s="708"/>
      <c r="AL74" s="708"/>
      <c r="AM74" s="708"/>
      <c r="AN74" s="708"/>
      <c r="AO74" s="708"/>
      <c r="AP74" s="708"/>
      <c r="AQ74" s="708"/>
      <c r="AR74" s="708"/>
    </row>
    <row r="75" spans="1:44" x14ac:dyDescent="0.25">
      <c r="A75" s="708"/>
      <c r="B75" s="708"/>
      <c r="C75" s="708"/>
      <c r="D75" s="708"/>
      <c r="E75" s="708"/>
      <c r="F75" s="708"/>
      <c r="G75" s="708"/>
      <c r="H75" s="708"/>
      <c r="I75" s="708"/>
      <c r="J75" s="708"/>
      <c r="K75" s="708"/>
      <c r="L75" s="708"/>
      <c r="M75" s="708"/>
      <c r="N75" s="708"/>
      <c r="O75" s="708"/>
      <c r="P75" s="708"/>
      <c r="Q75" s="708"/>
      <c r="R75" s="708"/>
      <c r="S75" s="708"/>
      <c r="T75" s="708"/>
      <c r="U75" s="708"/>
      <c r="V75" s="708"/>
      <c r="W75" s="708"/>
      <c r="X75" s="708"/>
      <c r="Y75" s="708"/>
      <c r="Z75" s="708"/>
      <c r="AA75" s="708"/>
      <c r="AB75" s="708"/>
      <c r="AC75" s="708"/>
      <c r="AD75" s="708"/>
      <c r="AE75" s="708"/>
      <c r="AF75" s="708"/>
      <c r="AG75" s="708"/>
      <c r="AH75" s="708"/>
      <c r="AI75" s="708"/>
      <c r="AJ75" s="708"/>
      <c r="AK75" s="708"/>
      <c r="AL75" s="708"/>
      <c r="AM75" s="708"/>
      <c r="AN75" s="708"/>
      <c r="AO75" s="708"/>
      <c r="AP75" s="708"/>
      <c r="AQ75" s="708"/>
      <c r="AR75" s="708"/>
    </row>
    <row r="76" spans="1:44" x14ac:dyDescent="0.25">
      <c r="A76" s="708"/>
      <c r="B76" s="708"/>
      <c r="C76" s="708"/>
      <c r="D76" s="708"/>
      <c r="E76" s="708"/>
      <c r="F76" s="708"/>
      <c r="G76" s="708"/>
      <c r="H76" s="708"/>
      <c r="I76" s="708"/>
      <c r="J76" s="708"/>
      <c r="K76" s="708"/>
      <c r="L76" s="708"/>
      <c r="M76" s="708"/>
      <c r="N76" s="708"/>
      <c r="O76" s="708"/>
      <c r="P76" s="708"/>
      <c r="Q76" s="708"/>
      <c r="R76" s="708"/>
      <c r="S76" s="708"/>
      <c r="T76" s="708"/>
      <c r="U76" s="708"/>
      <c r="V76" s="708"/>
      <c r="W76" s="708"/>
      <c r="X76" s="708"/>
      <c r="Y76" s="708"/>
      <c r="Z76" s="708"/>
      <c r="AA76" s="708"/>
      <c r="AB76" s="708"/>
      <c r="AC76" s="708"/>
      <c r="AD76" s="708"/>
      <c r="AE76" s="708"/>
      <c r="AF76" s="708"/>
      <c r="AG76" s="708"/>
      <c r="AH76" s="708"/>
      <c r="AI76" s="708"/>
      <c r="AJ76" s="708"/>
      <c r="AK76" s="708"/>
      <c r="AL76" s="708"/>
      <c r="AM76" s="708"/>
      <c r="AN76" s="708"/>
      <c r="AO76" s="708"/>
      <c r="AP76" s="708"/>
      <c r="AQ76" s="708"/>
      <c r="AR76" s="708"/>
    </row>
    <row r="77" spans="1:44" x14ac:dyDescent="0.25">
      <c r="A77" s="708"/>
      <c r="B77" s="708"/>
      <c r="C77" s="708"/>
      <c r="D77" s="708"/>
      <c r="E77" s="708"/>
      <c r="F77" s="708"/>
      <c r="G77" s="708"/>
      <c r="H77" s="708"/>
      <c r="I77" s="708"/>
      <c r="J77" s="708"/>
      <c r="K77" s="708"/>
      <c r="L77" s="708"/>
      <c r="M77" s="708"/>
      <c r="N77" s="708"/>
      <c r="O77" s="708"/>
      <c r="P77" s="708"/>
      <c r="Q77" s="708"/>
      <c r="R77" s="708"/>
      <c r="S77" s="708"/>
      <c r="T77" s="708"/>
      <c r="U77" s="708"/>
      <c r="V77" s="708"/>
      <c r="W77" s="708"/>
      <c r="X77" s="708"/>
      <c r="Y77" s="708"/>
      <c r="Z77" s="708"/>
      <c r="AA77" s="708"/>
      <c r="AB77" s="708"/>
      <c r="AC77" s="708"/>
      <c r="AD77" s="708"/>
      <c r="AE77" s="708"/>
      <c r="AF77" s="708"/>
      <c r="AG77" s="708"/>
      <c r="AH77" s="708"/>
      <c r="AI77" s="708"/>
      <c r="AJ77" s="708"/>
      <c r="AK77" s="708"/>
      <c r="AL77" s="708"/>
      <c r="AM77" s="708"/>
      <c r="AN77" s="708"/>
      <c r="AO77" s="708"/>
      <c r="AP77" s="708"/>
      <c r="AQ77" s="708"/>
      <c r="AR77" s="708"/>
    </row>
    <row r="78" spans="1:44" x14ac:dyDescent="0.25">
      <c r="A78" s="708"/>
      <c r="B78" s="708"/>
      <c r="C78" s="708"/>
      <c r="D78" s="708"/>
      <c r="E78" s="708"/>
      <c r="F78" s="708"/>
      <c r="G78" s="708"/>
      <c r="H78" s="708"/>
      <c r="I78" s="708"/>
      <c r="J78" s="708"/>
      <c r="K78" s="708"/>
      <c r="L78" s="708"/>
      <c r="M78" s="708"/>
      <c r="N78" s="708"/>
      <c r="O78" s="708"/>
      <c r="P78" s="708"/>
      <c r="Q78" s="708"/>
      <c r="R78" s="708"/>
      <c r="S78" s="708"/>
      <c r="T78" s="708"/>
      <c r="U78" s="708"/>
      <c r="V78" s="708"/>
      <c r="W78" s="708"/>
      <c r="X78" s="708"/>
      <c r="Y78" s="708"/>
      <c r="Z78" s="708"/>
      <c r="AA78" s="708"/>
      <c r="AB78" s="708"/>
      <c r="AC78" s="708"/>
      <c r="AD78" s="708"/>
      <c r="AE78" s="708"/>
      <c r="AF78" s="708"/>
      <c r="AG78" s="708"/>
      <c r="AH78" s="708"/>
      <c r="AI78" s="708"/>
      <c r="AJ78" s="708"/>
      <c r="AK78" s="708"/>
      <c r="AL78" s="708"/>
      <c r="AM78" s="708"/>
      <c r="AN78" s="708"/>
      <c r="AO78" s="708"/>
      <c r="AP78" s="708"/>
      <c r="AQ78" s="708"/>
      <c r="AR78" s="708"/>
    </row>
    <row r="79" spans="1:44" x14ac:dyDescent="0.25">
      <c r="A79" s="708"/>
      <c r="B79" s="708"/>
      <c r="C79" s="708"/>
      <c r="D79" s="708"/>
      <c r="E79" s="708"/>
      <c r="F79" s="708"/>
      <c r="G79" s="708"/>
      <c r="H79" s="708"/>
      <c r="I79" s="708"/>
      <c r="J79" s="708"/>
      <c r="K79" s="708"/>
      <c r="L79" s="708"/>
      <c r="M79" s="708"/>
      <c r="N79" s="708"/>
      <c r="O79" s="708"/>
      <c r="P79" s="708"/>
      <c r="Q79" s="708"/>
      <c r="R79" s="708"/>
      <c r="S79" s="708"/>
      <c r="T79" s="708"/>
      <c r="U79" s="708"/>
      <c r="V79" s="708"/>
      <c r="W79" s="708"/>
      <c r="X79" s="708"/>
      <c r="Y79" s="708"/>
      <c r="Z79" s="708"/>
      <c r="AA79" s="708"/>
      <c r="AB79" s="708"/>
      <c r="AC79" s="708"/>
      <c r="AD79" s="708"/>
      <c r="AE79" s="708"/>
      <c r="AF79" s="708"/>
      <c r="AG79" s="708"/>
      <c r="AH79" s="708"/>
      <c r="AI79" s="708"/>
      <c r="AJ79" s="708"/>
      <c r="AK79" s="708"/>
      <c r="AL79" s="708"/>
      <c r="AM79" s="708"/>
      <c r="AN79" s="708"/>
      <c r="AO79" s="708"/>
      <c r="AP79" s="708"/>
      <c r="AQ79" s="708"/>
      <c r="AR79" s="708"/>
    </row>
    <row r="80" spans="1:44" x14ac:dyDescent="0.25">
      <c r="A80" s="708"/>
      <c r="B80" s="708"/>
      <c r="C80" s="708"/>
      <c r="D80" s="708"/>
      <c r="E80" s="708"/>
      <c r="F80" s="708"/>
      <c r="G80" s="708"/>
      <c r="H80" s="708"/>
      <c r="I80" s="708"/>
      <c r="J80" s="708"/>
      <c r="K80" s="708"/>
      <c r="L80" s="708"/>
      <c r="M80" s="708"/>
      <c r="N80" s="708"/>
      <c r="O80" s="708"/>
      <c r="P80" s="708"/>
      <c r="Q80" s="708"/>
      <c r="R80" s="708"/>
      <c r="S80" s="708"/>
      <c r="T80" s="708"/>
      <c r="U80" s="708"/>
      <c r="V80" s="708"/>
      <c r="W80" s="708"/>
      <c r="X80" s="708"/>
      <c r="Y80" s="708"/>
      <c r="Z80" s="708"/>
      <c r="AA80" s="708"/>
      <c r="AB80" s="708"/>
      <c r="AC80" s="708"/>
      <c r="AD80" s="708"/>
      <c r="AE80" s="708"/>
      <c r="AF80" s="708"/>
      <c r="AG80" s="708"/>
      <c r="AH80" s="708"/>
      <c r="AI80" s="708"/>
      <c r="AJ80" s="708"/>
      <c r="AK80" s="708"/>
      <c r="AL80" s="708"/>
      <c r="AM80" s="708"/>
      <c r="AN80" s="708"/>
      <c r="AO80" s="708"/>
      <c r="AP80" s="708"/>
      <c r="AQ80" s="708"/>
      <c r="AR80" s="708"/>
    </row>
    <row r="81" spans="1:44" x14ac:dyDescent="0.25">
      <c r="A81" s="708"/>
      <c r="B81" s="708"/>
      <c r="C81" s="708"/>
      <c r="D81" s="708"/>
      <c r="E81" s="708"/>
      <c r="F81" s="708"/>
      <c r="G81" s="708"/>
      <c r="H81" s="708"/>
      <c r="I81" s="708"/>
      <c r="J81" s="708"/>
      <c r="K81" s="708"/>
      <c r="L81" s="708"/>
      <c r="M81" s="708"/>
      <c r="N81" s="708"/>
      <c r="O81" s="708"/>
      <c r="P81" s="708"/>
      <c r="Q81" s="708"/>
      <c r="R81" s="708"/>
      <c r="S81" s="708"/>
      <c r="T81" s="708"/>
      <c r="U81" s="708"/>
      <c r="V81" s="708"/>
      <c r="W81" s="708"/>
      <c r="X81" s="708"/>
      <c r="Y81" s="708"/>
      <c r="Z81" s="708"/>
      <c r="AA81" s="708"/>
      <c r="AB81" s="708"/>
      <c r="AC81" s="708"/>
      <c r="AD81" s="708"/>
      <c r="AE81" s="708"/>
      <c r="AF81" s="708"/>
      <c r="AG81" s="708"/>
      <c r="AH81" s="708"/>
      <c r="AI81" s="708"/>
      <c r="AJ81" s="708"/>
      <c r="AK81" s="708"/>
      <c r="AL81" s="708"/>
      <c r="AM81" s="708"/>
      <c r="AN81" s="708"/>
      <c r="AO81" s="708"/>
      <c r="AP81" s="708"/>
      <c r="AQ81" s="708"/>
      <c r="AR81" s="708"/>
    </row>
    <row r="82" spans="1:44" x14ac:dyDescent="0.25">
      <c r="A82" s="708"/>
      <c r="B82" s="708"/>
      <c r="C82" s="708"/>
      <c r="D82" s="708"/>
      <c r="E82" s="708"/>
      <c r="F82" s="708"/>
      <c r="G82" s="708"/>
      <c r="H82" s="708"/>
      <c r="I82" s="708"/>
      <c r="J82" s="708"/>
      <c r="K82" s="708"/>
      <c r="L82" s="708"/>
      <c r="M82" s="708"/>
      <c r="N82" s="708"/>
      <c r="O82" s="708"/>
      <c r="P82" s="708"/>
      <c r="Q82" s="708"/>
      <c r="R82" s="708"/>
      <c r="S82" s="708"/>
      <c r="T82" s="708"/>
      <c r="U82" s="708"/>
      <c r="V82" s="708"/>
      <c r="W82" s="708"/>
      <c r="X82" s="708"/>
      <c r="Y82" s="708"/>
      <c r="Z82" s="708"/>
      <c r="AA82" s="708"/>
      <c r="AB82" s="708"/>
      <c r="AC82" s="708"/>
      <c r="AD82" s="708"/>
      <c r="AE82" s="708"/>
      <c r="AF82" s="708"/>
      <c r="AG82" s="708"/>
      <c r="AH82" s="708"/>
      <c r="AI82" s="708"/>
      <c r="AJ82" s="708"/>
      <c r="AK82" s="708"/>
      <c r="AL82" s="708"/>
      <c r="AM82" s="708"/>
      <c r="AN82" s="708"/>
      <c r="AO82" s="708"/>
      <c r="AP82" s="708"/>
      <c r="AQ82" s="708"/>
      <c r="AR82" s="708"/>
    </row>
    <row r="83" spans="1:44" x14ac:dyDescent="0.25">
      <c r="A83" s="708"/>
      <c r="B83" s="708"/>
      <c r="C83" s="708"/>
      <c r="D83" s="708"/>
      <c r="E83" s="708"/>
      <c r="F83" s="708"/>
      <c r="G83" s="708"/>
      <c r="H83" s="708"/>
      <c r="I83" s="708"/>
      <c r="J83" s="708"/>
      <c r="K83" s="708"/>
      <c r="L83" s="708"/>
      <c r="M83" s="708"/>
      <c r="N83" s="708"/>
      <c r="O83" s="708"/>
      <c r="P83" s="708"/>
      <c r="Q83" s="708"/>
      <c r="R83" s="708"/>
      <c r="S83" s="708"/>
      <c r="T83" s="708"/>
      <c r="U83" s="708"/>
      <c r="V83" s="708"/>
      <c r="W83" s="708"/>
      <c r="X83" s="708"/>
      <c r="Y83" s="708"/>
      <c r="Z83" s="708"/>
      <c r="AA83" s="708"/>
      <c r="AB83" s="708"/>
      <c r="AC83" s="708"/>
      <c r="AD83" s="708"/>
      <c r="AE83" s="708"/>
      <c r="AF83" s="708"/>
      <c r="AG83" s="708"/>
      <c r="AH83" s="708"/>
      <c r="AI83" s="708"/>
      <c r="AJ83" s="708"/>
      <c r="AK83" s="708"/>
      <c r="AL83" s="708"/>
      <c r="AM83" s="708"/>
      <c r="AN83" s="708"/>
      <c r="AO83" s="708"/>
      <c r="AP83" s="708"/>
      <c r="AQ83" s="708"/>
      <c r="AR83" s="708"/>
    </row>
    <row r="84" spans="1:44" x14ac:dyDescent="0.25">
      <c r="A84" s="708"/>
      <c r="B84" s="708"/>
      <c r="C84" s="708"/>
      <c r="D84" s="708"/>
      <c r="E84" s="708"/>
      <c r="F84" s="708"/>
      <c r="G84" s="708"/>
      <c r="H84" s="708"/>
      <c r="I84" s="708"/>
      <c r="J84" s="708"/>
      <c r="K84" s="708"/>
      <c r="L84" s="708"/>
      <c r="M84" s="708"/>
      <c r="N84" s="708"/>
      <c r="O84" s="708"/>
      <c r="P84" s="708"/>
      <c r="Q84" s="708"/>
      <c r="R84" s="708"/>
      <c r="S84" s="708"/>
      <c r="T84" s="708"/>
      <c r="U84" s="708"/>
      <c r="V84" s="708"/>
      <c r="W84" s="708"/>
      <c r="X84" s="708"/>
      <c r="Y84" s="708"/>
      <c r="Z84" s="708"/>
      <c r="AA84" s="708"/>
      <c r="AB84" s="708"/>
      <c r="AC84" s="708"/>
      <c r="AD84" s="708"/>
      <c r="AE84" s="708"/>
      <c r="AF84" s="708"/>
      <c r="AG84" s="708"/>
      <c r="AH84" s="708"/>
      <c r="AI84" s="708"/>
      <c r="AJ84" s="708"/>
      <c r="AK84" s="708"/>
      <c r="AL84" s="708"/>
      <c r="AM84" s="708"/>
      <c r="AN84" s="708"/>
      <c r="AO84" s="708"/>
      <c r="AP84" s="708"/>
      <c r="AQ84" s="708"/>
      <c r="AR84" s="708"/>
    </row>
    <row r="85" spans="1:44" x14ac:dyDescent="0.25">
      <c r="A85" s="708"/>
      <c r="B85" s="708"/>
      <c r="C85" s="708"/>
      <c r="D85" s="708"/>
      <c r="E85" s="708"/>
      <c r="F85" s="708"/>
      <c r="G85" s="708"/>
      <c r="H85" s="708"/>
      <c r="I85" s="708"/>
      <c r="J85" s="708"/>
      <c r="K85" s="708"/>
      <c r="L85" s="708"/>
      <c r="M85" s="708"/>
      <c r="N85" s="708"/>
      <c r="O85" s="708"/>
      <c r="P85" s="708"/>
      <c r="Q85" s="708"/>
      <c r="R85" s="708"/>
      <c r="S85" s="708"/>
      <c r="T85" s="708"/>
      <c r="U85" s="708"/>
      <c r="V85" s="708"/>
      <c r="W85" s="708"/>
      <c r="X85" s="708"/>
      <c r="Y85" s="708"/>
      <c r="Z85" s="708"/>
      <c r="AA85" s="708"/>
      <c r="AB85" s="708"/>
      <c r="AC85" s="708"/>
      <c r="AD85" s="708"/>
      <c r="AE85" s="708"/>
      <c r="AF85" s="708"/>
      <c r="AG85" s="708"/>
      <c r="AH85" s="708"/>
      <c r="AI85" s="708"/>
      <c r="AJ85" s="708"/>
      <c r="AK85" s="708"/>
      <c r="AL85" s="708"/>
      <c r="AM85" s="708"/>
      <c r="AN85" s="708"/>
      <c r="AO85" s="708"/>
      <c r="AP85" s="708"/>
      <c r="AQ85" s="708"/>
      <c r="AR85" s="708"/>
    </row>
    <row r="86" spans="1:44" x14ac:dyDescent="0.25">
      <c r="A86" s="708"/>
      <c r="B86" s="708"/>
      <c r="C86" s="708"/>
      <c r="D86" s="708"/>
      <c r="E86" s="708"/>
      <c r="F86" s="708"/>
      <c r="G86" s="708"/>
      <c r="H86" s="708"/>
      <c r="I86" s="708"/>
      <c r="J86" s="708"/>
      <c r="K86" s="708"/>
      <c r="L86" s="708"/>
      <c r="M86" s="708"/>
      <c r="N86" s="708"/>
      <c r="O86" s="708"/>
      <c r="P86" s="708"/>
      <c r="Q86" s="708"/>
      <c r="R86" s="708"/>
      <c r="S86" s="708"/>
      <c r="T86" s="708"/>
      <c r="U86" s="708"/>
      <c r="V86" s="708"/>
      <c r="W86" s="708"/>
      <c r="X86" s="708"/>
      <c r="Y86" s="708"/>
      <c r="Z86" s="708"/>
      <c r="AA86" s="708"/>
      <c r="AB86" s="708"/>
      <c r="AC86" s="708"/>
      <c r="AD86" s="708"/>
      <c r="AE86" s="708"/>
      <c r="AF86" s="708"/>
      <c r="AG86" s="708"/>
      <c r="AH86" s="708"/>
      <c r="AI86" s="708"/>
      <c r="AJ86" s="708"/>
      <c r="AK86" s="708"/>
      <c r="AL86" s="708"/>
      <c r="AM86" s="708"/>
      <c r="AN86" s="708"/>
      <c r="AO86" s="708"/>
      <c r="AP86" s="708"/>
      <c r="AQ86" s="708"/>
      <c r="AR86" s="708"/>
    </row>
    <row r="87" spans="1:44" x14ac:dyDescent="0.25">
      <c r="A87" s="708"/>
      <c r="B87" s="708"/>
      <c r="C87" s="708"/>
      <c r="D87" s="708"/>
      <c r="E87" s="708"/>
      <c r="F87" s="708"/>
      <c r="G87" s="708"/>
      <c r="H87" s="708"/>
      <c r="I87" s="708"/>
      <c r="J87" s="708"/>
      <c r="K87" s="708"/>
      <c r="L87" s="708"/>
      <c r="M87" s="708"/>
      <c r="N87" s="708"/>
      <c r="O87" s="708"/>
      <c r="P87" s="708"/>
      <c r="Q87" s="708"/>
      <c r="R87" s="708"/>
      <c r="S87" s="708"/>
      <c r="T87" s="708"/>
      <c r="U87" s="708"/>
      <c r="V87" s="708"/>
      <c r="W87" s="708"/>
      <c r="X87" s="708"/>
      <c r="Y87" s="708"/>
      <c r="Z87" s="708"/>
      <c r="AA87" s="708"/>
      <c r="AB87" s="708"/>
      <c r="AC87" s="708"/>
      <c r="AD87" s="708"/>
      <c r="AE87" s="708"/>
      <c r="AF87" s="708"/>
      <c r="AG87" s="708"/>
      <c r="AH87" s="708"/>
      <c r="AI87" s="708"/>
      <c r="AJ87" s="708"/>
      <c r="AK87" s="708"/>
      <c r="AL87" s="708"/>
      <c r="AM87" s="708"/>
      <c r="AN87" s="708"/>
      <c r="AO87" s="708"/>
      <c r="AP87" s="708"/>
      <c r="AQ87" s="708"/>
      <c r="AR87" s="708"/>
    </row>
    <row r="88" spans="1:44" x14ac:dyDescent="0.25">
      <c r="A88" s="708"/>
      <c r="B88" s="708"/>
      <c r="C88" s="708"/>
      <c r="D88" s="708"/>
      <c r="E88" s="708"/>
      <c r="F88" s="708"/>
      <c r="G88" s="708"/>
      <c r="H88" s="708"/>
      <c r="I88" s="708"/>
      <c r="J88" s="708"/>
      <c r="K88" s="708"/>
      <c r="L88" s="708"/>
      <c r="M88" s="708"/>
      <c r="N88" s="708"/>
      <c r="O88" s="708"/>
      <c r="P88" s="708"/>
      <c r="Q88" s="708"/>
      <c r="R88" s="708"/>
      <c r="S88" s="708"/>
      <c r="T88" s="708"/>
      <c r="U88" s="708"/>
      <c r="V88" s="708"/>
      <c r="W88" s="708"/>
      <c r="X88" s="708"/>
      <c r="Y88" s="708"/>
      <c r="Z88" s="708"/>
      <c r="AA88" s="708"/>
      <c r="AB88" s="708"/>
      <c r="AC88" s="708"/>
      <c r="AD88" s="708"/>
      <c r="AE88" s="708"/>
      <c r="AF88" s="708"/>
      <c r="AG88" s="708"/>
      <c r="AH88" s="708"/>
      <c r="AI88" s="708"/>
      <c r="AJ88" s="708"/>
      <c r="AK88" s="708"/>
      <c r="AL88" s="708"/>
      <c r="AM88" s="708"/>
      <c r="AN88" s="708"/>
      <c r="AO88" s="708"/>
      <c r="AP88" s="708"/>
      <c r="AQ88" s="708"/>
      <c r="AR88" s="708"/>
    </row>
    <row r="89" spans="1:44" x14ac:dyDescent="0.25">
      <c r="A89" s="708"/>
      <c r="B89" s="708"/>
      <c r="C89" s="708"/>
      <c r="D89" s="708"/>
      <c r="E89" s="708"/>
      <c r="F89" s="708"/>
      <c r="G89" s="708"/>
      <c r="H89" s="708"/>
      <c r="I89" s="708"/>
      <c r="J89" s="708"/>
      <c r="K89" s="708"/>
      <c r="L89" s="708"/>
      <c r="M89" s="708"/>
      <c r="N89" s="708"/>
      <c r="O89" s="708"/>
      <c r="P89" s="708"/>
      <c r="Q89" s="708"/>
      <c r="R89" s="708"/>
      <c r="S89" s="708"/>
      <c r="T89" s="708"/>
      <c r="U89" s="708"/>
      <c r="V89" s="708"/>
      <c r="W89" s="708"/>
      <c r="X89" s="708"/>
      <c r="Y89" s="708"/>
      <c r="Z89" s="708"/>
      <c r="AA89" s="708"/>
      <c r="AB89" s="708"/>
      <c r="AC89" s="708"/>
      <c r="AD89" s="708"/>
      <c r="AE89" s="708"/>
      <c r="AF89" s="708"/>
      <c r="AG89" s="708"/>
      <c r="AH89" s="708"/>
      <c r="AI89" s="708"/>
      <c r="AJ89" s="708"/>
      <c r="AK89" s="708"/>
      <c r="AL89" s="708"/>
      <c r="AM89" s="708"/>
      <c r="AN89" s="708"/>
      <c r="AO89" s="708"/>
      <c r="AP89" s="708"/>
      <c r="AQ89" s="708"/>
      <c r="AR89" s="708"/>
    </row>
    <row r="90" spans="1:44" x14ac:dyDescent="0.25">
      <c r="A90" s="708"/>
      <c r="B90" s="708"/>
      <c r="C90" s="708"/>
      <c r="D90" s="708"/>
      <c r="E90" s="708"/>
      <c r="F90" s="708"/>
      <c r="G90" s="708"/>
      <c r="H90" s="708"/>
      <c r="I90" s="708"/>
      <c r="J90" s="708"/>
      <c r="K90" s="708"/>
      <c r="L90" s="708"/>
      <c r="M90" s="708"/>
      <c r="N90" s="708"/>
      <c r="O90" s="708"/>
      <c r="P90" s="708"/>
      <c r="Q90" s="708"/>
      <c r="R90" s="708"/>
      <c r="S90" s="708"/>
      <c r="T90" s="708"/>
      <c r="U90" s="708"/>
      <c r="V90" s="708"/>
      <c r="W90" s="708"/>
      <c r="X90" s="708"/>
      <c r="Y90" s="708"/>
      <c r="Z90" s="708"/>
      <c r="AA90" s="708"/>
      <c r="AB90" s="708"/>
      <c r="AC90" s="708"/>
      <c r="AD90" s="708"/>
      <c r="AE90" s="708"/>
      <c r="AF90" s="708"/>
      <c r="AG90" s="708"/>
      <c r="AH90" s="708"/>
      <c r="AI90" s="708"/>
      <c r="AJ90" s="708"/>
      <c r="AK90" s="708"/>
      <c r="AL90" s="708"/>
      <c r="AM90" s="708"/>
      <c r="AN90" s="708"/>
      <c r="AO90" s="708"/>
      <c r="AP90" s="708"/>
      <c r="AQ90" s="708"/>
      <c r="AR90" s="708"/>
    </row>
    <row r="91" spans="1:44" x14ac:dyDescent="0.25">
      <c r="A91" s="708"/>
      <c r="B91" s="708"/>
      <c r="C91" s="708"/>
      <c r="D91" s="708"/>
      <c r="E91" s="708"/>
      <c r="F91" s="708"/>
      <c r="G91" s="708"/>
      <c r="H91" s="708"/>
      <c r="I91" s="708"/>
      <c r="J91" s="708"/>
      <c r="K91" s="708"/>
      <c r="L91" s="708"/>
      <c r="M91" s="708"/>
      <c r="N91" s="708"/>
      <c r="O91" s="708"/>
      <c r="P91" s="708"/>
      <c r="Q91" s="708"/>
      <c r="R91" s="708"/>
      <c r="S91" s="708"/>
      <c r="T91" s="708"/>
      <c r="U91" s="708"/>
      <c r="V91" s="708"/>
      <c r="W91" s="708"/>
      <c r="X91" s="708"/>
      <c r="Y91" s="708"/>
      <c r="Z91" s="708"/>
      <c r="AA91" s="708"/>
      <c r="AB91" s="708"/>
      <c r="AC91" s="708"/>
      <c r="AD91" s="708"/>
      <c r="AE91" s="708"/>
      <c r="AF91" s="708"/>
      <c r="AG91" s="708"/>
      <c r="AH91" s="708"/>
      <c r="AI91" s="708"/>
      <c r="AJ91" s="708"/>
      <c r="AK91" s="708"/>
      <c r="AL91" s="708"/>
      <c r="AM91" s="708"/>
      <c r="AN91" s="708"/>
      <c r="AO91" s="708"/>
      <c r="AP91" s="708"/>
      <c r="AQ91" s="708"/>
      <c r="AR91" s="708"/>
    </row>
    <row r="92" spans="1:44" x14ac:dyDescent="0.25">
      <c r="A92" s="708"/>
      <c r="B92" s="708"/>
      <c r="C92" s="708"/>
      <c r="D92" s="708"/>
      <c r="E92" s="708"/>
      <c r="F92" s="708"/>
      <c r="G92" s="708"/>
      <c r="H92" s="708"/>
      <c r="I92" s="708"/>
      <c r="J92" s="708"/>
      <c r="K92" s="708"/>
      <c r="L92" s="708"/>
      <c r="M92" s="708"/>
      <c r="N92" s="708"/>
      <c r="O92" s="708"/>
      <c r="P92" s="708"/>
      <c r="Q92" s="708"/>
      <c r="R92" s="708"/>
      <c r="S92" s="708"/>
      <c r="T92" s="708"/>
      <c r="U92" s="708"/>
      <c r="V92" s="708"/>
      <c r="W92" s="708"/>
      <c r="X92" s="708"/>
      <c r="Y92" s="708"/>
      <c r="Z92" s="708"/>
      <c r="AA92" s="708"/>
      <c r="AB92" s="708"/>
      <c r="AC92" s="708"/>
      <c r="AD92" s="708"/>
      <c r="AE92" s="708"/>
      <c r="AF92" s="708"/>
      <c r="AG92" s="708"/>
      <c r="AH92" s="708"/>
      <c r="AI92" s="708"/>
      <c r="AJ92" s="708"/>
      <c r="AK92" s="708"/>
      <c r="AL92" s="708"/>
      <c r="AM92" s="708"/>
      <c r="AN92" s="708"/>
      <c r="AO92" s="708"/>
      <c r="AP92" s="708"/>
      <c r="AQ92" s="708"/>
      <c r="AR92" s="708"/>
    </row>
    <row r="93" spans="1:44" x14ac:dyDescent="0.25">
      <c r="A93" s="708"/>
      <c r="B93" s="708"/>
      <c r="C93" s="708"/>
      <c r="D93" s="708"/>
      <c r="E93" s="708"/>
      <c r="F93" s="708"/>
      <c r="G93" s="708"/>
      <c r="H93" s="708"/>
      <c r="I93" s="708"/>
      <c r="J93" s="708"/>
      <c r="K93" s="708"/>
      <c r="L93" s="708"/>
      <c r="M93" s="708"/>
      <c r="N93" s="708"/>
      <c r="O93" s="708"/>
      <c r="P93" s="708"/>
      <c r="Q93" s="708"/>
      <c r="R93" s="708"/>
      <c r="S93" s="708"/>
      <c r="T93" s="708"/>
      <c r="U93" s="708"/>
      <c r="V93" s="708"/>
      <c r="W93" s="708"/>
      <c r="X93" s="708"/>
      <c r="Y93" s="708"/>
      <c r="Z93" s="708"/>
      <c r="AA93" s="708"/>
      <c r="AB93" s="708"/>
      <c r="AC93" s="708"/>
      <c r="AD93" s="708"/>
      <c r="AE93" s="708"/>
      <c r="AF93" s="708"/>
      <c r="AG93" s="708"/>
      <c r="AH93" s="708"/>
      <c r="AI93" s="708"/>
      <c r="AJ93" s="708"/>
      <c r="AK93" s="708"/>
      <c r="AL93" s="708"/>
      <c r="AM93" s="708"/>
      <c r="AN93" s="708"/>
      <c r="AO93" s="708"/>
      <c r="AP93" s="708"/>
      <c r="AQ93" s="708"/>
      <c r="AR93" s="708"/>
    </row>
    <row r="94" spans="1:44" x14ac:dyDescent="0.25">
      <c r="A94" s="708"/>
      <c r="B94" s="708"/>
      <c r="C94" s="708"/>
      <c r="D94" s="708"/>
      <c r="E94" s="708"/>
      <c r="F94" s="708"/>
      <c r="G94" s="708"/>
      <c r="H94" s="708"/>
      <c r="I94" s="708"/>
      <c r="J94" s="708"/>
      <c r="K94" s="708"/>
      <c r="L94" s="708"/>
      <c r="M94" s="708"/>
      <c r="N94" s="708"/>
      <c r="O94" s="708"/>
      <c r="P94" s="708"/>
      <c r="Q94" s="708"/>
      <c r="R94" s="708"/>
      <c r="S94" s="708"/>
      <c r="T94" s="708"/>
      <c r="U94" s="708"/>
      <c r="V94" s="708"/>
      <c r="W94" s="708"/>
      <c r="X94" s="708"/>
      <c r="Y94" s="708"/>
      <c r="Z94" s="708"/>
      <c r="AA94" s="708"/>
      <c r="AB94" s="708"/>
      <c r="AC94" s="708"/>
      <c r="AD94" s="708"/>
      <c r="AE94" s="708"/>
      <c r="AF94" s="708"/>
      <c r="AG94" s="708"/>
      <c r="AH94" s="708"/>
      <c r="AI94" s="708"/>
      <c r="AJ94" s="708"/>
      <c r="AK94" s="708"/>
      <c r="AL94" s="708"/>
      <c r="AM94" s="708"/>
      <c r="AN94" s="708"/>
      <c r="AO94" s="708"/>
      <c r="AP94" s="708"/>
      <c r="AQ94" s="708"/>
      <c r="AR94" s="708"/>
    </row>
    <row r="95" spans="1:44" x14ac:dyDescent="0.25">
      <c r="A95" s="708"/>
      <c r="B95" s="708"/>
      <c r="C95" s="708"/>
      <c r="D95" s="708"/>
      <c r="E95" s="708"/>
      <c r="F95" s="708"/>
      <c r="G95" s="708"/>
      <c r="H95" s="708"/>
      <c r="I95" s="708"/>
      <c r="J95" s="708"/>
      <c r="K95" s="708"/>
      <c r="L95" s="708"/>
      <c r="M95" s="708"/>
      <c r="N95" s="708"/>
      <c r="O95" s="708"/>
      <c r="P95" s="708"/>
      <c r="Q95" s="708"/>
      <c r="R95" s="708"/>
      <c r="S95" s="708"/>
      <c r="T95" s="708"/>
      <c r="U95" s="708"/>
      <c r="V95" s="708"/>
      <c r="W95" s="708"/>
      <c r="X95" s="708"/>
      <c r="Y95" s="708"/>
      <c r="Z95" s="708"/>
      <c r="AA95" s="708"/>
      <c r="AB95" s="708"/>
      <c r="AC95" s="708"/>
      <c r="AD95" s="708"/>
      <c r="AE95" s="708"/>
      <c r="AF95" s="708"/>
      <c r="AG95" s="708"/>
      <c r="AH95" s="708"/>
      <c r="AI95" s="708"/>
      <c r="AJ95" s="708"/>
      <c r="AK95" s="708"/>
      <c r="AL95" s="708"/>
      <c r="AM95" s="708"/>
      <c r="AN95" s="708"/>
      <c r="AO95" s="708"/>
      <c r="AP95" s="708"/>
      <c r="AQ95" s="708"/>
      <c r="AR95" s="708"/>
    </row>
    <row r="96" spans="1:44" x14ac:dyDescent="0.25">
      <c r="A96" s="708"/>
      <c r="B96" s="708"/>
      <c r="C96" s="708"/>
      <c r="D96" s="708"/>
      <c r="E96" s="708"/>
      <c r="F96" s="708"/>
      <c r="G96" s="708"/>
      <c r="H96" s="708"/>
      <c r="I96" s="708"/>
      <c r="J96" s="708"/>
      <c r="K96" s="708"/>
      <c r="L96" s="708"/>
      <c r="M96" s="708"/>
      <c r="N96" s="708"/>
      <c r="O96" s="708"/>
      <c r="P96" s="708"/>
      <c r="Q96" s="708"/>
      <c r="R96" s="708"/>
      <c r="S96" s="708"/>
      <c r="T96" s="708"/>
      <c r="U96" s="708"/>
      <c r="V96" s="708"/>
      <c r="W96" s="708"/>
      <c r="X96" s="708"/>
      <c r="Y96" s="708"/>
      <c r="Z96" s="708"/>
      <c r="AA96" s="708"/>
      <c r="AB96" s="708"/>
      <c r="AC96" s="708"/>
      <c r="AD96" s="708"/>
      <c r="AE96" s="708"/>
      <c r="AF96" s="708"/>
      <c r="AG96" s="708"/>
      <c r="AH96" s="708"/>
      <c r="AI96" s="708"/>
      <c r="AJ96" s="708"/>
      <c r="AK96" s="708"/>
      <c r="AL96" s="708"/>
      <c r="AM96" s="708"/>
      <c r="AN96" s="708"/>
      <c r="AO96" s="708"/>
      <c r="AP96" s="708"/>
      <c r="AQ96" s="708"/>
      <c r="AR96" s="708"/>
    </row>
    <row r="97" spans="1:44" x14ac:dyDescent="0.25">
      <c r="A97" s="708"/>
      <c r="B97" s="708"/>
      <c r="C97" s="708"/>
      <c r="D97" s="708"/>
      <c r="E97" s="708"/>
      <c r="F97" s="708"/>
      <c r="G97" s="708"/>
      <c r="H97" s="708"/>
      <c r="I97" s="708"/>
      <c r="J97" s="708"/>
      <c r="K97" s="708"/>
      <c r="L97" s="708"/>
      <c r="M97" s="708"/>
      <c r="N97" s="708"/>
      <c r="O97" s="708"/>
      <c r="P97" s="708"/>
      <c r="Q97" s="708"/>
      <c r="R97" s="708"/>
      <c r="S97" s="708"/>
      <c r="T97" s="708"/>
      <c r="U97" s="708"/>
      <c r="V97" s="708"/>
      <c r="W97" s="708"/>
      <c r="X97" s="708"/>
      <c r="Y97" s="708"/>
      <c r="Z97" s="708"/>
      <c r="AA97" s="708"/>
      <c r="AB97" s="708"/>
      <c r="AC97" s="708"/>
      <c r="AD97" s="708"/>
      <c r="AE97" s="708"/>
      <c r="AF97" s="708"/>
      <c r="AG97" s="708"/>
      <c r="AH97" s="708"/>
      <c r="AI97" s="708"/>
      <c r="AJ97" s="708"/>
      <c r="AK97" s="708"/>
      <c r="AL97" s="708"/>
      <c r="AM97" s="708"/>
      <c r="AN97" s="708"/>
      <c r="AO97" s="708"/>
      <c r="AP97" s="708"/>
      <c r="AQ97" s="708"/>
      <c r="AR97" s="708"/>
    </row>
    <row r="98" spans="1:44" x14ac:dyDescent="0.25">
      <c r="A98" s="708"/>
      <c r="B98" s="708"/>
      <c r="C98" s="708"/>
      <c r="D98" s="708"/>
      <c r="E98" s="708"/>
      <c r="F98" s="708"/>
      <c r="G98" s="708"/>
      <c r="H98" s="708"/>
      <c r="I98" s="708"/>
      <c r="J98" s="708"/>
      <c r="K98" s="708"/>
      <c r="L98" s="708"/>
      <c r="M98" s="708"/>
      <c r="N98" s="708"/>
      <c r="O98" s="708"/>
      <c r="P98" s="708"/>
      <c r="Q98" s="708"/>
      <c r="R98" s="708"/>
      <c r="S98" s="708"/>
      <c r="T98" s="708"/>
      <c r="U98" s="708"/>
      <c r="V98" s="708"/>
      <c r="W98" s="708"/>
      <c r="X98" s="708"/>
      <c r="Y98" s="708"/>
      <c r="Z98" s="708"/>
      <c r="AA98" s="708"/>
      <c r="AB98" s="708"/>
      <c r="AC98" s="708"/>
      <c r="AD98" s="708"/>
      <c r="AE98" s="708"/>
      <c r="AF98" s="708"/>
      <c r="AG98" s="708"/>
      <c r="AH98" s="708"/>
      <c r="AI98" s="708"/>
      <c r="AJ98" s="708"/>
      <c r="AK98" s="708"/>
      <c r="AL98" s="708"/>
      <c r="AM98" s="708"/>
      <c r="AN98" s="708"/>
      <c r="AO98" s="708"/>
      <c r="AP98" s="708"/>
      <c r="AQ98" s="708"/>
      <c r="AR98" s="708"/>
    </row>
    <row r="99" spans="1:44" x14ac:dyDescent="0.25">
      <c r="A99" s="708"/>
      <c r="B99" s="708"/>
      <c r="C99" s="708"/>
      <c r="D99" s="708"/>
      <c r="E99" s="708"/>
      <c r="F99" s="708"/>
      <c r="G99" s="708"/>
      <c r="H99" s="708"/>
      <c r="I99" s="708"/>
      <c r="J99" s="708"/>
      <c r="K99" s="708"/>
      <c r="L99" s="708"/>
      <c r="M99" s="708"/>
      <c r="N99" s="708"/>
      <c r="O99" s="708"/>
      <c r="P99" s="708"/>
      <c r="Q99" s="708"/>
      <c r="R99" s="708"/>
      <c r="S99" s="708"/>
      <c r="T99" s="708"/>
      <c r="U99" s="708"/>
      <c r="V99" s="708"/>
      <c r="W99" s="708"/>
      <c r="X99" s="708"/>
      <c r="Y99" s="708"/>
      <c r="Z99" s="708"/>
      <c r="AA99" s="708"/>
      <c r="AB99" s="708"/>
      <c r="AC99" s="708"/>
      <c r="AD99" s="708"/>
      <c r="AE99" s="708"/>
      <c r="AF99" s="708"/>
      <c r="AG99" s="708"/>
      <c r="AH99" s="708"/>
      <c r="AI99" s="708"/>
      <c r="AJ99" s="708"/>
      <c r="AK99" s="708"/>
      <c r="AL99" s="708"/>
      <c r="AM99" s="708"/>
      <c r="AN99" s="708"/>
      <c r="AO99" s="708"/>
      <c r="AP99" s="708"/>
      <c r="AQ99" s="708"/>
      <c r="AR99" s="708"/>
    </row>
    <row r="100" spans="1:44" x14ac:dyDescent="0.25">
      <c r="A100" s="708"/>
      <c r="B100" s="708"/>
      <c r="C100" s="708"/>
      <c r="D100" s="708"/>
      <c r="E100" s="708"/>
      <c r="F100" s="708"/>
      <c r="G100" s="708"/>
      <c r="H100" s="708"/>
      <c r="I100" s="708"/>
      <c r="J100" s="708"/>
      <c r="K100" s="708"/>
      <c r="L100" s="708"/>
      <c r="M100" s="708"/>
      <c r="N100" s="708"/>
      <c r="O100" s="708"/>
      <c r="P100" s="708"/>
      <c r="Q100" s="708"/>
      <c r="R100" s="708"/>
      <c r="S100" s="708"/>
      <c r="T100" s="708"/>
      <c r="U100" s="708"/>
      <c r="V100" s="708"/>
      <c r="W100" s="708"/>
      <c r="X100" s="708"/>
      <c r="Y100" s="708"/>
      <c r="Z100" s="708"/>
      <c r="AA100" s="708"/>
      <c r="AB100" s="708"/>
      <c r="AC100" s="708"/>
      <c r="AD100" s="708"/>
      <c r="AE100" s="708"/>
      <c r="AF100" s="708"/>
      <c r="AG100" s="708"/>
      <c r="AH100" s="708"/>
      <c r="AI100" s="708"/>
      <c r="AJ100" s="708"/>
      <c r="AK100" s="708"/>
      <c r="AL100" s="708"/>
      <c r="AM100" s="708"/>
      <c r="AN100" s="708"/>
      <c r="AO100" s="708"/>
      <c r="AP100" s="708"/>
      <c r="AQ100" s="708"/>
      <c r="AR100" s="708"/>
    </row>
    <row r="101" spans="1:44" x14ac:dyDescent="0.25">
      <c r="A101" s="708"/>
      <c r="B101" s="708"/>
      <c r="C101" s="708"/>
      <c r="D101" s="708"/>
      <c r="E101" s="708"/>
      <c r="F101" s="708"/>
      <c r="G101" s="708"/>
      <c r="H101" s="708"/>
      <c r="I101" s="708"/>
      <c r="J101" s="708"/>
      <c r="K101" s="708"/>
      <c r="L101" s="708"/>
      <c r="M101" s="708"/>
      <c r="N101" s="708"/>
      <c r="O101" s="708"/>
      <c r="P101" s="708"/>
      <c r="Q101" s="708"/>
      <c r="R101" s="708"/>
      <c r="S101" s="708"/>
      <c r="T101" s="708"/>
      <c r="U101" s="708"/>
      <c r="V101" s="708"/>
      <c r="W101" s="708"/>
      <c r="X101" s="708"/>
      <c r="Y101" s="708"/>
      <c r="Z101" s="708"/>
      <c r="AA101" s="708"/>
      <c r="AB101" s="708"/>
      <c r="AC101" s="708"/>
      <c r="AD101" s="708"/>
      <c r="AE101" s="708"/>
      <c r="AF101" s="708"/>
      <c r="AG101" s="708"/>
      <c r="AH101" s="708"/>
      <c r="AI101" s="708"/>
      <c r="AJ101" s="708"/>
      <c r="AK101" s="708"/>
      <c r="AL101" s="708"/>
      <c r="AM101" s="708"/>
      <c r="AN101" s="708"/>
      <c r="AO101" s="708"/>
      <c r="AP101" s="708"/>
      <c r="AQ101" s="708"/>
      <c r="AR101" s="708"/>
    </row>
    <row r="102" spans="1:44" x14ac:dyDescent="0.25">
      <c r="A102" s="708"/>
      <c r="B102" s="708"/>
      <c r="C102" s="708"/>
      <c r="D102" s="708"/>
      <c r="E102" s="708"/>
      <c r="F102" s="708"/>
      <c r="G102" s="708"/>
      <c r="H102" s="708"/>
      <c r="I102" s="708"/>
      <c r="J102" s="708"/>
      <c r="K102" s="708"/>
      <c r="L102" s="708"/>
      <c r="M102" s="708"/>
      <c r="N102" s="708"/>
      <c r="O102" s="708"/>
      <c r="P102" s="708"/>
      <c r="Q102" s="708"/>
      <c r="R102" s="708"/>
      <c r="S102" s="708"/>
      <c r="T102" s="708"/>
      <c r="U102" s="708"/>
      <c r="V102" s="708"/>
      <c r="W102" s="708"/>
      <c r="X102" s="708"/>
      <c r="Y102" s="708"/>
      <c r="Z102" s="708"/>
      <c r="AA102" s="708"/>
      <c r="AB102" s="708"/>
      <c r="AC102" s="708"/>
      <c r="AD102" s="708"/>
      <c r="AE102" s="708"/>
      <c r="AF102" s="708"/>
      <c r="AG102" s="708"/>
      <c r="AH102" s="708"/>
      <c r="AI102" s="708"/>
      <c r="AJ102" s="708"/>
      <c r="AK102" s="708"/>
      <c r="AL102" s="708"/>
      <c r="AM102" s="708"/>
      <c r="AN102" s="708"/>
      <c r="AO102" s="708"/>
      <c r="AP102" s="708"/>
      <c r="AQ102" s="708"/>
      <c r="AR102" s="708"/>
    </row>
    <row r="103" spans="1:44" x14ac:dyDescent="0.25">
      <c r="A103" s="708"/>
      <c r="B103" s="708"/>
      <c r="C103" s="708"/>
      <c r="D103" s="708"/>
      <c r="E103" s="708"/>
      <c r="F103" s="708"/>
      <c r="G103" s="708"/>
      <c r="H103" s="708"/>
      <c r="I103" s="708"/>
      <c r="J103" s="708"/>
      <c r="K103" s="708"/>
      <c r="L103" s="708"/>
      <c r="M103" s="708"/>
      <c r="N103" s="708"/>
      <c r="O103" s="708"/>
      <c r="P103" s="708"/>
      <c r="Q103" s="708"/>
      <c r="R103" s="708"/>
      <c r="S103" s="708"/>
      <c r="T103" s="708"/>
      <c r="U103" s="708"/>
      <c r="V103" s="708"/>
      <c r="W103" s="708"/>
      <c r="X103" s="708"/>
      <c r="Y103" s="708"/>
      <c r="Z103" s="708"/>
      <c r="AA103" s="708"/>
      <c r="AB103" s="708"/>
      <c r="AC103" s="708"/>
      <c r="AD103" s="708"/>
      <c r="AE103" s="708"/>
      <c r="AF103" s="708"/>
      <c r="AG103" s="708"/>
      <c r="AH103" s="708"/>
      <c r="AI103" s="708"/>
      <c r="AJ103" s="708"/>
      <c r="AK103" s="708"/>
      <c r="AL103" s="708"/>
      <c r="AM103" s="708"/>
      <c r="AN103" s="708"/>
      <c r="AO103" s="708"/>
      <c r="AP103" s="708"/>
      <c r="AQ103" s="708"/>
      <c r="AR103" s="708"/>
    </row>
    <row r="104" spans="1:44" x14ac:dyDescent="0.25">
      <c r="A104" s="708"/>
      <c r="B104" s="708"/>
      <c r="C104" s="708"/>
      <c r="D104" s="708"/>
      <c r="E104" s="708"/>
      <c r="F104" s="708"/>
      <c r="G104" s="708"/>
      <c r="H104" s="708"/>
      <c r="I104" s="708"/>
      <c r="J104" s="708"/>
      <c r="K104" s="708"/>
      <c r="L104" s="708"/>
      <c r="M104" s="708"/>
      <c r="N104" s="708"/>
      <c r="O104" s="708"/>
      <c r="P104" s="708"/>
      <c r="Q104" s="708"/>
      <c r="R104" s="708"/>
      <c r="S104" s="708"/>
      <c r="T104" s="708"/>
      <c r="U104" s="708"/>
      <c r="V104" s="708"/>
      <c r="W104" s="708"/>
      <c r="X104" s="708"/>
      <c r="Y104" s="708"/>
      <c r="Z104" s="708"/>
      <c r="AA104" s="708"/>
      <c r="AB104" s="708"/>
      <c r="AC104" s="708"/>
      <c r="AD104" s="708"/>
      <c r="AE104" s="708"/>
      <c r="AF104" s="708"/>
      <c r="AG104" s="708"/>
      <c r="AH104" s="708"/>
      <c r="AI104" s="708"/>
      <c r="AJ104" s="708"/>
      <c r="AK104" s="708"/>
      <c r="AL104" s="708"/>
      <c r="AM104" s="708"/>
      <c r="AN104" s="708"/>
      <c r="AO104" s="708"/>
      <c r="AP104" s="708"/>
      <c r="AQ104" s="708"/>
      <c r="AR104" s="708"/>
    </row>
    <row r="105" spans="1:44" x14ac:dyDescent="0.25">
      <c r="A105" s="708"/>
      <c r="B105" s="708"/>
      <c r="C105" s="708"/>
      <c r="D105" s="708"/>
      <c r="E105" s="708"/>
      <c r="F105" s="708"/>
      <c r="G105" s="708"/>
      <c r="H105" s="708"/>
      <c r="I105" s="708"/>
      <c r="J105" s="708"/>
      <c r="K105" s="708"/>
      <c r="L105" s="708"/>
      <c r="M105" s="708"/>
      <c r="N105" s="708"/>
      <c r="O105" s="708"/>
      <c r="P105" s="708"/>
      <c r="Q105" s="708"/>
      <c r="R105" s="708"/>
      <c r="S105" s="708"/>
      <c r="T105" s="708"/>
      <c r="U105" s="708"/>
      <c r="V105" s="708"/>
      <c r="W105" s="708"/>
      <c r="X105" s="708"/>
      <c r="Y105" s="708"/>
      <c r="Z105" s="708"/>
      <c r="AA105" s="708"/>
      <c r="AB105" s="708"/>
      <c r="AC105" s="708"/>
      <c r="AD105" s="708"/>
      <c r="AE105" s="708"/>
      <c r="AF105" s="708"/>
      <c r="AG105" s="708"/>
      <c r="AH105" s="708"/>
      <c r="AI105" s="708"/>
      <c r="AJ105" s="708"/>
      <c r="AK105" s="708"/>
      <c r="AL105" s="708"/>
      <c r="AM105" s="708"/>
      <c r="AN105" s="708"/>
      <c r="AO105" s="708"/>
      <c r="AP105" s="708"/>
      <c r="AQ105" s="708"/>
      <c r="AR105" s="708"/>
    </row>
    <row r="106" spans="1:44" x14ac:dyDescent="0.25">
      <c r="A106" s="708"/>
      <c r="B106" s="708"/>
      <c r="C106" s="708"/>
      <c r="D106" s="708"/>
      <c r="E106" s="708"/>
      <c r="F106" s="708"/>
      <c r="G106" s="708"/>
      <c r="H106" s="708"/>
      <c r="I106" s="708"/>
      <c r="J106" s="708"/>
      <c r="K106" s="708"/>
      <c r="L106" s="708"/>
      <c r="M106" s="708"/>
      <c r="N106" s="708"/>
      <c r="O106" s="708"/>
      <c r="P106" s="708"/>
      <c r="Q106" s="708"/>
      <c r="R106" s="708"/>
      <c r="S106" s="708"/>
      <c r="T106" s="708"/>
      <c r="U106" s="708"/>
      <c r="V106" s="708"/>
      <c r="W106" s="708"/>
      <c r="X106" s="708"/>
      <c r="Y106" s="708"/>
      <c r="Z106" s="708"/>
      <c r="AA106" s="708"/>
      <c r="AB106" s="708"/>
      <c r="AC106" s="708"/>
      <c r="AD106" s="708"/>
      <c r="AE106" s="708"/>
      <c r="AF106" s="708"/>
      <c r="AG106" s="708"/>
      <c r="AH106" s="708"/>
      <c r="AI106" s="708"/>
      <c r="AJ106" s="708"/>
      <c r="AK106" s="708"/>
      <c r="AL106" s="708"/>
      <c r="AM106" s="708"/>
      <c r="AN106" s="708"/>
      <c r="AO106" s="708"/>
      <c r="AP106" s="708"/>
      <c r="AQ106" s="708"/>
      <c r="AR106" s="708"/>
    </row>
    <row r="107" spans="1:44" x14ac:dyDescent="0.25">
      <c r="A107" s="708"/>
      <c r="B107" s="708"/>
      <c r="C107" s="708"/>
      <c r="D107" s="708"/>
      <c r="E107" s="708"/>
      <c r="F107" s="708"/>
      <c r="G107" s="708"/>
      <c r="H107" s="708"/>
      <c r="I107" s="708"/>
      <c r="J107" s="708"/>
      <c r="K107" s="708"/>
      <c r="L107" s="708"/>
      <c r="M107" s="708"/>
      <c r="N107" s="708"/>
      <c r="O107" s="708"/>
      <c r="P107" s="708"/>
      <c r="Q107" s="708"/>
      <c r="R107" s="708"/>
      <c r="S107" s="708"/>
      <c r="T107" s="708"/>
      <c r="U107" s="708"/>
      <c r="V107" s="708"/>
      <c r="W107" s="708"/>
      <c r="X107" s="708"/>
      <c r="Y107" s="708"/>
      <c r="Z107" s="708"/>
      <c r="AA107" s="708"/>
      <c r="AB107" s="708"/>
      <c r="AC107" s="708"/>
      <c r="AD107" s="708"/>
      <c r="AE107" s="708"/>
      <c r="AF107" s="708"/>
      <c r="AG107" s="708"/>
      <c r="AH107" s="708"/>
      <c r="AI107" s="708"/>
      <c r="AJ107" s="708"/>
      <c r="AK107" s="708"/>
      <c r="AL107" s="708"/>
      <c r="AM107" s="708"/>
      <c r="AN107" s="708"/>
      <c r="AO107" s="708"/>
      <c r="AP107" s="708"/>
      <c r="AQ107" s="708"/>
      <c r="AR107" s="708"/>
    </row>
    <row r="108" spans="1:44" x14ac:dyDescent="0.25">
      <c r="A108" s="708"/>
      <c r="B108" s="708"/>
      <c r="C108" s="708"/>
      <c r="D108" s="708"/>
      <c r="E108" s="708"/>
      <c r="F108" s="708"/>
      <c r="G108" s="708"/>
      <c r="H108" s="708"/>
      <c r="I108" s="708"/>
      <c r="J108" s="708"/>
      <c r="K108" s="708"/>
      <c r="L108" s="708"/>
      <c r="M108" s="708"/>
      <c r="N108" s="708"/>
      <c r="O108" s="708"/>
      <c r="P108" s="708"/>
      <c r="Q108" s="708"/>
      <c r="R108" s="708"/>
      <c r="S108" s="708"/>
      <c r="T108" s="708"/>
      <c r="U108" s="708"/>
      <c r="V108" s="708"/>
      <c r="W108" s="708"/>
      <c r="X108" s="708"/>
      <c r="Y108" s="708"/>
      <c r="Z108" s="708"/>
      <c r="AA108" s="708"/>
      <c r="AB108" s="708"/>
      <c r="AC108" s="708"/>
      <c r="AD108" s="708"/>
      <c r="AE108" s="708"/>
      <c r="AF108" s="708"/>
      <c r="AG108" s="708"/>
      <c r="AH108" s="708"/>
      <c r="AI108" s="708"/>
      <c r="AJ108" s="708"/>
      <c r="AK108" s="708"/>
      <c r="AL108" s="708"/>
      <c r="AM108" s="708"/>
      <c r="AN108" s="708"/>
      <c r="AO108" s="708"/>
      <c r="AP108" s="708"/>
      <c r="AQ108" s="708"/>
      <c r="AR108" s="708"/>
    </row>
    <row r="109" spans="1:44" x14ac:dyDescent="0.25">
      <c r="A109" s="708"/>
      <c r="B109" s="708"/>
      <c r="C109" s="708"/>
      <c r="D109" s="708"/>
      <c r="E109" s="708"/>
      <c r="F109" s="708"/>
      <c r="G109" s="708"/>
      <c r="H109" s="708"/>
      <c r="I109" s="708"/>
      <c r="J109" s="708"/>
      <c r="K109" s="708"/>
      <c r="L109" s="708"/>
      <c r="M109" s="708"/>
      <c r="N109" s="708"/>
      <c r="O109" s="708"/>
      <c r="P109" s="708"/>
      <c r="Q109" s="708"/>
      <c r="R109" s="708"/>
      <c r="S109" s="708"/>
      <c r="T109" s="708"/>
      <c r="U109" s="708"/>
      <c r="V109" s="708"/>
      <c r="W109" s="708"/>
      <c r="X109" s="708"/>
      <c r="Y109" s="708"/>
      <c r="Z109" s="708"/>
      <c r="AA109" s="708"/>
      <c r="AB109" s="708"/>
      <c r="AC109" s="708"/>
      <c r="AD109" s="708"/>
      <c r="AE109" s="708"/>
      <c r="AF109" s="708"/>
      <c r="AG109" s="708"/>
      <c r="AH109" s="708"/>
      <c r="AI109" s="708"/>
      <c r="AJ109" s="708"/>
      <c r="AK109" s="708"/>
      <c r="AL109" s="708"/>
      <c r="AM109" s="708"/>
      <c r="AN109" s="708"/>
      <c r="AO109" s="708"/>
      <c r="AP109" s="708"/>
      <c r="AQ109" s="708"/>
      <c r="AR109" s="708"/>
    </row>
    <row r="110" spans="1:44" x14ac:dyDescent="0.25">
      <c r="A110" s="708"/>
      <c r="B110" s="708"/>
      <c r="C110" s="708"/>
      <c r="D110" s="708"/>
      <c r="E110" s="708"/>
      <c r="F110" s="708"/>
      <c r="G110" s="708"/>
      <c r="H110" s="708"/>
      <c r="I110" s="708"/>
      <c r="J110" s="708"/>
      <c r="K110" s="708"/>
      <c r="L110" s="708"/>
      <c r="M110" s="708"/>
      <c r="N110" s="708"/>
      <c r="O110" s="708"/>
      <c r="P110" s="708"/>
      <c r="Q110" s="708"/>
      <c r="R110" s="708"/>
      <c r="S110" s="708"/>
      <c r="T110" s="708"/>
      <c r="U110" s="708"/>
      <c r="V110" s="708"/>
      <c r="W110" s="708"/>
      <c r="X110" s="708"/>
      <c r="Y110" s="708"/>
      <c r="Z110" s="708"/>
      <c r="AA110" s="708"/>
      <c r="AB110" s="708"/>
      <c r="AC110" s="708"/>
      <c r="AD110" s="708"/>
      <c r="AE110" s="708"/>
      <c r="AF110" s="708"/>
      <c r="AG110" s="708"/>
      <c r="AH110" s="708"/>
      <c r="AI110" s="708"/>
      <c r="AJ110" s="708"/>
      <c r="AK110" s="708"/>
      <c r="AL110" s="708"/>
      <c r="AM110" s="708"/>
      <c r="AN110" s="708"/>
      <c r="AO110" s="708"/>
      <c r="AP110" s="708"/>
      <c r="AQ110" s="708"/>
      <c r="AR110" s="708"/>
    </row>
    <row r="111" spans="1:44" x14ac:dyDescent="0.25">
      <c r="A111" s="708"/>
      <c r="B111" s="708"/>
      <c r="C111" s="708"/>
      <c r="D111" s="708"/>
      <c r="E111" s="708"/>
      <c r="F111" s="708"/>
      <c r="G111" s="708"/>
      <c r="H111" s="708"/>
      <c r="I111" s="708"/>
      <c r="J111" s="708"/>
      <c r="K111" s="708"/>
      <c r="L111" s="708"/>
      <c r="M111" s="708"/>
      <c r="N111" s="708"/>
      <c r="O111" s="708"/>
      <c r="P111" s="708"/>
      <c r="Q111" s="708"/>
      <c r="R111" s="708"/>
      <c r="S111" s="708"/>
      <c r="T111" s="708"/>
      <c r="U111" s="708"/>
      <c r="V111" s="708"/>
      <c r="W111" s="708"/>
      <c r="X111" s="708"/>
      <c r="Y111" s="708"/>
      <c r="Z111" s="708"/>
      <c r="AA111" s="708"/>
      <c r="AB111" s="708"/>
      <c r="AC111" s="708"/>
      <c r="AD111" s="708"/>
      <c r="AE111" s="708"/>
      <c r="AF111" s="708"/>
      <c r="AG111" s="708"/>
      <c r="AH111" s="708"/>
      <c r="AI111" s="708"/>
      <c r="AJ111" s="708"/>
      <c r="AK111" s="708"/>
      <c r="AL111" s="708"/>
      <c r="AM111" s="708"/>
      <c r="AN111" s="708"/>
      <c r="AO111" s="708"/>
      <c r="AP111" s="708"/>
      <c r="AQ111" s="708"/>
      <c r="AR111" s="708"/>
    </row>
    <row r="112" spans="1:44" x14ac:dyDescent="0.25">
      <c r="A112" s="708"/>
      <c r="B112" s="708"/>
      <c r="C112" s="708"/>
      <c r="D112" s="708"/>
      <c r="E112" s="708"/>
      <c r="F112" s="708"/>
      <c r="G112" s="708"/>
      <c r="H112" s="708"/>
      <c r="I112" s="708"/>
      <c r="J112" s="708"/>
      <c r="K112" s="708"/>
      <c r="L112" s="708"/>
      <c r="M112" s="708"/>
      <c r="N112" s="708"/>
      <c r="O112" s="708"/>
      <c r="P112" s="708"/>
      <c r="Q112" s="708"/>
      <c r="R112" s="708"/>
      <c r="S112" s="708"/>
      <c r="T112" s="708"/>
      <c r="U112" s="708"/>
      <c r="V112" s="708"/>
      <c r="W112" s="708"/>
      <c r="X112" s="708"/>
      <c r="Y112" s="708"/>
      <c r="Z112" s="708"/>
      <c r="AA112" s="708"/>
      <c r="AB112" s="708"/>
      <c r="AC112" s="708"/>
      <c r="AD112" s="708"/>
      <c r="AE112" s="708"/>
      <c r="AF112" s="708"/>
      <c r="AG112" s="708"/>
      <c r="AH112" s="708"/>
      <c r="AI112" s="708"/>
      <c r="AJ112" s="708"/>
      <c r="AK112" s="708"/>
      <c r="AL112" s="708"/>
      <c r="AM112" s="708"/>
      <c r="AN112" s="708"/>
      <c r="AO112" s="708"/>
      <c r="AP112" s="708"/>
      <c r="AQ112" s="708"/>
      <c r="AR112" s="708"/>
    </row>
    <row r="113" spans="1:44" x14ac:dyDescent="0.25">
      <c r="A113" s="708"/>
      <c r="B113" s="708"/>
      <c r="C113" s="708"/>
      <c r="D113" s="708"/>
      <c r="E113" s="708"/>
      <c r="F113" s="708"/>
      <c r="G113" s="708"/>
      <c r="H113" s="708"/>
      <c r="I113" s="708"/>
      <c r="J113" s="708"/>
      <c r="K113" s="708"/>
      <c r="L113" s="708"/>
      <c r="M113" s="708"/>
      <c r="N113" s="708"/>
      <c r="O113" s="708"/>
      <c r="P113" s="708"/>
      <c r="Q113" s="708"/>
      <c r="R113" s="708"/>
      <c r="S113" s="708"/>
      <c r="T113" s="708"/>
      <c r="U113" s="708"/>
      <c r="V113" s="708"/>
      <c r="W113" s="708"/>
      <c r="X113" s="708"/>
      <c r="Y113" s="708"/>
      <c r="Z113" s="708"/>
      <c r="AA113" s="708"/>
      <c r="AB113" s="708"/>
      <c r="AC113" s="708"/>
      <c r="AD113" s="708"/>
      <c r="AE113" s="708"/>
      <c r="AF113" s="708"/>
      <c r="AG113" s="708"/>
      <c r="AH113" s="708"/>
      <c r="AI113" s="708"/>
      <c r="AJ113" s="708"/>
      <c r="AK113" s="708"/>
      <c r="AL113" s="708"/>
      <c r="AM113" s="708"/>
      <c r="AN113" s="708"/>
      <c r="AO113" s="708"/>
      <c r="AP113" s="708"/>
      <c r="AQ113" s="708"/>
      <c r="AR113" s="708"/>
    </row>
    <row r="114" spans="1:44" x14ac:dyDescent="0.25">
      <c r="A114" s="708"/>
      <c r="B114" s="708"/>
      <c r="C114" s="708"/>
      <c r="D114" s="708"/>
      <c r="E114" s="708"/>
      <c r="F114" s="708"/>
      <c r="G114" s="708"/>
      <c r="H114" s="708"/>
      <c r="I114" s="708"/>
      <c r="J114" s="708"/>
      <c r="K114" s="708"/>
      <c r="L114" s="708"/>
      <c r="M114" s="708"/>
      <c r="N114" s="708"/>
      <c r="O114" s="708"/>
      <c r="P114" s="708"/>
      <c r="Q114" s="708"/>
      <c r="R114" s="708"/>
      <c r="S114" s="708"/>
      <c r="T114" s="708"/>
      <c r="U114" s="708"/>
      <c r="V114" s="708"/>
      <c r="W114" s="708"/>
      <c r="X114" s="708"/>
      <c r="Y114" s="708"/>
      <c r="Z114" s="708"/>
      <c r="AA114" s="708"/>
      <c r="AB114" s="708"/>
      <c r="AC114" s="708"/>
      <c r="AD114" s="708"/>
      <c r="AE114" s="708"/>
      <c r="AF114" s="708"/>
      <c r="AG114" s="708"/>
      <c r="AH114" s="708"/>
      <c r="AI114" s="708"/>
      <c r="AJ114" s="708"/>
      <c r="AK114" s="708"/>
      <c r="AL114" s="708"/>
      <c r="AM114" s="708"/>
      <c r="AN114" s="708"/>
      <c r="AO114" s="708"/>
      <c r="AP114" s="708"/>
      <c r="AQ114" s="708"/>
      <c r="AR114" s="708"/>
    </row>
    <row r="115" spans="1:44" x14ac:dyDescent="0.25">
      <c r="A115" s="708"/>
      <c r="B115" s="708"/>
      <c r="C115" s="708"/>
      <c r="D115" s="708"/>
      <c r="E115" s="708"/>
      <c r="F115" s="708"/>
      <c r="G115" s="708"/>
      <c r="H115" s="708"/>
      <c r="I115" s="708"/>
      <c r="J115" s="708"/>
      <c r="K115" s="708"/>
      <c r="L115" s="708"/>
      <c r="M115" s="708"/>
      <c r="N115" s="708"/>
      <c r="O115" s="708"/>
      <c r="P115" s="708"/>
      <c r="Q115" s="708"/>
      <c r="R115" s="708"/>
      <c r="S115" s="708"/>
      <c r="T115" s="708"/>
      <c r="U115" s="708"/>
      <c r="V115" s="708"/>
      <c r="W115" s="708"/>
      <c r="X115" s="708"/>
      <c r="Y115" s="708"/>
      <c r="Z115" s="708"/>
      <c r="AA115" s="708"/>
      <c r="AB115" s="708"/>
      <c r="AC115" s="708"/>
      <c r="AD115" s="708"/>
      <c r="AE115" s="708"/>
      <c r="AF115" s="708"/>
      <c r="AG115" s="708"/>
      <c r="AH115" s="708"/>
      <c r="AI115" s="708"/>
      <c r="AJ115" s="708"/>
      <c r="AK115" s="708"/>
      <c r="AL115" s="708"/>
      <c r="AM115" s="708"/>
      <c r="AN115" s="708"/>
      <c r="AO115" s="708"/>
      <c r="AP115" s="708"/>
      <c r="AQ115" s="708"/>
      <c r="AR115" s="708"/>
    </row>
    <row r="116" spans="1:44" x14ac:dyDescent="0.25">
      <c r="A116" s="708"/>
      <c r="B116" s="708"/>
      <c r="C116" s="708"/>
      <c r="D116" s="708"/>
      <c r="E116" s="708"/>
      <c r="F116" s="708"/>
      <c r="G116" s="708"/>
      <c r="H116" s="708"/>
      <c r="I116" s="708"/>
      <c r="J116" s="708"/>
      <c r="K116" s="708"/>
      <c r="L116" s="708"/>
      <c r="M116" s="708"/>
      <c r="N116" s="708"/>
      <c r="O116" s="708"/>
      <c r="P116" s="708"/>
      <c r="Q116" s="708"/>
      <c r="R116" s="708"/>
      <c r="S116" s="708"/>
      <c r="T116" s="708"/>
      <c r="U116" s="708"/>
      <c r="V116" s="708"/>
      <c r="W116" s="708"/>
      <c r="X116" s="708"/>
      <c r="Y116" s="708"/>
      <c r="Z116" s="708"/>
      <c r="AA116" s="708"/>
      <c r="AB116" s="708"/>
      <c r="AC116" s="708"/>
      <c r="AD116" s="708"/>
      <c r="AE116" s="708"/>
      <c r="AF116" s="708"/>
      <c r="AG116" s="708"/>
      <c r="AH116" s="708"/>
      <c r="AI116" s="708"/>
      <c r="AJ116" s="708"/>
      <c r="AK116" s="708"/>
      <c r="AL116" s="708"/>
      <c r="AM116" s="708"/>
      <c r="AN116" s="708"/>
      <c r="AO116" s="708"/>
      <c r="AP116" s="708"/>
      <c r="AQ116" s="708"/>
      <c r="AR116" s="708"/>
    </row>
    <row r="117" spans="1:44" x14ac:dyDescent="0.25">
      <c r="A117" s="708"/>
      <c r="B117" s="708"/>
      <c r="C117" s="708"/>
      <c r="D117" s="708"/>
      <c r="E117" s="708"/>
      <c r="F117" s="708"/>
      <c r="G117" s="708"/>
      <c r="H117" s="708"/>
      <c r="I117" s="708"/>
      <c r="J117" s="708"/>
      <c r="K117" s="708"/>
      <c r="L117" s="708"/>
      <c r="M117" s="708"/>
      <c r="N117" s="708"/>
      <c r="O117" s="708"/>
      <c r="P117" s="708"/>
      <c r="Q117" s="708"/>
      <c r="R117" s="708"/>
      <c r="S117" s="708"/>
      <c r="T117" s="708"/>
      <c r="U117" s="708"/>
      <c r="V117" s="708"/>
      <c r="W117" s="708"/>
      <c r="X117" s="708"/>
      <c r="Y117" s="708"/>
      <c r="Z117" s="708"/>
      <c r="AA117" s="708"/>
      <c r="AB117" s="708"/>
      <c r="AC117" s="708"/>
      <c r="AD117" s="708"/>
      <c r="AE117" s="708"/>
      <c r="AF117" s="708"/>
      <c r="AG117" s="708"/>
      <c r="AH117" s="708"/>
      <c r="AI117" s="708"/>
      <c r="AJ117" s="708"/>
      <c r="AK117" s="708"/>
      <c r="AL117" s="708"/>
      <c r="AM117" s="708"/>
      <c r="AN117" s="708"/>
      <c r="AO117" s="708"/>
      <c r="AP117" s="708"/>
      <c r="AQ117" s="708"/>
      <c r="AR117" s="708"/>
    </row>
    <row r="118" spans="1:44" x14ac:dyDescent="0.25">
      <c r="A118" s="708"/>
      <c r="B118" s="708"/>
      <c r="C118" s="708"/>
      <c r="D118" s="708"/>
      <c r="E118" s="708"/>
      <c r="F118" s="708"/>
      <c r="G118" s="708"/>
      <c r="H118" s="708"/>
      <c r="I118" s="708"/>
      <c r="J118" s="708"/>
      <c r="K118" s="708"/>
      <c r="L118" s="708"/>
      <c r="M118" s="708"/>
      <c r="N118" s="708"/>
      <c r="O118" s="708"/>
      <c r="P118" s="708"/>
      <c r="Q118" s="708"/>
      <c r="R118" s="708"/>
      <c r="S118" s="708"/>
      <c r="T118" s="708"/>
      <c r="U118" s="708"/>
      <c r="V118" s="708"/>
      <c r="W118" s="708"/>
      <c r="X118" s="708"/>
      <c r="Y118" s="708"/>
      <c r="Z118" s="708"/>
      <c r="AA118" s="708"/>
      <c r="AB118" s="708"/>
      <c r="AC118" s="708"/>
      <c r="AD118" s="708"/>
      <c r="AE118" s="708"/>
      <c r="AF118" s="708"/>
      <c r="AG118" s="708"/>
      <c r="AH118" s="708"/>
      <c r="AI118" s="708"/>
      <c r="AJ118" s="708"/>
      <c r="AK118" s="708"/>
      <c r="AL118" s="708"/>
      <c r="AM118" s="708"/>
      <c r="AN118" s="708"/>
      <c r="AO118" s="708"/>
      <c r="AP118" s="708"/>
      <c r="AQ118" s="708"/>
      <c r="AR118" s="708"/>
    </row>
    <row r="119" spans="1:44" x14ac:dyDescent="0.25">
      <c r="A119" s="708"/>
      <c r="B119" s="708"/>
      <c r="C119" s="708"/>
      <c r="D119" s="708"/>
      <c r="E119" s="708"/>
      <c r="F119" s="708"/>
      <c r="G119" s="708"/>
      <c r="H119" s="708"/>
      <c r="I119" s="708"/>
      <c r="J119" s="708"/>
      <c r="K119" s="708"/>
      <c r="L119" s="708"/>
      <c r="M119" s="708"/>
      <c r="N119" s="708"/>
      <c r="O119" s="708"/>
      <c r="P119" s="708"/>
      <c r="Q119" s="708"/>
      <c r="R119" s="708"/>
      <c r="S119" s="708"/>
      <c r="T119" s="708"/>
      <c r="U119" s="708"/>
      <c r="V119" s="708"/>
      <c r="W119" s="708"/>
      <c r="X119" s="708"/>
      <c r="Y119" s="708"/>
      <c r="Z119" s="708"/>
      <c r="AA119" s="708"/>
      <c r="AB119" s="708"/>
      <c r="AC119" s="708"/>
      <c r="AD119" s="708"/>
      <c r="AE119" s="708"/>
      <c r="AF119" s="708"/>
      <c r="AG119" s="708"/>
      <c r="AH119" s="708"/>
      <c r="AI119" s="708"/>
      <c r="AJ119" s="708"/>
      <c r="AK119" s="708"/>
      <c r="AL119" s="708"/>
      <c r="AM119" s="708"/>
      <c r="AN119" s="708"/>
      <c r="AO119" s="708"/>
      <c r="AP119" s="708"/>
      <c r="AQ119" s="708"/>
      <c r="AR119" s="708"/>
    </row>
    <row r="120" spans="1:44" x14ac:dyDescent="0.25">
      <c r="A120" s="708"/>
      <c r="B120" s="708"/>
      <c r="C120" s="708"/>
      <c r="D120" s="708"/>
      <c r="E120" s="708"/>
      <c r="F120" s="708"/>
      <c r="G120" s="708"/>
      <c r="H120" s="708"/>
      <c r="I120" s="708"/>
      <c r="J120" s="708"/>
      <c r="K120" s="708"/>
      <c r="L120" s="708"/>
      <c r="M120" s="708"/>
      <c r="N120" s="708"/>
      <c r="O120" s="708"/>
      <c r="P120" s="708"/>
      <c r="Q120" s="708"/>
      <c r="R120" s="708"/>
      <c r="S120" s="708"/>
      <c r="T120" s="708"/>
      <c r="U120" s="708"/>
      <c r="V120" s="708"/>
      <c r="W120" s="708"/>
      <c r="X120" s="708"/>
      <c r="Y120" s="708"/>
      <c r="Z120" s="708"/>
      <c r="AA120" s="708"/>
      <c r="AB120" s="708"/>
      <c r="AC120" s="708"/>
      <c r="AD120" s="708"/>
      <c r="AE120" s="708"/>
      <c r="AF120" s="708"/>
      <c r="AG120" s="708"/>
      <c r="AH120" s="708"/>
      <c r="AI120" s="708"/>
      <c r="AJ120" s="708"/>
      <c r="AK120" s="708"/>
      <c r="AL120" s="708"/>
      <c r="AM120" s="708"/>
      <c r="AN120" s="708"/>
      <c r="AO120" s="708"/>
      <c r="AP120" s="708"/>
      <c r="AQ120" s="708"/>
      <c r="AR120" s="708"/>
    </row>
    <row r="121" spans="1:44" x14ac:dyDescent="0.25">
      <c r="A121" s="708"/>
      <c r="B121" s="708"/>
      <c r="C121" s="708"/>
      <c r="D121" s="708"/>
      <c r="E121" s="708"/>
      <c r="F121" s="708"/>
      <c r="G121" s="708"/>
      <c r="H121" s="708"/>
      <c r="I121" s="708"/>
      <c r="J121" s="708"/>
      <c r="K121" s="708"/>
      <c r="L121" s="708"/>
      <c r="M121" s="708"/>
      <c r="N121" s="708"/>
      <c r="O121" s="708"/>
      <c r="P121" s="708"/>
      <c r="Q121" s="708"/>
      <c r="R121" s="708"/>
      <c r="S121" s="708"/>
      <c r="T121" s="708"/>
      <c r="U121" s="708"/>
      <c r="V121" s="708"/>
      <c r="W121" s="708"/>
      <c r="X121" s="708"/>
      <c r="Y121" s="708"/>
      <c r="Z121" s="708"/>
      <c r="AA121" s="708"/>
      <c r="AB121" s="708"/>
      <c r="AC121" s="708"/>
      <c r="AD121" s="708"/>
      <c r="AE121" s="708"/>
      <c r="AF121" s="708"/>
      <c r="AG121" s="708"/>
      <c r="AH121" s="708"/>
      <c r="AI121" s="708"/>
      <c r="AJ121" s="708"/>
      <c r="AK121" s="708"/>
      <c r="AL121" s="708"/>
      <c r="AM121" s="708"/>
      <c r="AN121" s="708"/>
      <c r="AO121" s="708"/>
      <c r="AP121" s="708"/>
      <c r="AQ121" s="708"/>
      <c r="AR121" s="708"/>
    </row>
    <row r="122" spans="1:44" x14ac:dyDescent="0.25">
      <c r="A122" s="708"/>
      <c r="B122" s="708"/>
      <c r="C122" s="708"/>
      <c r="D122" s="708"/>
      <c r="E122" s="708"/>
      <c r="F122" s="708"/>
      <c r="G122" s="708"/>
      <c r="H122" s="708"/>
      <c r="I122" s="708"/>
      <c r="J122" s="708"/>
      <c r="K122" s="708"/>
      <c r="L122" s="708"/>
      <c r="M122" s="708"/>
      <c r="N122" s="708"/>
      <c r="O122" s="708"/>
      <c r="P122" s="708"/>
      <c r="Q122" s="708"/>
      <c r="R122" s="708"/>
      <c r="S122" s="708"/>
      <c r="T122" s="708"/>
      <c r="U122" s="708"/>
      <c r="V122" s="708"/>
      <c r="W122" s="708"/>
      <c r="X122" s="708"/>
      <c r="Y122" s="708"/>
      <c r="Z122" s="708"/>
      <c r="AA122" s="708"/>
      <c r="AB122" s="708"/>
      <c r="AC122" s="708"/>
      <c r="AD122" s="708"/>
      <c r="AE122" s="708"/>
      <c r="AF122" s="708"/>
      <c r="AG122" s="708"/>
      <c r="AH122" s="708"/>
      <c r="AI122" s="708"/>
      <c r="AJ122" s="708"/>
      <c r="AK122" s="708"/>
      <c r="AL122" s="708"/>
      <c r="AM122" s="708"/>
      <c r="AN122" s="708"/>
      <c r="AO122" s="708"/>
      <c r="AP122" s="708"/>
      <c r="AQ122" s="708"/>
      <c r="AR122" s="708"/>
    </row>
    <row r="123" spans="1:44" x14ac:dyDescent="0.25">
      <c r="A123" s="708"/>
      <c r="B123" s="708"/>
      <c r="C123" s="708"/>
      <c r="D123" s="708"/>
      <c r="E123" s="708"/>
      <c r="F123" s="708"/>
      <c r="G123" s="708"/>
      <c r="H123" s="708"/>
      <c r="I123" s="708"/>
      <c r="J123" s="708"/>
      <c r="K123" s="708"/>
      <c r="L123" s="708"/>
      <c r="M123" s="708"/>
      <c r="N123" s="708"/>
      <c r="O123" s="708"/>
      <c r="P123" s="708"/>
      <c r="Q123" s="708"/>
      <c r="R123" s="708"/>
      <c r="S123" s="708"/>
      <c r="T123" s="708"/>
      <c r="U123" s="708"/>
      <c r="V123" s="708"/>
      <c r="W123" s="708"/>
      <c r="X123" s="708"/>
      <c r="Y123" s="708"/>
      <c r="Z123" s="708"/>
      <c r="AA123" s="708"/>
      <c r="AB123" s="708"/>
      <c r="AC123" s="708"/>
      <c r="AD123" s="708"/>
      <c r="AE123" s="708"/>
      <c r="AF123" s="708"/>
      <c r="AG123" s="708"/>
      <c r="AH123" s="708"/>
      <c r="AI123" s="708"/>
      <c r="AJ123" s="708"/>
      <c r="AK123" s="708"/>
      <c r="AL123" s="708"/>
      <c r="AM123" s="708"/>
      <c r="AN123" s="708"/>
      <c r="AO123" s="708"/>
      <c r="AP123" s="708"/>
      <c r="AQ123" s="708"/>
      <c r="AR123" s="708"/>
    </row>
    <row r="124" spans="1:44" x14ac:dyDescent="0.25">
      <c r="A124" s="708"/>
      <c r="B124" s="708"/>
      <c r="C124" s="708"/>
      <c r="D124" s="708"/>
      <c r="E124" s="708"/>
      <c r="F124" s="708"/>
      <c r="G124" s="708"/>
      <c r="H124" s="708"/>
      <c r="I124" s="708"/>
      <c r="J124" s="708"/>
      <c r="K124" s="708"/>
      <c r="L124" s="708"/>
      <c r="M124" s="708"/>
      <c r="N124" s="708"/>
      <c r="O124" s="708"/>
      <c r="P124" s="708"/>
      <c r="Q124" s="708"/>
      <c r="R124" s="708"/>
      <c r="S124" s="708"/>
      <c r="T124" s="708"/>
      <c r="U124" s="708"/>
      <c r="V124" s="708"/>
      <c r="W124" s="708"/>
      <c r="X124" s="708"/>
      <c r="Y124" s="708"/>
      <c r="Z124" s="708"/>
      <c r="AA124" s="708"/>
      <c r="AB124" s="708"/>
      <c r="AC124" s="708"/>
      <c r="AD124" s="708"/>
      <c r="AE124" s="708"/>
      <c r="AF124" s="708"/>
      <c r="AG124" s="708"/>
      <c r="AH124" s="708"/>
      <c r="AI124" s="708"/>
      <c r="AJ124" s="708"/>
      <c r="AK124" s="708"/>
      <c r="AL124" s="708"/>
      <c r="AM124" s="708"/>
      <c r="AN124" s="708"/>
      <c r="AO124" s="708"/>
      <c r="AP124" s="708"/>
      <c r="AQ124" s="708"/>
      <c r="AR124" s="708"/>
    </row>
    <row r="125" spans="1:44" x14ac:dyDescent="0.25">
      <c r="A125" s="708"/>
      <c r="B125" s="708"/>
      <c r="C125" s="708"/>
      <c r="D125" s="708"/>
      <c r="E125" s="708"/>
      <c r="F125" s="708"/>
      <c r="G125" s="708"/>
      <c r="H125" s="708"/>
      <c r="I125" s="708"/>
      <c r="J125" s="708"/>
      <c r="K125" s="708"/>
      <c r="L125" s="708"/>
      <c r="M125" s="708"/>
      <c r="N125" s="708"/>
      <c r="O125" s="708"/>
      <c r="P125" s="708"/>
      <c r="Q125" s="708"/>
      <c r="R125" s="708"/>
      <c r="S125" s="708"/>
      <c r="T125" s="708"/>
      <c r="U125" s="708"/>
      <c r="V125" s="708"/>
      <c r="W125" s="708"/>
      <c r="X125" s="708"/>
      <c r="Y125" s="708"/>
      <c r="Z125" s="708"/>
      <c r="AA125" s="708"/>
      <c r="AB125" s="708"/>
      <c r="AC125" s="708"/>
      <c r="AD125" s="708"/>
      <c r="AE125" s="708"/>
      <c r="AF125" s="708"/>
      <c r="AG125" s="708"/>
      <c r="AH125" s="708"/>
      <c r="AI125" s="708"/>
      <c r="AJ125" s="708"/>
      <c r="AK125" s="708"/>
      <c r="AL125" s="708"/>
      <c r="AM125" s="708"/>
      <c r="AN125" s="708"/>
      <c r="AO125" s="708"/>
      <c r="AP125" s="708"/>
      <c r="AQ125" s="708"/>
      <c r="AR125" s="708"/>
    </row>
    <row r="126" spans="1:44" x14ac:dyDescent="0.25">
      <c r="A126" s="708"/>
      <c r="B126" s="708"/>
      <c r="C126" s="708"/>
      <c r="D126" s="708"/>
      <c r="E126" s="708"/>
      <c r="F126" s="708"/>
      <c r="G126" s="708"/>
      <c r="H126" s="708"/>
      <c r="I126" s="708"/>
      <c r="J126" s="708"/>
      <c r="K126" s="708"/>
      <c r="L126" s="708"/>
      <c r="M126" s="708"/>
      <c r="N126" s="708"/>
      <c r="O126" s="708"/>
      <c r="P126" s="708"/>
      <c r="Q126" s="708"/>
      <c r="R126" s="708"/>
      <c r="S126" s="708"/>
      <c r="T126" s="708"/>
      <c r="U126" s="708"/>
      <c r="V126" s="708"/>
      <c r="W126" s="708"/>
      <c r="X126" s="708"/>
      <c r="Y126" s="708"/>
      <c r="Z126" s="708"/>
      <c r="AA126" s="708"/>
      <c r="AB126" s="708"/>
      <c r="AC126" s="708"/>
      <c r="AD126" s="708"/>
      <c r="AE126" s="708"/>
      <c r="AF126" s="708"/>
      <c r="AG126" s="708"/>
      <c r="AH126" s="708"/>
      <c r="AI126" s="708"/>
      <c r="AJ126" s="708"/>
      <c r="AK126" s="708"/>
      <c r="AL126" s="708"/>
      <c r="AM126" s="708"/>
      <c r="AN126" s="708"/>
      <c r="AO126" s="708"/>
      <c r="AP126" s="708"/>
      <c r="AQ126" s="708"/>
      <c r="AR126" s="708"/>
    </row>
    <row r="127" spans="1:44" x14ac:dyDescent="0.25">
      <c r="A127" s="708"/>
      <c r="B127" s="708"/>
      <c r="C127" s="708"/>
      <c r="D127" s="708"/>
      <c r="E127" s="708"/>
      <c r="F127" s="708"/>
      <c r="G127" s="708"/>
      <c r="H127" s="708"/>
      <c r="I127" s="708"/>
      <c r="J127" s="708"/>
      <c r="K127" s="708"/>
      <c r="L127" s="708"/>
      <c r="M127" s="708"/>
      <c r="N127" s="708"/>
      <c r="O127" s="708"/>
      <c r="P127" s="708"/>
      <c r="Q127" s="708"/>
      <c r="R127" s="708"/>
      <c r="S127" s="708"/>
      <c r="T127" s="708"/>
      <c r="U127" s="708"/>
      <c r="V127" s="708"/>
      <c r="W127" s="708"/>
      <c r="X127" s="708"/>
      <c r="Y127" s="708"/>
      <c r="Z127" s="708"/>
      <c r="AA127" s="708"/>
      <c r="AB127" s="708"/>
      <c r="AC127" s="708"/>
      <c r="AD127" s="708"/>
      <c r="AE127" s="708"/>
      <c r="AF127" s="708"/>
      <c r="AG127" s="708"/>
      <c r="AH127" s="708"/>
      <c r="AI127" s="708"/>
      <c r="AJ127" s="708"/>
      <c r="AK127" s="708"/>
      <c r="AL127" s="708"/>
      <c r="AM127" s="708"/>
      <c r="AN127" s="708"/>
      <c r="AO127" s="708"/>
      <c r="AP127" s="708"/>
      <c r="AQ127" s="708"/>
      <c r="AR127" s="708"/>
    </row>
    <row r="128" spans="1:44" x14ac:dyDescent="0.25">
      <c r="A128" s="708"/>
      <c r="B128" s="708"/>
      <c r="C128" s="708"/>
      <c r="D128" s="708"/>
      <c r="E128" s="708"/>
      <c r="F128" s="708"/>
      <c r="G128" s="708"/>
      <c r="H128" s="708"/>
      <c r="I128" s="708"/>
      <c r="J128" s="708"/>
      <c r="K128" s="708"/>
      <c r="L128" s="708"/>
      <c r="M128" s="708"/>
      <c r="N128" s="708"/>
      <c r="O128" s="708"/>
      <c r="P128" s="708"/>
      <c r="Q128" s="708"/>
      <c r="R128" s="708"/>
      <c r="S128" s="708"/>
      <c r="T128" s="708"/>
      <c r="U128" s="708"/>
      <c r="V128" s="708"/>
      <c r="W128" s="708"/>
      <c r="X128" s="708"/>
      <c r="Y128" s="708"/>
      <c r="Z128" s="708"/>
      <c r="AA128" s="708"/>
      <c r="AB128" s="708"/>
      <c r="AC128" s="708"/>
      <c r="AD128" s="708"/>
      <c r="AE128" s="708"/>
      <c r="AF128" s="708"/>
      <c r="AG128" s="708"/>
      <c r="AH128" s="708"/>
      <c r="AI128" s="708"/>
      <c r="AJ128" s="708"/>
      <c r="AK128" s="708"/>
      <c r="AL128" s="708"/>
      <c r="AM128" s="708"/>
      <c r="AN128" s="708"/>
      <c r="AO128" s="708"/>
      <c r="AP128" s="708"/>
      <c r="AQ128" s="708"/>
      <c r="AR128" s="708"/>
    </row>
    <row r="129" spans="1:44" x14ac:dyDescent="0.25">
      <c r="A129" s="708"/>
      <c r="B129" s="708"/>
      <c r="C129" s="708"/>
      <c r="D129" s="708"/>
      <c r="E129" s="708"/>
      <c r="F129" s="708"/>
      <c r="G129" s="708"/>
      <c r="H129" s="708"/>
      <c r="I129" s="708"/>
      <c r="J129" s="708"/>
      <c r="K129" s="708"/>
      <c r="L129" s="708"/>
      <c r="M129" s="708"/>
      <c r="N129" s="708"/>
      <c r="O129" s="708"/>
      <c r="P129" s="708"/>
      <c r="Q129" s="708"/>
      <c r="R129" s="708"/>
      <c r="S129" s="708"/>
      <c r="T129" s="708"/>
      <c r="U129" s="708"/>
      <c r="V129" s="708"/>
      <c r="W129" s="708"/>
      <c r="X129" s="708"/>
      <c r="Y129" s="708"/>
      <c r="Z129" s="708"/>
      <c r="AA129" s="708"/>
      <c r="AB129" s="708"/>
      <c r="AC129" s="708"/>
      <c r="AD129" s="708"/>
      <c r="AE129" s="708"/>
      <c r="AF129" s="708"/>
      <c r="AG129" s="708"/>
      <c r="AH129" s="708"/>
      <c r="AI129" s="708"/>
      <c r="AJ129" s="708"/>
      <c r="AK129" s="708"/>
      <c r="AL129" s="708"/>
      <c r="AM129" s="708"/>
      <c r="AN129" s="708"/>
      <c r="AO129" s="708"/>
      <c r="AP129" s="708"/>
      <c r="AQ129" s="708"/>
      <c r="AR129" s="708"/>
    </row>
    <row r="130" spans="1:44" x14ac:dyDescent="0.25">
      <c r="A130" s="708"/>
      <c r="B130" s="708"/>
      <c r="C130" s="708"/>
      <c r="D130" s="708"/>
      <c r="E130" s="708"/>
      <c r="F130" s="708"/>
      <c r="G130" s="708"/>
      <c r="H130" s="708"/>
      <c r="I130" s="708"/>
      <c r="J130" s="708"/>
      <c r="K130" s="708"/>
      <c r="L130" s="708"/>
      <c r="M130" s="708"/>
      <c r="N130" s="708"/>
      <c r="O130" s="708"/>
      <c r="P130" s="708"/>
      <c r="Q130" s="708"/>
      <c r="R130" s="708"/>
      <c r="S130" s="708"/>
      <c r="T130" s="708"/>
      <c r="U130" s="708"/>
      <c r="V130" s="708"/>
      <c r="W130" s="708"/>
      <c r="X130" s="708"/>
      <c r="Y130" s="708"/>
      <c r="Z130" s="708"/>
      <c r="AA130" s="708"/>
      <c r="AB130" s="708"/>
      <c r="AC130" s="708"/>
      <c r="AD130" s="708"/>
      <c r="AE130" s="708"/>
      <c r="AF130" s="708"/>
      <c r="AG130" s="708"/>
      <c r="AH130" s="708"/>
      <c r="AI130" s="708"/>
      <c r="AJ130" s="708"/>
      <c r="AK130" s="708"/>
      <c r="AL130" s="708"/>
      <c r="AM130" s="708"/>
      <c r="AN130" s="708"/>
      <c r="AO130" s="708"/>
      <c r="AP130" s="708"/>
      <c r="AQ130" s="708"/>
      <c r="AR130" s="708"/>
    </row>
    <row r="131" spans="1:44" x14ac:dyDescent="0.25">
      <c r="A131" s="708"/>
      <c r="B131" s="708"/>
      <c r="C131" s="708"/>
      <c r="D131" s="708"/>
      <c r="E131" s="708"/>
      <c r="F131" s="708"/>
      <c r="G131" s="708"/>
      <c r="H131" s="708"/>
      <c r="I131" s="708"/>
      <c r="J131" s="708"/>
      <c r="K131" s="708"/>
      <c r="L131" s="708"/>
      <c r="M131" s="708"/>
      <c r="N131" s="708"/>
      <c r="O131" s="708"/>
      <c r="P131" s="708"/>
      <c r="Q131" s="708"/>
      <c r="R131" s="708"/>
      <c r="S131" s="708"/>
      <c r="T131" s="708"/>
      <c r="U131" s="708"/>
      <c r="V131" s="708"/>
      <c r="W131" s="708"/>
      <c r="X131" s="708"/>
      <c r="Y131" s="708"/>
      <c r="Z131" s="708"/>
      <c r="AA131" s="708"/>
      <c r="AB131" s="708"/>
      <c r="AC131" s="708"/>
      <c r="AD131" s="708"/>
      <c r="AE131" s="708"/>
      <c r="AF131" s="708"/>
      <c r="AG131" s="708"/>
      <c r="AH131" s="708"/>
      <c r="AI131" s="708"/>
      <c r="AJ131" s="708"/>
      <c r="AK131" s="708"/>
      <c r="AL131" s="708"/>
      <c r="AM131" s="708"/>
      <c r="AN131" s="708"/>
      <c r="AO131" s="708"/>
      <c r="AP131" s="708"/>
      <c r="AQ131" s="708"/>
      <c r="AR131" s="708"/>
    </row>
    <row r="132" spans="1:44" x14ac:dyDescent="0.25">
      <c r="A132" s="708"/>
      <c r="B132" s="708"/>
      <c r="C132" s="708"/>
      <c r="D132" s="708"/>
      <c r="E132" s="708"/>
      <c r="F132" s="708"/>
      <c r="G132" s="708"/>
      <c r="H132" s="708"/>
      <c r="I132" s="708"/>
      <c r="J132" s="708"/>
      <c r="K132" s="708"/>
      <c r="L132" s="708"/>
      <c r="M132" s="708"/>
      <c r="N132" s="708"/>
      <c r="O132" s="708"/>
      <c r="P132" s="708"/>
      <c r="Q132" s="708"/>
      <c r="R132" s="708"/>
      <c r="S132" s="708"/>
      <c r="T132" s="708"/>
      <c r="U132" s="708"/>
      <c r="V132" s="708"/>
      <c r="W132" s="708"/>
      <c r="X132" s="708"/>
      <c r="Y132" s="708"/>
      <c r="Z132" s="708"/>
      <c r="AA132" s="708"/>
      <c r="AB132" s="708"/>
      <c r="AC132" s="708"/>
      <c r="AD132" s="708"/>
      <c r="AE132" s="708"/>
      <c r="AF132" s="708"/>
      <c r="AG132" s="708"/>
      <c r="AH132" s="708"/>
      <c r="AI132" s="708"/>
      <c r="AJ132" s="708"/>
      <c r="AK132" s="708"/>
      <c r="AL132" s="708"/>
      <c r="AM132" s="708"/>
      <c r="AN132" s="708"/>
      <c r="AO132" s="708"/>
      <c r="AP132" s="708"/>
      <c r="AQ132" s="708"/>
      <c r="AR132" s="708"/>
    </row>
    <row r="133" spans="1:44" x14ac:dyDescent="0.25">
      <c r="A133" s="708"/>
      <c r="B133" s="708"/>
      <c r="C133" s="708"/>
      <c r="D133" s="708"/>
      <c r="E133" s="708"/>
      <c r="F133" s="708"/>
      <c r="G133" s="708"/>
      <c r="H133" s="708"/>
      <c r="I133" s="708"/>
      <c r="J133" s="708"/>
      <c r="K133" s="708"/>
      <c r="L133" s="708"/>
      <c r="M133" s="708"/>
      <c r="N133" s="708"/>
      <c r="O133" s="708"/>
      <c r="P133" s="708"/>
      <c r="Q133" s="708"/>
      <c r="R133" s="708"/>
      <c r="S133" s="708"/>
      <c r="T133" s="708"/>
      <c r="U133" s="708"/>
      <c r="V133" s="708"/>
      <c r="W133" s="708"/>
      <c r="X133" s="708"/>
      <c r="Y133" s="708"/>
      <c r="Z133" s="708"/>
      <c r="AA133" s="708"/>
      <c r="AB133" s="708"/>
      <c r="AC133" s="708"/>
      <c r="AD133" s="708"/>
      <c r="AE133" s="708"/>
      <c r="AF133" s="708"/>
      <c r="AG133" s="708"/>
      <c r="AH133" s="708"/>
      <c r="AI133" s="708"/>
      <c r="AJ133" s="708"/>
      <c r="AK133" s="708"/>
      <c r="AL133" s="708"/>
      <c r="AM133" s="708"/>
      <c r="AN133" s="708"/>
      <c r="AO133" s="708"/>
      <c r="AP133" s="708"/>
      <c r="AQ133" s="708"/>
      <c r="AR133" s="708"/>
    </row>
    <row r="134" spans="1:44" x14ac:dyDescent="0.25">
      <c r="A134" s="708"/>
      <c r="B134" s="708"/>
      <c r="C134" s="708"/>
      <c r="D134" s="708"/>
      <c r="E134" s="708"/>
      <c r="F134" s="708"/>
      <c r="G134" s="708"/>
      <c r="H134" s="708"/>
      <c r="I134" s="708"/>
      <c r="J134" s="708"/>
      <c r="K134" s="708"/>
      <c r="L134" s="708"/>
      <c r="M134" s="708"/>
      <c r="N134" s="708"/>
      <c r="O134" s="708"/>
      <c r="P134" s="708"/>
      <c r="Q134" s="708"/>
      <c r="R134" s="708"/>
      <c r="S134" s="708"/>
      <c r="T134" s="708"/>
      <c r="U134" s="708"/>
      <c r="V134" s="708"/>
      <c r="W134" s="708"/>
      <c r="X134" s="708"/>
      <c r="Y134" s="708"/>
      <c r="Z134" s="708"/>
      <c r="AA134" s="708"/>
      <c r="AB134" s="708"/>
      <c r="AC134" s="708"/>
      <c r="AD134" s="708"/>
      <c r="AE134" s="708"/>
      <c r="AF134" s="708"/>
      <c r="AG134" s="708"/>
      <c r="AH134" s="708"/>
      <c r="AI134" s="708"/>
      <c r="AJ134" s="708"/>
      <c r="AK134" s="708"/>
      <c r="AL134" s="708"/>
      <c r="AM134" s="708"/>
      <c r="AN134" s="708"/>
      <c r="AO134" s="708"/>
      <c r="AP134" s="708"/>
      <c r="AQ134" s="708"/>
      <c r="AR134" s="708"/>
    </row>
    <row r="135" spans="1:44" x14ac:dyDescent="0.25">
      <c r="A135" s="708"/>
      <c r="B135" s="708"/>
      <c r="C135" s="708"/>
      <c r="D135" s="708"/>
      <c r="E135" s="708"/>
      <c r="F135" s="708"/>
      <c r="G135" s="708"/>
      <c r="H135" s="708"/>
      <c r="I135" s="708"/>
      <c r="J135" s="708"/>
      <c r="K135" s="708"/>
      <c r="L135" s="708"/>
      <c r="M135" s="708"/>
      <c r="N135" s="708"/>
      <c r="O135" s="708"/>
      <c r="P135" s="708"/>
      <c r="Q135" s="708"/>
      <c r="R135" s="708"/>
      <c r="S135" s="708"/>
      <c r="T135" s="708"/>
      <c r="U135" s="708"/>
      <c r="V135" s="708"/>
      <c r="W135" s="708"/>
      <c r="X135" s="708"/>
      <c r="Y135" s="708"/>
      <c r="Z135" s="708"/>
      <c r="AA135" s="708"/>
      <c r="AB135" s="708"/>
      <c r="AC135" s="708"/>
      <c r="AD135" s="708"/>
      <c r="AE135" s="708"/>
      <c r="AF135" s="708"/>
      <c r="AG135" s="708"/>
      <c r="AH135" s="708"/>
      <c r="AI135" s="708"/>
      <c r="AJ135" s="708"/>
      <c r="AK135" s="708"/>
      <c r="AL135" s="708"/>
      <c r="AM135" s="708"/>
      <c r="AN135" s="708"/>
      <c r="AO135" s="708"/>
      <c r="AP135" s="708"/>
      <c r="AQ135" s="708"/>
      <c r="AR135" s="708"/>
    </row>
    <row r="136" spans="1:44" x14ac:dyDescent="0.25">
      <c r="A136" s="708"/>
      <c r="B136" s="708"/>
      <c r="C136" s="708"/>
      <c r="D136" s="708"/>
      <c r="E136" s="708"/>
      <c r="F136" s="708"/>
      <c r="G136" s="708"/>
      <c r="H136" s="708"/>
      <c r="I136" s="708"/>
      <c r="J136" s="708"/>
      <c r="K136" s="708"/>
      <c r="L136" s="708"/>
      <c r="M136" s="708"/>
      <c r="N136" s="708"/>
      <c r="O136" s="708"/>
      <c r="P136" s="708"/>
      <c r="Q136" s="708"/>
      <c r="R136" s="708"/>
      <c r="S136" s="708"/>
      <c r="T136" s="708"/>
      <c r="U136" s="708"/>
      <c r="V136" s="708"/>
      <c r="W136" s="708"/>
      <c r="X136" s="708"/>
      <c r="Y136" s="708"/>
      <c r="Z136" s="708"/>
      <c r="AA136" s="708"/>
      <c r="AB136" s="708"/>
      <c r="AC136" s="708"/>
      <c r="AD136" s="708"/>
      <c r="AE136" s="708"/>
      <c r="AF136" s="708"/>
      <c r="AG136" s="708"/>
      <c r="AH136" s="708"/>
      <c r="AI136" s="708"/>
      <c r="AJ136" s="708"/>
      <c r="AK136" s="708"/>
      <c r="AL136" s="708"/>
      <c r="AM136" s="708"/>
      <c r="AN136" s="708"/>
      <c r="AO136" s="708"/>
      <c r="AP136" s="708"/>
      <c r="AQ136" s="708"/>
      <c r="AR136" s="708"/>
    </row>
    <row r="137" spans="1:44" x14ac:dyDescent="0.25">
      <c r="E137" s="30"/>
      <c r="F137" s="30"/>
      <c r="G137" s="30"/>
      <c r="I137" s="30"/>
    </row>
    <row r="138" spans="1:44" x14ac:dyDescent="0.25">
      <c r="E138" s="30"/>
      <c r="F138" s="30"/>
      <c r="G138" s="30"/>
      <c r="I138" s="30"/>
    </row>
    <row r="139" spans="1:44" x14ac:dyDescent="0.25">
      <c r="E139" s="30"/>
      <c r="F139" s="30"/>
      <c r="G139" s="30"/>
      <c r="I139" s="30"/>
    </row>
  </sheetData>
  <phoneticPr fontId="0" type="noConversion"/>
  <pageMargins left="0.55000000000000004" right="0.45" top="0.63" bottom="0.45" header="0.36" footer="0.26"/>
  <pageSetup paperSize="9" scale="91" orientation="portrait"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97" r:id="rId4" name="basic2button">
              <controlPr defaultSize="0" print="0" autoFill="0" autoPict="0" macro="[0]!returnfromcopy">
                <anchor moveWithCells="1" sizeWithCells="1">
                  <from>
                    <xdr:col>11</xdr:col>
                    <xdr:colOff>63500</xdr:colOff>
                    <xdr:row>2</xdr:row>
                    <xdr:rowOff>0</xdr:rowOff>
                  </from>
                  <to>
                    <xdr:col>11</xdr:col>
                    <xdr:colOff>952500</xdr:colOff>
                    <xdr:row>5</xdr:row>
                    <xdr:rowOff>0</xdr:rowOff>
                  </to>
                </anchor>
              </controlPr>
            </control>
          </mc:Choice>
        </mc:AlternateContent>
        <mc:AlternateContent xmlns:mc="http://schemas.openxmlformats.org/markup-compatibility/2006">
          <mc:Choice Requires="x14">
            <control shapeId="50198" r:id="rId5" name="basic2delbutton">
              <controlPr defaultSize="0" print="0" autoFill="0" autoPict="0" macro="[0]!delete_basic2button">
                <anchor moveWithCells="1" sizeWithCells="1">
                  <from>
                    <xdr:col>11</xdr:col>
                    <xdr:colOff>63500</xdr:colOff>
                    <xdr:row>5</xdr:row>
                    <xdr:rowOff>25400</xdr:rowOff>
                  </from>
                  <to>
                    <xdr:col>11</xdr:col>
                    <xdr:colOff>952500</xdr:colOff>
                    <xdr:row>8</xdr:row>
                    <xdr:rowOff>12700</xdr:rowOff>
                  </to>
                </anchor>
              </controlPr>
            </control>
          </mc:Choice>
        </mc:AlternateContent>
        <mc:AlternateContent xmlns:mc="http://schemas.openxmlformats.org/markup-compatibility/2006">
          <mc:Choice Requires="x14">
            <control shapeId="50199" r:id="rId6" name="pdfbutton">
              <controlPr defaultSize="0" print="0" autoFill="0" autoPict="0" macro="[0]!pdfonly">
                <anchor moveWithCells="1" sizeWithCells="1">
                  <from>
                    <xdr:col>11</xdr:col>
                    <xdr:colOff>1041400</xdr:colOff>
                    <xdr:row>2</xdr:row>
                    <xdr:rowOff>158750</xdr:rowOff>
                  </from>
                  <to>
                    <xdr:col>11</xdr:col>
                    <xdr:colOff>1936750</xdr:colOff>
                    <xdr:row>6</xdr:row>
                    <xdr:rowOff>120650</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C3745-9985-4D2B-91DD-C925BD3AC233}">
  <sheetPr codeName="Sheet72">
    <pageSetUpPr fitToPage="1"/>
  </sheetPr>
  <dimension ref="A1:AR140"/>
  <sheetViews>
    <sheetView showGridLines="0" workbookViewId="0">
      <selection activeCell="A2" sqref="A2"/>
    </sheetView>
  </sheetViews>
  <sheetFormatPr defaultColWidth="9.08984375" defaultRowHeight="12.75" customHeight="1" x14ac:dyDescent="0.25"/>
  <cols>
    <col min="1" max="1" width="16.6328125" style="256" customWidth="1"/>
    <col min="2" max="2" width="2.6328125" style="256" customWidth="1"/>
    <col min="3" max="3" width="11.6328125" style="256" customWidth="1"/>
    <col min="4" max="4" width="23.453125" style="256" customWidth="1"/>
    <col min="5" max="5" width="12.08984375" style="273" customWidth="1"/>
    <col min="6" max="6" width="12.6328125" style="273" customWidth="1"/>
    <col min="7" max="7" width="10.6328125" style="273" customWidth="1"/>
    <col min="8" max="8" width="12.36328125" style="256" customWidth="1"/>
    <col min="9" max="9" width="12.453125" style="475" customWidth="1"/>
    <col min="10" max="10" width="2.54296875" style="256" customWidth="1"/>
    <col min="11" max="11" width="3.36328125" style="256" customWidth="1"/>
    <col min="12" max="12" width="23" style="256" customWidth="1"/>
    <col min="13" max="13" width="17.08984375" style="256" customWidth="1"/>
    <col min="14" max="14" width="11.54296875" style="256" customWidth="1"/>
    <col min="15" max="19" width="9.08984375" style="256"/>
    <col min="20" max="20" width="17.453125" style="256" customWidth="1"/>
    <col min="21" max="16384" width="9.08984375" style="256"/>
  </cols>
  <sheetData>
    <row r="1" spans="1:44" ht="7.5" customHeight="1" x14ac:dyDescent="0.25">
      <c r="A1" s="382"/>
      <c r="B1" s="382"/>
      <c r="C1" s="382"/>
      <c r="D1" s="382"/>
      <c r="E1" s="585"/>
      <c r="F1" s="585"/>
      <c r="G1" s="585"/>
      <c r="H1" s="382"/>
      <c r="I1" s="586"/>
      <c r="J1" s="382"/>
      <c r="K1" s="382"/>
      <c r="L1" s="382"/>
      <c r="M1" s="382"/>
      <c r="N1" s="382"/>
      <c r="O1" s="382"/>
      <c r="P1" s="382"/>
      <c r="Q1" s="382"/>
      <c r="R1" s="382"/>
      <c r="S1" s="382"/>
      <c r="T1" s="382"/>
      <c r="U1" s="382"/>
      <c r="V1" s="382"/>
      <c r="W1" s="382"/>
      <c r="X1" s="382"/>
      <c r="Y1" s="382"/>
      <c r="Z1" s="382"/>
      <c r="AA1" s="382"/>
      <c r="AB1" s="382"/>
      <c r="AC1" s="382"/>
      <c r="AD1" s="382"/>
      <c r="AE1" s="382"/>
      <c r="AF1" s="382"/>
      <c r="AG1" s="382"/>
      <c r="AH1" s="382"/>
      <c r="AI1" s="382"/>
      <c r="AJ1" s="382"/>
      <c r="AK1" s="382"/>
      <c r="AL1" s="382"/>
      <c r="AM1" s="382"/>
      <c r="AN1" s="382"/>
      <c r="AO1" s="382"/>
      <c r="AP1" s="382"/>
      <c r="AQ1" s="382"/>
      <c r="AR1" s="382"/>
    </row>
    <row r="2" spans="1:44" ht="6.75" customHeight="1" x14ac:dyDescent="0.25">
      <c r="A2" s="382"/>
      <c r="B2" s="382"/>
      <c r="C2" s="382"/>
      <c r="D2" s="382"/>
      <c r="E2" s="585"/>
      <c r="F2" s="585"/>
      <c r="G2" s="585"/>
      <c r="H2" s="382"/>
      <c r="I2" s="586"/>
      <c r="J2" s="382"/>
      <c r="K2" s="382"/>
      <c r="L2" s="382"/>
      <c r="M2" s="382"/>
      <c r="N2" s="382"/>
      <c r="O2" s="382"/>
      <c r="P2" s="382"/>
      <c r="Q2" s="382"/>
      <c r="R2" s="382"/>
      <c r="S2" s="382"/>
      <c r="T2" s="382"/>
      <c r="U2" s="382"/>
      <c r="V2" s="382"/>
      <c r="W2" s="382"/>
      <c r="X2" s="382"/>
      <c r="Y2" s="382"/>
      <c r="Z2" s="382"/>
      <c r="AA2" s="382"/>
      <c r="AB2" s="382"/>
      <c r="AC2" s="382"/>
      <c r="AD2" s="382"/>
      <c r="AE2" s="382"/>
      <c r="AF2" s="382"/>
      <c r="AG2" s="382"/>
      <c r="AH2" s="382"/>
      <c r="AI2" s="382"/>
      <c r="AJ2" s="382"/>
      <c r="AK2" s="382"/>
      <c r="AL2" s="382"/>
      <c r="AM2" s="382"/>
      <c r="AN2" s="382"/>
      <c r="AO2" s="382"/>
      <c r="AP2" s="382"/>
      <c r="AQ2" s="382"/>
      <c r="AR2" s="382"/>
    </row>
    <row r="3" spans="1:44" ht="12.5" x14ac:dyDescent="0.25">
      <c r="A3" s="382"/>
      <c r="K3" s="382"/>
      <c r="L3" s="382"/>
      <c r="M3" s="382"/>
      <c r="N3" s="382"/>
      <c r="O3" s="382"/>
      <c r="P3" s="382"/>
      <c r="Q3" s="382"/>
      <c r="R3" s="382"/>
      <c r="S3" s="382"/>
      <c r="T3" s="382"/>
      <c r="U3" s="382"/>
      <c r="V3" s="382"/>
      <c r="W3" s="382"/>
      <c r="X3" s="382"/>
      <c r="Y3" s="382"/>
      <c r="Z3" s="382"/>
      <c r="AA3" s="382"/>
      <c r="AB3" s="382"/>
      <c r="AC3" s="382"/>
      <c r="AD3" s="382"/>
      <c r="AE3" s="382"/>
      <c r="AF3" s="382"/>
      <c r="AG3" s="382"/>
      <c r="AH3" s="382"/>
      <c r="AI3" s="382"/>
      <c r="AJ3" s="382"/>
      <c r="AK3" s="382"/>
      <c r="AL3" s="382"/>
      <c r="AM3" s="382"/>
      <c r="AN3" s="382"/>
      <c r="AO3" s="382"/>
      <c r="AP3" s="382"/>
      <c r="AQ3" s="382"/>
      <c r="AR3" s="382"/>
    </row>
    <row r="4" spans="1:44" ht="15.5" x14ac:dyDescent="0.35">
      <c r="A4" s="382"/>
      <c r="C4" s="488"/>
      <c r="H4" s="488"/>
      <c r="I4" s="579"/>
      <c r="K4" s="382"/>
      <c r="L4" s="382"/>
      <c r="M4" s="382"/>
      <c r="N4" s="382"/>
      <c r="O4" s="382"/>
      <c r="P4" s="382"/>
      <c r="Q4" s="382"/>
      <c r="R4" s="382"/>
      <c r="S4" s="382"/>
      <c r="T4" s="382"/>
      <c r="U4" s="382"/>
      <c r="V4" s="382"/>
      <c r="W4" s="382"/>
      <c r="X4" s="382"/>
      <c r="Y4" s="382"/>
      <c r="Z4" s="382"/>
      <c r="AA4" s="382"/>
      <c r="AB4" s="382"/>
      <c r="AC4" s="382"/>
      <c r="AD4" s="382"/>
      <c r="AE4" s="382"/>
      <c r="AF4" s="382"/>
      <c r="AG4" s="382"/>
      <c r="AH4" s="382"/>
      <c r="AI4" s="382"/>
      <c r="AJ4" s="382"/>
      <c r="AK4" s="382"/>
      <c r="AL4" s="382"/>
      <c r="AM4" s="382"/>
      <c r="AN4" s="382"/>
      <c r="AO4" s="382"/>
      <c r="AP4" s="382"/>
      <c r="AQ4" s="382"/>
      <c r="AR4" s="382"/>
    </row>
    <row r="5" spans="1:44" ht="9" customHeight="1" x14ac:dyDescent="0.3">
      <c r="A5" s="382"/>
      <c r="C5" s="291"/>
      <c r="K5" s="382"/>
      <c r="L5" s="382"/>
      <c r="M5" s="382"/>
      <c r="N5" s="382"/>
      <c r="O5" s="382"/>
      <c r="P5" s="382"/>
      <c r="Q5" s="382"/>
      <c r="R5" s="382"/>
      <c r="S5" s="382"/>
      <c r="T5" s="382"/>
      <c r="U5" s="382"/>
      <c r="V5" s="382"/>
      <c r="W5" s="382"/>
      <c r="X5" s="382"/>
      <c r="Y5" s="382"/>
      <c r="Z5" s="382"/>
      <c r="AA5" s="382"/>
      <c r="AB5" s="382"/>
      <c r="AC5" s="382"/>
      <c r="AD5" s="382"/>
      <c r="AE5" s="382"/>
      <c r="AF5" s="382"/>
      <c r="AG5" s="382"/>
      <c r="AH5" s="382"/>
      <c r="AI5" s="382"/>
      <c r="AJ5" s="382"/>
      <c r="AK5" s="382"/>
      <c r="AL5" s="382"/>
      <c r="AM5" s="382"/>
      <c r="AN5" s="382"/>
      <c r="AO5" s="382"/>
      <c r="AP5" s="382"/>
      <c r="AQ5" s="382"/>
      <c r="AR5" s="382"/>
    </row>
    <row r="6" spans="1:44" ht="13" x14ac:dyDescent="0.3">
      <c r="A6" s="382"/>
      <c r="C6" s="291"/>
      <c r="D6" s="291"/>
      <c r="K6" s="382"/>
      <c r="L6" s="382"/>
      <c r="M6" s="382"/>
      <c r="N6" s="382"/>
      <c r="O6" s="382"/>
      <c r="P6" s="382"/>
      <c r="Q6" s="382"/>
      <c r="R6" s="382"/>
      <c r="S6" s="382"/>
      <c r="T6" s="382"/>
      <c r="U6" s="382"/>
      <c r="V6" s="382"/>
      <c r="W6" s="382"/>
      <c r="X6" s="382"/>
      <c r="Y6" s="382"/>
      <c r="Z6" s="382"/>
      <c r="AA6" s="382"/>
      <c r="AB6" s="382"/>
      <c r="AC6" s="382"/>
      <c r="AD6" s="382"/>
      <c r="AE6" s="382"/>
      <c r="AF6" s="382"/>
      <c r="AG6" s="382"/>
      <c r="AH6" s="382"/>
      <c r="AI6" s="382"/>
      <c r="AJ6" s="382"/>
      <c r="AK6" s="382"/>
      <c r="AL6" s="382"/>
      <c r="AM6" s="382"/>
      <c r="AN6" s="382"/>
      <c r="AO6" s="382"/>
      <c r="AP6" s="382"/>
      <c r="AQ6" s="382"/>
      <c r="AR6" s="382"/>
    </row>
    <row r="7" spans="1:44" ht="13" x14ac:dyDescent="0.3">
      <c r="A7" s="382"/>
      <c r="C7" s="291"/>
      <c r="D7" s="291"/>
      <c r="K7" s="382"/>
      <c r="L7" s="382"/>
      <c r="M7" s="382"/>
      <c r="N7" s="382"/>
      <c r="O7" s="382"/>
      <c r="P7" s="382"/>
      <c r="Q7" s="382"/>
      <c r="R7" s="382"/>
      <c r="S7" s="382"/>
      <c r="T7" s="382"/>
      <c r="U7" s="382"/>
      <c r="V7" s="382"/>
      <c r="W7" s="382"/>
      <c r="X7" s="382"/>
      <c r="Y7" s="382"/>
      <c r="Z7" s="382"/>
      <c r="AA7" s="382"/>
      <c r="AB7" s="382"/>
      <c r="AC7" s="382"/>
      <c r="AD7" s="382"/>
      <c r="AE7" s="382"/>
      <c r="AF7" s="382"/>
      <c r="AG7" s="382"/>
      <c r="AH7" s="382"/>
      <c r="AI7" s="382"/>
      <c r="AJ7" s="382"/>
      <c r="AK7" s="382"/>
      <c r="AL7" s="382"/>
      <c r="AM7" s="382"/>
      <c r="AN7" s="382"/>
      <c r="AO7" s="382"/>
      <c r="AP7" s="382"/>
      <c r="AQ7" s="382"/>
      <c r="AR7" s="382"/>
    </row>
    <row r="8" spans="1:44" ht="13.5" customHeight="1" x14ac:dyDescent="0.3">
      <c r="A8" s="382"/>
      <c r="C8" s="489"/>
      <c r="D8" s="283"/>
      <c r="E8" s="335"/>
      <c r="F8" s="335"/>
      <c r="G8" s="335"/>
      <c r="H8" s="283"/>
      <c r="I8" s="487"/>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row>
    <row r="9" spans="1:44" ht="9.75" customHeight="1" x14ac:dyDescent="0.3">
      <c r="A9" s="382"/>
      <c r="C9" s="291"/>
      <c r="K9" s="382"/>
      <c r="L9" s="382"/>
      <c r="M9" s="382"/>
      <c r="N9" s="382"/>
      <c r="O9" s="382"/>
      <c r="P9" s="382"/>
      <c r="Q9" s="382"/>
      <c r="R9" s="382"/>
      <c r="S9" s="585"/>
      <c r="T9" s="587"/>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row>
    <row r="10" spans="1:44" ht="13.5" customHeight="1" x14ac:dyDescent="0.3">
      <c r="A10" s="382"/>
      <c r="C10" s="291"/>
      <c r="D10" s="257"/>
      <c r="H10" s="476"/>
      <c r="K10" s="382"/>
      <c r="L10" s="592"/>
      <c r="M10" s="382"/>
      <c r="N10" s="382"/>
      <c r="O10" s="382"/>
      <c r="P10" s="382"/>
      <c r="Q10" s="382"/>
      <c r="R10" s="382"/>
      <c r="S10" s="585"/>
      <c r="T10" s="588"/>
      <c r="U10" s="382"/>
      <c r="V10" s="382"/>
      <c r="W10" s="382"/>
      <c r="X10" s="382"/>
      <c r="Y10" s="382"/>
      <c r="Z10" s="382"/>
      <c r="AA10" s="382"/>
      <c r="AB10" s="382"/>
      <c r="AC10" s="382"/>
      <c r="AD10" s="382"/>
      <c r="AE10" s="382"/>
      <c r="AF10" s="382"/>
      <c r="AG10" s="382"/>
      <c r="AH10" s="382"/>
      <c r="AI10" s="382"/>
      <c r="AJ10" s="382"/>
      <c r="AK10" s="382"/>
      <c r="AL10" s="382"/>
      <c r="AM10" s="382"/>
      <c r="AN10" s="382"/>
      <c r="AO10" s="382"/>
      <c r="AP10" s="382"/>
      <c r="AQ10" s="382"/>
      <c r="AR10" s="382"/>
    </row>
    <row r="11" spans="1:44" ht="13" x14ac:dyDescent="0.3">
      <c r="A11" s="382"/>
      <c r="C11" s="291"/>
      <c r="H11" s="496"/>
      <c r="K11" s="382"/>
      <c r="L11" s="592"/>
      <c r="M11" s="382"/>
      <c r="N11" s="382"/>
      <c r="O11" s="382"/>
      <c r="P11" s="382"/>
      <c r="Q11" s="382"/>
      <c r="R11" s="382"/>
      <c r="S11" s="585"/>
      <c r="T11" s="585"/>
      <c r="U11" s="382"/>
      <c r="V11" s="382"/>
      <c r="W11" s="382"/>
      <c r="X11" s="382"/>
      <c r="Y11" s="382"/>
      <c r="Z11" s="382"/>
      <c r="AA11" s="382"/>
      <c r="AB11" s="382"/>
      <c r="AC11" s="382"/>
      <c r="AD11" s="382"/>
      <c r="AE11" s="382"/>
      <c r="AF11" s="382"/>
      <c r="AG11" s="382"/>
      <c r="AH11" s="382"/>
      <c r="AI11" s="382"/>
      <c r="AJ11" s="382"/>
      <c r="AK11" s="382"/>
      <c r="AL11" s="382"/>
      <c r="AM11" s="382"/>
      <c r="AN11" s="382"/>
      <c r="AO11" s="382"/>
      <c r="AP11" s="382"/>
      <c r="AQ11" s="382"/>
      <c r="AR11" s="382"/>
    </row>
    <row r="12" spans="1:44" ht="13.5" customHeight="1" x14ac:dyDescent="0.3">
      <c r="A12" s="382"/>
      <c r="C12" s="291"/>
      <c r="D12" s="257"/>
      <c r="K12" s="382"/>
      <c r="L12" s="382"/>
      <c r="M12" s="382"/>
      <c r="N12" s="382"/>
      <c r="O12" s="382"/>
      <c r="P12" s="382"/>
      <c r="Q12" s="382"/>
      <c r="R12" s="382"/>
      <c r="S12" s="585"/>
      <c r="T12" s="585"/>
      <c r="U12" s="382"/>
      <c r="V12" s="382"/>
      <c r="W12" s="382"/>
      <c r="X12" s="382"/>
      <c r="Y12" s="382"/>
      <c r="Z12" s="382"/>
      <c r="AA12" s="382"/>
      <c r="AB12" s="382"/>
      <c r="AC12" s="382"/>
      <c r="AD12" s="382"/>
      <c r="AE12" s="382"/>
      <c r="AF12" s="382"/>
      <c r="AG12" s="382"/>
      <c r="AH12" s="382"/>
      <c r="AI12" s="382"/>
      <c r="AJ12" s="382"/>
      <c r="AK12" s="382"/>
      <c r="AL12" s="382"/>
      <c r="AM12" s="382"/>
      <c r="AN12" s="382"/>
      <c r="AO12" s="382"/>
      <c r="AP12" s="382"/>
      <c r="AQ12" s="382"/>
      <c r="AR12" s="382"/>
    </row>
    <row r="13" spans="1:44" ht="13.5" customHeight="1" x14ac:dyDescent="0.3">
      <c r="A13" s="382"/>
      <c r="C13" s="291"/>
      <c r="K13" s="382"/>
      <c r="L13" s="382"/>
      <c r="M13" s="382"/>
      <c r="N13" s="382"/>
      <c r="O13" s="382"/>
      <c r="P13" s="382"/>
      <c r="Q13" s="382"/>
      <c r="R13" s="382"/>
      <c r="S13" s="585"/>
      <c r="T13" s="589"/>
      <c r="U13" s="382"/>
      <c r="V13" s="382"/>
      <c r="W13" s="382"/>
      <c r="X13" s="382"/>
      <c r="Y13" s="382"/>
      <c r="Z13" s="382"/>
      <c r="AA13" s="382"/>
      <c r="AB13" s="382"/>
      <c r="AC13" s="382"/>
      <c r="AD13" s="382"/>
      <c r="AE13" s="382"/>
      <c r="AF13" s="382"/>
      <c r="AG13" s="382"/>
      <c r="AH13" s="382"/>
      <c r="AI13" s="382"/>
      <c r="AJ13" s="382"/>
      <c r="AK13" s="382"/>
      <c r="AL13" s="382"/>
      <c r="AM13" s="382"/>
      <c r="AN13" s="382"/>
      <c r="AO13" s="382"/>
      <c r="AP13" s="382"/>
      <c r="AQ13" s="382"/>
      <c r="AR13" s="382"/>
    </row>
    <row r="14" spans="1:44" ht="13.5" customHeight="1" x14ac:dyDescent="0.3">
      <c r="A14" s="382"/>
      <c r="C14" s="291"/>
      <c r="D14" s="257"/>
      <c r="H14" s="476"/>
      <c r="K14" s="382"/>
      <c r="L14" s="382"/>
      <c r="M14" s="382"/>
      <c r="N14" s="382"/>
      <c r="O14" s="382"/>
      <c r="P14" s="382"/>
      <c r="Q14" s="382"/>
      <c r="R14" s="382"/>
      <c r="S14" s="585"/>
      <c r="T14" s="585"/>
      <c r="U14" s="382"/>
      <c r="V14" s="382"/>
      <c r="W14" s="382"/>
      <c r="X14" s="382"/>
      <c r="Y14" s="382"/>
      <c r="Z14" s="382"/>
      <c r="AA14" s="382"/>
      <c r="AB14" s="382"/>
      <c r="AC14" s="382"/>
      <c r="AD14" s="382"/>
      <c r="AE14" s="382"/>
      <c r="AF14" s="382"/>
      <c r="AG14" s="382"/>
      <c r="AH14" s="382"/>
      <c r="AI14" s="382"/>
      <c r="AJ14" s="382"/>
      <c r="AK14" s="382"/>
      <c r="AL14" s="382"/>
      <c r="AM14" s="382"/>
      <c r="AN14" s="382"/>
      <c r="AO14" s="382"/>
      <c r="AP14" s="382"/>
      <c r="AQ14" s="382"/>
      <c r="AR14" s="382"/>
    </row>
    <row r="15" spans="1:44" ht="13.5" customHeight="1" x14ac:dyDescent="0.3">
      <c r="A15" s="382"/>
      <c r="C15" s="291"/>
      <c r="K15" s="382"/>
      <c r="L15" s="382"/>
      <c r="M15" s="382"/>
      <c r="N15" s="382"/>
      <c r="O15" s="382"/>
      <c r="P15" s="382"/>
      <c r="Q15" s="382"/>
      <c r="R15" s="382"/>
      <c r="S15" s="585"/>
      <c r="T15" s="588"/>
      <c r="U15" s="382"/>
      <c r="V15" s="382"/>
      <c r="W15" s="382"/>
      <c r="X15" s="382"/>
      <c r="Y15" s="382"/>
      <c r="Z15" s="382"/>
      <c r="AA15" s="382"/>
      <c r="AB15" s="382"/>
      <c r="AC15" s="382"/>
      <c r="AD15" s="382"/>
      <c r="AE15" s="382"/>
      <c r="AF15" s="382"/>
      <c r="AG15" s="382"/>
      <c r="AH15" s="382"/>
      <c r="AI15" s="382"/>
      <c r="AJ15" s="382"/>
      <c r="AK15" s="382"/>
      <c r="AL15" s="382"/>
      <c r="AM15" s="382"/>
      <c r="AN15" s="382"/>
      <c r="AO15" s="382"/>
      <c r="AP15" s="382"/>
      <c r="AQ15" s="382"/>
      <c r="AR15" s="382"/>
    </row>
    <row r="16" spans="1:44" ht="13.5" customHeight="1" x14ac:dyDescent="0.3">
      <c r="A16" s="382"/>
      <c r="C16" s="291"/>
      <c r="K16" s="382"/>
      <c r="L16" s="382"/>
      <c r="M16" s="382"/>
      <c r="N16" s="382"/>
      <c r="O16" s="382"/>
      <c r="P16" s="382"/>
      <c r="Q16" s="382"/>
      <c r="R16" s="382"/>
      <c r="S16" s="585"/>
      <c r="T16" s="585"/>
      <c r="U16" s="382"/>
      <c r="V16" s="382"/>
      <c r="W16" s="382"/>
      <c r="X16" s="382"/>
      <c r="Y16" s="382"/>
      <c r="Z16" s="382"/>
      <c r="AA16" s="382"/>
      <c r="AB16" s="382"/>
      <c r="AC16" s="382"/>
      <c r="AD16" s="382"/>
      <c r="AE16" s="382"/>
      <c r="AF16" s="382"/>
      <c r="AG16" s="382"/>
      <c r="AH16" s="382"/>
      <c r="AI16" s="382"/>
      <c r="AJ16" s="382"/>
      <c r="AK16" s="382"/>
      <c r="AL16" s="382"/>
      <c r="AM16" s="382"/>
      <c r="AN16" s="382"/>
      <c r="AO16" s="382"/>
      <c r="AP16" s="382"/>
      <c r="AQ16" s="382"/>
      <c r="AR16" s="382"/>
    </row>
    <row r="17" spans="1:44" ht="13.5" customHeight="1" x14ac:dyDescent="0.3">
      <c r="A17" s="382"/>
      <c r="C17" s="291"/>
      <c r="K17" s="382"/>
      <c r="L17" s="382"/>
      <c r="M17" s="382"/>
      <c r="N17" s="382"/>
      <c r="O17" s="382"/>
      <c r="P17" s="382"/>
      <c r="Q17" s="382"/>
      <c r="R17" s="382"/>
      <c r="S17" s="585"/>
      <c r="T17" s="585"/>
      <c r="U17" s="382"/>
      <c r="V17" s="382"/>
      <c r="W17" s="382"/>
      <c r="X17" s="382"/>
      <c r="Y17" s="382"/>
      <c r="Z17" s="382"/>
      <c r="AA17" s="382"/>
      <c r="AB17" s="382"/>
      <c r="AC17" s="382"/>
      <c r="AD17" s="382"/>
      <c r="AE17" s="382"/>
      <c r="AF17" s="382"/>
      <c r="AG17" s="382"/>
      <c r="AH17" s="382"/>
      <c r="AI17" s="382"/>
      <c r="AJ17" s="382"/>
      <c r="AK17" s="382"/>
      <c r="AL17" s="382"/>
      <c r="AM17" s="382"/>
      <c r="AN17" s="382"/>
      <c r="AO17" s="382"/>
      <c r="AP17" s="382"/>
      <c r="AQ17" s="382"/>
      <c r="AR17" s="382"/>
    </row>
    <row r="18" spans="1:44" ht="13.5" customHeight="1" x14ac:dyDescent="0.3">
      <c r="A18" s="382"/>
      <c r="C18" s="291"/>
      <c r="K18" s="382"/>
      <c r="L18" s="382"/>
      <c r="M18" s="382"/>
      <c r="N18" s="382"/>
      <c r="O18" s="382"/>
      <c r="P18" s="382"/>
      <c r="Q18" s="382"/>
      <c r="R18" s="382"/>
      <c r="S18" s="585"/>
      <c r="T18" s="585"/>
      <c r="U18" s="382"/>
      <c r="V18" s="585"/>
      <c r="W18" s="585"/>
      <c r="X18" s="585"/>
      <c r="Y18" s="585"/>
      <c r="Z18" s="382"/>
      <c r="AA18" s="382"/>
      <c r="AB18" s="382"/>
      <c r="AC18" s="382"/>
      <c r="AD18" s="382"/>
      <c r="AE18" s="382"/>
      <c r="AF18" s="382"/>
      <c r="AG18" s="382"/>
      <c r="AH18" s="382"/>
      <c r="AI18" s="382"/>
      <c r="AJ18" s="382"/>
      <c r="AK18" s="382"/>
      <c r="AL18" s="382"/>
      <c r="AM18" s="382"/>
      <c r="AN18" s="382"/>
      <c r="AO18" s="382"/>
      <c r="AP18" s="382"/>
      <c r="AQ18" s="382"/>
      <c r="AR18" s="382"/>
    </row>
    <row r="19" spans="1:44" ht="13.5" customHeight="1" x14ac:dyDescent="0.25">
      <c r="A19" s="382"/>
      <c r="K19" s="382"/>
      <c r="L19" s="382"/>
      <c r="M19" s="382"/>
      <c r="N19" s="382"/>
      <c r="O19" s="382"/>
      <c r="P19" s="382"/>
      <c r="Q19" s="382"/>
      <c r="R19" s="382"/>
      <c r="S19" s="585"/>
      <c r="T19" s="585"/>
      <c r="U19" s="382"/>
      <c r="V19" s="585"/>
      <c r="W19" s="585"/>
      <c r="X19" s="585"/>
      <c r="Y19" s="585"/>
      <c r="Z19" s="382"/>
      <c r="AA19" s="382"/>
      <c r="AB19" s="382"/>
      <c r="AC19" s="382"/>
      <c r="AD19" s="382"/>
      <c r="AE19" s="382"/>
      <c r="AF19" s="382"/>
      <c r="AG19" s="382"/>
      <c r="AH19" s="382"/>
      <c r="AI19" s="382"/>
      <c r="AJ19" s="382"/>
      <c r="AK19" s="382"/>
      <c r="AL19" s="382"/>
      <c r="AM19" s="382"/>
      <c r="AN19" s="382"/>
      <c r="AO19" s="382"/>
      <c r="AP19" s="382"/>
      <c r="AQ19" s="382"/>
      <c r="AR19" s="382"/>
    </row>
    <row r="20" spans="1:44" ht="13.5" customHeight="1" x14ac:dyDescent="0.25">
      <c r="A20" s="382"/>
      <c r="K20" s="382"/>
      <c r="L20" s="382"/>
      <c r="M20" s="382"/>
      <c r="N20" s="382"/>
      <c r="O20" s="382"/>
      <c r="P20" s="382"/>
      <c r="Q20" s="382"/>
      <c r="R20" s="382"/>
      <c r="S20" s="585"/>
      <c r="T20" s="585"/>
      <c r="U20" s="382"/>
      <c r="V20" s="382"/>
      <c r="W20" s="382"/>
      <c r="X20" s="382"/>
      <c r="Y20" s="382"/>
      <c r="Z20" s="382"/>
      <c r="AA20" s="382"/>
      <c r="AB20" s="382"/>
      <c r="AC20" s="382"/>
      <c r="AD20" s="382"/>
      <c r="AE20" s="382"/>
      <c r="AF20" s="382"/>
      <c r="AG20" s="382"/>
      <c r="AH20" s="382"/>
      <c r="AI20" s="382"/>
      <c r="AJ20" s="382"/>
      <c r="AK20" s="382"/>
      <c r="AL20" s="382"/>
      <c r="AM20" s="382"/>
      <c r="AN20" s="382"/>
      <c r="AO20" s="382"/>
      <c r="AP20" s="382"/>
      <c r="AQ20" s="382"/>
      <c r="AR20" s="382"/>
    </row>
    <row r="21" spans="1:44" ht="13.5" customHeight="1" x14ac:dyDescent="0.25">
      <c r="A21" s="382"/>
      <c r="K21" s="382"/>
      <c r="L21" s="382"/>
      <c r="M21" s="382"/>
      <c r="N21" s="382"/>
      <c r="O21" s="382"/>
      <c r="P21" s="382"/>
      <c r="Q21" s="382"/>
      <c r="R21" s="382"/>
      <c r="S21" s="585"/>
      <c r="T21" s="585"/>
      <c r="U21" s="382"/>
      <c r="V21" s="382"/>
      <c r="W21" s="382"/>
      <c r="X21" s="382"/>
      <c r="Y21" s="382"/>
      <c r="Z21" s="382"/>
      <c r="AA21" s="382"/>
      <c r="AB21" s="382"/>
      <c r="AC21" s="382"/>
      <c r="AD21" s="382"/>
      <c r="AE21" s="382"/>
      <c r="AF21" s="382"/>
      <c r="AG21" s="382"/>
      <c r="AH21" s="382"/>
      <c r="AI21" s="382"/>
      <c r="AJ21" s="382"/>
      <c r="AK21" s="382"/>
      <c r="AL21" s="382"/>
      <c r="AM21" s="382"/>
      <c r="AN21" s="382"/>
      <c r="AO21" s="382"/>
      <c r="AP21" s="382"/>
      <c r="AQ21" s="382"/>
      <c r="AR21" s="382"/>
    </row>
    <row r="22" spans="1:44" ht="13.5" customHeight="1" x14ac:dyDescent="0.25">
      <c r="A22" s="382"/>
      <c r="K22" s="382"/>
      <c r="L22" s="382"/>
      <c r="M22" s="382"/>
      <c r="N22" s="382"/>
      <c r="O22" s="382"/>
      <c r="P22" s="382"/>
      <c r="Q22" s="382"/>
      <c r="R22" s="382"/>
      <c r="S22" s="585"/>
      <c r="T22" s="588"/>
      <c r="U22" s="382"/>
      <c r="V22" s="382"/>
      <c r="W22" s="382"/>
      <c r="X22" s="382"/>
      <c r="Y22" s="382"/>
      <c r="Z22" s="382"/>
      <c r="AA22" s="382"/>
      <c r="AB22" s="382"/>
      <c r="AC22" s="382"/>
      <c r="AD22" s="382"/>
      <c r="AE22" s="382"/>
      <c r="AF22" s="382"/>
      <c r="AG22" s="382"/>
      <c r="AH22" s="382"/>
      <c r="AI22" s="382"/>
      <c r="AJ22" s="382"/>
      <c r="AK22" s="382"/>
      <c r="AL22" s="382"/>
      <c r="AM22" s="382"/>
      <c r="AN22" s="382"/>
      <c r="AO22" s="382"/>
      <c r="AP22" s="382"/>
      <c r="AQ22" s="382"/>
      <c r="AR22" s="382"/>
    </row>
    <row r="23" spans="1:44" ht="13.5" customHeight="1" x14ac:dyDescent="0.3">
      <c r="A23" s="382"/>
      <c r="D23" s="291"/>
      <c r="E23" s="477"/>
      <c r="F23" s="477"/>
      <c r="G23" s="272"/>
      <c r="K23" s="382"/>
      <c r="L23" s="382"/>
      <c r="M23" s="382"/>
      <c r="N23" s="382"/>
      <c r="O23" s="382"/>
      <c r="P23" s="382"/>
      <c r="Q23" s="382"/>
      <c r="R23" s="382"/>
      <c r="S23" s="585"/>
      <c r="T23" s="585"/>
      <c r="U23" s="382"/>
      <c r="V23" s="382"/>
      <c r="W23" s="382"/>
      <c r="X23" s="382"/>
      <c r="Y23" s="382"/>
      <c r="Z23" s="382"/>
      <c r="AA23" s="382"/>
      <c r="AB23" s="382"/>
      <c r="AC23" s="382"/>
      <c r="AD23" s="382"/>
      <c r="AE23" s="382"/>
      <c r="AF23" s="382"/>
      <c r="AG23" s="382"/>
      <c r="AH23" s="382"/>
      <c r="AI23" s="382"/>
      <c r="AJ23" s="382"/>
      <c r="AK23" s="382"/>
      <c r="AL23" s="382"/>
      <c r="AM23" s="382"/>
      <c r="AN23" s="382"/>
      <c r="AO23" s="382"/>
      <c r="AP23" s="382"/>
      <c r="AQ23" s="382"/>
      <c r="AR23" s="382"/>
    </row>
    <row r="24" spans="1:44" ht="13.5" customHeight="1" x14ac:dyDescent="0.3">
      <c r="A24" s="382"/>
      <c r="C24" s="478"/>
      <c r="D24" s="479"/>
      <c r="E24" s="480"/>
      <c r="F24" s="480"/>
      <c r="G24" s="480"/>
      <c r="K24" s="382"/>
      <c r="L24" s="382"/>
      <c r="M24" s="382"/>
      <c r="N24" s="382"/>
      <c r="O24" s="382"/>
      <c r="P24" s="382"/>
      <c r="Q24" s="382"/>
      <c r="R24" s="382"/>
      <c r="S24" s="585"/>
      <c r="T24" s="585"/>
      <c r="U24" s="382"/>
      <c r="V24" s="382"/>
      <c r="W24" s="382"/>
      <c r="X24" s="382"/>
      <c r="Y24" s="382"/>
      <c r="Z24" s="382"/>
      <c r="AA24" s="382"/>
      <c r="AB24" s="382"/>
      <c r="AC24" s="382"/>
      <c r="AD24" s="382"/>
      <c r="AE24" s="382"/>
      <c r="AF24" s="382"/>
      <c r="AG24" s="382"/>
      <c r="AH24" s="382"/>
      <c r="AI24" s="382"/>
      <c r="AJ24" s="382"/>
      <c r="AK24" s="382"/>
      <c r="AL24" s="382"/>
      <c r="AM24" s="382"/>
      <c r="AN24" s="382"/>
      <c r="AO24" s="382"/>
      <c r="AP24" s="382"/>
      <c r="AQ24" s="382"/>
      <c r="AR24" s="382"/>
    </row>
    <row r="25" spans="1:44" ht="13.5" customHeight="1" x14ac:dyDescent="0.3">
      <c r="A25" s="382"/>
      <c r="C25" s="478"/>
      <c r="D25" s="479"/>
      <c r="E25" s="480"/>
      <c r="F25" s="480"/>
      <c r="G25" s="480"/>
      <c r="K25" s="382"/>
      <c r="L25" s="382"/>
      <c r="M25" s="382"/>
      <c r="N25" s="382"/>
      <c r="O25" s="382"/>
      <c r="P25" s="382"/>
      <c r="Q25" s="382"/>
      <c r="R25" s="382"/>
      <c r="S25" s="585"/>
      <c r="T25" s="585"/>
      <c r="U25" s="382"/>
      <c r="V25" s="382"/>
      <c r="W25" s="382"/>
      <c r="X25" s="382"/>
      <c r="Y25" s="382"/>
      <c r="Z25" s="382"/>
      <c r="AA25" s="382"/>
      <c r="AB25" s="382"/>
      <c r="AC25" s="382"/>
      <c r="AD25" s="382"/>
      <c r="AE25" s="382"/>
      <c r="AF25" s="382"/>
      <c r="AG25" s="382"/>
      <c r="AH25" s="382"/>
      <c r="AI25" s="382"/>
      <c r="AJ25" s="382"/>
      <c r="AK25" s="382"/>
      <c r="AL25" s="382"/>
      <c r="AM25" s="382"/>
      <c r="AN25" s="382"/>
      <c r="AO25" s="382"/>
      <c r="AP25" s="382"/>
      <c r="AQ25" s="382"/>
      <c r="AR25" s="382"/>
    </row>
    <row r="26" spans="1:44" ht="13.5" customHeight="1" x14ac:dyDescent="0.3">
      <c r="A26" s="382"/>
      <c r="C26" s="478"/>
      <c r="D26" s="479"/>
      <c r="E26" s="480"/>
      <c r="F26" s="480"/>
      <c r="G26" s="480"/>
      <c r="K26" s="382"/>
      <c r="L26" s="382"/>
      <c r="M26" s="382"/>
      <c r="N26" s="382"/>
      <c r="O26" s="382"/>
      <c r="P26" s="382"/>
      <c r="Q26" s="382"/>
      <c r="R26" s="382"/>
      <c r="S26" s="585"/>
      <c r="T26" s="585"/>
      <c r="U26" s="382"/>
      <c r="V26" s="382"/>
      <c r="W26" s="382"/>
      <c r="X26" s="382"/>
      <c r="Y26" s="382"/>
      <c r="Z26" s="382"/>
      <c r="AA26" s="382"/>
      <c r="AB26" s="382"/>
      <c r="AC26" s="382"/>
      <c r="AD26" s="382"/>
      <c r="AE26" s="382"/>
      <c r="AF26" s="382"/>
      <c r="AG26" s="382"/>
      <c r="AH26" s="382"/>
      <c r="AI26" s="382"/>
      <c r="AJ26" s="382"/>
      <c r="AK26" s="382"/>
      <c r="AL26" s="382"/>
      <c r="AM26" s="382"/>
      <c r="AN26" s="382"/>
      <c r="AO26" s="382"/>
      <c r="AP26" s="382"/>
      <c r="AQ26" s="382"/>
      <c r="AR26" s="382"/>
    </row>
    <row r="27" spans="1:44" ht="13.5" customHeight="1" x14ac:dyDescent="0.3">
      <c r="A27" s="382"/>
      <c r="C27" s="478"/>
      <c r="D27" s="479"/>
      <c r="E27" s="480"/>
      <c r="F27" s="480"/>
      <c r="G27" s="480"/>
      <c r="K27" s="382"/>
      <c r="L27" s="382"/>
      <c r="M27" s="382"/>
      <c r="N27" s="382"/>
      <c r="O27" s="382"/>
      <c r="P27" s="382"/>
      <c r="Q27" s="382"/>
      <c r="R27" s="382"/>
      <c r="S27" s="585"/>
      <c r="T27" s="590"/>
      <c r="U27" s="382"/>
      <c r="V27" s="382"/>
      <c r="W27" s="382"/>
      <c r="X27" s="382"/>
      <c r="Y27" s="382"/>
      <c r="Z27" s="382"/>
      <c r="AA27" s="382"/>
      <c r="AB27" s="382"/>
      <c r="AC27" s="382"/>
      <c r="AD27" s="382"/>
      <c r="AE27" s="382"/>
      <c r="AF27" s="382"/>
      <c r="AG27" s="382"/>
      <c r="AH27" s="382"/>
      <c r="AI27" s="382"/>
      <c r="AJ27" s="382"/>
      <c r="AK27" s="382"/>
      <c r="AL27" s="382"/>
      <c r="AM27" s="382"/>
      <c r="AN27" s="382"/>
      <c r="AO27" s="382"/>
      <c r="AP27" s="382"/>
      <c r="AQ27" s="382"/>
      <c r="AR27" s="382"/>
    </row>
    <row r="28" spans="1:44" ht="13.5" customHeight="1" x14ac:dyDescent="0.3">
      <c r="A28" s="382"/>
      <c r="C28" s="478"/>
      <c r="D28" s="479"/>
      <c r="E28" s="480"/>
      <c r="F28" s="480"/>
      <c r="G28" s="480"/>
      <c r="K28" s="382"/>
      <c r="L28" s="382"/>
      <c r="M28" s="382"/>
      <c r="N28" s="382"/>
      <c r="O28" s="382"/>
      <c r="P28" s="382"/>
      <c r="Q28" s="382"/>
      <c r="R28" s="382"/>
      <c r="S28" s="382"/>
      <c r="T28" s="382"/>
      <c r="U28" s="382"/>
      <c r="V28" s="382"/>
      <c r="W28" s="382"/>
      <c r="X28" s="382"/>
      <c r="Y28" s="382"/>
      <c r="Z28" s="382"/>
      <c r="AA28" s="382"/>
      <c r="AB28" s="382"/>
      <c r="AC28" s="382"/>
      <c r="AD28" s="382"/>
      <c r="AE28" s="382"/>
      <c r="AF28" s="382"/>
      <c r="AG28" s="382"/>
      <c r="AH28" s="382"/>
      <c r="AI28" s="382"/>
      <c r="AJ28" s="382"/>
      <c r="AK28" s="382"/>
      <c r="AL28" s="382"/>
      <c r="AM28" s="382"/>
      <c r="AN28" s="382"/>
      <c r="AO28" s="382"/>
      <c r="AP28" s="382"/>
      <c r="AQ28" s="382"/>
      <c r="AR28" s="382"/>
    </row>
    <row r="29" spans="1:44" ht="13.5" customHeight="1" x14ac:dyDescent="0.3">
      <c r="A29" s="382"/>
      <c r="C29" s="478"/>
      <c r="D29" s="479"/>
      <c r="E29" s="480"/>
      <c r="F29" s="480"/>
      <c r="G29" s="480"/>
      <c r="K29" s="382"/>
      <c r="L29" s="382"/>
      <c r="M29" s="382"/>
      <c r="N29" s="382"/>
      <c r="O29" s="382"/>
      <c r="P29" s="382"/>
      <c r="Q29" s="382"/>
      <c r="R29" s="382"/>
      <c r="S29" s="382"/>
      <c r="T29" s="382"/>
      <c r="U29" s="382"/>
      <c r="V29" s="382"/>
      <c r="W29" s="382"/>
      <c r="X29" s="382"/>
      <c r="Y29" s="382"/>
      <c r="Z29" s="382"/>
      <c r="AA29" s="382"/>
      <c r="AB29" s="382"/>
      <c r="AC29" s="382"/>
      <c r="AD29" s="382"/>
      <c r="AE29" s="382"/>
      <c r="AF29" s="382"/>
      <c r="AG29" s="382"/>
      <c r="AH29" s="382"/>
      <c r="AI29" s="382"/>
      <c r="AJ29" s="382"/>
      <c r="AK29" s="382"/>
      <c r="AL29" s="382"/>
      <c r="AM29" s="382"/>
      <c r="AN29" s="382"/>
      <c r="AO29" s="382"/>
      <c r="AP29" s="382"/>
      <c r="AQ29" s="382"/>
      <c r="AR29" s="382"/>
    </row>
    <row r="30" spans="1:44" ht="13.5" customHeight="1" x14ac:dyDescent="0.3">
      <c r="A30" s="382"/>
      <c r="C30" s="291"/>
      <c r="K30" s="382"/>
      <c r="L30" s="382"/>
      <c r="M30" s="382"/>
      <c r="N30" s="382"/>
      <c r="O30" s="382"/>
      <c r="P30" s="382"/>
      <c r="Q30" s="382"/>
      <c r="R30" s="382"/>
      <c r="S30" s="382"/>
      <c r="T30" s="382"/>
      <c r="U30" s="382"/>
      <c r="V30" s="382"/>
      <c r="W30" s="382"/>
      <c r="X30" s="382"/>
      <c r="Y30" s="382"/>
      <c r="Z30" s="382"/>
      <c r="AA30" s="382"/>
      <c r="AB30" s="382"/>
      <c r="AC30" s="382"/>
      <c r="AD30" s="382"/>
      <c r="AE30" s="382"/>
      <c r="AF30" s="382"/>
      <c r="AG30" s="382"/>
      <c r="AH30" s="382"/>
      <c r="AI30" s="382"/>
      <c r="AJ30" s="382"/>
      <c r="AK30" s="382"/>
      <c r="AL30" s="382"/>
      <c r="AM30" s="382"/>
      <c r="AN30" s="382"/>
      <c r="AO30" s="382"/>
      <c r="AP30" s="382"/>
      <c r="AQ30" s="382"/>
      <c r="AR30" s="382"/>
    </row>
    <row r="31" spans="1:44" ht="13.5" customHeight="1" x14ac:dyDescent="0.3">
      <c r="A31" s="382"/>
      <c r="C31" s="291"/>
      <c r="K31" s="382"/>
      <c r="L31" s="382"/>
      <c r="M31" s="382"/>
      <c r="N31" s="382"/>
      <c r="O31" s="382"/>
      <c r="P31" s="382"/>
      <c r="Q31" s="382"/>
      <c r="R31" s="382"/>
      <c r="S31" s="382"/>
      <c r="T31" s="382"/>
      <c r="U31" s="382"/>
      <c r="V31" s="382"/>
      <c r="W31" s="382"/>
      <c r="X31" s="382"/>
      <c r="Y31" s="382"/>
      <c r="Z31" s="382"/>
      <c r="AA31" s="382"/>
      <c r="AB31" s="382"/>
      <c r="AC31" s="382"/>
      <c r="AD31" s="382"/>
      <c r="AE31" s="382"/>
      <c r="AF31" s="382"/>
      <c r="AG31" s="382"/>
      <c r="AH31" s="382"/>
      <c r="AI31" s="382"/>
      <c r="AJ31" s="382"/>
      <c r="AK31" s="382"/>
      <c r="AL31" s="382"/>
      <c r="AM31" s="382"/>
      <c r="AN31" s="382"/>
      <c r="AO31" s="382"/>
      <c r="AP31" s="382"/>
      <c r="AQ31" s="382"/>
      <c r="AR31" s="382"/>
    </row>
    <row r="32" spans="1:44" ht="22.5" customHeight="1" x14ac:dyDescent="0.35">
      <c r="A32" s="382"/>
      <c r="C32" s="291"/>
      <c r="D32" s="488"/>
      <c r="E32" s="490"/>
      <c r="F32" s="491"/>
      <c r="K32" s="382"/>
      <c r="L32" s="382"/>
      <c r="M32" s="382"/>
      <c r="N32" s="382"/>
      <c r="O32" s="382"/>
      <c r="P32" s="382"/>
      <c r="Q32" s="591"/>
      <c r="R32" s="591"/>
      <c r="S32" s="591"/>
      <c r="T32" s="591"/>
      <c r="U32" s="591"/>
      <c r="V32" s="591"/>
      <c r="W32" s="591"/>
      <c r="X32" s="382"/>
      <c r="Y32" s="382"/>
      <c r="Z32" s="382"/>
      <c r="AA32" s="382"/>
      <c r="AB32" s="382"/>
      <c r="AC32" s="382"/>
      <c r="AD32" s="382"/>
      <c r="AE32" s="382"/>
      <c r="AF32" s="382"/>
      <c r="AG32" s="382"/>
      <c r="AH32" s="382"/>
      <c r="AI32" s="382"/>
      <c r="AJ32" s="382"/>
      <c r="AK32" s="382"/>
      <c r="AL32" s="382"/>
      <c r="AM32" s="382"/>
      <c r="AN32" s="382"/>
      <c r="AO32" s="382"/>
      <c r="AP32" s="382"/>
      <c r="AQ32" s="382"/>
      <c r="AR32" s="382"/>
    </row>
    <row r="33" spans="1:44" ht="14.5" x14ac:dyDescent="0.35">
      <c r="A33" s="382"/>
      <c r="C33" s="291"/>
      <c r="K33" s="382"/>
      <c r="L33" s="382"/>
      <c r="M33" s="382"/>
      <c r="N33" s="382"/>
      <c r="O33" s="382"/>
      <c r="P33" s="382"/>
      <c r="Q33" s="591"/>
      <c r="R33" s="591"/>
      <c r="S33" s="591"/>
      <c r="T33" s="591"/>
      <c r="U33" s="591"/>
      <c r="V33" s="591"/>
      <c r="W33" s="591"/>
      <c r="X33" s="382"/>
      <c r="Y33" s="382"/>
      <c r="Z33" s="382"/>
      <c r="AA33" s="382"/>
      <c r="AB33" s="382"/>
      <c r="AC33" s="382"/>
      <c r="AD33" s="382"/>
      <c r="AE33" s="382"/>
      <c r="AF33" s="382"/>
      <c r="AG33" s="382"/>
      <c r="AH33" s="382"/>
      <c r="AI33" s="382"/>
      <c r="AJ33" s="382"/>
      <c r="AK33" s="382"/>
      <c r="AL33" s="382"/>
      <c r="AM33" s="382"/>
      <c r="AN33" s="382"/>
      <c r="AO33" s="382"/>
      <c r="AP33" s="382"/>
      <c r="AQ33" s="382"/>
      <c r="AR33" s="382"/>
    </row>
    <row r="34" spans="1:44" ht="13.5" customHeight="1" x14ac:dyDescent="0.35">
      <c r="A34" s="382"/>
      <c r="C34" s="291"/>
      <c r="K34" s="382"/>
      <c r="L34" s="382"/>
      <c r="M34" s="382"/>
      <c r="N34" s="382"/>
      <c r="O34" s="382"/>
      <c r="P34" s="382"/>
      <c r="Q34" s="591"/>
      <c r="R34" s="591"/>
      <c r="S34" s="591"/>
      <c r="T34" s="591"/>
      <c r="U34" s="591"/>
      <c r="V34" s="591"/>
      <c r="W34" s="591"/>
      <c r="X34" s="382"/>
      <c r="Y34" s="382"/>
      <c r="Z34" s="382"/>
      <c r="AA34" s="382"/>
      <c r="AB34" s="382"/>
      <c r="AC34" s="382"/>
      <c r="AD34" s="382"/>
      <c r="AE34" s="382"/>
      <c r="AF34" s="382"/>
      <c r="AG34" s="382"/>
      <c r="AH34" s="382"/>
      <c r="AI34" s="382"/>
      <c r="AJ34" s="382"/>
      <c r="AK34" s="382"/>
      <c r="AL34" s="382"/>
      <c r="AM34" s="382"/>
      <c r="AN34" s="382"/>
      <c r="AO34" s="382"/>
      <c r="AP34" s="382"/>
      <c r="AQ34" s="382"/>
      <c r="AR34" s="382"/>
    </row>
    <row r="35" spans="1:44" ht="13.5" customHeight="1" x14ac:dyDescent="0.35">
      <c r="A35" s="382"/>
      <c r="C35" s="291"/>
      <c r="K35" s="382"/>
      <c r="L35" s="382"/>
      <c r="M35" s="382"/>
      <c r="N35" s="382"/>
      <c r="O35" s="382"/>
      <c r="P35" s="382"/>
      <c r="Q35" s="591"/>
      <c r="R35" s="591"/>
      <c r="S35" s="591"/>
      <c r="T35" s="591"/>
      <c r="U35" s="591"/>
      <c r="V35" s="591"/>
      <c r="W35" s="591"/>
      <c r="X35" s="382"/>
      <c r="Y35" s="382"/>
      <c r="Z35" s="382"/>
      <c r="AA35" s="382"/>
      <c r="AB35" s="382"/>
      <c r="AC35" s="382"/>
      <c r="AD35" s="382"/>
      <c r="AE35" s="382"/>
      <c r="AF35" s="382"/>
      <c r="AG35" s="382"/>
      <c r="AH35" s="382"/>
      <c r="AI35" s="382"/>
      <c r="AJ35" s="382"/>
      <c r="AK35" s="382"/>
      <c r="AL35" s="382"/>
      <c r="AM35" s="382"/>
      <c r="AN35" s="382"/>
      <c r="AO35" s="382"/>
      <c r="AP35" s="382"/>
      <c r="AQ35" s="382"/>
      <c r="AR35" s="382"/>
    </row>
    <row r="36" spans="1:44" ht="13.5" customHeight="1" x14ac:dyDescent="0.35">
      <c r="A36" s="382"/>
      <c r="C36" s="291"/>
      <c r="K36" s="382"/>
      <c r="L36" s="382"/>
      <c r="M36" s="382"/>
      <c r="N36" s="382"/>
      <c r="O36" s="382"/>
      <c r="P36" s="382"/>
      <c r="Q36" s="591"/>
      <c r="R36" s="591"/>
      <c r="S36" s="591"/>
      <c r="T36" s="591"/>
      <c r="U36" s="591"/>
      <c r="V36" s="591"/>
      <c r="W36" s="591"/>
      <c r="X36" s="382"/>
      <c r="Y36" s="382"/>
      <c r="Z36" s="382"/>
      <c r="AA36" s="382"/>
      <c r="AB36" s="382"/>
      <c r="AC36" s="382"/>
      <c r="AD36" s="382"/>
      <c r="AE36" s="382"/>
      <c r="AF36" s="382"/>
      <c r="AG36" s="382"/>
      <c r="AH36" s="382"/>
      <c r="AI36" s="382"/>
      <c r="AJ36" s="382"/>
      <c r="AK36" s="382"/>
      <c r="AL36" s="382"/>
      <c r="AM36" s="382"/>
      <c r="AN36" s="382"/>
      <c r="AO36" s="382"/>
      <c r="AP36" s="382"/>
      <c r="AQ36" s="382"/>
      <c r="AR36" s="382"/>
    </row>
    <row r="37" spans="1:44" ht="13.5" customHeight="1" x14ac:dyDescent="0.35">
      <c r="A37" s="382"/>
      <c r="C37" s="291"/>
      <c r="D37" s="482"/>
      <c r="E37" s="483"/>
      <c r="F37" s="484"/>
      <c r="K37" s="382"/>
      <c r="L37" s="382"/>
      <c r="M37" s="382"/>
      <c r="N37" s="382"/>
      <c r="O37" s="382"/>
      <c r="P37" s="382"/>
      <c r="Q37" s="591"/>
      <c r="R37" s="591"/>
      <c r="S37" s="591"/>
      <c r="T37" s="591"/>
      <c r="U37" s="591"/>
      <c r="V37" s="591"/>
      <c r="W37" s="591"/>
      <c r="X37" s="382"/>
      <c r="Y37" s="382"/>
      <c r="Z37" s="382"/>
      <c r="AA37" s="382"/>
      <c r="AB37" s="382"/>
      <c r="AC37" s="382"/>
      <c r="AD37" s="382"/>
      <c r="AE37" s="382"/>
      <c r="AF37" s="382"/>
      <c r="AG37" s="382"/>
      <c r="AH37" s="382"/>
      <c r="AI37" s="382"/>
      <c r="AJ37" s="382"/>
      <c r="AK37" s="382"/>
      <c r="AL37" s="382"/>
      <c r="AM37" s="382"/>
      <c r="AN37" s="382"/>
      <c r="AO37" s="382"/>
      <c r="AP37" s="382"/>
      <c r="AQ37" s="382"/>
      <c r="AR37" s="382"/>
    </row>
    <row r="38" spans="1:44" ht="13.5" customHeight="1" x14ac:dyDescent="0.35">
      <c r="A38" s="382"/>
      <c r="C38" s="291"/>
      <c r="D38" s="482"/>
      <c r="E38" s="483"/>
      <c r="F38" s="484"/>
      <c r="K38" s="382"/>
      <c r="L38" s="382"/>
      <c r="M38" s="382"/>
      <c r="N38" s="382"/>
      <c r="O38" s="382"/>
      <c r="P38" s="382"/>
      <c r="Q38" s="591"/>
      <c r="R38" s="591"/>
      <c r="S38" s="591"/>
      <c r="T38" s="591"/>
      <c r="U38" s="591"/>
      <c r="V38" s="591"/>
      <c r="W38" s="591"/>
      <c r="X38" s="382"/>
      <c r="Y38" s="382"/>
      <c r="Z38" s="382"/>
      <c r="AA38" s="382"/>
      <c r="AB38" s="382"/>
      <c r="AC38" s="382"/>
      <c r="AD38" s="382"/>
      <c r="AE38" s="382"/>
      <c r="AF38" s="382"/>
      <c r="AG38" s="382"/>
      <c r="AH38" s="382"/>
      <c r="AI38" s="382"/>
      <c r="AJ38" s="382"/>
      <c r="AK38" s="382"/>
      <c r="AL38" s="382"/>
      <c r="AM38" s="382"/>
      <c r="AN38" s="382"/>
      <c r="AO38" s="382"/>
      <c r="AP38" s="382"/>
      <c r="AQ38" s="382"/>
      <c r="AR38" s="382"/>
    </row>
    <row r="39" spans="1:44" ht="13.5" customHeight="1" x14ac:dyDescent="0.35">
      <c r="A39" s="382"/>
      <c r="C39" s="291"/>
      <c r="D39" s="482"/>
      <c r="E39" s="483"/>
      <c r="F39" s="484"/>
      <c r="K39" s="382"/>
      <c r="L39" s="382"/>
      <c r="M39" s="382"/>
      <c r="N39" s="382"/>
      <c r="O39" s="382"/>
      <c r="P39" s="382"/>
      <c r="Q39" s="591"/>
      <c r="R39" s="591"/>
      <c r="S39" s="591"/>
      <c r="T39" s="591"/>
      <c r="U39" s="591"/>
      <c r="V39" s="591"/>
      <c r="W39" s="591"/>
      <c r="X39" s="382"/>
      <c r="Y39" s="382"/>
      <c r="Z39" s="382"/>
      <c r="AA39" s="382"/>
      <c r="AB39" s="382"/>
      <c r="AC39" s="382"/>
      <c r="AD39" s="382"/>
      <c r="AE39" s="382"/>
      <c r="AF39" s="382"/>
      <c r="AG39" s="382"/>
      <c r="AH39" s="382"/>
      <c r="AI39" s="382"/>
      <c r="AJ39" s="382"/>
      <c r="AK39" s="382"/>
      <c r="AL39" s="382"/>
      <c r="AM39" s="382"/>
      <c r="AN39" s="382"/>
      <c r="AO39" s="382"/>
      <c r="AP39" s="382"/>
      <c r="AQ39" s="382"/>
      <c r="AR39" s="382"/>
    </row>
    <row r="40" spans="1:44" ht="14.15" customHeight="1" x14ac:dyDescent="0.35">
      <c r="A40" s="382"/>
      <c r="D40" s="482"/>
      <c r="E40" s="483"/>
      <c r="F40" s="485"/>
      <c r="G40" s="257"/>
      <c r="K40" s="382"/>
      <c r="L40" s="382"/>
      <c r="M40" s="382"/>
      <c r="N40" s="382"/>
      <c r="O40" s="382"/>
      <c r="P40" s="382"/>
      <c r="Q40" s="591"/>
      <c r="R40" s="591"/>
      <c r="S40" s="591"/>
      <c r="T40" s="591"/>
      <c r="U40" s="591"/>
      <c r="V40" s="591"/>
      <c r="W40" s="591"/>
      <c r="X40" s="382"/>
      <c r="Y40" s="382"/>
      <c r="Z40" s="382"/>
      <c r="AA40" s="382"/>
      <c r="AB40" s="382"/>
      <c r="AC40" s="382"/>
      <c r="AD40" s="382"/>
      <c r="AE40" s="382"/>
      <c r="AF40" s="382"/>
      <c r="AG40" s="382"/>
      <c r="AH40" s="382"/>
      <c r="AI40" s="382"/>
      <c r="AJ40" s="382"/>
      <c r="AK40" s="382"/>
      <c r="AL40" s="382"/>
      <c r="AM40" s="382"/>
      <c r="AN40" s="382"/>
      <c r="AO40" s="382"/>
      <c r="AP40" s="382"/>
      <c r="AQ40" s="382"/>
      <c r="AR40" s="382"/>
    </row>
    <row r="41" spans="1:44" ht="14.15" customHeight="1" x14ac:dyDescent="0.35">
      <c r="A41" s="382"/>
      <c r="F41" s="486"/>
      <c r="K41" s="382"/>
      <c r="L41" s="382"/>
      <c r="M41" s="382"/>
      <c r="N41" s="382"/>
      <c r="O41" s="382"/>
      <c r="P41" s="382"/>
      <c r="Q41" s="591"/>
      <c r="R41" s="591"/>
      <c r="S41" s="591"/>
      <c r="T41" s="591"/>
      <c r="U41" s="591"/>
      <c r="V41" s="591"/>
      <c r="W41" s="591"/>
      <c r="X41" s="382"/>
      <c r="Y41" s="382"/>
      <c r="Z41" s="382"/>
      <c r="AA41" s="382"/>
      <c r="AB41" s="382"/>
      <c r="AC41" s="382"/>
      <c r="AD41" s="382"/>
      <c r="AE41" s="382"/>
      <c r="AF41" s="382"/>
      <c r="AG41" s="382"/>
      <c r="AH41" s="382"/>
      <c r="AI41" s="382"/>
      <c r="AJ41" s="382"/>
      <c r="AK41" s="382"/>
      <c r="AL41" s="382"/>
      <c r="AM41" s="382"/>
      <c r="AN41" s="382"/>
      <c r="AO41" s="382"/>
      <c r="AP41" s="382"/>
      <c r="AQ41" s="382"/>
      <c r="AR41" s="382"/>
    </row>
    <row r="42" spans="1:44" ht="19.5" customHeight="1" x14ac:dyDescent="0.35">
      <c r="A42" s="382"/>
      <c r="D42" s="488"/>
      <c r="F42" s="486"/>
      <c r="G42" s="481"/>
      <c r="K42" s="382"/>
      <c r="L42" s="382"/>
      <c r="M42" s="382"/>
      <c r="N42" s="382"/>
      <c r="O42" s="382"/>
      <c r="P42" s="382"/>
      <c r="Q42" s="591"/>
      <c r="R42" s="591"/>
      <c r="S42" s="591"/>
      <c r="T42" s="591"/>
      <c r="U42" s="591"/>
      <c r="V42" s="591"/>
      <c r="W42" s="591"/>
      <c r="X42" s="382"/>
      <c r="Y42" s="382"/>
      <c r="Z42" s="382"/>
      <c r="AA42" s="382"/>
      <c r="AB42" s="382"/>
      <c r="AC42" s="382"/>
      <c r="AD42" s="382"/>
      <c r="AE42" s="382"/>
      <c r="AF42" s="382"/>
      <c r="AG42" s="382"/>
      <c r="AH42" s="382"/>
      <c r="AI42" s="382"/>
      <c r="AJ42" s="382"/>
      <c r="AK42" s="382"/>
      <c r="AL42" s="382"/>
      <c r="AM42" s="382"/>
      <c r="AN42" s="382"/>
      <c r="AO42" s="382"/>
      <c r="AP42" s="382"/>
      <c r="AQ42" s="382"/>
      <c r="AR42" s="382"/>
    </row>
    <row r="43" spans="1:44" ht="14.15" customHeight="1" x14ac:dyDescent="0.35">
      <c r="A43" s="382"/>
      <c r="F43" s="486"/>
      <c r="K43" s="382"/>
      <c r="L43" s="382"/>
      <c r="M43" s="382"/>
      <c r="N43" s="382"/>
      <c r="O43" s="382"/>
      <c r="P43" s="382"/>
      <c r="Q43" s="591"/>
      <c r="R43" s="591"/>
      <c r="S43" s="591"/>
      <c r="T43" s="591"/>
      <c r="U43" s="591"/>
      <c r="V43" s="591"/>
      <c r="W43" s="591"/>
      <c r="X43" s="382"/>
      <c r="Y43" s="382"/>
      <c r="Z43" s="382"/>
      <c r="AA43" s="382"/>
      <c r="AB43" s="382"/>
      <c r="AC43" s="382"/>
      <c r="AD43" s="382"/>
      <c r="AE43" s="382"/>
      <c r="AF43" s="382"/>
      <c r="AG43" s="382"/>
      <c r="AH43" s="382"/>
      <c r="AI43" s="382"/>
      <c r="AJ43" s="382"/>
      <c r="AK43" s="382"/>
      <c r="AL43" s="382"/>
      <c r="AM43" s="382"/>
      <c r="AN43" s="382"/>
      <c r="AO43" s="382"/>
      <c r="AP43" s="382"/>
      <c r="AQ43" s="382"/>
      <c r="AR43" s="382"/>
    </row>
    <row r="44" spans="1:44" ht="14.15" customHeight="1" x14ac:dyDescent="0.35">
      <c r="A44" s="382"/>
      <c r="F44" s="486"/>
      <c r="K44" s="382"/>
      <c r="L44" s="382"/>
      <c r="M44" s="382"/>
      <c r="N44" s="382"/>
      <c r="O44" s="382"/>
      <c r="P44" s="382"/>
      <c r="Q44" s="591"/>
      <c r="R44" s="591"/>
      <c r="S44" s="591"/>
      <c r="T44" s="591"/>
      <c r="U44" s="591"/>
      <c r="V44" s="591"/>
      <c r="W44" s="591"/>
      <c r="X44" s="382"/>
      <c r="Y44" s="382"/>
      <c r="Z44" s="382"/>
      <c r="AA44" s="382"/>
      <c r="AB44" s="382"/>
      <c r="AC44" s="382"/>
      <c r="AD44" s="382"/>
      <c r="AE44" s="382"/>
      <c r="AF44" s="382"/>
      <c r="AG44" s="382"/>
      <c r="AH44" s="382"/>
      <c r="AI44" s="382"/>
      <c r="AJ44" s="382"/>
      <c r="AK44" s="382"/>
      <c r="AL44" s="382"/>
      <c r="AM44" s="382"/>
      <c r="AN44" s="382"/>
      <c r="AO44" s="382"/>
      <c r="AP44" s="382"/>
      <c r="AQ44" s="382"/>
      <c r="AR44" s="382"/>
    </row>
    <row r="45" spans="1:44" ht="14.15" customHeight="1" x14ac:dyDescent="0.35">
      <c r="A45" s="382"/>
      <c r="E45" s="276"/>
      <c r="H45" s="327"/>
      <c r="K45" s="382"/>
      <c r="L45" s="382"/>
      <c r="M45" s="382"/>
      <c r="N45" s="382"/>
      <c r="O45" s="382"/>
      <c r="P45" s="382"/>
      <c r="Q45" s="591"/>
      <c r="R45" s="591"/>
      <c r="S45" s="591"/>
      <c r="T45" s="591"/>
      <c r="U45" s="591"/>
      <c r="V45" s="591"/>
      <c r="W45" s="591"/>
      <c r="X45" s="382"/>
      <c r="Y45" s="382"/>
      <c r="Z45" s="382"/>
      <c r="AA45" s="382"/>
      <c r="AB45" s="382"/>
      <c r="AC45" s="382"/>
      <c r="AD45" s="382"/>
      <c r="AE45" s="382"/>
      <c r="AF45" s="382"/>
      <c r="AG45" s="382"/>
      <c r="AH45" s="382"/>
      <c r="AI45" s="382"/>
      <c r="AJ45" s="382"/>
      <c r="AK45" s="382"/>
      <c r="AL45" s="382"/>
      <c r="AM45" s="382"/>
      <c r="AN45" s="382"/>
      <c r="AO45" s="382"/>
      <c r="AP45" s="382"/>
      <c r="AQ45" s="382"/>
      <c r="AR45" s="382"/>
    </row>
    <row r="46" spans="1:44" ht="13.5" customHeight="1" x14ac:dyDescent="0.35">
      <c r="A46" s="382"/>
      <c r="K46" s="382"/>
      <c r="L46" s="382"/>
      <c r="M46" s="382"/>
      <c r="N46" s="382"/>
      <c r="O46" s="382"/>
      <c r="P46" s="382"/>
      <c r="Q46" s="591"/>
      <c r="R46" s="591"/>
      <c r="S46" s="591"/>
      <c r="T46" s="591"/>
      <c r="U46" s="591"/>
      <c r="V46" s="591"/>
      <c r="W46" s="591"/>
      <c r="X46" s="382"/>
      <c r="Y46" s="382"/>
      <c r="Z46" s="382"/>
      <c r="AA46" s="382"/>
      <c r="AB46" s="382"/>
      <c r="AC46" s="382"/>
      <c r="AD46" s="382"/>
      <c r="AE46" s="382"/>
      <c r="AF46" s="382"/>
      <c r="AG46" s="382"/>
      <c r="AH46" s="382"/>
      <c r="AI46" s="382"/>
      <c r="AJ46" s="382"/>
      <c r="AK46" s="382"/>
      <c r="AL46" s="382"/>
      <c r="AM46" s="382"/>
      <c r="AN46" s="382"/>
      <c r="AO46" s="382"/>
      <c r="AP46" s="382"/>
      <c r="AQ46" s="382"/>
      <c r="AR46" s="382"/>
    </row>
    <row r="47" spans="1:44" ht="13.5" customHeight="1" x14ac:dyDescent="0.35">
      <c r="A47" s="382"/>
      <c r="E47" s="276"/>
      <c r="H47" s="327"/>
      <c r="K47" s="382"/>
      <c r="L47" s="382"/>
      <c r="M47" s="382"/>
      <c r="N47" s="382"/>
      <c r="O47" s="382"/>
      <c r="P47" s="382"/>
      <c r="Q47" s="591"/>
      <c r="R47" s="591"/>
      <c r="S47" s="591"/>
      <c r="T47" s="591"/>
      <c r="U47" s="591"/>
      <c r="V47" s="591"/>
      <c r="W47" s="591"/>
      <c r="X47" s="382"/>
      <c r="Y47" s="382"/>
      <c r="Z47" s="382"/>
      <c r="AA47" s="382"/>
      <c r="AB47" s="382"/>
      <c r="AC47" s="382"/>
      <c r="AD47" s="382"/>
      <c r="AE47" s="382"/>
      <c r="AF47" s="382"/>
      <c r="AG47" s="382"/>
      <c r="AH47" s="382"/>
      <c r="AI47" s="382"/>
      <c r="AJ47" s="382"/>
      <c r="AK47" s="382"/>
      <c r="AL47" s="382"/>
      <c r="AM47" s="382"/>
      <c r="AN47" s="382"/>
      <c r="AO47" s="382"/>
      <c r="AP47" s="382"/>
      <c r="AQ47" s="382"/>
      <c r="AR47" s="382"/>
    </row>
    <row r="48" spans="1:44" ht="9" customHeight="1" x14ac:dyDescent="0.25">
      <c r="A48" s="382"/>
      <c r="K48" s="382"/>
      <c r="L48" s="382"/>
      <c r="M48" s="382"/>
      <c r="N48" s="382"/>
      <c r="O48" s="382"/>
      <c r="P48" s="382"/>
      <c r="Q48" s="382"/>
      <c r="R48" s="382"/>
      <c r="S48" s="382"/>
      <c r="T48" s="382"/>
      <c r="U48" s="382"/>
      <c r="V48" s="382"/>
      <c r="W48" s="382"/>
      <c r="X48" s="382"/>
      <c r="Y48" s="382"/>
      <c r="Z48" s="382"/>
      <c r="AA48" s="382"/>
      <c r="AB48" s="382"/>
      <c r="AC48" s="382"/>
      <c r="AD48" s="382"/>
      <c r="AE48" s="382"/>
      <c r="AF48" s="382"/>
      <c r="AG48" s="382"/>
      <c r="AH48" s="382"/>
      <c r="AI48" s="382"/>
      <c r="AJ48" s="382"/>
      <c r="AK48" s="382"/>
      <c r="AL48" s="382"/>
      <c r="AM48" s="382"/>
      <c r="AN48" s="382"/>
      <c r="AO48" s="382"/>
      <c r="AP48" s="382"/>
      <c r="AQ48" s="382"/>
      <c r="AR48" s="382"/>
    </row>
    <row r="49" spans="1:44" ht="12.75" customHeight="1" x14ac:dyDescent="0.25">
      <c r="A49" s="382"/>
      <c r="C49" s="283"/>
      <c r="D49" s="283"/>
      <c r="E49" s="335"/>
      <c r="F49" s="335"/>
      <c r="G49" s="335"/>
      <c r="H49" s="283"/>
      <c r="I49" s="487"/>
      <c r="J49" s="283"/>
      <c r="K49" s="382"/>
      <c r="L49" s="382"/>
      <c r="M49" s="382"/>
      <c r="N49" s="382"/>
      <c r="O49" s="382"/>
      <c r="P49" s="382"/>
      <c r="Q49" s="382"/>
      <c r="R49" s="382"/>
      <c r="S49" s="382"/>
      <c r="T49" s="382"/>
      <c r="U49" s="382"/>
      <c r="V49" s="382"/>
      <c r="W49" s="382"/>
      <c r="X49" s="382"/>
      <c r="Y49" s="382"/>
      <c r="Z49" s="382"/>
      <c r="AA49" s="382"/>
      <c r="AB49" s="382"/>
      <c r="AC49" s="382"/>
      <c r="AD49" s="382"/>
      <c r="AE49" s="382"/>
      <c r="AF49" s="382"/>
      <c r="AG49" s="382"/>
      <c r="AH49" s="382"/>
      <c r="AI49" s="382"/>
      <c r="AJ49" s="382"/>
      <c r="AK49" s="382"/>
      <c r="AL49" s="382"/>
      <c r="AM49" s="382"/>
      <c r="AN49" s="382"/>
      <c r="AO49" s="382"/>
      <c r="AP49" s="382"/>
      <c r="AQ49" s="382"/>
      <c r="AR49" s="382"/>
    </row>
    <row r="50" spans="1:44" ht="11.25" customHeight="1" x14ac:dyDescent="0.25">
      <c r="A50" s="382"/>
      <c r="K50" s="382"/>
      <c r="L50" s="382"/>
      <c r="M50" s="382"/>
      <c r="N50" s="382"/>
      <c r="O50" s="382"/>
      <c r="P50" s="382"/>
      <c r="Q50" s="382"/>
      <c r="R50" s="382"/>
      <c r="S50" s="382"/>
      <c r="T50" s="382"/>
      <c r="U50" s="382"/>
      <c r="V50" s="382"/>
      <c r="W50" s="382"/>
      <c r="X50" s="382"/>
      <c r="Y50" s="382"/>
      <c r="Z50" s="382"/>
      <c r="AA50" s="382"/>
      <c r="AB50" s="382"/>
      <c r="AC50" s="382"/>
      <c r="AD50" s="382"/>
      <c r="AE50" s="382"/>
      <c r="AF50" s="382"/>
      <c r="AG50" s="382"/>
      <c r="AH50" s="382"/>
      <c r="AI50" s="382"/>
      <c r="AJ50" s="382"/>
      <c r="AK50" s="382"/>
      <c r="AL50" s="382"/>
      <c r="AM50" s="382"/>
      <c r="AN50" s="382"/>
      <c r="AO50" s="382"/>
      <c r="AP50" s="382"/>
      <c r="AQ50" s="382"/>
      <c r="AR50" s="382"/>
    </row>
    <row r="51" spans="1:44" ht="21" customHeight="1" x14ac:dyDescent="0.35">
      <c r="A51" s="382"/>
      <c r="D51" s="488"/>
      <c r="K51" s="382"/>
      <c r="L51" s="382"/>
      <c r="M51" s="382"/>
      <c r="N51" s="382"/>
      <c r="O51" s="382"/>
      <c r="P51" s="382"/>
      <c r="Q51" s="382"/>
      <c r="R51" s="382"/>
      <c r="S51" s="382"/>
      <c r="T51" s="382"/>
      <c r="U51" s="382"/>
      <c r="V51" s="382"/>
      <c r="W51" s="382"/>
      <c r="X51" s="382"/>
      <c r="Y51" s="382"/>
      <c r="Z51" s="382"/>
      <c r="AA51" s="382"/>
      <c r="AB51" s="382"/>
      <c r="AC51" s="382"/>
      <c r="AD51" s="382"/>
      <c r="AE51" s="382"/>
      <c r="AF51" s="382"/>
      <c r="AG51" s="382"/>
      <c r="AH51" s="382"/>
      <c r="AI51" s="382"/>
      <c r="AJ51" s="382"/>
      <c r="AK51" s="382"/>
      <c r="AL51" s="382"/>
      <c r="AM51" s="382"/>
      <c r="AN51" s="382"/>
      <c r="AO51" s="382"/>
      <c r="AP51" s="382"/>
      <c r="AQ51" s="382"/>
      <c r="AR51" s="382"/>
    </row>
    <row r="52" spans="1:44" ht="24" customHeight="1" x14ac:dyDescent="0.25">
      <c r="A52" s="382"/>
      <c r="K52" s="382"/>
      <c r="L52" s="382"/>
      <c r="M52" s="382"/>
      <c r="N52" s="382"/>
      <c r="O52" s="382"/>
      <c r="P52" s="382"/>
      <c r="Q52" s="382"/>
      <c r="R52" s="382"/>
      <c r="S52" s="382"/>
      <c r="T52" s="382"/>
      <c r="U52" s="382"/>
      <c r="V52" s="382"/>
      <c r="W52" s="382"/>
      <c r="X52" s="382"/>
      <c r="Y52" s="382"/>
      <c r="Z52" s="382"/>
      <c r="AA52" s="382"/>
      <c r="AB52" s="382"/>
      <c r="AC52" s="382"/>
      <c r="AD52" s="382"/>
      <c r="AE52" s="382"/>
      <c r="AF52" s="382"/>
      <c r="AG52" s="382"/>
      <c r="AH52" s="382"/>
      <c r="AI52" s="382"/>
      <c r="AJ52" s="382"/>
      <c r="AK52" s="382"/>
      <c r="AL52" s="382"/>
      <c r="AM52" s="382"/>
      <c r="AN52" s="382"/>
      <c r="AO52" s="382"/>
      <c r="AP52" s="382"/>
      <c r="AQ52" s="382"/>
      <c r="AR52" s="382"/>
    </row>
    <row r="53" spans="1:44" ht="12.75" customHeight="1" x14ac:dyDescent="0.25">
      <c r="A53" s="382"/>
      <c r="B53" s="382"/>
      <c r="C53" s="382"/>
      <c r="D53" s="382"/>
      <c r="E53" s="382"/>
      <c r="F53" s="382"/>
      <c r="G53" s="382"/>
      <c r="H53" s="382"/>
      <c r="I53" s="382"/>
      <c r="J53" s="382"/>
      <c r="K53" s="382"/>
      <c r="L53" s="382"/>
      <c r="M53" s="382"/>
      <c r="N53" s="382"/>
      <c r="O53" s="382"/>
      <c r="P53" s="382"/>
      <c r="Q53" s="382"/>
      <c r="R53" s="382"/>
      <c r="S53" s="382"/>
      <c r="T53" s="382"/>
      <c r="U53" s="382"/>
      <c r="V53" s="382"/>
      <c r="W53" s="382"/>
      <c r="X53" s="382"/>
      <c r="Y53" s="382"/>
      <c r="Z53" s="382"/>
      <c r="AA53" s="382"/>
      <c r="AB53" s="382"/>
      <c r="AC53" s="382"/>
      <c r="AD53" s="382"/>
      <c r="AE53" s="382"/>
      <c r="AF53" s="382"/>
      <c r="AG53" s="382"/>
      <c r="AH53" s="382"/>
      <c r="AI53" s="382"/>
      <c r="AJ53" s="382"/>
      <c r="AK53" s="382"/>
      <c r="AL53" s="382"/>
      <c r="AM53" s="382"/>
      <c r="AN53" s="382"/>
      <c r="AO53" s="382"/>
      <c r="AP53" s="382"/>
      <c r="AQ53" s="382"/>
      <c r="AR53" s="382"/>
    </row>
    <row r="54" spans="1:44" ht="12.75" customHeight="1" x14ac:dyDescent="0.25">
      <c r="A54" s="382"/>
      <c r="B54" s="382"/>
      <c r="C54" s="382"/>
      <c r="D54" s="382"/>
      <c r="E54" s="382"/>
      <c r="F54" s="382"/>
      <c r="G54" s="382"/>
      <c r="H54" s="382"/>
      <c r="I54" s="382"/>
      <c r="J54" s="382"/>
      <c r="K54" s="382"/>
      <c r="L54" s="382"/>
      <c r="M54" s="382"/>
      <c r="N54" s="382"/>
      <c r="O54" s="382"/>
      <c r="P54" s="382"/>
      <c r="Q54" s="382"/>
      <c r="R54" s="382"/>
      <c r="S54" s="382"/>
      <c r="T54" s="382"/>
      <c r="U54" s="382"/>
      <c r="V54" s="382"/>
      <c r="W54" s="382"/>
      <c r="X54" s="382"/>
      <c r="Y54" s="382"/>
      <c r="Z54" s="382"/>
      <c r="AA54" s="382"/>
      <c r="AB54" s="382"/>
      <c r="AC54" s="382"/>
      <c r="AD54" s="382"/>
      <c r="AE54" s="382"/>
      <c r="AF54" s="382"/>
      <c r="AG54" s="382"/>
      <c r="AH54" s="382"/>
      <c r="AI54" s="382"/>
      <c r="AJ54" s="382"/>
      <c r="AK54" s="382"/>
      <c r="AL54" s="382"/>
      <c r="AM54" s="382"/>
      <c r="AN54" s="382"/>
      <c r="AO54" s="382"/>
      <c r="AP54" s="382"/>
      <c r="AQ54" s="382"/>
      <c r="AR54" s="382"/>
    </row>
    <row r="55" spans="1:44" ht="12.75" customHeight="1" x14ac:dyDescent="0.25">
      <c r="A55" s="382"/>
      <c r="B55" s="382"/>
      <c r="C55" s="382"/>
      <c r="D55" s="382"/>
      <c r="E55" s="382"/>
      <c r="F55" s="382"/>
      <c r="G55" s="382"/>
      <c r="H55" s="382"/>
      <c r="I55" s="382"/>
      <c r="J55" s="382"/>
      <c r="K55" s="382"/>
      <c r="L55" s="382"/>
      <c r="M55" s="382"/>
      <c r="N55" s="382"/>
      <c r="O55" s="382"/>
      <c r="P55" s="382"/>
      <c r="Q55" s="382"/>
      <c r="R55" s="382"/>
      <c r="S55" s="382"/>
      <c r="T55" s="382"/>
      <c r="U55" s="382"/>
      <c r="V55" s="382"/>
      <c r="W55" s="382"/>
      <c r="X55" s="382"/>
      <c r="Y55" s="382"/>
      <c r="Z55" s="382"/>
      <c r="AA55" s="382"/>
      <c r="AB55" s="382"/>
      <c r="AC55" s="382"/>
      <c r="AD55" s="382"/>
      <c r="AE55" s="382"/>
      <c r="AF55" s="382"/>
      <c r="AG55" s="382"/>
      <c r="AH55" s="382"/>
      <c r="AI55" s="382"/>
      <c r="AJ55" s="382"/>
      <c r="AK55" s="382"/>
      <c r="AL55" s="382"/>
      <c r="AM55" s="382"/>
      <c r="AN55" s="382"/>
      <c r="AO55" s="382"/>
      <c r="AP55" s="382"/>
      <c r="AQ55" s="382"/>
      <c r="AR55" s="382"/>
    </row>
    <row r="56" spans="1:44" ht="12.75" customHeight="1" x14ac:dyDescent="0.25">
      <c r="A56" s="382"/>
      <c r="B56" s="382"/>
      <c r="C56" s="382"/>
      <c r="D56" s="382"/>
      <c r="E56" s="382"/>
      <c r="F56" s="382"/>
      <c r="G56" s="382"/>
      <c r="H56" s="382"/>
      <c r="I56" s="382"/>
      <c r="J56" s="382"/>
      <c r="K56" s="382"/>
      <c r="L56" s="382"/>
      <c r="M56" s="382"/>
      <c r="N56" s="382"/>
      <c r="O56" s="382"/>
      <c r="P56" s="382"/>
      <c r="Q56" s="382"/>
      <c r="R56" s="382"/>
      <c r="S56" s="382"/>
      <c r="T56" s="382"/>
      <c r="U56" s="382"/>
      <c r="V56" s="382"/>
      <c r="W56" s="382"/>
      <c r="X56" s="382"/>
      <c r="Y56" s="382"/>
      <c r="Z56" s="382"/>
      <c r="AA56" s="382"/>
      <c r="AB56" s="382"/>
      <c r="AC56" s="382"/>
      <c r="AD56" s="382"/>
      <c r="AE56" s="382"/>
      <c r="AF56" s="382"/>
      <c r="AG56" s="382"/>
      <c r="AH56" s="382"/>
      <c r="AI56" s="382"/>
      <c r="AJ56" s="382"/>
      <c r="AK56" s="382"/>
      <c r="AL56" s="382"/>
      <c r="AM56" s="382"/>
      <c r="AN56" s="382"/>
      <c r="AO56" s="382"/>
      <c r="AP56" s="382"/>
      <c r="AQ56" s="382"/>
      <c r="AR56" s="382"/>
    </row>
    <row r="57" spans="1:44" ht="12.75" customHeight="1" x14ac:dyDescent="0.25">
      <c r="A57" s="382"/>
      <c r="B57" s="382"/>
      <c r="C57" s="382"/>
      <c r="D57" s="382"/>
      <c r="E57" s="382"/>
      <c r="F57" s="382"/>
      <c r="G57" s="382"/>
      <c r="H57" s="382"/>
      <c r="I57" s="382"/>
      <c r="J57" s="382"/>
      <c r="K57" s="382"/>
      <c r="L57" s="382"/>
      <c r="M57" s="382"/>
      <c r="N57" s="382"/>
      <c r="O57" s="382"/>
      <c r="P57" s="382"/>
      <c r="Q57" s="382"/>
      <c r="R57" s="382"/>
      <c r="S57" s="382"/>
      <c r="T57" s="382"/>
      <c r="U57" s="382"/>
      <c r="V57" s="382"/>
      <c r="W57" s="382"/>
      <c r="X57" s="382"/>
      <c r="Y57" s="382"/>
      <c r="Z57" s="382"/>
      <c r="AA57" s="382"/>
      <c r="AB57" s="382"/>
      <c r="AC57" s="382"/>
      <c r="AD57" s="382"/>
      <c r="AE57" s="382"/>
      <c r="AF57" s="382"/>
      <c r="AG57" s="382"/>
      <c r="AH57" s="382"/>
      <c r="AI57" s="382"/>
      <c r="AJ57" s="382"/>
      <c r="AK57" s="382"/>
      <c r="AL57" s="382"/>
      <c r="AM57" s="382"/>
      <c r="AN57" s="382"/>
      <c r="AO57" s="382"/>
      <c r="AP57" s="382"/>
      <c r="AQ57" s="382"/>
      <c r="AR57" s="382"/>
    </row>
    <row r="58" spans="1:44" ht="12.75" customHeight="1" x14ac:dyDescent="0.25">
      <c r="A58" s="382"/>
      <c r="B58" s="382"/>
      <c r="C58" s="382"/>
      <c r="D58" s="382"/>
      <c r="E58" s="382"/>
      <c r="F58" s="382"/>
      <c r="G58" s="382"/>
      <c r="H58" s="382"/>
      <c r="I58" s="382"/>
      <c r="J58" s="382"/>
      <c r="K58" s="382"/>
      <c r="L58" s="382"/>
      <c r="M58" s="382"/>
      <c r="N58" s="382"/>
      <c r="O58" s="382"/>
      <c r="P58" s="382"/>
      <c r="Q58" s="382"/>
      <c r="R58" s="382"/>
      <c r="S58" s="382"/>
      <c r="T58" s="382"/>
      <c r="U58" s="382"/>
      <c r="V58" s="382"/>
      <c r="W58" s="382"/>
      <c r="X58" s="382"/>
      <c r="Y58" s="382"/>
      <c r="Z58" s="382"/>
      <c r="AA58" s="382"/>
      <c r="AB58" s="382"/>
      <c r="AC58" s="382"/>
      <c r="AD58" s="382"/>
      <c r="AE58" s="382"/>
      <c r="AF58" s="382"/>
      <c r="AG58" s="382"/>
      <c r="AH58" s="382"/>
      <c r="AI58" s="382"/>
      <c r="AJ58" s="382"/>
      <c r="AK58" s="382"/>
      <c r="AL58" s="382"/>
      <c r="AM58" s="382"/>
      <c r="AN58" s="382"/>
      <c r="AO58" s="382"/>
      <c r="AP58" s="382"/>
      <c r="AQ58" s="382"/>
      <c r="AR58" s="382"/>
    </row>
    <row r="59" spans="1:44" ht="12.75" customHeight="1" x14ac:dyDescent="0.25">
      <c r="A59" s="382"/>
      <c r="B59" s="382"/>
      <c r="C59" s="382"/>
      <c r="D59" s="382"/>
      <c r="E59" s="382"/>
      <c r="F59" s="382"/>
      <c r="G59" s="382"/>
      <c r="H59" s="382"/>
      <c r="I59" s="382"/>
      <c r="J59" s="382"/>
      <c r="K59" s="382"/>
      <c r="L59" s="382"/>
      <c r="M59" s="382"/>
      <c r="N59" s="382"/>
      <c r="O59" s="382"/>
      <c r="P59" s="382"/>
      <c r="Q59" s="382"/>
      <c r="R59" s="382"/>
      <c r="S59" s="382"/>
      <c r="T59" s="382"/>
      <c r="U59" s="382"/>
      <c r="V59" s="382"/>
      <c r="W59" s="382"/>
      <c r="X59" s="382"/>
      <c r="Y59" s="382"/>
      <c r="Z59" s="382"/>
      <c r="AA59" s="382"/>
      <c r="AB59" s="382"/>
      <c r="AC59" s="382"/>
      <c r="AD59" s="382"/>
      <c r="AE59" s="382"/>
      <c r="AF59" s="382"/>
      <c r="AG59" s="382"/>
      <c r="AH59" s="382"/>
      <c r="AI59" s="382"/>
      <c r="AJ59" s="382"/>
      <c r="AK59" s="382"/>
      <c r="AL59" s="382"/>
      <c r="AM59" s="382"/>
      <c r="AN59" s="382"/>
      <c r="AO59" s="382"/>
      <c r="AP59" s="382"/>
      <c r="AQ59" s="382"/>
      <c r="AR59" s="382"/>
    </row>
    <row r="60" spans="1:44" ht="12.75" customHeight="1" x14ac:dyDescent="0.25">
      <c r="A60" s="382"/>
      <c r="B60" s="382"/>
      <c r="C60" s="382"/>
      <c r="D60" s="382"/>
      <c r="E60" s="382"/>
      <c r="F60" s="382"/>
      <c r="G60" s="382"/>
      <c r="H60" s="382"/>
      <c r="I60" s="382"/>
      <c r="J60" s="382"/>
      <c r="K60" s="382"/>
      <c r="L60" s="382"/>
      <c r="M60" s="382"/>
      <c r="N60" s="382"/>
      <c r="O60" s="382"/>
      <c r="P60" s="382"/>
      <c r="Q60" s="382"/>
      <c r="R60" s="382"/>
      <c r="S60" s="382"/>
      <c r="T60" s="382"/>
      <c r="U60" s="382"/>
      <c r="V60" s="382"/>
      <c r="W60" s="382"/>
      <c r="X60" s="382"/>
      <c r="Y60" s="382"/>
      <c r="Z60" s="382"/>
      <c r="AA60" s="382"/>
      <c r="AB60" s="382"/>
      <c r="AC60" s="382"/>
      <c r="AD60" s="382"/>
      <c r="AE60" s="382"/>
      <c r="AF60" s="382"/>
      <c r="AG60" s="382"/>
      <c r="AH60" s="382"/>
      <c r="AI60" s="382"/>
      <c r="AJ60" s="382"/>
      <c r="AK60" s="382"/>
      <c r="AL60" s="382"/>
      <c r="AM60" s="382"/>
      <c r="AN60" s="382"/>
      <c r="AO60" s="382"/>
      <c r="AP60" s="382"/>
      <c r="AQ60" s="382"/>
      <c r="AR60" s="382"/>
    </row>
    <row r="61" spans="1:44" ht="12.75" customHeight="1" x14ac:dyDescent="0.25">
      <c r="A61" s="382"/>
      <c r="B61" s="382"/>
      <c r="C61" s="382"/>
      <c r="D61" s="382"/>
      <c r="E61" s="382"/>
      <c r="F61" s="382"/>
      <c r="G61" s="382"/>
      <c r="H61" s="382"/>
      <c r="I61" s="382"/>
      <c r="J61" s="382"/>
      <c r="K61" s="382"/>
      <c r="L61" s="382"/>
      <c r="M61" s="382"/>
      <c r="N61" s="382"/>
      <c r="O61" s="382"/>
      <c r="P61" s="382"/>
      <c r="Q61" s="382"/>
      <c r="R61" s="382"/>
      <c r="S61" s="382"/>
      <c r="T61" s="382"/>
      <c r="U61" s="382"/>
      <c r="V61" s="382"/>
      <c r="W61" s="382"/>
      <c r="X61" s="382"/>
      <c r="Y61" s="382"/>
      <c r="Z61" s="382"/>
      <c r="AA61" s="382"/>
      <c r="AB61" s="382"/>
      <c r="AC61" s="382"/>
      <c r="AD61" s="382"/>
      <c r="AE61" s="382"/>
      <c r="AF61" s="382"/>
      <c r="AG61" s="382"/>
      <c r="AH61" s="382"/>
      <c r="AI61" s="382"/>
      <c r="AJ61" s="382"/>
      <c r="AK61" s="382"/>
      <c r="AL61" s="382"/>
      <c r="AM61" s="382"/>
      <c r="AN61" s="382"/>
      <c r="AO61" s="382"/>
      <c r="AP61" s="382"/>
      <c r="AQ61" s="382"/>
      <c r="AR61" s="382"/>
    </row>
    <row r="62" spans="1:44" ht="12.75" customHeight="1" x14ac:dyDescent="0.25">
      <c r="A62" s="382"/>
      <c r="B62" s="382"/>
      <c r="C62" s="382"/>
      <c r="D62" s="382"/>
      <c r="E62" s="382"/>
      <c r="F62" s="382"/>
      <c r="G62" s="382"/>
      <c r="H62" s="382"/>
      <c r="I62" s="382"/>
      <c r="J62" s="382"/>
      <c r="K62" s="382"/>
      <c r="L62" s="382"/>
      <c r="M62" s="382"/>
      <c r="N62" s="382"/>
      <c r="O62" s="382"/>
      <c r="P62" s="382"/>
      <c r="Q62" s="382"/>
      <c r="R62" s="382"/>
      <c r="S62" s="382"/>
      <c r="T62" s="382"/>
      <c r="U62" s="382"/>
      <c r="V62" s="382"/>
      <c r="W62" s="382"/>
      <c r="X62" s="382"/>
      <c r="Y62" s="382"/>
      <c r="Z62" s="382"/>
      <c r="AA62" s="382"/>
      <c r="AB62" s="382"/>
      <c r="AC62" s="382"/>
      <c r="AD62" s="382"/>
      <c r="AE62" s="382"/>
      <c r="AF62" s="382"/>
      <c r="AG62" s="382"/>
      <c r="AH62" s="382"/>
      <c r="AI62" s="382"/>
      <c r="AJ62" s="382"/>
      <c r="AK62" s="382"/>
      <c r="AL62" s="382"/>
      <c r="AM62" s="382"/>
      <c r="AN62" s="382"/>
      <c r="AO62" s="382"/>
      <c r="AP62" s="382"/>
      <c r="AQ62" s="382"/>
      <c r="AR62" s="382"/>
    </row>
    <row r="63" spans="1:44" ht="12.75" customHeight="1" x14ac:dyDescent="0.25">
      <c r="A63" s="382"/>
      <c r="B63" s="382"/>
      <c r="C63" s="382"/>
      <c r="D63" s="382"/>
      <c r="E63" s="382"/>
      <c r="F63" s="382"/>
      <c r="G63" s="382"/>
      <c r="H63" s="382"/>
      <c r="I63" s="382"/>
      <c r="J63" s="382"/>
      <c r="K63" s="382"/>
      <c r="L63" s="382"/>
      <c r="M63" s="382"/>
      <c r="N63" s="382"/>
      <c r="O63" s="382"/>
      <c r="P63" s="382"/>
      <c r="Q63" s="382"/>
      <c r="R63" s="382"/>
      <c r="S63" s="382"/>
      <c r="T63" s="382"/>
      <c r="U63" s="382"/>
      <c r="V63" s="382"/>
      <c r="W63" s="382"/>
      <c r="X63" s="382"/>
      <c r="Y63" s="382"/>
      <c r="Z63" s="382"/>
      <c r="AA63" s="382"/>
      <c r="AB63" s="382"/>
      <c r="AC63" s="382"/>
      <c r="AD63" s="382"/>
      <c r="AE63" s="382"/>
      <c r="AF63" s="382"/>
      <c r="AG63" s="382"/>
      <c r="AH63" s="382"/>
      <c r="AI63" s="382"/>
      <c r="AJ63" s="382"/>
      <c r="AK63" s="382"/>
      <c r="AL63" s="382"/>
      <c r="AM63" s="382"/>
      <c r="AN63" s="382"/>
      <c r="AO63" s="382"/>
      <c r="AP63" s="382"/>
      <c r="AQ63" s="382"/>
      <c r="AR63" s="382"/>
    </row>
    <row r="64" spans="1:44" ht="12.75" customHeight="1" x14ac:dyDescent="0.25">
      <c r="A64" s="382"/>
      <c r="B64" s="382"/>
      <c r="C64" s="382"/>
      <c r="D64" s="382"/>
      <c r="E64" s="382"/>
      <c r="F64" s="382"/>
      <c r="G64" s="382"/>
      <c r="H64" s="382"/>
      <c r="I64" s="382"/>
      <c r="J64" s="382"/>
      <c r="K64" s="382"/>
      <c r="L64" s="382"/>
      <c r="M64" s="382"/>
      <c r="N64" s="382"/>
      <c r="O64" s="382"/>
      <c r="P64" s="382"/>
      <c r="Q64" s="382"/>
      <c r="R64" s="382"/>
      <c r="S64" s="382"/>
      <c r="T64" s="382"/>
      <c r="U64" s="382"/>
      <c r="V64" s="382"/>
      <c r="W64" s="382"/>
      <c r="X64" s="382"/>
      <c r="Y64" s="382"/>
      <c r="Z64" s="382"/>
      <c r="AA64" s="382"/>
      <c r="AB64" s="382"/>
      <c r="AC64" s="382"/>
      <c r="AD64" s="382"/>
      <c r="AE64" s="382"/>
      <c r="AF64" s="382"/>
      <c r="AG64" s="382"/>
      <c r="AH64" s="382"/>
      <c r="AI64" s="382"/>
      <c r="AJ64" s="382"/>
      <c r="AK64" s="382"/>
      <c r="AL64" s="382"/>
      <c r="AM64" s="382"/>
      <c r="AN64" s="382"/>
      <c r="AO64" s="382"/>
      <c r="AP64" s="382"/>
      <c r="AQ64" s="382"/>
      <c r="AR64" s="382"/>
    </row>
    <row r="65" spans="1:44" ht="12.75" customHeight="1" x14ac:dyDescent="0.25">
      <c r="A65" s="382"/>
      <c r="B65" s="382"/>
      <c r="C65" s="382"/>
      <c r="D65" s="382"/>
      <c r="E65" s="382"/>
      <c r="F65" s="382"/>
      <c r="G65" s="382"/>
      <c r="H65" s="382"/>
      <c r="I65" s="382"/>
      <c r="J65" s="382"/>
      <c r="K65" s="382"/>
      <c r="L65" s="382"/>
      <c r="M65" s="382"/>
      <c r="N65" s="382"/>
      <c r="O65" s="382"/>
      <c r="P65" s="382"/>
      <c r="Q65" s="382"/>
      <c r="R65" s="382"/>
      <c r="S65" s="382"/>
      <c r="T65" s="382"/>
      <c r="U65" s="382"/>
      <c r="V65" s="382"/>
      <c r="W65" s="382"/>
      <c r="X65" s="382"/>
      <c r="Y65" s="382"/>
      <c r="Z65" s="382"/>
      <c r="AA65" s="382"/>
      <c r="AB65" s="382"/>
      <c r="AC65" s="382"/>
      <c r="AD65" s="382"/>
      <c r="AE65" s="382"/>
      <c r="AF65" s="382"/>
      <c r="AG65" s="382"/>
      <c r="AH65" s="382"/>
      <c r="AI65" s="382"/>
      <c r="AJ65" s="382"/>
      <c r="AK65" s="382"/>
      <c r="AL65" s="382"/>
      <c r="AM65" s="382"/>
      <c r="AN65" s="382"/>
      <c r="AO65" s="382"/>
      <c r="AP65" s="382"/>
      <c r="AQ65" s="382"/>
      <c r="AR65" s="382"/>
    </row>
    <row r="66" spans="1:44" ht="12.75" customHeight="1" x14ac:dyDescent="0.25">
      <c r="A66" s="382"/>
      <c r="B66" s="382"/>
      <c r="C66" s="382"/>
      <c r="D66" s="382"/>
      <c r="E66" s="382"/>
      <c r="F66" s="382"/>
      <c r="G66" s="382"/>
      <c r="H66" s="382"/>
      <c r="I66" s="382"/>
      <c r="J66" s="382"/>
      <c r="K66" s="382"/>
      <c r="L66" s="382"/>
      <c r="M66" s="382"/>
      <c r="N66" s="382"/>
      <c r="O66" s="382"/>
      <c r="P66" s="382"/>
      <c r="Q66" s="382"/>
      <c r="R66" s="382"/>
      <c r="S66" s="382"/>
      <c r="T66" s="382"/>
      <c r="U66" s="382"/>
      <c r="V66" s="382"/>
      <c r="W66" s="382"/>
      <c r="X66" s="382"/>
      <c r="Y66" s="382"/>
      <c r="Z66" s="382"/>
      <c r="AA66" s="382"/>
      <c r="AB66" s="382"/>
      <c r="AC66" s="382"/>
      <c r="AD66" s="382"/>
      <c r="AE66" s="382"/>
      <c r="AF66" s="382"/>
      <c r="AG66" s="382"/>
      <c r="AH66" s="382"/>
      <c r="AI66" s="382"/>
      <c r="AJ66" s="382"/>
      <c r="AK66" s="382"/>
      <c r="AL66" s="382"/>
      <c r="AM66" s="382"/>
      <c r="AN66" s="382"/>
      <c r="AO66" s="382"/>
      <c r="AP66" s="382"/>
      <c r="AQ66" s="382"/>
      <c r="AR66" s="382"/>
    </row>
    <row r="67" spans="1:44" ht="12.75" customHeight="1" x14ac:dyDescent="0.25">
      <c r="A67" s="382"/>
      <c r="B67" s="382"/>
      <c r="C67" s="382"/>
      <c r="D67" s="382"/>
      <c r="E67" s="382"/>
      <c r="F67" s="382"/>
      <c r="G67" s="382"/>
      <c r="H67" s="382"/>
      <c r="I67" s="382"/>
      <c r="J67" s="382"/>
      <c r="K67" s="382"/>
      <c r="L67" s="382"/>
      <c r="M67" s="382"/>
      <c r="N67" s="382"/>
      <c r="O67" s="382"/>
      <c r="P67" s="382"/>
      <c r="Q67" s="382"/>
      <c r="R67" s="382"/>
      <c r="S67" s="382"/>
      <c r="T67" s="382"/>
      <c r="U67" s="382"/>
      <c r="V67" s="382"/>
      <c r="W67" s="382"/>
      <c r="X67" s="382"/>
      <c r="Y67" s="382"/>
      <c r="Z67" s="382"/>
      <c r="AA67" s="382"/>
      <c r="AB67" s="382"/>
      <c r="AC67" s="382"/>
      <c r="AD67" s="382"/>
      <c r="AE67" s="382"/>
      <c r="AF67" s="382"/>
      <c r="AG67" s="382"/>
      <c r="AH67" s="382"/>
      <c r="AI67" s="382"/>
      <c r="AJ67" s="382"/>
      <c r="AK67" s="382"/>
      <c r="AL67" s="382"/>
      <c r="AM67" s="382"/>
      <c r="AN67" s="382"/>
      <c r="AO67" s="382"/>
      <c r="AP67" s="382"/>
      <c r="AQ67" s="382"/>
      <c r="AR67" s="382"/>
    </row>
    <row r="68" spans="1:44" ht="12.75" customHeight="1" x14ac:dyDescent="0.25">
      <c r="A68" s="382"/>
      <c r="B68" s="382"/>
      <c r="C68" s="382"/>
      <c r="D68" s="382"/>
      <c r="E68" s="382"/>
      <c r="F68" s="382"/>
      <c r="G68" s="382"/>
      <c r="H68" s="382"/>
      <c r="I68" s="382"/>
      <c r="J68" s="382"/>
      <c r="K68" s="382"/>
      <c r="L68" s="382"/>
      <c r="M68" s="382"/>
      <c r="N68" s="382"/>
      <c r="O68" s="382"/>
      <c r="P68" s="382"/>
      <c r="Q68" s="382"/>
      <c r="R68" s="382"/>
      <c r="S68" s="382"/>
      <c r="T68" s="382"/>
      <c r="U68" s="382"/>
      <c r="V68" s="382"/>
      <c r="W68" s="382"/>
      <c r="X68" s="382"/>
      <c r="Y68" s="382"/>
      <c r="Z68" s="382"/>
      <c r="AA68" s="382"/>
      <c r="AB68" s="382"/>
      <c r="AC68" s="382"/>
      <c r="AD68" s="382"/>
      <c r="AE68" s="382"/>
      <c r="AF68" s="382"/>
      <c r="AG68" s="382"/>
      <c r="AH68" s="382"/>
      <c r="AI68" s="382"/>
      <c r="AJ68" s="382"/>
      <c r="AK68" s="382"/>
      <c r="AL68" s="382"/>
      <c r="AM68" s="382"/>
      <c r="AN68" s="382"/>
      <c r="AO68" s="382"/>
      <c r="AP68" s="382"/>
      <c r="AQ68" s="382"/>
      <c r="AR68" s="382"/>
    </row>
    <row r="69" spans="1:44" ht="12.75" customHeight="1" x14ac:dyDescent="0.25">
      <c r="A69" s="382"/>
      <c r="B69" s="382"/>
      <c r="C69" s="382"/>
      <c r="D69" s="382"/>
      <c r="E69" s="382"/>
      <c r="F69" s="382"/>
      <c r="G69" s="382"/>
      <c r="H69" s="382"/>
      <c r="I69" s="382"/>
      <c r="J69" s="382"/>
      <c r="K69" s="382"/>
      <c r="L69" s="382"/>
      <c r="M69" s="382"/>
      <c r="N69" s="382"/>
      <c r="O69" s="382"/>
      <c r="P69" s="382"/>
      <c r="Q69" s="382"/>
      <c r="R69" s="382"/>
      <c r="S69" s="382"/>
      <c r="T69" s="382"/>
      <c r="U69" s="382"/>
      <c r="V69" s="382"/>
      <c r="W69" s="382"/>
      <c r="X69" s="382"/>
      <c r="Y69" s="382"/>
      <c r="Z69" s="382"/>
      <c r="AA69" s="382"/>
      <c r="AB69" s="382"/>
      <c r="AC69" s="382"/>
      <c r="AD69" s="382"/>
      <c r="AE69" s="382"/>
      <c r="AF69" s="382"/>
      <c r="AG69" s="382"/>
      <c r="AH69" s="382"/>
      <c r="AI69" s="382"/>
      <c r="AJ69" s="382"/>
      <c r="AK69" s="382"/>
      <c r="AL69" s="382"/>
      <c r="AM69" s="382"/>
      <c r="AN69" s="382"/>
      <c r="AO69" s="382"/>
      <c r="AP69" s="382"/>
      <c r="AQ69" s="382"/>
      <c r="AR69" s="382"/>
    </row>
    <row r="70" spans="1:44" ht="12.75" customHeight="1" x14ac:dyDescent="0.25">
      <c r="A70" s="382"/>
      <c r="B70" s="382"/>
      <c r="C70" s="382"/>
      <c r="D70" s="382"/>
      <c r="E70" s="382"/>
      <c r="F70" s="382"/>
      <c r="G70" s="382"/>
      <c r="H70" s="382"/>
      <c r="I70" s="382"/>
      <c r="J70" s="382"/>
      <c r="K70" s="382"/>
      <c r="L70" s="382"/>
      <c r="M70" s="382"/>
      <c r="N70" s="382"/>
      <c r="O70" s="382"/>
      <c r="P70" s="382"/>
      <c r="Q70" s="382"/>
      <c r="R70" s="382"/>
      <c r="S70" s="382"/>
      <c r="T70" s="382"/>
      <c r="U70" s="382"/>
      <c r="V70" s="382"/>
      <c r="W70" s="382"/>
      <c r="X70" s="382"/>
      <c r="Y70" s="382"/>
      <c r="Z70" s="382"/>
      <c r="AA70" s="382"/>
      <c r="AB70" s="382"/>
      <c r="AC70" s="382"/>
      <c r="AD70" s="382"/>
      <c r="AE70" s="382"/>
      <c r="AF70" s="382"/>
      <c r="AG70" s="382"/>
      <c r="AH70" s="382"/>
      <c r="AI70" s="382"/>
      <c r="AJ70" s="382"/>
      <c r="AK70" s="382"/>
      <c r="AL70" s="382"/>
      <c r="AM70" s="382"/>
      <c r="AN70" s="382"/>
      <c r="AO70" s="382"/>
      <c r="AP70" s="382"/>
      <c r="AQ70" s="382"/>
      <c r="AR70" s="382"/>
    </row>
    <row r="71" spans="1:44" ht="12.75" customHeight="1" x14ac:dyDescent="0.25">
      <c r="A71" s="382"/>
      <c r="B71" s="382"/>
      <c r="C71" s="382"/>
      <c r="D71" s="382"/>
      <c r="E71" s="382"/>
      <c r="F71" s="382"/>
      <c r="G71" s="382"/>
      <c r="H71" s="382"/>
      <c r="I71" s="382"/>
      <c r="J71" s="382"/>
      <c r="K71" s="382"/>
      <c r="L71" s="382"/>
      <c r="M71" s="382"/>
      <c r="N71" s="382"/>
      <c r="O71" s="382"/>
      <c r="P71" s="382"/>
      <c r="Q71" s="382"/>
      <c r="R71" s="382"/>
      <c r="S71" s="382"/>
      <c r="T71" s="382"/>
      <c r="U71" s="382"/>
      <c r="V71" s="382"/>
      <c r="W71" s="382"/>
      <c r="X71" s="382"/>
      <c r="Y71" s="382"/>
      <c r="Z71" s="382"/>
      <c r="AA71" s="382"/>
      <c r="AB71" s="382"/>
      <c r="AC71" s="382"/>
      <c r="AD71" s="382"/>
      <c r="AE71" s="382"/>
      <c r="AF71" s="382"/>
      <c r="AG71" s="382"/>
      <c r="AH71" s="382"/>
      <c r="AI71" s="382"/>
      <c r="AJ71" s="382"/>
      <c r="AK71" s="382"/>
      <c r="AL71" s="382"/>
      <c r="AM71" s="382"/>
      <c r="AN71" s="382"/>
      <c r="AO71" s="382"/>
      <c r="AP71" s="382"/>
      <c r="AQ71" s="382"/>
      <c r="AR71" s="382"/>
    </row>
    <row r="72" spans="1:44" ht="12.75" customHeight="1" x14ac:dyDescent="0.25">
      <c r="A72" s="382"/>
      <c r="B72" s="382"/>
      <c r="C72" s="382"/>
      <c r="D72" s="382"/>
      <c r="E72" s="382"/>
      <c r="F72" s="382"/>
      <c r="G72" s="382"/>
      <c r="H72" s="382"/>
      <c r="I72" s="382"/>
      <c r="J72" s="382"/>
      <c r="K72" s="382"/>
      <c r="L72" s="382"/>
      <c r="M72" s="382"/>
      <c r="N72" s="382"/>
      <c r="O72" s="382"/>
      <c r="P72" s="382"/>
      <c r="Q72" s="382"/>
      <c r="R72" s="382"/>
      <c r="S72" s="382"/>
      <c r="T72" s="382"/>
      <c r="U72" s="382"/>
      <c r="V72" s="382"/>
      <c r="W72" s="382"/>
      <c r="X72" s="382"/>
      <c r="Y72" s="382"/>
      <c r="Z72" s="382"/>
      <c r="AA72" s="382"/>
      <c r="AB72" s="382"/>
      <c r="AC72" s="382"/>
      <c r="AD72" s="382"/>
      <c r="AE72" s="382"/>
      <c r="AF72" s="382"/>
      <c r="AG72" s="382"/>
      <c r="AH72" s="382"/>
      <c r="AI72" s="382"/>
      <c r="AJ72" s="382"/>
      <c r="AK72" s="382"/>
      <c r="AL72" s="382"/>
      <c r="AM72" s="382"/>
      <c r="AN72" s="382"/>
      <c r="AO72" s="382"/>
      <c r="AP72" s="382"/>
      <c r="AQ72" s="382"/>
      <c r="AR72" s="382"/>
    </row>
    <row r="73" spans="1:44" ht="12.75" customHeight="1" x14ac:dyDescent="0.25">
      <c r="A73" s="382"/>
      <c r="B73" s="382"/>
      <c r="C73" s="382"/>
      <c r="D73" s="382"/>
      <c r="E73" s="382"/>
      <c r="F73" s="382"/>
      <c r="G73" s="382"/>
      <c r="H73" s="382"/>
      <c r="I73" s="382"/>
      <c r="J73" s="382"/>
      <c r="K73" s="382"/>
      <c r="L73" s="382"/>
      <c r="M73" s="382"/>
      <c r="N73" s="382"/>
      <c r="O73" s="382"/>
      <c r="P73" s="382"/>
      <c r="Q73" s="382"/>
      <c r="R73" s="382"/>
      <c r="S73" s="382"/>
      <c r="T73" s="382"/>
      <c r="U73" s="382"/>
      <c r="V73" s="382"/>
      <c r="W73" s="382"/>
      <c r="X73" s="382"/>
      <c r="Y73" s="382"/>
      <c r="Z73" s="382"/>
      <c r="AA73" s="382"/>
      <c r="AB73" s="382"/>
      <c r="AC73" s="382"/>
      <c r="AD73" s="382"/>
      <c r="AE73" s="382"/>
      <c r="AF73" s="382"/>
      <c r="AG73" s="382"/>
      <c r="AH73" s="382"/>
      <c r="AI73" s="382"/>
      <c r="AJ73" s="382"/>
      <c r="AK73" s="382"/>
      <c r="AL73" s="382"/>
      <c r="AM73" s="382"/>
      <c r="AN73" s="382"/>
      <c r="AO73" s="382"/>
      <c r="AP73" s="382"/>
      <c r="AQ73" s="382"/>
      <c r="AR73" s="382"/>
    </row>
    <row r="74" spans="1:44" ht="12.75" customHeight="1" x14ac:dyDescent="0.25">
      <c r="A74" s="382"/>
      <c r="B74" s="382"/>
      <c r="C74" s="382"/>
      <c r="D74" s="382"/>
      <c r="E74" s="382"/>
      <c r="F74" s="382"/>
      <c r="G74" s="382"/>
      <c r="H74" s="382"/>
      <c r="I74" s="382"/>
      <c r="J74" s="382"/>
      <c r="K74" s="382"/>
      <c r="L74" s="382"/>
      <c r="M74" s="382"/>
      <c r="N74" s="382"/>
      <c r="O74" s="382"/>
      <c r="P74" s="382"/>
      <c r="Q74" s="382"/>
      <c r="R74" s="382"/>
      <c r="S74" s="382"/>
      <c r="T74" s="382"/>
      <c r="U74" s="382"/>
      <c r="V74" s="382"/>
      <c r="W74" s="382"/>
      <c r="X74" s="382"/>
      <c r="Y74" s="382"/>
      <c r="Z74" s="382"/>
      <c r="AA74" s="382"/>
      <c r="AB74" s="382"/>
      <c r="AC74" s="382"/>
      <c r="AD74" s="382"/>
      <c r="AE74" s="382"/>
      <c r="AF74" s="382"/>
      <c r="AG74" s="382"/>
      <c r="AH74" s="382"/>
      <c r="AI74" s="382"/>
      <c r="AJ74" s="382"/>
      <c r="AK74" s="382"/>
      <c r="AL74" s="382"/>
      <c r="AM74" s="382"/>
      <c r="AN74" s="382"/>
      <c r="AO74" s="382"/>
      <c r="AP74" s="382"/>
      <c r="AQ74" s="382"/>
      <c r="AR74" s="382"/>
    </row>
    <row r="75" spans="1:44" ht="12.75" customHeight="1" x14ac:dyDescent="0.25">
      <c r="A75" s="382"/>
      <c r="B75" s="382"/>
      <c r="C75" s="382"/>
      <c r="D75" s="382"/>
      <c r="E75" s="382"/>
      <c r="F75" s="382"/>
      <c r="G75" s="382"/>
      <c r="H75" s="382"/>
      <c r="I75" s="382"/>
      <c r="J75" s="382"/>
      <c r="K75" s="382"/>
      <c r="L75" s="382"/>
      <c r="M75" s="382"/>
      <c r="N75" s="382"/>
      <c r="O75" s="382"/>
      <c r="P75" s="382"/>
      <c r="Q75" s="382"/>
      <c r="R75" s="382"/>
      <c r="S75" s="382"/>
      <c r="T75" s="382"/>
      <c r="U75" s="382"/>
      <c r="V75" s="382"/>
      <c r="W75" s="382"/>
      <c r="X75" s="382"/>
      <c r="Y75" s="382"/>
      <c r="Z75" s="382"/>
      <c r="AA75" s="382"/>
      <c r="AB75" s="382"/>
      <c r="AC75" s="382"/>
      <c r="AD75" s="382"/>
      <c r="AE75" s="382"/>
      <c r="AF75" s="382"/>
      <c r="AG75" s="382"/>
      <c r="AH75" s="382"/>
      <c r="AI75" s="382"/>
      <c r="AJ75" s="382"/>
      <c r="AK75" s="382"/>
      <c r="AL75" s="382"/>
      <c r="AM75" s="382"/>
      <c r="AN75" s="382"/>
      <c r="AO75" s="382"/>
      <c r="AP75" s="382"/>
      <c r="AQ75" s="382"/>
      <c r="AR75" s="382"/>
    </row>
    <row r="76" spans="1:44" ht="12.75" customHeight="1" x14ac:dyDescent="0.25">
      <c r="A76" s="382"/>
      <c r="B76" s="382"/>
      <c r="C76" s="382"/>
      <c r="D76" s="382"/>
      <c r="E76" s="382"/>
      <c r="F76" s="382"/>
      <c r="G76" s="382"/>
      <c r="H76" s="382"/>
      <c r="I76" s="382"/>
      <c r="J76" s="382"/>
      <c r="K76" s="382"/>
      <c r="L76" s="382"/>
      <c r="M76" s="382"/>
      <c r="N76" s="382"/>
      <c r="O76" s="382"/>
      <c r="P76" s="382"/>
      <c r="Q76" s="382"/>
      <c r="R76" s="382"/>
      <c r="S76" s="382"/>
      <c r="T76" s="382"/>
      <c r="U76" s="382"/>
      <c r="V76" s="382"/>
      <c r="W76" s="382"/>
      <c r="X76" s="382"/>
      <c r="Y76" s="382"/>
      <c r="Z76" s="382"/>
      <c r="AA76" s="382"/>
      <c r="AB76" s="382"/>
      <c r="AC76" s="382"/>
      <c r="AD76" s="382"/>
      <c r="AE76" s="382"/>
      <c r="AF76" s="382"/>
      <c r="AG76" s="382"/>
      <c r="AH76" s="382"/>
      <c r="AI76" s="382"/>
      <c r="AJ76" s="382"/>
      <c r="AK76" s="382"/>
      <c r="AL76" s="382"/>
      <c r="AM76" s="382"/>
      <c r="AN76" s="382"/>
      <c r="AO76" s="382"/>
      <c r="AP76" s="382"/>
      <c r="AQ76" s="382"/>
      <c r="AR76" s="382"/>
    </row>
    <row r="77" spans="1:44" ht="12.75" customHeight="1" x14ac:dyDescent="0.25">
      <c r="A77" s="382"/>
      <c r="B77" s="382"/>
      <c r="C77" s="382"/>
      <c r="D77" s="382"/>
      <c r="E77" s="382"/>
      <c r="F77" s="382"/>
      <c r="G77" s="382"/>
      <c r="H77" s="382"/>
      <c r="I77" s="382"/>
      <c r="J77" s="382"/>
      <c r="K77" s="382"/>
      <c r="L77" s="382"/>
      <c r="M77" s="382"/>
      <c r="N77" s="382"/>
      <c r="O77" s="382"/>
      <c r="P77" s="382"/>
      <c r="Q77" s="382"/>
      <c r="R77" s="382"/>
      <c r="S77" s="382"/>
      <c r="T77" s="382"/>
      <c r="U77" s="382"/>
      <c r="V77" s="382"/>
      <c r="W77" s="382"/>
      <c r="X77" s="382"/>
      <c r="Y77" s="382"/>
      <c r="Z77" s="382"/>
      <c r="AA77" s="382"/>
      <c r="AB77" s="382"/>
      <c r="AC77" s="382"/>
      <c r="AD77" s="382"/>
      <c r="AE77" s="382"/>
      <c r="AF77" s="382"/>
      <c r="AG77" s="382"/>
      <c r="AH77" s="382"/>
      <c r="AI77" s="382"/>
      <c r="AJ77" s="382"/>
      <c r="AK77" s="382"/>
      <c r="AL77" s="382"/>
      <c r="AM77" s="382"/>
      <c r="AN77" s="382"/>
      <c r="AO77" s="382"/>
      <c r="AP77" s="382"/>
      <c r="AQ77" s="382"/>
      <c r="AR77" s="382"/>
    </row>
    <row r="78" spans="1:44" ht="12.75" customHeight="1" x14ac:dyDescent="0.25">
      <c r="A78" s="382"/>
      <c r="B78" s="382"/>
      <c r="C78" s="382"/>
      <c r="D78" s="382"/>
      <c r="E78" s="382"/>
      <c r="F78" s="382"/>
      <c r="G78" s="382"/>
      <c r="H78" s="382"/>
      <c r="I78" s="382"/>
      <c r="J78" s="382"/>
      <c r="K78" s="382"/>
      <c r="L78" s="382"/>
      <c r="M78" s="382"/>
      <c r="N78" s="382"/>
      <c r="O78" s="382"/>
      <c r="P78" s="382"/>
      <c r="Q78" s="382"/>
      <c r="R78" s="382"/>
      <c r="S78" s="382"/>
      <c r="T78" s="382"/>
      <c r="U78" s="382"/>
      <c r="V78" s="382"/>
      <c r="W78" s="382"/>
      <c r="X78" s="382"/>
      <c r="Y78" s="382"/>
      <c r="Z78" s="382"/>
      <c r="AA78" s="382"/>
      <c r="AB78" s="382"/>
      <c r="AC78" s="382"/>
      <c r="AD78" s="382"/>
      <c r="AE78" s="382"/>
      <c r="AF78" s="382"/>
      <c r="AG78" s="382"/>
      <c r="AH78" s="382"/>
      <c r="AI78" s="382"/>
      <c r="AJ78" s="382"/>
      <c r="AK78" s="382"/>
      <c r="AL78" s="382"/>
      <c r="AM78" s="382"/>
      <c r="AN78" s="382"/>
      <c r="AO78" s="382"/>
      <c r="AP78" s="382"/>
      <c r="AQ78" s="382"/>
      <c r="AR78" s="382"/>
    </row>
    <row r="79" spans="1:44" ht="12.75" customHeight="1" x14ac:dyDescent="0.25">
      <c r="A79" s="382"/>
      <c r="B79" s="382"/>
      <c r="C79" s="382"/>
      <c r="D79" s="382"/>
      <c r="E79" s="382"/>
      <c r="F79" s="382"/>
      <c r="G79" s="382"/>
      <c r="H79" s="382"/>
      <c r="I79" s="382"/>
      <c r="J79" s="382"/>
      <c r="K79" s="382"/>
      <c r="L79" s="382"/>
      <c r="M79" s="382"/>
      <c r="N79" s="382"/>
      <c r="O79" s="382"/>
      <c r="P79" s="382"/>
      <c r="Q79" s="382"/>
      <c r="R79" s="382"/>
      <c r="S79" s="382"/>
      <c r="T79" s="382"/>
      <c r="U79" s="382"/>
      <c r="V79" s="382"/>
      <c r="W79" s="382"/>
      <c r="X79" s="382"/>
      <c r="Y79" s="382"/>
      <c r="Z79" s="382"/>
      <c r="AA79" s="382"/>
      <c r="AB79" s="382"/>
      <c r="AC79" s="382"/>
      <c r="AD79" s="382"/>
      <c r="AE79" s="382"/>
      <c r="AF79" s="382"/>
      <c r="AG79" s="382"/>
      <c r="AH79" s="382"/>
      <c r="AI79" s="382"/>
      <c r="AJ79" s="382"/>
      <c r="AK79" s="382"/>
      <c r="AL79" s="382"/>
      <c r="AM79" s="382"/>
      <c r="AN79" s="382"/>
      <c r="AO79" s="382"/>
      <c r="AP79" s="382"/>
      <c r="AQ79" s="382"/>
      <c r="AR79" s="382"/>
    </row>
    <row r="80" spans="1:44" ht="12.75" customHeight="1" x14ac:dyDescent="0.25">
      <c r="A80" s="382"/>
      <c r="B80" s="382"/>
      <c r="C80" s="382"/>
      <c r="D80" s="382"/>
      <c r="E80" s="382"/>
      <c r="F80" s="382"/>
      <c r="G80" s="382"/>
      <c r="H80" s="382"/>
      <c r="I80" s="382"/>
      <c r="J80" s="382"/>
      <c r="K80" s="382"/>
      <c r="L80" s="382"/>
      <c r="M80" s="382"/>
      <c r="N80" s="382"/>
      <c r="O80" s="382"/>
      <c r="P80" s="382"/>
      <c r="Q80" s="382"/>
      <c r="R80" s="382"/>
      <c r="S80" s="382"/>
      <c r="T80" s="382"/>
      <c r="U80" s="382"/>
      <c r="V80" s="382"/>
      <c r="W80" s="382"/>
      <c r="X80" s="382"/>
      <c r="Y80" s="382"/>
      <c r="Z80" s="382"/>
      <c r="AA80" s="382"/>
      <c r="AB80" s="382"/>
      <c r="AC80" s="382"/>
      <c r="AD80" s="382"/>
      <c r="AE80" s="382"/>
      <c r="AF80" s="382"/>
      <c r="AG80" s="382"/>
      <c r="AH80" s="382"/>
      <c r="AI80" s="382"/>
      <c r="AJ80" s="382"/>
      <c r="AK80" s="382"/>
      <c r="AL80" s="382"/>
      <c r="AM80" s="382"/>
      <c r="AN80" s="382"/>
      <c r="AO80" s="382"/>
      <c r="AP80" s="382"/>
      <c r="AQ80" s="382"/>
      <c r="AR80" s="382"/>
    </row>
    <row r="81" spans="1:44" ht="12.75" customHeight="1" x14ac:dyDescent="0.25">
      <c r="A81" s="382"/>
      <c r="B81" s="382"/>
      <c r="C81" s="382"/>
      <c r="D81" s="382"/>
      <c r="E81" s="382"/>
      <c r="F81" s="382"/>
      <c r="G81" s="382"/>
      <c r="H81" s="382"/>
      <c r="I81" s="382"/>
      <c r="J81" s="382"/>
      <c r="K81" s="382"/>
      <c r="L81" s="382"/>
      <c r="M81" s="382"/>
      <c r="N81" s="382"/>
      <c r="O81" s="382"/>
      <c r="P81" s="382"/>
      <c r="Q81" s="382"/>
      <c r="R81" s="382"/>
      <c r="S81" s="382"/>
      <c r="T81" s="382"/>
      <c r="U81" s="382"/>
      <c r="V81" s="382"/>
      <c r="W81" s="382"/>
      <c r="X81" s="382"/>
      <c r="Y81" s="382"/>
      <c r="Z81" s="382"/>
      <c r="AA81" s="382"/>
      <c r="AB81" s="382"/>
      <c r="AC81" s="382"/>
      <c r="AD81" s="382"/>
      <c r="AE81" s="382"/>
      <c r="AF81" s="382"/>
      <c r="AG81" s="382"/>
      <c r="AH81" s="382"/>
      <c r="AI81" s="382"/>
      <c r="AJ81" s="382"/>
      <c r="AK81" s="382"/>
      <c r="AL81" s="382"/>
      <c r="AM81" s="382"/>
      <c r="AN81" s="382"/>
      <c r="AO81" s="382"/>
      <c r="AP81" s="382"/>
      <c r="AQ81" s="382"/>
      <c r="AR81" s="382"/>
    </row>
    <row r="82" spans="1:44" ht="12.75" customHeight="1" x14ac:dyDescent="0.25">
      <c r="A82" s="382"/>
      <c r="B82" s="382"/>
      <c r="C82" s="382"/>
      <c r="D82" s="382"/>
      <c r="E82" s="382"/>
      <c r="F82" s="382"/>
      <c r="G82" s="382"/>
      <c r="H82" s="382"/>
      <c r="I82" s="382"/>
      <c r="J82" s="382"/>
      <c r="K82" s="382"/>
      <c r="L82" s="382"/>
      <c r="M82" s="382"/>
      <c r="N82" s="382"/>
      <c r="O82" s="382"/>
      <c r="P82" s="382"/>
      <c r="Q82" s="382"/>
      <c r="R82" s="382"/>
      <c r="S82" s="382"/>
      <c r="T82" s="382"/>
      <c r="U82" s="382"/>
      <c r="V82" s="382"/>
      <c r="W82" s="382"/>
      <c r="X82" s="382"/>
      <c r="Y82" s="382"/>
      <c r="Z82" s="382"/>
      <c r="AA82" s="382"/>
      <c r="AB82" s="382"/>
      <c r="AC82" s="382"/>
      <c r="AD82" s="382"/>
      <c r="AE82" s="382"/>
      <c r="AF82" s="382"/>
      <c r="AG82" s="382"/>
      <c r="AH82" s="382"/>
      <c r="AI82" s="382"/>
      <c r="AJ82" s="382"/>
      <c r="AK82" s="382"/>
      <c r="AL82" s="382"/>
      <c r="AM82" s="382"/>
      <c r="AN82" s="382"/>
      <c r="AO82" s="382"/>
      <c r="AP82" s="382"/>
      <c r="AQ82" s="382"/>
      <c r="AR82" s="382"/>
    </row>
    <row r="83" spans="1:44" ht="12.75" customHeight="1" x14ac:dyDescent="0.25">
      <c r="A83" s="382"/>
      <c r="B83" s="382"/>
      <c r="C83" s="382"/>
      <c r="D83" s="382"/>
      <c r="E83" s="382"/>
      <c r="F83" s="382"/>
      <c r="G83" s="382"/>
      <c r="H83" s="382"/>
      <c r="I83" s="382"/>
      <c r="J83" s="382"/>
      <c r="K83" s="382"/>
      <c r="L83" s="382"/>
      <c r="M83" s="382"/>
      <c r="N83" s="382"/>
      <c r="O83" s="382"/>
      <c r="P83" s="382"/>
      <c r="Q83" s="382"/>
      <c r="R83" s="382"/>
      <c r="S83" s="382"/>
      <c r="T83" s="382"/>
      <c r="U83" s="382"/>
      <c r="V83" s="382"/>
      <c r="W83" s="382"/>
      <c r="X83" s="382"/>
      <c r="Y83" s="382"/>
      <c r="Z83" s="382"/>
      <c r="AA83" s="382"/>
      <c r="AB83" s="382"/>
      <c r="AC83" s="382"/>
      <c r="AD83" s="382"/>
      <c r="AE83" s="382"/>
      <c r="AF83" s="382"/>
      <c r="AG83" s="382"/>
      <c r="AH83" s="382"/>
      <c r="AI83" s="382"/>
      <c r="AJ83" s="382"/>
      <c r="AK83" s="382"/>
      <c r="AL83" s="382"/>
      <c r="AM83" s="382"/>
      <c r="AN83" s="382"/>
      <c r="AO83" s="382"/>
      <c r="AP83" s="382"/>
      <c r="AQ83" s="382"/>
      <c r="AR83" s="382"/>
    </row>
    <row r="84" spans="1:44" ht="12.75" customHeight="1" x14ac:dyDescent="0.25">
      <c r="A84" s="382"/>
      <c r="B84" s="382"/>
      <c r="C84" s="382"/>
      <c r="D84" s="382"/>
      <c r="E84" s="382"/>
      <c r="F84" s="382"/>
      <c r="G84" s="382"/>
      <c r="H84" s="382"/>
      <c r="I84" s="382"/>
      <c r="J84" s="382"/>
      <c r="K84" s="382"/>
      <c r="L84" s="382"/>
      <c r="M84" s="382"/>
      <c r="N84" s="382"/>
      <c r="O84" s="382"/>
      <c r="P84" s="382"/>
      <c r="Q84" s="382"/>
      <c r="R84" s="382"/>
      <c r="S84" s="382"/>
      <c r="T84" s="382"/>
      <c r="U84" s="382"/>
      <c r="V84" s="382"/>
      <c r="W84" s="382"/>
      <c r="X84" s="382"/>
      <c r="Y84" s="382"/>
      <c r="Z84" s="382"/>
      <c r="AA84" s="382"/>
      <c r="AB84" s="382"/>
      <c r="AC84" s="382"/>
      <c r="AD84" s="382"/>
      <c r="AE84" s="382"/>
      <c r="AF84" s="382"/>
      <c r="AG84" s="382"/>
      <c r="AH84" s="382"/>
      <c r="AI84" s="382"/>
      <c r="AJ84" s="382"/>
      <c r="AK84" s="382"/>
      <c r="AL84" s="382"/>
      <c r="AM84" s="382"/>
      <c r="AN84" s="382"/>
      <c r="AO84" s="382"/>
      <c r="AP84" s="382"/>
      <c r="AQ84" s="382"/>
      <c r="AR84" s="382"/>
    </row>
    <row r="85" spans="1:44" ht="12.75" customHeight="1" x14ac:dyDescent="0.25">
      <c r="A85" s="382"/>
      <c r="B85" s="382"/>
      <c r="C85" s="382"/>
      <c r="D85" s="382"/>
      <c r="E85" s="382"/>
      <c r="F85" s="382"/>
      <c r="G85" s="382"/>
      <c r="H85" s="382"/>
      <c r="I85" s="382"/>
      <c r="J85" s="382"/>
      <c r="K85" s="382"/>
      <c r="L85" s="382"/>
      <c r="M85" s="382"/>
      <c r="N85" s="382"/>
      <c r="O85" s="382"/>
      <c r="P85" s="382"/>
      <c r="Q85" s="382"/>
      <c r="R85" s="382"/>
      <c r="S85" s="382"/>
      <c r="T85" s="382"/>
      <c r="U85" s="382"/>
      <c r="V85" s="382"/>
      <c r="W85" s="382"/>
      <c r="X85" s="382"/>
      <c r="Y85" s="382"/>
      <c r="Z85" s="382"/>
      <c r="AA85" s="382"/>
      <c r="AB85" s="382"/>
      <c r="AC85" s="382"/>
      <c r="AD85" s="382"/>
      <c r="AE85" s="382"/>
      <c r="AF85" s="382"/>
      <c r="AG85" s="382"/>
      <c r="AH85" s="382"/>
      <c r="AI85" s="382"/>
      <c r="AJ85" s="382"/>
      <c r="AK85" s="382"/>
      <c r="AL85" s="382"/>
      <c r="AM85" s="382"/>
      <c r="AN85" s="382"/>
      <c r="AO85" s="382"/>
      <c r="AP85" s="382"/>
      <c r="AQ85" s="382"/>
      <c r="AR85" s="382"/>
    </row>
    <row r="86" spans="1:44" ht="12.75" customHeight="1" x14ac:dyDescent="0.25">
      <c r="A86" s="382"/>
      <c r="B86" s="382"/>
      <c r="C86" s="382"/>
      <c r="D86" s="382"/>
      <c r="E86" s="382"/>
      <c r="F86" s="382"/>
      <c r="G86" s="382"/>
      <c r="H86" s="382"/>
      <c r="I86" s="382"/>
      <c r="J86" s="382"/>
      <c r="K86" s="382"/>
      <c r="L86" s="382"/>
      <c r="M86" s="382"/>
      <c r="N86" s="382"/>
      <c r="O86" s="382"/>
      <c r="P86" s="382"/>
      <c r="Q86" s="382"/>
      <c r="R86" s="382"/>
      <c r="S86" s="382"/>
      <c r="T86" s="382"/>
      <c r="U86" s="382"/>
      <c r="V86" s="382"/>
      <c r="W86" s="382"/>
      <c r="X86" s="382"/>
      <c r="Y86" s="382"/>
      <c r="Z86" s="382"/>
      <c r="AA86" s="382"/>
      <c r="AB86" s="382"/>
      <c r="AC86" s="382"/>
      <c r="AD86" s="382"/>
      <c r="AE86" s="382"/>
      <c r="AF86" s="382"/>
      <c r="AG86" s="382"/>
      <c r="AH86" s="382"/>
      <c r="AI86" s="382"/>
      <c r="AJ86" s="382"/>
      <c r="AK86" s="382"/>
      <c r="AL86" s="382"/>
      <c r="AM86" s="382"/>
      <c r="AN86" s="382"/>
      <c r="AO86" s="382"/>
      <c r="AP86" s="382"/>
      <c r="AQ86" s="382"/>
      <c r="AR86" s="382"/>
    </row>
    <row r="87" spans="1:44" ht="12.75" customHeight="1" x14ac:dyDescent="0.25">
      <c r="A87" s="382"/>
      <c r="B87" s="382"/>
      <c r="C87" s="382"/>
      <c r="D87" s="382"/>
      <c r="E87" s="382"/>
      <c r="F87" s="382"/>
      <c r="G87" s="382"/>
      <c r="H87" s="382"/>
      <c r="I87" s="382"/>
      <c r="J87" s="382"/>
      <c r="K87" s="382"/>
      <c r="L87" s="382"/>
      <c r="M87" s="382"/>
      <c r="N87" s="382"/>
      <c r="O87" s="382"/>
      <c r="P87" s="382"/>
      <c r="Q87" s="382"/>
      <c r="R87" s="382"/>
      <c r="S87" s="382"/>
      <c r="T87" s="382"/>
      <c r="U87" s="382"/>
      <c r="V87" s="382"/>
      <c r="W87" s="382"/>
      <c r="X87" s="382"/>
      <c r="Y87" s="382"/>
      <c r="Z87" s="382"/>
      <c r="AA87" s="382"/>
      <c r="AB87" s="382"/>
      <c r="AC87" s="382"/>
      <c r="AD87" s="382"/>
      <c r="AE87" s="382"/>
      <c r="AF87" s="382"/>
      <c r="AG87" s="382"/>
      <c r="AH87" s="382"/>
      <c r="AI87" s="382"/>
      <c r="AJ87" s="382"/>
      <c r="AK87" s="382"/>
      <c r="AL87" s="382"/>
      <c r="AM87" s="382"/>
      <c r="AN87" s="382"/>
      <c r="AO87" s="382"/>
      <c r="AP87" s="382"/>
      <c r="AQ87" s="382"/>
      <c r="AR87" s="382"/>
    </row>
    <row r="88" spans="1:44" ht="12.75" customHeight="1" x14ac:dyDescent="0.25">
      <c r="A88" s="382"/>
      <c r="B88" s="382"/>
      <c r="C88" s="382"/>
      <c r="D88" s="382"/>
      <c r="E88" s="382"/>
      <c r="F88" s="382"/>
      <c r="G88" s="382"/>
      <c r="H88" s="382"/>
      <c r="I88" s="382"/>
      <c r="J88" s="382"/>
      <c r="K88" s="382"/>
      <c r="L88" s="382"/>
      <c r="M88" s="382"/>
      <c r="N88" s="382"/>
      <c r="O88" s="382"/>
      <c r="P88" s="382"/>
      <c r="Q88" s="382"/>
      <c r="R88" s="382"/>
      <c r="S88" s="382"/>
      <c r="T88" s="382"/>
      <c r="U88" s="382"/>
      <c r="V88" s="382"/>
      <c r="W88" s="382"/>
      <c r="X88" s="382"/>
      <c r="Y88" s="382"/>
      <c r="Z88" s="382"/>
      <c r="AA88" s="382"/>
      <c r="AB88" s="382"/>
      <c r="AC88" s="382"/>
      <c r="AD88" s="382"/>
      <c r="AE88" s="382"/>
      <c r="AF88" s="382"/>
      <c r="AG88" s="382"/>
      <c r="AH88" s="382"/>
      <c r="AI88" s="382"/>
      <c r="AJ88" s="382"/>
      <c r="AK88" s="382"/>
      <c r="AL88" s="382"/>
      <c r="AM88" s="382"/>
      <c r="AN88" s="382"/>
      <c r="AO88" s="382"/>
      <c r="AP88" s="382"/>
      <c r="AQ88" s="382"/>
      <c r="AR88" s="382"/>
    </row>
    <row r="89" spans="1:44" ht="12.75" customHeight="1" x14ac:dyDescent="0.25">
      <c r="A89" s="382"/>
      <c r="B89" s="382"/>
      <c r="C89" s="382"/>
      <c r="D89" s="382"/>
      <c r="E89" s="382"/>
      <c r="F89" s="382"/>
      <c r="G89" s="382"/>
      <c r="H89" s="382"/>
      <c r="I89" s="382"/>
      <c r="J89" s="382"/>
      <c r="K89" s="382"/>
      <c r="L89" s="382"/>
      <c r="M89" s="382"/>
      <c r="N89" s="382"/>
      <c r="O89" s="382"/>
      <c r="P89" s="382"/>
      <c r="Q89" s="382"/>
      <c r="R89" s="382"/>
      <c r="S89" s="382"/>
      <c r="T89" s="382"/>
      <c r="U89" s="382"/>
      <c r="V89" s="382"/>
      <c r="W89" s="382"/>
      <c r="X89" s="382"/>
      <c r="Y89" s="382"/>
      <c r="Z89" s="382"/>
      <c r="AA89" s="382"/>
      <c r="AB89" s="382"/>
      <c r="AC89" s="382"/>
      <c r="AD89" s="382"/>
      <c r="AE89" s="382"/>
      <c r="AF89" s="382"/>
      <c r="AG89" s="382"/>
      <c r="AH89" s="382"/>
      <c r="AI89" s="382"/>
      <c r="AJ89" s="382"/>
      <c r="AK89" s="382"/>
      <c r="AL89" s="382"/>
      <c r="AM89" s="382"/>
      <c r="AN89" s="382"/>
      <c r="AO89" s="382"/>
      <c r="AP89" s="382"/>
      <c r="AQ89" s="382"/>
      <c r="AR89" s="382"/>
    </row>
    <row r="90" spans="1:44" ht="12.75" customHeight="1" x14ac:dyDescent="0.25">
      <c r="A90" s="382"/>
      <c r="B90" s="382"/>
      <c r="C90" s="382"/>
      <c r="D90" s="382"/>
      <c r="E90" s="382"/>
      <c r="F90" s="382"/>
      <c r="G90" s="382"/>
      <c r="H90" s="382"/>
      <c r="I90" s="382"/>
      <c r="J90" s="382"/>
      <c r="K90" s="382"/>
      <c r="L90" s="382"/>
      <c r="M90" s="382"/>
      <c r="N90" s="382"/>
      <c r="O90" s="382"/>
      <c r="P90" s="382"/>
      <c r="Q90" s="382"/>
      <c r="R90" s="382"/>
      <c r="S90" s="382"/>
      <c r="T90" s="382"/>
      <c r="U90" s="382"/>
      <c r="V90" s="382"/>
      <c r="W90" s="382"/>
      <c r="X90" s="382"/>
      <c r="Y90" s="382"/>
      <c r="Z90" s="382"/>
      <c r="AA90" s="382"/>
      <c r="AB90" s="382"/>
      <c r="AC90" s="382"/>
      <c r="AD90" s="382"/>
      <c r="AE90" s="382"/>
      <c r="AF90" s="382"/>
      <c r="AG90" s="382"/>
      <c r="AH90" s="382"/>
      <c r="AI90" s="382"/>
      <c r="AJ90" s="382"/>
      <c r="AK90" s="382"/>
      <c r="AL90" s="382"/>
      <c r="AM90" s="382"/>
      <c r="AN90" s="382"/>
      <c r="AO90" s="382"/>
      <c r="AP90" s="382"/>
      <c r="AQ90" s="382"/>
      <c r="AR90" s="382"/>
    </row>
    <row r="91" spans="1:44" ht="12.75" customHeight="1" x14ac:dyDescent="0.25">
      <c r="A91" s="382"/>
      <c r="B91" s="382"/>
      <c r="C91" s="382"/>
      <c r="D91" s="382"/>
      <c r="E91" s="382"/>
      <c r="F91" s="382"/>
      <c r="G91" s="382"/>
      <c r="H91" s="382"/>
      <c r="I91" s="382"/>
      <c r="J91" s="382"/>
      <c r="K91" s="382"/>
      <c r="L91" s="382"/>
      <c r="M91" s="382"/>
      <c r="N91" s="382"/>
      <c r="O91" s="382"/>
      <c r="P91" s="382"/>
      <c r="Q91" s="382"/>
      <c r="R91" s="382"/>
      <c r="S91" s="382"/>
      <c r="T91" s="382"/>
      <c r="U91" s="382"/>
      <c r="V91" s="382"/>
      <c r="W91" s="382"/>
      <c r="X91" s="382"/>
      <c r="Y91" s="382"/>
      <c r="Z91" s="382"/>
      <c r="AA91" s="382"/>
      <c r="AB91" s="382"/>
      <c r="AC91" s="382"/>
      <c r="AD91" s="382"/>
      <c r="AE91" s="382"/>
      <c r="AF91" s="382"/>
      <c r="AG91" s="382"/>
      <c r="AH91" s="382"/>
      <c r="AI91" s="382"/>
      <c r="AJ91" s="382"/>
      <c r="AK91" s="382"/>
      <c r="AL91" s="382"/>
      <c r="AM91" s="382"/>
      <c r="AN91" s="382"/>
      <c r="AO91" s="382"/>
      <c r="AP91" s="382"/>
      <c r="AQ91" s="382"/>
      <c r="AR91" s="382"/>
    </row>
    <row r="92" spans="1:44" ht="12.75" customHeight="1" x14ac:dyDescent="0.25">
      <c r="A92" s="382"/>
      <c r="B92" s="382"/>
      <c r="C92" s="382"/>
      <c r="D92" s="382"/>
      <c r="E92" s="382"/>
      <c r="F92" s="382"/>
      <c r="G92" s="382"/>
      <c r="H92" s="382"/>
      <c r="I92" s="382"/>
      <c r="J92" s="382"/>
      <c r="K92" s="382"/>
      <c r="L92" s="382"/>
      <c r="M92" s="382"/>
      <c r="N92" s="382"/>
      <c r="O92" s="382"/>
      <c r="P92" s="382"/>
      <c r="Q92" s="382"/>
      <c r="R92" s="382"/>
      <c r="S92" s="382"/>
      <c r="T92" s="382"/>
      <c r="U92" s="382"/>
      <c r="V92" s="382"/>
      <c r="W92" s="382"/>
      <c r="X92" s="382"/>
      <c r="Y92" s="382"/>
      <c r="Z92" s="382"/>
      <c r="AA92" s="382"/>
      <c r="AB92" s="382"/>
      <c r="AC92" s="382"/>
      <c r="AD92" s="382"/>
      <c r="AE92" s="382"/>
      <c r="AF92" s="382"/>
      <c r="AG92" s="382"/>
      <c r="AH92" s="382"/>
      <c r="AI92" s="382"/>
      <c r="AJ92" s="382"/>
      <c r="AK92" s="382"/>
      <c r="AL92" s="382"/>
      <c r="AM92" s="382"/>
      <c r="AN92" s="382"/>
      <c r="AO92" s="382"/>
      <c r="AP92" s="382"/>
      <c r="AQ92" s="382"/>
      <c r="AR92" s="382"/>
    </row>
    <row r="93" spans="1:44" ht="12.75" customHeight="1" x14ac:dyDescent="0.25">
      <c r="A93" s="382"/>
      <c r="B93" s="382"/>
      <c r="C93" s="382"/>
      <c r="D93" s="382"/>
      <c r="E93" s="382"/>
      <c r="F93" s="382"/>
      <c r="G93" s="382"/>
      <c r="H93" s="382"/>
      <c r="I93" s="382"/>
      <c r="J93" s="382"/>
      <c r="K93" s="382"/>
      <c r="L93" s="382"/>
      <c r="M93" s="382"/>
      <c r="N93" s="382"/>
      <c r="O93" s="382"/>
      <c r="P93" s="382"/>
      <c r="Q93" s="382"/>
      <c r="R93" s="382"/>
      <c r="S93" s="382"/>
      <c r="T93" s="382"/>
      <c r="U93" s="382"/>
      <c r="V93" s="382"/>
      <c r="W93" s="382"/>
      <c r="X93" s="382"/>
      <c r="Y93" s="382"/>
      <c r="Z93" s="382"/>
      <c r="AA93" s="382"/>
      <c r="AB93" s="382"/>
      <c r="AC93" s="382"/>
      <c r="AD93" s="382"/>
      <c r="AE93" s="382"/>
      <c r="AF93" s="382"/>
      <c r="AG93" s="382"/>
      <c r="AH93" s="382"/>
      <c r="AI93" s="382"/>
      <c r="AJ93" s="382"/>
      <c r="AK93" s="382"/>
      <c r="AL93" s="382"/>
      <c r="AM93" s="382"/>
      <c r="AN93" s="382"/>
      <c r="AO93" s="382"/>
      <c r="AP93" s="382"/>
      <c r="AQ93" s="382"/>
      <c r="AR93" s="382"/>
    </row>
    <row r="94" spans="1:44" ht="12.75" customHeight="1" x14ac:dyDescent="0.25">
      <c r="A94" s="382"/>
      <c r="B94" s="382"/>
      <c r="C94" s="382"/>
      <c r="D94" s="382"/>
      <c r="E94" s="382"/>
      <c r="F94" s="382"/>
      <c r="G94" s="382"/>
      <c r="H94" s="382"/>
      <c r="I94" s="382"/>
      <c r="J94" s="382"/>
      <c r="K94" s="382"/>
      <c r="L94" s="382"/>
      <c r="M94" s="382"/>
      <c r="N94" s="382"/>
      <c r="O94" s="382"/>
      <c r="P94" s="382"/>
      <c r="Q94" s="382"/>
      <c r="R94" s="382"/>
      <c r="S94" s="382"/>
      <c r="T94" s="382"/>
      <c r="U94" s="382"/>
      <c r="V94" s="382"/>
      <c r="W94" s="382"/>
      <c r="X94" s="382"/>
      <c r="Y94" s="382"/>
      <c r="Z94" s="382"/>
      <c r="AA94" s="382"/>
      <c r="AB94" s="382"/>
      <c r="AC94" s="382"/>
      <c r="AD94" s="382"/>
      <c r="AE94" s="382"/>
      <c r="AF94" s="382"/>
      <c r="AG94" s="382"/>
      <c r="AH94" s="382"/>
      <c r="AI94" s="382"/>
      <c r="AJ94" s="382"/>
      <c r="AK94" s="382"/>
      <c r="AL94" s="382"/>
      <c r="AM94" s="382"/>
      <c r="AN94" s="382"/>
      <c r="AO94" s="382"/>
      <c r="AP94" s="382"/>
      <c r="AQ94" s="382"/>
      <c r="AR94" s="382"/>
    </row>
    <row r="95" spans="1:44" ht="12.75" customHeight="1" x14ac:dyDescent="0.25">
      <c r="A95" s="382"/>
      <c r="B95" s="382"/>
      <c r="C95" s="382"/>
      <c r="D95" s="382"/>
      <c r="E95" s="382"/>
      <c r="F95" s="382"/>
      <c r="G95" s="382"/>
      <c r="H95" s="382"/>
      <c r="I95" s="382"/>
      <c r="J95" s="382"/>
      <c r="K95" s="382"/>
      <c r="L95" s="382"/>
      <c r="M95" s="382"/>
      <c r="N95" s="382"/>
      <c r="O95" s="382"/>
      <c r="P95" s="382"/>
      <c r="Q95" s="382"/>
      <c r="R95" s="382"/>
      <c r="S95" s="382"/>
      <c r="T95" s="382"/>
      <c r="U95" s="382"/>
      <c r="V95" s="382"/>
      <c r="W95" s="382"/>
      <c r="X95" s="382"/>
      <c r="Y95" s="382"/>
      <c r="Z95" s="382"/>
      <c r="AA95" s="382"/>
      <c r="AB95" s="382"/>
      <c r="AC95" s="382"/>
      <c r="AD95" s="382"/>
      <c r="AE95" s="382"/>
      <c r="AF95" s="382"/>
      <c r="AG95" s="382"/>
      <c r="AH95" s="382"/>
      <c r="AI95" s="382"/>
      <c r="AJ95" s="382"/>
      <c r="AK95" s="382"/>
      <c r="AL95" s="382"/>
      <c r="AM95" s="382"/>
      <c r="AN95" s="382"/>
      <c r="AO95" s="382"/>
      <c r="AP95" s="382"/>
      <c r="AQ95" s="382"/>
      <c r="AR95" s="382"/>
    </row>
    <row r="96" spans="1:44" ht="12.75" customHeight="1" x14ac:dyDescent="0.25">
      <c r="A96" s="382"/>
      <c r="B96" s="382"/>
      <c r="C96" s="382"/>
      <c r="D96" s="382"/>
      <c r="E96" s="382"/>
      <c r="F96" s="382"/>
      <c r="G96" s="382"/>
      <c r="H96" s="382"/>
      <c r="I96" s="382"/>
      <c r="J96" s="382"/>
      <c r="K96" s="382"/>
      <c r="L96" s="382"/>
      <c r="M96" s="382"/>
      <c r="N96" s="382"/>
      <c r="O96" s="382"/>
      <c r="P96" s="382"/>
      <c r="Q96" s="382"/>
      <c r="R96" s="382"/>
      <c r="S96" s="382"/>
      <c r="T96" s="382"/>
      <c r="U96" s="382"/>
      <c r="V96" s="382"/>
      <c r="W96" s="382"/>
      <c r="X96" s="382"/>
      <c r="Y96" s="382"/>
      <c r="Z96" s="382"/>
      <c r="AA96" s="382"/>
      <c r="AB96" s="382"/>
      <c r="AC96" s="382"/>
      <c r="AD96" s="382"/>
      <c r="AE96" s="382"/>
      <c r="AF96" s="382"/>
      <c r="AG96" s="382"/>
      <c r="AH96" s="382"/>
      <c r="AI96" s="382"/>
      <c r="AJ96" s="382"/>
      <c r="AK96" s="382"/>
      <c r="AL96" s="382"/>
      <c r="AM96" s="382"/>
      <c r="AN96" s="382"/>
      <c r="AO96" s="382"/>
      <c r="AP96" s="382"/>
      <c r="AQ96" s="382"/>
      <c r="AR96" s="382"/>
    </row>
    <row r="97" spans="1:44" ht="12.75" customHeight="1" x14ac:dyDescent="0.25">
      <c r="A97" s="382"/>
      <c r="B97" s="382"/>
      <c r="C97" s="382"/>
      <c r="D97" s="382"/>
      <c r="E97" s="382"/>
      <c r="F97" s="382"/>
      <c r="G97" s="382"/>
      <c r="H97" s="382"/>
      <c r="I97" s="382"/>
      <c r="J97" s="382"/>
      <c r="K97" s="382"/>
      <c r="L97" s="382"/>
      <c r="M97" s="382"/>
      <c r="N97" s="382"/>
      <c r="O97" s="382"/>
      <c r="P97" s="382"/>
      <c r="Q97" s="382"/>
      <c r="R97" s="382"/>
      <c r="S97" s="382"/>
      <c r="T97" s="382"/>
      <c r="U97" s="382"/>
      <c r="V97" s="382"/>
      <c r="W97" s="382"/>
      <c r="X97" s="382"/>
      <c r="Y97" s="382"/>
      <c r="Z97" s="382"/>
      <c r="AA97" s="382"/>
      <c r="AB97" s="382"/>
      <c r="AC97" s="382"/>
      <c r="AD97" s="382"/>
      <c r="AE97" s="382"/>
      <c r="AF97" s="382"/>
      <c r="AG97" s="382"/>
      <c r="AH97" s="382"/>
      <c r="AI97" s="382"/>
      <c r="AJ97" s="382"/>
      <c r="AK97" s="382"/>
      <c r="AL97" s="382"/>
      <c r="AM97" s="382"/>
      <c r="AN97" s="382"/>
      <c r="AO97" s="382"/>
      <c r="AP97" s="382"/>
      <c r="AQ97" s="382"/>
      <c r="AR97" s="382"/>
    </row>
    <row r="98" spans="1:44" ht="12.75" customHeight="1" x14ac:dyDescent="0.25">
      <c r="A98" s="382"/>
      <c r="B98" s="382"/>
      <c r="C98" s="382"/>
      <c r="D98" s="382"/>
      <c r="E98" s="382"/>
      <c r="F98" s="382"/>
      <c r="G98" s="382"/>
      <c r="H98" s="382"/>
      <c r="I98" s="382"/>
      <c r="J98" s="382"/>
      <c r="K98" s="382"/>
      <c r="L98" s="382"/>
      <c r="M98" s="382"/>
      <c r="N98" s="382"/>
      <c r="O98" s="382"/>
      <c r="P98" s="382"/>
      <c r="Q98" s="382"/>
      <c r="R98" s="382"/>
      <c r="S98" s="382"/>
      <c r="T98" s="382"/>
      <c r="U98" s="382"/>
      <c r="V98" s="382"/>
      <c r="W98" s="382"/>
      <c r="X98" s="382"/>
      <c r="Y98" s="382"/>
      <c r="Z98" s="382"/>
      <c r="AA98" s="382"/>
      <c r="AB98" s="382"/>
      <c r="AC98" s="382"/>
      <c r="AD98" s="382"/>
      <c r="AE98" s="382"/>
      <c r="AF98" s="382"/>
      <c r="AG98" s="382"/>
      <c r="AH98" s="382"/>
      <c r="AI98" s="382"/>
      <c r="AJ98" s="382"/>
      <c r="AK98" s="382"/>
      <c r="AL98" s="382"/>
      <c r="AM98" s="382"/>
      <c r="AN98" s="382"/>
      <c r="AO98" s="382"/>
      <c r="AP98" s="382"/>
      <c r="AQ98" s="382"/>
      <c r="AR98" s="382"/>
    </row>
    <row r="99" spans="1:44" ht="12.75" customHeight="1" x14ac:dyDescent="0.25">
      <c r="A99" s="382"/>
      <c r="B99" s="382"/>
      <c r="C99" s="382"/>
      <c r="D99" s="382"/>
      <c r="E99" s="382"/>
      <c r="F99" s="382"/>
      <c r="G99" s="382"/>
      <c r="H99" s="382"/>
      <c r="I99" s="382"/>
      <c r="J99" s="382"/>
      <c r="K99" s="382"/>
      <c r="L99" s="382"/>
      <c r="M99" s="382"/>
      <c r="N99" s="382"/>
      <c r="O99" s="382"/>
      <c r="P99" s="382"/>
      <c r="Q99" s="382"/>
      <c r="R99" s="382"/>
      <c r="S99" s="382"/>
      <c r="T99" s="382"/>
      <c r="U99" s="382"/>
      <c r="V99" s="382"/>
      <c r="W99" s="382"/>
      <c r="X99" s="382"/>
      <c r="Y99" s="382"/>
      <c r="Z99" s="382"/>
      <c r="AA99" s="382"/>
      <c r="AB99" s="382"/>
      <c r="AC99" s="382"/>
      <c r="AD99" s="382"/>
      <c r="AE99" s="382"/>
      <c r="AF99" s="382"/>
      <c r="AG99" s="382"/>
      <c r="AH99" s="382"/>
      <c r="AI99" s="382"/>
      <c r="AJ99" s="382"/>
      <c r="AK99" s="382"/>
      <c r="AL99" s="382"/>
      <c r="AM99" s="382"/>
      <c r="AN99" s="382"/>
      <c r="AO99" s="382"/>
      <c r="AP99" s="382"/>
      <c r="AQ99" s="382"/>
      <c r="AR99" s="382"/>
    </row>
    <row r="100" spans="1:44" ht="12.75" customHeight="1" x14ac:dyDescent="0.25">
      <c r="A100" s="382"/>
      <c r="B100" s="382"/>
      <c r="C100" s="382"/>
      <c r="D100" s="382"/>
      <c r="E100" s="382"/>
      <c r="F100" s="382"/>
      <c r="G100" s="382"/>
      <c r="H100" s="382"/>
      <c r="I100" s="382"/>
      <c r="J100" s="382"/>
      <c r="K100" s="382"/>
      <c r="L100" s="382"/>
      <c r="M100" s="382"/>
      <c r="N100" s="382"/>
      <c r="O100" s="382"/>
      <c r="P100" s="382"/>
      <c r="Q100" s="382"/>
      <c r="R100" s="382"/>
      <c r="S100" s="382"/>
      <c r="T100" s="382"/>
      <c r="U100" s="382"/>
      <c r="V100" s="382"/>
      <c r="W100" s="382"/>
      <c r="X100" s="382"/>
      <c r="Y100" s="382"/>
      <c r="Z100" s="382"/>
      <c r="AA100" s="382"/>
      <c r="AB100" s="382"/>
      <c r="AC100" s="382"/>
      <c r="AD100" s="382"/>
      <c r="AE100" s="382"/>
      <c r="AF100" s="382"/>
      <c r="AG100" s="382"/>
      <c r="AH100" s="382"/>
      <c r="AI100" s="382"/>
      <c r="AJ100" s="382"/>
      <c r="AK100" s="382"/>
      <c r="AL100" s="382"/>
      <c r="AM100" s="382"/>
      <c r="AN100" s="382"/>
      <c r="AO100" s="382"/>
      <c r="AP100" s="382"/>
      <c r="AQ100" s="382"/>
      <c r="AR100" s="382"/>
    </row>
    <row r="101" spans="1:44" ht="12.75" customHeight="1" x14ac:dyDescent="0.25">
      <c r="A101" s="382"/>
      <c r="B101" s="382"/>
      <c r="C101" s="382"/>
      <c r="D101" s="382"/>
      <c r="E101" s="382"/>
      <c r="F101" s="382"/>
      <c r="G101" s="382"/>
      <c r="H101" s="382"/>
      <c r="I101" s="382"/>
      <c r="J101" s="382"/>
      <c r="K101" s="382"/>
      <c r="L101" s="382"/>
      <c r="M101" s="382"/>
      <c r="N101" s="382"/>
      <c r="O101" s="382"/>
      <c r="P101" s="382"/>
      <c r="Q101" s="382"/>
      <c r="R101" s="382"/>
      <c r="S101" s="382"/>
      <c r="T101" s="382"/>
      <c r="U101" s="382"/>
      <c r="V101" s="382"/>
      <c r="W101" s="382"/>
      <c r="X101" s="382"/>
      <c r="Y101" s="382"/>
      <c r="Z101" s="382"/>
      <c r="AA101" s="382"/>
      <c r="AB101" s="382"/>
      <c r="AC101" s="382"/>
      <c r="AD101" s="382"/>
      <c r="AE101" s="382"/>
      <c r="AF101" s="382"/>
      <c r="AG101" s="382"/>
      <c r="AH101" s="382"/>
      <c r="AI101" s="382"/>
      <c r="AJ101" s="382"/>
      <c r="AK101" s="382"/>
      <c r="AL101" s="382"/>
      <c r="AM101" s="382"/>
      <c r="AN101" s="382"/>
      <c r="AO101" s="382"/>
      <c r="AP101" s="382"/>
      <c r="AQ101" s="382"/>
      <c r="AR101" s="382"/>
    </row>
    <row r="102" spans="1:44" ht="12.75" customHeight="1" x14ac:dyDescent="0.25">
      <c r="A102" s="382"/>
      <c r="B102" s="382"/>
      <c r="C102" s="382"/>
      <c r="D102" s="382"/>
      <c r="E102" s="382"/>
      <c r="F102" s="382"/>
      <c r="G102" s="382"/>
      <c r="H102" s="382"/>
      <c r="I102" s="382"/>
      <c r="J102" s="382"/>
      <c r="K102" s="382"/>
      <c r="L102" s="382"/>
      <c r="M102" s="382"/>
      <c r="N102" s="382"/>
      <c r="O102" s="382"/>
      <c r="P102" s="382"/>
      <c r="Q102" s="382"/>
      <c r="R102" s="382"/>
      <c r="S102" s="382"/>
      <c r="T102" s="382"/>
      <c r="U102" s="382"/>
      <c r="V102" s="382"/>
      <c r="W102" s="382"/>
      <c r="X102" s="382"/>
      <c r="Y102" s="382"/>
      <c r="Z102" s="382"/>
      <c r="AA102" s="382"/>
      <c r="AB102" s="382"/>
      <c r="AC102" s="382"/>
      <c r="AD102" s="382"/>
      <c r="AE102" s="382"/>
      <c r="AF102" s="382"/>
      <c r="AG102" s="382"/>
      <c r="AH102" s="382"/>
      <c r="AI102" s="382"/>
      <c r="AJ102" s="382"/>
      <c r="AK102" s="382"/>
      <c r="AL102" s="382"/>
      <c r="AM102" s="382"/>
      <c r="AN102" s="382"/>
      <c r="AO102" s="382"/>
      <c r="AP102" s="382"/>
      <c r="AQ102" s="382"/>
      <c r="AR102" s="382"/>
    </row>
    <row r="103" spans="1:44" ht="12.75" customHeight="1" x14ac:dyDescent="0.25">
      <c r="A103" s="382"/>
      <c r="B103" s="382"/>
      <c r="C103" s="382"/>
      <c r="D103" s="382"/>
      <c r="E103" s="382"/>
      <c r="F103" s="382"/>
      <c r="G103" s="382"/>
      <c r="H103" s="382"/>
      <c r="I103" s="382"/>
      <c r="J103" s="382"/>
      <c r="K103" s="382"/>
      <c r="L103" s="382"/>
      <c r="M103" s="382"/>
      <c r="N103" s="382"/>
      <c r="O103" s="382"/>
      <c r="P103" s="382"/>
      <c r="Q103" s="382"/>
      <c r="R103" s="382"/>
      <c r="S103" s="382"/>
      <c r="T103" s="382"/>
      <c r="U103" s="382"/>
      <c r="V103" s="382"/>
      <c r="W103" s="382"/>
      <c r="X103" s="382"/>
      <c r="Y103" s="382"/>
      <c r="Z103" s="382"/>
      <c r="AA103" s="382"/>
      <c r="AB103" s="382"/>
      <c r="AC103" s="382"/>
      <c r="AD103" s="382"/>
      <c r="AE103" s="382"/>
      <c r="AF103" s="382"/>
      <c r="AG103" s="382"/>
      <c r="AH103" s="382"/>
      <c r="AI103" s="382"/>
      <c r="AJ103" s="382"/>
      <c r="AK103" s="382"/>
      <c r="AL103" s="382"/>
      <c r="AM103" s="382"/>
      <c r="AN103" s="382"/>
      <c r="AO103" s="382"/>
      <c r="AP103" s="382"/>
      <c r="AQ103" s="382"/>
      <c r="AR103" s="382"/>
    </row>
    <row r="104" spans="1:44" ht="12.75" customHeight="1" x14ac:dyDescent="0.25">
      <c r="A104" s="382"/>
      <c r="B104" s="382"/>
      <c r="C104" s="382"/>
      <c r="D104" s="382"/>
      <c r="E104" s="382"/>
      <c r="F104" s="382"/>
      <c r="G104" s="382"/>
      <c r="H104" s="382"/>
      <c r="I104" s="382"/>
      <c r="J104" s="382"/>
      <c r="K104" s="382"/>
      <c r="L104" s="382"/>
      <c r="M104" s="382"/>
      <c r="N104" s="382"/>
      <c r="O104" s="382"/>
      <c r="P104" s="382"/>
      <c r="Q104" s="382"/>
      <c r="R104" s="382"/>
      <c r="S104" s="382"/>
      <c r="T104" s="382"/>
      <c r="U104" s="382"/>
      <c r="V104" s="382"/>
      <c r="W104" s="382"/>
      <c r="X104" s="382"/>
      <c r="Y104" s="382"/>
      <c r="Z104" s="382"/>
      <c r="AA104" s="382"/>
      <c r="AB104" s="382"/>
      <c r="AC104" s="382"/>
      <c r="AD104" s="382"/>
      <c r="AE104" s="382"/>
      <c r="AF104" s="382"/>
      <c r="AG104" s="382"/>
      <c r="AH104" s="382"/>
      <c r="AI104" s="382"/>
      <c r="AJ104" s="382"/>
      <c r="AK104" s="382"/>
      <c r="AL104" s="382"/>
      <c r="AM104" s="382"/>
      <c r="AN104" s="382"/>
      <c r="AO104" s="382"/>
      <c r="AP104" s="382"/>
      <c r="AQ104" s="382"/>
      <c r="AR104" s="382"/>
    </row>
    <row r="105" spans="1:44" ht="12.75" customHeight="1" x14ac:dyDescent="0.25">
      <c r="A105" s="382"/>
      <c r="B105" s="382"/>
      <c r="C105" s="382"/>
      <c r="D105" s="382"/>
      <c r="E105" s="382"/>
      <c r="F105" s="382"/>
      <c r="G105" s="382"/>
      <c r="H105" s="382"/>
      <c r="I105" s="382"/>
      <c r="J105" s="382"/>
      <c r="K105" s="382"/>
      <c r="L105" s="382"/>
      <c r="M105" s="382"/>
      <c r="N105" s="382"/>
      <c r="O105" s="382"/>
      <c r="P105" s="382"/>
      <c r="Q105" s="382"/>
      <c r="R105" s="382"/>
      <c r="S105" s="382"/>
      <c r="T105" s="382"/>
      <c r="U105" s="382"/>
      <c r="V105" s="382"/>
      <c r="W105" s="382"/>
      <c r="X105" s="382"/>
      <c r="Y105" s="382"/>
      <c r="Z105" s="382"/>
      <c r="AA105" s="382"/>
      <c r="AB105" s="382"/>
      <c r="AC105" s="382"/>
      <c r="AD105" s="382"/>
      <c r="AE105" s="382"/>
      <c r="AF105" s="382"/>
      <c r="AG105" s="382"/>
      <c r="AH105" s="382"/>
      <c r="AI105" s="382"/>
      <c r="AJ105" s="382"/>
      <c r="AK105" s="382"/>
      <c r="AL105" s="382"/>
      <c r="AM105" s="382"/>
      <c r="AN105" s="382"/>
      <c r="AO105" s="382"/>
      <c r="AP105" s="382"/>
      <c r="AQ105" s="382"/>
      <c r="AR105" s="382"/>
    </row>
    <row r="106" spans="1:44" ht="12.75" customHeight="1" x14ac:dyDescent="0.25">
      <c r="A106" s="382"/>
      <c r="B106" s="382"/>
      <c r="C106" s="382"/>
      <c r="D106" s="382"/>
      <c r="E106" s="382"/>
      <c r="F106" s="382"/>
      <c r="G106" s="382"/>
      <c r="H106" s="382"/>
      <c r="I106" s="382"/>
      <c r="J106" s="382"/>
      <c r="K106" s="382"/>
      <c r="L106" s="382"/>
      <c r="M106" s="382"/>
      <c r="N106" s="382"/>
      <c r="O106" s="382"/>
      <c r="P106" s="382"/>
      <c r="Q106" s="382"/>
      <c r="R106" s="382"/>
      <c r="S106" s="382"/>
      <c r="T106" s="382"/>
      <c r="U106" s="382"/>
      <c r="V106" s="382"/>
      <c r="W106" s="382"/>
      <c r="X106" s="382"/>
      <c r="Y106" s="382"/>
      <c r="Z106" s="382"/>
      <c r="AA106" s="382"/>
      <c r="AB106" s="382"/>
      <c r="AC106" s="382"/>
      <c r="AD106" s="382"/>
      <c r="AE106" s="382"/>
      <c r="AF106" s="382"/>
      <c r="AG106" s="382"/>
      <c r="AH106" s="382"/>
      <c r="AI106" s="382"/>
      <c r="AJ106" s="382"/>
      <c r="AK106" s="382"/>
      <c r="AL106" s="382"/>
      <c r="AM106" s="382"/>
      <c r="AN106" s="382"/>
      <c r="AO106" s="382"/>
      <c r="AP106" s="382"/>
      <c r="AQ106" s="382"/>
      <c r="AR106" s="382"/>
    </row>
    <row r="107" spans="1:44" ht="12.75" customHeight="1" x14ac:dyDescent="0.25">
      <c r="A107" s="382"/>
      <c r="B107" s="382"/>
      <c r="C107" s="382"/>
      <c r="D107" s="382"/>
      <c r="E107" s="382"/>
      <c r="F107" s="382"/>
      <c r="G107" s="382"/>
      <c r="H107" s="382"/>
      <c r="I107" s="382"/>
      <c r="J107" s="382"/>
      <c r="K107" s="382"/>
      <c r="L107" s="382"/>
      <c r="M107" s="382"/>
      <c r="N107" s="382"/>
      <c r="O107" s="382"/>
      <c r="P107" s="382"/>
      <c r="Q107" s="382"/>
      <c r="R107" s="382"/>
      <c r="S107" s="382"/>
      <c r="T107" s="382"/>
      <c r="U107" s="382"/>
      <c r="V107" s="382"/>
      <c r="W107" s="382"/>
      <c r="X107" s="382"/>
      <c r="Y107" s="382"/>
      <c r="Z107" s="382"/>
      <c r="AA107" s="382"/>
      <c r="AB107" s="382"/>
      <c r="AC107" s="382"/>
      <c r="AD107" s="382"/>
      <c r="AE107" s="382"/>
      <c r="AF107" s="382"/>
      <c r="AG107" s="382"/>
      <c r="AH107" s="382"/>
      <c r="AI107" s="382"/>
      <c r="AJ107" s="382"/>
      <c r="AK107" s="382"/>
      <c r="AL107" s="382"/>
      <c r="AM107" s="382"/>
      <c r="AN107" s="382"/>
      <c r="AO107" s="382"/>
      <c r="AP107" s="382"/>
      <c r="AQ107" s="382"/>
      <c r="AR107" s="382"/>
    </row>
    <row r="108" spans="1:44" ht="12.75" customHeight="1" x14ac:dyDescent="0.25">
      <c r="A108" s="382"/>
      <c r="B108" s="382"/>
      <c r="C108" s="382"/>
      <c r="D108" s="382"/>
      <c r="E108" s="382"/>
      <c r="F108" s="382"/>
      <c r="G108" s="382"/>
      <c r="H108" s="382"/>
      <c r="I108" s="382"/>
      <c r="J108" s="382"/>
      <c r="K108" s="382"/>
      <c r="L108" s="382"/>
      <c r="M108" s="382"/>
      <c r="N108" s="382"/>
      <c r="O108" s="382"/>
      <c r="P108" s="382"/>
      <c r="Q108" s="382"/>
      <c r="R108" s="382"/>
      <c r="S108" s="382"/>
      <c r="T108" s="382"/>
      <c r="U108" s="382"/>
      <c r="V108" s="382"/>
      <c r="W108" s="382"/>
      <c r="X108" s="382"/>
      <c r="Y108" s="382"/>
      <c r="Z108" s="382"/>
      <c r="AA108" s="382"/>
      <c r="AB108" s="382"/>
      <c r="AC108" s="382"/>
      <c r="AD108" s="382"/>
      <c r="AE108" s="382"/>
      <c r="AF108" s="382"/>
      <c r="AG108" s="382"/>
      <c r="AH108" s="382"/>
      <c r="AI108" s="382"/>
      <c r="AJ108" s="382"/>
      <c r="AK108" s="382"/>
      <c r="AL108" s="382"/>
      <c r="AM108" s="382"/>
      <c r="AN108" s="382"/>
      <c r="AO108" s="382"/>
      <c r="AP108" s="382"/>
      <c r="AQ108" s="382"/>
      <c r="AR108" s="382"/>
    </row>
    <row r="109" spans="1:44" ht="12.75" customHeight="1" x14ac:dyDescent="0.25">
      <c r="A109" s="382"/>
      <c r="B109" s="382"/>
      <c r="C109" s="382"/>
      <c r="D109" s="382"/>
      <c r="E109" s="382"/>
      <c r="F109" s="382"/>
      <c r="G109" s="382"/>
      <c r="H109" s="382"/>
      <c r="I109" s="382"/>
      <c r="J109" s="382"/>
      <c r="K109" s="382"/>
      <c r="L109" s="382"/>
      <c r="M109" s="382"/>
      <c r="N109" s="382"/>
      <c r="O109" s="382"/>
      <c r="P109" s="382"/>
      <c r="Q109" s="382"/>
      <c r="R109" s="382"/>
      <c r="S109" s="382"/>
      <c r="T109" s="382"/>
      <c r="U109" s="382"/>
      <c r="V109" s="382"/>
      <c r="W109" s="382"/>
      <c r="X109" s="382"/>
      <c r="Y109" s="382"/>
      <c r="Z109" s="382"/>
      <c r="AA109" s="382"/>
      <c r="AB109" s="382"/>
      <c r="AC109" s="382"/>
      <c r="AD109" s="382"/>
      <c r="AE109" s="382"/>
      <c r="AF109" s="382"/>
      <c r="AG109" s="382"/>
      <c r="AH109" s="382"/>
      <c r="AI109" s="382"/>
      <c r="AJ109" s="382"/>
      <c r="AK109" s="382"/>
      <c r="AL109" s="382"/>
      <c r="AM109" s="382"/>
      <c r="AN109" s="382"/>
      <c r="AO109" s="382"/>
      <c r="AP109" s="382"/>
      <c r="AQ109" s="382"/>
      <c r="AR109" s="382"/>
    </row>
    <row r="110" spans="1:44" ht="12.75" customHeight="1" x14ac:dyDescent="0.25">
      <c r="A110" s="382"/>
      <c r="B110" s="382"/>
      <c r="C110" s="382"/>
      <c r="D110" s="382"/>
      <c r="E110" s="382"/>
      <c r="F110" s="382"/>
      <c r="G110" s="382"/>
      <c r="H110" s="382"/>
      <c r="I110" s="382"/>
      <c r="J110" s="382"/>
      <c r="K110" s="382"/>
      <c r="L110" s="382"/>
      <c r="M110" s="382"/>
      <c r="N110" s="382"/>
      <c r="O110" s="382"/>
      <c r="P110" s="382"/>
      <c r="Q110" s="382"/>
      <c r="R110" s="382"/>
      <c r="S110" s="382"/>
      <c r="T110" s="382"/>
      <c r="U110" s="382"/>
      <c r="V110" s="382"/>
      <c r="W110" s="382"/>
      <c r="X110" s="382"/>
      <c r="Y110" s="382"/>
      <c r="Z110" s="382"/>
      <c r="AA110" s="382"/>
      <c r="AB110" s="382"/>
      <c r="AC110" s="382"/>
      <c r="AD110" s="382"/>
      <c r="AE110" s="382"/>
      <c r="AF110" s="382"/>
      <c r="AG110" s="382"/>
      <c r="AH110" s="382"/>
      <c r="AI110" s="382"/>
      <c r="AJ110" s="382"/>
      <c r="AK110" s="382"/>
      <c r="AL110" s="382"/>
      <c r="AM110" s="382"/>
      <c r="AN110" s="382"/>
      <c r="AO110" s="382"/>
      <c r="AP110" s="382"/>
      <c r="AQ110" s="382"/>
      <c r="AR110" s="382"/>
    </row>
    <row r="111" spans="1:44" ht="12.75" customHeight="1" x14ac:dyDescent="0.25">
      <c r="A111" s="382"/>
      <c r="B111" s="382"/>
      <c r="C111" s="382"/>
      <c r="D111" s="382"/>
      <c r="E111" s="382"/>
      <c r="F111" s="382"/>
      <c r="G111" s="382"/>
      <c r="H111" s="382"/>
      <c r="I111" s="382"/>
      <c r="J111" s="382"/>
      <c r="K111" s="382"/>
      <c r="L111" s="382"/>
      <c r="M111" s="382"/>
      <c r="N111" s="382"/>
      <c r="O111" s="382"/>
      <c r="P111" s="382"/>
      <c r="Q111" s="382"/>
      <c r="R111" s="382"/>
      <c r="S111" s="382"/>
      <c r="T111" s="382"/>
      <c r="U111" s="382"/>
      <c r="V111" s="382"/>
      <c r="W111" s="382"/>
      <c r="X111" s="382"/>
      <c r="Y111" s="382"/>
      <c r="Z111" s="382"/>
      <c r="AA111" s="382"/>
      <c r="AB111" s="382"/>
      <c r="AC111" s="382"/>
      <c r="AD111" s="382"/>
      <c r="AE111" s="382"/>
      <c r="AF111" s="382"/>
      <c r="AG111" s="382"/>
      <c r="AH111" s="382"/>
      <c r="AI111" s="382"/>
      <c r="AJ111" s="382"/>
      <c r="AK111" s="382"/>
      <c r="AL111" s="382"/>
      <c r="AM111" s="382"/>
      <c r="AN111" s="382"/>
      <c r="AO111" s="382"/>
      <c r="AP111" s="382"/>
      <c r="AQ111" s="382"/>
      <c r="AR111" s="382"/>
    </row>
    <row r="112" spans="1:44" ht="12.75" customHeight="1" x14ac:dyDescent="0.25">
      <c r="A112" s="382"/>
      <c r="B112" s="382"/>
      <c r="C112" s="382"/>
      <c r="D112" s="382"/>
      <c r="E112" s="382"/>
      <c r="F112" s="382"/>
      <c r="G112" s="382"/>
      <c r="H112" s="382"/>
      <c r="I112" s="382"/>
      <c r="J112" s="382"/>
      <c r="K112" s="382"/>
      <c r="L112" s="382"/>
      <c r="M112" s="382"/>
      <c r="N112" s="382"/>
      <c r="O112" s="382"/>
      <c r="P112" s="382"/>
      <c r="Q112" s="382"/>
      <c r="R112" s="382"/>
      <c r="S112" s="382"/>
      <c r="T112" s="382"/>
      <c r="U112" s="382"/>
      <c r="V112" s="382"/>
      <c r="W112" s="382"/>
      <c r="X112" s="382"/>
      <c r="Y112" s="382"/>
      <c r="Z112" s="382"/>
      <c r="AA112" s="382"/>
      <c r="AB112" s="382"/>
      <c r="AC112" s="382"/>
      <c r="AD112" s="382"/>
      <c r="AE112" s="382"/>
      <c r="AF112" s="382"/>
      <c r="AG112" s="382"/>
      <c r="AH112" s="382"/>
      <c r="AI112" s="382"/>
      <c r="AJ112" s="382"/>
      <c r="AK112" s="382"/>
      <c r="AL112" s="382"/>
      <c r="AM112" s="382"/>
      <c r="AN112" s="382"/>
      <c r="AO112" s="382"/>
      <c r="AP112" s="382"/>
      <c r="AQ112" s="382"/>
      <c r="AR112" s="382"/>
    </row>
    <row r="113" spans="1:44" ht="12.75" customHeight="1" x14ac:dyDescent="0.25">
      <c r="A113" s="382"/>
      <c r="B113" s="382"/>
      <c r="C113" s="382"/>
      <c r="D113" s="382"/>
      <c r="E113" s="382"/>
      <c r="F113" s="382"/>
      <c r="G113" s="382"/>
      <c r="H113" s="382"/>
      <c r="I113" s="382"/>
      <c r="J113" s="382"/>
      <c r="K113" s="382"/>
      <c r="L113" s="382"/>
      <c r="M113" s="382"/>
      <c r="N113" s="382"/>
      <c r="O113" s="382"/>
      <c r="P113" s="382"/>
      <c r="Q113" s="382"/>
      <c r="R113" s="382"/>
      <c r="S113" s="382"/>
      <c r="T113" s="382"/>
      <c r="U113" s="382"/>
      <c r="V113" s="382"/>
      <c r="W113" s="382"/>
      <c r="X113" s="382"/>
      <c r="Y113" s="382"/>
      <c r="Z113" s="382"/>
      <c r="AA113" s="382"/>
      <c r="AB113" s="382"/>
      <c r="AC113" s="382"/>
      <c r="AD113" s="382"/>
      <c r="AE113" s="382"/>
      <c r="AF113" s="382"/>
      <c r="AG113" s="382"/>
      <c r="AH113" s="382"/>
      <c r="AI113" s="382"/>
      <c r="AJ113" s="382"/>
      <c r="AK113" s="382"/>
      <c r="AL113" s="382"/>
      <c r="AM113" s="382"/>
      <c r="AN113" s="382"/>
      <c r="AO113" s="382"/>
      <c r="AP113" s="382"/>
      <c r="AQ113" s="382"/>
      <c r="AR113" s="382"/>
    </row>
    <row r="114" spans="1:44" ht="12.75" customHeight="1" x14ac:dyDescent="0.25">
      <c r="A114" s="382"/>
      <c r="B114" s="382"/>
      <c r="C114" s="382"/>
      <c r="D114" s="382"/>
      <c r="E114" s="382"/>
      <c r="F114" s="382"/>
      <c r="G114" s="382"/>
      <c r="H114" s="382"/>
      <c r="I114" s="382"/>
      <c r="J114" s="382"/>
      <c r="K114" s="382"/>
      <c r="L114" s="382"/>
      <c r="M114" s="382"/>
      <c r="N114" s="382"/>
      <c r="O114" s="382"/>
      <c r="P114" s="382"/>
      <c r="Q114" s="382"/>
      <c r="R114" s="382"/>
      <c r="S114" s="382"/>
      <c r="T114" s="382"/>
      <c r="U114" s="382"/>
      <c r="V114" s="382"/>
      <c r="W114" s="382"/>
      <c r="X114" s="382"/>
      <c r="Y114" s="382"/>
      <c r="Z114" s="382"/>
      <c r="AA114" s="382"/>
      <c r="AB114" s="382"/>
      <c r="AC114" s="382"/>
      <c r="AD114" s="382"/>
      <c r="AE114" s="382"/>
      <c r="AF114" s="382"/>
      <c r="AG114" s="382"/>
      <c r="AH114" s="382"/>
      <c r="AI114" s="382"/>
      <c r="AJ114" s="382"/>
      <c r="AK114" s="382"/>
      <c r="AL114" s="382"/>
      <c r="AM114" s="382"/>
      <c r="AN114" s="382"/>
      <c r="AO114" s="382"/>
      <c r="AP114" s="382"/>
      <c r="AQ114" s="382"/>
      <c r="AR114" s="382"/>
    </row>
    <row r="115" spans="1:44" ht="12.75" customHeight="1" x14ac:dyDescent="0.25">
      <c r="A115" s="382"/>
      <c r="B115" s="382"/>
      <c r="C115" s="382"/>
      <c r="D115" s="382"/>
      <c r="E115" s="382"/>
      <c r="F115" s="382"/>
      <c r="G115" s="382"/>
      <c r="H115" s="382"/>
      <c r="I115" s="382"/>
      <c r="J115" s="382"/>
      <c r="K115" s="382"/>
      <c r="L115" s="382"/>
      <c r="M115" s="382"/>
      <c r="N115" s="382"/>
      <c r="O115" s="382"/>
      <c r="P115" s="382"/>
      <c r="Q115" s="382"/>
      <c r="R115" s="382"/>
      <c r="S115" s="382"/>
      <c r="T115" s="382"/>
      <c r="U115" s="382"/>
      <c r="V115" s="382"/>
      <c r="W115" s="382"/>
      <c r="X115" s="382"/>
      <c r="Y115" s="382"/>
      <c r="Z115" s="382"/>
      <c r="AA115" s="382"/>
      <c r="AB115" s="382"/>
      <c r="AC115" s="382"/>
      <c r="AD115" s="382"/>
      <c r="AE115" s="382"/>
      <c r="AF115" s="382"/>
      <c r="AG115" s="382"/>
      <c r="AH115" s="382"/>
      <c r="AI115" s="382"/>
      <c r="AJ115" s="382"/>
      <c r="AK115" s="382"/>
      <c r="AL115" s="382"/>
      <c r="AM115" s="382"/>
      <c r="AN115" s="382"/>
      <c r="AO115" s="382"/>
      <c r="AP115" s="382"/>
      <c r="AQ115" s="382"/>
      <c r="AR115" s="382"/>
    </row>
    <row r="116" spans="1:44" ht="12.75" customHeight="1" x14ac:dyDescent="0.25">
      <c r="A116" s="382"/>
      <c r="B116" s="382"/>
      <c r="C116" s="382"/>
      <c r="D116" s="382"/>
      <c r="E116" s="382"/>
      <c r="F116" s="382"/>
      <c r="G116" s="382"/>
      <c r="H116" s="382"/>
      <c r="I116" s="382"/>
      <c r="J116" s="382"/>
      <c r="K116" s="382"/>
      <c r="L116" s="382"/>
      <c r="M116" s="382"/>
      <c r="N116" s="382"/>
      <c r="O116" s="382"/>
      <c r="P116" s="382"/>
      <c r="Q116" s="382"/>
      <c r="R116" s="382"/>
      <c r="S116" s="382"/>
      <c r="T116" s="382"/>
      <c r="U116" s="382"/>
      <c r="V116" s="382"/>
      <c r="W116" s="382"/>
      <c r="X116" s="382"/>
      <c r="Y116" s="382"/>
      <c r="Z116" s="382"/>
      <c r="AA116" s="382"/>
      <c r="AB116" s="382"/>
      <c r="AC116" s="382"/>
      <c r="AD116" s="382"/>
      <c r="AE116" s="382"/>
      <c r="AF116" s="382"/>
      <c r="AG116" s="382"/>
      <c r="AH116" s="382"/>
      <c r="AI116" s="382"/>
      <c r="AJ116" s="382"/>
      <c r="AK116" s="382"/>
      <c r="AL116" s="382"/>
      <c r="AM116" s="382"/>
      <c r="AN116" s="382"/>
      <c r="AO116" s="382"/>
      <c r="AP116" s="382"/>
      <c r="AQ116" s="382"/>
      <c r="AR116" s="382"/>
    </row>
    <row r="117" spans="1:44" ht="12.75" customHeight="1" x14ac:dyDescent="0.25">
      <c r="A117" s="382"/>
      <c r="B117" s="382"/>
      <c r="C117" s="382"/>
      <c r="D117" s="382"/>
      <c r="E117" s="382"/>
      <c r="F117" s="382"/>
      <c r="G117" s="382"/>
      <c r="H117" s="382"/>
      <c r="I117" s="382"/>
      <c r="J117" s="382"/>
      <c r="K117" s="382"/>
      <c r="L117" s="382"/>
      <c r="M117" s="382"/>
      <c r="N117" s="382"/>
      <c r="O117" s="382"/>
      <c r="P117" s="382"/>
      <c r="Q117" s="382"/>
      <c r="R117" s="382"/>
      <c r="S117" s="382"/>
      <c r="T117" s="382"/>
      <c r="U117" s="382"/>
      <c r="V117" s="382"/>
      <c r="W117" s="382"/>
      <c r="X117" s="382"/>
      <c r="Y117" s="382"/>
      <c r="Z117" s="382"/>
      <c r="AA117" s="382"/>
      <c r="AB117" s="382"/>
      <c r="AC117" s="382"/>
      <c r="AD117" s="382"/>
      <c r="AE117" s="382"/>
      <c r="AF117" s="382"/>
      <c r="AG117" s="382"/>
      <c r="AH117" s="382"/>
      <c r="AI117" s="382"/>
      <c r="AJ117" s="382"/>
      <c r="AK117" s="382"/>
      <c r="AL117" s="382"/>
      <c r="AM117" s="382"/>
      <c r="AN117" s="382"/>
      <c r="AO117" s="382"/>
      <c r="AP117" s="382"/>
      <c r="AQ117" s="382"/>
      <c r="AR117" s="382"/>
    </row>
    <row r="118" spans="1:44" ht="12.75" customHeight="1" x14ac:dyDescent="0.25">
      <c r="A118" s="382"/>
      <c r="B118" s="382"/>
      <c r="C118" s="382"/>
      <c r="D118" s="382"/>
      <c r="E118" s="382"/>
      <c r="F118" s="382"/>
      <c r="G118" s="382"/>
      <c r="H118" s="382"/>
      <c r="I118" s="382"/>
      <c r="J118" s="382"/>
      <c r="K118" s="382"/>
      <c r="L118" s="382"/>
      <c r="M118" s="382"/>
      <c r="N118" s="382"/>
      <c r="O118" s="382"/>
      <c r="P118" s="382"/>
      <c r="Q118" s="382"/>
      <c r="R118" s="382"/>
      <c r="S118" s="382"/>
      <c r="T118" s="382"/>
      <c r="U118" s="382"/>
      <c r="V118" s="382"/>
      <c r="W118" s="382"/>
      <c r="X118" s="382"/>
      <c r="Y118" s="382"/>
      <c r="Z118" s="382"/>
      <c r="AA118" s="382"/>
      <c r="AB118" s="382"/>
      <c r="AC118" s="382"/>
      <c r="AD118" s="382"/>
      <c r="AE118" s="382"/>
      <c r="AF118" s="382"/>
      <c r="AG118" s="382"/>
      <c r="AH118" s="382"/>
      <c r="AI118" s="382"/>
      <c r="AJ118" s="382"/>
      <c r="AK118" s="382"/>
      <c r="AL118" s="382"/>
      <c r="AM118" s="382"/>
      <c r="AN118" s="382"/>
      <c r="AO118" s="382"/>
      <c r="AP118" s="382"/>
      <c r="AQ118" s="382"/>
      <c r="AR118" s="382"/>
    </row>
    <row r="119" spans="1:44" ht="12.75" customHeight="1" x14ac:dyDescent="0.25">
      <c r="A119" s="382"/>
      <c r="B119" s="382"/>
      <c r="C119" s="382"/>
      <c r="D119" s="382"/>
      <c r="E119" s="382"/>
      <c r="F119" s="382"/>
      <c r="G119" s="382"/>
      <c r="H119" s="382"/>
      <c r="I119" s="382"/>
      <c r="J119" s="382"/>
      <c r="K119" s="382"/>
      <c r="L119" s="382"/>
      <c r="M119" s="382"/>
      <c r="N119" s="382"/>
      <c r="O119" s="382"/>
      <c r="P119" s="382"/>
      <c r="Q119" s="382"/>
      <c r="R119" s="382"/>
      <c r="S119" s="382"/>
      <c r="T119" s="382"/>
      <c r="U119" s="382"/>
      <c r="V119" s="382"/>
      <c r="W119" s="382"/>
      <c r="X119" s="382"/>
      <c r="Y119" s="382"/>
      <c r="Z119" s="382"/>
      <c r="AA119" s="382"/>
      <c r="AB119" s="382"/>
      <c r="AC119" s="382"/>
      <c r="AD119" s="382"/>
      <c r="AE119" s="382"/>
      <c r="AF119" s="382"/>
      <c r="AG119" s="382"/>
      <c r="AH119" s="382"/>
      <c r="AI119" s="382"/>
      <c r="AJ119" s="382"/>
      <c r="AK119" s="382"/>
      <c r="AL119" s="382"/>
      <c r="AM119" s="382"/>
      <c r="AN119" s="382"/>
      <c r="AO119" s="382"/>
      <c r="AP119" s="382"/>
      <c r="AQ119" s="382"/>
      <c r="AR119" s="382"/>
    </row>
    <row r="120" spans="1:44" ht="12.75" customHeight="1" x14ac:dyDescent="0.25">
      <c r="A120" s="382"/>
      <c r="B120" s="382"/>
      <c r="C120" s="382"/>
      <c r="D120" s="382"/>
      <c r="E120" s="382"/>
      <c r="F120" s="382"/>
      <c r="G120" s="382"/>
      <c r="H120" s="382"/>
      <c r="I120" s="382"/>
      <c r="J120" s="382"/>
      <c r="K120" s="382"/>
      <c r="L120" s="382"/>
      <c r="M120" s="382"/>
      <c r="N120" s="382"/>
      <c r="O120" s="382"/>
      <c r="P120" s="382"/>
      <c r="Q120" s="382"/>
      <c r="R120" s="382"/>
      <c r="S120" s="382"/>
      <c r="T120" s="382"/>
      <c r="U120" s="382"/>
      <c r="V120" s="382"/>
      <c r="W120" s="382"/>
      <c r="X120" s="382"/>
      <c r="Y120" s="382"/>
      <c r="Z120" s="382"/>
      <c r="AA120" s="382"/>
      <c r="AB120" s="382"/>
      <c r="AC120" s="382"/>
      <c r="AD120" s="382"/>
      <c r="AE120" s="382"/>
      <c r="AF120" s="382"/>
      <c r="AG120" s="382"/>
      <c r="AH120" s="382"/>
      <c r="AI120" s="382"/>
      <c r="AJ120" s="382"/>
      <c r="AK120" s="382"/>
      <c r="AL120" s="382"/>
      <c r="AM120" s="382"/>
      <c r="AN120" s="382"/>
      <c r="AO120" s="382"/>
      <c r="AP120" s="382"/>
      <c r="AQ120" s="382"/>
      <c r="AR120" s="382"/>
    </row>
    <row r="121" spans="1:44" ht="12.75" customHeight="1" x14ac:dyDescent="0.25">
      <c r="A121" s="382"/>
      <c r="B121" s="382"/>
      <c r="C121" s="382"/>
      <c r="D121" s="382"/>
      <c r="E121" s="382"/>
      <c r="F121" s="382"/>
      <c r="G121" s="382"/>
      <c r="H121" s="382"/>
      <c r="I121" s="382"/>
      <c r="J121" s="382"/>
      <c r="K121" s="382"/>
      <c r="L121" s="382"/>
      <c r="M121" s="382"/>
      <c r="N121" s="382"/>
      <c r="O121" s="382"/>
      <c r="P121" s="382"/>
      <c r="Q121" s="382"/>
      <c r="R121" s="382"/>
      <c r="S121" s="382"/>
      <c r="T121" s="382"/>
      <c r="U121" s="382"/>
      <c r="V121" s="382"/>
      <c r="W121" s="382"/>
      <c r="X121" s="382"/>
      <c r="Y121" s="382"/>
      <c r="Z121" s="382"/>
      <c r="AA121" s="382"/>
      <c r="AB121" s="382"/>
      <c r="AC121" s="382"/>
      <c r="AD121" s="382"/>
      <c r="AE121" s="382"/>
      <c r="AF121" s="382"/>
      <c r="AG121" s="382"/>
      <c r="AH121" s="382"/>
      <c r="AI121" s="382"/>
      <c r="AJ121" s="382"/>
      <c r="AK121" s="382"/>
      <c r="AL121" s="382"/>
      <c r="AM121" s="382"/>
      <c r="AN121" s="382"/>
      <c r="AO121" s="382"/>
      <c r="AP121" s="382"/>
      <c r="AQ121" s="382"/>
      <c r="AR121" s="382"/>
    </row>
    <row r="122" spans="1:44" ht="12.75" customHeight="1" x14ac:dyDescent="0.25">
      <c r="A122" s="382"/>
      <c r="B122" s="382"/>
      <c r="C122" s="382"/>
      <c r="D122" s="382"/>
      <c r="E122" s="382"/>
      <c r="F122" s="382"/>
      <c r="G122" s="382"/>
      <c r="H122" s="382"/>
      <c r="I122" s="382"/>
      <c r="J122" s="382"/>
      <c r="K122" s="382"/>
      <c r="L122" s="382"/>
      <c r="M122" s="382"/>
      <c r="N122" s="382"/>
      <c r="O122" s="382"/>
      <c r="P122" s="382"/>
      <c r="Q122" s="382"/>
      <c r="R122" s="382"/>
      <c r="S122" s="382"/>
      <c r="T122" s="382"/>
      <c r="U122" s="382"/>
      <c r="V122" s="382"/>
      <c r="W122" s="382"/>
      <c r="X122" s="382"/>
      <c r="Y122" s="382"/>
      <c r="Z122" s="382"/>
      <c r="AA122" s="382"/>
      <c r="AB122" s="382"/>
      <c r="AC122" s="382"/>
      <c r="AD122" s="382"/>
      <c r="AE122" s="382"/>
      <c r="AF122" s="382"/>
      <c r="AG122" s="382"/>
      <c r="AH122" s="382"/>
      <c r="AI122" s="382"/>
      <c r="AJ122" s="382"/>
      <c r="AK122" s="382"/>
      <c r="AL122" s="382"/>
      <c r="AM122" s="382"/>
      <c r="AN122" s="382"/>
      <c r="AO122" s="382"/>
      <c r="AP122" s="382"/>
      <c r="AQ122" s="382"/>
      <c r="AR122" s="382"/>
    </row>
    <row r="123" spans="1:44" ht="12.75" customHeight="1" x14ac:dyDescent="0.25">
      <c r="A123" s="382"/>
      <c r="B123" s="382"/>
      <c r="C123" s="382"/>
      <c r="D123" s="382"/>
      <c r="E123" s="382"/>
      <c r="F123" s="382"/>
      <c r="G123" s="382"/>
      <c r="H123" s="382"/>
      <c r="I123" s="382"/>
      <c r="J123" s="382"/>
      <c r="K123" s="382"/>
      <c r="L123" s="382"/>
      <c r="M123" s="382"/>
      <c r="N123" s="382"/>
      <c r="O123" s="382"/>
      <c r="P123" s="382"/>
      <c r="Q123" s="382"/>
      <c r="R123" s="382"/>
      <c r="S123" s="382"/>
      <c r="T123" s="382"/>
      <c r="U123" s="382"/>
      <c r="V123" s="382"/>
      <c r="W123" s="382"/>
      <c r="X123" s="382"/>
      <c r="Y123" s="382"/>
      <c r="Z123" s="382"/>
      <c r="AA123" s="382"/>
      <c r="AB123" s="382"/>
      <c r="AC123" s="382"/>
      <c r="AD123" s="382"/>
      <c r="AE123" s="382"/>
      <c r="AF123" s="382"/>
      <c r="AG123" s="382"/>
      <c r="AH123" s="382"/>
      <c r="AI123" s="382"/>
      <c r="AJ123" s="382"/>
      <c r="AK123" s="382"/>
      <c r="AL123" s="382"/>
      <c r="AM123" s="382"/>
      <c r="AN123" s="382"/>
      <c r="AO123" s="382"/>
      <c r="AP123" s="382"/>
      <c r="AQ123" s="382"/>
      <c r="AR123" s="382"/>
    </row>
    <row r="124" spans="1:44" ht="12.75" customHeight="1" x14ac:dyDescent="0.25">
      <c r="A124" s="382"/>
      <c r="B124" s="382"/>
      <c r="C124" s="382"/>
      <c r="D124" s="382"/>
      <c r="E124" s="382"/>
      <c r="F124" s="382"/>
      <c r="G124" s="382"/>
      <c r="H124" s="382"/>
      <c r="I124" s="382"/>
      <c r="J124" s="382"/>
      <c r="K124" s="382"/>
      <c r="L124" s="382"/>
      <c r="M124" s="382"/>
      <c r="N124" s="382"/>
      <c r="O124" s="382"/>
      <c r="P124" s="382"/>
      <c r="Q124" s="382"/>
      <c r="R124" s="382"/>
      <c r="S124" s="382"/>
      <c r="T124" s="382"/>
      <c r="U124" s="382"/>
      <c r="V124" s="382"/>
      <c r="W124" s="382"/>
      <c r="X124" s="382"/>
      <c r="Y124" s="382"/>
      <c r="Z124" s="382"/>
      <c r="AA124" s="382"/>
      <c r="AB124" s="382"/>
      <c r="AC124" s="382"/>
      <c r="AD124" s="382"/>
      <c r="AE124" s="382"/>
      <c r="AF124" s="382"/>
      <c r="AG124" s="382"/>
      <c r="AH124" s="382"/>
      <c r="AI124" s="382"/>
      <c r="AJ124" s="382"/>
      <c r="AK124" s="382"/>
      <c r="AL124" s="382"/>
      <c r="AM124" s="382"/>
      <c r="AN124" s="382"/>
      <c r="AO124" s="382"/>
      <c r="AP124" s="382"/>
      <c r="AQ124" s="382"/>
      <c r="AR124" s="382"/>
    </row>
    <row r="125" spans="1:44" ht="12.75" customHeight="1" x14ac:dyDescent="0.25">
      <c r="A125" s="382"/>
      <c r="B125" s="382"/>
      <c r="C125" s="382"/>
      <c r="D125" s="382"/>
      <c r="E125" s="382"/>
      <c r="F125" s="382"/>
      <c r="G125" s="382"/>
      <c r="H125" s="382"/>
      <c r="I125" s="382"/>
      <c r="J125" s="382"/>
      <c r="K125" s="382"/>
      <c r="L125" s="382"/>
      <c r="M125" s="382"/>
      <c r="N125" s="382"/>
      <c r="O125" s="382"/>
      <c r="P125" s="382"/>
      <c r="Q125" s="382"/>
      <c r="R125" s="382"/>
      <c r="S125" s="382"/>
      <c r="T125" s="382"/>
      <c r="U125" s="382"/>
      <c r="V125" s="382"/>
      <c r="W125" s="382"/>
      <c r="X125" s="382"/>
      <c r="Y125" s="382"/>
      <c r="Z125" s="382"/>
      <c r="AA125" s="382"/>
      <c r="AB125" s="382"/>
      <c r="AC125" s="382"/>
      <c r="AD125" s="382"/>
      <c r="AE125" s="382"/>
      <c r="AF125" s="382"/>
      <c r="AG125" s="382"/>
      <c r="AH125" s="382"/>
      <c r="AI125" s="382"/>
      <c r="AJ125" s="382"/>
      <c r="AK125" s="382"/>
      <c r="AL125" s="382"/>
      <c r="AM125" s="382"/>
      <c r="AN125" s="382"/>
      <c r="AO125" s="382"/>
      <c r="AP125" s="382"/>
      <c r="AQ125" s="382"/>
      <c r="AR125" s="382"/>
    </row>
    <row r="126" spans="1:44" ht="12.75" customHeight="1" x14ac:dyDescent="0.25">
      <c r="A126" s="382"/>
      <c r="B126" s="382"/>
      <c r="C126" s="382"/>
      <c r="D126" s="382"/>
      <c r="E126" s="382"/>
      <c r="F126" s="382"/>
      <c r="G126" s="382"/>
      <c r="H126" s="382"/>
      <c r="I126" s="382"/>
      <c r="J126" s="382"/>
      <c r="K126" s="382"/>
      <c r="L126" s="382"/>
      <c r="M126" s="382"/>
      <c r="N126" s="382"/>
      <c r="O126" s="382"/>
      <c r="P126" s="382"/>
      <c r="Q126" s="382"/>
      <c r="R126" s="382"/>
      <c r="S126" s="382"/>
      <c r="T126" s="382"/>
      <c r="U126" s="382"/>
      <c r="V126" s="382"/>
      <c r="W126" s="382"/>
      <c r="X126" s="382"/>
      <c r="Y126" s="382"/>
      <c r="Z126" s="382"/>
      <c r="AA126" s="382"/>
      <c r="AB126" s="382"/>
      <c r="AC126" s="382"/>
      <c r="AD126" s="382"/>
      <c r="AE126" s="382"/>
      <c r="AF126" s="382"/>
      <c r="AG126" s="382"/>
      <c r="AH126" s="382"/>
      <c r="AI126" s="382"/>
      <c r="AJ126" s="382"/>
      <c r="AK126" s="382"/>
      <c r="AL126" s="382"/>
      <c r="AM126" s="382"/>
      <c r="AN126" s="382"/>
      <c r="AO126" s="382"/>
      <c r="AP126" s="382"/>
      <c r="AQ126" s="382"/>
      <c r="AR126" s="382"/>
    </row>
    <row r="127" spans="1:44" ht="12.75" customHeight="1" x14ac:dyDescent="0.25">
      <c r="A127" s="382"/>
      <c r="B127" s="382"/>
      <c r="C127" s="382"/>
      <c r="D127" s="382"/>
      <c r="E127" s="382"/>
      <c r="F127" s="382"/>
      <c r="G127" s="382"/>
      <c r="H127" s="382"/>
      <c r="I127" s="382"/>
      <c r="J127" s="382"/>
      <c r="K127" s="382"/>
      <c r="L127" s="382"/>
      <c r="M127" s="382"/>
      <c r="N127" s="382"/>
      <c r="O127" s="382"/>
      <c r="P127" s="382"/>
      <c r="Q127" s="382"/>
      <c r="R127" s="382"/>
      <c r="S127" s="382"/>
      <c r="T127" s="382"/>
      <c r="U127" s="382"/>
      <c r="V127" s="382"/>
      <c r="W127" s="382"/>
      <c r="X127" s="382"/>
      <c r="Y127" s="382"/>
      <c r="Z127" s="382"/>
      <c r="AA127" s="382"/>
      <c r="AB127" s="382"/>
      <c r="AC127" s="382"/>
      <c r="AD127" s="382"/>
      <c r="AE127" s="382"/>
      <c r="AF127" s="382"/>
      <c r="AG127" s="382"/>
      <c r="AH127" s="382"/>
      <c r="AI127" s="382"/>
      <c r="AJ127" s="382"/>
      <c r="AK127" s="382"/>
      <c r="AL127" s="382"/>
      <c r="AM127" s="382"/>
      <c r="AN127" s="382"/>
      <c r="AO127" s="382"/>
      <c r="AP127" s="382"/>
      <c r="AQ127" s="382"/>
      <c r="AR127" s="382"/>
    </row>
    <row r="128" spans="1:44" ht="12.75" customHeight="1" x14ac:dyDescent="0.25">
      <c r="A128" s="382"/>
      <c r="B128" s="382"/>
      <c r="C128" s="382"/>
      <c r="D128" s="382"/>
      <c r="E128" s="382"/>
      <c r="F128" s="382"/>
      <c r="G128" s="382"/>
      <c r="H128" s="382"/>
      <c r="I128" s="382"/>
      <c r="J128" s="382"/>
      <c r="K128" s="382"/>
      <c r="L128" s="382"/>
      <c r="M128" s="382"/>
      <c r="N128" s="382"/>
      <c r="O128" s="382"/>
      <c r="P128" s="382"/>
      <c r="Q128" s="382"/>
      <c r="R128" s="382"/>
      <c r="S128" s="382"/>
      <c r="T128" s="382"/>
      <c r="U128" s="382"/>
      <c r="V128" s="382"/>
      <c r="W128" s="382"/>
      <c r="X128" s="382"/>
      <c r="Y128" s="382"/>
      <c r="Z128" s="382"/>
      <c r="AA128" s="382"/>
      <c r="AB128" s="382"/>
      <c r="AC128" s="382"/>
      <c r="AD128" s="382"/>
      <c r="AE128" s="382"/>
      <c r="AF128" s="382"/>
      <c r="AG128" s="382"/>
      <c r="AH128" s="382"/>
      <c r="AI128" s="382"/>
      <c r="AJ128" s="382"/>
      <c r="AK128" s="382"/>
      <c r="AL128" s="382"/>
      <c r="AM128" s="382"/>
      <c r="AN128" s="382"/>
      <c r="AO128" s="382"/>
      <c r="AP128" s="382"/>
      <c r="AQ128" s="382"/>
      <c r="AR128" s="382"/>
    </row>
    <row r="129" spans="1:44" ht="12.75" customHeight="1" x14ac:dyDescent="0.25">
      <c r="A129" s="382"/>
      <c r="B129" s="382"/>
      <c r="C129" s="382"/>
      <c r="D129" s="382"/>
      <c r="E129" s="382"/>
      <c r="F129" s="382"/>
      <c r="G129" s="382"/>
      <c r="H129" s="382"/>
      <c r="I129" s="382"/>
      <c r="J129" s="382"/>
      <c r="K129" s="382"/>
      <c r="L129" s="382"/>
      <c r="M129" s="382"/>
      <c r="N129" s="382"/>
      <c r="O129" s="382"/>
      <c r="P129" s="382"/>
      <c r="Q129" s="382"/>
      <c r="R129" s="382"/>
      <c r="S129" s="382"/>
      <c r="T129" s="382"/>
      <c r="U129" s="382"/>
      <c r="V129" s="382"/>
      <c r="W129" s="382"/>
      <c r="X129" s="382"/>
      <c r="Y129" s="382"/>
      <c r="Z129" s="382"/>
      <c r="AA129" s="382"/>
      <c r="AB129" s="382"/>
      <c r="AC129" s="382"/>
      <c r="AD129" s="382"/>
      <c r="AE129" s="382"/>
      <c r="AF129" s="382"/>
      <c r="AG129" s="382"/>
      <c r="AH129" s="382"/>
      <c r="AI129" s="382"/>
      <c r="AJ129" s="382"/>
      <c r="AK129" s="382"/>
      <c r="AL129" s="382"/>
      <c r="AM129" s="382"/>
      <c r="AN129" s="382"/>
      <c r="AO129" s="382"/>
      <c r="AP129" s="382"/>
      <c r="AQ129" s="382"/>
      <c r="AR129" s="382"/>
    </row>
    <row r="130" spans="1:44" ht="12.75" customHeight="1" x14ac:dyDescent="0.25">
      <c r="A130" s="382"/>
      <c r="B130" s="382"/>
      <c r="C130" s="382"/>
      <c r="D130" s="382"/>
      <c r="E130" s="382"/>
      <c r="F130" s="382"/>
      <c r="G130" s="382"/>
      <c r="H130" s="382"/>
      <c r="I130" s="382"/>
      <c r="J130" s="382"/>
      <c r="K130" s="382"/>
      <c r="L130" s="382"/>
      <c r="M130" s="382"/>
      <c r="N130" s="382"/>
      <c r="O130" s="382"/>
      <c r="P130" s="382"/>
      <c r="Q130" s="382"/>
      <c r="R130" s="382"/>
      <c r="S130" s="382"/>
      <c r="T130" s="382"/>
      <c r="U130" s="382"/>
      <c r="V130" s="382"/>
      <c r="W130" s="382"/>
      <c r="X130" s="382"/>
      <c r="Y130" s="382"/>
      <c r="Z130" s="382"/>
      <c r="AA130" s="382"/>
      <c r="AB130" s="382"/>
      <c r="AC130" s="382"/>
      <c r="AD130" s="382"/>
      <c r="AE130" s="382"/>
      <c r="AF130" s="382"/>
      <c r="AG130" s="382"/>
      <c r="AH130" s="382"/>
      <c r="AI130" s="382"/>
      <c r="AJ130" s="382"/>
      <c r="AK130" s="382"/>
      <c r="AL130" s="382"/>
      <c r="AM130" s="382"/>
      <c r="AN130" s="382"/>
      <c r="AO130" s="382"/>
      <c r="AP130" s="382"/>
      <c r="AQ130" s="382"/>
      <c r="AR130" s="382"/>
    </row>
    <row r="131" spans="1:44" ht="12.75" customHeight="1" x14ac:dyDescent="0.25">
      <c r="A131" s="382"/>
      <c r="B131" s="382"/>
      <c r="C131" s="382"/>
      <c r="D131" s="382"/>
      <c r="E131" s="382"/>
      <c r="F131" s="382"/>
      <c r="G131" s="382"/>
      <c r="H131" s="382"/>
      <c r="I131" s="382"/>
      <c r="J131" s="382"/>
      <c r="K131" s="382"/>
      <c r="L131" s="382"/>
      <c r="M131" s="382"/>
      <c r="N131" s="382"/>
      <c r="O131" s="382"/>
      <c r="P131" s="382"/>
      <c r="Q131" s="382"/>
      <c r="R131" s="382"/>
      <c r="S131" s="382"/>
      <c r="T131" s="382"/>
      <c r="U131" s="382"/>
      <c r="V131" s="382"/>
      <c r="W131" s="382"/>
      <c r="X131" s="382"/>
      <c r="Y131" s="382"/>
      <c r="Z131" s="382"/>
      <c r="AA131" s="382"/>
      <c r="AB131" s="382"/>
      <c r="AC131" s="382"/>
      <c r="AD131" s="382"/>
      <c r="AE131" s="382"/>
      <c r="AF131" s="382"/>
      <c r="AG131" s="382"/>
      <c r="AH131" s="382"/>
      <c r="AI131" s="382"/>
      <c r="AJ131" s="382"/>
      <c r="AK131" s="382"/>
      <c r="AL131" s="382"/>
      <c r="AM131" s="382"/>
      <c r="AN131" s="382"/>
      <c r="AO131" s="382"/>
      <c r="AP131" s="382"/>
      <c r="AQ131" s="382"/>
      <c r="AR131" s="382"/>
    </row>
    <row r="132" spans="1:44" ht="12.75" customHeight="1" x14ac:dyDescent="0.25">
      <c r="A132" s="382"/>
      <c r="B132" s="382"/>
      <c r="C132" s="382"/>
      <c r="D132" s="382"/>
      <c r="E132" s="382"/>
      <c r="F132" s="382"/>
      <c r="G132" s="382"/>
      <c r="H132" s="382"/>
      <c r="I132" s="382"/>
      <c r="J132" s="382"/>
      <c r="K132" s="382"/>
      <c r="L132" s="382"/>
      <c r="M132" s="382"/>
      <c r="N132" s="382"/>
      <c r="O132" s="382"/>
      <c r="P132" s="382"/>
      <c r="Q132" s="382"/>
      <c r="R132" s="382"/>
      <c r="S132" s="382"/>
      <c r="T132" s="382"/>
      <c r="U132" s="382"/>
      <c r="V132" s="382"/>
      <c r="W132" s="382"/>
      <c r="X132" s="382"/>
      <c r="Y132" s="382"/>
      <c r="Z132" s="382"/>
      <c r="AA132" s="382"/>
      <c r="AB132" s="382"/>
      <c r="AC132" s="382"/>
      <c r="AD132" s="382"/>
      <c r="AE132" s="382"/>
      <c r="AF132" s="382"/>
      <c r="AG132" s="382"/>
      <c r="AH132" s="382"/>
      <c r="AI132" s="382"/>
      <c r="AJ132" s="382"/>
      <c r="AK132" s="382"/>
      <c r="AL132" s="382"/>
      <c r="AM132" s="382"/>
      <c r="AN132" s="382"/>
      <c r="AO132" s="382"/>
      <c r="AP132" s="382"/>
      <c r="AQ132" s="382"/>
      <c r="AR132" s="382"/>
    </row>
    <row r="133" spans="1:44" ht="12.75" customHeight="1" x14ac:dyDescent="0.25">
      <c r="A133" s="382"/>
      <c r="B133" s="382"/>
      <c r="C133" s="382"/>
      <c r="D133" s="382"/>
      <c r="E133" s="382"/>
      <c r="F133" s="382"/>
      <c r="G133" s="382"/>
      <c r="H133" s="382"/>
      <c r="I133" s="382"/>
      <c r="J133" s="382"/>
      <c r="K133" s="382"/>
      <c r="L133" s="382"/>
      <c r="M133" s="382"/>
      <c r="N133" s="382"/>
      <c r="O133" s="382"/>
      <c r="P133" s="382"/>
      <c r="Q133" s="382"/>
      <c r="R133" s="382"/>
      <c r="S133" s="382"/>
      <c r="T133" s="382"/>
      <c r="U133" s="382"/>
      <c r="V133" s="382"/>
      <c r="W133" s="382"/>
      <c r="X133" s="382"/>
      <c r="Y133" s="382"/>
      <c r="Z133" s="382"/>
      <c r="AA133" s="382"/>
      <c r="AB133" s="382"/>
      <c r="AC133" s="382"/>
      <c r="AD133" s="382"/>
      <c r="AE133" s="382"/>
      <c r="AF133" s="382"/>
      <c r="AG133" s="382"/>
      <c r="AH133" s="382"/>
      <c r="AI133" s="382"/>
      <c r="AJ133" s="382"/>
      <c r="AK133" s="382"/>
      <c r="AL133" s="382"/>
      <c r="AM133" s="382"/>
      <c r="AN133" s="382"/>
      <c r="AO133" s="382"/>
      <c r="AP133" s="382"/>
      <c r="AQ133" s="382"/>
      <c r="AR133" s="382"/>
    </row>
    <row r="134" spans="1:44" ht="12.75" customHeight="1" x14ac:dyDescent="0.25">
      <c r="A134" s="382"/>
      <c r="B134" s="382"/>
      <c r="C134" s="382"/>
      <c r="D134" s="382"/>
      <c r="E134" s="382"/>
      <c r="F134" s="382"/>
      <c r="G134" s="382"/>
      <c r="H134" s="382"/>
      <c r="I134" s="382"/>
      <c r="J134" s="382"/>
      <c r="K134" s="382"/>
      <c r="L134" s="382"/>
      <c r="M134" s="382"/>
      <c r="N134" s="382"/>
      <c r="O134" s="382"/>
      <c r="P134" s="382"/>
      <c r="Q134" s="382"/>
      <c r="R134" s="382"/>
      <c r="S134" s="382"/>
      <c r="T134" s="382"/>
      <c r="U134" s="382"/>
      <c r="V134" s="382"/>
      <c r="W134" s="382"/>
      <c r="X134" s="382"/>
      <c r="Y134" s="382"/>
      <c r="Z134" s="382"/>
      <c r="AA134" s="382"/>
      <c r="AB134" s="382"/>
      <c r="AC134" s="382"/>
      <c r="AD134" s="382"/>
      <c r="AE134" s="382"/>
      <c r="AF134" s="382"/>
      <c r="AG134" s="382"/>
      <c r="AH134" s="382"/>
      <c r="AI134" s="382"/>
      <c r="AJ134" s="382"/>
      <c r="AK134" s="382"/>
      <c r="AL134" s="382"/>
      <c r="AM134" s="382"/>
      <c r="AN134" s="382"/>
      <c r="AO134" s="382"/>
      <c r="AP134" s="382"/>
      <c r="AQ134" s="382"/>
      <c r="AR134" s="382"/>
    </row>
    <row r="135" spans="1:44" ht="12.75" customHeight="1" x14ac:dyDescent="0.25">
      <c r="A135" s="382"/>
      <c r="E135" s="256"/>
      <c r="F135" s="256"/>
      <c r="G135" s="256"/>
      <c r="I135" s="256"/>
    </row>
    <row r="136" spans="1:44" ht="12.75" customHeight="1" x14ac:dyDescent="0.25">
      <c r="A136" s="382"/>
      <c r="E136" s="256"/>
      <c r="F136" s="256"/>
      <c r="G136" s="256"/>
      <c r="I136" s="256"/>
    </row>
    <row r="137" spans="1:44" ht="12.75" customHeight="1" x14ac:dyDescent="0.25">
      <c r="A137" s="382"/>
      <c r="E137" s="256"/>
      <c r="F137" s="256"/>
      <c r="G137" s="256"/>
      <c r="I137" s="256"/>
    </row>
    <row r="138" spans="1:44" ht="12.75" customHeight="1" x14ac:dyDescent="0.25">
      <c r="A138" s="382"/>
    </row>
    <row r="139" spans="1:44" ht="12.75" customHeight="1" x14ac:dyDescent="0.25">
      <c r="A139" s="382"/>
    </row>
    <row r="140" spans="1:44" ht="12.75" customHeight="1" x14ac:dyDescent="0.25">
      <c r="A140" s="382"/>
    </row>
  </sheetData>
  <phoneticPr fontId="0" type="noConversion"/>
  <pageMargins left="0.55000000000000004" right="0.45" top="0.63" bottom="0.45" header="0.36" footer="0.26"/>
  <pageSetup paperSize="9" scale="92"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21" r:id="rId4" name="basic2button">
              <controlPr defaultSize="0" print="0" autoFill="0" autoPict="0" macro="[0]!returnfromcopy">
                <anchor moveWithCells="1" sizeWithCells="1">
                  <from>
                    <xdr:col>11</xdr:col>
                    <xdr:colOff>44450</xdr:colOff>
                    <xdr:row>1</xdr:row>
                    <xdr:rowOff>76200</xdr:rowOff>
                  </from>
                  <to>
                    <xdr:col>11</xdr:col>
                    <xdr:colOff>946150</xdr:colOff>
                    <xdr:row>4</xdr:row>
                    <xdr:rowOff>0</xdr:rowOff>
                  </to>
                </anchor>
              </controlPr>
            </control>
          </mc:Choice>
        </mc:AlternateContent>
        <mc:AlternateContent xmlns:mc="http://schemas.openxmlformats.org/markup-compatibility/2006">
          <mc:Choice Requires="x14">
            <control shapeId="43022" r:id="rId5" name="basic2delbutton">
              <controlPr defaultSize="0" print="0" autoFill="0" autoPict="0" macro="[0]!delete_basic2button">
                <anchor moveWithCells="1" sizeWithCells="1">
                  <from>
                    <xdr:col>11</xdr:col>
                    <xdr:colOff>44450</xdr:colOff>
                    <xdr:row>4</xdr:row>
                    <xdr:rowOff>25400</xdr:rowOff>
                  </from>
                  <to>
                    <xdr:col>11</xdr:col>
                    <xdr:colOff>946150</xdr:colOff>
                    <xdr:row>7</xdr:row>
                    <xdr:rowOff>146050</xdr:rowOff>
                  </to>
                </anchor>
              </controlPr>
            </control>
          </mc:Choice>
        </mc:AlternateContent>
        <mc:AlternateContent xmlns:mc="http://schemas.openxmlformats.org/markup-compatibility/2006">
          <mc:Choice Requires="x14">
            <control shapeId="43023" r:id="rId6" name="pdfbutton">
              <controlPr defaultSize="0" print="0" autoFill="0" autoPict="0" macro="[0]!nya">
                <anchor moveWithCells="1" sizeWithCells="1">
                  <from>
                    <xdr:col>11</xdr:col>
                    <xdr:colOff>1092200</xdr:colOff>
                    <xdr:row>1</xdr:row>
                    <xdr:rowOff>44450</xdr:rowOff>
                  </from>
                  <to>
                    <xdr:col>12</xdr:col>
                    <xdr:colOff>406400</xdr:colOff>
                    <xdr:row>4</xdr:row>
                    <xdr:rowOff>82550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106F5-7581-4124-B5A4-8944A9CD8D38}">
  <sheetPr codeName="Sheet32"/>
  <dimension ref="A1:Z75"/>
  <sheetViews>
    <sheetView showGridLines="0" workbookViewId="0"/>
  </sheetViews>
  <sheetFormatPr defaultColWidth="9.08984375" defaultRowHeight="12.5" x14ac:dyDescent="0.25"/>
  <cols>
    <col min="1" max="1" width="12.36328125" style="559" customWidth="1"/>
    <col min="2" max="2" width="2.54296875" style="559" customWidth="1"/>
    <col min="3" max="3" width="11.6328125" style="559" customWidth="1"/>
    <col min="4" max="4" width="11" style="559" customWidth="1"/>
    <col min="5" max="5" width="12.08984375" style="559" customWidth="1"/>
    <col min="6" max="6" width="9.08984375" style="559"/>
    <col min="7" max="7" width="10.453125" style="559" customWidth="1"/>
    <col min="8" max="8" width="10.08984375" style="559" customWidth="1"/>
    <col min="9" max="10" width="9.08984375" style="559"/>
    <col min="11" max="11" width="4.6328125" style="559" customWidth="1"/>
    <col min="12" max="12" width="1.453125" style="559" customWidth="1"/>
    <col min="13" max="13" width="1" style="559" customWidth="1"/>
    <col min="14" max="14" width="2.08984375" style="559" customWidth="1"/>
    <col min="15" max="15" width="5.36328125" style="559" customWidth="1"/>
    <col min="16" max="16" width="20" style="559" customWidth="1"/>
    <col min="17" max="25" width="9.08984375" style="559"/>
    <col min="26" max="26" width="12.453125" style="559" customWidth="1"/>
    <col min="27" max="16384" width="9.08984375" style="559"/>
  </cols>
  <sheetData>
    <row r="1" spans="1:26" x14ac:dyDescent="0.25">
      <c r="A1" s="708"/>
      <c r="B1" s="708"/>
      <c r="C1" s="708"/>
      <c r="D1" s="708"/>
      <c r="E1" s="708"/>
      <c r="F1" s="708"/>
      <c r="G1" s="708"/>
      <c r="H1" s="708"/>
      <c r="I1" s="708"/>
      <c r="J1" s="708"/>
      <c r="K1" s="708"/>
      <c r="L1" s="708"/>
      <c r="M1" s="708"/>
      <c r="N1" s="708"/>
      <c r="O1" s="708"/>
      <c r="P1" s="708"/>
      <c r="Q1" s="708"/>
      <c r="R1" s="708"/>
      <c r="S1" s="708"/>
      <c r="T1" s="708"/>
      <c r="U1" s="708"/>
      <c r="V1" s="708"/>
      <c r="W1" s="708"/>
      <c r="X1" s="708"/>
      <c r="Y1" s="708"/>
      <c r="Z1" s="708"/>
    </row>
    <row r="2" spans="1:26" x14ac:dyDescent="0.25">
      <c r="A2" s="708"/>
      <c r="O2" s="708"/>
      <c r="P2" s="708"/>
      <c r="Q2" s="708"/>
      <c r="R2" s="708"/>
      <c r="S2" s="708"/>
      <c r="T2" s="708"/>
      <c r="U2" s="708"/>
      <c r="V2" s="708"/>
      <c r="W2" s="708"/>
      <c r="X2" s="708"/>
      <c r="Y2" s="708"/>
      <c r="Z2" s="708"/>
    </row>
    <row r="3" spans="1:26" ht="13" x14ac:dyDescent="0.3">
      <c r="A3" s="708"/>
      <c r="K3" s="1071"/>
      <c r="O3" s="708"/>
      <c r="P3" s="708"/>
      <c r="Q3" s="708"/>
      <c r="R3" s="708"/>
      <c r="S3" s="708"/>
      <c r="T3" s="708"/>
      <c r="U3" s="708"/>
      <c r="V3" s="708"/>
      <c r="W3" s="708"/>
      <c r="X3" s="708"/>
      <c r="Y3" s="708"/>
      <c r="Z3" s="708"/>
    </row>
    <row r="4" spans="1:26" x14ac:dyDescent="0.25">
      <c r="A4" s="708"/>
      <c r="O4" s="708"/>
      <c r="P4" s="708"/>
      <c r="Q4" s="708"/>
      <c r="R4" s="708"/>
      <c r="S4" s="708"/>
      <c r="T4" s="708"/>
      <c r="U4" s="708"/>
      <c r="V4" s="708"/>
      <c r="W4" s="708"/>
      <c r="X4" s="708"/>
      <c r="Y4" s="708"/>
      <c r="Z4" s="708"/>
    </row>
    <row r="5" spans="1:26" x14ac:dyDescent="0.25">
      <c r="A5" s="708"/>
      <c r="O5" s="708"/>
      <c r="P5" s="708"/>
      <c r="Q5" s="708"/>
      <c r="R5" s="708"/>
      <c r="S5" s="708"/>
      <c r="T5" s="708"/>
      <c r="U5" s="708"/>
      <c r="V5" s="708"/>
      <c r="W5" s="708"/>
      <c r="X5" s="708"/>
      <c r="Y5" s="708"/>
      <c r="Z5" s="708"/>
    </row>
    <row r="6" spans="1:26" ht="24" customHeight="1" x14ac:dyDescent="0.35">
      <c r="A6" s="708"/>
      <c r="C6" s="1282"/>
      <c r="M6" s="1072"/>
      <c r="O6" s="708"/>
      <c r="P6" s="708"/>
      <c r="Q6" s="708"/>
      <c r="R6" s="708"/>
      <c r="S6" s="708"/>
      <c r="T6" s="708"/>
      <c r="U6" s="708"/>
      <c r="V6" s="708"/>
      <c r="W6" s="708"/>
      <c r="X6" s="708"/>
      <c r="Y6" s="708"/>
      <c r="Z6" s="708"/>
    </row>
    <row r="7" spans="1:26" ht="13" x14ac:dyDescent="0.3">
      <c r="A7" s="708"/>
      <c r="C7" s="1073"/>
      <c r="D7" s="1283"/>
      <c r="E7" s="1283"/>
      <c r="F7" s="1283"/>
      <c r="G7" s="1283"/>
      <c r="H7" s="1283"/>
      <c r="I7" s="1283"/>
      <c r="J7" s="1283"/>
      <c r="K7" s="1283"/>
      <c r="M7" s="1072"/>
      <c r="O7" s="708"/>
      <c r="P7" s="708"/>
      <c r="Q7" s="708"/>
      <c r="R7" s="708"/>
      <c r="S7" s="708"/>
      <c r="T7" s="708"/>
      <c r="U7" s="708"/>
      <c r="V7" s="708"/>
      <c r="W7" s="708"/>
      <c r="X7" s="708"/>
      <c r="Y7" s="708"/>
      <c r="Z7" s="708"/>
    </row>
    <row r="8" spans="1:26" ht="11.25" customHeight="1" x14ac:dyDescent="0.35">
      <c r="A8" s="708"/>
      <c r="C8" s="1282"/>
      <c r="O8" s="708"/>
      <c r="P8" s="708"/>
      <c r="Q8" s="708"/>
      <c r="R8" s="708"/>
      <c r="S8" s="708"/>
      <c r="T8" s="708"/>
      <c r="U8" s="708"/>
      <c r="V8" s="708"/>
      <c r="W8" s="708"/>
      <c r="X8" s="708"/>
      <c r="Y8" s="708"/>
      <c r="Z8" s="708"/>
    </row>
    <row r="9" spans="1:26" ht="18.75" customHeight="1" x14ac:dyDescent="0.3">
      <c r="A9" s="708"/>
      <c r="C9" s="138"/>
      <c r="D9" s="135"/>
      <c r="E9" s="1219"/>
      <c r="F9" s="1219"/>
      <c r="G9" s="135"/>
      <c r="H9" s="135"/>
      <c r="I9" s="135"/>
      <c r="J9" s="135"/>
      <c r="O9" s="708"/>
      <c r="P9" s="708"/>
      <c r="Q9" s="708"/>
      <c r="R9" s="708"/>
      <c r="S9" s="708"/>
      <c r="T9" s="708"/>
      <c r="U9" s="708"/>
      <c r="V9" s="708"/>
      <c r="W9" s="708"/>
      <c r="X9" s="708"/>
      <c r="Y9" s="708"/>
      <c r="Z9" s="708"/>
    </row>
    <row r="10" spans="1:26" ht="12.9" customHeight="1" x14ac:dyDescent="0.25">
      <c r="A10" s="708"/>
      <c r="C10" s="1284"/>
      <c r="D10" s="1285"/>
      <c r="E10" s="1285"/>
      <c r="F10" s="1285"/>
      <c r="G10" s="1285"/>
      <c r="H10" s="1286"/>
      <c r="I10" s="1061"/>
      <c r="J10" s="1897"/>
      <c r="O10" s="708"/>
      <c r="P10" s="708"/>
      <c r="Q10" s="708"/>
      <c r="R10" s="708"/>
      <c r="S10" s="708"/>
      <c r="T10" s="708"/>
      <c r="U10" s="708"/>
      <c r="V10" s="708"/>
      <c r="W10" s="708"/>
      <c r="X10" s="708"/>
      <c r="Y10" s="708"/>
      <c r="Z10" s="708"/>
    </row>
    <row r="11" spans="1:26" ht="12.9" customHeight="1" x14ac:dyDescent="0.25">
      <c r="A11" s="708"/>
      <c r="C11" s="1284"/>
      <c r="D11" s="1285"/>
      <c r="E11" s="1285"/>
      <c r="F11" s="1285"/>
      <c r="G11" s="1285"/>
      <c r="H11" s="1286"/>
      <c r="I11" s="1061"/>
      <c r="J11" s="1897"/>
      <c r="O11" s="708"/>
      <c r="P11" s="708"/>
      <c r="Q11" s="708"/>
      <c r="R11" s="708"/>
      <c r="S11" s="708"/>
      <c r="T11" s="708"/>
      <c r="U11" s="708"/>
      <c r="V11" s="708"/>
      <c r="W11" s="708"/>
      <c r="X11" s="708"/>
      <c r="Y11" s="708"/>
      <c r="Z11" s="708"/>
    </row>
    <row r="12" spans="1:26" ht="12.9" customHeight="1" x14ac:dyDescent="0.25">
      <c r="A12" s="708"/>
      <c r="C12" s="1284"/>
      <c r="D12" s="1285"/>
      <c r="E12" s="1285"/>
      <c r="F12" s="1285"/>
      <c r="G12" s="1285"/>
      <c r="H12" s="1286"/>
      <c r="I12" s="1061"/>
      <c r="J12" s="1897"/>
      <c r="O12" s="708"/>
      <c r="P12" s="708"/>
      <c r="Q12" s="708"/>
      <c r="R12" s="708"/>
      <c r="S12" s="708"/>
      <c r="T12" s="708"/>
      <c r="U12" s="708"/>
      <c r="V12" s="708"/>
      <c r="W12" s="708"/>
      <c r="X12" s="708"/>
      <c r="Y12" s="708"/>
      <c r="Z12" s="708"/>
    </row>
    <row r="13" spans="1:26" ht="12.9" customHeight="1" x14ac:dyDescent="0.25">
      <c r="A13" s="708"/>
      <c r="C13" s="1284"/>
      <c r="D13" s="1285"/>
      <c r="E13" s="1285"/>
      <c r="F13" s="1285"/>
      <c r="G13" s="1285"/>
      <c r="H13" s="1286"/>
      <c r="I13" s="133"/>
      <c r="J13" s="133"/>
      <c r="O13" s="708"/>
      <c r="P13" s="708"/>
      <c r="Q13" s="708"/>
      <c r="R13" s="708"/>
      <c r="S13" s="708"/>
      <c r="T13" s="708"/>
      <c r="U13" s="708"/>
      <c r="V13" s="708"/>
      <c r="W13" s="708"/>
      <c r="X13" s="708"/>
      <c r="Y13" s="708"/>
      <c r="Z13" s="708"/>
    </row>
    <row r="14" spans="1:26" ht="12.9" customHeight="1" x14ac:dyDescent="0.25">
      <c r="A14" s="708"/>
      <c r="C14" s="1284"/>
      <c r="D14" s="1285"/>
      <c r="E14" s="1285"/>
      <c r="F14" s="1285"/>
      <c r="G14" s="1285"/>
      <c r="H14" s="1286"/>
      <c r="I14" s="133"/>
      <c r="J14" s="133"/>
      <c r="O14" s="708"/>
      <c r="P14" s="708"/>
      <c r="Q14" s="708"/>
      <c r="R14" s="708"/>
      <c r="S14" s="708"/>
      <c r="T14" s="708"/>
      <c r="U14" s="708"/>
      <c r="V14" s="708"/>
      <c r="W14" s="708"/>
      <c r="X14" s="708"/>
      <c r="Y14" s="708"/>
      <c r="Z14" s="708"/>
    </row>
    <row r="15" spans="1:26" ht="7.5" customHeight="1" x14ac:dyDescent="0.25">
      <c r="A15" s="708"/>
      <c r="O15" s="708"/>
      <c r="P15" s="708"/>
      <c r="Q15" s="708"/>
      <c r="R15" s="708"/>
      <c r="S15" s="708"/>
      <c r="T15" s="708"/>
      <c r="U15" s="708"/>
      <c r="V15" s="708"/>
      <c r="W15" s="708"/>
      <c r="X15" s="708"/>
      <c r="Y15" s="708"/>
      <c r="Z15" s="708"/>
    </row>
    <row r="16" spans="1:26" ht="16.5" customHeight="1" x14ac:dyDescent="0.3">
      <c r="A16" s="708"/>
      <c r="C16" s="137"/>
      <c r="D16" s="143"/>
      <c r="E16" s="143"/>
      <c r="F16" s="143"/>
      <c r="G16" s="144"/>
      <c r="H16" s="137"/>
      <c r="I16" s="143"/>
      <c r="J16" s="143"/>
      <c r="K16" s="143"/>
      <c r="L16" s="143"/>
      <c r="M16" s="144"/>
      <c r="O16" s="708"/>
      <c r="P16" s="708"/>
      <c r="Q16" s="708"/>
      <c r="R16" s="708"/>
      <c r="S16" s="708"/>
      <c r="T16" s="708"/>
      <c r="U16" s="708"/>
      <c r="V16" s="708"/>
      <c r="W16" s="708"/>
      <c r="X16" s="708"/>
      <c r="Y16" s="708"/>
      <c r="Z16" s="708"/>
    </row>
    <row r="17" spans="1:26" ht="21" customHeight="1" x14ac:dyDescent="0.3">
      <c r="A17" s="708"/>
      <c r="C17" s="140"/>
      <c r="D17" s="540"/>
      <c r="E17" s="535"/>
      <c r="F17" s="533"/>
      <c r="G17" s="540"/>
      <c r="H17" s="1287"/>
      <c r="I17" s="533"/>
      <c r="J17" s="533"/>
      <c r="K17" s="533"/>
      <c r="L17" s="533"/>
      <c r="M17" s="540"/>
      <c r="O17" s="708"/>
      <c r="P17" s="708"/>
      <c r="Q17" s="708"/>
      <c r="R17" s="708"/>
      <c r="S17" s="708"/>
      <c r="T17" s="708"/>
      <c r="U17" s="708"/>
      <c r="V17" s="708"/>
      <c r="W17" s="708"/>
      <c r="X17" s="708"/>
      <c r="Y17" s="708"/>
      <c r="Z17" s="708"/>
    </row>
    <row r="18" spans="1:26" ht="28.5" customHeight="1" x14ac:dyDescent="0.35">
      <c r="A18" s="708"/>
      <c r="C18" s="139"/>
      <c r="D18" s="540"/>
      <c r="E18" s="535"/>
      <c r="F18" s="533"/>
      <c r="G18" s="540"/>
      <c r="H18" s="2449"/>
      <c r="I18" s="2448"/>
      <c r="J18" s="2448"/>
      <c r="K18" s="2448"/>
      <c r="L18" s="533"/>
      <c r="M18" s="540"/>
      <c r="O18" s="708"/>
      <c r="P18" s="708"/>
      <c r="Q18" s="708"/>
      <c r="R18" s="708"/>
      <c r="S18" s="708"/>
      <c r="T18" s="708"/>
      <c r="U18" s="708"/>
      <c r="V18" s="708"/>
      <c r="W18" s="708"/>
      <c r="X18" s="708"/>
      <c r="Y18" s="708"/>
      <c r="Z18" s="708"/>
    </row>
    <row r="19" spans="1:26" ht="14.25" customHeight="1" x14ac:dyDescent="0.3">
      <c r="A19" s="708"/>
      <c r="C19" s="139"/>
      <c r="D19" s="540"/>
      <c r="E19" s="1288"/>
      <c r="F19" s="533"/>
      <c r="G19" s="540"/>
      <c r="H19" s="1287"/>
      <c r="I19" s="533"/>
      <c r="J19" s="533"/>
      <c r="K19" s="533"/>
      <c r="L19" s="533"/>
      <c r="M19" s="540"/>
      <c r="O19" s="708"/>
      <c r="P19" s="708"/>
      <c r="Q19" s="708"/>
      <c r="R19" s="708"/>
      <c r="S19" s="708"/>
      <c r="T19" s="708"/>
      <c r="U19" s="708"/>
      <c r="V19" s="708"/>
      <c r="W19" s="708"/>
      <c r="X19" s="708"/>
      <c r="Y19" s="708"/>
      <c r="Z19" s="708"/>
    </row>
    <row r="20" spans="1:26" ht="18" customHeight="1" x14ac:dyDescent="0.3">
      <c r="A20" s="708"/>
      <c r="C20" s="140"/>
      <c r="D20" s="540"/>
      <c r="E20" s="1288"/>
      <c r="F20" s="533"/>
      <c r="G20" s="540"/>
      <c r="H20" s="1287"/>
      <c r="I20" s="533"/>
      <c r="J20" s="533"/>
      <c r="K20" s="533"/>
      <c r="L20" s="533"/>
      <c r="M20" s="540"/>
      <c r="O20" s="708"/>
      <c r="P20" s="708"/>
      <c r="Q20" s="708"/>
      <c r="R20" s="708"/>
      <c r="S20" s="708"/>
      <c r="T20" s="708"/>
      <c r="U20" s="708"/>
      <c r="V20" s="708"/>
      <c r="W20" s="708"/>
      <c r="X20" s="708"/>
      <c r="Y20" s="708"/>
      <c r="Z20" s="708"/>
    </row>
    <row r="21" spans="1:26" ht="6" customHeight="1" x14ac:dyDescent="0.25">
      <c r="A21" s="708"/>
      <c r="O21" s="708"/>
      <c r="P21" s="708"/>
      <c r="Q21" s="708"/>
      <c r="R21" s="708"/>
      <c r="S21" s="708"/>
      <c r="T21" s="708"/>
      <c r="U21" s="708"/>
      <c r="V21" s="708"/>
      <c r="W21" s="708"/>
      <c r="X21" s="708"/>
      <c r="Y21" s="708"/>
      <c r="Z21" s="708"/>
    </row>
    <row r="22" spans="1:26" ht="12" customHeight="1" x14ac:dyDescent="0.3">
      <c r="A22" s="708"/>
      <c r="C22" s="131"/>
      <c r="O22" s="708"/>
      <c r="P22" s="708"/>
      <c r="Q22" s="708"/>
      <c r="R22" s="708"/>
      <c r="S22" s="708"/>
      <c r="T22" s="708"/>
      <c r="U22" s="708"/>
      <c r="V22" s="708"/>
      <c r="W22" s="708"/>
      <c r="X22" s="708"/>
      <c r="Y22" s="708"/>
      <c r="Z22" s="708"/>
    </row>
    <row r="23" spans="1:26" ht="14.25" customHeight="1" x14ac:dyDescent="0.3">
      <c r="A23" s="708"/>
      <c r="C23" s="138"/>
      <c r="D23" s="151"/>
      <c r="E23" s="152"/>
      <c r="F23" s="151"/>
      <c r="G23" s="154"/>
      <c r="H23" s="154"/>
      <c r="I23" s="152"/>
      <c r="O23" s="708"/>
      <c r="P23" s="708"/>
      <c r="Q23" s="708"/>
      <c r="R23" s="708"/>
      <c r="S23" s="708"/>
      <c r="T23" s="708"/>
      <c r="U23" s="708"/>
      <c r="V23" s="708"/>
      <c r="W23" s="708"/>
      <c r="X23" s="708"/>
      <c r="Y23" s="708"/>
      <c r="Z23" s="708"/>
    </row>
    <row r="24" spans="1:26" ht="12.9" customHeight="1" x14ac:dyDescent="0.25">
      <c r="A24" s="708"/>
      <c r="C24" s="1284"/>
      <c r="D24" s="535"/>
      <c r="E24" s="540"/>
      <c r="F24" s="535"/>
      <c r="G24" s="533"/>
      <c r="H24" s="533"/>
      <c r="I24" s="540"/>
      <c r="O24" s="708"/>
      <c r="P24" s="708"/>
      <c r="Q24" s="708"/>
      <c r="R24" s="708"/>
      <c r="S24" s="708"/>
      <c r="T24" s="708"/>
      <c r="U24" s="708"/>
      <c r="V24" s="708"/>
      <c r="W24" s="708"/>
      <c r="X24" s="708"/>
      <c r="Y24" s="708"/>
      <c r="Z24" s="708"/>
    </row>
    <row r="25" spans="1:26" ht="12.9" customHeight="1" x14ac:dyDescent="0.25">
      <c r="A25" s="708"/>
      <c r="C25" s="1284"/>
      <c r="D25" s="535"/>
      <c r="E25" s="1289"/>
      <c r="F25" s="535"/>
      <c r="G25" s="533"/>
      <c r="H25" s="533"/>
      <c r="I25" s="540"/>
      <c r="O25" s="708"/>
      <c r="P25" s="708"/>
      <c r="Q25" s="708"/>
      <c r="R25" s="708"/>
      <c r="S25" s="708"/>
      <c r="T25" s="708"/>
      <c r="U25" s="708"/>
      <c r="V25" s="708"/>
      <c r="W25" s="708"/>
      <c r="X25" s="708"/>
      <c r="Y25" s="708"/>
      <c r="Z25" s="708"/>
    </row>
    <row r="26" spans="1:26" ht="12.9" customHeight="1" x14ac:dyDescent="0.25">
      <c r="A26" s="708"/>
      <c r="C26" s="1284"/>
      <c r="D26" s="535"/>
      <c r="E26" s="540"/>
      <c r="F26" s="535"/>
      <c r="G26" s="533"/>
      <c r="H26" s="533"/>
      <c r="I26" s="540"/>
      <c r="O26" s="708"/>
      <c r="P26" s="708"/>
      <c r="Q26" s="708"/>
      <c r="R26" s="708"/>
      <c r="S26" s="708"/>
      <c r="T26" s="708"/>
      <c r="U26" s="708"/>
      <c r="V26" s="708"/>
      <c r="W26" s="708"/>
      <c r="X26" s="708"/>
      <c r="Y26" s="708"/>
      <c r="Z26" s="708"/>
    </row>
    <row r="27" spans="1:26" ht="7.5" customHeight="1" x14ac:dyDescent="0.25">
      <c r="A27" s="708"/>
      <c r="O27" s="708"/>
      <c r="P27" s="708"/>
      <c r="Q27" s="708"/>
      <c r="R27" s="708"/>
      <c r="S27" s="708"/>
      <c r="T27" s="708"/>
      <c r="U27" s="708"/>
      <c r="V27" s="708"/>
      <c r="W27" s="708"/>
      <c r="X27" s="708"/>
      <c r="Y27" s="708"/>
      <c r="Z27" s="708"/>
    </row>
    <row r="28" spans="1:26" ht="30.75" customHeight="1" x14ac:dyDescent="0.35">
      <c r="A28" s="708"/>
      <c r="C28" s="147"/>
      <c r="D28" s="147"/>
      <c r="E28" s="147"/>
      <c r="F28" s="147"/>
      <c r="G28" s="147"/>
      <c r="H28" s="147"/>
      <c r="I28" s="147"/>
      <c r="J28" s="148"/>
      <c r="K28" s="149"/>
      <c r="L28"/>
      <c r="O28" s="708"/>
      <c r="P28" s="708"/>
      <c r="Q28" s="708"/>
      <c r="R28" s="708"/>
      <c r="S28" s="708"/>
      <c r="T28" s="708"/>
      <c r="U28" s="708"/>
      <c r="V28" s="708"/>
      <c r="W28" s="708"/>
      <c r="X28" s="708"/>
      <c r="Y28" s="708"/>
      <c r="Z28" s="708"/>
    </row>
    <row r="29" spans="1:26" ht="12.9" customHeight="1" x14ac:dyDescent="0.25">
      <c r="A29" s="708"/>
      <c r="C29" s="1284"/>
      <c r="D29" s="1286"/>
      <c r="E29" s="1286"/>
      <c r="F29" s="1286"/>
      <c r="G29" s="1286"/>
      <c r="H29" s="1286"/>
      <c r="I29" s="1286"/>
      <c r="J29" s="1285"/>
      <c r="O29" s="708"/>
      <c r="P29" s="708"/>
      <c r="Q29" s="708"/>
      <c r="R29" s="708"/>
      <c r="S29" s="708"/>
      <c r="T29" s="708"/>
      <c r="U29" s="708"/>
      <c r="V29" s="708"/>
      <c r="W29" s="708"/>
      <c r="X29" s="708"/>
      <c r="Y29" s="708"/>
      <c r="Z29" s="708"/>
    </row>
    <row r="30" spans="1:26" ht="12.9" customHeight="1" x14ac:dyDescent="0.25">
      <c r="A30" s="708"/>
      <c r="C30" s="1284"/>
      <c r="D30" s="1286"/>
      <c r="E30" s="1286"/>
      <c r="F30" s="1286"/>
      <c r="G30" s="1286"/>
      <c r="H30" s="1286"/>
      <c r="I30" s="1286"/>
      <c r="J30" s="1285"/>
      <c r="O30" s="708"/>
      <c r="P30" s="708"/>
      <c r="Q30" s="708"/>
      <c r="R30" s="708"/>
      <c r="S30" s="708"/>
      <c r="T30" s="708"/>
      <c r="U30" s="708"/>
      <c r="V30" s="708"/>
      <c r="W30" s="708"/>
      <c r="X30" s="708"/>
      <c r="Y30" s="708"/>
      <c r="Z30" s="708"/>
    </row>
    <row r="31" spans="1:26" ht="12.9" customHeight="1" x14ac:dyDescent="0.25">
      <c r="A31" s="708"/>
      <c r="C31" s="1284"/>
      <c r="D31" s="1286"/>
      <c r="E31" s="1286"/>
      <c r="F31" s="1286"/>
      <c r="G31" s="1286"/>
      <c r="H31" s="1286"/>
      <c r="I31" s="1286"/>
      <c r="J31" s="1285"/>
      <c r="O31" s="708"/>
      <c r="P31" s="708"/>
      <c r="Q31" s="708"/>
      <c r="R31" s="708"/>
      <c r="S31" s="708"/>
      <c r="T31" s="708"/>
      <c r="U31" s="708"/>
      <c r="V31" s="708"/>
      <c r="W31" s="708"/>
      <c r="X31" s="708"/>
      <c r="Y31" s="708"/>
      <c r="Z31" s="708"/>
    </row>
    <row r="32" spans="1:26" ht="12.9" customHeight="1" x14ac:dyDescent="0.25">
      <c r="A32" s="708"/>
      <c r="C32" s="1284"/>
      <c r="D32" s="1286"/>
      <c r="E32" s="1286"/>
      <c r="F32" s="1286"/>
      <c r="G32" s="1286"/>
      <c r="H32" s="1286"/>
      <c r="I32" s="1286"/>
      <c r="J32" s="1285"/>
      <c r="O32" s="708"/>
      <c r="P32" s="708"/>
      <c r="Q32" s="708"/>
      <c r="R32" s="708"/>
      <c r="S32" s="708"/>
      <c r="T32" s="708"/>
      <c r="U32" s="708"/>
      <c r="V32" s="708"/>
      <c r="W32" s="708"/>
      <c r="X32" s="708"/>
      <c r="Y32" s="708"/>
      <c r="Z32" s="708"/>
    </row>
    <row r="33" spans="1:26" ht="12.9" customHeight="1" x14ac:dyDescent="0.25">
      <c r="A33" s="708"/>
      <c r="C33" s="1284"/>
      <c r="D33" s="1286"/>
      <c r="E33" s="1286"/>
      <c r="F33" s="1286"/>
      <c r="G33" s="1286"/>
      <c r="H33" s="1286"/>
      <c r="I33" s="1286"/>
      <c r="J33" s="1285"/>
      <c r="O33" s="708"/>
      <c r="P33" s="708"/>
      <c r="Q33" s="708"/>
      <c r="R33" s="708"/>
      <c r="S33" s="708"/>
      <c r="T33" s="708"/>
      <c r="U33" s="708"/>
      <c r="V33" s="708"/>
      <c r="W33" s="708"/>
      <c r="X33" s="708"/>
      <c r="Y33" s="708"/>
      <c r="Z33" s="708"/>
    </row>
    <row r="34" spans="1:26" ht="6.75" customHeight="1" x14ac:dyDescent="0.25">
      <c r="A34" s="708"/>
      <c r="O34" s="708"/>
      <c r="P34" s="708"/>
      <c r="Q34" s="708"/>
      <c r="R34" s="708"/>
      <c r="S34" s="708"/>
      <c r="T34" s="708"/>
      <c r="U34" s="708"/>
      <c r="V34" s="708"/>
      <c r="W34" s="708"/>
      <c r="X34" s="708"/>
      <c r="Y34" s="708"/>
      <c r="Z34" s="708"/>
    </row>
    <row r="35" spans="1:26" ht="30" customHeight="1" x14ac:dyDescent="0.3">
      <c r="A35" s="708"/>
      <c r="C35" s="157"/>
      <c r="D35" s="147"/>
      <c r="E35" s="147"/>
      <c r="F35" s="147"/>
      <c r="G35" s="147"/>
      <c r="H35" s="147"/>
      <c r="I35" s="147"/>
      <c r="O35" s="708"/>
      <c r="P35" s="708"/>
      <c r="Q35" s="708"/>
      <c r="R35" s="708"/>
      <c r="S35" s="708"/>
      <c r="T35" s="708"/>
      <c r="U35" s="708"/>
      <c r="V35" s="708"/>
      <c r="W35" s="708"/>
      <c r="X35" s="708"/>
      <c r="Y35" s="708"/>
      <c r="Z35" s="708"/>
    </row>
    <row r="36" spans="1:26" ht="12.9" customHeight="1" x14ac:dyDescent="0.25">
      <c r="A36" s="708"/>
      <c r="C36" s="1290"/>
      <c r="D36" s="548"/>
      <c r="E36" s="548"/>
      <c r="F36" s="548"/>
      <c r="G36" s="548"/>
      <c r="H36" s="548"/>
      <c r="I36" s="548"/>
      <c r="O36" s="708"/>
      <c r="P36" s="708"/>
      <c r="Q36" s="708"/>
      <c r="R36" s="708"/>
      <c r="S36" s="708"/>
      <c r="T36" s="708"/>
      <c r="U36" s="708"/>
      <c r="V36" s="708"/>
      <c r="W36" s="708"/>
      <c r="X36" s="708"/>
      <c r="Y36" s="708"/>
      <c r="Z36" s="708"/>
    </row>
    <row r="37" spans="1:26" ht="12.9" customHeight="1" x14ac:dyDescent="0.25">
      <c r="A37" s="708"/>
      <c r="C37" s="1290"/>
      <c r="D37" s="548"/>
      <c r="E37" s="548"/>
      <c r="F37" s="548"/>
      <c r="G37" s="548"/>
      <c r="H37" s="548"/>
      <c r="I37" s="548"/>
      <c r="O37" s="708"/>
      <c r="P37" s="708"/>
      <c r="Q37" s="708"/>
      <c r="R37" s="708"/>
      <c r="S37" s="708"/>
      <c r="T37" s="708"/>
      <c r="U37" s="708"/>
      <c r="V37" s="708"/>
      <c r="W37" s="708"/>
      <c r="X37" s="708"/>
      <c r="Y37" s="708"/>
      <c r="Z37" s="708"/>
    </row>
    <row r="38" spans="1:26" ht="12.9" customHeight="1" x14ac:dyDescent="0.25">
      <c r="A38" s="708"/>
      <c r="C38" s="1290"/>
      <c r="D38" s="548"/>
      <c r="E38" s="548"/>
      <c r="F38" s="548"/>
      <c r="G38" s="548"/>
      <c r="H38" s="548"/>
      <c r="I38" s="548"/>
      <c r="O38" s="708"/>
      <c r="P38" s="708"/>
      <c r="Q38" s="708"/>
      <c r="R38" s="708"/>
      <c r="S38" s="708"/>
      <c r="T38" s="708"/>
      <c r="U38" s="708"/>
      <c r="V38" s="708"/>
      <c r="W38" s="708"/>
      <c r="X38" s="708"/>
      <c r="Y38" s="708"/>
      <c r="Z38" s="708"/>
    </row>
    <row r="39" spans="1:26" ht="12.9" customHeight="1" x14ac:dyDescent="0.25">
      <c r="A39" s="708"/>
      <c r="C39" s="1290"/>
      <c r="D39" s="548"/>
      <c r="E39" s="548"/>
      <c r="F39" s="548"/>
      <c r="G39" s="548"/>
      <c r="H39" s="548"/>
      <c r="I39" s="548"/>
      <c r="O39" s="708"/>
      <c r="P39" s="708"/>
      <c r="Q39" s="708"/>
      <c r="R39" s="708"/>
      <c r="S39" s="708"/>
      <c r="T39" s="708"/>
      <c r="U39" s="708"/>
      <c r="V39" s="708"/>
      <c r="W39" s="708"/>
      <c r="X39" s="708"/>
      <c r="Y39" s="708"/>
      <c r="Z39" s="708"/>
    </row>
    <row r="40" spans="1:26" ht="12.9" customHeight="1" x14ac:dyDescent="0.25">
      <c r="A40" s="708"/>
      <c r="C40" s="1290"/>
      <c r="D40" s="548"/>
      <c r="E40" s="548"/>
      <c r="F40" s="548"/>
      <c r="G40" s="548"/>
      <c r="H40" s="548"/>
      <c r="I40" s="548"/>
      <c r="O40" s="708"/>
      <c r="P40" s="708"/>
      <c r="Q40" s="708"/>
      <c r="R40" s="708"/>
      <c r="S40" s="708"/>
      <c r="T40" s="708"/>
      <c r="U40" s="708"/>
      <c r="V40" s="708"/>
      <c r="W40" s="708"/>
      <c r="X40" s="708"/>
      <c r="Y40" s="708"/>
      <c r="Z40" s="708"/>
    </row>
    <row r="41" spans="1:26" ht="8.25" customHeight="1" x14ac:dyDescent="0.25">
      <c r="A41" s="708"/>
      <c r="C41" s="1067"/>
      <c r="D41" s="553"/>
      <c r="E41" s="553"/>
      <c r="F41" s="553"/>
      <c r="G41" s="553"/>
      <c r="H41" s="553"/>
      <c r="I41" s="553"/>
      <c r="O41" s="708"/>
      <c r="P41" s="708"/>
      <c r="Q41" s="708"/>
      <c r="R41" s="708"/>
      <c r="S41" s="708"/>
      <c r="T41" s="708"/>
      <c r="U41" s="708"/>
      <c r="V41" s="708"/>
      <c r="W41" s="708"/>
      <c r="X41" s="708"/>
      <c r="Y41" s="708"/>
      <c r="Z41" s="708"/>
    </row>
    <row r="42" spans="1:26" ht="11.25" customHeight="1" x14ac:dyDescent="0.3">
      <c r="A42" s="708"/>
      <c r="C42" s="1068"/>
      <c r="D42" s="553"/>
      <c r="E42" s="553"/>
      <c r="F42" s="553"/>
      <c r="G42" s="553"/>
      <c r="H42" s="553"/>
      <c r="I42" s="553"/>
      <c r="O42" s="708"/>
      <c r="P42" s="708"/>
      <c r="Q42" s="708"/>
      <c r="R42" s="708"/>
      <c r="S42" s="708"/>
      <c r="T42" s="708"/>
      <c r="U42" s="708"/>
      <c r="V42" s="708"/>
      <c r="W42" s="708"/>
      <c r="X42" s="708"/>
      <c r="Y42" s="708"/>
      <c r="Z42" s="708"/>
    </row>
    <row r="43" spans="1:26" ht="4.5" customHeight="1" x14ac:dyDescent="0.3">
      <c r="A43" s="708"/>
      <c r="C43" s="1068"/>
      <c r="D43" s="553"/>
      <c r="E43" s="553"/>
      <c r="F43" s="553"/>
      <c r="G43" s="553"/>
      <c r="H43" s="553"/>
      <c r="I43" s="553"/>
      <c r="O43" s="708"/>
      <c r="P43" s="708"/>
      <c r="Q43" s="708"/>
      <c r="R43" s="708"/>
      <c r="S43" s="708"/>
      <c r="T43" s="708"/>
      <c r="U43" s="708"/>
      <c r="V43" s="708"/>
      <c r="W43" s="708"/>
      <c r="X43" s="708"/>
      <c r="Y43" s="708"/>
      <c r="Z43" s="708"/>
    </row>
    <row r="44" spans="1:26" ht="12.9" customHeight="1" x14ac:dyDescent="0.3">
      <c r="A44" s="708"/>
      <c r="D44" s="1063"/>
      <c r="E44" s="1063"/>
      <c r="F44" s="1063"/>
      <c r="G44" s="1063"/>
      <c r="H44" s="1063"/>
      <c r="I44" s="553"/>
      <c r="O44" s="708"/>
      <c r="P44" s="708"/>
      <c r="Q44" s="708"/>
      <c r="R44" s="708"/>
      <c r="S44" s="708"/>
      <c r="T44" s="708"/>
      <c r="U44" s="708"/>
      <c r="V44" s="708"/>
      <c r="W44" s="708"/>
      <c r="X44" s="708"/>
      <c r="Y44" s="708"/>
      <c r="Z44" s="708"/>
    </row>
    <row r="45" spans="1:26" ht="12.9" customHeight="1" x14ac:dyDescent="0.25">
      <c r="A45" s="708"/>
      <c r="C45" s="1067"/>
      <c r="D45" s="1291"/>
      <c r="E45" s="1291"/>
      <c r="F45" s="1291"/>
      <c r="G45" s="1291"/>
      <c r="H45" s="1291"/>
      <c r="I45" s="553"/>
      <c r="O45" s="708"/>
      <c r="P45" s="708"/>
      <c r="Q45" s="708"/>
      <c r="R45" s="708"/>
      <c r="S45" s="708"/>
      <c r="T45" s="708"/>
      <c r="U45" s="708"/>
      <c r="V45" s="708"/>
      <c r="W45" s="708"/>
      <c r="X45" s="708"/>
      <c r="Y45" s="708"/>
      <c r="Z45" s="708"/>
    </row>
    <row r="46" spans="1:26" ht="9" customHeight="1" x14ac:dyDescent="0.25">
      <c r="A46" s="708"/>
      <c r="O46" s="708"/>
      <c r="P46" s="708"/>
      <c r="Q46" s="708"/>
      <c r="R46" s="708"/>
      <c r="S46" s="708"/>
      <c r="T46" s="708"/>
      <c r="U46" s="708"/>
      <c r="V46" s="708"/>
      <c r="W46" s="708"/>
      <c r="X46" s="708"/>
      <c r="Y46" s="708"/>
      <c r="Z46" s="708"/>
    </row>
    <row r="47" spans="1:26" ht="14.25" customHeight="1" x14ac:dyDescent="0.3">
      <c r="A47" s="708"/>
      <c r="C47" s="131"/>
      <c r="D47" s="1063"/>
      <c r="E47" s="1063"/>
      <c r="F47" s="1063"/>
      <c r="G47" s="1063"/>
      <c r="H47" s="1063"/>
      <c r="I47" s="1292"/>
      <c r="O47" s="708"/>
      <c r="P47" s="708"/>
      <c r="Q47" s="708"/>
      <c r="R47" s="708"/>
      <c r="S47" s="708"/>
      <c r="T47" s="708"/>
      <c r="U47" s="708"/>
      <c r="V47" s="708"/>
      <c r="W47" s="708"/>
      <c r="X47" s="708"/>
      <c r="Y47" s="708"/>
      <c r="Z47" s="708"/>
    </row>
    <row r="48" spans="1:26" ht="14.25" customHeight="1" x14ac:dyDescent="0.3">
      <c r="A48" s="708"/>
      <c r="C48" s="1064"/>
      <c r="D48" s="1286"/>
      <c r="E48" s="1286"/>
      <c r="F48" s="1286"/>
      <c r="G48" s="1286"/>
      <c r="H48" s="1286"/>
      <c r="O48" s="708"/>
      <c r="P48" s="708"/>
      <c r="Q48" s="708"/>
      <c r="R48" s="708"/>
      <c r="S48" s="708"/>
      <c r="T48" s="708"/>
      <c r="U48" s="708"/>
      <c r="V48" s="708"/>
      <c r="W48" s="708"/>
      <c r="X48" s="708"/>
      <c r="Y48" s="708"/>
      <c r="Z48" s="708"/>
    </row>
    <row r="49" spans="1:26" ht="14.25" customHeight="1" x14ac:dyDescent="0.25">
      <c r="A49" s="708"/>
      <c r="C49" s="1284"/>
      <c r="D49" s="716"/>
      <c r="E49" s="716"/>
      <c r="F49" s="716"/>
      <c r="G49" s="716"/>
      <c r="H49" s="716"/>
      <c r="I49" s="1292"/>
      <c r="O49" s="708"/>
      <c r="P49" s="708"/>
      <c r="Q49" s="708"/>
      <c r="R49" s="708"/>
      <c r="S49" s="708"/>
      <c r="T49" s="708"/>
      <c r="U49" s="708"/>
      <c r="V49" s="708"/>
      <c r="W49" s="708"/>
      <c r="X49" s="708"/>
      <c r="Y49" s="708"/>
      <c r="Z49" s="708"/>
    </row>
    <row r="50" spans="1:26" ht="7.5" customHeight="1" x14ac:dyDescent="0.25">
      <c r="A50" s="708"/>
      <c r="D50" s="1292"/>
      <c r="E50" s="1292"/>
      <c r="F50" s="1292"/>
      <c r="G50" s="1292"/>
      <c r="H50" s="1292"/>
      <c r="I50" s="1292"/>
      <c r="O50" s="708"/>
      <c r="P50" s="708"/>
      <c r="Q50" s="708"/>
      <c r="R50" s="708"/>
      <c r="S50" s="708"/>
      <c r="T50" s="708"/>
      <c r="U50" s="708"/>
      <c r="V50" s="708"/>
      <c r="W50" s="708"/>
      <c r="X50" s="708"/>
      <c r="Y50" s="708"/>
      <c r="Z50" s="708"/>
    </row>
    <row r="51" spans="1:26" ht="14.25" customHeight="1" x14ac:dyDescent="0.3">
      <c r="A51" s="708"/>
      <c r="C51" s="131"/>
      <c r="D51" s="1063"/>
      <c r="E51" s="1063"/>
      <c r="F51" s="1063"/>
      <c r="G51" s="1063"/>
      <c r="H51" s="1063"/>
      <c r="I51" s="1292"/>
      <c r="O51" s="708"/>
      <c r="P51" s="708"/>
      <c r="Q51" s="708"/>
      <c r="R51" s="708"/>
      <c r="S51" s="708"/>
      <c r="T51" s="708"/>
      <c r="U51" s="708"/>
      <c r="V51" s="708"/>
      <c r="W51" s="708"/>
      <c r="X51" s="708"/>
      <c r="Y51" s="708"/>
      <c r="Z51" s="708"/>
    </row>
    <row r="52" spans="1:26" ht="14.25" customHeight="1" x14ac:dyDescent="0.3">
      <c r="A52" s="708"/>
      <c r="C52" s="1064"/>
      <c r="D52" s="1293"/>
      <c r="E52" s="1293"/>
      <c r="F52" s="1293"/>
      <c r="G52" s="1293"/>
      <c r="H52" s="1293"/>
      <c r="O52" s="708"/>
      <c r="P52" s="708"/>
      <c r="Q52" s="708"/>
      <c r="R52" s="708"/>
      <c r="S52" s="708"/>
      <c r="T52" s="708"/>
      <c r="U52" s="708"/>
      <c r="V52" s="708"/>
      <c r="W52" s="708"/>
      <c r="X52" s="708"/>
      <c r="Y52" s="708"/>
      <c r="Z52" s="708"/>
    </row>
    <row r="53" spans="1:26" ht="14.25" customHeight="1" x14ac:dyDescent="0.25">
      <c r="A53" s="708"/>
      <c r="C53" s="1284"/>
      <c r="D53" s="716"/>
      <c r="E53" s="716"/>
      <c r="F53" s="716"/>
      <c r="G53" s="716"/>
      <c r="H53" s="716"/>
      <c r="I53" s="1292"/>
      <c r="O53" s="708"/>
      <c r="P53" s="708"/>
      <c r="Q53" s="708"/>
      <c r="R53" s="708"/>
      <c r="S53" s="708"/>
      <c r="T53" s="708"/>
      <c r="U53" s="708"/>
      <c r="V53" s="708"/>
      <c r="W53" s="708"/>
      <c r="X53" s="708"/>
      <c r="Y53" s="708"/>
      <c r="Z53" s="708"/>
    </row>
    <row r="54" spans="1:26" ht="14.25" customHeight="1" x14ac:dyDescent="0.25">
      <c r="A54" s="708"/>
      <c r="D54" s="1294"/>
      <c r="E54" s="1294"/>
      <c r="F54" s="1294"/>
      <c r="G54" s="1294"/>
      <c r="H54" s="1292"/>
      <c r="I54" s="1292"/>
      <c r="O54" s="708"/>
      <c r="P54" s="708"/>
      <c r="Q54" s="708"/>
      <c r="R54" s="708"/>
      <c r="S54" s="708"/>
      <c r="T54" s="708"/>
      <c r="U54" s="708"/>
      <c r="V54" s="708"/>
      <c r="W54" s="708"/>
      <c r="X54" s="708"/>
      <c r="Y54" s="708"/>
      <c r="Z54" s="708"/>
    </row>
    <row r="55" spans="1:26" x14ac:dyDescent="0.25">
      <c r="A55" s="708"/>
      <c r="D55" s="1292"/>
      <c r="E55" s="1292"/>
      <c r="F55" s="1292"/>
      <c r="G55" s="1292"/>
      <c r="H55" s="1292"/>
      <c r="I55" s="1292"/>
      <c r="O55" s="708"/>
      <c r="P55" s="708"/>
      <c r="Q55" s="708"/>
      <c r="R55" s="708"/>
      <c r="S55" s="708"/>
      <c r="T55" s="708"/>
      <c r="U55" s="708"/>
      <c r="V55" s="708"/>
      <c r="W55" s="708"/>
      <c r="X55" s="708"/>
      <c r="Y55" s="708"/>
      <c r="Z55" s="708"/>
    </row>
    <row r="56" spans="1:26" ht="9.75" customHeight="1" x14ac:dyDescent="0.25">
      <c r="A56" s="708"/>
      <c r="B56" s="1295"/>
      <c r="C56" s="1295"/>
      <c r="D56" s="1295"/>
      <c r="E56" s="1295"/>
      <c r="F56" s="1295"/>
      <c r="G56" s="1295"/>
      <c r="H56" s="1295"/>
      <c r="I56" s="1295"/>
      <c r="J56" s="1295"/>
      <c r="K56" s="1295"/>
      <c r="L56" s="1295"/>
      <c r="M56" s="1295"/>
      <c r="N56" s="1295"/>
      <c r="O56" s="708"/>
      <c r="P56" s="708"/>
      <c r="Q56" s="708"/>
      <c r="R56" s="708"/>
      <c r="S56" s="708"/>
      <c r="T56" s="708"/>
      <c r="U56" s="708"/>
      <c r="V56" s="708"/>
      <c r="W56" s="708"/>
      <c r="X56" s="708"/>
      <c r="Y56" s="708"/>
      <c r="Z56" s="708"/>
    </row>
    <row r="57" spans="1:26" ht="14.25" customHeight="1" x14ac:dyDescent="0.35">
      <c r="A57" s="708"/>
      <c r="C57" s="160"/>
      <c r="O57" s="708"/>
      <c r="P57" s="708"/>
      <c r="Q57" s="708"/>
      <c r="R57" s="708"/>
      <c r="S57" s="708"/>
      <c r="T57" s="708"/>
      <c r="U57" s="708"/>
      <c r="V57" s="708"/>
      <c r="W57" s="708"/>
      <c r="X57" s="708"/>
      <c r="Y57" s="708"/>
      <c r="Z57" s="708"/>
    </row>
    <row r="58" spans="1:26" ht="5.25" customHeight="1" x14ac:dyDescent="0.25">
      <c r="A58" s="708"/>
      <c r="O58" s="708"/>
      <c r="P58" s="708"/>
      <c r="Q58" s="708"/>
      <c r="R58" s="708"/>
      <c r="S58" s="708"/>
      <c r="T58" s="708"/>
      <c r="U58" s="708"/>
      <c r="V58" s="708"/>
      <c r="W58" s="708"/>
      <c r="X58" s="708"/>
      <c r="Y58" s="708"/>
      <c r="Z58" s="708"/>
    </row>
    <row r="59" spans="1:26" x14ac:dyDescent="0.25">
      <c r="A59" s="708"/>
      <c r="B59" s="708"/>
      <c r="C59" s="708"/>
      <c r="D59" s="708"/>
      <c r="E59" s="708"/>
      <c r="F59" s="708"/>
      <c r="G59" s="708"/>
      <c r="H59" s="708"/>
      <c r="I59" s="708"/>
      <c r="J59" s="708"/>
      <c r="K59" s="708"/>
      <c r="L59" s="708"/>
      <c r="M59" s="708"/>
      <c r="N59" s="708"/>
      <c r="O59" s="708"/>
      <c r="P59" s="708"/>
      <c r="Q59" s="708"/>
      <c r="R59" s="708"/>
      <c r="S59" s="708"/>
      <c r="T59" s="708"/>
      <c r="U59" s="708"/>
      <c r="V59" s="708"/>
      <c r="W59" s="708"/>
      <c r="X59" s="708"/>
      <c r="Y59" s="708"/>
      <c r="Z59" s="708"/>
    </row>
    <row r="60" spans="1:26" x14ac:dyDescent="0.25">
      <c r="A60" s="708"/>
      <c r="B60" s="708"/>
      <c r="C60" s="708"/>
      <c r="D60" s="708"/>
      <c r="E60" s="708"/>
      <c r="F60" s="708"/>
      <c r="G60" s="708"/>
      <c r="H60" s="708"/>
      <c r="I60" s="708"/>
      <c r="J60" s="708"/>
      <c r="K60" s="708"/>
      <c r="L60" s="708"/>
      <c r="M60" s="708"/>
      <c r="N60" s="708"/>
      <c r="O60" s="708"/>
      <c r="P60" s="708"/>
      <c r="Q60" s="708"/>
      <c r="R60" s="708"/>
      <c r="S60" s="708"/>
      <c r="T60" s="708"/>
      <c r="U60" s="708"/>
      <c r="V60" s="708"/>
      <c r="W60" s="708"/>
      <c r="X60" s="708"/>
      <c r="Y60" s="708"/>
      <c r="Z60" s="708"/>
    </row>
    <row r="61" spans="1:26" x14ac:dyDescent="0.25">
      <c r="A61" s="708"/>
      <c r="B61" s="708"/>
      <c r="C61" s="708"/>
      <c r="D61" s="708"/>
      <c r="E61" s="708"/>
      <c r="F61" s="708"/>
      <c r="G61" s="708"/>
      <c r="H61" s="708"/>
      <c r="I61" s="708"/>
      <c r="J61" s="708"/>
      <c r="K61" s="708"/>
      <c r="L61" s="708"/>
      <c r="M61" s="708"/>
      <c r="N61" s="708"/>
      <c r="O61" s="708"/>
      <c r="P61" s="708"/>
      <c r="Q61" s="708"/>
      <c r="R61" s="708"/>
      <c r="S61" s="708"/>
      <c r="T61" s="708"/>
      <c r="U61" s="708"/>
      <c r="V61" s="708"/>
      <c r="W61" s="708"/>
      <c r="X61" s="708"/>
      <c r="Y61" s="708"/>
      <c r="Z61" s="708"/>
    </row>
    <row r="62" spans="1:26" x14ac:dyDescent="0.25">
      <c r="A62" s="708"/>
      <c r="B62" s="708"/>
      <c r="C62" s="708"/>
      <c r="D62" s="708"/>
      <c r="E62" s="708"/>
      <c r="F62" s="708"/>
      <c r="G62" s="708"/>
      <c r="H62" s="708"/>
      <c r="I62" s="708"/>
      <c r="J62" s="708"/>
      <c r="K62" s="708"/>
      <c r="L62" s="708"/>
      <c r="M62" s="708"/>
      <c r="N62" s="708"/>
      <c r="O62" s="708"/>
      <c r="P62" s="708"/>
      <c r="Q62" s="708"/>
      <c r="R62" s="708"/>
      <c r="S62" s="708"/>
      <c r="T62" s="708"/>
      <c r="U62" s="708"/>
      <c r="V62" s="708"/>
      <c r="W62" s="708"/>
      <c r="X62" s="708"/>
      <c r="Y62" s="708"/>
      <c r="Z62" s="708"/>
    </row>
    <row r="63" spans="1:26" x14ac:dyDescent="0.25">
      <c r="A63" s="708"/>
      <c r="B63" s="708"/>
      <c r="C63" s="708"/>
      <c r="D63" s="708"/>
      <c r="E63" s="708"/>
      <c r="F63" s="708"/>
      <c r="G63" s="708"/>
      <c r="H63" s="708"/>
      <c r="I63" s="708"/>
      <c r="J63" s="708"/>
      <c r="K63" s="708"/>
      <c r="L63" s="708"/>
      <c r="M63" s="708"/>
      <c r="N63" s="708"/>
      <c r="O63" s="708"/>
      <c r="P63" s="708"/>
      <c r="Q63" s="708"/>
      <c r="R63" s="708"/>
      <c r="S63" s="708"/>
      <c r="T63" s="708"/>
      <c r="U63" s="708"/>
      <c r="V63" s="708"/>
      <c r="W63" s="708"/>
      <c r="X63" s="708"/>
      <c r="Y63" s="708"/>
      <c r="Z63" s="708"/>
    </row>
    <row r="64" spans="1:26" x14ac:dyDescent="0.25">
      <c r="A64" s="708"/>
      <c r="B64" s="708"/>
      <c r="C64" s="708"/>
      <c r="D64" s="708"/>
      <c r="E64" s="708"/>
      <c r="F64" s="708"/>
      <c r="G64" s="708"/>
      <c r="H64" s="708"/>
      <c r="I64" s="708"/>
      <c r="J64" s="708"/>
      <c r="K64" s="708"/>
      <c r="L64" s="708"/>
      <c r="M64" s="708"/>
      <c r="N64" s="708"/>
      <c r="O64" s="708"/>
      <c r="P64" s="708"/>
      <c r="Q64" s="708"/>
      <c r="R64" s="708"/>
      <c r="S64" s="708"/>
      <c r="T64" s="708"/>
      <c r="U64" s="708"/>
      <c r="V64" s="708"/>
      <c r="W64" s="708"/>
      <c r="X64" s="708"/>
      <c r="Y64" s="708"/>
      <c r="Z64" s="708"/>
    </row>
    <row r="65" spans="1:26" x14ac:dyDescent="0.25">
      <c r="A65" s="708"/>
      <c r="B65" s="708"/>
      <c r="C65" s="708"/>
      <c r="D65" s="708"/>
      <c r="E65" s="708"/>
      <c r="F65" s="708"/>
      <c r="G65" s="708"/>
      <c r="H65" s="708"/>
      <c r="I65" s="708"/>
      <c r="J65" s="708"/>
      <c r="K65" s="708"/>
      <c r="L65" s="708"/>
      <c r="M65" s="708"/>
      <c r="N65" s="708"/>
      <c r="O65" s="708"/>
      <c r="P65" s="708"/>
      <c r="Q65" s="708"/>
      <c r="R65" s="708"/>
      <c r="S65" s="708"/>
      <c r="T65" s="708"/>
      <c r="U65" s="708"/>
      <c r="V65" s="708"/>
      <c r="W65" s="708"/>
      <c r="X65" s="708"/>
      <c r="Y65" s="708"/>
      <c r="Z65" s="708"/>
    </row>
    <row r="66" spans="1:26" x14ac:dyDescent="0.25">
      <c r="A66" s="708"/>
      <c r="B66" s="708"/>
      <c r="C66" s="708"/>
      <c r="D66" s="708"/>
      <c r="E66" s="708"/>
      <c r="F66" s="708"/>
      <c r="G66" s="708"/>
      <c r="H66" s="708"/>
      <c r="I66" s="708"/>
      <c r="J66" s="708"/>
      <c r="K66" s="708"/>
      <c r="L66" s="708"/>
      <c r="M66" s="708"/>
      <c r="N66" s="708"/>
      <c r="O66" s="708"/>
      <c r="P66" s="708"/>
      <c r="Q66" s="708"/>
      <c r="R66" s="708"/>
      <c r="S66" s="708"/>
      <c r="T66" s="708"/>
      <c r="U66" s="708"/>
      <c r="V66" s="708"/>
      <c r="W66" s="708"/>
      <c r="X66" s="708"/>
      <c r="Y66" s="708"/>
      <c r="Z66" s="708"/>
    </row>
    <row r="67" spans="1:26" x14ac:dyDescent="0.25">
      <c r="A67" s="708"/>
      <c r="B67" s="708"/>
      <c r="C67" s="708"/>
      <c r="D67" s="708"/>
      <c r="E67" s="708"/>
      <c r="F67" s="708"/>
      <c r="G67" s="708"/>
      <c r="H67" s="708"/>
      <c r="I67" s="708"/>
      <c r="J67" s="708"/>
      <c r="K67" s="708"/>
      <c r="L67" s="708"/>
      <c r="M67" s="708"/>
      <c r="N67" s="708"/>
      <c r="O67" s="708"/>
      <c r="P67" s="708"/>
      <c r="Q67" s="708"/>
      <c r="R67" s="708"/>
      <c r="S67" s="708"/>
      <c r="T67" s="708"/>
      <c r="U67" s="708"/>
      <c r="V67" s="708"/>
      <c r="W67" s="708"/>
      <c r="X67" s="708"/>
      <c r="Y67" s="708"/>
      <c r="Z67" s="708"/>
    </row>
    <row r="68" spans="1:26" x14ac:dyDescent="0.25">
      <c r="A68" s="708"/>
      <c r="B68" s="708"/>
      <c r="C68" s="708"/>
      <c r="D68" s="708"/>
      <c r="E68" s="708"/>
      <c r="F68" s="708"/>
      <c r="G68" s="708"/>
      <c r="H68" s="708"/>
      <c r="I68" s="708"/>
      <c r="J68" s="708"/>
      <c r="K68" s="708"/>
      <c r="L68" s="708"/>
      <c r="M68" s="708"/>
      <c r="N68" s="708"/>
      <c r="O68" s="708"/>
      <c r="P68" s="708"/>
      <c r="Q68" s="708"/>
      <c r="R68" s="708"/>
      <c r="S68" s="708"/>
      <c r="T68" s="708"/>
      <c r="U68" s="708"/>
      <c r="V68" s="708"/>
      <c r="W68" s="708"/>
      <c r="X68" s="708"/>
      <c r="Y68" s="708"/>
      <c r="Z68" s="708"/>
    </row>
    <row r="69" spans="1:26" x14ac:dyDescent="0.25">
      <c r="A69" s="708"/>
      <c r="B69" s="708"/>
      <c r="C69" s="708"/>
      <c r="D69" s="708"/>
      <c r="E69" s="708"/>
      <c r="F69" s="708"/>
      <c r="G69" s="708"/>
      <c r="H69" s="708"/>
      <c r="I69" s="708"/>
      <c r="J69" s="708"/>
      <c r="K69" s="708"/>
      <c r="L69" s="708"/>
      <c r="M69" s="708"/>
      <c r="N69" s="708"/>
      <c r="O69" s="708"/>
      <c r="P69" s="708"/>
      <c r="Q69" s="708"/>
      <c r="R69" s="708"/>
      <c r="S69" s="708"/>
      <c r="T69" s="708"/>
      <c r="U69" s="708"/>
      <c r="V69" s="708"/>
      <c r="W69" s="708"/>
      <c r="X69" s="708"/>
      <c r="Y69" s="708"/>
      <c r="Z69" s="708"/>
    </row>
    <row r="70" spans="1:26" x14ac:dyDescent="0.25">
      <c r="A70" s="708"/>
      <c r="B70" s="708"/>
      <c r="C70" s="708"/>
      <c r="D70" s="708"/>
      <c r="E70" s="708"/>
      <c r="F70" s="708"/>
      <c r="G70" s="708"/>
      <c r="H70" s="708"/>
      <c r="I70" s="708"/>
      <c r="J70" s="708"/>
      <c r="K70" s="708"/>
      <c r="L70" s="708"/>
      <c r="M70" s="708"/>
      <c r="N70" s="708"/>
      <c r="O70" s="708"/>
      <c r="P70" s="708"/>
      <c r="Q70" s="708"/>
      <c r="R70" s="708"/>
      <c r="S70" s="708"/>
      <c r="T70" s="708"/>
      <c r="U70" s="708"/>
      <c r="V70" s="708"/>
      <c r="W70" s="708"/>
      <c r="X70" s="708"/>
      <c r="Y70" s="708"/>
      <c r="Z70" s="708"/>
    </row>
    <row r="71" spans="1:26" x14ac:dyDescent="0.25">
      <c r="A71" s="708"/>
      <c r="B71" s="708"/>
      <c r="C71" s="708"/>
      <c r="D71" s="708"/>
      <c r="E71" s="708"/>
      <c r="F71" s="708"/>
      <c r="G71" s="708"/>
      <c r="H71" s="708"/>
      <c r="I71" s="708"/>
      <c r="J71" s="708"/>
      <c r="K71" s="708"/>
      <c r="L71" s="708"/>
      <c r="M71" s="708"/>
      <c r="N71" s="708"/>
      <c r="O71" s="708"/>
      <c r="P71" s="708"/>
      <c r="Q71" s="708"/>
      <c r="R71" s="708"/>
      <c r="S71" s="708"/>
      <c r="T71" s="708"/>
      <c r="U71" s="708"/>
      <c r="V71" s="708"/>
      <c r="W71" s="708"/>
      <c r="X71" s="708"/>
      <c r="Y71" s="708"/>
      <c r="Z71" s="708"/>
    </row>
    <row r="72" spans="1:26" x14ac:dyDescent="0.25">
      <c r="A72" s="708"/>
      <c r="B72" s="708"/>
      <c r="C72" s="708"/>
      <c r="D72" s="708"/>
      <c r="E72" s="708"/>
      <c r="F72" s="708"/>
      <c r="G72" s="708"/>
      <c r="H72" s="708"/>
      <c r="I72" s="708"/>
      <c r="J72" s="708"/>
      <c r="K72" s="708"/>
      <c r="L72" s="708"/>
      <c r="M72" s="708"/>
      <c r="N72" s="708"/>
      <c r="O72" s="708"/>
      <c r="P72" s="708"/>
      <c r="Q72" s="708"/>
      <c r="R72" s="708"/>
      <c r="S72" s="708"/>
      <c r="T72" s="708"/>
      <c r="U72" s="708"/>
      <c r="V72" s="708"/>
      <c r="W72" s="708"/>
      <c r="X72" s="708"/>
      <c r="Y72" s="708"/>
      <c r="Z72" s="708"/>
    </row>
    <row r="73" spans="1:26" x14ac:dyDescent="0.25">
      <c r="A73" s="708"/>
      <c r="B73" s="708"/>
      <c r="C73" s="708"/>
      <c r="D73" s="708"/>
      <c r="E73" s="708"/>
      <c r="F73" s="708"/>
      <c r="G73" s="708"/>
      <c r="H73" s="708"/>
      <c r="I73" s="708"/>
      <c r="J73" s="708"/>
      <c r="K73" s="708"/>
      <c r="L73" s="708"/>
      <c r="M73" s="708"/>
      <c r="N73" s="708"/>
      <c r="O73" s="708"/>
      <c r="P73" s="708"/>
      <c r="Q73" s="708"/>
      <c r="R73" s="708"/>
      <c r="S73" s="708"/>
      <c r="T73" s="708"/>
      <c r="U73" s="708"/>
      <c r="V73" s="708"/>
      <c r="W73" s="708"/>
      <c r="X73" s="708"/>
      <c r="Y73" s="708"/>
      <c r="Z73" s="708"/>
    </row>
    <row r="74" spans="1:26" x14ac:dyDescent="0.25">
      <c r="A74" s="708"/>
      <c r="B74" s="708"/>
      <c r="C74" s="708"/>
      <c r="D74" s="708"/>
      <c r="E74" s="708"/>
      <c r="F74" s="708"/>
      <c r="G74" s="708"/>
      <c r="H74" s="708"/>
      <c r="I74" s="708"/>
      <c r="J74" s="708"/>
      <c r="K74" s="708"/>
      <c r="L74" s="708"/>
      <c r="M74" s="708"/>
      <c r="N74" s="708"/>
      <c r="O74" s="708"/>
      <c r="P74" s="708"/>
      <c r="Q74" s="708"/>
      <c r="R74" s="708"/>
      <c r="S74" s="708"/>
      <c r="T74" s="708"/>
      <c r="U74" s="708"/>
      <c r="V74" s="708"/>
      <c r="W74" s="708"/>
      <c r="X74" s="708"/>
      <c r="Y74" s="708"/>
      <c r="Z74" s="708"/>
    </row>
    <row r="75" spans="1:26" x14ac:dyDescent="0.25">
      <c r="A75" s="708"/>
      <c r="B75" s="708"/>
      <c r="C75" s="708"/>
      <c r="D75" s="708"/>
      <c r="E75" s="708"/>
      <c r="F75" s="708"/>
      <c r="G75" s="708"/>
      <c r="H75" s="708"/>
      <c r="I75" s="708"/>
      <c r="J75" s="708"/>
      <c r="K75" s="708"/>
      <c r="L75" s="708"/>
      <c r="M75" s="708"/>
      <c r="N75" s="708"/>
      <c r="O75" s="708"/>
      <c r="P75" s="708"/>
      <c r="Q75" s="708"/>
      <c r="R75" s="708"/>
      <c r="S75" s="708"/>
      <c r="T75" s="708"/>
      <c r="U75" s="708"/>
      <c r="V75" s="708"/>
      <c r="W75" s="708"/>
      <c r="X75" s="708"/>
      <c r="Y75" s="708"/>
      <c r="Z75" s="708"/>
    </row>
  </sheetData>
  <mergeCells count="1">
    <mergeCell ref="H18:K18"/>
  </mergeCells>
  <phoneticPr fontId="0" type="noConversion"/>
  <pageMargins left="0.23622047244094491" right="0.23622047244094491" top="0.46" bottom="0.67" header="0.31496062992125984" footer="0.31496062992125984"/>
  <pageSetup paperSize="9" orientation="portrait" r:id="rId1"/>
  <headerFooter alignWithMargins="0">
    <oddFooter>&amp;R&amp;"Arial,Italic"&amp;10Calcurate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0665" r:id="rId4" name="basic2button">
              <controlPr defaultSize="0" print="0" autoFill="0" autoPict="0" macro="[0]!returnfromcopy">
                <anchor moveWithCells="1" sizeWithCells="1">
                  <from>
                    <xdr:col>15</xdr:col>
                    <xdr:colOff>31750</xdr:colOff>
                    <xdr:row>0</xdr:row>
                    <xdr:rowOff>120650</xdr:rowOff>
                  </from>
                  <to>
                    <xdr:col>15</xdr:col>
                    <xdr:colOff>920750</xdr:colOff>
                    <xdr:row>3</xdr:row>
                    <xdr:rowOff>0</xdr:rowOff>
                  </to>
                </anchor>
              </controlPr>
            </control>
          </mc:Choice>
        </mc:AlternateContent>
        <mc:AlternateContent xmlns:mc="http://schemas.openxmlformats.org/markup-compatibility/2006">
          <mc:Choice Requires="x14">
            <control shapeId="70666" r:id="rId5" name="basic2delbutton">
              <controlPr defaultSize="0" print="0" autoFill="0" autoPict="0" macro="[0]!delete_basic2button">
                <anchor moveWithCells="1" sizeWithCells="1">
                  <from>
                    <xdr:col>15</xdr:col>
                    <xdr:colOff>31750</xdr:colOff>
                    <xdr:row>3</xdr:row>
                    <xdr:rowOff>25400</xdr:rowOff>
                  </from>
                  <to>
                    <xdr:col>15</xdr:col>
                    <xdr:colOff>920750</xdr:colOff>
                    <xdr:row>5</xdr:row>
                    <xdr:rowOff>260350</xdr:rowOff>
                  </to>
                </anchor>
              </controlPr>
            </control>
          </mc:Choice>
        </mc:AlternateContent>
        <mc:AlternateContent xmlns:mc="http://schemas.openxmlformats.org/markup-compatibility/2006">
          <mc:Choice Requires="x14">
            <control shapeId="70667" r:id="rId6" name="pdfbutton">
              <controlPr defaultSize="0" print="0" autoFill="0" autoPict="0" macro="[0]!nya">
                <anchor moveWithCells="1" sizeWithCells="1">
                  <from>
                    <xdr:col>15</xdr:col>
                    <xdr:colOff>1066800</xdr:colOff>
                    <xdr:row>0</xdr:row>
                    <xdr:rowOff>88900</xdr:rowOff>
                  </from>
                  <to>
                    <xdr:col>16</xdr:col>
                    <xdr:colOff>584200</xdr:colOff>
                    <xdr:row>3</xdr:row>
                    <xdr:rowOff>88900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633CD-E52B-4F65-8A6C-DD6670E5B4D5}">
  <sheetPr codeName="Sheet49">
    <pageSetUpPr fitToPage="1"/>
  </sheetPr>
  <dimension ref="A1:AO94"/>
  <sheetViews>
    <sheetView showGridLines="0" workbookViewId="0"/>
  </sheetViews>
  <sheetFormatPr defaultColWidth="9.08984375" defaultRowHeight="12.5" x14ac:dyDescent="0.25"/>
  <cols>
    <col min="1" max="1" width="15.36328125" style="1300" customWidth="1"/>
    <col min="2" max="2" width="1.08984375" style="1300" customWidth="1"/>
    <col min="3" max="3" width="8.36328125" style="1300" customWidth="1"/>
    <col min="4" max="4" width="2" style="1300" customWidth="1"/>
    <col min="5" max="5" width="11.90625" style="1300" customWidth="1"/>
    <col min="6" max="6" width="13.453125" style="1300" customWidth="1"/>
    <col min="7" max="7" width="7.453125" style="1300" customWidth="1"/>
    <col min="8" max="8" width="0.6328125" style="1300" customWidth="1"/>
    <col min="9" max="9" width="12.90625" style="1300" customWidth="1"/>
    <col min="10" max="10" width="13.453125" style="1300" customWidth="1"/>
    <col min="11" max="11" width="10.453125" style="1300" customWidth="1"/>
    <col min="12" max="12" width="13.6328125" style="1300" customWidth="1"/>
    <col min="13" max="13" width="1.08984375" style="1300" customWidth="1"/>
    <col min="14" max="14" width="11.453125" style="1300" customWidth="1"/>
    <col min="15" max="15" width="9.08984375" style="1300"/>
    <col min="16" max="16" width="17.453125" style="1300" customWidth="1"/>
    <col min="17" max="17" width="11.453125" style="1300" customWidth="1"/>
    <col min="18" max="24" width="9.08984375" style="1300"/>
    <col min="25" max="29" width="12.6328125" style="1300" customWidth="1"/>
    <col min="30" max="34" width="15.6328125" style="1300" customWidth="1"/>
    <col min="35" max="40" width="9.08984375" style="1300"/>
    <col min="41" max="41" width="46" style="1300" customWidth="1"/>
    <col min="42" max="16384" width="9.08984375" style="1300"/>
  </cols>
  <sheetData>
    <row r="1" spans="1:41" x14ac:dyDescent="0.25">
      <c r="A1" s="1383"/>
      <c r="B1" s="1384"/>
      <c r="C1" s="1384"/>
      <c r="D1" s="1393"/>
      <c r="E1" s="1393"/>
      <c r="F1" s="1393"/>
      <c r="G1" s="1393"/>
      <c r="H1" s="1393"/>
      <c r="I1" s="1393"/>
      <c r="J1" s="1395"/>
      <c r="K1" s="1398"/>
      <c r="L1" s="1393"/>
      <c r="M1" s="1393"/>
      <c r="N1" s="1393"/>
      <c r="O1" s="1393"/>
      <c r="P1" s="1393"/>
      <c r="Q1" s="1393"/>
      <c r="R1" s="1393"/>
      <c r="S1" s="1393"/>
      <c r="T1" s="1393"/>
      <c r="U1" s="1393"/>
      <c r="V1" s="1393"/>
      <c r="W1" s="1393"/>
      <c r="X1" s="1393"/>
      <c r="Y1" s="1393"/>
      <c r="Z1" s="1393"/>
      <c r="AA1" s="1393"/>
      <c r="AB1" s="1393"/>
      <c r="AC1" s="1393"/>
      <c r="AD1" s="1393"/>
      <c r="AE1" s="1393"/>
      <c r="AF1" s="1393"/>
      <c r="AG1" s="1393"/>
      <c r="AH1" s="1393"/>
      <c r="AI1" s="1393"/>
      <c r="AO1" s="1299"/>
    </row>
    <row r="2" spans="1:41" x14ac:dyDescent="0.25">
      <c r="A2" s="1384"/>
      <c r="B2" s="1393"/>
      <c r="C2" s="1393"/>
      <c r="D2" s="1393"/>
      <c r="E2" s="1393"/>
      <c r="F2" s="1393"/>
      <c r="G2" s="1393"/>
      <c r="H2" s="1393"/>
      <c r="I2" s="1393"/>
      <c r="J2" s="1393"/>
      <c r="K2" s="1399"/>
      <c r="L2" s="1393"/>
      <c r="M2" s="1393"/>
      <c r="N2" s="1393"/>
      <c r="O2" s="1393"/>
      <c r="P2" s="1393"/>
      <c r="Q2" s="1393"/>
      <c r="R2" s="1393"/>
      <c r="S2" s="1393"/>
      <c r="T2" s="1393"/>
      <c r="U2" s="1393"/>
      <c r="V2" s="1393"/>
      <c r="W2" s="1393"/>
      <c r="X2" s="1393"/>
      <c r="Y2" s="1393"/>
      <c r="Z2" s="1393"/>
      <c r="AA2" s="1393"/>
      <c r="AB2" s="1393"/>
      <c r="AC2" s="1393"/>
      <c r="AD2" s="1393"/>
      <c r="AE2" s="1393"/>
      <c r="AF2" s="1393"/>
      <c r="AG2" s="1393"/>
      <c r="AH2" s="1393"/>
      <c r="AI2" s="1393"/>
      <c r="AO2" s="1299"/>
    </row>
    <row r="3" spans="1:41" ht="13" x14ac:dyDescent="0.3">
      <c r="A3" s="1384"/>
      <c r="B3" s="1301"/>
      <c r="C3" s="1302"/>
      <c r="D3" s="1302"/>
      <c r="E3" s="1302"/>
      <c r="F3" s="1302"/>
      <c r="G3" s="1302"/>
      <c r="H3" s="1302"/>
      <c r="I3" s="1302"/>
      <c r="J3" s="1303"/>
      <c r="K3" s="1303"/>
      <c r="L3" s="1304"/>
      <c r="M3" s="1305"/>
      <c r="N3" s="1393"/>
      <c r="O3" s="1393"/>
      <c r="P3" s="1393"/>
      <c r="Q3" s="1393"/>
      <c r="R3" s="1393"/>
      <c r="S3" s="1393"/>
      <c r="T3" s="1393"/>
      <c r="U3" s="1393"/>
      <c r="V3" s="1393"/>
      <c r="W3" s="1393"/>
      <c r="X3" s="1393"/>
      <c r="Y3" s="1393"/>
      <c r="Z3" s="1393"/>
      <c r="AA3" s="1393"/>
      <c r="AB3" s="1393"/>
      <c r="AC3" s="1393"/>
      <c r="AD3" s="1393"/>
      <c r="AE3" s="1393"/>
      <c r="AF3" s="1393"/>
      <c r="AG3" s="1393"/>
      <c r="AH3" s="1393"/>
      <c r="AI3" s="1393"/>
      <c r="AO3" s="1299"/>
    </row>
    <row r="4" spans="1:41" ht="20" x14ac:dyDescent="0.4">
      <c r="A4" s="1385"/>
      <c r="B4" s="1306"/>
      <c r="C4" s="1093"/>
      <c r="D4" s="1307"/>
      <c r="E4" s="1307"/>
      <c r="F4" s="1307"/>
      <c r="G4" s="1307"/>
      <c r="H4" s="1307"/>
      <c r="I4" s="1307"/>
      <c r="J4" s="1307"/>
      <c r="K4" s="1307"/>
      <c r="L4" s="1307"/>
      <c r="M4" s="1308"/>
      <c r="N4" s="1393"/>
      <c r="O4" s="1393"/>
      <c r="P4" s="1393"/>
      <c r="Q4" s="1402"/>
      <c r="R4" s="1393"/>
      <c r="S4" s="1393"/>
      <c r="T4" s="1393"/>
      <c r="U4" s="1393"/>
      <c r="V4" s="1393"/>
      <c r="W4" s="1393"/>
      <c r="X4" s="1393"/>
      <c r="Y4" s="1393"/>
      <c r="Z4" s="1393"/>
      <c r="AA4" s="1393"/>
      <c r="AB4" s="1393"/>
      <c r="AC4" s="1393"/>
      <c r="AD4" s="1393"/>
      <c r="AE4" s="1393"/>
      <c r="AF4" s="1393"/>
      <c r="AG4" s="1393"/>
      <c r="AH4" s="1393"/>
      <c r="AI4" s="1393"/>
      <c r="AO4" s="1299"/>
    </row>
    <row r="5" spans="1:41" ht="26.25" customHeight="1" x14ac:dyDescent="0.3">
      <c r="A5" s="1384"/>
      <c r="B5" s="1306"/>
      <c r="C5" s="1309"/>
      <c r="D5" s="1307"/>
      <c r="E5" s="1307"/>
      <c r="F5" s="1307"/>
      <c r="G5" s="1307"/>
      <c r="H5" s="1307"/>
      <c r="I5" s="1307"/>
      <c r="J5" s="1307"/>
      <c r="K5" s="1307"/>
      <c r="L5" s="1307"/>
      <c r="M5" s="1308"/>
      <c r="N5" s="1403"/>
      <c r="O5" s="1393"/>
      <c r="P5" s="1393"/>
      <c r="Q5" s="1393"/>
      <c r="R5" s="1393"/>
      <c r="S5" s="1393"/>
      <c r="T5" s="1393"/>
      <c r="U5" s="1393"/>
      <c r="V5" s="1393"/>
      <c r="W5" s="1393"/>
      <c r="X5" s="1393"/>
      <c r="Y5" s="1393"/>
      <c r="Z5" s="1393"/>
      <c r="AA5" s="1393"/>
      <c r="AB5" s="1393"/>
      <c r="AC5" s="1393"/>
      <c r="AD5" s="1393"/>
      <c r="AE5" s="1393"/>
      <c r="AF5" s="1393"/>
      <c r="AG5" s="1393"/>
      <c r="AH5" s="1393"/>
      <c r="AI5" s="1393"/>
      <c r="AO5" s="1299"/>
    </row>
    <row r="6" spans="1:41" ht="13" x14ac:dyDescent="0.3">
      <c r="A6" s="1384"/>
      <c r="B6" s="1306"/>
      <c r="C6" s="1099"/>
      <c r="D6" s="1307"/>
      <c r="E6" s="1307"/>
      <c r="F6" s="1307"/>
      <c r="G6" s="1307"/>
      <c r="H6" s="1307"/>
      <c r="I6" s="1307"/>
      <c r="J6" s="1310"/>
      <c r="K6" s="1311"/>
      <c r="L6" s="1307"/>
      <c r="M6" s="1308"/>
      <c r="N6" s="1403"/>
      <c r="O6" s="1393"/>
      <c r="P6" s="1393"/>
      <c r="Q6" s="1393"/>
      <c r="R6" s="1393"/>
      <c r="S6" s="1393"/>
      <c r="T6" s="1393"/>
      <c r="U6" s="1393"/>
      <c r="V6" s="1393"/>
      <c r="W6" s="1393"/>
      <c r="X6" s="1393"/>
      <c r="Y6" s="1393"/>
      <c r="Z6" s="1393"/>
      <c r="AA6" s="1393"/>
      <c r="AB6" s="1393"/>
      <c r="AC6" s="1393"/>
      <c r="AD6" s="1393"/>
      <c r="AE6" s="1393"/>
      <c r="AF6" s="1393"/>
      <c r="AG6" s="1393"/>
      <c r="AH6" s="1393"/>
      <c r="AI6" s="1393"/>
      <c r="AO6" s="1299"/>
    </row>
    <row r="7" spans="1:41" ht="13" x14ac:dyDescent="0.3">
      <c r="A7" s="1385"/>
      <c r="B7" s="1306"/>
      <c r="C7" s="1099"/>
      <c r="D7" s="1307"/>
      <c r="E7" s="1307"/>
      <c r="F7" s="1307"/>
      <c r="G7" s="1307"/>
      <c r="H7" s="1307"/>
      <c r="I7" s="1307"/>
      <c r="J7" s="1310"/>
      <c r="K7" s="1400"/>
      <c r="L7" s="1307"/>
      <c r="M7" s="1308"/>
      <c r="N7" s="1393"/>
      <c r="O7" s="1393"/>
      <c r="P7" s="1393"/>
      <c r="Q7" s="1393"/>
      <c r="R7" s="1393"/>
      <c r="S7" s="1393"/>
      <c r="T7" s="1393"/>
      <c r="U7" s="1393"/>
      <c r="V7" s="1393"/>
      <c r="W7" s="1393"/>
      <c r="X7" s="1393"/>
      <c r="Y7" s="1393"/>
      <c r="Z7" s="1393"/>
      <c r="AA7" s="1393"/>
      <c r="AB7" s="1393"/>
      <c r="AC7" s="1393"/>
      <c r="AD7" s="1393"/>
      <c r="AE7" s="1393"/>
      <c r="AF7" s="1393"/>
      <c r="AG7" s="1393"/>
      <c r="AH7" s="1393"/>
      <c r="AI7" s="1393"/>
      <c r="AO7" s="1299"/>
    </row>
    <row r="8" spans="1:41" ht="13" x14ac:dyDescent="0.3">
      <c r="A8" s="1384"/>
      <c r="B8" s="1306"/>
      <c r="C8" s="1310"/>
      <c r="D8" s="1307"/>
      <c r="E8" s="1307"/>
      <c r="F8" s="1307"/>
      <c r="G8" s="1307"/>
      <c r="H8" s="1307"/>
      <c r="I8" s="1307"/>
      <c r="J8" s="1310"/>
      <c r="K8" s="1312"/>
      <c r="L8" s="1307"/>
      <c r="M8" s="1308"/>
      <c r="N8" s="1393"/>
      <c r="O8" s="1393"/>
      <c r="P8" s="1393"/>
      <c r="Q8" s="1393"/>
      <c r="R8" s="1393"/>
      <c r="S8" s="1393"/>
      <c r="T8" s="1393"/>
      <c r="U8" s="1393"/>
      <c r="V8" s="1393"/>
      <c r="W8" s="1393"/>
      <c r="X8" s="1393"/>
      <c r="Y8" s="1393"/>
      <c r="Z8" s="1393"/>
      <c r="AA8" s="1393"/>
      <c r="AB8" s="1393"/>
      <c r="AC8" s="1393"/>
      <c r="AD8" s="1393"/>
      <c r="AE8" s="1393"/>
      <c r="AF8" s="1393"/>
      <c r="AG8" s="1393"/>
      <c r="AH8" s="1393"/>
      <c r="AI8" s="1393"/>
      <c r="AO8" s="1299"/>
    </row>
    <row r="9" spans="1:41" x14ac:dyDescent="0.25">
      <c r="A9" s="1384"/>
      <c r="B9" s="1306"/>
      <c r="C9" s="1313"/>
      <c r="D9" s="1314"/>
      <c r="E9" s="1314"/>
      <c r="F9" s="1314"/>
      <c r="G9" s="1314"/>
      <c r="H9" s="1314"/>
      <c r="I9" s="1314"/>
      <c r="J9" s="1314"/>
      <c r="K9" s="1314"/>
      <c r="L9" s="1314"/>
      <c r="M9" s="1308"/>
      <c r="N9" s="1393"/>
      <c r="O9" s="1393"/>
      <c r="P9" s="1393"/>
      <c r="Q9" s="1393"/>
      <c r="R9" s="1393"/>
      <c r="S9" s="1393"/>
      <c r="T9" s="1393"/>
      <c r="U9" s="1393"/>
      <c r="V9" s="1393"/>
      <c r="W9" s="1393"/>
      <c r="X9" s="1393"/>
      <c r="Y9" s="1393"/>
      <c r="Z9" s="1393"/>
      <c r="AA9" s="1393"/>
      <c r="AB9" s="1393"/>
      <c r="AC9" s="1393"/>
      <c r="AD9" s="1393"/>
      <c r="AE9" s="1393"/>
      <c r="AF9" s="1393"/>
      <c r="AG9" s="1393"/>
      <c r="AH9" s="1393"/>
      <c r="AI9" s="1393"/>
      <c r="AO9" s="1299"/>
    </row>
    <row r="10" spans="1:41" ht="13" x14ac:dyDescent="0.3">
      <c r="A10" s="1384"/>
      <c r="B10" s="1306"/>
      <c r="C10" s="1106"/>
      <c r="D10" s="1307"/>
      <c r="E10" s="1307"/>
      <c r="F10" s="1307"/>
      <c r="G10" s="1307"/>
      <c r="H10" s="1307"/>
      <c r="I10" s="1307"/>
      <c r="J10" s="1307"/>
      <c r="K10" s="1307"/>
      <c r="L10" s="1307"/>
      <c r="M10" s="1308"/>
      <c r="N10" s="1393"/>
      <c r="O10" s="1393"/>
      <c r="P10" s="1393"/>
      <c r="Q10" s="1393"/>
      <c r="R10" s="1393"/>
      <c r="S10" s="1393"/>
      <c r="T10" s="1393"/>
      <c r="U10" s="1393"/>
      <c r="V10" s="1393"/>
      <c r="W10" s="1393"/>
      <c r="X10" s="1393"/>
      <c r="Y10" s="1393"/>
      <c r="Z10" s="1393"/>
      <c r="AA10" s="1393"/>
      <c r="AB10" s="1393"/>
      <c r="AC10" s="1393"/>
      <c r="AD10" s="1393"/>
      <c r="AE10" s="1393"/>
      <c r="AF10" s="1393"/>
      <c r="AG10" s="1393"/>
      <c r="AH10" s="1393"/>
      <c r="AI10" s="1393"/>
      <c r="AO10" s="1299"/>
    </row>
    <row r="11" spans="1:41" ht="13" x14ac:dyDescent="0.3">
      <c r="A11" s="1384"/>
      <c r="B11" s="1306"/>
      <c r="C11" s="1106"/>
      <c r="D11" s="1307"/>
      <c r="E11" s="1307"/>
      <c r="F11" s="1307"/>
      <c r="G11" s="1307"/>
      <c r="H11" s="1307"/>
      <c r="I11" s="1307"/>
      <c r="J11" s="1307"/>
      <c r="K11" s="1307"/>
      <c r="L11" s="1307"/>
      <c r="M11" s="1308"/>
      <c r="N11" s="1393"/>
      <c r="O11" s="1393"/>
      <c r="P11" s="1393"/>
      <c r="Q11" s="1393"/>
      <c r="R11" s="1393"/>
      <c r="S11" s="1393"/>
      <c r="T11" s="1393"/>
      <c r="U11" s="1393"/>
      <c r="V11" s="1393"/>
      <c r="W11" s="1393"/>
      <c r="X11" s="1393"/>
      <c r="Y11" s="1393"/>
      <c r="Z11" s="1393"/>
      <c r="AA11" s="1393"/>
      <c r="AB11" s="1393"/>
      <c r="AC11" s="1393"/>
      <c r="AD11" s="1393"/>
      <c r="AE11" s="1393"/>
      <c r="AF11" s="1393"/>
      <c r="AG11" s="1393"/>
      <c r="AH11" s="1393"/>
      <c r="AI11" s="1393"/>
      <c r="AO11" s="1299"/>
    </row>
    <row r="12" spans="1:41" ht="13" x14ac:dyDescent="0.3">
      <c r="A12" s="1386"/>
      <c r="B12" s="1306"/>
      <c r="C12" s="1108"/>
      <c r="D12" s="1314"/>
      <c r="E12" s="1314"/>
      <c r="F12" s="1314"/>
      <c r="G12" s="1314"/>
      <c r="H12" s="1314"/>
      <c r="I12" s="1314"/>
      <c r="J12" s="1314"/>
      <c r="K12" s="1314"/>
      <c r="L12" s="1314"/>
      <c r="M12" s="1308"/>
      <c r="N12" s="1393"/>
      <c r="O12" s="1393"/>
      <c r="P12" s="1393"/>
      <c r="Q12" s="1393"/>
      <c r="R12" s="1393"/>
      <c r="S12" s="1404"/>
      <c r="T12" s="1393"/>
      <c r="U12" s="1393"/>
      <c r="V12" s="1393"/>
      <c r="W12" s="1393"/>
      <c r="X12" s="1393"/>
      <c r="Y12" s="1393"/>
      <c r="Z12" s="1393"/>
      <c r="AA12" s="1393"/>
      <c r="AB12" s="1393"/>
      <c r="AC12" s="1393"/>
      <c r="AD12" s="1393"/>
      <c r="AE12" s="1393"/>
      <c r="AF12" s="1393"/>
      <c r="AG12" s="1393"/>
      <c r="AH12" s="1393"/>
      <c r="AI12" s="1393"/>
      <c r="AO12" s="1299"/>
    </row>
    <row r="13" spans="1:41" ht="13" x14ac:dyDescent="0.3">
      <c r="A13" s="1386"/>
      <c r="B13" s="1306"/>
      <c r="C13" s="1106"/>
      <c r="D13" s="1307"/>
      <c r="E13" s="1307"/>
      <c r="F13" s="1307"/>
      <c r="G13" s="1307"/>
      <c r="H13" s="1307"/>
      <c r="I13" s="1307"/>
      <c r="J13" s="1307"/>
      <c r="K13" s="1307"/>
      <c r="L13" s="1307"/>
      <c r="M13" s="1308"/>
      <c r="N13" s="1393"/>
      <c r="O13" s="1393"/>
      <c r="P13" s="1393"/>
      <c r="Q13" s="1393"/>
      <c r="R13" s="1393"/>
      <c r="S13" s="1404"/>
      <c r="T13" s="1393"/>
      <c r="U13" s="1393"/>
      <c r="V13" s="1393"/>
      <c r="W13" s="1393"/>
      <c r="X13" s="1393"/>
      <c r="Y13" s="1393"/>
      <c r="Z13" s="1393"/>
      <c r="AA13" s="1393"/>
      <c r="AB13" s="1393"/>
      <c r="AC13" s="1393"/>
      <c r="AD13" s="1393"/>
      <c r="AE13" s="1393"/>
      <c r="AF13" s="1393"/>
      <c r="AG13" s="1393"/>
      <c r="AH13" s="1393"/>
      <c r="AI13" s="1393"/>
      <c r="AO13" s="1299"/>
    </row>
    <row r="14" spans="1:41" hidden="1" x14ac:dyDescent="0.25">
      <c r="A14" s="1387"/>
      <c r="B14" s="1306"/>
      <c r="C14" s="1315"/>
      <c r="D14" s="1316"/>
      <c r="E14" s="1317"/>
      <c r="F14" s="1318"/>
      <c r="H14" s="1316"/>
      <c r="I14" s="1319"/>
      <c r="J14" s="1320"/>
      <c r="L14" s="1307"/>
      <c r="M14" s="1308"/>
      <c r="N14" s="1393"/>
      <c r="O14" s="1393"/>
      <c r="P14" s="1393"/>
      <c r="Q14" s="1393"/>
      <c r="R14" s="1393"/>
      <c r="S14" s="1393"/>
      <c r="T14" s="1393"/>
      <c r="U14" s="1393"/>
      <c r="V14" s="1393"/>
      <c r="W14" s="1393"/>
      <c r="X14" s="1393"/>
      <c r="Y14" s="1393"/>
      <c r="Z14" s="1393"/>
      <c r="AA14" s="1393"/>
      <c r="AB14" s="1393"/>
      <c r="AC14" s="1393"/>
      <c r="AD14" s="1393"/>
      <c r="AE14" s="1393"/>
      <c r="AF14" s="1393"/>
      <c r="AG14" s="1393"/>
      <c r="AH14" s="1393"/>
      <c r="AI14" s="1393"/>
      <c r="AO14" s="1299"/>
    </row>
    <row r="15" spans="1:41" hidden="1" x14ac:dyDescent="0.25">
      <c r="A15" s="1387"/>
      <c r="B15" s="1306"/>
      <c r="C15" s="1315"/>
      <c r="D15" s="1316"/>
      <c r="E15" s="1317"/>
      <c r="F15" s="1321"/>
      <c r="G15" s="1322"/>
      <c r="H15" s="1316"/>
      <c r="I15" s="1319"/>
      <c r="J15" s="1323"/>
      <c r="K15" s="1324"/>
      <c r="L15" s="1307"/>
      <c r="M15" s="1308"/>
      <c r="N15" s="1393"/>
      <c r="O15" s="1393"/>
      <c r="P15" s="1393"/>
      <c r="Q15" s="1393"/>
      <c r="R15" s="1393"/>
      <c r="S15" s="1393"/>
      <c r="T15" s="1393"/>
      <c r="U15" s="1393"/>
      <c r="V15" s="1393"/>
      <c r="W15" s="1393"/>
      <c r="X15" s="1393"/>
      <c r="Y15" s="1393"/>
      <c r="Z15" s="1393"/>
      <c r="AA15" s="1393"/>
      <c r="AB15" s="1393"/>
      <c r="AC15" s="1393"/>
      <c r="AD15" s="1393"/>
      <c r="AE15" s="1393"/>
      <c r="AF15" s="1393"/>
      <c r="AG15" s="1393"/>
      <c r="AH15" s="1393"/>
      <c r="AI15" s="1393"/>
      <c r="AO15" s="1299"/>
    </row>
    <row r="16" spans="1:41" hidden="1" x14ac:dyDescent="0.25">
      <c r="A16" s="1387"/>
      <c r="B16" s="1306"/>
      <c r="C16" s="1315"/>
      <c r="D16" s="1316"/>
      <c r="E16" s="1317"/>
      <c r="F16" s="1325"/>
      <c r="G16" s="1322"/>
      <c r="H16" s="1316"/>
      <c r="I16" s="1317"/>
      <c r="J16" s="1326"/>
      <c r="K16" s="1324"/>
      <c r="L16" s="1307"/>
      <c r="M16" s="1308"/>
      <c r="N16" s="1393"/>
      <c r="O16" s="1393"/>
      <c r="P16" s="1393"/>
      <c r="Q16" s="1393"/>
      <c r="R16" s="1393"/>
      <c r="S16" s="1393"/>
      <c r="T16" s="1393"/>
      <c r="U16" s="1393"/>
      <c r="V16" s="1393"/>
      <c r="W16" s="1393"/>
      <c r="X16" s="1393"/>
      <c r="Y16" s="1393"/>
      <c r="Z16" s="1393"/>
      <c r="AA16" s="1393"/>
      <c r="AB16" s="1393"/>
      <c r="AC16" s="1393"/>
      <c r="AD16" s="1393"/>
      <c r="AE16" s="1393"/>
      <c r="AF16" s="1393"/>
      <c r="AG16" s="1393"/>
      <c r="AH16" s="1393"/>
      <c r="AI16" s="1393"/>
      <c r="AO16" s="1299"/>
    </row>
    <row r="17" spans="1:41" hidden="1" x14ac:dyDescent="0.25">
      <c r="A17" s="1387"/>
      <c r="B17" s="1306"/>
      <c r="C17" s="1315"/>
      <c r="D17" s="1316"/>
      <c r="E17" s="1317"/>
      <c r="F17" s="1327"/>
      <c r="G17" s="1322"/>
      <c r="H17" s="1316"/>
      <c r="I17" s="1319"/>
      <c r="J17" s="1328"/>
      <c r="K17" s="1324"/>
      <c r="L17" s="1307"/>
      <c r="M17" s="1308"/>
      <c r="N17" s="1393"/>
      <c r="O17" s="1393"/>
      <c r="P17" s="1393"/>
      <c r="Q17" s="1393"/>
      <c r="R17" s="1393"/>
      <c r="S17" s="1393"/>
      <c r="T17" s="1393"/>
      <c r="U17" s="1393"/>
      <c r="V17" s="1393"/>
      <c r="W17" s="1393"/>
      <c r="X17" s="1393"/>
      <c r="Y17" s="1393"/>
      <c r="Z17" s="1393"/>
      <c r="AA17" s="1393"/>
      <c r="AB17" s="1393"/>
      <c r="AC17" s="1393"/>
      <c r="AD17" s="1393"/>
      <c r="AE17" s="1393"/>
      <c r="AF17" s="1393"/>
      <c r="AG17" s="1393"/>
      <c r="AH17" s="1393"/>
      <c r="AI17" s="1393"/>
      <c r="AO17" s="1299"/>
    </row>
    <row r="18" spans="1:41" ht="13" x14ac:dyDescent="0.3">
      <c r="A18" s="1387"/>
      <c r="B18" s="1306"/>
      <c r="C18" s="1315"/>
      <c r="D18" s="1316"/>
      <c r="E18" s="1317"/>
      <c r="F18" s="1329"/>
      <c r="G18" s="1322"/>
      <c r="H18" s="1316"/>
      <c r="I18" s="1330"/>
      <c r="J18" s="1331"/>
      <c r="K18" s="1324"/>
      <c r="L18" s="1307"/>
      <c r="M18" s="1308"/>
      <c r="N18" s="1393"/>
      <c r="O18" s="1393"/>
      <c r="P18" s="1393"/>
      <c r="Q18" s="1393"/>
      <c r="R18" s="1393"/>
      <c r="S18" s="1393"/>
      <c r="T18" s="1393"/>
      <c r="U18" s="1393"/>
      <c r="V18" s="1393"/>
      <c r="W18" s="1393"/>
      <c r="X18" s="1393"/>
      <c r="Y18" s="1393"/>
      <c r="Z18" s="1393"/>
      <c r="AA18" s="1393"/>
      <c r="AB18" s="1393"/>
      <c r="AC18" s="1393"/>
      <c r="AD18" s="1393"/>
      <c r="AE18" s="1393"/>
      <c r="AF18" s="1393"/>
      <c r="AG18" s="1393"/>
      <c r="AH18" s="1393"/>
      <c r="AI18" s="1393"/>
      <c r="AO18" s="1299"/>
    </row>
    <row r="19" spans="1:41" x14ac:dyDescent="0.25">
      <c r="A19" s="1388"/>
      <c r="B19" s="1306"/>
      <c r="C19" s="1307"/>
      <c r="D19" s="1307"/>
      <c r="E19" s="1307"/>
      <c r="F19" s="1332"/>
      <c r="G19" s="1333"/>
      <c r="H19" s="1307"/>
      <c r="I19" s="1307"/>
      <c r="J19" s="1332"/>
      <c r="K19" s="1334"/>
      <c r="L19" s="1307"/>
      <c r="M19" s="1308"/>
      <c r="N19" s="1393"/>
      <c r="O19" s="1393"/>
      <c r="P19" s="1393"/>
      <c r="Q19" s="1393"/>
      <c r="R19" s="1393"/>
      <c r="S19" s="1393"/>
      <c r="T19" s="1393"/>
      <c r="U19" s="1393"/>
      <c r="V19" s="1393"/>
      <c r="W19" s="1393"/>
      <c r="X19" s="1393"/>
      <c r="Y19" s="1393"/>
      <c r="Z19" s="1393"/>
      <c r="AA19" s="1393"/>
      <c r="AB19" s="1393"/>
      <c r="AC19" s="1393"/>
      <c r="AD19" s="1393"/>
      <c r="AE19" s="1393"/>
      <c r="AF19" s="1393"/>
      <c r="AG19" s="1393"/>
      <c r="AH19" s="1393"/>
      <c r="AI19" s="1393"/>
      <c r="AO19" s="1299"/>
    </row>
    <row r="20" spans="1:41" x14ac:dyDescent="0.25">
      <c r="A20" s="1388"/>
      <c r="B20" s="1306"/>
      <c r="C20" s="1307"/>
      <c r="D20" s="1307"/>
      <c r="E20" s="1307"/>
      <c r="F20" s="1335"/>
      <c r="G20" s="1307"/>
      <c r="H20" s="1307"/>
      <c r="I20" s="1307"/>
      <c r="J20" s="1335"/>
      <c r="K20" s="1307"/>
      <c r="L20" s="1307"/>
      <c r="M20" s="1308"/>
      <c r="N20" s="1393"/>
      <c r="O20" s="1393"/>
      <c r="P20" s="1393"/>
      <c r="Q20" s="1393"/>
      <c r="R20" s="1393"/>
      <c r="S20" s="1393"/>
      <c r="T20" s="1393"/>
      <c r="U20" s="1393"/>
      <c r="V20" s="1393"/>
      <c r="W20" s="1393"/>
      <c r="X20" s="1393"/>
      <c r="Y20" s="1393"/>
      <c r="Z20" s="1393"/>
      <c r="AA20" s="1393"/>
      <c r="AB20" s="1393"/>
      <c r="AC20" s="1393"/>
      <c r="AD20" s="1393"/>
      <c r="AE20" s="1393"/>
      <c r="AF20" s="1393"/>
      <c r="AG20" s="1393"/>
      <c r="AH20" s="1393"/>
      <c r="AI20" s="1393"/>
      <c r="AO20" s="1299"/>
    </row>
    <row r="21" spans="1:41" ht="13" x14ac:dyDescent="0.3">
      <c r="A21" s="1389"/>
      <c r="B21" s="1306"/>
      <c r="C21" s="1336"/>
      <c r="D21" s="1307"/>
      <c r="E21" s="1307"/>
      <c r="F21" s="1332"/>
      <c r="G21" s="1307"/>
      <c r="H21" s="1307"/>
      <c r="I21" s="1307"/>
      <c r="J21" s="1332"/>
      <c r="K21" s="1337"/>
      <c r="L21" s="1307"/>
      <c r="M21" s="1308"/>
      <c r="N21" s="1393"/>
      <c r="O21" s="1393"/>
      <c r="P21" s="1393"/>
      <c r="Q21" s="1393"/>
      <c r="R21" s="1393"/>
      <c r="S21" s="1393"/>
      <c r="T21" s="1393"/>
      <c r="U21" s="1393"/>
      <c r="V21" s="1393"/>
      <c r="W21" s="1393"/>
      <c r="X21" s="1393"/>
      <c r="Y21" s="1393"/>
      <c r="Z21" s="1393"/>
      <c r="AA21" s="1393"/>
      <c r="AB21" s="1393"/>
      <c r="AC21" s="1393"/>
      <c r="AD21" s="1393"/>
      <c r="AE21" s="1393"/>
      <c r="AF21" s="1393"/>
      <c r="AG21" s="1393"/>
      <c r="AH21" s="1393"/>
      <c r="AI21" s="1393"/>
      <c r="AO21" s="1299"/>
    </row>
    <row r="22" spans="1:41" x14ac:dyDescent="0.25">
      <c r="A22" s="1390"/>
      <c r="B22" s="1306"/>
      <c r="C22" s="1307"/>
      <c r="D22" s="1307"/>
      <c r="E22" s="1307"/>
      <c r="F22" s="1338"/>
      <c r="G22" s="1339"/>
      <c r="H22" s="1307"/>
      <c r="I22" s="1340"/>
      <c r="J22" s="1338"/>
      <c r="K22" s="1339"/>
      <c r="L22" s="1307"/>
      <c r="M22" s="1308"/>
      <c r="N22" s="1393"/>
      <c r="O22" s="1393"/>
      <c r="P22" s="1393"/>
      <c r="Q22" s="1393"/>
      <c r="R22" s="1393"/>
      <c r="S22" s="1393"/>
      <c r="T22" s="1393"/>
      <c r="U22" s="1393"/>
      <c r="V22" s="1393"/>
      <c r="W22" s="1393"/>
      <c r="X22" s="1393"/>
      <c r="Y22" s="1393"/>
      <c r="Z22" s="1393"/>
      <c r="AA22" s="1393"/>
      <c r="AB22" s="1393"/>
      <c r="AC22" s="1393"/>
      <c r="AD22" s="1393"/>
      <c r="AE22" s="1393"/>
      <c r="AF22" s="1393"/>
      <c r="AG22" s="1393"/>
      <c r="AH22" s="1393"/>
      <c r="AI22" s="1393"/>
      <c r="AO22" s="1299"/>
    </row>
    <row r="23" spans="1:41" x14ac:dyDescent="0.25">
      <c r="A23" s="1390"/>
      <c r="B23" s="1306"/>
      <c r="C23" s="1341"/>
      <c r="D23" s="1342"/>
      <c r="E23" s="1342"/>
      <c r="F23" s="1343"/>
      <c r="G23" s="1344"/>
      <c r="H23" s="1342"/>
      <c r="I23" s="1345"/>
      <c r="J23" s="1346"/>
      <c r="K23" s="1347"/>
      <c r="L23" s="1348"/>
      <c r="M23" s="1308"/>
      <c r="N23" s="1393"/>
      <c r="O23" s="1393"/>
      <c r="P23" s="1393"/>
      <c r="Q23" s="1393"/>
      <c r="R23" s="1393"/>
      <c r="S23" s="1393"/>
      <c r="T23" s="1393"/>
      <c r="U23" s="1393"/>
      <c r="V23" s="1393"/>
      <c r="W23" s="1393"/>
      <c r="X23" s="1393"/>
      <c r="Y23" s="1393"/>
      <c r="Z23" s="1393"/>
      <c r="AA23" s="1393"/>
      <c r="AB23" s="1393"/>
      <c r="AC23" s="1393"/>
      <c r="AD23" s="1393"/>
      <c r="AE23" s="1393"/>
      <c r="AF23" s="1393"/>
      <c r="AG23" s="1393"/>
      <c r="AH23" s="1393"/>
      <c r="AI23" s="1393"/>
      <c r="AO23" s="1299"/>
    </row>
    <row r="24" spans="1:41" ht="13" hidden="1" x14ac:dyDescent="0.3">
      <c r="A24" s="1390"/>
      <c r="B24" s="1306"/>
      <c r="C24" s="1139"/>
      <c r="D24" s="1112"/>
      <c r="E24" s="1112"/>
      <c r="F24" s="2339"/>
      <c r="G24" s="2340"/>
      <c r="H24" s="1112"/>
      <c r="I24" s="1139"/>
      <c r="J24" s="2341"/>
      <c r="K24" s="2342"/>
      <c r="L24" s="2343"/>
      <c r="M24" s="1308"/>
      <c r="N24" s="1393"/>
      <c r="O24" s="1393"/>
      <c r="P24" s="1393"/>
      <c r="Q24" s="1393"/>
      <c r="R24" s="1393"/>
      <c r="S24" s="1393"/>
      <c r="T24" s="1393"/>
      <c r="U24" s="1393"/>
      <c r="V24" s="1393"/>
      <c r="W24" s="1393"/>
      <c r="X24" s="1393"/>
      <c r="Y24" s="1393"/>
      <c r="Z24" s="1393"/>
      <c r="AA24" s="1393"/>
      <c r="AB24" s="1393"/>
      <c r="AC24" s="1393"/>
      <c r="AD24" s="1393"/>
      <c r="AE24" s="1393"/>
      <c r="AF24" s="1393"/>
      <c r="AG24" s="1393"/>
      <c r="AH24" s="1393"/>
      <c r="AI24" s="1393"/>
      <c r="AO24" s="1299"/>
    </row>
    <row r="25" spans="1:41" hidden="1" x14ac:dyDescent="0.25">
      <c r="A25" s="1390"/>
      <c r="B25" s="1306"/>
      <c r="C25" s="1111"/>
      <c r="D25" s="1112"/>
      <c r="E25" s="1112"/>
      <c r="F25" s="2339"/>
      <c r="G25" s="2340"/>
      <c r="H25" s="1112"/>
      <c r="I25" s="1129"/>
      <c r="J25" s="2341"/>
      <c r="K25" s="2342"/>
      <c r="L25" s="2343"/>
      <c r="M25" s="1308"/>
      <c r="N25" s="1393"/>
      <c r="O25" s="1393"/>
      <c r="P25" s="1393"/>
      <c r="Q25" s="1393"/>
      <c r="R25" s="1393"/>
      <c r="S25" s="1393"/>
      <c r="T25" s="1393"/>
      <c r="U25" s="1393"/>
      <c r="V25" s="1393"/>
      <c r="W25" s="1393"/>
      <c r="X25" s="1393"/>
      <c r="Y25" s="1393"/>
      <c r="Z25" s="1393"/>
      <c r="AA25" s="1393"/>
      <c r="AB25" s="1393"/>
      <c r="AC25" s="1393"/>
      <c r="AD25" s="1393"/>
      <c r="AE25" s="1393"/>
      <c r="AF25" s="1393"/>
      <c r="AG25" s="1393"/>
      <c r="AH25" s="1393"/>
      <c r="AI25" s="1393"/>
      <c r="AO25" s="1299"/>
    </row>
    <row r="26" spans="1:41" ht="13" hidden="1" x14ac:dyDescent="0.3">
      <c r="A26" s="1390"/>
      <c r="B26" s="1306"/>
      <c r="C26" s="2352"/>
      <c r="D26" s="1176"/>
      <c r="E26" s="2351"/>
      <c r="F26" s="2350"/>
      <c r="G26" s="2348"/>
      <c r="H26" s="1132"/>
      <c r="I26" s="2352"/>
      <c r="J26" s="2351"/>
      <c r="K26" s="2350"/>
      <c r="L26" s="1084"/>
      <c r="M26" s="1308"/>
      <c r="N26" s="1393"/>
      <c r="O26" s="1393"/>
      <c r="P26" s="1393"/>
      <c r="Q26" s="1393"/>
      <c r="R26" s="1393"/>
      <c r="S26" s="1393"/>
      <c r="T26" s="1393"/>
      <c r="U26" s="1393"/>
      <c r="V26" s="1393"/>
      <c r="W26" s="1393"/>
      <c r="X26" s="1393"/>
      <c r="Y26" s="1393"/>
      <c r="Z26" s="1393"/>
      <c r="AA26" s="1393"/>
      <c r="AB26" s="1393"/>
      <c r="AC26" s="1393"/>
      <c r="AD26" s="1393"/>
      <c r="AE26" s="1393"/>
      <c r="AF26" s="1393"/>
      <c r="AG26" s="1393"/>
      <c r="AH26" s="1393"/>
      <c r="AI26" s="1393"/>
      <c r="AO26" s="1299"/>
    </row>
    <row r="27" spans="1:41" hidden="1" x14ac:dyDescent="0.25">
      <c r="A27" s="1390"/>
      <c r="B27" s="1306"/>
      <c r="C27" s="2356"/>
      <c r="D27" s="2357"/>
      <c r="E27" s="2355"/>
      <c r="F27" s="1133"/>
      <c r="G27" s="2348"/>
      <c r="H27" s="1132"/>
      <c r="I27" s="2354"/>
      <c r="J27" s="2355"/>
      <c r="K27" s="1133"/>
      <c r="L27" s="1084"/>
      <c r="M27" s="1308"/>
      <c r="N27" s="1393"/>
      <c r="O27" s="1393"/>
      <c r="P27" s="1393"/>
      <c r="Q27" s="1393"/>
      <c r="R27" s="1393"/>
      <c r="S27" s="1393"/>
      <c r="T27" s="1393"/>
      <c r="U27" s="1393"/>
      <c r="V27" s="1393"/>
      <c r="W27" s="1393"/>
      <c r="X27" s="1393"/>
      <c r="Y27" s="1393"/>
      <c r="Z27" s="1393"/>
      <c r="AA27" s="1393"/>
      <c r="AB27" s="1393"/>
      <c r="AC27" s="1393"/>
      <c r="AD27" s="1393"/>
      <c r="AE27" s="1393"/>
      <c r="AF27" s="1393"/>
      <c r="AG27" s="1393"/>
      <c r="AH27" s="1393"/>
      <c r="AI27" s="1393"/>
      <c r="AO27" s="1299"/>
    </row>
    <row r="28" spans="1:41" hidden="1" x14ac:dyDescent="0.25">
      <c r="A28" s="1390"/>
      <c r="B28" s="1306"/>
      <c r="C28" s="2356"/>
      <c r="D28" s="2357"/>
      <c r="E28" s="2355"/>
      <c r="F28" s="1133"/>
      <c r="G28" s="2348"/>
      <c r="H28" s="1132"/>
      <c r="I28" s="2354"/>
      <c r="J28" s="2355"/>
      <c r="K28" s="1133"/>
      <c r="L28" s="2347"/>
      <c r="M28" s="1308"/>
      <c r="N28" s="1393"/>
      <c r="O28" s="1393"/>
      <c r="P28" s="1393"/>
      <c r="Q28" s="1393"/>
      <c r="R28" s="1393"/>
      <c r="S28" s="1393"/>
      <c r="T28" s="1393"/>
      <c r="U28" s="1393"/>
      <c r="V28" s="1393"/>
      <c r="W28" s="1393"/>
      <c r="X28" s="1393"/>
      <c r="Y28" s="1393"/>
      <c r="Z28" s="1393"/>
      <c r="AA28" s="1393"/>
      <c r="AB28" s="1393"/>
      <c r="AC28" s="1393"/>
      <c r="AD28" s="1393"/>
      <c r="AE28" s="1393"/>
      <c r="AF28" s="1393"/>
      <c r="AG28" s="1393"/>
      <c r="AH28" s="1393"/>
      <c r="AI28" s="1393"/>
      <c r="AO28" s="1299"/>
    </row>
    <row r="29" spans="1:41" hidden="1" x14ac:dyDescent="0.25">
      <c r="A29" s="1390"/>
      <c r="B29" s="1306"/>
      <c r="C29" s="2356"/>
      <c r="D29" s="2357"/>
      <c r="E29" s="2355"/>
      <c r="F29" s="1133"/>
      <c r="G29" s="2348"/>
      <c r="H29" s="1132"/>
      <c r="I29" s="2354"/>
      <c r="J29" s="2355"/>
      <c r="K29" s="1133"/>
      <c r="L29" s="2347"/>
      <c r="M29" s="1308"/>
      <c r="N29" s="1393"/>
      <c r="O29" s="1393"/>
      <c r="P29" s="1393"/>
      <c r="Q29" s="1393"/>
      <c r="R29" s="1393"/>
      <c r="S29" s="1393"/>
      <c r="T29" s="1393"/>
      <c r="U29" s="1393"/>
      <c r="V29" s="1393"/>
      <c r="W29" s="1393"/>
      <c r="X29" s="1393"/>
      <c r="Y29" s="1393"/>
      <c r="Z29" s="1393"/>
      <c r="AA29" s="1393"/>
      <c r="AB29" s="1393"/>
      <c r="AC29" s="1393"/>
      <c r="AD29" s="1393"/>
      <c r="AE29" s="1393"/>
      <c r="AF29" s="1393"/>
      <c r="AG29" s="1393"/>
      <c r="AH29" s="1393"/>
      <c r="AI29" s="1393"/>
      <c r="AO29" s="1299"/>
    </row>
    <row r="30" spans="1:41" hidden="1" x14ac:dyDescent="0.25">
      <c r="A30" s="1390"/>
      <c r="B30" s="1306"/>
      <c r="C30" s="2356"/>
      <c r="D30" s="2357"/>
      <c r="E30" s="2355"/>
      <c r="F30" s="1133"/>
      <c r="G30" s="2348"/>
      <c r="H30" s="1132"/>
      <c r="I30" s="2354"/>
      <c r="J30" s="2355"/>
      <c r="K30" s="1133"/>
      <c r="L30" s="2347"/>
      <c r="M30" s="1308"/>
      <c r="N30" s="1393"/>
      <c r="O30" s="1393"/>
      <c r="P30" s="1393"/>
      <c r="Q30" s="1393"/>
      <c r="R30" s="1393"/>
      <c r="S30" s="1393"/>
      <c r="T30" s="1393"/>
      <c r="U30" s="1393"/>
      <c r="V30" s="1393"/>
      <c r="W30" s="1393"/>
      <c r="X30" s="1393"/>
      <c r="Y30" s="1393"/>
      <c r="Z30" s="1393"/>
      <c r="AA30" s="1393"/>
      <c r="AB30" s="1393"/>
      <c r="AC30" s="1393"/>
      <c r="AD30" s="1393"/>
      <c r="AE30" s="1393"/>
      <c r="AF30" s="1393"/>
      <c r="AG30" s="1393"/>
      <c r="AH30" s="1393"/>
      <c r="AI30" s="1393"/>
      <c r="AO30" s="1299"/>
    </row>
    <row r="31" spans="1:41" hidden="1" x14ac:dyDescent="0.25">
      <c r="A31" s="1390"/>
      <c r="B31" s="1306"/>
      <c r="C31" s="2356"/>
      <c r="D31" s="2357"/>
      <c r="E31" s="2355"/>
      <c r="F31" s="1133"/>
      <c r="G31" s="2348"/>
      <c r="H31" s="1132"/>
      <c r="I31" s="2354"/>
      <c r="J31" s="2355"/>
      <c r="K31" s="1133"/>
      <c r="L31" s="2347"/>
      <c r="M31" s="1308"/>
      <c r="N31" s="1393"/>
      <c r="O31" s="1393"/>
      <c r="P31" s="1393"/>
      <c r="Q31" s="1393"/>
      <c r="R31" s="1393"/>
      <c r="S31" s="1393"/>
      <c r="T31" s="1393"/>
      <c r="U31" s="1393"/>
      <c r="V31" s="1393"/>
      <c r="W31" s="1393"/>
      <c r="X31" s="1393"/>
      <c r="Y31" s="1393"/>
      <c r="Z31" s="1393"/>
      <c r="AA31" s="1393"/>
      <c r="AB31" s="1393"/>
      <c r="AC31" s="1393"/>
      <c r="AD31" s="1393"/>
      <c r="AE31" s="1393"/>
      <c r="AF31" s="1393"/>
      <c r="AG31" s="1393"/>
      <c r="AH31" s="1393"/>
      <c r="AI31" s="1393"/>
      <c r="AO31" s="1299"/>
    </row>
    <row r="32" spans="1:41" hidden="1" x14ac:dyDescent="0.25">
      <c r="A32" s="1390"/>
      <c r="B32" s="1306"/>
      <c r="C32" s="1146"/>
      <c r="D32" s="1147"/>
      <c r="E32" s="1147"/>
      <c r="F32" s="2344"/>
      <c r="G32" s="1149"/>
      <c r="H32" s="1147"/>
      <c r="I32" s="1151"/>
      <c r="J32" s="2345"/>
      <c r="K32" s="1153"/>
      <c r="L32" s="1154"/>
      <c r="M32" s="1308"/>
      <c r="N32" s="1393"/>
      <c r="O32" s="1393"/>
      <c r="P32" s="1393"/>
      <c r="Q32" s="1393"/>
      <c r="R32" s="1393"/>
      <c r="S32" s="1393"/>
      <c r="T32" s="1393"/>
      <c r="U32" s="1393"/>
      <c r="V32" s="1393"/>
      <c r="W32" s="1393"/>
      <c r="X32" s="1393"/>
      <c r="Y32" s="1393"/>
      <c r="Z32" s="1393"/>
      <c r="AA32" s="1393"/>
      <c r="AB32" s="1393"/>
      <c r="AC32" s="1393"/>
      <c r="AD32" s="1393"/>
      <c r="AE32" s="1393"/>
      <c r="AF32" s="1393"/>
      <c r="AG32" s="1393"/>
      <c r="AH32" s="1393"/>
      <c r="AI32" s="1393"/>
      <c r="AO32" s="1299"/>
    </row>
    <row r="33" spans="1:41" ht="13" x14ac:dyDescent="0.25">
      <c r="A33" s="1391"/>
      <c r="B33" s="1306"/>
      <c r="C33" s="1349"/>
      <c r="D33" s="1307"/>
      <c r="E33" s="1340"/>
      <c r="F33" s="1350"/>
      <c r="G33" s="1307"/>
      <c r="H33" s="1307"/>
      <c r="I33" s="1307"/>
      <c r="J33" s="1340"/>
      <c r="K33" s="1350"/>
      <c r="L33" s="1307"/>
      <c r="M33" s="1308"/>
      <c r="N33" s="1393"/>
      <c r="O33" s="1393"/>
      <c r="P33" s="1393"/>
      <c r="Q33" s="1393"/>
      <c r="R33" s="1393"/>
      <c r="S33" s="1393"/>
      <c r="T33" s="1393"/>
      <c r="U33" s="1393"/>
      <c r="V33" s="1393"/>
      <c r="W33" s="1393"/>
      <c r="X33" s="1393"/>
      <c r="Y33" s="1393"/>
      <c r="Z33" s="1393"/>
      <c r="AA33" s="1393"/>
      <c r="AB33" s="1393"/>
      <c r="AC33" s="1393"/>
      <c r="AD33" s="1393"/>
      <c r="AE33" s="1393"/>
      <c r="AF33" s="1393"/>
      <c r="AG33" s="1393"/>
      <c r="AH33" s="1393"/>
      <c r="AI33" s="1393"/>
      <c r="AO33" s="1299"/>
    </row>
    <row r="34" spans="1:41" ht="27.75" customHeight="1" x14ac:dyDescent="0.25">
      <c r="A34" s="1392"/>
      <c r="B34" s="1306"/>
      <c r="C34" s="1351"/>
      <c r="D34" s="1307"/>
      <c r="E34" s="1352"/>
      <c r="F34" s="1352"/>
      <c r="G34" s="1353"/>
      <c r="H34" s="1307"/>
      <c r="I34" s="1351"/>
      <c r="J34" s="1352"/>
      <c r="K34" s="1352"/>
      <c r="L34" s="1353"/>
      <c r="M34" s="1308"/>
      <c r="N34" s="1392"/>
      <c r="O34" s="1393"/>
      <c r="P34" s="1393"/>
      <c r="Q34" s="1393"/>
      <c r="R34" s="1393"/>
      <c r="S34" s="1393"/>
      <c r="T34" s="1393"/>
      <c r="U34" s="1393"/>
      <c r="V34" s="1393"/>
      <c r="W34" s="1393"/>
      <c r="X34" s="1393"/>
      <c r="Y34" s="1393"/>
      <c r="Z34" s="1393"/>
      <c r="AA34" s="1393"/>
      <c r="AB34" s="1393"/>
      <c r="AC34" s="1393"/>
      <c r="AD34" s="1393"/>
      <c r="AE34" s="1393"/>
      <c r="AF34" s="1393"/>
      <c r="AG34" s="1393"/>
      <c r="AH34" s="1393"/>
      <c r="AI34" s="1393"/>
      <c r="AO34" s="1299"/>
    </row>
    <row r="35" spans="1:41" ht="15.9" customHeight="1" x14ac:dyDescent="0.3">
      <c r="A35" s="1393"/>
      <c r="B35" s="1354"/>
      <c r="C35" s="1355"/>
      <c r="D35" s="1355"/>
      <c r="E35" s="1356"/>
      <c r="F35" s="1332"/>
      <c r="G35" s="1338"/>
      <c r="H35" s="1307"/>
      <c r="I35" s="1357"/>
      <c r="J35" s="1356"/>
      <c r="K35" s="1332"/>
      <c r="L35" s="1338"/>
      <c r="M35" s="1358"/>
      <c r="N35" s="1393"/>
      <c r="O35" s="1393"/>
      <c r="P35" s="1393"/>
      <c r="Q35" s="1393"/>
      <c r="R35" s="1390"/>
      <c r="S35" s="1390"/>
      <c r="T35" s="1393"/>
      <c r="U35" s="1393"/>
      <c r="V35" s="1393"/>
      <c r="W35" s="1393"/>
      <c r="X35" s="1393"/>
      <c r="Y35" s="1393"/>
      <c r="Z35" s="1393"/>
      <c r="AA35" s="1393"/>
      <c r="AB35" s="1393"/>
      <c r="AC35" s="1393"/>
      <c r="AD35" s="1393"/>
      <c r="AE35" s="1393"/>
      <c r="AF35" s="1393"/>
      <c r="AG35" s="1393"/>
      <c r="AH35" s="1393"/>
      <c r="AI35" s="1393"/>
      <c r="AO35" s="1299"/>
    </row>
    <row r="36" spans="1:41" ht="15.9" customHeight="1" x14ac:dyDescent="0.3">
      <c r="A36" s="1393"/>
      <c r="B36" s="1354"/>
      <c r="C36" s="1355"/>
      <c r="D36" s="1357"/>
      <c r="E36" s="1356"/>
      <c r="F36" s="1332"/>
      <c r="G36" s="1338"/>
      <c r="H36" s="1307"/>
      <c r="I36" s="1357"/>
      <c r="J36" s="1356"/>
      <c r="K36" s="1332"/>
      <c r="L36" s="1338"/>
      <c r="M36" s="1358"/>
      <c r="N36" s="1393"/>
      <c r="O36" s="1393"/>
      <c r="P36" s="1393"/>
      <c r="Q36" s="1393"/>
      <c r="R36" s="1390"/>
      <c r="S36" s="1390"/>
      <c r="T36" s="1393"/>
      <c r="U36" s="1393"/>
      <c r="V36" s="1393"/>
      <c r="W36" s="1393"/>
      <c r="X36" s="1393"/>
      <c r="Y36" s="1393"/>
      <c r="Z36" s="1393"/>
      <c r="AA36" s="1393"/>
      <c r="AB36" s="1393"/>
      <c r="AC36" s="1393"/>
      <c r="AD36" s="1393"/>
      <c r="AE36" s="1393"/>
      <c r="AF36" s="1393"/>
      <c r="AG36" s="1393"/>
      <c r="AH36" s="1393"/>
      <c r="AI36" s="1393"/>
      <c r="AO36" s="1299"/>
    </row>
    <row r="37" spans="1:41" ht="15.9" customHeight="1" x14ac:dyDescent="0.3">
      <c r="A37" s="1393"/>
      <c r="B37" s="1354"/>
      <c r="C37" s="1355"/>
      <c r="D37" s="1357"/>
      <c r="E37" s="1356"/>
      <c r="F37" s="1332"/>
      <c r="G37" s="1338"/>
      <c r="H37" s="1307"/>
      <c r="I37" s="1357"/>
      <c r="J37" s="1356"/>
      <c r="K37" s="1332"/>
      <c r="L37" s="1338"/>
      <c r="M37" s="1358"/>
      <c r="N37" s="1393"/>
      <c r="O37" s="1393"/>
      <c r="P37" s="1393"/>
      <c r="Q37" s="1393"/>
      <c r="R37" s="1390"/>
      <c r="S37" s="1390"/>
      <c r="T37" s="1393"/>
      <c r="U37" s="1393"/>
      <c r="V37" s="1393"/>
      <c r="W37" s="1393"/>
      <c r="X37" s="1393"/>
      <c r="Y37" s="1393"/>
      <c r="Z37" s="1393"/>
      <c r="AA37" s="1393"/>
      <c r="AB37" s="1393"/>
      <c r="AC37" s="1393"/>
      <c r="AD37" s="1393"/>
      <c r="AE37" s="1393"/>
      <c r="AF37" s="1393"/>
      <c r="AG37" s="1393"/>
      <c r="AH37" s="1393"/>
      <c r="AI37" s="1393"/>
      <c r="AO37" s="1299"/>
    </row>
    <row r="38" spans="1:41" ht="15.9" customHeight="1" x14ac:dyDescent="0.3">
      <c r="A38" s="1393"/>
      <c r="B38" s="1354"/>
      <c r="C38" s="1355"/>
      <c r="D38" s="1357"/>
      <c r="E38" s="1356"/>
      <c r="F38" s="1332"/>
      <c r="G38" s="1338"/>
      <c r="H38" s="1307"/>
      <c r="I38" s="1357"/>
      <c r="J38" s="1356"/>
      <c r="K38" s="1332"/>
      <c r="L38" s="1338"/>
      <c r="M38" s="1358"/>
      <c r="N38" s="1393"/>
      <c r="O38" s="1393"/>
      <c r="P38" s="1393"/>
      <c r="Q38" s="1393"/>
      <c r="R38" s="1390"/>
      <c r="S38" s="1390"/>
      <c r="T38" s="1393"/>
      <c r="U38" s="1393"/>
      <c r="V38" s="1393"/>
      <c r="W38" s="1393"/>
      <c r="X38" s="1393"/>
      <c r="Y38" s="1393"/>
      <c r="Z38" s="1393"/>
      <c r="AA38" s="1393"/>
      <c r="AB38" s="1393"/>
      <c r="AC38" s="1393"/>
      <c r="AD38" s="1393"/>
      <c r="AE38" s="1393"/>
      <c r="AF38" s="1393"/>
      <c r="AG38" s="1393"/>
      <c r="AH38" s="1393"/>
      <c r="AI38" s="1393"/>
      <c r="AO38" s="1299"/>
    </row>
    <row r="39" spans="1:41" ht="15.9" customHeight="1" x14ac:dyDescent="0.3">
      <c r="A39" s="1393"/>
      <c r="B39" s="1354"/>
      <c r="C39" s="1355"/>
      <c r="D39" s="1357"/>
      <c r="E39" s="1356"/>
      <c r="F39" s="1332"/>
      <c r="G39" s="1338"/>
      <c r="H39" s="1307"/>
      <c r="I39" s="1357"/>
      <c r="J39" s="1356"/>
      <c r="K39" s="1332"/>
      <c r="L39" s="1338"/>
      <c r="M39" s="1358"/>
      <c r="N39" s="1393"/>
      <c r="O39" s="1393"/>
      <c r="P39" s="1393"/>
      <c r="Q39" s="1393"/>
      <c r="R39" s="1390"/>
      <c r="S39" s="1390"/>
      <c r="T39" s="1393"/>
      <c r="U39" s="1393"/>
      <c r="V39" s="1393"/>
      <c r="W39" s="1393"/>
      <c r="X39" s="1393"/>
      <c r="Y39" s="1393"/>
      <c r="Z39" s="1393"/>
      <c r="AA39" s="1393"/>
      <c r="AB39" s="1393"/>
      <c r="AC39" s="1393"/>
      <c r="AD39" s="1393"/>
      <c r="AE39" s="1393"/>
      <c r="AF39" s="1393"/>
      <c r="AG39" s="1393"/>
      <c r="AH39" s="1393"/>
      <c r="AI39" s="1393"/>
      <c r="AO39" s="1299"/>
    </row>
    <row r="40" spans="1:41" ht="15.9" customHeight="1" x14ac:dyDescent="0.3">
      <c r="A40" s="1393"/>
      <c r="B40" s="1354"/>
      <c r="C40" s="1355"/>
      <c r="D40" s="1357"/>
      <c r="E40" s="1356"/>
      <c r="F40" s="1332"/>
      <c r="G40" s="1338"/>
      <c r="H40" s="1307"/>
      <c r="I40" s="1357"/>
      <c r="J40" s="1356"/>
      <c r="K40" s="1332"/>
      <c r="L40" s="1338"/>
      <c r="M40" s="1358"/>
      <c r="N40" s="1393"/>
      <c r="O40" s="1393"/>
      <c r="P40" s="1393"/>
      <c r="Q40" s="1393"/>
      <c r="R40" s="1390"/>
      <c r="S40" s="1390"/>
      <c r="T40" s="1393"/>
      <c r="U40" s="1393"/>
      <c r="V40" s="1393"/>
      <c r="W40" s="1393"/>
      <c r="X40" s="1393"/>
      <c r="Y40" s="1393"/>
      <c r="Z40" s="1393"/>
      <c r="AA40" s="1393"/>
      <c r="AB40" s="1393"/>
      <c r="AC40" s="1393"/>
      <c r="AD40" s="1393"/>
      <c r="AE40" s="1393"/>
      <c r="AF40" s="1393"/>
      <c r="AG40" s="1393"/>
      <c r="AH40" s="1393"/>
      <c r="AI40" s="1393"/>
      <c r="AO40" s="1299"/>
    </row>
    <row r="41" spans="1:41" ht="15.9" customHeight="1" x14ac:dyDescent="0.3">
      <c r="A41" s="1393"/>
      <c r="B41" s="1354"/>
      <c r="C41" s="1355"/>
      <c r="D41" s="1357"/>
      <c r="E41" s="1356"/>
      <c r="F41" s="1332"/>
      <c r="G41" s="1338"/>
      <c r="H41" s="1307"/>
      <c r="I41" s="1357"/>
      <c r="J41" s="1356"/>
      <c r="K41" s="1332"/>
      <c r="L41" s="1338"/>
      <c r="M41" s="1358"/>
      <c r="N41" s="1393"/>
      <c r="O41" s="1393"/>
      <c r="P41" s="1393"/>
      <c r="Q41" s="1393"/>
      <c r="R41" s="1390"/>
      <c r="S41" s="1390"/>
      <c r="T41" s="1393"/>
      <c r="U41" s="1393"/>
      <c r="V41" s="1393"/>
      <c r="W41" s="1393"/>
      <c r="X41" s="1393"/>
      <c r="Y41" s="1393"/>
      <c r="Z41" s="1393"/>
      <c r="AA41" s="1393"/>
      <c r="AB41" s="1393"/>
      <c r="AC41" s="1393"/>
      <c r="AD41" s="1393"/>
      <c r="AE41" s="1393"/>
      <c r="AF41" s="1393"/>
      <c r="AG41" s="1393"/>
      <c r="AH41" s="1393"/>
      <c r="AI41" s="1393"/>
      <c r="AO41" s="1299"/>
    </row>
    <row r="42" spans="1:41" ht="15.9" customHeight="1" x14ac:dyDescent="0.3">
      <c r="A42" s="1393"/>
      <c r="B42" s="1354"/>
      <c r="C42" s="1355"/>
      <c r="D42" s="1357"/>
      <c r="E42" s="1356"/>
      <c r="F42" s="1332"/>
      <c r="G42" s="1338"/>
      <c r="H42" s="1307"/>
      <c r="I42" s="1357"/>
      <c r="J42" s="1356"/>
      <c r="K42" s="1332"/>
      <c r="L42" s="1338"/>
      <c r="M42" s="1358"/>
      <c r="N42" s="1393"/>
      <c r="O42" s="1393"/>
      <c r="P42" s="1393"/>
      <c r="Q42" s="1393"/>
      <c r="R42" s="1390"/>
      <c r="S42" s="1390"/>
      <c r="T42" s="1393"/>
      <c r="U42" s="1393"/>
      <c r="V42" s="1393"/>
      <c r="W42" s="1393"/>
      <c r="X42" s="1393"/>
      <c r="Y42" s="1393"/>
      <c r="Z42" s="1393"/>
      <c r="AA42" s="1393"/>
      <c r="AB42" s="1393"/>
      <c r="AC42" s="1393"/>
      <c r="AD42" s="1393"/>
      <c r="AE42" s="1393"/>
      <c r="AF42" s="1393"/>
      <c r="AG42" s="1393"/>
      <c r="AH42" s="1393"/>
      <c r="AI42" s="1393"/>
      <c r="AO42" s="1299"/>
    </row>
    <row r="43" spans="1:41" ht="15.9" customHeight="1" x14ac:dyDescent="0.3">
      <c r="A43" s="1393"/>
      <c r="B43" s="1354"/>
      <c r="C43" s="1355"/>
      <c r="D43" s="1357"/>
      <c r="E43" s="1356"/>
      <c r="F43" s="1332"/>
      <c r="G43" s="1338"/>
      <c r="H43" s="1307"/>
      <c r="I43" s="1357"/>
      <c r="J43" s="1356"/>
      <c r="K43" s="1332"/>
      <c r="L43" s="1338"/>
      <c r="M43" s="1358"/>
      <c r="N43" s="1393"/>
      <c r="O43" s="1393"/>
      <c r="P43" s="1393"/>
      <c r="Q43" s="1393"/>
      <c r="R43" s="1390"/>
      <c r="S43" s="1390"/>
      <c r="T43" s="1393"/>
      <c r="U43" s="1393"/>
      <c r="V43" s="1393"/>
      <c r="W43" s="1393"/>
      <c r="X43" s="1393"/>
      <c r="Y43" s="1393"/>
      <c r="Z43" s="1393"/>
      <c r="AA43" s="1393"/>
      <c r="AB43" s="1393"/>
      <c r="AC43" s="1393"/>
      <c r="AD43" s="1393"/>
      <c r="AE43" s="1393"/>
      <c r="AF43" s="1393"/>
      <c r="AG43" s="1393"/>
      <c r="AH43" s="1393"/>
      <c r="AI43" s="1393"/>
      <c r="AO43" s="1299"/>
    </row>
    <row r="44" spans="1:41" ht="15.9" customHeight="1" x14ac:dyDescent="0.3">
      <c r="A44" s="1393"/>
      <c r="B44" s="1354"/>
      <c r="C44" s="1355"/>
      <c r="D44" s="1357"/>
      <c r="E44" s="1356"/>
      <c r="F44" s="1332"/>
      <c r="G44" s="1338"/>
      <c r="H44" s="1307"/>
      <c r="I44" s="1357"/>
      <c r="J44" s="1356"/>
      <c r="K44" s="1332"/>
      <c r="L44" s="1338"/>
      <c r="M44" s="1358"/>
      <c r="N44" s="1393"/>
      <c r="O44" s="1393"/>
      <c r="P44" s="1393"/>
      <c r="Q44" s="1393"/>
      <c r="R44" s="1390"/>
      <c r="S44" s="1390"/>
      <c r="T44" s="1393"/>
      <c r="U44" s="1393"/>
      <c r="V44" s="1393"/>
      <c r="W44" s="1393"/>
      <c r="X44" s="1393"/>
      <c r="Y44" s="1393"/>
      <c r="Z44" s="1393"/>
      <c r="AA44" s="1393"/>
      <c r="AB44" s="1393"/>
      <c r="AC44" s="1393"/>
      <c r="AD44" s="1393"/>
      <c r="AE44" s="1393"/>
      <c r="AF44" s="1393"/>
      <c r="AG44" s="1393"/>
      <c r="AH44" s="1393"/>
      <c r="AI44" s="1393"/>
      <c r="AO44" s="1299"/>
    </row>
    <row r="45" spans="1:41" ht="15.9" customHeight="1" x14ac:dyDescent="0.3">
      <c r="A45" s="1393"/>
      <c r="B45" s="1354"/>
      <c r="C45" s="1355"/>
      <c r="D45" s="1357"/>
      <c r="E45" s="1356"/>
      <c r="F45" s="1332"/>
      <c r="G45" s="1338"/>
      <c r="H45" s="1307"/>
      <c r="I45" s="1357"/>
      <c r="J45" s="1356"/>
      <c r="K45" s="1332"/>
      <c r="L45" s="1338"/>
      <c r="M45" s="1358"/>
      <c r="N45" s="1393"/>
      <c r="O45" s="1393"/>
      <c r="P45" s="1393"/>
      <c r="Q45" s="1393"/>
      <c r="R45" s="1390"/>
      <c r="S45" s="1390"/>
      <c r="T45" s="1393"/>
      <c r="U45" s="1393"/>
      <c r="V45" s="1393"/>
      <c r="W45" s="1393"/>
      <c r="X45" s="1393"/>
      <c r="Y45" s="1393"/>
      <c r="Z45" s="1393"/>
      <c r="AA45" s="1393"/>
      <c r="AB45" s="1393"/>
      <c r="AC45" s="1393"/>
      <c r="AD45" s="1393"/>
      <c r="AE45" s="1393"/>
      <c r="AF45" s="1393"/>
      <c r="AG45" s="1393"/>
      <c r="AH45" s="1393"/>
      <c r="AI45" s="1393"/>
      <c r="AO45" s="1299"/>
    </row>
    <row r="46" spans="1:41" ht="15.9" customHeight="1" x14ac:dyDescent="0.3">
      <c r="A46" s="1393"/>
      <c r="B46" s="1354"/>
      <c r="C46" s="1355"/>
      <c r="D46" s="1357"/>
      <c r="E46" s="1356"/>
      <c r="F46" s="1332"/>
      <c r="G46" s="1338"/>
      <c r="H46" s="1307"/>
      <c r="I46" s="1357"/>
      <c r="J46" s="1356"/>
      <c r="K46" s="1332"/>
      <c r="L46" s="1338"/>
      <c r="M46" s="1358"/>
      <c r="N46" s="1393"/>
      <c r="O46" s="1393"/>
      <c r="P46" s="1393"/>
      <c r="Q46" s="1393"/>
      <c r="R46" s="1390"/>
      <c r="S46" s="1390"/>
      <c r="T46" s="1393"/>
      <c r="U46" s="1393"/>
      <c r="V46" s="1393"/>
      <c r="W46" s="1393"/>
      <c r="X46" s="1393"/>
      <c r="Y46" s="1393"/>
      <c r="Z46" s="1393"/>
      <c r="AA46" s="1393"/>
      <c r="AB46" s="1393"/>
      <c r="AC46" s="1393"/>
      <c r="AD46" s="1393"/>
      <c r="AE46" s="1393"/>
      <c r="AF46" s="1393"/>
      <c r="AG46" s="1393"/>
      <c r="AH46" s="1393"/>
      <c r="AI46" s="1393"/>
      <c r="AO46" s="1299"/>
    </row>
    <row r="47" spans="1:41" x14ac:dyDescent="0.25">
      <c r="A47" s="1393"/>
      <c r="B47" s="1359"/>
      <c r="C47" s="1313"/>
      <c r="D47" s="1314"/>
      <c r="E47" s="1314"/>
      <c r="F47" s="1314"/>
      <c r="G47" s="1314"/>
      <c r="H47" s="1314"/>
      <c r="I47" s="1314"/>
      <c r="J47" s="1314"/>
      <c r="K47" s="1360"/>
      <c r="L47" s="1361"/>
      <c r="M47" s="1362"/>
      <c r="N47" s="1393"/>
      <c r="O47" s="1393"/>
      <c r="P47" s="1393"/>
      <c r="Q47" s="1393"/>
      <c r="R47" s="1393"/>
      <c r="S47" s="1393"/>
      <c r="T47" s="1393"/>
      <c r="U47" s="1393"/>
      <c r="V47" s="1393"/>
      <c r="W47" s="1393"/>
      <c r="X47" s="1393"/>
      <c r="Y47" s="1393"/>
      <c r="Z47" s="1393"/>
      <c r="AA47" s="1393"/>
      <c r="AB47" s="1393"/>
      <c r="AC47" s="1393"/>
      <c r="AD47" s="1393"/>
      <c r="AE47" s="1393"/>
      <c r="AF47" s="1393"/>
      <c r="AG47" s="1393"/>
      <c r="AH47" s="1393"/>
      <c r="AI47" s="1393"/>
      <c r="AO47" s="1299"/>
    </row>
    <row r="48" spans="1:41" ht="10.5" customHeight="1" x14ac:dyDescent="0.25">
      <c r="A48" s="1394"/>
      <c r="B48" s="1401"/>
      <c r="C48" s="1401"/>
      <c r="D48" s="1401"/>
      <c r="E48" s="1401"/>
      <c r="F48" s="1401"/>
      <c r="G48" s="1401"/>
      <c r="H48" s="1401"/>
      <c r="I48" s="1401"/>
      <c r="J48" s="1401"/>
      <c r="K48" s="1401"/>
      <c r="L48" s="1401"/>
      <c r="M48" s="1401"/>
      <c r="N48" s="1394"/>
      <c r="O48" s="1393"/>
      <c r="P48" s="1393"/>
      <c r="Q48" s="1393"/>
      <c r="R48" s="1393"/>
      <c r="S48" s="1393"/>
      <c r="T48" s="1393"/>
      <c r="U48" s="1393"/>
      <c r="V48" s="1393"/>
      <c r="W48" s="1393"/>
      <c r="X48" s="1393"/>
      <c r="Y48" s="1393"/>
      <c r="Z48" s="1393"/>
      <c r="AA48" s="1393"/>
      <c r="AB48" s="1393"/>
      <c r="AC48" s="1393"/>
      <c r="AD48" s="1393"/>
      <c r="AE48" s="1393"/>
      <c r="AF48" s="1393"/>
      <c r="AG48" s="1393"/>
      <c r="AH48" s="1393"/>
      <c r="AI48" s="1393"/>
      <c r="AO48" s="1299"/>
    </row>
    <row r="49" spans="1:41" x14ac:dyDescent="0.25">
      <c r="A49" s="1395"/>
      <c r="B49" s="1301"/>
      <c r="C49" s="1363"/>
      <c r="D49" s="1302"/>
      <c r="E49" s="1302"/>
      <c r="F49" s="1302"/>
      <c r="G49" s="1302"/>
      <c r="H49" s="1302"/>
      <c r="I49" s="1302"/>
      <c r="J49" s="1302"/>
      <c r="K49" s="1302"/>
      <c r="L49" s="1302"/>
      <c r="M49" s="1305"/>
      <c r="N49" s="1395"/>
      <c r="O49" s="1393"/>
      <c r="P49" s="1393"/>
      <c r="Q49" s="1393"/>
      <c r="R49" s="1393"/>
      <c r="S49" s="1393"/>
      <c r="T49" s="1393"/>
      <c r="U49" s="1393"/>
      <c r="V49" s="1393"/>
      <c r="W49" s="1393"/>
      <c r="X49" s="1393"/>
      <c r="Y49" s="1393"/>
      <c r="Z49" s="1393"/>
      <c r="AA49" s="1393"/>
      <c r="AB49" s="1393"/>
      <c r="AC49" s="1393"/>
      <c r="AD49" s="1393"/>
      <c r="AE49" s="1393"/>
      <c r="AF49" s="1393"/>
      <c r="AG49" s="1393"/>
      <c r="AH49" s="1393"/>
      <c r="AI49" s="1393"/>
      <c r="AO49" s="1299"/>
    </row>
    <row r="50" spans="1:41" ht="13" x14ac:dyDescent="0.3">
      <c r="A50" s="1396"/>
      <c r="B50" s="1306"/>
      <c r="C50" s="1310"/>
      <c r="D50" s="1307"/>
      <c r="E50" s="1316"/>
      <c r="F50" s="1364"/>
      <c r="G50" s="1365"/>
      <c r="H50" s="1364"/>
      <c r="I50" s="1316"/>
      <c r="J50" s="1364"/>
      <c r="K50" s="1365"/>
      <c r="L50" s="1364"/>
      <c r="M50" s="1308"/>
      <c r="N50" s="1393"/>
      <c r="O50" s="1393"/>
      <c r="P50" s="1393"/>
      <c r="Q50" s="1393"/>
      <c r="R50" s="1393"/>
      <c r="S50" s="1393"/>
      <c r="T50" s="1393"/>
      <c r="U50" s="1393"/>
      <c r="V50" s="1393"/>
      <c r="W50" s="1393"/>
      <c r="X50" s="1393"/>
      <c r="Y50" s="1393"/>
      <c r="Z50" s="1393"/>
      <c r="AA50" s="1393"/>
      <c r="AB50" s="1393"/>
      <c r="AC50" s="1393"/>
      <c r="AD50" s="1393"/>
      <c r="AE50" s="1393"/>
      <c r="AF50" s="1393"/>
      <c r="AG50" s="1393"/>
      <c r="AH50" s="1393"/>
      <c r="AI50" s="1393"/>
      <c r="AO50" s="1299"/>
    </row>
    <row r="51" spans="1:41" ht="13" x14ac:dyDescent="0.3">
      <c r="A51" s="1397"/>
      <c r="B51" s="1306"/>
      <c r="C51" s="1366"/>
      <c r="D51" s="1307"/>
      <c r="E51" s="1367"/>
      <c r="F51" s="1307"/>
      <c r="G51" s="1308"/>
      <c r="H51" s="1307"/>
      <c r="I51" s="1368"/>
      <c r="J51" s="1307"/>
      <c r="K51" s="1308"/>
      <c r="L51" s="1307"/>
      <c r="M51" s="1308"/>
      <c r="N51" s="1393"/>
      <c r="O51" s="1393"/>
      <c r="P51" s="1393"/>
      <c r="Q51" s="1393"/>
      <c r="R51" s="1393"/>
      <c r="S51" s="1393"/>
      <c r="T51" s="1393"/>
      <c r="U51" s="1393"/>
      <c r="V51" s="1393"/>
      <c r="W51" s="1393"/>
      <c r="X51" s="1393"/>
      <c r="Y51" s="1393"/>
      <c r="Z51" s="1393"/>
      <c r="AA51" s="1393"/>
      <c r="AB51" s="1393"/>
      <c r="AC51" s="1393"/>
      <c r="AD51" s="1393"/>
      <c r="AE51" s="1393"/>
      <c r="AF51" s="1393"/>
      <c r="AG51" s="1393"/>
      <c r="AH51" s="1393"/>
      <c r="AI51" s="1393"/>
      <c r="AO51" s="1299"/>
    </row>
    <row r="52" spans="1:41" ht="15" customHeight="1" x14ac:dyDescent="0.3">
      <c r="A52" s="1393"/>
      <c r="B52" s="1306"/>
      <c r="C52" s="1307"/>
      <c r="D52" s="1307"/>
      <c r="E52" s="1369"/>
      <c r="F52" s="1370"/>
      <c r="G52" s="1371"/>
      <c r="H52" s="1307"/>
      <c r="I52" s="1369"/>
      <c r="J52" s="1370"/>
      <c r="K52" s="1371"/>
      <c r="L52" s="1372"/>
      <c r="M52" s="1308"/>
      <c r="N52" s="1393"/>
      <c r="O52" s="1393"/>
      <c r="P52" s="1393"/>
      <c r="Q52" s="1393"/>
      <c r="R52" s="1393"/>
      <c r="S52" s="1393"/>
      <c r="T52" s="1393"/>
      <c r="U52" s="1393"/>
      <c r="V52" s="1393"/>
      <c r="W52" s="1393"/>
      <c r="X52" s="1393"/>
      <c r="Y52" s="1393"/>
      <c r="Z52" s="1393"/>
      <c r="AA52" s="1393"/>
      <c r="AB52" s="1393"/>
      <c r="AC52" s="1393"/>
      <c r="AD52" s="1393"/>
      <c r="AE52" s="1393"/>
      <c r="AF52" s="1393"/>
      <c r="AG52" s="1393"/>
      <c r="AH52" s="1393"/>
      <c r="AI52" s="1393"/>
      <c r="AO52" s="1299"/>
    </row>
    <row r="53" spans="1:41" ht="15" customHeight="1" x14ac:dyDescent="0.3">
      <c r="A53" s="1393"/>
      <c r="B53" s="1306"/>
      <c r="C53" s="1307"/>
      <c r="D53" s="1307"/>
      <c r="E53" s="1369"/>
      <c r="F53" s="1370"/>
      <c r="G53" s="1371"/>
      <c r="H53" s="1307"/>
      <c r="I53" s="1369"/>
      <c r="J53" s="1370"/>
      <c r="K53" s="1371"/>
      <c r="L53" s="1372"/>
      <c r="M53" s="1308"/>
      <c r="N53" s="1393"/>
      <c r="O53" s="1393"/>
      <c r="P53" s="1393"/>
      <c r="Q53" s="1393"/>
      <c r="R53" s="1393"/>
      <c r="S53" s="1393"/>
      <c r="T53" s="1393"/>
      <c r="U53" s="1393"/>
      <c r="V53" s="1393"/>
      <c r="W53" s="1393"/>
      <c r="X53" s="1393"/>
      <c r="Y53" s="1393"/>
      <c r="Z53" s="1393"/>
      <c r="AA53" s="1393"/>
      <c r="AB53" s="1393"/>
      <c r="AC53" s="1393"/>
      <c r="AD53" s="1393"/>
      <c r="AE53" s="1393"/>
      <c r="AF53" s="1393"/>
      <c r="AG53" s="1393"/>
      <c r="AH53" s="1393"/>
      <c r="AI53" s="1393"/>
      <c r="AO53" s="1299"/>
    </row>
    <row r="54" spans="1:41" ht="15" customHeight="1" x14ac:dyDescent="0.3">
      <c r="A54" s="1393"/>
      <c r="B54" s="1306"/>
      <c r="C54" s="1307"/>
      <c r="D54" s="1307"/>
      <c r="E54" s="1369"/>
      <c r="F54" s="1370"/>
      <c r="G54" s="1371"/>
      <c r="H54" s="1307"/>
      <c r="I54" s="1369"/>
      <c r="J54" s="1370"/>
      <c r="K54" s="1371"/>
      <c r="L54" s="1372"/>
      <c r="M54" s="1308"/>
      <c r="N54" s="1393"/>
      <c r="O54" s="1393"/>
      <c r="P54" s="1393"/>
      <c r="Q54" s="1393"/>
      <c r="R54" s="1393"/>
      <c r="S54" s="1393"/>
      <c r="T54" s="1393"/>
      <c r="U54" s="1393"/>
      <c r="V54" s="1393"/>
      <c r="W54" s="1393"/>
      <c r="X54" s="1393"/>
      <c r="Y54" s="1393"/>
      <c r="Z54" s="1393"/>
      <c r="AA54" s="1393"/>
      <c r="AB54" s="1393"/>
      <c r="AC54" s="1393"/>
      <c r="AD54" s="1393"/>
      <c r="AE54" s="1393"/>
      <c r="AF54" s="1393"/>
      <c r="AG54" s="1393"/>
      <c r="AH54" s="1393"/>
      <c r="AI54" s="1393"/>
      <c r="AO54" s="1299"/>
    </row>
    <row r="55" spans="1:41" ht="15" customHeight="1" x14ac:dyDescent="0.3">
      <c r="A55" s="1393"/>
      <c r="B55" s="1306"/>
      <c r="C55" s="1307"/>
      <c r="D55" s="1307"/>
      <c r="E55" s="1369"/>
      <c r="F55" s="1370"/>
      <c r="G55" s="1371"/>
      <c r="H55" s="1307"/>
      <c r="I55" s="1369"/>
      <c r="J55" s="1370"/>
      <c r="K55" s="1371"/>
      <c r="L55" s="1372"/>
      <c r="M55" s="1308"/>
      <c r="N55" s="1393"/>
      <c r="O55" s="1393"/>
      <c r="P55" s="1393"/>
      <c r="Q55" s="1393"/>
      <c r="R55" s="1393"/>
      <c r="S55" s="1393"/>
      <c r="T55" s="1393"/>
      <c r="U55" s="1393"/>
      <c r="V55" s="1393"/>
      <c r="W55" s="1393"/>
      <c r="X55" s="1393"/>
      <c r="Y55" s="1393"/>
      <c r="Z55" s="1393"/>
      <c r="AA55" s="1393"/>
      <c r="AB55" s="1393"/>
      <c r="AC55" s="1393"/>
      <c r="AD55" s="1393"/>
      <c r="AE55" s="1393"/>
      <c r="AF55" s="1393"/>
      <c r="AG55" s="1393"/>
      <c r="AH55" s="1393"/>
      <c r="AI55" s="1393"/>
      <c r="AO55" s="1299"/>
    </row>
    <row r="56" spans="1:41" ht="6.75" customHeight="1" x14ac:dyDescent="0.3">
      <c r="A56" s="1393"/>
      <c r="B56" s="1306"/>
      <c r="C56" s="1307"/>
      <c r="D56" s="1307"/>
      <c r="E56" s="1369"/>
      <c r="F56" s="1370"/>
      <c r="G56" s="1371"/>
      <c r="H56" s="1307"/>
      <c r="I56" s="1369"/>
      <c r="J56" s="1370"/>
      <c r="K56" s="1371"/>
      <c r="L56" s="1372"/>
      <c r="M56" s="1308"/>
      <c r="N56" s="1393"/>
      <c r="O56" s="1393"/>
      <c r="P56" s="1393"/>
      <c r="Q56" s="1393"/>
      <c r="R56" s="1393"/>
      <c r="S56" s="1393"/>
      <c r="T56" s="1393"/>
      <c r="U56" s="1393"/>
      <c r="V56" s="1393"/>
      <c r="W56" s="1393"/>
      <c r="X56" s="1393"/>
      <c r="Y56" s="1393"/>
      <c r="Z56" s="1393"/>
      <c r="AA56" s="1393"/>
      <c r="AB56" s="1393"/>
      <c r="AC56" s="1393"/>
      <c r="AD56" s="1393"/>
      <c r="AE56" s="1393"/>
      <c r="AF56" s="1393"/>
      <c r="AG56" s="1393"/>
      <c r="AH56" s="1393"/>
      <c r="AI56" s="1393"/>
      <c r="AO56" s="1299"/>
    </row>
    <row r="57" spans="1:41" ht="6" customHeight="1" x14ac:dyDescent="0.25">
      <c r="A57" s="1393"/>
      <c r="B57" s="1306"/>
      <c r="C57" s="1307"/>
      <c r="D57" s="1307"/>
      <c r="E57" s="1307"/>
      <c r="F57" s="1370"/>
      <c r="G57" s="1307"/>
      <c r="H57" s="1307"/>
      <c r="I57" s="1307"/>
      <c r="J57" s="1307"/>
      <c r="K57" s="1307"/>
      <c r="L57" s="1372"/>
      <c r="M57" s="1308"/>
      <c r="N57" s="1393"/>
      <c r="O57" s="1393"/>
      <c r="P57" s="1393"/>
      <c r="Q57" s="1393"/>
      <c r="R57" s="1393"/>
      <c r="S57" s="1393"/>
      <c r="T57" s="1393"/>
      <c r="U57" s="1393"/>
      <c r="V57" s="1393"/>
      <c r="W57" s="1393"/>
      <c r="X57" s="1393"/>
      <c r="Y57" s="1393"/>
      <c r="Z57" s="1393"/>
      <c r="AA57" s="1393"/>
      <c r="AB57" s="1393"/>
      <c r="AC57" s="1393"/>
      <c r="AD57" s="1393"/>
      <c r="AE57" s="1393"/>
      <c r="AF57" s="1393"/>
      <c r="AG57" s="1393"/>
      <c r="AH57" s="1393"/>
      <c r="AI57" s="1393"/>
      <c r="AO57" s="1299"/>
    </row>
    <row r="58" spans="1:41" ht="16.5" customHeight="1" thickBot="1" x14ac:dyDescent="0.35">
      <c r="A58" s="1393"/>
      <c r="B58" s="1306"/>
      <c r="C58" s="1373"/>
      <c r="D58" s="1373"/>
      <c r="E58" s="1373"/>
      <c r="F58" s="1374"/>
      <c r="G58" s="1375"/>
      <c r="H58" s="1375"/>
      <c r="I58" s="1375"/>
      <c r="J58" s="1374"/>
      <c r="K58" s="1375"/>
      <c r="L58" s="1376"/>
      <c r="M58" s="1308"/>
      <c r="N58" s="1393"/>
      <c r="O58" s="1393"/>
      <c r="P58" s="1393"/>
      <c r="Q58" s="1393"/>
      <c r="R58" s="1393"/>
      <c r="S58" s="1393"/>
      <c r="T58" s="1393"/>
      <c r="U58" s="1393"/>
      <c r="V58" s="1393"/>
      <c r="W58" s="1393"/>
      <c r="X58" s="1393"/>
      <c r="Y58" s="1393"/>
      <c r="Z58" s="1393"/>
      <c r="AA58" s="1393"/>
      <c r="AB58" s="1393"/>
      <c r="AC58" s="1393"/>
      <c r="AD58" s="1393"/>
      <c r="AE58" s="1393"/>
      <c r="AF58" s="1393"/>
      <c r="AG58" s="1393"/>
      <c r="AH58" s="1393"/>
      <c r="AI58" s="1393"/>
      <c r="AO58" s="1299"/>
    </row>
    <row r="59" spans="1:41" ht="13.5" thickTop="1" x14ac:dyDescent="0.3">
      <c r="A59" s="1393"/>
      <c r="B59" s="1306"/>
      <c r="C59" s="1377"/>
      <c r="D59" s="1307"/>
      <c r="E59" s="1307"/>
      <c r="F59" s="1307"/>
      <c r="G59" s="1307"/>
      <c r="H59" s="1307"/>
      <c r="I59" s="1307"/>
      <c r="J59" s="1307"/>
      <c r="K59" s="1307"/>
      <c r="L59" s="1378"/>
      <c r="M59" s="1308"/>
      <c r="N59" s="1393"/>
      <c r="O59" s="1393"/>
      <c r="P59" s="1393"/>
      <c r="Q59" s="1393"/>
      <c r="R59" s="1393"/>
      <c r="S59" s="1393"/>
      <c r="T59" s="1393"/>
      <c r="U59" s="1393"/>
      <c r="V59" s="1393"/>
      <c r="W59" s="1393"/>
      <c r="X59" s="1393"/>
      <c r="Y59" s="1393"/>
      <c r="Z59" s="1393"/>
      <c r="AA59" s="1393"/>
      <c r="AB59" s="1393"/>
      <c r="AC59" s="1393"/>
      <c r="AD59" s="1393"/>
      <c r="AE59" s="1393"/>
      <c r="AF59" s="1393"/>
      <c r="AG59" s="1393"/>
      <c r="AH59" s="1393"/>
      <c r="AI59" s="1393"/>
      <c r="AO59" s="1299"/>
    </row>
    <row r="60" spans="1:41" ht="13" x14ac:dyDescent="0.3">
      <c r="A60" s="1393"/>
      <c r="B60" s="1306"/>
      <c r="C60" s="1379"/>
      <c r="D60" s="1307"/>
      <c r="E60" s="1307"/>
      <c r="F60" s="1307"/>
      <c r="G60" s="1307"/>
      <c r="H60" s="1307"/>
      <c r="I60" s="1307"/>
      <c r="J60" s="1307"/>
      <c r="K60" s="1307"/>
      <c r="L60" s="1307"/>
      <c r="M60" s="1308"/>
      <c r="N60" s="1393"/>
      <c r="O60" s="1393"/>
      <c r="P60" s="1393"/>
      <c r="Q60" s="1393"/>
      <c r="R60" s="1393"/>
      <c r="S60" s="1393"/>
      <c r="T60" s="1393"/>
      <c r="U60" s="1393"/>
      <c r="V60" s="1393"/>
      <c r="W60" s="1393"/>
      <c r="X60" s="1393"/>
      <c r="Y60" s="1393"/>
      <c r="Z60" s="1393"/>
      <c r="AA60" s="1393"/>
      <c r="AB60" s="1393"/>
      <c r="AC60" s="1393"/>
      <c r="AD60" s="1393"/>
      <c r="AE60" s="1393"/>
      <c r="AF60" s="1393"/>
      <c r="AG60" s="1393"/>
      <c r="AH60" s="1393"/>
      <c r="AI60" s="1393"/>
      <c r="AO60" s="1299"/>
    </row>
    <row r="61" spans="1:41" ht="13" x14ac:dyDescent="0.3">
      <c r="A61" s="1393"/>
      <c r="B61" s="1306"/>
      <c r="C61" s="2362"/>
      <c r="D61" s="2362"/>
      <c r="E61" s="2362"/>
      <c r="F61" s="2362"/>
      <c r="G61" s="2362"/>
      <c r="H61" s="2362"/>
      <c r="I61" s="2362"/>
      <c r="J61" s="2362"/>
      <c r="K61" s="2362"/>
      <c r="L61" s="2362"/>
      <c r="M61" s="1308"/>
      <c r="N61" s="1393"/>
      <c r="O61" s="1393"/>
      <c r="P61" s="1393"/>
      <c r="Q61" s="1393"/>
      <c r="R61" s="1393"/>
      <c r="S61" s="1393"/>
      <c r="T61" s="1393"/>
      <c r="U61" s="1393"/>
      <c r="V61" s="1393"/>
      <c r="W61" s="1393"/>
      <c r="X61" s="1393"/>
      <c r="Y61" s="1393"/>
      <c r="Z61" s="1393"/>
      <c r="AA61" s="1393"/>
      <c r="AB61" s="1393"/>
      <c r="AC61" s="1393"/>
      <c r="AD61" s="1393"/>
      <c r="AE61" s="1393"/>
      <c r="AF61" s="1393"/>
      <c r="AG61" s="1393"/>
      <c r="AH61" s="1393"/>
      <c r="AI61" s="1393"/>
      <c r="AO61" s="1299"/>
    </row>
    <row r="62" spans="1:41" x14ac:dyDescent="0.25">
      <c r="A62" s="1393"/>
      <c r="B62" s="1306"/>
      <c r="C62" s="1316"/>
      <c r="D62" s="1307"/>
      <c r="E62" s="1307"/>
      <c r="F62" s="1307"/>
      <c r="G62" s="1307"/>
      <c r="H62" s="1307"/>
      <c r="I62" s="1307"/>
      <c r="J62" s="1307"/>
      <c r="K62" s="1307"/>
      <c r="L62" s="1307"/>
      <c r="M62" s="1308"/>
      <c r="N62" s="1393"/>
      <c r="O62" s="1393"/>
      <c r="P62" s="1393"/>
      <c r="Q62" s="1393"/>
      <c r="R62" s="1393"/>
      <c r="S62" s="1393"/>
      <c r="T62" s="1393"/>
      <c r="U62" s="1393"/>
      <c r="V62" s="1393"/>
      <c r="W62" s="1393"/>
      <c r="X62" s="1393"/>
      <c r="Y62" s="1393"/>
      <c r="Z62" s="1393"/>
      <c r="AA62" s="1393"/>
      <c r="AB62" s="1393"/>
      <c r="AC62" s="1393"/>
      <c r="AD62" s="1393"/>
      <c r="AE62" s="1393"/>
      <c r="AF62" s="1393"/>
      <c r="AG62" s="1393"/>
      <c r="AH62" s="1393"/>
      <c r="AI62" s="1393"/>
      <c r="AO62" s="1299"/>
    </row>
    <row r="63" spans="1:41" x14ac:dyDescent="0.25">
      <c r="A63" s="1393"/>
      <c r="B63" s="1359"/>
      <c r="C63" s="1342"/>
      <c r="D63" s="1314"/>
      <c r="E63" s="1314"/>
      <c r="F63" s="1314"/>
      <c r="G63" s="1314"/>
      <c r="H63" s="1314"/>
      <c r="I63" s="1314"/>
      <c r="J63" s="1314"/>
      <c r="K63" s="1314"/>
      <c r="L63" s="1314"/>
      <c r="M63" s="1362"/>
      <c r="N63" s="1393"/>
      <c r="O63" s="1393"/>
      <c r="P63" s="1393"/>
      <c r="Q63" s="1393"/>
      <c r="R63" s="1393"/>
      <c r="S63" s="1393"/>
      <c r="T63" s="1393"/>
      <c r="U63" s="1393"/>
      <c r="V63" s="1393"/>
      <c r="W63" s="1393"/>
      <c r="X63" s="1393"/>
      <c r="Y63" s="1393"/>
      <c r="Z63" s="1393"/>
      <c r="AA63" s="1393"/>
      <c r="AB63" s="1393"/>
      <c r="AC63" s="1393"/>
      <c r="AD63" s="1393"/>
      <c r="AE63" s="1393"/>
      <c r="AF63" s="1393"/>
      <c r="AG63" s="1393"/>
      <c r="AH63" s="1393"/>
      <c r="AI63" s="1393"/>
      <c r="AO63" s="1299"/>
    </row>
    <row r="64" spans="1:41" x14ac:dyDescent="0.25">
      <c r="A64" s="1393"/>
      <c r="B64" s="1401"/>
      <c r="C64" s="1401"/>
      <c r="D64" s="1401"/>
      <c r="E64" s="1401"/>
      <c r="F64" s="1401"/>
      <c r="G64" s="1401"/>
      <c r="H64" s="1401"/>
      <c r="I64" s="1401"/>
      <c r="J64" s="1401"/>
      <c r="K64" s="1401"/>
      <c r="L64" s="1401"/>
      <c r="M64" s="1401"/>
      <c r="N64" s="1393"/>
      <c r="O64" s="1393"/>
      <c r="P64" s="1393"/>
      <c r="Q64" s="1393"/>
      <c r="R64" s="1393"/>
      <c r="S64" s="1393"/>
      <c r="T64" s="1393"/>
      <c r="U64" s="1393"/>
      <c r="V64" s="1393"/>
      <c r="W64" s="1393"/>
      <c r="X64" s="1393"/>
      <c r="Y64" s="1393"/>
      <c r="Z64" s="1393"/>
      <c r="AA64" s="1393"/>
      <c r="AB64" s="1393"/>
      <c r="AC64" s="1393"/>
      <c r="AD64" s="1393"/>
      <c r="AE64" s="1393"/>
      <c r="AF64" s="1393"/>
      <c r="AG64" s="1393"/>
      <c r="AH64" s="1393"/>
      <c r="AI64" s="1393"/>
      <c r="AO64" s="1299"/>
    </row>
    <row r="65" spans="1:41" x14ac:dyDescent="0.25">
      <c r="A65" s="1393"/>
      <c r="B65" s="1301"/>
      <c r="C65" s="1302"/>
      <c r="D65" s="1302"/>
      <c r="E65" s="1302"/>
      <c r="F65" s="1302"/>
      <c r="G65" s="1302"/>
      <c r="H65" s="1302"/>
      <c r="I65" s="1302"/>
      <c r="J65" s="1302"/>
      <c r="K65" s="1302"/>
      <c r="L65" s="1302"/>
      <c r="M65" s="1305"/>
      <c r="N65" s="1393"/>
      <c r="O65" s="1393"/>
      <c r="P65" s="1393"/>
      <c r="Q65" s="1393"/>
      <c r="R65" s="1393"/>
      <c r="S65" s="1393"/>
      <c r="T65" s="1393"/>
      <c r="U65" s="1393"/>
      <c r="V65" s="1393"/>
      <c r="W65" s="1393"/>
      <c r="X65" s="1393"/>
      <c r="Y65" s="1393"/>
      <c r="Z65" s="1393"/>
      <c r="AA65" s="1393"/>
      <c r="AB65" s="1393"/>
      <c r="AC65" s="1393"/>
      <c r="AD65" s="1393"/>
      <c r="AE65" s="1393"/>
      <c r="AF65" s="1393"/>
      <c r="AG65" s="1393"/>
      <c r="AH65" s="1393"/>
      <c r="AI65" s="1393"/>
      <c r="AO65" s="1299"/>
    </row>
    <row r="66" spans="1:41" ht="15.5" x14ac:dyDescent="0.35">
      <c r="A66" s="1393"/>
      <c r="B66" s="1359"/>
      <c r="C66" s="1380"/>
      <c r="D66" s="1381"/>
      <c r="E66" s="1195"/>
      <c r="F66" s="1314"/>
      <c r="G66" s="1314"/>
      <c r="H66" s="1314"/>
      <c r="I66" s="1314"/>
      <c r="J66" s="1314"/>
      <c r="K66" s="1314"/>
      <c r="L66" s="1382"/>
      <c r="M66" s="1362"/>
      <c r="N66" s="1393"/>
      <c r="O66" s="1393"/>
      <c r="P66" s="1393"/>
      <c r="Q66" s="1393"/>
      <c r="R66" s="1393"/>
      <c r="S66" s="1393"/>
      <c r="T66" s="1393"/>
      <c r="U66" s="1393"/>
      <c r="V66" s="1393"/>
      <c r="W66" s="1393"/>
      <c r="X66" s="1393"/>
      <c r="Y66" s="1393"/>
      <c r="Z66" s="1393"/>
      <c r="AA66" s="1393"/>
      <c r="AB66" s="1393"/>
      <c r="AC66" s="1393"/>
      <c r="AD66" s="1393"/>
      <c r="AE66" s="1393"/>
      <c r="AF66" s="1393"/>
      <c r="AG66" s="1393"/>
      <c r="AH66" s="1393"/>
      <c r="AI66" s="1393"/>
      <c r="AO66" s="1299"/>
    </row>
    <row r="67" spans="1:41" x14ac:dyDescent="0.25">
      <c r="A67" s="1384"/>
      <c r="B67" s="1393"/>
      <c r="C67" s="1393"/>
      <c r="D67" s="1393"/>
      <c r="E67" s="1393"/>
      <c r="F67" s="1393"/>
      <c r="G67" s="1393"/>
      <c r="H67" s="1393"/>
      <c r="I67" s="1393"/>
      <c r="J67" s="1393"/>
      <c r="K67" s="1393"/>
      <c r="L67" s="1393"/>
      <c r="M67" s="1393"/>
      <c r="N67" s="1393"/>
      <c r="O67" s="1393"/>
      <c r="P67" s="1393"/>
      <c r="Q67" s="1393"/>
      <c r="R67" s="1393"/>
      <c r="S67" s="1393"/>
      <c r="T67" s="1393"/>
      <c r="U67" s="1393"/>
      <c r="V67" s="1393"/>
      <c r="W67" s="1393"/>
      <c r="X67" s="1393"/>
      <c r="Y67" s="1393"/>
      <c r="Z67" s="1393"/>
      <c r="AA67" s="1393"/>
      <c r="AB67" s="1393"/>
      <c r="AC67" s="1393"/>
      <c r="AD67" s="1393"/>
      <c r="AE67" s="1393"/>
      <c r="AF67" s="1393"/>
      <c r="AG67" s="1393"/>
      <c r="AH67" s="1393"/>
      <c r="AI67" s="1393"/>
      <c r="AO67" s="1299"/>
    </row>
    <row r="68" spans="1:41" x14ac:dyDescent="0.25">
      <c r="A68" s="1393"/>
      <c r="B68" s="1393"/>
      <c r="C68" s="1393"/>
      <c r="D68" s="1393"/>
      <c r="E68" s="1393"/>
      <c r="F68" s="1393"/>
      <c r="G68" s="1393"/>
      <c r="H68" s="1393"/>
      <c r="I68" s="1393"/>
      <c r="J68" s="1393"/>
      <c r="K68" s="1393"/>
      <c r="L68" s="1393"/>
      <c r="M68" s="1393"/>
      <c r="N68" s="1393"/>
      <c r="O68" s="1393"/>
      <c r="P68" s="1393"/>
      <c r="Q68" s="1393"/>
      <c r="R68" s="1393"/>
      <c r="S68" s="1393"/>
      <c r="T68" s="1393"/>
      <c r="U68" s="1393"/>
      <c r="V68" s="1393"/>
      <c r="W68" s="1393"/>
      <c r="X68" s="1393"/>
      <c r="Y68" s="1393"/>
      <c r="Z68" s="1393"/>
      <c r="AA68" s="1393"/>
      <c r="AB68" s="1393"/>
      <c r="AC68" s="1393"/>
      <c r="AD68" s="1393"/>
      <c r="AE68" s="1393"/>
      <c r="AF68" s="1393"/>
      <c r="AG68" s="1393"/>
      <c r="AH68" s="1393"/>
      <c r="AI68" s="1393"/>
      <c r="AO68" s="1299"/>
    </row>
    <row r="69" spans="1:41" x14ac:dyDescent="0.25">
      <c r="A69" s="1393"/>
      <c r="B69" s="1393"/>
      <c r="C69" s="1393"/>
      <c r="D69" s="1393"/>
      <c r="E69" s="1393"/>
      <c r="F69" s="1393"/>
      <c r="G69" s="1393"/>
      <c r="H69" s="1393"/>
      <c r="I69" s="1393"/>
      <c r="J69" s="1393"/>
      <c r="K69" s="1393"/>
      <c r="L69" s="1393"/>
      <c r="M69" s="1393"/>
      <c r="N69" s="1393"/>
      <c r="O69" s="1393"/>
      <c r="P69" s="1393"/>
      <c r="Q69" s="1393"/>
      <c r="R69" s="1393"/>
      <c r="S69" s="1393"/>
      <c r="T69" s="1393"/>
      <c r="U69" s="1393"/>
      <c r="V69" s="1393"/>
      <c r="W69" s="1393"/>
      <c r="X69" s="1393"/>
      <c r="Y69" s="1393"/>
      <c r="Z69" s="1393"/>
      <c r="AA69" s="1393"/>
      <c r="AB69" s="1393"/>
      <c r="AC69" s="1393"/>
      <c r="AD69" s="1393"/>
      <c r="AE69" s="1393"/>
      <c r="AF69" s="1393"/>
      <c r="AG69" s="1393"/>
      <c r="AH69" s="1393"/>
      <c r="AI69" s="1393"/>
      <c r="AO69" s="1299"/>
    </row>
    <row r="70" spans="1:41" x14ac:dyDescent="0.25">
      <c r="A70" s="1393"/>
      <c r="B70" s="1393"/>
      <c r="C70" s="1393"/>
      <c r="D70" s="1393"/>
      <c r="E70" s="1393"/>
      <c r="F70" s="1393"/>
      <c r="G70" s="1393"/>
      <c r="H70" s="1393"/>
      <c r="I70" s="1393"/>
      <c r="J70" s="1393"/>
      <c r="K70" s="1393"/>
      <c r="L70" s="1393"/>
      <c r="M70" s="1393"/>
      <c r="N70" s="1393"/>
      <c r="O70" s="1393"/>
      <c r="P70" s="1393"/>
      <c r="Q70" s="1393"/>
      <c r="R70" s="1393"/>
      <c r="S70" s="1393"/>
      <c r="T70" s="1393"/>
      <c r="U70" s="1393"/>
      <c r="V70" s="1393"/>
      <c r="W70" s="1393"/>
      <c r="X70" s="1393"/>
      <c r="Y70" s="1393"/>
      <c r="Z70" s="1393"/>
      <c r="AA70" s="1393"/>
      <c r="AB70" s="1393"/>
      <c r="AC70" s="1393"/>
      <c r="AD70" s="1393"/>
      <c r="AE70" s="1393"/>
      <c r="AF70" s="1393"/>
      <c r="AG70" s="1393"/>
      <c r="AH70" s="1393"/>
      <c r="AI70" s="1393"/>
      <c r="AO70" s="1299"/>
    </row>
    <row r="71" spans="1:41" x14ac:dyDescent="0.25">
      <c r="A71" s="1393"/>
      <c r="B71" s="1393"/>
      <c r="C71" s="1393"/>
      <c r="D71" s="1393"/>
      <c r="E71" s="1393"/>
      <c r="F71" s="1393"/>
      <c r="G71" s="1393"/>
      <c r="H71" s="1393"/>
      <c r="I71" s="1393"/>
      <c r="J71" s="1393"/>
      <c r="K71" s="1393"/>
      <c r="L71" s="1393"/>
      <c r="M71" s="1393"/>
      <c r="N71" s="1393"/>
      <c r="O71" s="1393"/>
      <c r="P71" s="1393"/>
      <c r="Q71" s="1393"/>
      <c r="R71" s="1393"/>
      <c r="S71" s="1393"/>
      <c r="T71" s="1393"/>
      <c r="U71" s="1393"/>
      <c r="V71" s="1393"/>
      <c r="W71" s="1393"/>
      <c r="X71" s="1393"/>
      <c r="Y71" s="1393"/>
      <c r="Z71" s="1393"/>
      <c r="AA71" s="1393"/>
      <c r="AB71" s="1393"/>
      <c r="AC71" s="1393"/>
      <c r="AD71" s="1393"/>
      <c r="AE71" s="1393"/>
      <c r="AF71" s="1393"/>
      <c r="AG71" s="1393"/>
      <c r="AH71" s="1393"/>
      <c r="AI71" s="1393"/>
      <c r="AO71" s="1299"/>
    </row>
    <row r="72" spans="1:41" x14ac:dyDescent="0.25">
      <c r="A72" s="1393"/>
      <c r="B72" s="1393"/>
      <c r="C72" s="1393"/>
      <c r="D72" s="1393"/>
      <c r="E72" s="1393"/>
      <c r="F72" s="1393"/>
      <c r="G72" s="1393"/>
      <c r="H72" s="1393"/>
      <c r="I72" s="1393"/>
      <c r="J72" s="1393"/>
      <c r="K72" s="1393"/>
      <c r="L72" s="1393"/>
      <c r="M72" s="1393"/>
      <c r="N72" s="1393"/>
      <c r="O72" s="1393"/>
      <c r="P72" s="1393"/>
      <c r="Q72" s="1393"/>
      <c r="R72" s="1393"/>
      <c r="S72" s="1393"/>
      <c r="T72" s="1393"/>
      <c r="U72" s="1393"/>
      <c r="V72" s="1393"/>
      <c r="W72" s="1393"/>
      <c r="X72" s="1393"/>
      <c r="Y72" s="1393"/>
      <c r="Z72" s="1393"/>
      <c r="AA72" s="1393"/>
      <c r="AB72" s="1393"/>
      <c r="AC72" s="1393"/>
      <c r="AD72" s="1393"/>
      <c r="AE72" s="1393"/>
      <c r="AF72" s="1393"/>
      <c r="AG72" s="1393"/>
      <c r="AH72" s="1393"/>
      <c r="AI72" s="1393"/>
      <c r="AO72" s="1299"/>
    </row>
    <row r="73" spans="1:41" x14ac:dyDescent="0.25">
      <c r="A73" s="1393"/>
      <c r="B73" s="1393"/>
      <c r="C73" s="1393"/>
      <c r="D73" s="1393"/>
      <c r="E73" s="1393"/>
      <c r="F73" s="1393"/>
      <c r="G73" s="1393"/>
      <c r="H73" s="1393"/>
      <c r="I73" s="1393"/>
      <c r="J73" s="1393"/>
      <c r="K73" s="1393"/>
      <c r="L73" s="1393"/>
      <c r="M73" s="1393"/>
      <c r="N73" s="1393"/>
      <c r="O73" s="1393"/>
      <c r="P73" s="1393"/>
      <c r="Q73" s="1393"/>
      <c r="R73" s="1393"/>
      <c r="S73" s="1393"/>
      <c r="T73" s="1393"/>
      <c r="U73" s="1393"/>
      <c r="V73" s="1393"/>
      <c r="W73" s="1393"/>
      <c r="X73" s="1393"/>
      <c r="Y73" s="1393"/>
      <c r="Z73" s="1393"/>
      <c r="AA73" s="1393"/>
      <c r="AB73" s="1393"/>
      <c r="AC73" s="1393"/>
      <c r="AD73" s="1393"/>
      <c r="AE73" s="1393"/>
      <c r="AF73" s="1393"/>
      <c r="AG73" s="1393"/>
      <c r="AH73" s="1393"/>
      <c r="AI73" s="1393"/>
      <c r="AO73" s="1299"/>
    </row>
    <row r="74" spans="1:41" x14ac:dyDescent="0.25">
      <c r="A74" s="1393"/>
      <c r="B74" s="1393"/>
      <c r="C74" s="1393"/>
      <c r="D74" s="1393"/>
      <c r="E74" s="1393"/>
      <c r="F74" s="1393"/>
      <c r="G74" s="1393"/>
      <c r="H74" s="1393"/>
      <c r="I74" s="1393"/>
      <c r="J74" s="1393"/>
      <c r="K74" s="1393"/>
      <c r="L74" s="1393"/>
      <c r="M74" s="1393"/>
      <c r="N74" s="1393"/>
      <c r="O74" s="1393"/>
      <c r="P74" s="1393"/>
      <c r="Q74" s="1393"/>
      <c r="R74" s="1393"/>
      <c r="S74" s="1393"/>
      <c r="T74" s="1393"/>
      <c r="U74" s="1393"/>
      <c r="V74" s="1393"/>
      <c r="W74" s="1393"/>
      <c r="X74" s="1393"/>
      <c r="Y74" s="1393"/>
      <c r="Z74" s="1393"/>
      <c r="AA74" s="1393"/>
      <c r="AB74" s="1393"/>
      <c r="AC74" s="1393"/>
      <c r="AD74" s="1393"/>
      <c r="AE74" s="1393"/>
      <c r="AF74" s="1393"/>
      <c r="AG74" s="1393"/>
      <c r="AH74" s="1393"/>
      <c r="AI74" s="1393"/>
      <c r="AO74" s="1299"/>
    </row>
    <row r="75" spans="1:41" x14ac:dyDescent="0.25">
      <c r="A75" s="1393"/>
      <c r="B75" s="1393"/>
      <c r="C75" s="1393"/>
      <c r="D75" s="1393"/>
      <c r="E75" s="1393"/>
      <c r="F75" s="1393"/>
      <c r="G75" s="1393"/>
      <c r="H75" s="1393"/>
      <c r="I75" s="1393"/>
      <c r="J75" s="1393"/>
      <c r="K75" s="1393"/>
      <c r="L75" s="1393"/>
      <c r="M75" s="1393"/>
      <c r="N75" s="1393"/>
      <c r="O75" s="1393"/>
      <c r="P75" s="1393"/>
      <c r="Q75" s="1393"/>
      <c r="R75" s="1393"/>
      <c r="S75" s="1393"/>
      <c r="T75" s="1393"/>
      <c r="U75" s="1393"/>
      <c r="V75" s="1393"/>
      <c r="W75" s="1393"/>
      <c r="X75" s="1393"/>
      <c r="Y75" s="1393"/>
      <c r="Z75" s="1393"/>
      <c r="AA75" s="1393"/>
      <c r="AB75" s="1393"/>
      <c r="AC75" s="1393"/>
      <c r="AD75" s="1393"/>
      <c r="AE75" s="1393"/>
      <c r="AF75" s="1393"/>
      <c r="AG75" s="1393"/>
      <c r="AH75" s="1393"/>
      <c r="AI75" s="1393"/>
      <c r="AO75" s="1299"/>
    </row>
    <row r="76" spans="1:41" x14ac:dyDescent="0.25">
      <c r="A76" s="1393"/>
      <c r="B76" s="1393"/>
      <c r="C76" s="1393"/>
      <c r="D76" s="1393"/>
      <c r="E76" s="1393"/>
      <c r="F76" s="1393"/>
      <c r="G76" s="1393"/>
      <c r="H76" s="1393"/>
      <c r="I76" s="1393"/>
      <c r="J76" s="1393"/>
      <c r="K76" s="1393"/>
      <c r="L76" s="1393"/>
      <c r="M76" s="1393"/>
      <c r="N76" s="1393"/>
      <c r="O76" s="1393"/>
      <c r="P76" s="1393"/>
      <c r="Q76" s="1393"/>
      <c r="R76" s="1393"/>
      <c r="S76" s="1393"/>
      <c r="T76" s="1393"/>
      <c r="U76" s="1393"/>
      <c r="V76" s="1393"/>
      <c r="W76" s="1393"/>
      <c r="X76" s="1393"/>
      <c r="Y76" s="1393"/>
      <c r="Z76" s="1393"/>
      <c r="AA76" s="1393"/>
      <c r="AB76" s="1393"/>
      <c r="AC76" s="1393"/>
      <c r="AD76" s="1393"/>
      <c r="AE76" s="1393"/>
      <c r="AF76" s="1393"/>
      <c r="AG76" s="1393"/>
      <c r="AH76" s="1393"/>
      <c r="AI76" s="1393"/>
      <c r="AO76" s="1299"/>
    </row>
    <row r="77" spans="1:41" x14ac:dyDescent="0.25">
      <c r="A77" s="1393"/>
      <c r="B77" s="1393"/>
      <c r="C77" s="1393"/>
      <c r="D77" s="1393"/>
      <c r="E77" s="1393"/>
      <c r="F77" s="1393"/>
      <c r="G77" s="1393"/>
      <c r="H77" s="1393"/>
      <c r="I77" s="1393"/>
      <c r="J77" s="1393"/>
      <c r="K77" s="1393"/>
      <c r="L77" s="1393"/>
      <c r="M77" s="1393"/>
      <c r="N77" s="1393"/>
      <c r="O77" s="1393"/>
      <c r="P77" s="1393"/>
      <c r="Q77" s="1393"/>
      <c r="R77" s="1393"/>
      <c r="S77" s="1393"/>
      <c r="T77" s="1393"/>
      <c r="U77" s="1393"/>
      <c r="V77" s="1393"/>
      <c r="W77" s="1393"/>
      <c r="X77" s="1393"/>
      <c r="Y77" s="1393"/>
      <c r="Z77" s="1393"/>
      <c r="AA77" s="1393"/>
      <c r="AB77" s="1393"/>
      <c r="AC77" s="1393"/>
      <c r="AD77" s="1393"/>
      <c r="AE77" s="1393"/>
      <c r="AF77" s="1393"/>
      <c r="AG77" s="1393"/>
      <c r="AH77" s="1393"/>
      <c r="AI77" s="1393"/>
      <c r="AO77" s="1299"/>
    </row>
    <row r="78" spans="1:41" x14ac:dyDescent="0.25">
      <c r="A78" s="1393"/>
      <c r="B78" s="1393"/>
      <c r="C78" s="1393"/>
      <c r="D78" s="1393"/>
      <c r="E78" s="1393"/>
      <c r="F78" s="1393"/>
      <c r="G78" s="1393"/>
      <c r="H78" s="1393"/>
      <c r="I78" s="1393"/>
      <c r="J78" s="1393"/>
      <c r="K78" s="1393"/>
      <c r="L78" s="1393"/>
      <c r="M78" s="1393"/>
      <c r="N78" s="1393"/>
      <c r="O78" s="1393"/>
      <c r="P78" s="1393"/>
      <c r="Q78" s="1393"/>
      <c r="R78" s="1393"/>
      <c r="S78" s="1393"/>
      <c r="T78" s="1393"/>
      <c r="U78" s="1393"/>
      <c r="V78" s="1393"/>
      <c r="W78" s="1393"/>
      <c r="X78" s="1393"/>
      <c r="Y78" s="1393"/>
      <c r="Z78" s="1393"/>
      <c r="AA78" s="1393"/>
      <c r="AB78" s="1393"/>
      <c r="AC78" s="1393"/>
      <c r="AD78" s="1393"/>
      <c r="AE78" s="1393"/>
      <c r="AF78" s="1393"/>
      <c r="AG78" s="1393"/>
      <c r="AH78" s="1393"/>
      <c r="AI78" s="1393"/>
      <c r="AO78" s="1299"/>
    </row>
    <row r="79" spans="1:41" x14ac:dyDescent="0.25">
      <c r="A79" s="1393"/>
      <c r="B79" s="1393"/>
      <c r="C79" s="1393"/>
      <c r="D79" s="1393"/>
      <c r="E79" s="1393"/>
      <c r="F79" s="1393"/>
      <c r="G79" s="1393"/>
      <c r="H79" s="1393"/>
      <c r="I79" s="1393"/>
      <c r="J79" s="1393"/>
      <c r="K79" s="1393"/>
      <c r="L79" s="1393"/>
      <c r="M79" s="1393"/>
      <c r="N79" s="1393"/>
      <c r="O79" s="1393"/>
      <c r="P79" s="1393"/>
      <c r="Q79" s="1393"/>
      <c r="R79" s="1393"/>
      <c r="S79" s="1393"/>
      <c r="T79" s="1393"/>
      <c r="U79" s="1393"/>
      <c r="V79" s="1393"/>
      <c r="W79" s="1393"/>
      <c r="X79" s="1393"/>
      <c r="Y79" s="1393"/>
      <c r="Z79" s="1393"/>
      <c r="AA79" s="1393"/>
      <c r="AB79" s="1393"/>
      <c r="AC79" s="1393"/>
      <c r="AD79" s="1393"/>
      <c r="AE79" s="1393"/>
      <c r="AF79" s="1393"/>
      <c r="AG79" s="1393"/>
      <c r="AH79" s="1393"/>
      <c r="AI79" s="1393"/>
      <c r="AO79" s="1299"/>
    </row>
    <row r="80" spans="1:41" x14ac:dyDescent="0.25">
      <c r="A80" s="1393"/>
      <c r="B80" s="1393"/>
      <c r="C80" s="1393"/>
      <c r="D80" s="1393"/>
      <c r="E80" s="1393"/>
      <c r="F80" s="1393"/>
      <c r="G80" s="1393"/>
      <c r="H80" s="1393"/>
      <c r="I80" s="1393"/>
      <c r="J80" s="1393"/>
      <c r="K80" s="1393"/>
      <c r="L80" s="1393"/>
      <c r="M80" s="1393"/>
      <c r="N80" s="1393"/>
      <c r="O80" s="1393"/>
      <c r="P80" s="1393"/>
      <c r="Q80" s="1393"/>
      <c r="R80" s="1393"/>
      <c r="S80" s="1393"/>
      <c r="T80" s="1393"/>
      <c r="U80" s="1393"/>
      <c r="V80" s="1393"/>
      <c r="W80" s="1393"/>
      <c r="X80" s="1393"/>
      <c r="Y80" s="1393"/>
      <c r="Z80" s="1393"/>
      <c r="AA80" s="1393"/>
      <c r="AB80" s="1393"/>
      <c r="AC80" s="1393"/>
      <c r="AD80" s="1393"/>
      <c r="AE80" s="1393"/>
      <c r="AF80" s="1393"/>
      <c r="AG80" s="1393"/>
      <c r="AH80" s="1393"/>
      <c r="AI80" s="1393"/>
      <c r="AO80" s="1299"/>
    </row>
    <row r="81" spans="1:41" x14ac:dyDescent="0.25">
      <c r="A81" s="1393"/>
      <c r="B81" s="1393"/>
      <c r="C81" s="1393"/>
      <c r="D81" s="1393"/>
      <c r="E81" s="1393"/>
      <c r="F81" s="1393"/>
      <c r="G81" s="1393"/>
      <c r="H81" s="1393"/>
      <c r="I81" s="1393"/>
      <c r="J81" s="1393"/>
      <c r="K81" s="1393"/>
      <c r="L81" s="1393"/>
      <c r="M81" s="1393"/>
      <c r="N81" s="1393"/>
      <c r="O81" s="1393"/>
      <c r="P81" s="1393"/>
      <c r="Q81" s="1393"/>
      <c r="R81" s="1393"/>
      <c r="S81" s="1393"/>
      <c r="T81" s="1393"/>
      <c r="U81" s="1393"/>
      <c r="V81" s="1393"/>
      <c r="W81" s="1393"/>
      <c r="X81" s="1393"/>
      <c r="Y81" s="1393"/>
      <c r="Z81" s="1393"/>
      <c r="AA81" s="1393"/>
      <c r="AB81" s="1393"/>
      <c r="AC81" s="1393"/>
      <c r="AD81" s="1393"/>
      <c r="AE81" s="1393"/>
      <c r="AF81" s="1393"/>
      <c r="AG81" s="1393"/>
      <c r="AH81" s="1393"/>
      <c r="AI81" s="1393"/>
      <c r="AO81" s="1299"/>
    </row>
    <row r="82" spans="1:41" x14ac:dyDescent="0.25">
      <c r="A82" s="1393"/>
      <c r="B82" s="1393"/>
      <c r="C82" s="1393"/>
      <c r="D82" s="1393"/>
      <c r="E82" s="1393"/>
      <c r="F82" s="1393"/>
      <c r="G82" s="1393"/>
      <c r="H82" s="1393"/>
      <c r="I82" s="1393"/>
      <c r="J82" s="1393"/>
      <c r="K82" s="1393"/>
      <c r="L82" s="1393"/>
      <c r="M82" s="1393"/>
      <c r="N82" s="1393"/>
      <c r="O82" s="1393"/>
      <c r="P82" s="1393"/>
      <c r="Q82" s="1393"/>
      <c r="R82" s="1393"/>
      <c r="S82" s="1393"/>
      <c r="T82" s="1393"/>
      <c r="U82" s="1393"/>
      <c r="V82" s="1393"/>
      <c r="W82" s="1393"/>
      <c r="X82" s="1393"/>
      <c r="Y82" s="1393"/>
      <c r="Z82" s="1393"/>
      <c r="AA82" s="1393"/>
      <c r="AB82" s="1393"/>
      <c r="AC82" s="1393"/>
      <c r="AD82" s="1393"/>
      <c r="AE82" s="1393"/>
      <c r="AF82" s="1393"/>
      <c r="AG82" s="1393"/>
      <c r="AH82" s="1393"/>
      <c r="AI82" s="1393"/>
      <c r="AO82" s="1299"/>
    </row>
    <row r="83" spans="1:41" x14ac:dyDescent="0.25">
      <c r="A83" s="1393"/>
      <c r="B83" s="1393"/>
      <c r="C83" s="1393"/>
      <c r="D83" s="1393"/>
      <c r="E83" s="1393"/>
      <c r="F83" s="1393"/>
      <c r="G83" s="1393"/>
      <c r="H83" s="1393"/>
      <c r="I83" s="1393"/>
      <c r="J83" s="1393"/>
      <c r="K83" s="1393"/>
      <c r="L83" s="1393"/>
      <c r="M83" s="1393"/>
      <c r="N83" s="1393"/>
      <c r="O83" s="1393"/>
      <c r="P83" s="1393"/>
      <c r="Q83" s="1393"/>
      <c r="R83" s="1393"/>
      <c r="S83" s="1393"/>
      <c r="T83" s="1393"/>
      <c r="U83" s="1393"/>
      <c r="V83" s="1393"/>
      <c r="W83" s="1393"/>
      <c r="X83" s="1393"/>
      <c r="Y83" s="1393"/>
      <c r="Z83" s="1393"/>
      <c r="AA83" s="1393"/>
      <c r="AB83" s="1393"/>
      <c r="AC83" s="1393"/>
      <c r="AD83" s="1393"/>
      <c r="AE83" s="1393"/>
      <c r="AF83" s="1393"/>
      <c r="AG83" s="1393"/>
      <c r="AH83" s="1393"/>
      <c r="AI83" s="1393"/>
      <c r="AO83" s="1299"/>
    </row>
    <row r="84" spans="1:41" x14ac:dyDescent="0.25">
      <c r="A84" s="1393"/>
      <c r="B84" s="1393"/>
      <c r="C84" s="1393"/>
      <c r="D84" s="1393"/>
      <c r="E84" s="1393"/>
      <c r="F84" s="1393"/>
      <c r="G84" s="1393"/>
      <c r="H84" s="1393"/>
      <c r="I84" s="1393"/>
      <c r="J84" s="1393"/>
      <c r="K84" s="1393"/>
      <c r="L84" s="1393"/>
      <c r="M84" s="1393"/>
      <c r="N84" s="1393"/>
      <c r="O84" s="1393"/>
      <c r="P84" s="1393"/>
      <c r="Q84" s="1393"/>
      <c r="R84" s="1393"/>
      <c r="S84" s="1393"/>
      <c r="T84" s="1393"/>
      <c r="U84" s="1393"/>
      <c r="V84" s="1393"/>
      <c r="W84" s="1393"/>
      <c r="X84" s="1393"/>
      <c r="Y84" s="1393"/>
      <c r="Z84" s="1393"/>
      <c r="AA84" s="1393"/>
      <c r="AB84" s="1393"/>
      <c r="AC84" s="1393"/>
      <c r="AD84" s="1393"/>
      <c r="AE84" s="1393"/>
      <c r="AF84" s="1393"/>
      <c r="AG84" s="1393"/>
      <c r="AH84" s="1393"/>
      <c r="AI84" s="1393"/>
      <c r="AO84" s="1299"/>
    </row>
    <row r="85" spans="1:41" x14ac:dyDescent="0.25">
      <c r="A85" s="1393"/>
      <c r="B85" s="1393"/>
      <c r="C85" s="1393"/>
      <c r="D85" s="1393"/>
      <c r="E85" s="1393"/>
      <c r="F85" s="1393"/>
      <c r="G85" s="1393"/>
      <c r="H85" s="1393"/>
      <c r="I85" s="1393"/>
      <c r="J85" s="1393"/>
      <c r="K85" s="1393"/>
      <c r="L85" s="1393"/>
      <c r="M85" s="1393"/>
      <c r="N85" s="1393"/>
      <c r="O85" s="1393"/>
      <c r="P85" s="1393"/>
      <c r="Q85" s="1393"/>
      <c r="R85" s="1393"/>
      <c r="S85" s="1393"/>
      <c r="T85" s="1393"/>
      <c r="U85" s="1393"/>
      <c r="V85" s="1393"/>
      <c r="W85" s="1393"/>
      <c r="X85" s="1393"/>
      <c r="Y85" s="1393"/>
      <c r="Z85" s="1393"/>
      <c r="AA85" s="1393"/>
      <c r="AB85" s="1393"/>
      <c r="AC85" s="1393"/>
      <c r="AD85" s="1393"/>
      <c r="AE85" s="1393"/>
      <c r="AF85" s="1393"/>
      <c r="AG85" s="1393"/>
      <c r="AH85" s="1393"/>
      <c r="AI85" s="1393"/>
      <c r="AO85" s="1299"/>
    </row>
    <row r="86" spans="1:41" x14ac:dyDescent="0.25">
      <c r="A86" s="1393"/>
      <c r="B86" s="1393"/>
      <c r="C86" s="1393"/>
      <c r="D86" s="1393"/>
      <c r="E86" s="1393"/>
      <c r="F86" s="1393"/>
      <c r="G86" s="1393"/>
      <c r="H86" s="1393"/>
      <c r="I86" s="1393"/>
      <c r="J86" s="1393"/>
      <c r="K86" s="1393"/>
      <c r="L86" s="1393"/>
      <c r="M86" s="1393"/>
      <c r="N86" s="1393"/>
      <c r="O86" s="1393"/>
      <c r="P86" s="1393"/>
      <c r="Q86" s="1393"/>
      <c r="R86" s="1393"/>
      <c r="S86" s="1393"/>
      <c r="T86" s="1393"/>
      <c r="U86" s="1393"/>
      <c r="V86" s="1393"/>
      <c r="W86" s="1393"/>
      <c r="X86" s="1393"/>
      <c r="Y86" s="1393"/>
      <c r="Z86" s="1393"/>
      <c r="AA86" s="1393"/>
      <c r="AB86" s="1393"/>
      <c r="AC86" s="1393"/>
      <c r="AD86" s="1393"/>
      <c r="AE86" s="1393"/>
      <c r="AF86" s="1393"/>
      <c r="AG86" s="1393"/>
      <c r="AH86" s="1393"/>
      <c r="AI86" s="1393"/>
      <c r="AO86" s="1299"/>
    </row>
    <row r="87" spans="1:41" x14ac:dyDescent="0.25">
      <c r="A87" s="1393"/>
      <c r="B87" s="1393"/>
      <c r="C87" s="1393"/>
      <c r="D87" s="1393"/>
      <c r="E87" s="1393"/>
      <c r="F87" s="1393"/>
      <c r="G87" s="1393"/>
      <c r="H87" s="1393"/>
      <c r="I87" s="1393"/>
      <c r="J87" s="1393"/>
      <c r="K87" s="1393"/>
      <c r="L87" s="1393"/>
      <c r="M87" s="1393"/>
      <c r="N87" s="1393"/>
      <c r="O87" s="1393"/>
      <c r="P87" s="1393"/>
      <c r="Q87" s="1393"/>
      <c r="R87" s="1393"/>
      <c r="S87" s="1393"/>
      <c r="T87" s="1393"/>
      <c r="U87" s="1393"/>
      <c r="V87" s="1393"/>
      <c r="W87" s="1393"/>
      <c r="X87" s="1393"/>
      <c r="Y87" s="1393"/>
      <c r="Z87" s="1393"/>
      <c r="AA87" s="1393"/>
      <c r="AB87" s="1393"/>
      <c r="AC87" s="1393"/>
      <c r="AD87" s="1393"/>
      <c r="AE87" s="1393"/>
      <c r="AF87" s="1393"/>
      <c r="AG87" s="1393"/>
      <c r="AH87" s="1393"/>
      <c r="AI87" s="1393"/>
      <c r="AO87" s="1299"/>
    </row>
    <row r="88" spans="1:41" x14ac:dyDescent="0.25">
      <c r="A88" s="1393"/>
      <c r="B88" s="1393"/>
      <c r="C88" s="1393"/>
      <c r="D88" s="1393"/>
      <c r="E88" s="1393"/>
      <c r="F88" s="1393"/>
      <c r="G88" s="1393"/>
      <c r="H88" s="1393"/>
      <c r="I88" s="1393"/>
      <c r="J88" s="1393"/>
      <c r="K88" s="1393"/>
      <c r="L88" s="1393"/>
      <c r="M88" s="1393"/>
      <c r="N88" s="1393"/>
      <c r="O88" s="1393"/>
      <c r="P88" s="1393"/>
      <c r="Q88" s="1393"/>
      <c r="R88" s="1393"/>
      <c r="S88" s="1393"/>
      <c r="T88" s="1393"/>
      <c r="U88" s="1393"/>
      <c r="V88" s="1393"/>
      <c r="W88" s="1393"/>
      <c r="X88" s="1393"/>
      <c r="Y88" s="1393"/>
      <c r="Z88" s="1393"/>
      <c r="AA88" s="1393"/>
      <c r="AB88" s="1393"/>
      <c r="AC88" s="1393"/>
      <c r="AD88" s="1393"/>
      <c r="AE88" s="1393"/>
      <c r="AF88" s="1393"/>
      <c r="AG88" s="1393"/>
      <c r="AH88" s="1393"/>
      <c r="AI88" s="1393"/>
      <c r="AO88" s="1299"/>
    </row>
    <row r="89" spans="1:41" x14ac:dyDescent="0.25">
      <c r="A89" s="1393"/>
      <c r="B89" s="1393"/>
      <c r="C89" s="1393"/>
      <c r="D89" s="1393"/>
      <c r="E89" s="1393"/>
      <c r="F89" s="1393"/>
      <c r="G89" s="1393"/>
      <c r="H89" s="1393"/>
      <c r="I89" s="1393"/>
      <c r="J89" s="1393"/>
      <c r="K89" s="1393"/>
      <c r="L89" s="1393"/>
      <c r="M89" s="1393"/>
      <c r="N89" s="1393"/>
      <c r="O89" s="1393"/>
      <c r="P89" s="1393"/>
      <c r="Q89" s="1393"/>
      <c r="R89" s="1393"/>
      <c r="S89" s="1393"/>
      <c r="T89" s="1393"/>
      <c r="U89" s="1393"/>
      <c r="V89" s="1393"/>
      <c r="W89" s="1393"/>
      <c r="X89" s="1393"/>
      <c r="Y89" s="1393"/>
      <c r="Z89" s="1393"/>
      <c r="AA89" s="1393"/>
      <c r="AB89" s="1393"/>
      <c r="AC89" s="1393"/>
      <c r="AD89" s="1393"/>
      <c r="AE89" s="1393"/>
      <c r="AF89" s="1393"/>
      <c r="AG89" s="1393"/>
      <c r="AH89" s="1393"/>
      <c r="AI89" s="1393"/>
      <c r="AO89" s="1299"/>
    </row>
    <row r="90" spans="1:41" x14ac:dyDescent="0.25">
      <c r="A90" s="1393"/>
      <c r="B90" s="1393"/>
      <c r="C90" s="1393"/>
      <c r="D90" s="1393"/>
      <c r="E90" s="1393"/>
      <c r="F90" s="1393"/>
      <c r="G90" s="1393"/>
      <c r="H90" s="1393"/>
      <c r="I90" s="1393"/>
      <c r="J90" s="1393"/>
      <c r="K90" s="1393"/>
      <c r="L90" s="1393"/>
      <c r="M90" s="1393"/>
      <c r="N90" s="1393"/>
      <c r="O90" s="1393"/>
      <c r="P90" s="1393"/>
      <c r="Q90" s="1393"/>
      <c r="R90" s="1393"/>
      <c r="S90" s="1393"/>
      <c r="T90" s="1393"/>
      <c r="U90" s="1393"/>
      <c r="V90" s="1393"/>
      <c r="W90" s="1393"/>
      <c r="X90" s="1393"/>
      <c r="Y90" s="1393"/>
      <c r="Z90" s="1393"/>
      <c r="AA90" s="1393"/>
      <c r="AB90" s="1393"/>
      <c r="AC90" s="1393"/>
      <c r="AD90" s="1393"/>
      <c r="AE90" s="1393"/>
      <c r="AF90" s="1393"/>
      <c r="AG90" s="1393"/>
      <c r="AH90" s="1393"/>
      <c r="AI90" s="1393"/>
      <c r="AO90" s="1299"/>
    </row>
    <row r="91" spans="1:41" x14ac:dyDescent="0.25">
      <c r="A91" s="1393"/>
      <c r="B91" s="1393"/>
      <c r="C91" s="1393"/>
      <c r="D91" s="1393"/>
      <c r="E91" s="1393"/>
      <c r="F91" s="1393"/>
      <c r="G91" s="1393"/>
      <c r="H91" s="1393"/>
      <c r="I91" s="1393"/>
      <c r="J91" s="1393"/>
      <c r="K91" s="1393"/>
      <c r="L91" s="1393"/>
      <c r="M91" s="1393"/>
      <c r="N91" s="1393"/>
      <c r="O91" s="1393"/>
      <c r="P91" s="1393"/>
      <c r="Q91" s="1393"/>
      <c r="R91" s="1393"/>
      <c r="S91" s="1393"/>
      <c r="T91" s="1393"/>
      <c r="U91" s="1393"/>
      <c r="V91" s="1393"/>
      <c r="W91" s="1393"/>
      <c r="X91" s="1393"/>
      <c r="Y91" s="1393"/>
      <c r="Z91" s="1393"/>
      <c r="AA91" s="1393"/>
      <c r="AB91" s="1393"/>
      <c r="AC91" s="1393"/>
      <c r="AD91" s="1393"/>
      <c r="AE91" s="1393"/>
      <c r="AF91" s="1393"/>
      <c r="AG91" s="1393"/>
      <c r="AH91" s="1393"/>
      <c r="AI91" s="1393"/>
      <c r="AO91" s="1299"/>
    </row>
    <row r="92" spans="1:41" x14ac:dyDescent="0.25">
      <c r="A92" s="1393"/>
      <c r="B92" s="1393"/>
      <c r="C92" s="1393"/>
      <c r="D92" s="1393"/>
      <c r="E92" s="1393"/>
      <c r="F92" s="1393"/>
      <c r="G92" s="1393"/>
      <c r="H92" s="1393"/>
      <c r="I92" s="1393"/>
      <c r="J92" s="1393"/>
      <c r="K92" s="1393"/>
      <c r="L92" s="1393"/>
      <c r="M92" s="1393"/>
      <c r="N92" s="1393"/>
      <c r="O92" s="1393"/>
      <c r="P92" s="1393"/>
      <c r="Q92" s="1393"/>
      <c r="R92" s="1393"/>
      <c r="S92" s="1393"/>
      <c r="T92" s="1393"/>
      <c r="U92" s="1393"/>
      <c r="V92" s="1393"/>
      <c r="W92" s="1393"/>
      <c r="X92" s="1393"/>
      <c r="Y92" s="1393"/>
      <c r="Z92" s="1393"/>
      <c r="AA92" s="1393"/>
      <c r="AB92" s="1393"/>
      <c r="AC92" s="1393"/>
      <c r="AD92" s="1393"/>
      <c r="AE92" s="1393"/>
      <c r="AF92" s="1393"/>
      <c r="AG92" s="1393"/>
      <c r="AH92" s="1393"/>
      <c r="AI92" s="1393"/>
      <c r="AO92" s="1299"/>
    </row>
    <row r="93" spans="1:41" x14ac:dyDescent="0.25">
      <c r="A93" s="1393"/>
      <c r="B93" s="1393"/>
      <c r="C93" s="1393"/>
      <c r="D93" s="1393"/>
      <c r="E93" s="1393"/>
      <c r="F93" s="1393"/>
      <c r="G93" s="1393"/>
      <c r="H93" s="1393"/>
      <c r="I93" s="1393"/>
      <c r="J93" s="1393"/>
      <c r="K93" s="1393"/>
      <c r="L93" s="1393"/>
      <c r="M93" s="1393"/>
      <c r="N93" s="1393"/>
      <c r="O93" s="1393"/>
      <c r="P93" s="1393"/>
      <c r="Q93" s="1393"/>
      <c r="R93" s="1393"/>
      <c r="S93" s="1393"/>
      <c r="T93" s="1393"/>
      <c r="U93" s="1393"/>
      <c r="V93" s="1393"/>
      <c r="W93" s="1393"/>
      <c r="X93" s="1393"/>
      <c r="Y93" s="1393"/>
      <c r="Z93" s="1393"/>
      <c r="AA93" s="1393"/>
      <c r="AB93" s="1393"/>
      <c r="AC93" s="1393"/>
      <c r="AD93" s="1393"/>
      <c r="AE93" s="1393"/>
      <c r="AF93" s="1393"/>
      <c r="AG93" s="1393"/>
      <c r="AH93" s="1393"/>
      <c r="AI93" s="1393"/>
      <c r="AO93" s="1299"/>
    </row>
    <row r="94" spans="1:41" x14ac:dyDescent="0.25">
      <c r="A94" s="1393"/>
      <c r="B94" s="1393"/>
      <c r="C94" s="1393"/>
      <c r="D94" s="1393"/>
      <c r="E94" s="1393"/>
      <c r="F94" s="1393"/>
      <c r="G94" s="1393"/>
      <c r="H94" s="1393"/>
      <c r="I94" s="1393"/>
      <c r="J94" s="1393"/>
      <c r="K94" s="1393"/>
      <c r="L94" s="1393"/>
      <c r="M94" s="1393"/>
      <c r="N94" s="1393"/>
      <c r="O94" s="1393"/>
      <c r="P94" s="1393"/>
      <c r="Q94" s="1393"/>
      <c r="R94" s="1393"/>
      <c r="S94" s="1393"/>
      <c r="T94" s="1393"/>
      <c r="U94" s="1393"/>
      <c r="V94" s="1393"/>
      <c r="W94" s="1393"/>
      <c r="X94" s="1393"/>
      <c r="Y94" s="1393"/>
      <c r="Z94" s="1393"/>
      <c r="AA94" s="1393"/>
      <c r="AB94" s="1393"/>
      <c r="AC94" s="1393"/>
      <c r="AD94" s="1393"/>
      <c r="AE94" s="1393"/>
      <c r="AF94" s="1393"/>
      <c r="AG94" s="1393"/>
      <c r="AH94" s="1393"/>
      <c r="AI94" s="1393"/>
      <c r="AO94" s="1299"/>
    </row>
  </sheetData>
  <phoneticPr fontId="0" type="noConversion"/>
  <conditionalFormatting sqref="C9:L9">
    <cfRule type="expression" dxfId="10" priority="1" stopIfTrue="1">
      <formula>$AK$12=2</formula>
    </cfRule>
  </conditionalFormatting>
  <pageMargins left="0.78" right="0.38" top="0.74" bottom="1" header="0.45" footer="0.5"/>
  <pageSetup paperSize="9" scale="83" orientation="portrait" blackAndWhite="1" verticalDpi="1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02" r:id="rId4" name="basic2button">
              <controlPr defaultSize="0" print="0" autoFill="0" autoPict="0" macro="[0]!returnfromcopy">
                <anchor moveWithCells="1" sizeWithCells="1">
                  <from>
                    <xdr:col>13</xdr:col>
                    <xdr:colOff>368300</xdr:colOff>
                    <xdr:row>1</xdr:row>
                    <xdr:rowOff>88900</xdr:rowOff>
                  </from>
                  <to>
                    <xdr:col>14</xdr:col>
                    <xdr:colOff>469900</xdr:colOff>
                    <xdr:row>3</xdr:row>
                    <xdr:rowOff>139700</xdr:rowOff>
                  </to>
                </anchor>
              </controlPr>
            </control>
          </mc:Choice>
        </mc:AlternateContent>
        <mc:AlternateContent xmlns:mc="http://schemas.openxmlformats.org/markup-compatibility/2006">
          <mc:Choice Requires="x14">
            <control shapeId="71703" r:id="rId5" name="basic2delbutton">
              <controlPr defaultSize="0" print="0" autoFill="0" autoPict="0" macro="[0]!delete_basic2button">
                <anchor moveWithCells="1" sizeWithCells="1">
                  <from>
                    <xdr:col>13</xdr:col>
                    <xdr:colOff>368300</xdr:colOff>
                    <xdr:row>3</xdr:row>
                    <xdr:rowOff>152400</xdr:rowOff>
                  </from>
                  <to>
                    <xdr:col>14</xdr:col>
                    <xdr:colOff>469900</xdr:colOff>
                    <xdr:row>5</xdr:row>
                    <xdr:rowOff>127000</xdr:rowOff>
                  </to>
                </anchor>
              </controlPr>
            </control>
          </mc:Choice>
        </mc:AlternateContent>
        <mc:AlternateContent xmlns:mc="http://schemas.openxmlformats.org/markup-compatibility/2006">
          <mc:Choice Requires="x14">
            <control shapeId="71704" r:id="rId6" name="pdfbutton">
              <controlPr defaultSize="0" print="0" autoFill="0" autoPict="0" macro="[0]!nya">
                <anchor moveWithCells="1" sizeWithCells="1">
                  <from>
                    <xdr:col>14</xdr:col>
                    <xdr:colOff>615950</xdr:colOff>
                    <xdr:row>1</xdr:row>
                    <xdr:rowOff>63500</xdr:rowOff>
                  </from>
                  <to>
                    <xdr:col>15</xdr:col>
                    <xdr:colOff>882650</xdr:colOff>
                    <xdr:row>3</xdr:row>
                    <xdr:rowOff>222250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C92E3-F4D8-4E11-BC24-B799314EF584}">
  <sheetPr codeName="Sheet79">
    <pageSetUpPr fitToPage="1"/>
  </sheetPr>
  <dimension ref="A1:Z94"/>
  <sheetViews>
    <sheetView showGridLines="0" workbookViewId="0"/>
  </sheetViews>
  <sheetFormatPr defaultColWidth="9.08984375" defaultRowHeight="12.5" x14ac:dyDescent="0.25"/>
  <cols>
    <col min="1" max="1" width="15.36328125" style="1084" customWidth="1"/>
    <col min="2" max="2" width="1.08984375" style="1084" customWidth="1"/>
    <col min="3" max="3" width="8.36328125" style="1084" customWidth="1"/>
    <col min="4" max="4" width="2" style="1084" customWidth="1"/>
    <col min="5" max="5" width="11.90625" style="1084" customWidth="1"/>
    <col min="6" max="6" width="13.453125" style="1084" customWidth="1"/>
    <col min="7" max="7" width="7.453125" style="1084" customWidth="1"/>
    <col min="8" max="8" width="0.6328125" style="1084" customWidth="1"/>
    <col min="9" max="9" width="12.90625" style="1084" customWidth="1"/>
    <col min="10" max="10" width="13.453125" style="1084" customWidth="1"/>
    <col min="11" max="11" width="10.453125" style="1084" customWidth="1"/>
    <col min="12" max="12" width="13.6328125" style="1084" customWidth="1"/>
    <col min="13" max="13" width="1.08984375" style="1084" customWidth="1"/>
    <col min="14" max="14" width="11.453125" style="1084" customWidth="1"/>
    <col min="15" max="16384" width="9.08984375" style="1084"/>
  </cols>
  <sheetData>
    <row r="1" spans="1:26" x14ac:dyDescent="0.25">
      <c r="A1" s="2270"/>
      <c r="B1" s="2270"/>
      <c r="C1" s="2270"/>
      <c r="D1" s="2270"/>
      <c r="E1" s="2270"/>
      <c r="F1" s="2270"/>
      <c r="G1" s="2270"/>
      <c r="H1" s="2270"/>
      <c r="I1" s="2270"/>
      <c r="J1" s="2270"/>
      <c r="K1" s="2270"/>
      <c r="L1" s="2270"/>
      <c r="M1" s="2270"/>
      <c r="N1" s="2270"/>
      <c r="O1" s="2270"/>
      <c r="P1" s="2270"/>
      <c r="Q1" s="2270"/>
      <c r="R1" s="2270"/>
      <c r="S1" s="2270"/>
      <c r="T1" s="2270"/>
      <c r="U1" s="2270"/>
      <c r="V1" s="2270"/>
      <c r="W1" s="2270"/>
      <c r="X1" s="2270"/>
      <c r="Y1" s="2270"/>
      <c r="Z1" s="2270"/>
    </row>
    <row r="2" spans="1:26" x14ac:dyDescent="0.25">
      <c r="A2" s="2270"/>
      <c r="B2" s="2270"/>
      <c r="C2" s="2270"/>
      <c r="D2" s="2270"/>
      <c r="E2" s="2270"/>
      <c r="F2" s="2270"/>
      <c r="G2" s="2270"/>
      <c r="H2" s="2270"/>
      <c r="I2" s="2270"/>
      <c r="J2" s="2270"/>
      <c r="K2" s="2270"/>
      <c r="L2" s="2270"/>
      <c r="M2" s="2270"/>
      <c r="N2" s="2270"/>
      <c r="O2" s="2270"/>
      <c r="P2" s="2270"/>
      <c r="Q2" s="2270"/>
      <c r="R2" s="2270"/>
      <c r="S2" s="2270"/>
      <c r="T2" s="2270"/>
      <c r="U2" s="2270"/>
      <c r="V2" s="2270"/>
      <c r="W2" s="2270"/>
      <c r="X2" s="2270"/>
      <c r="Y2" s="2270"/>
      <c r="Z2" s="2270"/>
    </row>
    <row r="3" spans="1:26" ht="13" x14ac:dyDescent="0.3">
      <c r="A3" s="2271"/>
      <c r="B3" s="1086"/>
      <c r="C3" s="1087"/>
      <c r="D3" s="1087"/>
      <c r="E3" s="1087"/>
      <c r="F3" s="1087"/>
      <c r="G3" s="1087"/>
      <c r="H3" s="1087"/>
      <c r="I3" s="1087"/>
      <c r="J3" s="1088"/>
      <c r="K3" s="1088"/>
      <c r="L3" s="1089"/>
      <c r="M3" s="1090"/>
      <c r="N3" s="2270"/>
      <c r="O3" s="2270"/>
      <c r="P3" s="2270"/>
      <c r="Q3" s="2270"/>
      <c r="R3" s="2270"/>
      <c r="S3" s="2270"/>
      <c r="T3" s="2270"/>
      <c r="U3" s="2270"/>
      <c r="V3" s="2270"/>
      <c r="W3" s="2270"/>
      <c r="X3" s="2270"/>
      <c r="Y3" s="2270"/>
      <c r="Z3" s="2270"/>
    </row>
    <row r="4" spans="1:26" ht="20" x14ac:dyDescent="0.4">
      <c r="A4" s="2272"/>
      <c r="B4" s="1092"/>
      <c r="C4" s="1093"/>
      <c r="D4" s="1094"/>
      <c r="E4" s="1094"/>
      <c r="F4" s="1094"/>
      <c r="G4" s="1094"/>
      <c r="H4" s="1094"/>
      <c r="I4" s="1094"/>
      <c r="J4" s="1094"/>
      <c r="K4" s="1094"/>
      <c r="L4" s="1094"/>
      <c r="M4" s="1095"/>
      <c r="N4" s="2270"/>
      <c r="O4" s="2270"/>
      <c r="P4" s="2270"/>
      <c r="Q4" s="2270"/>
      <c r="R4" s="2270"/>
      <c r="S4" s="2270"/>
      <c r="T4" s="2270"/>
      <c r="U4" s="2270"/>
      <c r="V4" s="2270"/>
      <c r="W4" s="2270"/>
      <c r="X4" s="2270"/>
      <c r="Y4" s="2270"/>
      <c r="Z4" s="2270"/>
    </row>
    <row r="5" spans="1:26" ht="26.25" customHeight="1" x14ac:dyDescent="0.25">
      <c r="A5" s="2271"/>
      <c r="B5" s="1092"/>
      <c r="C5" s="1097"/>
      <c r="D5" s="1094"/>
      <c r="E5" s="1094"/>
      <c r="F5" s="1094"/>
      <c r="G5" s="1094"/>
      <c r="H5" s="1094"/>
      <c r="I5" s="1094"/>
      <c r="J5" s="1094"/>
      <c r="K5" s="1094"/>
      <c r="L5" s="1094"/>
      <c r="M5" s="1095"/>
      <c r="N5" s="2270"/>
      <c r="O5" s="2270"/>
      <c r="P5" s="2270"/>
      <c r="Q5" s="2270"/>
      <c r="R5" s="2270"/>
      <c r="S5" s="2270"/>
      <c r="T5" s="2270"/>
      <c r="U5" s="2270"/>
      <c r="V5" s="2270"/>
      <c r="W5" s="2270"/>
      <c r="X5" s="2270"/>
      <c r="Y5" s="2270"/>
      <c r="Z5" s="2270"/>
    </row>
    <row r="6" spans="1:26" ht="13" x14ac:dyDescent="0.3">
      <c r="A6" s="2271"/>
      <c r="B6" s="1092"/>
      <c r="C6" s="1099"/>
      <c r="D6" s="1094"/>
      <c r="E6" s="1094"/>
      <c r="F6" s="1094"/>
      <c r="G6" s="1094"/>
      <c r="H6" s="1094"/>
      <c r="I6" s="1094"/>
      <c r="J6" s="1100"/>
      <c r="K6" s="1101"/>
      <c r="L6" s="1094"/>
      <c r="M6" s="1095"/>
      <c r="N6" s="2270"/>
      <c r="O6" s="2270"/>
      <c r="P6" s="2270"/>
      <c r="Q6" s="2270"/>
      <c r="R6" s="2270"/>
      <c r="S6" s="2270"/>
      <c r="T6" s="2270"/>
      <c r="U6" s="2270"/>
      <c r="V6" s="2270"/>
      <c r="W6" s="2270"/>
      <c r="X6" s="2270"/>
      <c r="Y6" s="2270"/>
      <c r="Z6" s="2270"/>
    </row>
    <row r="7" spans="1:26" ht="13" x14ac:dyDescent="0.3">
      <c r="A7" s="2272"/>
      <c r="B7" s="1092"/>
      <c r="C7" s="1099"/>
      <c r="D7" s="1094"/>
      <c r="E7" s="1094"/>
      <c r="F7" s="1094"/>
      <c r="G7" s="1094"/>
      <c r="H7" s="1094"/>
      <c r="I7" s="1094"/>
      <c r="J7" s="1100"/>
      <c r="K7" s="2285"/>
      <c r="L7" s="1094"/>
      <c r="M7" s="1095"/>
      <c r="N7" s="2270"/>
      <c r="O7" s="2270"/>
      <c r="P7" s="2270"/>
      <c r="Q7" s="2270"/>
      <c r="R7" s="2270"/>
      <c r="S7" s="2270"/>
      <c r="T7" s="2270"/>
      <c r="U7" s="2270"/>
      <c r="V7" s="2270"/>
      <c r="W7" s="2270"/>
      <c r="X7" s="2270"/>
      <c r="Y7" s="2270"/>
      <c r="Z7" s="2270"/>
    </row>
    <row r="8" spans="1:26" ht="13" x14ac:dyDescent="0.3">
      <c r="A8" s="2271"/>
      <c r="B8" s="1092"/>
      <c r="C8" s="1100"/>
      <c r="D8" s="1094"/>
      <c r="E8" s="1094"/>
      <c r="F8" s="1094"/>
      <c r="G8" s="1094"/>
      <c r="H8" s="1094"/>
      <c r="I8" s="1094"/>
      <c r="J8" s="1100"/>
      <c r="K8" s="1103"/>
      <c r="L8" s="1094"/>
      <c r="M8" s="1095"/>
      <c r="N8" s="2270"/>
      <c r="O8" s="2270"/>
      <c r="P8" s="2270"/>
      <c r="Q8" s="2270"/>
      <c r="R8" s="2270"/>
      <c r="S8" s="2270"/>
      <c r="T8" s="2270"/>
      <c r="U8" s="2270"/>
      <c r="V8" s="2270"/>
      <c r="W8" s="2270"/>
      <c r="X8" s="2270"/>
      <c r="Y8" s="2270"/>
      <c r="Z8" s="2270"/>
    </row>
    <row r="9" spans="1:26" x14ac:dyDescent="0.25">
      <c r="A9" s="2271"/>
      <c r="B9" s="1092"/>
      <c r="C9" s="1104"/>
      <c r="D9" s="1105"/>
      <c r="E9" s="1105"/>
      <c r="F9" s="1105"/>
      <c r="G9" s="1105"/>
      <c r="H9" s="1105"/>
      <c r="I9" s="1105"/>
      <c r="J9" s="1105"/>
      <c r="K9" s="1105"/>
      <c r="L9" s="1105"/>
      <c r="M9" s="1095"/>
      <c r="N9" s="2270"/>
      <c r="O9" s="2270"/>
      <c r="P9" s="2270"/>
      <c r="Q9" s="2270"/>
      <c r="R9" s="2270"/>
      <c r="S9" s="2270"/>
      <c r="T9" s="2270"/>
      <c r="U9" s="2270"/>
      <c r="V9" s="2270"/>
      <c r="W9" s="2270"/>
      <c r="X9" s="2270"/>
      <c r="Y9" s="2270"/>
      <c r="Z9" s="2270"/>
    </row>
    <row r="10" spans="1:26" ht="13" x14ac:dyDescent="0.3">
      <c r="A10" s="2271"/>
      <c r="B10" s="1092"/>
      <c r="C10" s="1106"/>
      <c r="D10" s="1094"/>
      <c r="E10" s="1094"/>
      <c r="F10" s="1094"/>
      <c r="G10" s="1094"/>
      <c r="H10" s="1094"/>
      <c r="I10" s="1094"/>
      <c r="J10" s="1094"/>
      <c r="K10" s="1094"/>
      <c r="L10" s="1094"/>
      <c r="M10" s="1095"/>
      <c r="N10" s="2270"/>
      <c r="O10" s="2270"/>
      <c r="P10" s="2270"/>
      <c r="Q10" s="2270"/>
      <c r="R10" s="2270"/>
      <c r="S10" s="2270"/>
      <c r="T10" s="2270"/>
      <c r="U10" s="2270"/>
      <c r="V10" s="2270"/>
      <c r="W10" s="2270"/>
      <c r="X10" s="2270"/>
      <c r="Y10" s="2270"/>
      <c r="Z10" s="2270"/>
    </row>
    <row r="11" spans="1:26" ht="13" x14ac:dyDescent="0.3">
      <c r="A11" s="2271"/>
      <c r="B11" s="1092"/>
      <c r="C11" s="1106"/>
      <c r="D11" s="1094"/>
      <c r="E11" s="1094"/>
      <c r="F11" s="1094"/>
      <c r="G11" s="1094"/>
      <c r="H11" s="1094"/>
      <c r="I11" s="1094"/>
      <c r="J11" s="1094"/>
      <c r="K11" s="1094"/>
      <c r="L11" s="1094"/>
      <c r="M11" s="1095"/>
      <c r="N11" s="2270"/>
      <c r="O11" s="2270"/>
      <c r="P11" s="2270"/>
      <c r="Q11" s="2270"/>
      <c r="R11" s="2270"/>
      <c r="S11" s="2270"/>
      <c r="T11" s="2270"/>
      <c r="U11" s="2270"/>
      <c r="V11" s="2270"/>
      <c r="W11" s="2270"/>
      <c r="X11" s="2270"/>
      <c r="Y11" s="2270"/>
      <c r="Z11" s="2270"/>
    </row>
    <row r="12" spans="1:26" ht="13" x14ac:dyDescent="0.3">
      <c r="A12" s="2273"/>
      <c r="B12" s="1092"/>
      <c r="C12" s="1108"/>
      <c r="D12" s="1105"/>
      <c r="E12" s="1105"/>
      <c r="F12" s="1105"/>
      <c r="G12" s="1105"/>
      <c r="H12" s="1105"/>
      <c r="I12" s="1105"/>
      <c r="J12" s="1105"/>
      <c r="K12" s="1105"/>
      <c r="L12" s="1105"/>
      <c r="M12" s="1095"/>
      <c r="N12" s="2270"/>
      <c r="O12" s="2270"/>
      <c r="P12" s="2270"/>
      <c r="Q12" s="2270"/>
      <c r="R12" s="2270"/>
      <c r="S12" s="2270"/>
      <c r="T12" s="2270"/>
      <c r="U12" s="2270"/>
      <c r="V12" s="2270"/>
      <c r="W12" s="2270"/>
      <c r="X12" s="2270"/>
      <c r="Y12" s="2270"/>
      <c r="Z12" s="2270"/>
    </row>
    <row r="13" spans="1:26" ht="13" x14ac:dyDescent="0.3">
      <c r="A13" s="2273"/>
      <c r="B13" s="1092"/>
      <c r="C13" s="1106"/>
      <c r="D13" s="1094"/>
      <c r="E13" s="1094"/>
      <c r="F13" s="1094"/>
      <c r="G13" s="1094"/>
      <c r="H13" s="1094"/>
      <c r="I13" s="1094"/>
      <c r="J13" s="1094"/>
      <c r="K13" s="1094"/>
      <c r="L13" s="1094"/>
      <c r="M13" s="1095"/>
      <c r="N13" s="2270"/>
      <c r="O13" s="2270"/>
      <c r="P13" s="2270"/>
      <c r="Q13" s="2270"/>
      <c r="R13" s="2270"/>
      <c r="S13" s="2270"/>
      <c r="T13" s="2270"/>
      <c r="U13" s="2270"/>
      <c r="V13" s="2270"/>
      <c r="W13" s="2270"/>
      <c r="X13" s="2270"/>
      <c r="Y13" s="2270"/>
      <c r="Z13" s="2270"/>
    </row>
    <row r="14" spans="1:26" hidden="1" x14ac:dyDescent="0.25">
      <c r="A14" s="2274"/>
      <c r="B14" s="1092"/>
      <c r="C14" s="1111"/>
      <c r="D14" s="1112"/>
      <c r="E14" s="1113"/>
      <c r="F14" s="1114"/>
      <c r="H14" s="1112"/>
      <c r="I14" s="1116"/>
      <c r="J14" s="1117"/>
      <c r="L14" s="1094"/>
      <c r="M14" s="1095"/>
      <c r="N14" s="2270"/>
      <c r="O14" s="2270"/>
      <c r="P14" s="2270"/>
      <c r="Q14" s="2270"/>
      <c r="R14" s="2270"/>
      <c r="S14" s="2270"/>
      <c r="T14" s="2270"/>
      <c r="U14" s="2270"/>
      <c r="V14" s="2270"/>
      <c r="W14" s="2270"/>
      <c r="X14" s="2270"/>
      <c r="Y14" s="2270"/>
      <c r="Z14" s="2270"/>
    </row>
    <row r="15" spans="1:26" hidden="1" x14ac:dyDescent="0.25">
      <c r="A15" s="2274"/>
      <c r="B15" s="1092"/>
      <c r="C15" s="1111"/>
      <c r="D15" s="1112"/>
      <c r="E15" s="1113"/>
      <c r="F15" s="1119"/>
      <c r="G15" s="1120"/>
      <c r="H15" s="1112"/>
      <c r="I15" s="1116"/>
      <c r="J15" s="1121"/>
      <c r="K15" s="1122"/>
      <c r="L15" s="1094"/>
      <c r="M15" s="1095"/>
      <c r="N15" s="2270"/>
      <c r="O15" s="2270"/>
      <c r="P15" s="2270"/>
      <c r="Q15" s="2270"/>
      <c r="R15" s="2270"/>
      <c r="S15" s="2270"/>
      <c r="T15" s="2270"/>
      <c r="U15" s="2270"/>
      <c r="V15" s="2270"/>
      <c r="W15" s="2270"/>
      <c r="X15" s="2270"/>
      <c r="Y15" s="2270"/>
      <c r="Z15" s="2270"/>
    </row>
    <row r="16" spans="1:26" hidden="1" x14ac:dyDescent="0.25">
      <c r="A16" s="2274"/>
      <c r="B16" s="1092"/>
      <c r="C16" s="1111"/>
      <c r="D16" s="1112"/>
      <c r="E16" s="1113"/>
      <c r="F16" s="1123"/>
      <c r="G16" s="1120"/>
      <c r="H16" s="1112"/>
      <c r="I16" s="1113"/>
      <c r="J16" s="1124"/>
      <c r="K16" s="1122"/>
      <c r="L16" s="1094"/>
      <c r="M16" s="1095"/>
      <c r="N16" s="2270"/>
      <c r="O16" s="2270"/>
      <c r="P16" s="2270"/>
      <c r="Q16" s="2270"/>
      <c r="R16" s="2270"/>
      <c r="S16" s="2270"/>
      <c r="T16" s="2270"/>
      <c r="U16" s="2270"/>
      <c r="V16" s="2270"/>
      <c r="W16" s="2270"/>
      <c r="X16" s="2270"/>
      <c r="Y16" s="2270"/>
      <c r="Z16" s="2270"/>
    </row>
    <row r="17" spans="1:26" hidden="1" x14ac:dyDescent="0.25">
      <c r="A17" s="2274"/>
      <c r="B17" s="1092"/>
      <c r="C17" s="1111"/>
      <c r="D17" s="1112"/>
      <c r="E17" s="1113"/>
      <c r="F17" s="1125"/>
      <c r="G17" s="1120"/>
      <c r="H17" s="1112"/>
      <c r="I17" s="1116"/>
      <c r="J17" s="1126"/>
      <c r="K17" s="1122"/>
      <c r="L17" s="1094"/>
      <c r="M17" s="1095"/>
      <c r="N17" s="2270"/>
      <c r="O17" s="2270"/>
      <c r="P17" s="2270"/>
      <c r="Q17" s="2270"/>
      <c r="R17" s="2270"/>
      <c r="S17" s="2270"/>
      <c r="T17" s="2270"/>
      <c r="U17" s="2270"/>
      <c r="V17" s="2270"/>
      <c r="W17" s="2270"/>
      <c r="X17" s="2270"/>
      <c r="Y17" s="2270"/>
      <c r="Z17" s="2270"/>
    </row>
    <row r="18" spans="1:26" ht="13" x14ac:dyDescent="0.3">
      <c r="A18" s="2274"/>
      <c r="B18" s="1092"/>
      <c r="C18" s="1111"/>
      <c r="D18" s="1112"/>
      <c r="E18" s="1113"/>
      <c r="F18" s="1128"/>
      <c r="G18" s="1120"/>
      <c r="H18" s="1112"/>
      <c r="I18" s="1129"/>
      <c r="J18" s="1130"/>
      <c r="K18" s="1122"/>
      <c r="L18" s="1094"/>
      <c r="M18" s="1095"/>
      <c r="N18" s="2270"/>
      <c r="O18" s="2270"/>
      <c r="P18" s="2270"/>
      <c r="Q18" s="2270"/>
      <c r="R18" s="2270"/>
      <c r="S18" s="2270"/>
      <c r="T18" s="2270"/>
      <c r="U18" s="2270"/>
      <c r="V18" s="2270"/>
      <c r="W18" s="2270"/>
      <c r="X18" s="2270"/>
      <c r="Y18" s="2270"/>
      <c r="Z18" s="2270"/>
    </row>
    <row r="19" spans="1:26" x14ac:dyDescent="0.25">
      <c r="A19" s="2275"/>
      <c r="B19" s="1092"/>
      <c r="C19" s="1094"/>
      <c r="D19" s="1094"/>
      <c r="E19" s="1132"/>
      <c r="F19" s="1133"/>
      <c r="G19" s="1134"/>
      <c r="H19" s="1094"/>
      <c r="I19" s="1132"/>
      <c r="J19" s="1133"/>
      <c r="K19" s="1136"/>
      <c r="L19" s="1094"/>
      <c r="M19" s="1095"/>
      <c r="N19" s="2270"/>
      <c r="O19" s="2270"/>
      <c r="P19" s="2270"/>
      <c r="Q19" s="2270"/>
      <c r="R19" s="2270"/>
      <c r="S19" s="2270"/>
      <c r="T19" s="2270"/>
      <c r="U19" s="2270"/>
      <c r="V19" s="2270"/>
      <c r="W19" s="2270"/>
      <c r="X19" s="2270"/>
      <c r="Y19" s="2270"/>
      <c r="Z19" s="2270"/>
    </row>
    <row r="20" spans="1:26" x14ac:dyDescent="0.25">
      <c r="A20" s="2275"/>
      <c r="B20" s="1092"/>
      <c r="C20" s="1094"/>
      <c r="D20" s="1094"/>
      <c r="E20" s="1094"/>
      <c r="F20" s="1137"/>
      <c r="G20" s="1094"/>
      <c r="H20" s="1094"/>
      <c r="I20" s="1094"/>
      <c r="J20" s="1137"/>
      <c r="K20" s="1094"/>
      <c r="L20" s="1094"/>
      <c r="M20" s="1095"/>
      <c r="N20" s="2270"/>
      <c r="O20" s="2270"/>
      <c r="P20" s="2270"/>
      <c r="Q20" s="2270"/>
      <c r="R20" s="2270"/>
      <c r="S20" s="2270"/>
      <c r="T20" s="2270"/>
      <c r="U20" s="2270"/>
      <c r="V20" s="2270"/>
      <c r="W20" s="2270"/>
      <c r="X20" s="2270"/>
      <c r="Y20" s="2270"/>
      <c r="Z20" s="2270"/>
    </row>
    <row r="21" spans="1:26" ht="13" x14ac:dyDescent="0.3">
      <c r="A21" s="2276"/>
      <c r="B21" s="1092"/>
      <c r="C21" s="1139"/>
      <c r="D21" s="1094"/>
      <c r="E21" s="1094"/>
      <c r="F21" s="1140"/>
      <c r="G21" s="1094"/>
      <c r="H21" s="1094"/>
      <c r="I21" s="1094"/>
      <c r="J21" s="1140"/>
      <c r="K21" s="1141"/>
      <c r="L21" s="1094"/>
      <c r="M21" s="1095"/>
      <c r="N21" s="2270"/>
      <c r="O21" s="2270"/>
      <c r="P21" s="2270"/>
      <c r="Q21" s="2270"/>
      <c r="R21" s="2270"/>
      <c r="S21" s="2270"/>
      <c r="T21" s="2270"/>
      <c r="U21" s="2270"/>
      <c r="V21" s="2270"/>
      <c r="W21" s="2270"/>
      <c r="X21" s="2270"/>
      <c r="Y21" s="2270"/>
      <c r="Z21" s="2270"/>
    </row>
    <row r="22" spans="1:26" x14ac:dyDescent="0.25">
      <c r="A22" s="2277"/>
      <c r="B22" s="1092"/>
      <c r="C22" s="1094"/>
      <c r="D22" s="1094"/>
      <c r="E22" s="1094"/>
      <c r="F22" s="1143"/>
      <c r="G22" s="1144"/>
      <c r="H22" s="1094"/>
      <c r="I22" s="1145"/>
      <c r="J22" s="1143"/>
      <c r="K22" s="1144"/>
      <c r="L22" s="1094"/>
      <c r="M22" s="1095"/>
      <c r="N22" s="2270"/>
      <c r="O22" s="2270"/>
      <c r="P22" s="2270"/>
      <c r="Q22" s="2270"/>
      <c r="R22" s="2270"/>
      <c r="S22" s="2270"/>
      <c r="T22" s="2270"/>
      <c r="U22" s="2270"/>
      <c r="V22" s="2270"/>
      <c r="W22" s="2270"/>
      <c r="X22" s="2270"/>
      <c r="Y22" s="2270"/>
      <c r="Z22" s="2270"/>
    </row>
    <row r="23" spans="1:26" x14ac:dyDescent="0.25">
      <c r="A23" s="2277"/>
      <c r="B23" s="1092"/>
      <c r="C23" s="1146"/>
      <c r="D23" s="1147"/>
      <c r="E23" s="1147"/>
      <c r="F23" s="1148"/>
      <c r="G23" s="1149"/>
      <c r="H23" s="1147"/>
      <c r="I23" s="1151"/>
      <c r="J23" s="1152"/>
      <c r="K23" s="1153"/>
      <c r="L23" s="1154"/>
      <c r="M23" s="1095"/>
      <c r="N23" s="2270"/>
      <c r="O23" s="2270"/>
      <c r="P23" s="2270"/>
      <c r="Q23" s="2270"/>
      <c r="R23" s="2270"/>
      <c r="S23" s="2270"/>
      <c r="T23" s="2270"/>
      <c r="U23" s="2270"/>
      <c r="V23" s="2270"/>
      <c r="W23" s="2270"/>
      <c r="X23" s="2270"/>
      <c r="Y23" s="2270"/>
      <c r="Z23" s="2270"/>
    </row>
    <row r="24" spans="1:26" ht="13" hidden="1" x14ac:dyDescent="0.3">
      <c r="A24" s="2277"/>
      <c r="B24" s="1092"/>
      <c r="C24" s="1139"/>
      <c r="D24" s="1112"/>
      <c r="E24" s="1112"/>
      <c r="F24" s="2339"/>
      <c r="G24" s="2340"/>
      <c r="H24" s="1112"/>
      <c r="I24" s="1139"/>
      <c r="J24" s="2341"/>
      <c r="K24" s="2342"/>
      <c r="L24" s="2343"/>
      <c r="M24" s="1095"/>
      <c r="N24" s="2270"/>
      <c r="O24" s="2270"/>
      <c r="P24" s="2270"/>
      <c r="Q24" s="2270"/>
      <c r="R24" s="2270"/>
      <c r="S24" s="2270"/>
      <c r="T24" s="2270"/>
      <c r="U24" s="2270"/>
      <c r="V24" s="2270"/>
      <c r="W24" s="2270"/>
      <c r="X24" s="2270"/>
      <c r="Y24" s="2270"/>
      <c r="Z24" s="2270"/>
    </row>
    <row r="25" spans="1:26" hidden="1" x14ac:dyDescent="0.25">
      <c r="A25" s="2277"/>
      <c r="B25" s="1092"/>
      <c r="C25" s="1111"/>
      <c r="D25" s="1112"/>
      <c r="E25" s="1112"/>
      <c r="F25" s="2339"/>
      <c r="G25" s="2340"/>
      <c r="H25" s="1112"/>
      <c r="I25" s="1129"/>
      <c r="J25" s="2341"/>
      <c r="K25" s="2342"/>
      <c r="L25" s="2343"/>
      <c r="M25" s="1095"/>
      <c r="N25" s="2270"/>
      <c r="O25" s="2270"/>
      <c r="P25" s="2270"/>
      <c r="Q25" s="2270"/>
      <c r="R25" s="2270"/>
      <c r="S25" s="2270"/>
      <c r="T25" s="2270"/>
      <c r="U25" s="2270"/>
      <c r="V25" s="2270"/>
      <c r="W25" s="2270"/>
      <c r="X25" s="2270"/>
      <c r="Y25" s="2270"/>
      <c r="Z25" s="2270"/>
    </row>
    <row r="26" spans="1:26" ht="13" hidden="1" x14ac:dyDescent="0.3">
      <c r="A26" s="2277"/>
      <c r="B26" s="1092"/>
      <c r="C26" s="2352"/>
      <c r="D26" s="1176"/>
      <c r="E26" s="2351"/>
      <c r="F26" s="2350"/>
      <c r="G26" s="2348"/>
      <c r="H26" s="1132"/>
      <c r="I26" s="2352"/>
      <c r="J26" s="2351"/>
      <c r="K26" s="2350"/>
      <c r="M26" s="1095"/>
      <c r="N26" s="2270"/>
      <c r="O26" s="2270"/>
      <c r="P26" s="2270"/>
      <c r="Q26" s="2270"/>
      <c r="R26" s="2270"/>
      <c r="S26" s="2270"/>
      <c r="T26" s="2270"/>
      <c r="U26" s="2270"/>
      <c r="V26" s="2270"/>
      <c r="W26" s="2270"/>
      <c r="X26" s="2270"/>
      <c r="Y26" s="2270"/>
      <c r="Z26" s="2270"/>
    </row>
    <row r="27" spans="1:26" hidden="1" x14ac:dyDescent="0.25">
      <c r="A27" s="2277"/>
      <c r="B27" s="1092"/>
      <c r="C27" s="2356"/>
      <c r="D27" s="2357"/>
      <c r="E27" s="2355"/>
      <c r="F27" s="1133"/>
      <c r="G27" s="2348"/>
      <c r="H27" s="1132"/>
      <c r="I27" s="2354"/>
      <c r="J27" s="2355"/>
      <c r="K27" s="1133"/>
      <c r="M27" s="1095"/>
      <c r="N27" s="2270"/>
      <c r="O27" s="2270"/>
      <c r="P27" s="2270"/>
      <c r="Q27" s="2270"/>
      <c r="R27" s="2270"/>
      <c r="S27" s="2270"/>
      <c r="T27" s="2270"/>
      <c r="U27" s="2270"/>
      <c r="V27" s="2270"/>
      <c r="W27" s="2270"/>
      <c r="X27" s="2270"/>
      <c r="Y27" s="2270"/>
      <c r="Z27" s="2270"/>
    </row>
    <row r="28" spans="1:26" hidden="1" x14ac:dyDescent="0.25">
      <c r="A28" s="2277"/>
      <c r="B28" s="1092"/>
      <c r="C28" s="2356"/>
      <c r="D28" s="2357"/>
      <c r="E28" s="2355"/>
      <c r="F28" s="1133"/>
      <c r="G28" s="2348"/>
      <c r="H28" s="1132"/>
      <c r="I28" s="2354"/>
      <c r="J28" s="2355"/>
      <c r="K28" s="1133"/>
      <c r="L28" s="2347"/>
      <c r="M28" s="1095"/>
      <c r="N28" s="2270"/>
      <c r="O28" s="2270"/>
      <c r="P28" s="2270"/>
      <c r="Q28" s="2270"/>
      <c r="R28" s="2270"/>
      <c r="S28" s="2270"/>
      <c r="T28" s="2270"/>
      <c r="U28" s="2270"/>
      <c r="V28" s="2270"/>
      <c r="W28" s="2270"/>
      <c r="X28" s="2270"/>
      <c r="Y28" s="2270"/>
      <c r="Z28" s="2270"/>
    </row>
    <row r="29" spans="1:26" hidden="1" x14ac:dyDescent="0.25">
      <c r="A29" s="2277"/>
      <c r="B29" s="1092"/>
      <c r="C29" s="2356"/>
      <c r="D29" s="2357"/>
      <c r="E29" s="2355"/>
      <c r="F29" s="1133"/>
      <c r="G29" s="2348"/>
      <c r="H29" s="1132"/>
      <c r="I29" s="2354"/>
      <c r="J29" s="2355"/>
      <c r="K29" s="1133"/>
      <c r="L29" s="2347"/>
      <c r="M29" s="1095"/>
      <c r="N29" s="2270"/>
      <c r="O29" s="2270"/>
      <c r="P29" s="2270"/>
      <c r="Q29" s="2270"/>
      <c r="R29" s="2270"/>
      <c r="S29" s="2270"/>
      <c r="T29" s="2270"/>
      <c r="U29" s="2270"/>
      <c r="V29" s="2270"/>
      <c r="W29" s="2270"/>
      <c r="X29" s="2270"/>
      <c r="Y29" s="2270"/>
      <c r="Z29" s="2270"/>
    </row>
    <row r="30" spans="1:26" hidden="1" x14ac:dyDescent="0.25">
      <c r="A30" s="2277"/>
      <c r="B30" s="1092"/>
      <c r="C30" s="2356"/>
      <c r="D30" s="2357"/>
      <c r="E30" s="2355"/>
      <c r="F30" s="1133"/>
      <c r="G30" s="2348"/>
      <c r="H30" s="1132"/>
      <c r="I30" s="2354"/>
      <c r="J30" s="2355"/>
      <c r="K30" s="1133"/>
      <c r="L30" s="2347"/>
      <c r="M30" s="1095"/>
      <c r="N30" s="2270"/>
      <c r="O30" s="2270"/>
      <c r="P30" s="2270"/>
      <c r="Q30" s="2270"/>
      <c r="R30" s="2270"/>
      <c r="S30" s="2270"/>
      <c r="T30" s="2270"/>
      <c r="U30" s="2270"/>
      <c r="V30" s="2270"/>
      <c r="W30" s="2270"/>
      <c r="X30" s="2270"/>
      <c r="Y30" s="2270"/>
      <c r="Z30" s="2270"/>
    </row>
    <row r="31" spans="1:26" hidden="1" x14ac:dyDescent="0.25">
      <c r="A31" s="2277"/>
      <c r="B31" s="1092"/>
      <c r="C31" s="2356"/>
      <c r="D31" s="2357"/>
      <c r="E31" s="2355"/>
      <c r="F31" s="1133"/>
      <c r="G31" s="2348"/>
      <c r="H31" s="1132"/>
      <c r="I31" s="2354"/>
      <c r="J31" s="2355"/>
      <c r="K31" s="1133"/>
      <c r="L31" s="2347"/>
      <c r="M31" s="1095"/>
      <c r="N31" s="2270"/>
      <c r="O31" s="2270"/>
      <c r="P31" s="2270"/>
      <c r="Q31" s="2270"/>
      <c r="R31" s="2270"/>
      <c r="S31" s="2270"/>
      <c r="T31" s="2270"/>
      <c r="U31" s="2270"/>
      <c r="V31" s="2270"/>
      <c r="W31" s="2270"/>
      <c r="X31" s="2270"/>
      <c r="Y31" s="2270"/>
      <c r="Z31" s="2270"/>
    </row>
    <row r="32" spans="1:26" hidden="1" x14ac:dyDescent="0.25">
      <c r="A32" s="2277"/>
      <c r="B32" s="1092"/>
      <c r="C32" s="1146"/>
      <c r="D32" s="1147"/>
      <c r="E32" s="1147"/>
      <c r="F32" s="2344"/>
      <c r="G32" s="1149"/>
      <c r="H32" s="1147"/>
      <c r="I32" s="1151"/>
      <c r="J32" s="2345"/>
      <c r="K32" s="1153"/>
      <c r="L32" s="1154"/>
      <c r="M32" s="1095"/>
      <c r="N32" s="2270"/>
      <c r="O32" s="2270"/>
      <c r="P32" s="2270"/>
      <c r="Q32" s="2270"/>
      <c r="R32" s="2270"/>
      <c r="S32" s="2270"/>
      <c r="T32" s="2270"/>
      <c r="U32" s="2270"/>
      <c r="V32" s="2270"/>
      <c r="W32" s="2270"/>
      <c r="X32" s="2270"/>
      <c r="Y32" s="2270"/>
      <c r="Z32" s="2270"/>
    </row>
    <row r="33" spans="1:26" ht="13" x14ac:dyDescent="0.25">
      <c r="A33" s="2277"/>
      <c r="B33" s="1092"/>
      <c r="C33" s="1156"/>
      <c r="D33" s="1094"/>
      <c r="E33" s="1145"/>
      <c r="F33" s="1157"/>
      <c r="G33" s="1094"/>
      <c r="H33" s="1094"/>
      <c r="I33" s="1094"/>
      <c r="J33" s="1145"/>
      <c r="K33" s="1157"/>
      <c r="L33" s="1094"/>
      <c r="M33" s="1095"/>
      <c r="N33" s="2270"/>
      <c r="O33" s="2270"/>
      <c r="P33" s="2270"/>
      <c r="Q33" s="2270"/>
      <c r="R33" s="2270"/>
      <c r="S33" s="2270"/>
      <c r="T33" s="2270"/>
      <c r="U33" s="2270"/>
      <c r="V33" s="2270"/>
      <c r="W33" s="2270"/>
      <c r="X33" s="2270"/>
      <c r="Y33" s="2270"/>
      <c r="Z33" s="2270"/>
    </row>
    <row r="34" spans="1:26" ht="27.75" customHeight="1" x14ac:dyDescent="0.25">
      <c r="A34" s="2278"/>
      <c r="B34" s="1092"/>
      <c r="C34" s="1159"/>
      <c r="D34" s="1094"/>
      <c r="E34" s="1160"/>
      <c r="F34" s="1160"/>
      <c r="G34" s="1161"/>
      <c r="H34" s="1094"/>
      <c r="I34" s="1159"/>
      <c r="J34" s="1160"/>
      <c r="K34" s="1160"/>
      <c r="L34" s="1161"/>
      <c r="M34" s="1095"/>
      <c r="N34" s="2270"/>
      <c r="O34" s="2270"/>
      <c r="P34" s="2270"/>
      <c r="Q34" s="2270"/>
      <c r="R34" s="2270"/>
      <c r="S34" s="2270"/>
      <c r="T34" s="2270"/>
      <c r="U34" s="2270"/>
      <c r="V34" s="2270"/>
      <c r="W34" s="2270"/>
      <c r="X34" s="2270"/>
      <c r="Y34" s="2270"/>
      <c r="Z34" s="2270"/>
    </row>
    <row r="35" spans="1:26" ht="15.9" customHeight="1" x14ac:dyDescent="0.3">
      <c r="A35" s="2279"/>
      <c r="B35" s="1162"/>
      <c r="C35" s="1163"/>
      <c r="D35" s="1163"/>
      <c r="E35" s="1164"/>
      <c r="F35" s="1140"/>
      <c r="G35" s="1143"/>
      <c r="H35" s="1094"/>
      <c r="I35" s="1165"/>
      <c r="J35" s="1164"/>
      <c r="K35" s="1140"/>
      <c r="L35" s="1143"/>
      <c r="M35" s="1166"/>
      <c r="N35" s="2270"/>
      <c r="O35" s="2270"/>
      <c r="P35" s="2270"/>
      <c r="Q35" s="2270"/>
      <c r="R35" s="2270"/>
      <c r="S35" s="2270"/>
      <c r="T35" s="2270"/>
      <c r="U35" s="2270"/>
      <c r="V35" s="2270"/>
      <c r="W35" s="2270"/>
      <c r="X35" s="2270"/>
      <c r="Y35" s="2270"/>
      <c r="Z35" s="2270"/>
    </row>
    <row r="36" spans="1:26" ht="15.9" customHeight="1" x14ac:dyDescent="0.3">
      <c r="A36" s="2279"/>
      <c r="B36" s="1162"/>
      <c r="C36" s="1163"/>
      <c r="D36" s="1165"/>
      <c r="E36" s="1164"/>
      <c r="F36" s="1140"/>
      <c r="G36" s="1143"/>
      <c r="H36" s="1094"/>
      <c r="I36" s="1165"/>
      <c r="J36" s="1164"/>
      <c r="K36" s="1140"/>
      <c r="L36" s="1143"/>
      <c r="M36" s="1166"/>
      <c r="N36" s="2270"/>
      <c r="O36" s="2270"/>
      <c r="P36" s="2270"/>
      <c r="Q36" s="2270"/>
      <c r="R36" s="2270"/>
      <c r="S36" s="2270"/>
      <c r="T36" s="2270"/>
      <c r="U36" s="2270"/>
      <c r="V36" s="2270"/>
      <c r="W36" s="2270"/>
      <c r="X36" s="2270"/>
      <c r="Y36" s="2270"/>
      <c r="Z36" s="2270"/>
    </row>
    <row r="37" spans="1:26" ht="15.9" customHeight="1" x14ac:dyDescent="0.3">
      <c r="A37" s="2279"/>
      <c r="B37" s="1162"/>
      <c r="C37" s="1163"/>
      <c r="D37" s="1165"/>
      <c r="E37" s="1164"/>
      <c r="F37" s="1140"/>
      <c r="G37" s="1143"/>
      <c r="H37" s="1094"/>
      <c r="I37" s="1165"/>
      <c r="J37" s="1164"/>
      <c r="K37" s="1140"/>
      <c r="L37" s="1143"/>
      <c r="M37" s="1166"/>
      <c r="N37" s="2270"/>
      <c r="O37" s="2270"/>
      <c r="P37" s="2270"/>
      <c r="Q37" s="2270"/>
      <c r="R37" s="2270"/>
      <c r="S37" s="2270"/>
      <c r="T37" s="2270"/>
      <c r="U37" s="2270"/>
      <c r="V37" s="2270"/>
      <c r="W37" s="2270"/>
      <c r="X37" s="2270"/>
      <c r="Y37" s="2270"/>
      <c r="Z37" s="2270"/>
    </row>
    <row r="38" spans="1:26" ht="15.9" customHeight="1" x14ac:dyDescent="0.3">
      <c r="A38" s="2279"/>
      <c r="B38" s="1162"/>
      <c r="C38" s="1163"/>
      <c r="D38" s="1165"/>
      <c r="E38" s="1164"/>
      <c r="F38" s="1140"/>
      <c r="G38" s="1143"/>
      <c r="H38" s="1094"/>
      <c r="I38" s="1165"/>
      <c r="J38" s="1164"/>
      <c r="K38" s="1140"/>
      <c r="L38" s="1143"/>
      <c r="M38" s="1166"/>
      <c r="N38" s="2270"/>
      <c r="O38" s="2270"/>
      <c r="P38" s="2270"/>
      <c r="Q38" s="2270"/>
      <c r="R38" s="2270"/>
      <c r="S38" s="2270"/>
      <c r="T38" s="2270"/>
      <c r="U38" s="2270"/>
      <c r="V38" s="2270"/>
      <c r="W38" s="2270"/>
      <c r="X38" s="2270"/>
      <c r="Y38" s="2270"/>
      <c r="Z38" s="2270"/>
    </row>
    <row r="39" spans="1:26" ht="15.9" customHeight="1" x14ac:dyDescent="0.3">
      <c r="A39" s="2279"/>
      <c r="B39" s="1162"/>
      <c r="C39" s="1163"/>
      <c r="D39" s="1165"/>
      <c r="E39" s="1164"/>
      <c r="F39" s="1140"/>
      <c r="G39" s="1143"/>
      <c r="H39" s="1094"/>
      <c r="I39" s="1165"/>
      <c r="J39" s="1164"/>
      <c r="K39" s="1140"/>
      <c r="L39" s="1143"/>
      <c r="M39" s="1166"/>
      <c r="N39" s="2270"/>
      <c r="O39" s="2270"/>
      <c r="P39" s="2270"/>
      <c r="Q39" s="2270"/>
      <c r="R39" s="2270"/>
      <c r="S39" s="2270"/>
      <c r="T39" s="2270"/>
      <c r="U39" s="2270"/>
      <c r="V39" s="2270"/>
      <c r="W39" s="2270"/>
      <c r="X39" s="2270"/>
      <c r="Y39" s="2270"/>
      <c r="Z39" s="2270"/>
    </row>
    <row r="40" spans="1:26" ht="15.9" customHeight="1" x14ac:dyDescent="0.3">
      <c r="A40" s="2279"/>
      <c r="B40" s="1162"/>
      <c r="C40" s="1163"/>
      <c r="D40" s="1165"/>
      <c r="E40" s="1164"/>
      <c r="F40" s="1140"/>
      <c r="G40" s="1143"/>
      <c r="H40" s="1094"/>
      <c r="I40" s="1165"/>
      <c r="J40" s="1164"/>
      <c r="K40" s="1140"/>
      <c r="L40" s="1143"/>
      <c r="M40" s="1166"/>
      <c r="N40" s="2270"/>
      <c r="O40" s="2270"/>
      <c r="P40" s="2270"/>
      <c r="Q40" s="2270"/>
      <c r="R40" s="2270"/>
      <c r="S40" s="2270"/>
      <c r="T40" s="2270"/>
      <c r="U40" s="2270"/>
      <c r="V40" s="2270"/>
      <c r="W40" s="2270"/>
      <c r="X40" s="2270"/>
      <c r="Y40" s="2270"/>
      <c r="Z40" s="2270"/>
    </row>
    <row r="41" spans="1:26" ht="15.9" customHeight="1" x14ac:dyDescent="0.3">
      <c r="A41" s="2279"/>
      <c r="B41" s="1162"/>
      <c r="C41" s="1163"/>
      <c r="D41" s="1165"/>
      <c r="E41" s="1164"/>
      <c r="F41" s="1140"/>
      <c r="G41" s="1143"/>
      <c r="H41" s="1094"/>
      <c r="I41" s="1165"/>
      <c r="J41" s="1164"/>
      <c r="K41" s="1140"/>
      <c r="L41" s="1143"/>
      <c r="M41" s="1166"/>
      <c r="N41" s="2270"/>
      <c r="O41" s="2270"/>
      <c r="P41" s="2270"/>
      <c r="Q41" s="2270"/>
      <c r="R41" s="2270"/>
      <c r="S41" s="2270"/>
      <c r="T41" s="2270"/>
      <c r="U41" s="2270"/>
      <c r="V41" s="2270"/>
      <c r="W41" s="2270"/>
      <c r="X41" s="2270"/>
      <c r="Y41" s="2270"/>
      <c r="Z41" s="2270"/>
    </row>
    <row r="42" spans="1:26" ht="15.9" customHeight="1" x14ac:dyDescent="0.3">
      <c r="A42" s="2279"/>
      <c r="B42" s="1162"/>
      <c r="C42" s="1163"/>
      <c r="D42" s="1165"/>
      <c r="E42" s="1164"/>
      <c r="F42" s="1140"/>
      <c r="G42" s="1143"/>
      <c r="H42" s="1094"/>
      <c r="I42" s="1165"/>
      <c r="J42" s="1164"/>
      <c r="K42" s="1140"/>
      <c r="L42" s="1143"/>
      <c r="M42" s="1166"/>
      <c r="N42" s="2270"/>
      <c r="O42" s="2270"/>
      <c r="P42" s="2270"/>
      <c r="Q42" s="2270"/>
      <c r="R42" s="2270"/>
      <c r="S42" s="2270"/>
      <c r="T42" s="2270"/>
      <c r="U42" s="2270"/>
      <c r="V42" s="2270"/>
      <c r="W42" s="2270"/>
      <c r="X42" s="2270"/>
      <c r="Y42" s="2270"/>
      <c r="Z42" s="2270"/>
    </row>
    <row r="43" spans="1:26" ht="15.9" customHeight="1" x14ac:dyDescent="0.3">
      <c r="A43" s="2279"/>
      <c r="B43" s="1162"/>
      <c r="C43" s="1163"/>
      <c r="D43" s="1165"/>
      <c r="E43" s="1164"/>
      <c r="F43" s="1140"/>
      <c r="G43" s="1143"/>
      <c r="H43" s="1094"/>
      <c r="I43" s="1165"/>
      <c r="J43" s="1164"/>
      <c r="K43" s="1140"/>
      <c r="L43" s="1143"/>
      <c r="M43" s="1166"/>
      <c r="N43" s="2270"/>
      <c r="O43" s="2270"/>
      <c r="P43" s="2270"/>
      <c r="Q43" s="2270"/>
      <c r="R43" s="2270"/>
      <c r="S43" s="2270"/>
      <c r="T43" s="2270"/>
      <c r="U43" s="2270"/>
      <c r="V43" s="2270"/>
      <c r="W43" s="2270"/>
      <c r="X43" s="2270"/>
      <c r="Y43" s="2270"/>
      <c r="Z43" s="2270"/>
    </row>
    <row r="44" spans="1:26" ht="15.9" customHeight="1" x14ac:dyDescent="0.3">
      <c r="A44" s="2279"/>
      <c r="B44" s="1162"/>
      <c r="C44" s="1163"/>
      <c r="D44" s="1165"/>
      <c r="E44" s="1164"/>
      <c r="F44" s="1140"/>
      <c r="G44" s="1143"/>
      <c r="H44" s="1094"/>
      <c r="I44" s="1165"/>
      <c r="J44" s="1164"/>
      <c r="K44" s="1140"/>
      <c r="L44" s="1143"/>
      <c r="M44" s="1166"/>
      <c r="N44" s="2270"/>
      <c r="O44" s="2270"/>
      <c r="P44" s="2270"/>
      <c r="Q44" s="2270"/>
      <c r="R44" s="2270"/>
      <c r="S44" s="2270"/>
      <c r="T44" s="2270"/>
      <c r="U44" s="2270"/>
      <c r="V44" s="2270"/>
      <c r="W44" s="2270"/>
      <c r="X44" s="2270"/>
      <c r="Y44" s="2270"/>
      <c r="Z44" s="2270"/>
    </row>
    <row r="45" spans="1:26" ht="15.9" customHeight="1" x14ac:dyDescent="0.3">
      <c r="A45" s="2279"/>
      <c r="B45" s="1162"/>
      <c r="C45" s="1163"/>
      <c r="D45" s="1165"/>
      <c r="E45" s="1164"/>
      <c r="F45" s="1140"/>
      <c r="G45" s="1143"/>
      <c r="H45" s="1094"/>
      <c r="I45" s="1165"/>
      <c r="J45" s="1164"/>
      <c r="K45" s="1140"/>
      <c r="L45" s="1143"/>
      <c r="M45" s="1166"/>
      <c r="N45" s="2270"/>
      <c r="O45" s="2270"/>
      <c r="P45" s="2270"/>
      <c r="Q45" s="2270"/>
      <c r="R45" s="2270"/>
      <c r="S45" s="2270"/>
      <c r="T45" s="2270"/>
      <c r="U45" s="2270"/>
      <c r="V45" s="2270"/>
      <c r="W45" s="2270"/>
      <c r="X45" s="2270"/>
      <c r="Y45" s="2270"/>
      <c r="Z45" s="2270"/>
    </row>
    <row r="46" spans="1:26" ht="15.9" customHeight="1" x14ac:dyDescent="0.3">
      <c r="A46" s="2279"/>
      <c r="B46" s="1162"/>
      <c r="C46" s="1163"/>
      <c r="D46" s="1165"/>
      <c r="E46" s="1164"/>
      <c r="F46" s="1140"/>
      <c r="G46" s="1143"/>
      <c r="H46" s="1094"/>
      <c r="I46" s="1165"/>
      <c r="J46" s="1164"/>
      <c r="K46" s="1140"/>
      <c r="L46" s="1143"/>
      <c r="M46" s="1166"/>
      <c r="N46" s="2270"/>
      <c r="O46" s="2270"/>
      <c r="P46" s="2270"/>
      <c r="Q46" s="2270"/>
      <c r="R46" s="2270"/>
      <c r="S46" s="2270"/>
      <c r="T46" s="2270"/>
      <c r="U46" s="2270"/>
      <c r="V46" s="2270"/>
      <c r="W46" s="2270"/>
      <c r="X46" s="2270"/>
      <c r="Y46" s="2270"/>
      <c r="Z46" s="2270"/>
    </row>
    <row r="47" spans="1:26" x14ac:dyDescent="0.25">
      <c r="A47" s="2279"/>
      <c r="B47" s="1168"/>
      <c r="C47" s="1104"/>
      <c r="D47" s="1105"/>
      <c r="E47" s="1105"/>
      <c r="F47" s="1105"/>
      <c r="G47" s="1105"/>
      <c r="H47" s="1105"/>
      <c r="I47" s="1105"/>
      <c r="J47" s="1105"/>
      <c r="K47" s="1169"/>
      <c r="L47" s="1170"/>
      <c r="M47" s="1171"/>
      <c r="N47" s="2270"/>
      <c r="O47" s="2270"/>
      <c r="P47" s="2270"/>
      <c r="Q47" s="2270"/>
      <c r="R47" s="2270"/>
      <c r="S47" s="2270"/>
      <c r="T47" s="2270"/>
      <c r="U47" s="2270"/>
      <c r="V47" s="2270"/>
      <c r="W47" s="2270"/>
      <c r="X47" s="2270"/>
      <c r="Y47" s="2270"/>
      <c r="Z47" s="2270"/>
    </row>
    <row r="48" spans="1:26" ht="10.5" customHeight="1" x14ac:dyDescent="0.25">
      <c r="A48" s="2280"/>
      <c r="B48" s="2284"/>
      <c r="C48" s="2284"/>
      <c r="D48" s="2284"/>
      <c r="E48" s="2284"/>
      <c r="F48" s="2284"/>
      <c r="G48" s="2284"/>
      <c r="H48" s="2284"/>
      <c r="I48" s="2284"/>
      <c r="J48" s="2284"/>
      <c r="K48" s="2284"/>
      <c r="L48" s="2284"/>
      <c r="M48" s="2284"/>
      <c r="N48" s="2270"/>
      <c r="O48" s="2270"/>
      <c r="P48" s="2270"/>
      <c r="Q48" s="2270"/>
      <c r="R48" s="2270"/>
      <c r="S48" s="2270"/>
      <c r="T48" s="2270"/>
      <c r="U48" s="2270"/>
      <c r="V48" s="2270"/>
      <c r="W48" s="2270"/>
      <c r="X48" s="2270"/>
      <c r="Y48" s="2270"/>
      <c r="Z48" s="2270"/>
    </row>
    <row r="49" spans="1:26" x14ac:dyDescent="0.25">
      <c r="A49" s="2281"/>
      <c r="B49" s="1086"/>
      <c r="C49" s="1174"/>
      <c r="D49" s="1087"/>
      <c r="E49" s="1087"/>
      <c r="F49" s="1087"/>
      <c r="G49" s="1087"/>
      <c r="H49" s="1087"/>
      <c r="I49" s="1087"/>
      <c r="J49" s="1087"/>
      <c r="K49" s="1087"/>
      <c r="L49" s="1087"/>
      <c r="M49" s="1090"/>
      <c r="N49" s="2270"/>
      <c r="O49" s="2270"/>
      <c r="P49" s="2270"/>
      <c r="Q49" s="2270"/>
      <c r="R49" s="2270"/>
      <c r="S49" s="2270"/>
      <c r="T49" s="2270"/>
      <c r="U49" s="2270"/>
      <c r="V49" s="2270"/>
      <c r="W49" s="2270"/>
      <c r="X49" s="2270"/>
      <c r="Y49" s="2270"/>
      <c r="Z49" s="2270"/>
    </row>
    <row r="50" spans="1:26" ht="13" x14ac:dyDescent="0.3">
      <c r="A50" s="2282"/>
      <c r="B50" s="1092"/>
      <c r="C50" s="1100"/>
      <c r="D50" s="1094"/>
      <c r="E50" s="1112"/>
      <c r="F50" s="1176"/>
      <c r="G50" s="1177"/>
      <c r="H50" s="1176"/>
      <c r="I50" s="1112"/>
      <c r="J50" s="1176"/>
      <c r="K50" s="1177"/>
      <c r="L50" s="1176"/>
      <c r="M50" s="1095"/>
      <c r="N50" s="2270"/>
      <c r="O50" s="2270"/>
      <c r="P50" s="2270"/>
      <c r="Q50" s="2270"/>
      <c r="R50" s="2270"/>
      <c r="S50" s="2270"/>
      <c r="T50" s="2270"/>
      <c r="U50" s="2270"/>
      <c r="V50" s="2270"/>
      <c r="W50" s="2270"/>
      <c r="X50" s="2270"/>
      <c r="Y50" s="2270"/>
      <c r="Z50" s="2270"/>
    </row>
    <row r="51" spans="1:26" ht="13" x14ac:dyDescent="0.3">
      <c r="A51" s="2283"/>
      <c r="B51" s="1092"/>
      <c r="C51" s="1179"/>
      <c r="D51" s="1094"/>
      <c r="E51" s="1180"/>
      <c r="F51" s="1094"/>
      <c r="G51" s="1095"/>
      <c r="H51" s="1094"/>
      <c r="I51" s="1181"/>
      <c r="J51" s="1094"/>
      <c r="K51" s="1095"/>
      <c r="L51" s="1094"/>
      <c r="M51" s="1095"/>
      <c r="N51" s="2270"/>
      <c r="O51" s="2270"/>
      <c r="P51" s="2270"/>
      <c r="Q51" s="2270"/>
      <c r="R51" s="2270"/>
      <c r="S51" s="2270"/>
      <c r="T51" s="2270"/>
      <c r="U51" s="2270"/>
      <c r="V51" s="2270"/>
      <c r="W51" s="2270"/>
      <c r="X51" s="2270"/>
      <c r="Y51" s="2270"/>
      <c r="Z51" s="2270"/>
    </row>
    <row r="52" spans="1:26" ht="15" customHeight="1" x14ac:dyDescent="0.3">
      <c r="A52" s="2279"/>
      <c r="B52" s="1092"/>
      <c r="C52" s="1094"/>
      <c r="D52" s="1094"/>
      <c r="E52" s="1182"/>
      <c r="F52" s="1183"/>
      <c r="G52" s="1184"/>
      <c r="H52" s="1094"/>
      <c r="I52" s="1182"/>
      <c r="J52" s="2360"/>
      <c r="K52" s="1184"/>
      <c r="L52" s="1185"/>
      <c r="M52" s="1095"/>
      <c r="N52" s="2270"/>
      <c r="O52" s="2270"/>
      <c r="P52" s="2270"/>
      <c r="Q52" s="2270"/>
      <c r="R52" s="2270"/>
      <c r="S52" s="2270"/>
      <c r="T52" s="2270"/>
      <c r="U52" s="2270"/>
      <c r="V52" s="2270"/>
      <c r="W52" s="2270"/>
      <c r="X52" s="2270"/>
      <c r="Y52" s="2270"/>
      <c r="Z52" s="2270"/>
    </row>
    <row r="53" spans="1:26" ht="15" customHeight="1" x14ac:dyDescent="0.3">
      <c r="A53" s="2279"/>
      <c r="B53" s="1092"/>
      <c r="C53" s="1094"/>
      <c r="D53" s="1094"/>
      <c r="E53" s="1182"/>
      <c r="F53" s="1183"/>
      <c r="G53" s="1184"/>
      <c r="H53" s="1094"/>
      <c r="I53" s="1182"/>
      <c r="J53" s="2360"/>
      <c r="K53" s="1184"/>
      <c r="L53" s="1185"/>
      <c r="M53" s="1095"/>
      <c r="N53" s="2270"/>
      <c r="O53" s="2270"/>
      <c r="P53" s="2270"/>
      <c r="Q53" s="2270"/>
      <c r="R53" s="2270"/>
      <c r="S53" s="2270"/>
      <c r="T53" s="2270"/>
      <c r="U53" s="2270"/>
      <c r="V53" s="2270"/>
      <c r="W53" s="2270"/>
      <c r="X53" s="2270"/>
      <c r="Y53" s="2270"/>
      <c r="Z53" s="2270"/>
    </row>
    <row r="54" spans="1:26" ht="15" customHeight="1" x14ac:dyDescent="0.3">
      <c r="A54" s="2279"/>
      <c r="B54" s="1092"/>
      <c r="C54" s="1094"/>
      <c r="D54" s="1094"/>
      <c r="E54" s="1182"/>
      <c r="F54" s="1183"/>
      <c r="G54" s="1184"/>
      <c r="H54" s="1094"/>
      <c r="I54" s="1182"/>
      <c r="J54" s="2360"/>
      <c r="K54" s="1184"/>
      <c r="L54" s="1185"/>
      <c r="M54" s="1095"/>
      <c r="N54" s="2270"/>
      <c r="O54" s="2270"/>
      <c r="P54" s="2270"/>
      <c r="Q54" s="2270"/>
      <c r="R54" s="2270"/>
      <c r="S54" s="2270"/>
      <c r="T54" s="2270"/>
      <c r="U54" s="2270"/>
      <c r="V54" s="2270"/>
      <c r="W54" s="2270"/>
      <c r="X54" s="2270"/>
      <c r="Y54" s="2270"/>
      <c r="Z54" s="2270"/>
    </row>
    <row r="55" spans="1:26" ht="15" customHeight="1" x14ac:dyDescent="0.3">
      <c r="A55" s="2279"/>
      <c r="B55" s="1092"/>
      <c r="C55" s="1094"/>
      <c r="D55" s="1094"/>
      <c r="E55" s="1182"/>
      <c r="F55" s="1183"/>
      <c r="G55" s="1184"/>
      <c r="H55" s="1094"/>
      <c r="I55" s="1182"/>
      <c r="J55" s="1183"/>
      <c r="K55" s="1184"/>
      <c r="L55" s="1185"/>
      <c r="M55" s="1095"/>
      <c r="N55" s="2270"/>
      <c r="O55" s="2270"/>
      <c r="P55" s="2270"/>
      <c r="Q55" s="2270"/>
      <c r="R55" s="2270"/>
      <c r="S55" s="2270"/>
      <c r="T55" s="2270"/>
      <c r="U55" s="2270"/>
      <c r="V55" s="2270"/>
      <c r="W55" s="2270"/>
      <c r="X55" s="2270"/>
      <c r="Y55" s="2270"/>
      <c r="Z55" s="2270"/>
    </row>
    <row r="56" spans="1:26" ht="6.75" customHeight="1" x14ac:dyDescent="0.3">
      <c r="A56" s="2279"/>
      <c r="B56" s="1092"/>
      <c r="C56" s="1094"/>
      <c r="D56" s="1094"/>
      <c r="E56" s="1182"/>
      <c r="F56" s="1183"/>
      <c r="G56" s="1184"/>
      <c r="H56" s="1094"/>
      <c r="I56" s="1182"/>
      <c r="J56" s="1183"/>
      <c r="K56" s="1184"/>
      <c r="L56" s="1185"/>
      <c r="M56" s="1095"/>
      <c r="N56" s="2270"/>
      <c r="O56" s="2270"/>
      <c r="P56" s="2270"/>
      <c r="Q56" s="2270"/>
      <c r="R56" s="2270"/>
      <c r="S56" s="2270"/>
      <c r="T56" s="2270"/>
      <c r="U56" s="2270"/>
      <c r="V56" s="2270"/>
      <c r="W56" s="2270"/>
      <c r="X56" s="2270"/>
      <c r="Y56" s="2270"/>
      <c r="Z56" s="2270"/>
    </row>
    <row r="57" spans="1:26" ht="6" customHeight="1" x14ac:dyDescent="0.25">
      <c r="A57" s="2279"/>
      <c r="B57" s="1092"/>
      <c r="C57" s="1094"/>
      <c r="D57" s="1094"/>
      <c r="E57" s="1094"/>
      <c r="F57" s="1183"/>
      <c r="G57" s="1094"/>
      <c r="H57" s="1094"/>
      <c r="I57" s="1094"/>
      <c r="J57" s="1094"/>
      <c r="K57" s="1094"/>
      <c r="L57" s="1185"/>
      <c r="M57" s="1095"/>
      <c r="N57" s="2270"/>
      <c r="O57" s="2270"/>
      <c r="P57" s="2270"/>
      <c r="Q57" s="2270"/>
      <c r="R57" s="2270"/>
      <c r="S57" s="2270"/>
      <c r="T57" s="2270"/>
      <c r="U57" s="2270"/>
      <c r="V57" s="2270"/>
      <c r="W57" s="2270"/>
      <c r="X57" s="2270"/>
      <c r="Y57" s="2270"/>
      <c r="Z57" s="2270"/>
    </row>
    <row r="58" spans="1:26" ht="16.5" customHeight="1" thickBot="1" x14ac:dyDescent="0.35">
      <c r="A58" s="2279"/>
      <c r="B58" s="1092"/>
      <c r="C58" s="1186"/>
      <c r="D58" s="1186"/>
      <c r="E58" s="1186"/>
      <c r="F58" s="1187"/>
      <c r="G58" s="1188"/>
      <c r="H58" s="1188"/>
      <c r="I58" s="1188"/>
      <c r="J58" s="1187"/>
      <c r="K58" s="1188"/>
      <c r="L58" s="1189"/>
      <c r="M58" s="1095"/>
      <c r="N58" s="2270"/>
      <c r="O58" s="2270"/>
      <c r="P58" s="2270"/>
      <c r="Q58" s="2270"/>
      <c r="R58" s="2270"/>
      <c r="S58" s="2270"/>
      <c r="T58" s="2270"/>
      <c r="U58" s="2270"/>
      <c r="V58" s="2270"/>
      <c r="W58" s="2270"/>
      <c r="X58" s="2270"/>
      <c r="Y58" s="2270"/>
      <c r="Z58" s="2270"/>
    </row>
    <row r="59" spans="1:26" ht="13.5" thickTop="1" x14ac:dyDescent="0.3">
      <c r="A59" s="2279"/>
      <c r="B59" s="1092"/>
      <c r="C59" s="1190"/>
      <c r="D59" s="1094"/>
      <c r="E59" s="1094"/>
      <c r="F59" s="1094"/>
      <c r="G59" s="1094"/>
      <c r="H59" s="1094"/>
      <c r="I59" s="1094"/>
      <c r="J59" s="1094"/>
      <c r="K59" s="1094"/>
      <c r="L59" s="1191"/>
      <c r="M59" s="1095"/>
      <c r="N59" s="2270"/>
      <c r="O59" s="2270"/>
      <c r="P59" s="2270"/>
      <c r="Q59" s="2270"/>
      <c r="R59" s="2270"/>
      <c r="S59" s="2270"/>
      <c r="T59" s="2270"/>
      <c r="U59" s="2270"/>
      <c r="V59" s="2270"/>
      <c r="W59" s="2270"/>
      <c r="X59" s="2270"/>
      <c r="Y59" s="2270"/>
      <c r="Z59" s="2270"/>
    </row>
    <row r="60" spans="1:26" ht="13" x14ac:dyDescent="0.3">
      <c r="A60" s="2279"/>
      <c r="B60" s="1092"/>
      <c r="C60" s="1192"/>
      <c r="D60" s="1094"/>
      <c r="E60" s="1094"/>
      <c r="F60" s="1094"/>
      <c r="G60" s="1094"/>
      <c r="H60" s="1094"/>
      <c r="I60" s="1094"/>
      <c r="J60" s="1094"/>
      <c r="K60" s="1094"/>
      <c r="L60" s="1094"/>
      <c r="M60" s="1095"/>
      <c r="N60" s="2270"/>
      <c r="O60" s="2270"/>
      <c r="P60" s="2270"/>
      <c r="Q60" s="2270"/>
      <c r="R60" s="2270"/>
      <c r="S60" s="2270"/>
      <c r="T60" s="2270"/>
      <c r="U60" s="2270"/>
      <c r="V60" s="2270"/>
      <c r="W60" s="2270"/>
      <c r="X60" s="2270"/>
      <c r="Y60" s="2270"/>
      <c r="Z60" s="2270"/>
    </row>
    <row r="61" spans="1:26" x14ac:dyDescent="0.25">
      <c r="A61" s="2279"/>
      <c r="B61" s="1092"/>
      <c r="C61" s="1112"/>
      <c r="D61" s="1094"/>
      <c r="E61" s="1094"/>
      <c r="F61" s="1094"/>
      <c r="G61" s="1094"/>
      <c r="H61" s="1094"/>
      <c r="I61" s="1094"/>
      <c r="J61" s="1094"/>
      <c r="K61" s="1094"/>
      <c r="L61" s="1094"/>
      <c r="M61" s="1095"/>
      <c r="N61" s="2270"/>
      <c r="O61" s="2270"/>
      <c r="P61" s="2270"/>
      <c r="Q61" s="2270"/>
      <c r="R61" s="2270"/>
      <c r="S61" s="2270"/>
      <c r="T61" s="2270"/>
      <c r="U61" s="2270"/>
      <c r="V61" s="2270"/>
      <c r="W61" s="2270"/>
      <c r="X61" s="2270"/>
      <c r="Y61" s="2270"/>
      <c r="Z61" s="2270"/>
    </row>
    <row r="62" spans="1:26" x14ac:dyDescent="0.25">
      <c r="A62" s="2279"/>
      <c r="B62" s="1092"/>
      <c r="C62" s="1112"/>
      <c r="D62" s="1094"/>
      <c r="E62" s="1094"/>
      <c r="F62" s="1094"/>
      <c r="G62" s="1094"/>
      <c r="H62" s="1094"/>
      <c r="I62" s="1094"/>
      <c r="J62" s="1094"/>
      <c r="K62" s="1094"/>
      <c r="L62" s="1094"/>
      <c r="M62" s="1095"/>
      <c r="N62" s="2270"/>
      <c r="O62" s="2270"/>
      <c r="P62" s="2270"/>
      <c r="Q62" s="2270"/>
      <c r="R62" s="2270"/>
      <c r="S62" s="2270"/>
      <c r="T62" s="2270"/>
      <c r="U62" s="2270"/>
      <c r="V62" s="2270"/>
      <c r="W62" s="2270"/>
      <c r="X62" s="2270"/>
      <c r="Y62" s="2270"/>
      <c r="Z62" s="2270"/>
    </row>
    <row r="63" spans="1:26" x14ac:dyDescent="0.25">
      <c r="A63" s="2279"/>
      <c r="B63" s="1168"/>
      <c r="C63" s="1147"/>
      <c r="D63" s="1105"/>
      <c r="E63" s="1105"/>
      <c r="F63" s="1105"/>
      <c r="G63" s="1105"/>
      <c r="H63" s="1105"/>
      <c r="I63" s="1105"/>
      <c r="J63" s="1105"/>
      <c r="K63" s="1105"/>
      <c r="L63" s="1105"/>
      <c r="M63" s="1171"/>
      <c r="N63" s="2270"/>
      <c r="O63" s="2270"/>
      <c r="P63" s="2270"/>
      <c r="Q63" s="2270"/>
      <c r="R63" s="2270"/>
      <c r="S63" s="2270"/>
      <c r="T63" s="2270"/>
      <c r="U63" s="2270"/>
      <c r="V63" s="2270"/>
      <c r="W63" s="2270"/>
      <c r="X63" s="2270"/>
      <c r="Y63" s="2270"/>
      <c r="Z63" s="2270"/>
    </row>
    <row r="64" spans="1:26" x14ac:dyDescent="0.25">
      <c r="A64" s="2279"/>
      <c r="B64" s="2284"/>
      <c r="C64" s="2284"/>
      <c r="D64" s="2284"/>
      <c r="E64" s="2284"/>
      <c r="F64" s="2284"/>
      <c r="G64" s="2284"/>
      <c r="H64" s="2284"/>
      <c r="I64" s="2284"/>
      <c r="J64" s="2284"/>
      <c r="K64" s="2284"/>
      <c r="L64" s="2284"/>
      <c r="M64" s="2284"/>
      <c r="N64" s="2270"/>
      <c r="O64" s="2270"/>
      <c r="P64" s="2270"/>
      <c r="Q64" s="2270"/>
      <c r="R64" s="2270"/>
      <c r="S64" s="2270"/>
      <c r="T64" s="2270"/>
      <c r="U64" s="2270"/>
      <c r="V64" s="2270"/>
      <c r="W64" s="2270"/>
      <c r="X64" s="2270"/>
      <c r="Y64" s="2270"/>
      <c r="Z64" s="2270"/>
    </row>
    <row r="65" spans="1:26" x14ac:dyDescent="0.25">
      <c r="A65" s="2279"/>
      <c r="B65" s="1086"/>
      <c r="C65" s="1087"/>
      <c r="D65" s="1087"/>
      <c r="E65" s="1087"/>
      <c r="F65" s="1087"/>
      <c r="G65" s="1087"/>
      <c r="H65" s="1087"/>
      <c r="I65" s="1087"/>
      <c r="J65" s="1087"/>
      <c r="K65" s="1087"/>
      <c r="L65" s="1087"/>
      <c r="M65" s="1090"/>
      <c r="N65" s="2270"/>
      <c r="O65" s="2270"/>
      <c r="P65" s="2270"/>
      <c r="Q65" s="2270"/>
      <c r="R65" s="2270"/>
      <c r="S65" s="2270"/>
      <c r="T65" s="2270"/>
      <c r="U65" s="2270"/>
      <c r="V65" s="2270"/>
      <c r="W65" s="2270"/>
      <c r="X65" s="2270"/>
      <c r="Y65" s="2270"/>
      <c r="Z65" s="2270"/>
    </row>
    <row r="66" spans="1:26" ht="15.5" x14ac:dyDescent="0.35">
      <c r="A66" s="2279"/>
      <c r="B66" s="1168"/>
      <c r="C66" s="1193"/>
      <c r="D66" s="1194"/>
      <c r="E66" s="1195"/>
      <c r="F66" s="1105"/>
      <c r="G66" s="1105"/>
      <c r="H66" s="1105"/>
      <c r="I66" s="1105"/>
      <c r="J66" s="1105"/>
      <c r="K66" s="1105"/>
      <c r="L66" s="1196"/>
      <c r="M66" s="1171"/>
      <c r="N66" s="2270"/>
      <c r="O66" s="2270"/>
      <c r="P66" s="2270"/>
      <c r="Q66" s="2270"/>
      <c r="R66" s="2270"/>
      <c r="S66" s="2270"/>
      <c r="T66" s="2270"/>
      <c r="U66" s="2270"/>
      <c r="V66" s="2270"/>
      <c r="W66" s="2270"/>
      <c r="X66" s="2270"/>
      <c r="Y66" s="2270"/>
      <c r="Z66" s="2270"/>
    </row>
    <row r="67" spans="1:26" x14ac:dyDescent="0.25">
      <c r="A67" s="2271"/>
      <c r="B67" s="2279"/>
      <c r="C67" s="2279"/>
      <c r="D67" s="2279"/>
      <c r="E67" s="2279"/>
      <c r="F67" s="2279"/>
      <c r="G67" s="2279"/>
      <c r="H67" s="2279"/>
      <c r="I67" s="2279"/>
      <c r="J67" s="2279"/>
      <c r="K67" s="2279"/>
      <c r="L67" s="2279"/>
      <c r="M67" s="2279"/>
      <c r="N67" s="2270"/>
      <c r="O67" s="2270"/>
      <c r="P67" s="2270"/>
      <c r="Q67" s="2270"/>
      <c r="R67" s="2270"/>
      <c r="S67" s="2270"/>
      <c r="T67" s="2270"/>
      <c r="U67" s="2270"/>
      <c r="V67" s="2270"/>
      <c r="W67" s="2270"/>
      <c r="X67" s="2270"/>
      <c r="Y67" s="2270"/>
      <c r="Z67" s="2270"/>
    </row>
    <row r="68" spans="1:26" x14ac:dyDescent="0.25">
      <c r="A68" s="2279"/>
      <c r="B68" s="2279"/>
      <c r="C68" s="2279"/>
      <c r="D68" s="2279"/>
      <c r="E68" s="2279"/>
      <c r="F68" s="2279"/>
      <c r="G68" s="2279"/>
      <c r="H68" s="2279"/>
      <c r="I68" s="2279"/>
      <c r="J68" s="2279"/>
      <c r="K68" s="2279"/>
      <c r="L68" s="2279"/>
      <c r="M68" s="2279"/>
      <c r="N68" s="2270"/>
      <c r="O68" s="2270"/>
      <c r="P68" s="2270"/>
      <c r="Q68" s="2270"/>
      <c r="R68" s="2270"/>
      <c r="S68" s="2270"/>
      <c r="T68" s="2270"/>
      <c r="U68" s="2270"/>
      <c r="V68" s="2270"/>
      <c r="W68" s="2270"/>
      <c r="X68" s="2270"/>
      <c r="Y68" s="2270"/>
      <c r="Z68" s="2270"/>
    </row>
    <row r="69" spans="1:26" x14ac:dyDescent="0.25">
      <c r="A69" s="2279"/>
      <c r="B69" s="2279"/>
      <c r="C69" s="2279"/>
      <c r="D69" s="2279"/>
      <c r="E69" s="2279"/>
      <c r="F69" s="2279"/>
      <c r="G69" s="2279"/>
      <c r="H69" s="2279"/>
      <c r="I69" s="2279"/>
      <c r="J69" s="2279"/>
      <c r="K69" s="2279"/>
      <c r="L69" s="2279"/>
      <c r="M69" s="2279"/>
      <c r="N69" s="2270"/>
      <c r="O69" s="2270"/>
      <c r="P69" s="2270"/>
      <c r="Q69" s="2270"/>
      <c r="R69" s="2270"/>
      <c r="S69" s="2270"/>
      <c r="T69" s="2270"/>
      <c r="U69" s="2270"/>
      <c r="V69" s="2270"/>
      <c r="W69" s="2270"/>
      <c r="X69" s="2270"/>
      <c r="Y69" s="2270"/>
      <c r="Z69" s="2270"/>
    </row>
    <row r="70" spans="1:26" x14ac:dyDescent="0.25">
      <c r="A70" s="2279"/>
      <c r="B70" s="2279"/>
      <c r="C70" s="2279"/>
      <c r="D70" s="2279"/>
      <c r="E70" s="2279"/>
      <c r="F70" s="2279"/>
      <c r="G70" s="2279"/>
      <c r="H70" s="2279"/>
      <c r="I70" s="2279"/>
      <c r="J70" s="2279"/>
      <c r="K70" s="2279"/>
      <c r="L70" s="2279"/>
      <c r="M70" s="2279"/>
      <c r="N70" s="2270"/>
      <c r="O70" s="2270"/>
      <c r="P70" s="2270"/>
      <c r="Q70" s="2270"/>
      <c r="R70" s="2270"/>
      <c r="S70" s="2270"/>
      <c r="T70" s="2270"/>
      <c r="U70" s="2270"/>
      <c r="V70" s="2270"/>
      <c r="W70" s="2270"/>
      <c r="X70" s="2270"/>
      <c r="Y70" s="2270"/>
      <c r="Z70" s="2270"/>
    </row>
    <row r="71" spans="1:26" x14ac:dyDescent="0.25">
      <c r="A71" s="2279"/>
      <c r="B71" s="2279"/>
      <c r="C71" s="2279"/>
      <c r="D71" s="2279"/>
      <c r="E71" s="2279"/>
      <c r="F71" s="2279"/>
      <c r="G71" s="2279"/>
      <c r="H71" s="2279"/>
      <c r="I71" s="2279"/>
      <c r="J71" s="2279"/>
      <c r="K71" s="2279"/>
      <c r="L71" s="2279"/>
      <c r="M71" s="2279"/>
      <c r="N71" s="2270"/>
      <c r="O71" s="2270"/>
      <c r="P71" s="2270"/>
      <c r="Q71" s="2270"/>
      <c r="R71" s="2270"/>
      <c r="S71" s="2270"/>
      <c r="T71" s="2270"/>
      <c r="U71" s="2270"/>
      <c r="V71" s="2270"/>
      <c r="W71" s="2270"/>
      <c r="X71" s="2270"/>
      <c r="Y71" s="2270"/>
      <c r="Z71" s="2270"/>
    </row>
    <row r="72" spans="1:26" x14ac:dyDescent="0.25">
      <c r="A72" s="2279"/>
      <c r="B72" s="2279"/>
      <c r="C72" s="2279"/>
      <c r="D72" s="2279"/>
      <c r="E72" s="2279"/>
      <c r="F72" s="2279"/>
      <c r="G72" s="2279"/>
      <c r="H72" s="2279"/>
      <c r="I72" s="2279"/>
      <c r="J72" s="2279"/>
      <c r="K72" s="2279"/>
      <c r="L72" s="2279"/>
      <c r="M72" s="2279"/>
      <c r="N72" s="2270"/>
      <c r="O72" s="2270"/>
      <c r="P72" s="2270"/>
      <c r="Q72" s="2270"/>
      <c r="R72" s="2270"/>
      <c r="S72" s="2270"/>
      <c r="T72" s="2270"/>
      <c r="U72" s="2270"/>
      <c r="V72" s="2270"/>
      <c r="W72" s="2270"/>
      <c r="X72" s="2270"/>
      <c r="Y72" s="2270"/>
      <c r="Z72" s="2270"/>
    </row>
    <row r="73" spans="1:26" x14ac:dyDescent="0.25">
      <c r="A73" s="2279"/>
      <c r="B73" s="2279"/>
      <c r="C73" s="2279"/>
      <c r="D73" s="2279"/>
      <c r="E73" s="2279"/>
      <c r="F73" s="2279"/>
      <c r="G73" s="2279"/>
      <c r="H73" s="2279"/>
      <c r="I73" s="2279"/>
      <c r="J73" s="2279"/>
      <c r="K73" s="2279"/>
      <c r="L73" s="2279"/>
      <c r="M73" s="2279"/>
      <c r="N73" s="2270"/>
      <c r="O73" s="2270"/>
      <c r="P73" s="2270"/>
      <c r="Q73" s="2270"/>
      <c r="R73" s="2270"/>
      <c r="S73" s="2270"/>
      <c r="T73" s="2270"/>
      <c r="U73" s="2270"/>
      <c r="V73" s="2270"/>
      <c r="W73" s="2270"/>
      <c r="X73" s="2270"/>
      <c r="Y73" s="2270"/>
      <c r="Z73" s="2270"/>
    </row>
    <row r="74" spans="1:26" x14ac:dyDescent="0.25">
      <c r="A74" s="2279"/>
      <c r="B74" s="2279"/>
      <c r="C74" s="2279"/>
      <c r="D74" s="2279"/>
      <c r="E74" s="2279"/>
      <c r="F74" s="2279"/>
      <c r="G74" s="2279"/>
      <c r="H74" s="2279"/>
      <c r="I74" s="2279"/>
      <c r="J74" s="2279"/>
      <c r="K74" s="2279"/>
      <c r="L74" s="2279"/>
      <c r="M74" s="2279"/>
      <c r="N74" s="2270"/>
      <c r="O74" s="2270"/>
      <c r="P74" s="2270"/>
      <c r="Q74" s="2270"/>
      <c r="R74" s="2270"/>
      <c r="S74" s="2270"/>
      <c r="T74" s="2270"/>
      <c r="U74" s="2270"/>
      <c r="V74" s="2270"/>
      <c r="W74" s="2270"/>
      <c r="X74" s="2270"/>
      <c r="Y74" s="2270"/>
      <c r="Z74" s="2270"/>
    </row>
    <row r="75" spans="1:26" x14ac:dyDescent="0.25">
      <c r="A75" s="2279"/>
      <c r="B75" s="2279"/>
      <c r="C75" s="2279"/>
      <c r="D75" s="2279"/>
      <c r="E75" s="2279"/>
      <c r="F75" s="2279"/>
      <c r="G75" s="2279"/>
      <c r="H75" s="2279"/>
      <c r="I75" s="2279"/>
      <c r="J75" s="2279"/>
      <c r="K75" s="2279"/>
      <c r="L75" s="2279"/>
      <c r="M75" s="2279"/>
      <c r="N75" s="2270"/>
      <c r="O75" s="2270"/>
      <c r="P75" s="2270"/>
      <c r="Q75" s="2270"/>
      <c r="R75" s="2270"/>
      <c r="S75" s="2270"/>
      <c r="T75" s="2270"/>
      <c r="U75" s="2270"/>
      <c r="V75" s="2270"/>
      <c r="W75" s="2270"/>
      <c r="X75" s="2270"/>
      <c r="Y75" s="2270"/>
      <c r="Z75" s="2270"/>
    </row>
    <row r="76" spans="1:26" x14ac:dyDescent="0.25">
      <c r="A76" s="2279"/>
      <c r="B76" s="2279"/>
      <c r="C76" s="2279"/>
      <c r="D76" s="2279"/>
      <c r="E76" s="2279"/>
      <c r="F76" s="2279"/>
      <c r="G76" s="2279"/>
      <c r="H76" s="2279"/>
      <c r="I76" s="2279"/>
      <c r="J76" s="2279"/>
      <c r="K76" s="2279"/>
      <c r="L76" s="2279"/>
      <c r="M76" s="2279"/>
      <c r="N76" s="2270"/>
      <c r="O76" s="2270"/>
      <c r="P76" s="2270"/>
      <c r="Q76" s="2270"/>
      <c r="R76" s="2270"/>
      <c r="S76" s="2270"/>
      <c r="T76" s="2270"/>
      <c r="U76" s="2270"/>
      <c r="V76" s="2270"/>
      <c r="W76" s="2270"/>
      <c r="X76" s="2270"/>
      <c r="Y76" s="2270"/>
      <c r="Z76" s="2270"/>
    </row>
    <row r="77" spans="1:26" x14ac:dyDescent="0.25">
      <c r="A77" s="2279"/>
      <c r="B77" s="2279"/>
      <c r="C77" s="2279"/>
      <c r="D77" s="2279"/>
      <c r="E77" s="2279"/>
      <c r="F77" s="2279"/>
      <c r="G77" s="2279"/>
      <c r="H77" s="2279"/>
      <c r="I77" s="2279"/>
      <c r="J77" s="2279"/>
      <c r="K77" s="2279"/>
      <c r="L77" s="2279"/>
      <c r="M77" s="2279"/>
      <c r="N77" s="2270"/>
      <c r="O77" s="2270"/>
      <c r="P77" s="2270"/>
      <c r="Q77" s="2270"/>
      <c r="R77" s="2270"/>
      <c r="S77" s="2270"/>
      <c r="T77" s="2270"/>
      <c r="U77" s="2270"/>
      <c r="V77" s="2270"/>
      <c r="W77" s="2270"/>
      <c r="X77" s="2270"/>
      <c r="Y77" s="2270"/>
      <c r="Z77" s="2270"/>
    </row>
    <row r="78" spans="1:26" x14ac:dyDescent="0.25">
      <c r="A78" s="2279"/>
      <c r="B78" s="2279"/>
      <c r="C78" s="2279"/>
      <c r="D78" s="2279"/>
      <c r="E78" s="2279"/>
      <c r="F78" s="2279"/>
      <c r="G78" s="2279"/>
      <c r="H78" s="2279"/>
      <c r="I78" s="2279"/>
      <c r="J78" s="2279"/>
      <c r="K78" s="2279"/>
      <c r="L78" s="2279"/>
      <c r="M78" s="2279"/>
      <c r="N78" s="2270"/>
      <c r="O78" s="2270"/>
      <c r="P78" s="2270"/>
      <c r="Q78" s="2270"/>
      <c r="R78" s="2270"/>
      <c r="S78" s="2270"/>
      <c r="T78" s="2270"/>
      <c r="U78" s="2270"/>
      <c r="V78" s="2270"/>
      <c r="W78" s="2270"/>
      <c r="X78" s="2270"/>
      <c r="Y78" s="2270"/>
      <c r="Z78" s="2270"/>
    </row>
    <row r="79" spans="1:26" x14ac:dyDescent="0.25">
      <c r="A79" s="2279"/>
      <c r="B79" s="2279"/>
      <c r="C79" s="2279"/>
      <c r="D79" s="2279"/>
      <c r="E79" s="2279"/>
      <c r="F79" s="2279"/>
      <c r="G79" s="2279"/>
      <c r="H79" s="2279"/>
      <c r="I79" s="2279"/>
      <c r="J79" s="2279"/>
      <c r="K79" s="2279"/>
      <c r="L79" s="2279"/>
      <c r="M79" s="2279"/>
      <c r="N79" s="2270"/>
      <c r="O79" s="2270"/>
      <c r="P79" s="2270"/>
      <c r="Q79" s="2270"/>
      <c r="R79" s="2270"/>
      <c r="S79" s="2270"/>
      <c r="T79" s="2270"/>
      <c r="U79" s="2270"/>
      <c r="V79" s="2270"/>
      <c r="W79" s="2270"/>
      <c r="X79" s="2270"/>
      <c r="Y79" s="2270"/>
      <c r="Z79" s="2270"/>
    </row>
    <row r="80" spans="1:26" x14ac:dyDescent="0.25">
      <c r="A80" s="2279"/>
      <c r="B80" s="2279"/>
      <c r="C80" s="2279"/>
      <c r="D80" s="2279"/>
      <c r="E80" s="2279"/>
      <c r="F80" s="2279"/>
      <c r="G80" s="2279"/>
      <c r="H80" s="2279"/>
      <c r="I80" s="2279"/>
      <c r="J80" s="2279"/>
      <c r="K80" s="2279"/>
      <c r="L80" s="2279"/>
      <c r="M80" s="2279"/>
      <c r="N80" s="2270"/>
      <c r="O80" s="2270"/>
      <c r="P80" s="2270"/>
      <c r="Q80" s="2270"/>
      <c r="R80" s="2270"/>
      <c r="S80" s="2270"/>
      <c r="T80" s="2270"/>
      <c r="U80" s="2270"/>
      <c r="V80" s="2270"/>
      <c r="W80" s="2270"/>
      <c r="X80" s="2270"/>
      <c r="Y80" s="2270"/>
      <c r="Z80" s="2270"/>
    </row>
    <row r="81" spans="1:26" x14ac:dyDescent="0.25">
      <c r="A81" s="2279"/>
      <c r="B81" s="2279"/>
      <c r="C81" s="2279"/>
      <c r="D81" s="2279"/>
      <c r="E81" s="2279"/>
      <c r="F81" s="2279"/>
      <c r="G81" s="2279"/>
      <c r="H81" s="2279"/>
      <c r="I81" s="2279"/>
      <c r="J81" s="2279"/>
      <c r="K81" s="2279"/>
      <c r="L81" s="2279"/>
      <c r="M81" s="2279"/>
      <c r="N81" s="2270"/>
      <c r="O81" s="2270"/>
      <c r="P81" s="2270"/>
      <c r="Q81" s="2270"/>
      <c r="R81" s="2270"/>
      <c r="S81" s="2270"/>
      <c r="T81" s="2270"/>
      <c r="U81" s="2270"/>
      <c r="V81" s="2270"/>
      <c r="W81" s="2270"/>
      <c r="X81" s="2270"/>
      <c r="Y81" s="2270"/>
      <c r="Z81" s="2270"/>
    </row>
    <row r="82" spans="1:26" x14ac:dyDescent="0.25">
      <c r="A82" s="2279"/>
      <c r="B82" s="2279"/>
      <c r="C82" s="2279"/>
      <c r="D82" s="2279"/>
      <c r="E82" s="2279"/>
      <c r="F82" s="2279"/>
      <c r="G82" s="2279"/>
      <c r="H82" s="2279"/>
      <c r="I82" s="2279"/>
      <c r="J82" s="2279"/>
      <c r="K82" s="2279"/>
      <c r="L82" s="2279"/>
      <c r="M82" s="2279"/>
      <c r="N82" s="2270"/>
      <c r="O82" s="2270"/>
      <c r="P82" s="2270"/>
      <c r="Q82" s="2270"/>
      <c r="R82" s="2270"/>
      <c r="S82" s="2270"/>
      <c r="T82" s="2270"/>
      <c r="U82" s="2270"/>
      <c r="V82" s="2270"/>
      <c r="W82" s="2270"/>
      <c r="X82" s="2270"/>
      <c r="Y82" s="2270"/>
      <c r="Z82" s="2270"/>
    </row>
    <row r="83" spans="1:26" x14ac:dyDescent="0.25">
      <c r="A83" s="2279"/>
      <c r="B83" s="2279"/>
      <c r="C83" s="2279"/>
      <c r="D83" s="2279"/>
      <c r="E83" s="2279"/>
      <c r="F83" s="2279"/>
      <c r="G83" s="2279"/>
      <c r="H83" s="2279"/>
      <c r="I83" s="2279"/>
      <c r="J83" s="2279"/>
      <c r="K83" s="2279"/>
      <c r="L83" s="2279"/>
      <c r="M83" s="2279"/>
      <c r="N83" s="2270"/>
      <c r="O83" s="2270"/>
      <c r="P83" s="2270"/>
      <c r="Q83" s="2270"/>
      <c r="R83" s="2270"/>
      <c r="S83" s="2270"/>
      <c r="T83" s="2270"/>
      <c r="U83" s="2270"/>
      <c r="V83" s="2270"/>
      <c r="W83" s="2270"/>
      <c r="X83" s="2270"/>
      <c r="Y83" s="2270"/>
      <c r="Z83" s="2270"/>
    </row>
    <row r="84" spans="1:26" x14ac:dyDescent="0.25">
      <c r="A84" s="2279"/>
      <c r="B84" s="2279"/>
      <c r="C84" s="2279"/>
      <c r="D84" s="2279"/>
      <c r="E84" s="2279"/>
      <c r="F84" s="2279"/>
      <c r="G84" s="2279"/>
      <c r="H84" s="2279"/>
      <c r="I84" s="2279"/>
      <c r="J84" s="2279"/>
      <c r="K84" s="2279"/>
      <c r="L84" s="2279"/>
      <c r="M84" s="2279"/>
      <c r="N84" s="2270"/>
      <c r="O84" s="2270"/>
      <c r="P84" s="2270"/>
      <c r="Q84" s="2270"/>
      <c r="R84" s="2270"/>
      <c r="S84" s="2270"/>
      <c r="T84" s="2270"/>
      <c r="U84" s="2270"/>
      <c r="V84" s="2270"/>
      <c r="W84" s="2270"/>
      <c r="X84" s="2270"/>
      <c r="Y84" s="2270"/>
      <c r="Z84" s="2270"/>
    </row>
    <row r="85" spans="1:26" x14ac:dyDescent="0.25">
      <c r="A85" s="2279"/>
      <c r="B85" s="2279"/>
      <c r="C85" s="2279"/>
      <c r="D85" s="2279"/>
      <c r="E85" s="2279"/>
      <c r="F85" s="2279"/>
      <c r="G85" s="2279"/>
      <c r="H85" s="2279"/>
      <c r="I85" s="2279"/>
      <c r="J85" s="2279"/>
      <c r="K85" s="2279"/>
      <c r="L85" s="2279"/>
      <c r="M85" s="2279"/>
      <c r="N85" s="2270"/>
      <c r="O85" s="2270"/>
      <c r="P85" s="2270"/>
      <c r="Q85" s="2270"/>
      <c r="R85" s="2270"/>
      <c r="S85" s="2270"/>
      <c r="T85" s="2270"/>
      <c r="U85" s="2270"/>
      <c r="V85" s="2270"/>
      <c r="W85" s="2270"/>
      <c r="X85" s="2270"/>
      <c r="Y85" s="2270"/>
      <c r="Z85" s="2270"/>
    </row>
    <row r="86" spans="1:26" x14ac:dyDescent="0.25">
      <c r="A86" s="2279"/>
      <c r="B86" s="2279"/>
      <c r="C86" s="2279"/>
      <c r="D86" s="2279"/>
      <c r="E86" s="2279"/>
      <c r="F86" s="2279"/>
      <c r="G86" s="2279"/>
      <c r="H86" s="2279"/>
      <c r="I86" s="2279"/>
      <c r="J86" s="2279"/>
      <c r="K86" s="2279"/>
      <c r="L86" s="2279"/>
      <c r="M86" s="2279"/>
      <c r="N86" s="2270"/>
      <c r="O86" s="2270"/>
      <c r="P86" s="2270"/>
      <c r="Q86" s="2270"/>
      <c r="R86" s="2270"/>
      <c r="S86" s="2270"/>
      <c r="T86" s="2270"/>
      <c r="U86" s="2270"/>
      <c r="V86" s="2270"/>
      <c r="W86" s="2270"/>
      <c r="X86" s="2270"/>
      <c r="Y86" s="2270"/>
      <c r="Z86" s="2270"/>
    </row>
    <row r="87" spans="1:26" x14ac:dyDescent="0.25">
      <c r="A87" s="2279"/>
      <c r="B87" s="2279"/>
      <c r="C87" s="2279"/>
      <c r="D87" s="2279"/>
      <c r="E87" s="2279"/>
      <c r="F87" s="2279"/>
      <c r="G87" s="2279"/>
      <c r="H87" s="2279"/>
      <c r="I87" s="2279"/>
      <c r="J87" s="2279"/>
      <c r="K87" s="2279"/>
      <c r="L87" s="2279"/>
      <c r="M87" s="2279"/>
      <c r="N87" s="2270"/>
      <c r="O87" s="2270"/>
      <c r="P87" s="2270"/>
      <c r="Q87" s="2270"/>
      <c r="R87" s="2270"/>
      <c r="S87" s="2270"/>
      <c r="T87" s="2270"/>
      <c r="U87" s="2270"/>
      <c r="V87" s="2270"/>
      <c r="W87" s="2270"/>
      <c r="X87" s="2270"/>
      <c r="Y87" s="2270"/>
      <c r="Z87" s="2270"/>
    </row>
    <row r="88" spans="1:26" x14ac:dyDescent="0.25">
      <c r="A88" s="2279"/>
      <c r="B88" s="2279"/>
      <c r="C88" s="2279"/>
      <c r="D88" s="2279"/>
      <c r="E88" s="2279"/>
      <c r="F88" s="2279"/>
      <c r="G88" s="2279"/>
      <c r="H88" s="2279"/>
      <c r="I88" s="2279"/>
      <c r="J88" s="2279"/>
      <c r="K88" s="2279"/>
      <c r="L88" s="2279"/>
      <c r="M88" s="2279"/>
      <c r="N88" s="2270"/>
      <c r="O88" s="2270"/>
      <c r="P88" s="2270"/>
      <c r="Q88" s="2270"/>
      <c r="R88" s="2270"/>
      <c r="S88" s="2270"/>
      <c r="T88" s="2270"/>
      <c r="U88" s="2270"/>
      <c r="V88" s="2270"/>
      <c r="W88" s="2270"/>
      <c r="X88" s="2270"/>
      <c r="Y88" s="2270"/>
      <c r="Z88" s="2270"/>
    </row>
    <row r="89" spans="1:26" x14ac:dyDescent="0.25">
      <c r="A89" s="2279"/>
      <c r="B89" s="2279"/>
      <c r="C89" s="2279"/>
      <c r="D89" s="2279"/>
      <c r="E89" s="2279"/>
      <c r="F89" s="2279"/>
      <c r="G89" s="2279"/>
      <c r="H89" s="2279"/>
      <c r="I89" s="2279"/>
      <c r="J89" s="2279"/>
      <c r="K89" s="2279"/>
      <c r="L89" s="2279"/>
      <c r="M89" s="2279"/>
      <c r="N89" s="2270"/>
      <c r="O89" s="2270"/>
      <c r="P89" s="2270"/>
      <c r="Q89" s="2270"/>
      <c r="R89" s="2270"/>
      <c r="S89" s="2270"/>
      <c r="T89" s="2270"/>
      <c r="U89" s="2270"/>
      <c r="V89" s="2270"/>
      <c r="W89" s="2270"/>
      <c r="X89" s="2270"/>
      <c r="Y89" s="2270"/>
      <c r="Z89" s="2270"/>
    </row>
    <row r="90" spans="1:26" x14ac:dyDescent="0.25">
      <c r="A90" s="2279"/>
      <c r="B90" s="2279"/>
      <c r="C90" s="2279"/>
      <c r="D90" s="2279"/>
      <c r="E90" s="2279"/>
      <c r="F90" s="2279"/>
      <c r="G90" s="2279"/>
      <c r="H90" s="2279"/>
      <c r="I90" s="2279"/>
      <c r="J90" s="2279"/>
      <c r="K90" s="2279"/>
      <c r="L90" s="2279"/>
      <c r="M90" s="2279"/>
      <c r="N90" s="2270"/>
      <c r="O90" s="2270"/>
      <c r="P90" s="2270"/>
      <c r="Q90" s="2270"/>
      <c r="R90" s="2270"/>
      <c r="S90" s="2270"/>
      <c r="T90" s="2270"/>
      <c r="U90" s="2270"/>
      <c r="V90" s="2270"/>
      <c r="W90" s="2270"/>
      <c r="X90" s="2270"/>
      <c r="Y90" s="2270"/>
      <c r="Z90" s="2270"/>
    </row>
    <row r="91" spans="1:26" x14ac:dyDescent="0.25">
      <c r="A91" s="2279"/>
      <c r="B91" s="2279"/>
      <c r="C91" s="2279"/>
      <c r="D91" s="2279"/>
      <c r="E91" s="2279"/>
      <c r="F91" s="2279"/>
      <c r="G91" s="2279"/>
      <c r="H91" s="2279"/>
      <c r="I91" s="2279"/>
      <c r="J91" s="2279"/>
      <c r="K91" s="2279"/>
      <c r="L91" s="2279"/>
      <c r="M91" s="2279"/>
      <c r="N91" s="2270"/>
      <c r="O91" s="2270"/>
      <c r="P91" s="2270"/>
      <c r="Q91" s="2270"/>
      <c r="R91" s="2270"/>
      <c r="S91" s="2270"/>
      <c r="T91" s="2270"/>
      <c r="U91" s="2270"/>
      <c r="V91" s="2270"/>
      <c r="W91" s="2270"/>
      <c r="X91" s="2270"/>
      <c r="Y91" s="2270"/>
      <c r="Z91" s="2270"/>
    </row>
    <row r="92" spans="1:26" x14ac:dyDescent="0.25">
      <c r="A92" s="2279"/>
      <c r="B92" s="2279"/>
      <c r="C92" s="2279"/>
      <c r="D92" s="2279"/>
      <c r="E92" s="2279"/>
      <c r="F92" s="2279"/>
      <c r="G92" s="2279"/>
      <c r="H92" s="2279"/>
      <c r="I92" s="2279"/>
      <c r="J92" s="2279"/>
      <c r="K92" s="2279"/>
      <c r="L92" s="2279"/>
      <c r="M92" s="2279"/>
      <c r="N92" s="2270"/>
      <c r="O92" s="2270"/>
      <c r="P92" s="2270"/>
      <c r="Q92" s="2270"/>
      <c r="R92" s="2270"/>
      <c r="S92" s="2270"/>
      <c r="T92" s="2270"/>
      <c r="U92" s="2270"/>
      <c r="V92" s="2270"/>
      <c r="W92" s="2270"/>
      <c r="X92" s="2270"/>
      <c r="Y92" s="2270"/>
      <c r="Z92" s="2270"/>
    </row>
    <row r="93" spans="1:26" x14ac:dyDescent="0.25">
      <c r="A93" s="2279"/>
      <c r="B93" s="2279"/>
      <c r="C93" s="2279"/>
      <c r="D93" s="2279"/>
      <c r="E93" s="2279"/>
      <c r="F93" s="2279"/>
      <c r="G93" s="2279"/>
      <c r="H93" s="2279"/>
      <c r="I93" s="2279"/>
      <c r="J93" s="2279"/>
      <c r="K93" s="2279"/>
      <c r="L93" s="2279"/>
      <c r="M93" s="2279"/>
      <c r="N93" s="2270"/>
      <c r="O93" s="2270"/>
      <c r="P93" s="2270"/>
      <c r="Q93" s="2270"/>
      <c r="R93" s="2270"/>
      <c r="S93" s="2270"/>
      <c r="T93" s="2270"/>
      <c r="U93" s="2270"/>
      <c r="V93" s="2270"/>
      <c r="W93" s="2270"/>
      <c r="X93" s="2270"/>
      <c r="Y93" s="2270"/>
      <c r="Z93" s="2270"/>
    </row>
    <row r="94" spans="1:26" x14ac:dyDescent="0.25">
      <c r="A94" s="2279"/>
      <c r="B94" s="2279"/>
      <c r="C94" s="2279"/>
      <c r="D94" s="2279"/>
      <c r="E94" s="2279"/>
      <c r="F94" s="2279"/>
      <c r="G94" s="2279"/>
      <c r="H94" s="2279"/>
      <c r="I94" s="2279"/>
      <c r="J94" s="2279"/>
      <c r="K94" s="2279"/>
      <c r="L94" s="2279"/>
      <c r="M94" s="2279"/>
      <c r="N94" s="2270"/>
      <c r="O94" s="2270"/>
      <c r="P94" s="2270"/>
      <c r="Q94" s="2270"/>
      <c r="R94" s="2270"/>
      <c r="S94" s="2270"/>
      <c r="T94" s="2270"/>
      <c r="U94" s="2270"/>
      <c r="V94" s="2270"/>
      <c r="W94" s="2270"/>
      <c r="X94" s="2270"/>
      <c r="Y94" s="2270"/>
      <c r="Z94" s="2270"/>
    </row>
  </sheetData>
  <conditionalFormatting sqref="C9:L9">
    <cfRule type="expression" dxfId="9" priority="1" stopIfTrue="1">
      <formula>$AK$12=2</formula>
    </cfRule>
  </conditionalFormatting>
  <pageMargins left="0.78" right="0.38" top="0.74" bottom="1" header="0.45" footer="0.5"/>
  <pageSetup paperSize="9" scale="95" orientation="portrait" blackAndWhite="1" verticalDpi="1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21" r:id="rId4" name="basic2button">
              <controlPr defaultSize="0" print="0" autoFill="0" autoPict="0" macro="[0]!returnfromcopy">
                <anchor moveWithCells="1" sizeWithCells="1">
                  <from>
                    <xdr:col>13</xdr:col>
                    <xdr:colOff>355600</xdr:colOff>
                    <xdr:row>1</xdr:row>
                    <xdr:rowOff>0</xdr:rowOff>
                  </from>
                  <to>
                    <xdr:col>14</xdr:col>
                    <xdr:colOff>463550</xdr:colOff>
                    <xdr:row>3</xdr:row>
                    <xdr:rowOff>44450</xdr:rowOff>
                  </to>
                </anchor>
              </controlPr>
            </control>
          </mc:Choice>
        </mc:AlternateContent>
        <mc:AlternateContent xmlns:mc="http://schemas.openxmlformats.org/markup-compatibility/2006">
          <mc:Choice Requires="x14">
            <control shapeId="102422" r:id="rId5" name="basic2delbutton">
              <controlPr defaultSize="0" print="0" autoFill="0" autoPict="0" macro="[0]!delete_basic2button">
                <anchor moveWithCells="1" sizeWithCells="1">
                  <from>
                    <xdr:col>13</xdr:col>
                    <xdr:colOff>355600</xdr:colOff>
                    <xdr:row>3</xdr:row>
                    <xdr:rowOff>63500</xdr:rowOff>
                  </from>
                  <to>
                    <xdr:col>14</xdr:col>
                    <xdr:colOff>463550</xdr:colOff>
                    <xdr:row>5</xdr:row>
                    <xdr:rowOff>38100</xdr:rowOff>
                  </to>
                </anchor>
              </controlPr>
            </control>
          </mc:Choice>
        </mc:AlternateContent>
        <mc:AlternateContent xmlns:mc="http://schemas.openxmlformats.org/markup-compatibility/2006">
          <mc:Choice Requires="x14">
            <control shapeId="102423" r:id="rId6" name="pdfbutton">
              <controlPr defaultSize="0" print="0" autoFill="0" autoPict="0" macro="[0]!nya">
                <anchor moveWithCells="1" sizeWithCells="1">
                  <from>
                    <xdr:col>14</xdr:col>
                    <xdr:colOff>609600</xdr:colOff>
                    <xdr:row>0</xdr:row>
                    <xdr:rowOff>139700</xdr:rowOff>
                  </from>
                  <to>
                    <xdr:col>16</xdr:col>
                    <xdr:colOff>254000</xdr:colOff>
                    <xdr:row>3</xdr:row>
                    <xdr:rowOff>127000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5B61A-E208-42F5-A69C-2C4776D17AD0}">
  <sheetPr codeName="Sheet51"/>
  <dimension ref="A1:R57"/>
  <sheetViews>
    <sheetView showGridLines="0" workbookViewId="0"/>
  </sheetViews>
  <sheetFormatPr defaultColWidth="9.08984375" defaultRowHeight="12.5" x14ac:dyDescent="0.25"/>
  <cols>
    <col min="1" max="1" width="19" style="1407" customWidth="1"/>
    <col min="2" max="2" width="2.36328125" style="1407" customWidth="1"/>
    <col min="3" max="3" width="10.36328125" style="1407" customWidth="1"/>
    <col min="4" max="4" width="6.6328125" style="1407" customWidth="1"/>
    <col min="5" max="5" width="11.36328125" style="1407" customWidth="1"/>
    <col min="6" max="6" width="3" style="1407" customWidth="1"/>
    <col min="7" max="7" width="14.6328125" style="1407" customWidth="1"/>
    <col min="8" max="8" width="3" style="1407" customWidth="1"/>
    <col min="9" max="9" width="14.08984375" style="1407" customWidth="1"/>
    <col min="10" max="10" width="3" style="1407" customWidth="1"/>
    <col min="11" max="11" width="13.36328125" style="1407" customWidth="1"/>
    <col min="12" max="12" width="4" style="1407" customWidth="1"/>
    <col min="13" max="13" width="2" style="1407" customWidth="1"/>
    <col min="14" max="14" width="4" style="1407" customWidth="1"/>
    <col min="15" max="15" width="20.6328125" style="1407" customWidth="1"/>
    <col min="16" max="16" width="9.08984375" style="1407"/>
    <col min="17" max="17" width="32.08984375" style="1407" customWidth="1"/>
    <col min="18" max="16384" width="9.08984375" style="1407"/>
  </cols>
  <sheetData>
    <row r="1" spans="1:18" ht="13.5" customHeight="1" x14ac:dyDescent="0.25">
      <c r="A1" s="1482"/>
      <c r="B1" s="1482"/>
      <c r="C1" s="1483"/>
      <c r="D1" s="1482"/>
      <c r="E1" s="1482"/>
      <c r="F1" s="1482"/>
      <c r="G1" s="1482"/>
      <c r="H1" s="1482"/>
      <c r="I1" s="1482"/>
      <c r="J1" s="1482"/>
      <c r="K1" s="1482"/>
      <c r="L1" s="1482"/>
      <c r="M1" s="1482"/>
      <c r="N1" s="1482"/>
      <c r="O1" s="1482"/>
      <c r="P1" s="1482"/>
      <c r="Q1" s="1482"/>
      <c r="R1" s="1482"/>
    </row>
    <row r="2" spans="1:18" ht="8.25" customHeight="1" x14ac:dyDescent="0.25">
      <c r="A2" s="1484"/>
      <c r="B2" s="1485"/>
      <c r="C2" s="1482"/>
      <c r="D2" s="1482"/>
      <c r="E2" s="1486"/>
      <c r="F2" s="1487"/>
      <c r="G2" s="1487"/>
      <c r="H2" s="1487"/>
      <c r="I2" s="1487"/>
      <c r="J2" s="1487"/>
      <c r="K2" s="1487"/>
      <c r="L2" s="1482"/>
      <c r="M2" s="1482"/>
      <c r="N2" s="1482"/>
      <c r="O2" s="1482"/>
      <c r="P2" s="1482"/>
      <c r="Q2" s="1482"/>
      <c r="R2" s="1482"/>
    </row>
    <row r="3" spans="1:18" ht="6.75" customHeight="1" x14ac:dyDescent="0.25">
      <c r="A3" s="1488"/>
      <c r="B3" s="1482"/>
      <c r="C3" s="1482"/>
      <c r="D3" s="1482"/>
      <c r="E3" s="1482"/>
      <c r="F3" s="1482"/>
      <c r="G3" s="1482"/>
      <c r="H3" s="1482"/>
      <c r="I3" s="1482"/>
      <c r="J3" s="1482"/>
      <c r="K3" s="1482"/>
      <c r="L3" s="1482"/>
      <c r="M3" s="1482"/>
      <c r="N3" s="1482"/>
      <c r="O3" s="1482"/>
      <c r="P3" s="1482"/>
      <c r="Q3" s="1482"/>
      <c r="R3" s="1482"/>
    </row>
    <row r="4" spans="1:18" x14ac:dyDescent="0.25">
      <c r="A4" s="1488"/>
      <c r="K4" s="1414"/>
      <c r="L4" s="1414"/>
      <c r="N4" s="1482"/>
      <c r="O4" s="1482"/>
      <c r="P4" s="1482"/>
      <c r="Q4" s="1482"/>
      <c r="R4" s="1482"/>
    </row>
    <row r="5" spans="1:18" x14ac:dyDescent="0.25">
      <c r="A5" s="1488"/>
      <c r="K5" s="1414"/>
      <c r="L5" s="1414"/>
      <c r="N5" s="1482"/>
      <c r="O5" s="1482"/>
      <c r="P5" s="1482"/>
      <c r="Q5" s="1482"/>
      <c r="R5" s="1482"/>
    </row>
    <row r="6" spans="1:18" x14ac:dyDescent="0.25">
      <c r="A6" s="1482"/>
      <c r="K6" s="1414"/>
      <c r="L6" s="1414"/>
      <c r="N6" s="1482"/>
      <c r="O6" s="1482"/>
      <c r="P6" s="1482"/>
      <c r="Q6" s="1482"/>
      <c r="R6" s="1482"/>
    </row>
    <row r="7" spans="1:18" ht="13" x14ac:dyDescent="0.3">
      <c r="A7" s="1482"/>
      <c r="K7" s="1415"/>
      <c r="L7" s="1414"/>
      <c r="N7" s="1482"/>
      <c r="O7" s="1482"/>
      <c r="P7" s="1482"/>
      <c r="Q7" s="1482"/>
      <c r="R7" s="1482"/>
    </row>
    <row r="8" spans="1:18" ht="69.75" customHeight="1" x14ac:dyDescent="0.25">
      <c r="A8" s="1482"/>
      <c r="N8" s="1482"/>
      <c r="O8" s="1482"/>
      <c r="P8" s="1482"/>
      <c r="Q8" s="1482"/>
      <c r="R8" s="1482"/>
    </row>
    <row r="9" spans="1:18" ht="22.5" x14ac:dyDescent="0.45">
      <c r="A9" s="1482"/>
      <c r="C9" s="1416"/>
      <c r="D9" s="1417"/>
      <c r="E9" s="1417"/>
      <c r="F9" s="1417"/>
      <c r="G9" s="1417"/>
      <c r="H9" s="1417"/>
      <c r="I9" s="1417"/>
      <c r="J9" s="1417"/>
      <c r="K9" s="1417"/>
      <c r="L9" s="1417"/>
      <c r="N9" s="1482"/>
      <c r="O9" s="1482"/>
      <c r="P9" s="1482"/>
      <c r="Q9" s="1482"/>
      <c r="R9" s="1482"/>
    </row>
    <row r="10" spans="1:18" x14ac:dyDescent="0.25">
      <c r="A10" s="1482"/>
      <c r="N10" s="1482"/>
      <c r="O10" s="1482"/>
      <c r="P10" s="1482"/>
      <c r="Q10" s="1482"/>
      <c r="R10" s="1482"/>
    </row>
    <row r="11" spans="1:18" ht="17.5" x14ac:dyDescent="0.35">
      <c r="A11" s="1482"/>
      <c r="D11" s="1418"/>
      <c r="E11" s="1418"/>
      <c r="F11" s="1418"/>
      <c r="G11" s="1419"/>
      <c r="H11" s="1418"/>
      <c r="I11" s="1418"/>
      <c r="J11" s="1418"/>
      <c r="K11" s="1418"/>
      <c r="L11" s="1418"/>
      <c r="N11" s="1482"/>
      <c r="O11" s="1482"/>
      <c r="P11" s="1482"/>
      <c r="Q11" s="1482"/>
      <c r="R11" s="1482"/>
    </row>
    <row r="12" spans="1:18" ht="17.5" x14ac:dyDescent="0.35">
      <c r="A12" s="1482"/>
      <c r="D12" s="1421"/>
      <c r="E12" s="1421"/>
      <c r="F12" s="1421"/>
      <c r="G12" s="1419"/>
      <c r="H12" s="1421"/>
      <c r="I12" s="1421"/>
      <c r="J12" s="1421"/>
      <c r="K12" s="1421"/>
      <c r="L12" s="1421"/>
      <c r="N12" s="1482"/>
      <c r="O12" s="1482"/>
      <c r="P12" s="1482"/>
      <c r="Q12" s="1482"/>
      <c r="R12" s="1482"/>
    </row>
    <row r="13" spans="1:18" ht="17.5" x14ac:dyDescent="0.35">
      <c r="A13" s="1482"/>
      <c r="C13" s="1420"/>
      <c r="D13" s="1420"/>
      <c r="E13" s="1420"/>
      <c r="F13" s="1420"/>
      <c r="G13" s="1419"/>
      <c r="H13" s="1420"/>
      <c r="I13" s="1420"/>
      <c r="J13" s="1420"/>
      <c r="K13" s="1420"/>
      <c r="L13" s="1420"/>
      <c r="N13" s="1482"/>
      <c r="O13" s="1482"/>
      <c r="P13" s="1482"/>
      <c r="Q13" s="1482"/>
      <c r="R13" s="1482"/>
    </row>
    <row r="14" spans="1:18" x14ac:dyDescent="0.25">
      <c r="A14" s="1482"/>
      <c r="C14" s="1420"/>
      <c r="D14" s="1420"/>
      <c r="E14" s="1420"/>
      <c r="F14" s="1420"/>
      <c r="G14" s="1420"/>
      <c r="H14" s="1420"/>
      <c r="I14" s="1420"/>
      <c r="J14" s="1420"/>
      <c r="K14" s="1420"/>
      <c r="L14" s="1420"/>
      <c r="N14" s="1482"/>
      <c r="O14" s="1482"/>
      <c r="P14" s="1482"/>
      <c r="Q14" s="1482"/>
      <c r="R14" s="1482"/>
    </row>
    <row r="15" spans="1:18" x14ac:dyDescent="0.25">
      <c r="A15" s="1482"/>
      <c r="C15" s="1420"/>
      <c r="D15" s="1420"/>
      <c r="E15" s="1420"/>
      <c r="F15" s="1420"/>
      <c r="G15" s="1420"/>
      <c r="H15" s="1420"/>
      <c r="I15" s="1420"/>
      <c r="J15" s="1420"/>
      <c r="K15" s="1420"/>
      <c r="L15" s="1420"/>
      <c r="N15" s="1482"/>
      <c r="O15" s="1482"/>
      <c r="P15" s="1482"/>
      <c r="Q15" s="1482"/>
      <c r="R15" s="1482"/>
    </row>
    <row r="16" spans="1:18" ht="13" x14ac:dyDescent="0.3">
      <c r="A16" s="1482"/>
      <c r="C16" s="1422"/>
      <c r="D16" s="1422"/>
      <c r="E16" s="1422"/>
      <c r="F16" s="1422"/>
      <c r="G16" s="1422"/>
      <c r="H16" s="1422"/>
      <c r="I16" s="1422"/>
      <c r="J16" s="1422"/>
      <c r="K16" s="1423"/>
      <c r="L16" s="1422"/>
      <c r="N16" s="1490"/>
      <c r="O16" s="1482"/>
      <c r="P16" s="1482"/>
      <c r="Q16" s="1482"/>
      <c r="R16" s="1482"/>
    </row>
    <row r="17" spans="1:18" ht="13" x14ac:dyDescent="0.3">
      <c r="A17" s="1482"/>
      <c r="C17" s="1425"/>
      <c r="D17" s="1425"/>
      <c r="E17" s="1425"/>
      <c r="F17" s="1425"/>
      <c r="N17" s="1490"/>
      <c r="O17" s="1482"/>
      <c r="P17" s="1482"/>
      <c r="Q17" s="1482"/>
      <c r="R17" s="1482"/>
    </row>
    <row r="18" spans="1:18" s="1427" customFormat="1" ht="25.5" customHeight="1" x14ac:dyDescent="0.25">
      <c r="A18" s="1489"/>
      <c r="C18" s="1428"/>
      <c r="D18" s="1429"/>
      <c r="E18" s="1429"/>
      <c r="F18" s="1430"/>
      <c r="G18" s="1431"/>
      <c r="H18" s="1432"/>
      <c r="I18" s="1431"/>
      <c r="J18" s="1432"/>
      <c r="K18" s="1433"/>
      <c r="L18" s="1432"/>
      <c r="N18" s="1482"/>
      <c r="O18" s="1489"/>
      <c r="P18" s="1489"/>
      <c r="Q18" s="1489"/>
      <c r="R18" s="1489"/>
    </row>
    <row r="19" spans="1:18" x14ac:dyDescent="0.25">
      <c r="A19" s="1482"/>
      <c r="C19" s="1435"/>
      <c r="D19" s="1436"/>
      <c r="E19" s="1436"/>
      <c r="F19" s="1437"/>
      <c r="G19" s="1438"/>
      <c r="H19" s="1439"/>
      <c r="I19" s="1438"/>
      <c r="J19" s="1439"/>
      <c r="K19" s="1435"/>
      <c r="L19" s="1437"/>
      <c r="N19" s="1482"/>
      <c r="O19" s="1482"/>
      <c r="P19" s="1482"/>
      <c r="Q19" s="1482"/>
      <c r="R19" s="1482"/>
    </row>
    <row r="20" spans="1:18" x14ac:dyDescent="0.25">
      <c r="A20" s="1482"/>
      <c r="C20" s="1435"/>
      <c r="D20" s="1436"/>
      <c r="E20" s="1436"/>
      <c r="F20" s="1437"/>
      <c r="G20" s="1438"/>
      <c r="H20" s="1439"/>
      <c r="I20" s="1438"/>
      <c r="J20" s="1440"/>
      <c r="K20" s="1435"/>
      <c r="L20" s="1437"/>
      <c r="N20" s="1482"/>
      <c r="O20" s="1482"/>
      <c r="P20" s="1482"/>
      <c r="Q20" s="1482"/>
      <c r="R20" s="1482"/>
    </row>
    <row r="21" spans="1:18" x14ac:dyDescent="0.25">
      <c r="A21" s="1482"/>
      <c r="C21" s="1441"/>
      <c r="D21" s="1442"/>
      <c r="E21" s="1442"/>
      <c r="F21" s="1443"/>
      <c r="G21" s="1438"/>
      <c r="H21" s="1439"/>
      <c r="I21" s="1438"/>
      <c r="J21" s="1439"/>
      <c r="K21" s="1441"/>
      <c r="L21" s="1443"/>
      <c r="N21" s="1482"/>
      <c r="O21" s="1482"/>
      <c r="P21" s="1482"/>
      <c r="Q21" s="1482"/>
      <c r="R21" s="1482"/>
    </row>
    <row r="22" spans="1:18" ht="21.75" customHeight="1" x14ac:dyDescent="0.25">
      <c r="A22" s="1482"/>
      <c r="C22" s="1444"/>
      <c r="D22" s="1445"/>
      <c r="E22" s="1445"/>
      <c r="F22" s="1436"/>
      <c r="G22" s="1446"/>
      <c r="H22" s="1447"/>
      <c r="I22" s="1446"/>
      <c r="J22" s="1448"/>
      <c r="K22" s="1449"/>
      <c r="L22" s="1447"/>
      <c r="N22" s="1482"/>
      <c r="O22" s="1482"/>
      <c r="P22" s="1482"/>
      <c r="Q22" s="1482"/>
      <c r="R22" s="1482"/>
    </row>
    <row r="23" spans="1:18" ht="18" customHeight="1" x14ac:dyDescent="0.25">
      <c r="A23" s="1482"/>
      <c r="C23" s="1444"/>
      <c r="D23" s="1445"/>
      <c r="E23" s="1445"/>
      <c r="F23" s="1436"/>
      <c r="G23" s="1451"/>
      <c r="H23" s="1452"/>
      <c r="I23" s="1451"/>
      <c r="J23" s="1453"/>
      <c r="K23" s="1454"/>
      <c r="L23" s="1452"/>
      <c r="N23" s="1482"/>
      <c r="O23" s="1482"/>
      <c r="P23" s="1482"/>
      <c r="Q23" s="1482"/>
      <c r="R23" s="1482"/>
    </row>
    <row r="24" spans="1:18" ht="18" customHeight="1" x14ac:dyDescent="0.25">
      <c r="A24" s="1482"/>
      <c r="C24" s="1444"/>
      <c r="D24" s="1445"/>
      <c r="E24" s="1445"/>
      <c r="F24" s="1436"/>
      <c r="G24" s="1451"/>
      <c r="H24" s="1452"/>
      <c r="I24" s="1451"/>
      <c r="J24" s="1453"/>
      <c r="K24" s="1454"/>
      <c r="L24" s="1452"/>
      <c r="N24" s="1482"/>
      <c r="O24" s="1482"/>
      <c r="P24" s="1482"/>
      <c r="Q24" s="1482"/>
      <c r="R24" s="1482"/>
    </row>
    <row r="25" spans="1:18" ht="18" customHeight="1" x14ac:dyDescent="0.25">
      <c r="A25" s="1482"/>
      <c r="C25" s="1455"/>
      <c r="D25" s="1456"/>
      <c r="E25" s="1456"/>
      <c r="F25" s="1442"/>
      <c r="G25" s="1457"/>
      <c r="H25" s="1458"/>
      <c r="I25" s="1457"/>
      <c r="J25" s="1459"/>
      <c r="K25" s="1460"/>
      <c r="L25" s="1458"/>
      <c r="N25" s="1482"/>
      <c r="O25" s="1482"/>
      <c r="P25" s="1482"/>
      <c r="Q25" s="1482"/>
      <c r="R25" s="1482"/>
    </row>
    <row r="26" spans="1:18" ht="25.5" customHeight="1" x14ac:dyDescent="0.3">
      <c r="A26" s="1482"/>
      <c r="C26" s="1461"/>
      <c r="D26" s="1436"/>
      <c r="E26" s="1436"/>
      <c r="F26" s="1436"/>
      <c r="G26" s="1453"/>
      <c r="H26" s="1453"/>
      <c r="I26" s="1453"/>
      <c r="J26" s="1453"/>
      <c r="K26" s="1462"/>
      <c r="L26" s="1447"/>
      <c r="N26" s="1482"/>
      <c r="O26" s="1482"/>
      <c r="P26" s="1482"/>
      <c r="Q26" s="1482"/>
      <c r="R26" s="1482"/>
    </row>
    <row r="27" spans="1:18" ht="13.5" thickBot="1" x14ac:dyDescent="0.35">
      <c r="A27" s="1482"/>
      <c r="C27" s="1463"/>
      <c r="D27" s="1464"/>
      <c r="E27" s="1464"/>
      <c r="F27" s="1464"/>
      <c r="G27" s="1464"/>
      <c r="H27" s="1464"/>
      <c r="I27" s="1464"/>
      <c r="J27" s="1464"/>
      <c r="K27" s="1464"/>
      <c r="L27" s="1465"/>
      <c r="N27" s="1482"/>
      <c r="O27" s="1482"/>
      <c r="P27" s="1482"/>
      <c r="Q27" s="1482"/>
      <c r="R27" s="1482"/>
    </row>
    <row r="28" spans="1:18" ht="13.5" thickTop="1" x14ac:dyDescent="0.3">
      <c r="A28" s="1482"/>
      <c r="K28" s="1466"/>
      <c r="N28" s="1482"/>
      <c r="O28" s="1482"/>
      <c r="P28" s="1482"/>
      <c r="Q28" s="1482"/>
      <c r="R28" s="1482"/>
    </row>
    <row r="29" spans="1:18" ht="13" x14ac:dyDescent="0.3">
      <c r="A29" s="1482"/>
      <c r="C29" s="1467"/>
      <c r="G29" s="1468"/>
      <c r="N29" s="1482"/>
      <c r="O29" s="1482"/>
      <c r="P29" s="1482"/>
      <c r="Q29" s="1482"/>
      <c r="R29" s="1482"/>
    </row>
    <row r="30" spans="1:18" ht="13" x14ac:dyDescent="0.3">
      <c r="A30" s="1482"/>
      <c r="C30" s="1470"/>
      <c r="D30" s="1468"/>
      <c r="N30" s="1482"/>
      <c r="O30" s="1482"/>
      <c r="P30" s="1482"/>
      <c r="Q30" s="1482"/>
      <c r="R30" s="1482"/>
    </row>
    <row r="31" spans="1:18" x14ac:dyDescent="0.25">
      <c r="A31" s="1482"/>
      <c r="C31" s="1470"/>
      <c r="N31" s="1482"/>
      <c r="O31" s="1482"/>
      <c r="P31" s="1482"/>
      <c r="Q31" s="1482"/>
      <c r="R31" s="1482"/>
    </row>
    <row r="32" spans="1:18" ht="13" x14ac:dyDescent="0.3">
      <c r="A32" s="1482"/>
      <c r="C32" s="1470"/>
      <c r="H32" s="1471"/>
      <c r="I32" s="1472"/>
      <c r="J32" s="1472"/>
      <c r="K32" s="1473"/>
      <c r="L32" s="1473"/>
      <c r="N32" s="1482"/>
      <c r="O32" s="1482"/>
      <c r="P32" s="1482"/>
      <c r="Q32" s="1482"/>
      <c r="R32" s="1482"/>
    </row>
    <row r="33" spans="1:18" x14ac:dyDescent="0.25">
      <c r="A33" s="1482"/>
      <c r="C33" s="1467"/>
      <c r="N33" s="1482"/>
      <c r="O33" s="1482"/>
      <c r="P33" s="1482"/>
      <c r="Q33" s="1482"/>
      <c r="R33" s="1482"/>
    </row>
    <row r="34" spans="1:18" x14ac:dyDescent="0.25">
      <c r="A34" s="1482"/>
      <c r="N34" s="1482"/>
      <c r="O34" s="1482"/>
      <c r="P34" s="1482"/>
      <c r="Q34" s="1482"/>
      <c r="R34" s="1482"/>
    </row>
    <row r="35" spans="1:18" x14ac:dyDescent="0.25">
      <c r="A35" s="1482"/>
      <c r="N35" s="1482"/>
      <c r="O35" s="1482"/>
      <c r="P35" s="1482"/>
      <c r="Q35" s="1482"/>
      <c r="R35" s="1482"/>
    </row>
    <row r="36" spans="1:18" x14ac:dyDescent="0.25">
      <c r="A36" s="1482"/>
      <c r="N36" s="1482"/>
      <c r="O36" s="1482"/>
      <c r="P36" s="1482"/>
      <c r="Q36" s="1482"/>
      <c r="R36" s="1482"/>
    </row>
    <row r="37" spans="1:18" x14ac:dyDescent="0.25">
      <c r="A37" s="1482"/>
      <c r="N37" s="1482"/>
      <c r="O37" s="1482"/>
      <c r="P37" s="1482"/>
      <c r="Q37" s="1482"/>
      <c r="R37" s="1482"/>
    </row>
    <row r="38" spans="1:18" ht="13" x14ac:dyDescent="0.3">
      <c r="A38" s="1482"/>
      <c r="K38" s="1474"/>
      <c r="L38" s="1474"/>
      <c r="N38" s="1482"/>
      <c r="O38" s="1482"/>
      <c r="P38" s="1482"/>
      <c r="Q38" s="1482"/>
      <c r="R38" s="1482"/>
    </row>
    <row r="39" spans="1:18" ht="13" x14ac:dyDescent="0.3">
      <c r="A39" s="1482"/>
      <c r="K39" s="1474"/>
      <c r="L39" s="1474"/>
      <c r="N39" s="1482"/>
      <c r="O39" s="1482"/>
      <c r="P39" s="1482"/>
      <c r="Q39" s="1482"/>
      <c r="R39" s="1482"/>
    </row>
    <row r="40" spans="1:18" x14ac:dyDescent="0.25">
      <c r="A40" s="1482"/>
      <c r="N40" s="1482"/>
      <c r="O40" s="1482"/>
      <c r="P40" s="1482"/>
      <c r="Q40" s="1482"/>
      <c r="R40" s="1482"/>
    </row>
    <row r="41" spans="1:18" x14ac:dyDescent="0.25">
      <c r="A41" s="1482"/>
      <c r="N41" s="1482"/>
      <c r="O41" s="1482"/>
      <c r="P41" s="1482"/>
      <c r="Q41" s="1482"/>
      <c r="R41" s="1482"/>
    </row>
    <row r="42" spans="1:18" x14ac:dyDescent="0.25">
      <c r="A42" s="1482"/>
      <c r="N42" s="1482"/>
      <c r="O42" s="1482"/>
      <c r="P42" s="1482"/>
      <c r="Q42" s="1482"/>
      <c r="R42" s="1482"/>
    </row>
    <row r="43" spans="1:18" x14ac:dyDescent="0.25">
      <c r="A43" s="1482"/>
      <c r="N43" s="1482"/>
      <c r="O43" s="1482"/>
      <c r="P43" s="1482"/>
      <c r="Q43" s="1482"/>
      <c r="R43" s="1482"/>
    </row>
    <row r="44" spans="1:18" ht="13" x14ac:dyDescent="0.3">
      <c r="A44" s="1482"/>
      <c r="C44" s="1476"/>
      <c r="F44" s="1476"/>
      <c r="K44" s="1476"/>
      <c r="L44" s="1476"/>
      <c r="N44" s="1482"/>
      <c r="O44" s="1482"/>
      <c r="P44" s="1482"/>
      <c r="Q44" s="1482"/>
      <c r="R44" s="1482"/>
    </row>
    <row r="45" spans="1:18" x14ac:dyDescent="0.25">
      <c r="A45" s="1482"/>
      <c r="N45" s="1482"/>
      <c r="O45" s="1482"/>
      <c r="P45" s="1482"/>
      <c r="Q45" s="1482"/>
      <c r="R45" s="1482"/>
    </row>
    <row r="46" spans="1:18" ht="17.5" x14ac:dyDescent="0.35">
      <c r="A46" s="1482"/>
      <c r="C46" s="1477"/>
      <c r="E46" s="1478"/>
      <c r="G46" s="1471"/>
      <c r="H46" s="1471"/>
      <c r="K46" s="1479"/>
      <c r="L46" s="1415"/>
      <c r="N46" s="1482"/>
      <c r="O46" s="1482"/>
      <c r="P46" s="1482"/>
      <c r="Q46" s="1482"/>
      <c r="R46" s="1482"/>
    </row>
    <row r="47" spans="1:18" x14ac:dyDescent="0.25">
      <c r="A47" s="1482"/>
      <c r="N47" s="1482"/>
      <c r="O47" s="1482"/>
      <c r="P47" s="1482"/>
      <c r="Q47" s="1482"/>
      <c r="R47" s="1482"/>
    </row>
    <row r="48" spans="1:18" x14ac:dyDescent="0.25">
      <c r="A48" s="1482"/>
      <c r="B48" s="1482"/>
      <c r="C48" s="1482"/>
      <c r="D48" s="1482"/>
      <c r="E48" s="1482"/>
      <c r="F48" s="1482"/>
      <c r="G48" s="1482"/>
      <c r="H48" s="1482"/>
      <c r="I48" s="1482"/>
      <c r="J48" s="1482"/>
      <c r="K48" s="1482"/>
      <c r="L48" s="1482"/>
      <c r="M48" s="1482"/>
      <c r="N48" s="1482"/>
      <c r="O48" s="1482"/>
      <c r="P48" s="1482"/>
      <c r="Q48" s="1482"/>
      <c r="R48" s="1482"/>
    </row>
    <row r="49" spans="1:18" x14ac:dyDescent="0.25">
      <c r="A49" s="1482"/>
      <c r="B49" s="1482"/>
      <c r="C49" s="1482"/>
      <c r="D49" s="1482"/>
      <c r="E49" s="1482"/>
      <c r="F49" s="1482"/>
      <c r="G49" s="1482"/>
      <c r="H49" s="1482"/>
      <c r="I49" s="1482"/>
      <c r="J49" s="1482"/>
      <c r="K49" s="1482"/>
      <c r="L49" s="1482"/>
      <c r="M49" s="1482"/>
      <c r="N49" s="1482"/>
      <c r="O49" s="1482"/>
      <c r="P49" s="1482"/>
      <c r="Q49" s="1482"/>
      <c r="R49" s="1482"/>
    </row>
    <row r="50" spans="1:18" x14ac:dyDescent="0.25">
      <c r="A50" s="1482"/>
      <c r="B50" s="1482"/>
      <c r="C50" s="1482"/>
      <c r="D50" s="1482"/>
      <c r="E50" s="1482"/>
      <c r="F50" s="1482"/>
      <c r="G50" s="1482"/>
      <c r="H50" s="1482"/>
      <c r="I50" s="1482"/>
      <c r="J50" s="1482"/>
      <c r="K50" s="1482"/>
      <c r="L50" s="1482"/>
      <c r="M50" s="1482"/>
      <c r="N50" s="1482"/>
      <c r="O50" s="1482"/>
      <c r="P50" s="1482"/>
      <c r="Q50" s="1482"/>
      <c r="R50" s="1482"/>
    </row>
    <row r="51" spans="1:18" x14ac:dyDescent="0.25">
      <c r="A51" s="1482"/>
      <c r="B51" s="1482"/>
      <c r="C51" s="1482"/>
      <c r="D51" s="1482"/>
      <c r="E51" s="1482"/>
      <c r="F51" s="1482"/>
      <c r="G51" s="1482"/>
      <c r="H51" s="1482"/>
      <c r="I51" s="1482"/>
      <c r="J51" s="1482"/>
      <c r="K51" s="1482"/>
      <c r="L51" s="1482"/>
      <c r="M51" s="1482"/>
      <c r="N51" s="1482"/>
      <c r="O51" s="1482"/>
      <c r="P51" s="1482"/>
      <c r="Q51" s="1482"/>
      <c r="R51" s="1482"/>
    </row>
    <row r="52" spans="1:18" x14ac:dyDescent="0.25">
      <c r="A52" s="1482"/>
      <c r="B52" s="1482"/>
      <c r="C52" s="1482"/>
      <c r="D52" s="1482"/>
      <c r="E52" s="1482"/>
      <c r="F52" s="1482"/>
      <c r="G52" s="1482"/>
      <c r="H52" s="1482"/>
      <c r="I52" s="1482"/>
      <c r="J52" s="1482"/>
      <c r="K52" s="1482"/>
      <c r="L52" s="1482"/>
      <c r="M52" s="1482"/>
      <c r="N52" s="1482"/>
      <c r="O52" s="1482"/>
      <c r="P52" s="1482"/>
      <c r="Q52" s="1482"/>
      <c r="R52" s="1482"/>
    </row>
    <row r="53" spans="1:18" x14ac:dyDescent="0.25">
      <c r="A53" s="1482"/>
      <c r="B53" s="1482"/>
      <c r="C53" s="1482"/>
      <c r="D53" s="1482"/>
      <c r="E53" s="1482"/>
      <c r="F53" s="1482"/>
      <c r="G53" s="1482"/>
      <c r="H53" s="1482"/>
      <c r="I53" s="1482"/>
      <c r="J53" s="1482"/>
      <c r="K53" s="1482"/>
      <c r="L53" s="1482"/>
      <c r="M53" s="1482"/>
      <c r="N53" s="1482"/>
      <c r="O53" s="1482"/>
      <c r="P53" s="1482"/>
      <c r="Q53" s="1482"/>
      <c r="R53" s="1482"/>
    </row>
    <row r="54" spans="1:18" x14ac:dyDescent="0.25">
      <c r="A54" s="1482"/>
      <c r="B54" s="1482"/>
      <c r="C54" s="1482"/>
      <c r="D54" s="1482"/>
      <c r="E54" s="1482"/>
      <c r="F54" s="1482"/>
      <c r="G54" s="1482"/>
      <c r="H54" s="1482"/>
      <c r="I54" s="1482"/>
      <c r="J54" s="1482"/>
      <c r="K54" s="1482"/>
      <c r="L54" s="1482"/>
      <c r="M54" s="1482"/>
      <c r="N54" s="1482"/>
      <c r="O54" s="1482"/>
      <c r="P54" s="1482"/>
      <c r="Q54" s="1482"/>
      <c r="R54" s="1482"/>
    </row>
    <row r="55" spans="1:18" x14ac:dyDescent="0.25">
      <c r="A55" s="1482"/>
      <c r="B55" s="1482"/>
      <c r="C55" s="1482"/>
      <c r="D55" s="1482"/>
      <c r="E55" s="1482"/>
      <c r="F55" s="1482"/>
      <c r="G55" s="1482"/>
      <c r="H55" s="1482"/>
      <c r="I55" s="1482"/>
      <c r="J55" s="1482"/>
      <c r="K55" s="1482"/>
      <c r="L55" s="1482"/>
      <c r="M55" s="1482"/>
      <c r="N55" s="1482"/>
      <c r="O55" s="1482"/>
      <c r="P55" s="1482"/>
      <c r="Q55" s="1482"/>
      <c r="R55" s="1482"/>
    </row>
    <row r="56" spans="1:18" x14ac:dyDescent="0.25">
      <c r="A56" s="1482"/>
      <c r="B56" s="1482"/>
      <c r="C56" s="1482"/>
      <c r="D56" s="1482"/>
      <c r="E56" s="1482"/>
      <c r="F56" s="1482"/>
      <c r="G56" s="1482"/>
      <c r="H56" s="1482"/>
      <c r="I56" s="1482"/>
      <c r="J56" s="1482"/>
      <c r="K56" s="1482"/>
      <c r="L56" s="1482"/>
      <c r="M56" s="1482"/>
      <c r="N56" s="1482"/>
      <c r="O56" s="1482"/>
      <c r="P56" s="1482"/>
      <c r="Q56" s="1482"/>
      <c r="R56" s="1482"/>
    </row>
    <row r="57" spans="1:18" x14ac:dyDescent="0.25">
      <c r="A57" s="1482"/>
      <c r="B57" s="1482"/>
      <c r="C57" s="1482"/>
      <c r="D57" s="1482"/>
      <c r="E57" s="1482"/>
      <c r="F57" s="1482"/>
      <c r="G57" s="1482"/>
      <c r="H57" s="1482"/>
      <c r="I57" s="1482"/>
      <c r="J57" s="1482"/>
      <c r="K57" s="1482"/>
      <c r="L57" s="1482"/>
      <c r="M57" s="1482"/>
      <c r="N57" s="1482"/>
      <c r="O57" s="1482"/>
      <c r="P57" s="1482"/>
      <c r="Q57" s="1482"/>
      <c r="R57" s="1482"/>
    </row>
  </sheetData>
  <phoneticPr fontId="124" type="noConversion"/>
  <pageMargins left="0.59" right="0.53" top="0.31" bottom="1" header="0.5" footer="0.5"/>
  <pageSetup paperSize="9" orientation="portrait" blackAndWhite="1" horizontalDpi="4294967292" vertic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3742" r:id="rId4" name="basic2button">
              <controlPr defaultSize="0" print="0" autoFill="0" autoPict="0" macro="[0]!returnfromcopy">
                <anchor moveWithCells="1" sizeWithCells="1">
                  <from>
                    <xdr:col>14</xdr:col>
                    <xdr:colOff>127000</xdr:colOff>
                    <xdr:row>3</xdr:row>
                    <xdr:rowOff>0</xdr:rowOff>
                  </from>
                  <to>
                    <xdr:col>14</xdr:col>
                    <xdr:colOff>1016000</xdr:colOff>
                    <xdr:row>5</xdr:row>
                    <xdr:rowOff>127000</xdr:rowOff>
                  </to>
                </anchor>
              </controlPr>
            </control>
          </mc:Choice>
        </mc:AlternateContent>
        <mc:AlternateContent xmlns:mc="http://schemas.openxmlformats.org/markup-compatibility/2006">
          <mc:Choice Requires="x14">
            <control shapeId="73743" r:id="rId5" name="basic2delbutton">
              <controlPr defaultSize="0" print="0" autoFill="0" autoPict="0" macro="[0]!delete_basic2button">
                <anchor moveWithCells="1" sizeWithCells="1">
                  <from>
                    <xdr:col>14</xdr:col>
                    <xdr:colOff>127000</xdr:colOff>
                    <xdr:row>5</xdr:row>
                    <xdr:rowOff>146050</xdr:rowOff>
                  </from>
                  <to>
                    <xdr:col>14</xdr:col>
                    <xdr:colOff>1016000</xdr:colOff>
                    <xdr:row>7</xdr:row>
                    <xdr:rowOff>381000</xdr:rowOff>
                  </to>
                </anchor>
              </controlPr>
            </control>
          </mc:Choice>
        </mc:AlternateContent>
        <mc:AlternateContent xmlns:mc="http://schemas.openxmlformats.org/markup-compatibility/2006">
          <mc:Choice Requires="x14">
            <control shapeId="73744" r:id="rId6" name="pdfbutton">
              <controlPr defaultSize="0" print="0" autoFill="0" autoPict="0" macro="[0]!pdfonly">
                <anchor moveWithCells="1" sizeWithCells="1">
                  <from>
                    <xdr:col>14</xdr:col>
                    <xdr:colOff>1104900</xdr:colOff>
                    <xdr:row>4</xdr:row>
                    <xdr:rowOff>0</xdr:rowOff>
                  </from>
                  <to>
                    <xdr:col>15</xdr:col>
                    <xdr:colOff>577850</xdr:colOff>
                    <xdr:row>7</xdr:row>
                    <xdr:rowOff>76200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217A8-1D27-4A27-B32F-CC6897BD92C5}">
  <sheetPr codeName="Sheet53">
    <pageSetUpPr fitToPage="1"/>
  </sheetPr>
  <dimension ref="A1:AB63"/>
  <sheetViews>
    <sheetView showGridLines="0" workbookViewId="0"/>
  </sheetViews>
  <sheetFormatPr defaultColWidth="9.08984375" defaultRowHeight="12.5" x14ac:dyDescent="0.25"/>
  <cols>
    <col min="1" max="1" width="14.90625" style="1407" customWidth="1"/>
    <col min="2" max="2" width="0.90625" style="1407" customWidth="1"/>
    <col min="3" max="3" width="9.453125" style="1539" customWidth="1"/>
    <col min="4" max="4" width="8.90625" style="1540" customWidth="1"/>
    <col min="5" max="5" width="4.90625" style="1541" customWidth="1"/>
    <col min="6" max="6" width="5.6328125" style="1542" customWidth="1"/>
    <col min="7" max="7" width="12.453125" style="1543" customWidth="1"/>
    <col min="8" max="8" width="2.08984375" style="1543" customWidth="1"/>
    <col min="9" max="9" width="1.36328125" style="1407" customWidth="1"/>
    <col min="10" max="10" width="8.6328125" style="1539" customWidth="1"/>
    <col min="11" max="11" width="8.453125" style="1540" customWidth="1"/>
    <col min="12" max="12" width="5" style="1541" customWidth="1"/>
    <col min="13" max="13" width="5.6328125" style="1542" customWidth="1"/>
    <col min="14" max="14" width="13.08984375" style="1543" customWidth="1"/>
    <col min="15" max="15" width="1.6328125" style="1543" customWidth="1"/>
    <col min="16" max="16" width="1" style="1407" customWidth="1"/>
    <col min="17" max="17" width="12.453125" style="1544" customWidth="1"/>
    <col min="18" max="18" width="1" style="1407" customWidth="1"/>
    <col min="19" max="19" width="4" style="1407" customWidth="1"/>
    <col min="20" max="20" width="9.08984375" style="1420"/>
    <col min="21" max="22" width="9.08984375" style="1407"/>
    <col min="23" max="23" width="9.453125" style="1407" customWidth="1"/>
    <col min="24" max="24" width="34.90625" style="1407" customWidth="1"/>
    <col min="25" max="25" width="21.36328125" style="1407" customWidth="1"/>
    <col min="26" max="16384" width="9.08984375" style="1407"/>
  </cols>
  <sheetData>
    <row r="1" spans="1:28" ht="7.5" customHeight="1" x14ac:dyDescent="0.25">
      <c r="A1" s="1548"/>
      <c r="B1" s="1548"/>
      <c r="C1" s="1548"/>
      <c r="D1" s="1548"/>
      <c r="E1" s="1548"/>
      <c r="F1" s="1548"/>
      <c r="G1" s="1548"/>
      <c r="H1" s="1548"/>
      <c r="I1" s="1548"/>
      <c r="J1" s="1548"/>
      <c r="K1" s="1548"/>
      <c r="L1" s="1548"/>
      <c r="M1" s="1548"/>
      <c r="N1" s="1548"/>
      <c r="O1" s="1548"/>
      <c r="P1" s="1548"/>
      <c r="Q1" s="1548"/>
      <c r="R1" s="1548"/>
      <c r="S1" s="1548"/>
      <c r="T1" s="1548"/>
      <c r="U1" s="1548"/>
      <c r="V1" s="1548"/>
      <c r="W1" s="1548"/>
      <c r="X1" s="1548"/>
      <c r="Y1" s="1548"/>
      <c r="Z1" s="1548"/>
      <c r="AA1" s="1482"/>
      <c r="AB1" s="1482"/>
    </row>
    <row r="2" spans="1:28" ht="6" customHeight="1" x14ac:dyDescent="0.25">
      <c r="A2" s="1384"/>
      <c r="B2" s="1384"/>
      <c r="C2" s="1384"/>
      <c r="D2" s="1384"/>
      <c r="E2" s="1384"/>
      <c r="F2" s="1384"/>
      <c r="G2" s="1384"/>
      <c r="H2" s="1384"/>
      <c r="I2" s="1384"/>
      <c r="J2" s="1384"/>
      <c r="K2" s="1384"/>
      <c r="L2" s="1384"/>
      <c r="M2" s="1384"/>
      <c r="N2" s="1384"/>
      <c r="O2" s="1384"/>
      <c r="P2" s="1384"/>
      <c r="Q2" s="1384"/>
      <c r="R2" s="1384"/>
      <c r="S2" s="1384"/>
      <c r="T2" s="1384"/>
      <c r="U2" s="1384"/>
      <c r="V2" s="1384"/>
      <c r="W2" s="1384"/>
      <c r="X2" s="1548"/>
      <c r="Y2" s="1548"/>
      <c r="Z2" s="1548"/>
      <c r="AA2" s="1482"/>
      <c r="AB2" s="1482"/>
    </row>
    <row r="3" spans="1:28" ht="9.75" customHeight="1" x14ac:dyDescent="0.25">
      <c r="A3" s="1384"/>
      <c r="B3" s="1384"/>
      <c r="C3" s="1384"/>
      <c r="D3" s="1384"/>
      <c r="E3" s="1384"/>
      <c r="F3" s="1384"/>
      <c r="G3" s="1384"/>
      <c r="H3" s="1384"/>
      <c r="I3" s="1384"/>
      <c r="J3" s="1384"/>
      <c r="K3" s="1384"/>
      <c r="L3" s="1384"/>
      <c r="M3" s="1384"/>
      <c r="N3" s="1384"/>
      <c r="O3" s="1384"/>
      <c r="P3" s="1384"/>
      <c r="Q3" s="1384"/>
      <c r="R3" s="1384"/>
      <c r="S3" s="1384"/>
      <c r="T3" s="1384"/>
      <c r="U3" s="1384"/>
      <c r="V3" s="1384"/>
      <c r="W3" s="1384"/>
      <c r="X3" s="1548"/>
      <c r="Y3" s="1548"/>
      <c r="Z3" s="1548"/>
      <c r="AA3" s="1482"/>
      <c r="AB3" s="1482"/>
    </row>
    <row r="4" spans="1:28" ht="22.5" customHeight="1" x14ac:dyDescent="0.35">
      <c r="A4" s="1482"/>
      <c r="C4" s="1495"/>
      <c r="D4" s="1496"/>
      <c r="E4" s="1497"/>
      <c r="F4" s="1498"/>
      <c r="G4" s="1453"/>
      <c r="H4" s="1453"/>
      <c r="I4" s="1436"/>
      <c r="J4" s="1495"/>
      <c r="K4" s="1496"/>
      <c r="L4" s="1499"/>
      <c r="M4" s="1498"/>
      <c r="N4" s="1545"/>
      <c r="O4" s="1500"/>
      <c r="P4" s="1436"/>
      <c r="Q4" s="1500"/>
      <c r="S4" s="1482"/>
      <c r="T4" s="1550"/>
      <c r="U4" s="1482"/>
      <c r="V4" s="1482"/>
      <c r="W4" s="1482"/>
      <c r="X4" s="1482"/>
      <c r="Y4" s="1482"/>
      <c r="Z4" s="1482"/>
      <c r="AA4" s="1482"/>
      <c r="AB4" s="1482"/>
    </row>
    <row r="5" spans="1:28" ht="13" x14ac:dyDescent="0.3">
      <c r="A5" s="1482"/>
      <c r="C5" s="1501"/>
      <c r="D5" s="1496"/>
      <c r="E5" s="1497"/>
      <c r="F5" s="1498"/>
      <c r="G5" s="1453"/>
      <c r="H5" s="1453"/>
      <c r="I5" s="1436"/>
      <c r="J5" s="1445"/>
      <c r="K5" s="1496"/>
      <c r="L5" s="1499"/>
      <c r="M5" s="1498"/>
      <c r="N5" s="1502"/>
      <c r="O5" s="1500"/>
      <c r="P5" s="1436"/>
      <c r="Q5" s="1500"/>
      <c r="S5" s="1482"/>
      <c r="T5" s="1550"/>
      <c r="U5" s="1482"/>
      <c r="V5" s="1482"/>
      <c r="W5" s="1482"/>
      <c r="X5" s="1482"/>
      <c r="Y5" s="1482"/>
      <c r="Z5" s="1482"/>
      <c r="AA5" s="1482"/>
      <c r="AB5" s="1482"/>
    </row>
    <row r="6" spans="1:28" ht="13" x14ac:dyDescent="0.3">
      <c r="A6" s="1482"/>
      <c r="C6" s="1503"/>
      <c r="D6" s="1496"/>
      <c r="E6" s="1497"/>
      <c r="F6" s="1498"/>
      <c r="G6" s="1453"/>
      <c r="H6" s="1453"/>
      <c r="I6" s="1436"/>
      <c r="J6" s="1504"/>
      <c r="K6" s="1496"/>
      <c r="L6" s="1497"/>
      <c r="M6" s="1498"/>
      <c r="N6" s="1453"/>
      <c r="O6" s="1502"/>
      <c r="P6" s="1436"/>
      <c r="Q6" s="1500"/>
      <c r="S6" s="1482"/>
      <c r="T6" s="1550"/>
      <c r="U6" s="1482"/>
      <c r="V6" s="1482"/>
      <c r="W6" s="1482"/>
      <c r="X6" s="1482"/>
      <c r="Y6" s="1482"/>
      <c r="Z6" s="1482"/>
      <c r="AA6" s="1482"/>
      <c r="AB6" s="1482"/>
    </row>
    <row r="7" spans="1:28" ht="13.5" customHeight="1" x14ac:dyDescent="0.3">
      <c r="A7" s="1482"/>
      <c r="C7" s="1502"/>
      <c r="D7" s="1496"/>
      <c r="E7" s="1505"/>
      <c r="F7" s="1498"/>
      <c r="G7" s="1453"/>
      <c r="H7" s="1453"/>
      <c r="I7" s="1436"/>
      <c r="J7" s="1506"/>
      <c r="K7" s="1496"/>
      <c r="L7" s="1497"/>
      <c r="M7" s="1498"/>
      <c r="N7" s="1453"/>
      <c r="O7" s="1453"/>
      <c r="P7" s="1436"/>
      <c r="Q7" s="1500"/>
      <c r="S7" s="1482"/>
      <c r="T7" s="1550"/>
      <c r="U7" s="1482"/>
      <c r="V7" s="1482"/>
      <c r="W7" s="1482"/>
      <c r="X7" s="1482"/>
      <c r="Y7" s="1482"/>
      <c r="Z7" s="1482"/>
      <c r="AA7" s="1482"/>
      <c r="AB7" s="1482"/>
    </row>
    <row r="8" spans="1:28" ht="13" x14ac:dyDescent="0.3">
      <c r="A8" s="1482"/>
      <c r="C8" s="1504"/>
      <c r="D8" s="1496"/>
      <c r="E8" s="1497"/>
      <c r="F8" s="1498"/>
      <c r="G8" s="1507"/>
      <c r="H8" s="1507"/>
      <c r="I8" s="1436"/>
      <c r="J8" s="1508"/>
      <c r="K8" s="1496"/>
      <c r="L8" s="1497"/>
      <c r="M8" s="1498"/>
      <c r="N8" s="1507"/>
      <c r="O8" s="1507"/>
      <c r="P8" s="1435"/>
      <c r="Q8" s="1500"/>
      <c r="S8" s="1482"/>
      <c r="T8" s="1550"/>
      <c r="U8" s="1482"/>
      <c r="V8" s="1482"/>
      <c r="W8" s="1482"/>
      <c r="X8" s="1482"/>
      <c r="Y8" s="1482"/>
      <c r="Z8" s="1482"/>
      <c r="AA8" s="1482"/>
      <c r="AB8" s="1482"/>
    </row>
    <row r="9" spans="1:28" ht="13" x14ac:dyDescent="0.3">
      <c r="A9" s="1482"/>
      <c r="C9" s="1509"/>
      <c r="D9" s="1496"/>
      <c r="E9" s="1497"/>
      <c r="F9" s="1510"/>
      <c r="G9" s="1511"/>
      <c r="H9" s="1453"/>
      <c r="I9" s="1436"/>
      <c r="J9" s="1512"/>
      <c r="K9" s="1496"/>
      <c r="L9" s="1497"/>
      <c r="M9" s="1510"/>
      <c r="N9" s="1511"/>
      <c r="O9" s="1453"/>
      <c r="P9" s="1435"/>
      <c r="Q9" s="1500"/>
      <c r="S9" s="1482"/>
      <c r="T9" s="1554"/>
      <c r="U9" s="1482"/>
      <c r="V9" s="1482"/>
      <c r="W9" s="1482"/>
      <c r="X9" s="1482"/>
      <c r="Y9" s="1482"/>
      <c r="Z9" s="1482"/>
      <c r="AA9" s="1482"/>
      <c r="AB9" s="1482"/>
    </row>
    <row r="10" spans="1:28" x14ac:dyDescent="0.25">
      <c r="A10" s="1482"/>
      <c r="C10" s="1513"/>
      <c r="D10" s="1514"/>
      <c r="E10" s="1515"/>
      <c r="F10" s="1498"/>
      <c r="G10" s="1516"/>
      <c r="H10" s="1516"/>
      <c r="I10" s="1517"/>
      <c r="J10" s="1513"/>
      <c r="K10" s="1514"/>
      <c r="L10" s="1515"/>
      <c r="M10" s="1498"/>
      <c r="N10" s="1516"/>
      <c r="O10" s="1518"/>
      <c r="P10" s="1519"/>
      <c r="Q10" s="1520"/>
      <c r="S10" s="1482"/>
      <c r="T10" s="1554"/>
      <c r="U10" s="1482"/>
      <c r="V10" s="1482"/>
      <c r="W10" s="1482"/>
      <c r="X10" s="1482"/>
      <c r="Y10" s="1482"/>
      <c r="Z10" s="1482"/>
      <c r="AA10" s="1482"/>
      <c r="AB10" s="1482"/>
    </row>
    <row r="11" spans="1:28" x14ac:dyDescent="0.25">
      <c r="A11" s="1482"/>
      <c r="C11" s="1521"/>
      <c r="D11" s="1514"/>
      <c r="E11" s="1515"/>
      <c r="F11" s="1498"/>
      <c r="G11" s="1516"/>
      <c r="H11" s="1516"/>
      <c r="I11" s="1517"/>
      <c r="J11" s="1521"/>
      <c r="K11" s="1514"/>
      <c r="L11" s="1515"/>
      <c r="M11" s="1498"/>
      <c r="N11" s="1516"/>
      <c r="O11" s="1518"/>
      <c r="P11" s="1519"/>
      <c r="Q11" s="1520"/>
      <c r="S11" s="1482"/>
      <c r="T11" s="1554"/>
      <c r="U11" s="1482"/>
      <c r="V11" s="1482"/>
      <c r="W11" s="1482"/>
      <c r="X11" s="1482"/>
      <c r="Y11" s="1482"/>
      <c r="Z11" s="1482"/>
      <c r="AA11" s="1482"/>
      <c r="AB11" s="1482"/>
    </row>
    <row r="12" spans="1:28" x14ac:dyDescent="0.25">
      <c r="A12" s="1482"/>
      <c r="C12" s="1521"/>
      <c r="D12" s="1407"/>
      <c r="E12" s="1515"/>
      <c r="F12" s="1498"/>
      <c r="G12" s="1516"/>
      <c r="H12" s="1516"/>
      <c r="I12" s="1517"/>
      <c r="J12" s="1521"/>
      <c r="K12" s="1407"/>
      <c r="L12" s="1515"/>
      <c r="M12" s="1498"/>
      <c r="N12" s="1516"/>
      <c r="O12" s="1518"/>
      <c r="P12" s="1519"/>
      <c r="Q12" s="1520"/>
      <c r="S12" s="1482"/>
      <c r="T12" s="1554"/>
      <c r="U12" s="1482"/>
      <c r="V12" s="1482"/>
      <c r="W12" s="1482"/>
      <c r="X12" s="1482"/>
      <c r="Y12" s="1482"/>
      <c r="Z12" s="1482"/>
      <c r="AA12" s="1482"/>
      <c r="AB12" s="1482"/>
    </row>
    <row r="13" spans="1:28" ht="18.75" customHeight="1" x14ac:dyDescent="0.25">
      <c r="A13" s="1482"/>
      <c r="C13" s="1513"/>
      <c r="D13" s="1522"/>
      <c r="E13" s="1523"/>
      <c r="F13" s="1524"/>
      <c r="G13" s="1525"/>
      <c r="H13" s="1525"/>
      <c r="I13" s="1517"/>
      <c r="J13" s="1513"/>
      <c r="K13" s="1522"/>
      <c r="L13" s="1523"/>
      <c r="M13" s="1524"/>
      <c r="N13" s="1525"/>
      <c r="O13" s="1526"/>
      <c r="P13" s="1519"/>
      <c r="Q13" s="1525"/>
      <c r="S13" s="1482"/>
      <c r="T13" s="1554"/>
      <c r="U13" s="1482"/>
      <c r="V13" s="1482"/>
      <c r="W13" s="1482"/>
      <c r="X13" s="1482"/>
      <c r="Y13" s="1482"/>
      <c r="Z13" s="1482"/>
      <c r="AA13" s="1482"/>
      <c r="AB13" s="1482"/>
    </row>
    <row r="14" spans="1:28" x14ac:dyDescent="0.25">
      <c r="A14" s="1549"/>
      <c r="C14" s="1547"/>
      <c r="D14" s="1514"/>
      <c r="E14" s="1497"/>
      <c r="F14" s="1498"/>
      <c r="G14" s="1529"/>
      <c r="H14" s="1530"/>
      <c r="I14" s="1531"/>
      <c r="J14" s="1547"/>
      <c r="K14" s="1514"/>
      <c r="L14" s="1497"/>
      <c r="M14" s="1498"/>
      <c r="N14" s="1529"/>
      <c r="O14" s="1532"/>
      <c r="P14" s="1519"/>
      <c r="Q14" s="1520"/>
      <c r="S14" s="1549"/>
      <c r="T14" s="1555"/>
      <c r="U14" s="1552"/>
      <c r="V14" s="1553"/>
      <c r="W14" s="1553"/>
      <c r="X14" s="1482"/>
      <c r="Y14" s="1482"/>
      <c r="Z14" s="1482"/>
      <c r="AA14" s="1482"/>
      <c r="AB14" s="1482"/>
    </row>
    <row r="15" spans="1:28" x14ac:dyDescent="0.25">
      <c r="A15" s="1549"/>
      <c r="C15" s="1547"/>
      <c r="D15" s="1514"/>
      <c r="E15" s="1497"/>
      <c r="F15" s="1498"/>
      <c r="G15" s="1529"/>
      <c r="H15" s="1530"/>
      <c r="I15" s="1517"/>
      <c r="J15" s="1547"/>
      <c r="K15" s="1514"/>
      <c r="L15" s="1497"/>
      <c r="M15" s="1498"/>
      <c r="N15" s="1529"/>
      <c r="O15" s="1536"/>
      <c r="P15" s="1519"/>
      <c r="Q15" s="1520"/>
      <c r="S15" s="1549"/>
      <c r="T15" s="1555"/>
      <c r="U15" s="1553"/>
      <c r="V15" s="1553"/>
      <c r="W15" s="1553"/>
      <c r="X15" s="1482"/>
      <c r="Y15" s="1482"/>
      <c r="Z15" s="1482"/>
      <c r="AA15" s="1482"/>
      <c r="AB15" s="1482"/>
    </row>
    <row r="16" spans="1:28" x14ac:dyDescent="0.25">
      <c r="A16" s="1549"/>
      <c r="C16" s="1547"/>
      <c r="D16" s="1514"/>
      <c r="E16" s="1497"/>
      <c r="F16" s="1498"/>
      <c r="G16" s="1529"/>
      <c r="H16" s="1530"/>
      <c r="I16" s="1517"/>
      <c r="J16" s="1547"/>
      <c r="K16" s="1514"/>
      <c r="L16" s="1497"/>
      <c r="M16" s="1498"/>
      <c r="N16" s="1529"/>
      <c r="O16" s="1536"/>
      <c r="P16" s="1519"/>
      <c r="Q16" s="1520"/>
      <c r="S16" s="1549"/>
      <c r="T16" s="1555"/>
      <c r="U16" s="1553"/>
      <c r="V16" s="1553"/>
      <c r="W16" s="1553"/>
      <c r="X16" s="1482"/>
      <c r="Y16" s="1482"/>
      <c r="Z16" s="1482"/>
      <c r="AA16" s="1482"/>
      <c r="AB16" s="1482"/>
    </row>
    <row r="17" spans="1:28" x14ac:dyDescent="0.25">
      <c r="A17" s="1549"/>
      <c r="C17" s="1547"/>
      <c r="D17" s="1514"/>
      <c r="E17" s="1497"/>
      <c r="F17" s="1498"/>
      <c r="G17" s="1529"/>
      <c r="H17" s="1530"/>
      <c r="I17" s="1517"/>
      <c r="J17" s="1547"/>
      <c r="K17" s="1514"/>
      <c r="L17" s="1497"/>
      <c r="M17" s="1498"/>
      <c r="N17" s="1529"/>
      <c r="O17" s="1536"/>
      <c r="P17" s="1519"/>
      <c r="Q17" s="1520"/>
      <c r="S17" s="1549"/>
      <c r="T17" s="1551"/>
      <c r="U17" s="1553"/>
      <c r="V17" s="1553"/>
      <c r="W17" s="1553"/>
      <c r="X17" s="1482"/>
      <c r="Y17" s="1482"/>
      <c r="Z17" s="1482"/>
      <c r="AA17" s="1482"/>
      <c r="AB17" s="1482"/>
    </row>
    <row r="18" spans="1:28" x14ac:dyDescent="0.25">
      <c r="A18" s="1549"/>
      <c r="C18" s="1547"/>
      <c r="D18" s="1514"/>
      <c r="E18" s="1497"/>
      <c r="F18" s="1498"/>
      <c r="G18" s="1529"/>
      <c r="H18" s="1530"/>
      <c r="I18" s="1517"/>
      <c r="J18" s="1547"/>
      <c r="K18" s="1514"/>
      <c r="L18" s="1497"/>
      <c r="M18" s="1498"/>
      <c r="N18" s="1529"/>
      <c r="O18" s="1536"/>
      <c r="P18" s="1519"/>
      <c r="Q18" s="1520"/>
      <c r="S18" s="1549"/>
      <c r="T18" s="1551"/>
      <c r="U18" s="1553"/>
      <c r="V18" s="1553"/>
      <c r="W18" s="1553"/>
      <c r="X18" s="1482"/>
      <c r="Y18" s="1482"/>
      <c r="Z18" s="1482"/>
      <c r="AA18" s="1482"/>
      <c r="AB18" s="1482"/>
    </row>
    <row r="19" spans="1:28" hidden="1" x14ac:dyDescent="0.25">
      <c r="A19" s="1549"/>
      <c r="C19" s="1547"/>
      <c r="D19" s="1514"/>
      <c r="E19" s="1497"/>
      <c r="F19" s="1498"/>
      <c r="G19" s="1529"/>
      <c r="H19" s="1530"/>
      <c r="I19" s="1517"/>
      <c r="J19" s="1547"/>
      <c r="K19" s="1514"/>
      <c r="L19" s="1497"/>
      <c r="M19" s="1498"/>
      <c r="N19" s="1529"/>
      <c r="O19" s="1536"/>
      <c r="P19" s="1519"/>
      <c r="Q19" s="1520"/>
      <c r="S19" s="1549"/>
      <c r="T19" s="1551"/>
      <c r="U19" s="1553"/>
      <c r="V19" s="1553"/>
      <c r="W19" s="1553"/>
      <c r="X19" s="1482"/>
      <c r="Y19" s="1482"/>
      <c r="Z19" s="1482"/>
      <c r="AA19" s="1482"/>
      <c r="AB19" s="1482"/>
    </row>
    <row r="20" spans="1:28" hidden="1" x14ac:dyDescent="0.25">
      <c r="A20" s="1549"/>
      <c r="C20" s="1547"/>
      <c r="D20" s="1514"/>
      <c r="E20" s="1497"/>
      <c r="F20" s="1498"/>
      <c r="G20" s="1529"/>
      <c r="H20" s="1530"/>
      <c r="I20" s="1517"/>
      <c r="J20" s="1547"/>
      <c r="K20" s="1514"/>
      <c r="L20" s="1497"/>
      <c r="M20" s="1498"/>
      <c r="N20" s="1529"/>
      <c r="O20" s="1536"/>
      <c r="P20" s="1519"/>
      <c r="Q20" s="1520"/>
      <c r="S20" s="1549"/>
      <c r="T20" s="1551"/>
      <c r="U20" s="1553"/>
      <c r="V20" s="1553"/>
      <c r="W20" s="1553"/>
      <c r="X20" s="1482"/>
      <c r="Y20" s="1482"/>
      <c r="Z20" s="1482"/>
      <c r="AA20" s="1482"/>
      <c r="AB20" s="1482"/>
    </row>
    <row r="21" spans="1:28" hidden="1" x14ac:dyDescent="0.25">
      <c r="A21" s="1549"/>
      <c r="C21" s="1547"/>
      <c r="D21" s="1514"/>
      <c r="E21" s="1497"/>
      <c r="F21" s="1498"/>
      <c r="G21" s="1529"/>
      <c r="H21" s="1530"/>
      <c r="I21" s="1517"/>
      <c r="J21" s="1547"/>
      <c r="K21" s="1514"/>
      <c r="L21" s="1497"/>
      <c r="M21" s="1498"/>
      <c r="N21" s="1529"/>
      <c r="O21" s="1536"/>
      <c r="P21" s="1519"/>
      <c r="Q21" s="1520"/>
      <c r="S21" s="1549"/>
      <c r="T21" s="1551"/>
      <c r="U21" s="1553"/>
      <c r="V21" s="1553"/>
      <c r="W21" s="1553"/>
      <c r="X21" s="1482"/>
      <c r="Y21" s="1482"/>
      <c r="Z21" s="1482"/>
      <c r="AA21" s="1482"/>
      <c r="AB21" s="1482"/>
    </row>
    <row r="22" spans="1:28" hidden="1" x14ac:dyDescent="0.25">
      <c r="A22" s="1549"/>
      <c r="C22" s="1547"/>
      <c r="D22" s="1514"/>
      <c r="E22" s="1497"/>
      <c r="F22" s="1498"/>
      <c r="G22" s="1529"/>
      <c r="H22" s="1530"/>
      <c r="I22" s="1517"/>
      <c r="J22" s="1547"/>
      <c r="K22" s="1514"/>
      <c r="L22" s="1497"/>
      <c r="M22" s="1498"/>
      <c r="N22" s="1529"/>
      <c r="O22" s="1536"/>
      <c r="P22" s="1519"/>
      <c r="Q22" s="1520"/>
      <c r="S22" s="1549"/>
      <c r="T22" s="1551"/>
      <c r="U22" s="1553"/>
      <c r="V22" s="1553"/>
      <c r="W22" s="1553"/>
      <c r="X22" s="1482"/>
      <c r="Y22" s="1482"/>
      <c r="Z22" s="1482"/>
      <c r="AA22" s="1482"/>
      <c r="AB22" s="1482"/>
    </row>
    <row r="23" spans="1:28" hidden="1" x14ac:dyDescent="0.25">
      <c r="A23" s="1549"/>
      <c r="C23" s="1547"/>
      <c r="D23" s="1514"/>
      <c r="E23" s="1497"/>
      <c r="F23" s="1498"/>
      <c r="G23" s="1529"/>
      <c r="H23" s="1530"/>
      <c r="I23" s="1517"/>
      <c r="J23" s="1547"/>
      <c r="K23" s="1514"/>
      <c r="L23" s="1497"/>
      <c r="M23" s="1498"/>
      <c r="N23" s="1529"/>
      <c r="O23" s="1536"/>
      <c r="P23" s="1519"/>
      <c r="Q23" s="1520"/>
      <c r="S23" s="1549"/>
      <c r="T23" s="1551"/>
      <c r="U23" s="1553"/>
      <c r="V23" s="1553"/>
      <c r="W23" s="1553"/>
      <c r="X23" s="1482"/>
      <c r="Y23" s="1482"/>
      <c r="Z23" s="1482"/>
      <c r="AA23" s="1482"/>
      <c r="AB23" s="1482"/>
    </row>
    <row r="24" spans="1:28" hidden="1" x14ac:dyDescent="0.25">
      <c r="A24" s="1549"/>
      <c r="C24" s="1547"/>
      <c r="D24" s="1514"/>
      <c r="E24" s="1497"/>
      <c r="F24" s="1498"/>
      <c r="G24" s="1529"/>
      <c r="H24" s="1530"/>
      <c r="I24" s="1517"/>
      <c r="J24" s="1547"/>
      <c r="K24" s="1514"/>
      <c r="L24" s="1497"/>
      <c r="M24" s="1498"/>
      <c r="N24" s="1529"/>
      <c r="O24" s="1536"/>
      <c r="P24" s="1519"/>
      <c r="Q24" s="1520"/>
      <c r="S24" s="1549"/>
      <c r="T24" s="1551"/>
      <c r="U24" s="1553"/>
      <c r="V24" s="1553"/>
      <c r="W24" s="1553"/>
      <c r="X24" s="1482"/>
      <c r="Y24" s="1482"/>
      <c r="Z24" s="1482"/>
      <c r="AA24" s="1482"/>
      <c r="AB24" s="1482"/>
    </row>
    <row r="25" spans="1:28" hidden="1" x14ac:dyDescent="0.25">
      <c r="A25" s="1549"/>
      <c r="C25" s="1547"/>
      <c r="D25" s="1514"/>
      <c r="E25" s="1497"/>
      <c r="F25" s="1498"/>
      <c r="G25" s="1529"/>
      <c r="H25" s="1530"/>
      <c r="I25" s="1517"/>
      <c r="J25" s="1547"/>
      <c r="K25" s="1514"/>
      <c r="L25" s="1497"/>
      <c r="M25" s="1498"/>
      <c r="N25" s="1529"/>
      <c r="O25" s="1536"/>
      <c r="P25" s="1519"/>
      <c r="Q25" s="1520"/>
      <c r="S25" s="1549"/>
      <c r="T25" s="1551"/>
      <c r="U25" s="1553"/>
      <c r="V25" s="1553"/>
      <c r="W25" s="1553"/>
      <c r="X25" s="1482"/>
      <c r="Y25" s="1482"/>
      <c r="Z25" s="1482"/>
      <c r="AA25" s="1482"/>
      <c r="AB25" s="1482"/>
    </row>
    <row r="26" spans="1:28" ht="18.75" customHeight="1" x14ac:dyDescent="0.25">
      <c r="A26" s="1549"/>
      <c r="C26" s="1547"/>
      <c r="D26" s="1514"/>
      <c r="E26" s="1497"/>
      <c r="F26" s="1498"/>
      <c r="G26" s="1537"/>
      <c r="H26" s="1530"/>
      <c r="I26" s="1517"/>
      <c r="J26" s="1547"/>
      <c r="K26" s="1514"/>
      <c r="L26" s="1497"/>
      <c r="M26" s="1498"/>
      <c r="N26" s="1537"/>
      <c r="O26" s="1536"/>
      <c r="P26" s="1519"/>
      <c r="Q26" s="1538"/>
      <c r="S26" s="1549"/>
      <c r="T26" s="1551"/>
      <c r="U26" s="1553"/>
      <c r="V26" s="1553"/>
      <c r="W26" s="1553"/>
      <c r="X26" s="1482"/>
      <c r="Y26" s="1482"/>
      <c r="Z26" s="1482"/>
      <c r="AA26" s="1482"/>
      <c r="AB26" s="1482"/>
    </row>
    <row r="27" spans="1:28" ht="5.25" customHeight="1" x14ac:dyDescent="0.25">
      <c r="A27" s="1549"/>
      <c r="C27" s="1547"/>
      <c r="D27" s="1514"/>
      <c r="E27" s="1497"/>
      <c r="F27" s="1498"/>
      <c r="G27" s="1529"/>
      <c r="H27" s="1530"/>
      <c r="I27" s="1517"/>
      <c r="J27" s="1547"/>
      <c r="K27" s="1514"/>
      <c r="L27" s="1497"/>
      <c r="M27" s="1498"/>
      <c r="N27" s="1529"/>
      <c r="O27" s="1536"/>
      <c r="P27" s="1519"/>
      <c r="Q27" s="1520"/>
      <c r="S27" s="1549"/>
      <c r="T27" s="1551"/>
      <c r="U27" s="1553"/>
      <c r="V27" s="1553"/>
      <c r="W27" s="1553"/>
      <c r="X27" s="1482"/>
      <c r="Y27" s="1482"/>
      <c r="Z27" s="1482"/>
      <c r="AA27" s="1482"/>
      <c r="AB27" s="1482"/>
    </row>
    <row r="28" spans="1:28" x14ac:dyDescent="0.25">
      <c r="A28" s="1549"/>
      <c r="C28" s="1547"/>
      <c r="D28" s="1514"/>
      <c r="E28" s="1497"/>
      <c r="F28" s="1498"/>
      <c r="G28" s="1529"/>
      <c r="H28" s="1530"/>
      <c r="I28" s="1517"/>
      <c r="J28" s="1547"/>
      <c r="K28" s="1514"/>
      <c r="L28" s="1497"/>
      <c r="M28" s="1498"/>
      <c r="N28" s="1529"/>
      <c r="O28" s="1536"/>
      <c r="P28" s="1519"/>
      <c r="Q28" s="1520"/>
      <c r="S28" s="1549"/>
      <c r="T28" s="1551"/>
      <c r="U28" s="1552"/>
      <c r="V28" s="1553"/>
      <c r="W28" s="1553"/>
      <c r="X28" s="1482"/>
      <c r="Y28" s="1482"/>
      <c r="Z28" s="1482"/>
      <c r="AA28" s="1482"/>
      <c r="AB28" s="1482"/>
    </row>
    <row r="29" spans="1:28" x14ac:dyDescent="0.25">
      <c r="A29" s="1549"/>
      <c r="C29" s="1547"/>
      <c r="D29" s="1514"/>
      <c r="E29" s="1497"/>
      <c r="F29" s="1498"/>
      <c r="G29" s="1529"/>
      <c r="H29" s="1530"/>
      <c r="I29" s="1517"/>
      <c r="J29" s="1547"/>
      <c r="K29" s="1514"/>
      <c r="L29" s="1497"/>
      <c r="M29" s="1498"/>
      <c r="N29" s="1529"/>
      <c r="O29" s="1536"/>
      <c r="P29" s="1519"/>
      <c r="Q29" s="1520"/>
      <c r="S29" s="1549"/>
      <c r="T29" s="1551"/>
      <c r="U29" s="1553"/>
      <c r="V29" s="1553"/>
      <c r="W29" s="1553"/>
      <c r="X29" s="1482"/>
      <c r="Y29" s="1482"/>
      <c r="Z29" s="1482"/>
      <c r="AA29" s="1482"/>
      <c r="AB29" s="1482"/>
    </row>
    <row r="30" spans="1:28" x14ac:dyDescent="0.25">
      <c r="A30" s="1549"/>
      <c r="C30" s="1547"/>
      <c r="D30" s="1514"/>
      <c r="E30" s="1497"/>
      <c r="F30" s="1498"/>
      <c r="G30" s="1529"/>
      <c r="H30" s="1530"/>
      <c r="I30" s="1517"/>
      <c r="J30" s="1547"/>
      <c r="K30" s="1514"/>
      <c r="L30" s="1497"/>
      <c r="M30" s="1498"/>
      <c r="N30" s="1529"/>
      <c r="O30" s="1536"/>
      <c r="P30" s="1519"/>
      <c r="Q30" s="1520"/>
      <c r="S30" s="1549"/>
      <c r="T30" s="1551"/>
      <c r="U30" s="1553"/>
      <c r="V30" s="1553"/>
      <c r="W30" s="1553"/>
      <c r="X30" s="1482"/>
      <c r="Y30" s="1482"/>
      <c r="Z30" s="1482"/>
      <c r="AA30" s="1482"/>
      <c r="AB30" s="1482"/>
    </row>
    <row r="31" spans="1:28" x14ac:dyDescent="0.25">
      <c r="A31" s="1549"/>
      <c r="C31" s="1547"/>
      <c r="D31" s="1514"/>
      <c r="E31" s="1497"/>
      <c r="F31" s="1498"/>
      <c r="G31" s="1529"/>
      <c r="H31" s="1530"/>
      <c r="I31" s="1517"/>
      <c r="J31" s="1547"/>
      <c r="K31" s="1514"/>
      <c r="L31" s="1497"/>
      <c r="M31" s="1498"/>
      <c r="N31" s="1529"/>
      <c r="O31" s="1536"/>
      <c r="P31" s="1519"/>
      <c r="Q31" s="1520"/>
      <c r="S31" s="1549"/>
      <c r="T31" s="1551"/>
      <c r="U31" s="1553"/>
      <c r="V31" s="1553"/>
      <c r="W31" s="1553"/>
      <c r="X31" s="1482"/>
      <c r="Y31" s="1482"/>
      <c r="Z31" s="1482"/>
      <c r="AA31" s="1482"/>
      <c r="AB31" s="1482"/>
    </row>
    <row r="32" spans="1:28" x14ac:dyDescent="0.25">
      <c r="A32" s="1549"/>
      <c r="C32" s="1547"/>
      <c r="D32" s="1514"/>
      <c r="E32" s="1497"/>
      <c r="F32" s="1498"/>
      <c r="G32" s="1529"/>
      <c r="H32" s="1530"/>
      <c r="I32" s="1517"/>
      <c r="J32" s="1547"/>
      <c r="K32" s="1514"/>
      <c r="L32" s="1497"/>
      <c r="M32" s="1498"/>
      <c r="N32" s="1529"/>
      <c r="O32" s="1536"/>
      <c r="P32" s="1519"/>
      <c r="Q32" s="1520"/>
      <c r="S32" s="1549"/>
      <c r="T32" s="1551"/>
      <c r="U32" s="1553"/>
      <c r="V32" s="1553"/>
      <c r="W32" s="1553"/>
      <c r="X32" s="1482"/>
      <c r="Y32" s="1482"/>
      <c r="Z32" s="1482"/>
      <c r="AA32" s="1482"/>
      <c r="AB32" s="1482"/>
    </row>
    <row r="33" spans="1:28" hidden="1" x14ac:dyDescent="0.25">
      <c r="A33" s="1549"/>
      <c r="C33" s="1547"/>
      <c r="D33" s="1514"/>
      <c r="E33" s="1497"/>
      <c r="F33" s="1498"/>
      <c r="G33" s="1529"/>
      <c r="H33" s="1530"/>
      <c r="I33" s="1517"/>
      <c r="J33" s="1547"/>
      <c r="K33" s="1514"/>
      <c r="L33" s="1497"/>
      <c r="M33" s="1498"/>
      <c r="N33" s="1529"/>
      <c r="O33" s="1536"/>
      <c r="P33" s="1519"/>
      <c r="Q33" s="1520"/>
      <c r="S33" s="1549"/>
      <c r="T33" s="1551"/>
      <c r="U33" s="1553"/>
      <c r="V33" s="1553"/>
      <c r="W33" s="1553"/>
      <c r="X33" s="1482"/>
      <c r="Y33" s="1482"/>
      <c r="Z33" s="1482"/>
      <c r="AA33" s="1482"/>
      <c r="AB33" s="1482"/>
    </row>
    <row r="34" spans="1:28" hidden="1" x14ac:dyDescent="0.25">
      <c r="A34" s="1549"/>
      <c r="C34" s="1547"/>
      <c r="D34" s="1514"/>
      <c r="E34" s="1497"/>
      <c r="F34" s="1498"/>
      <c r="G34" s="1529"/>
      <c r="H34" s="1530"/>
      <c r="I34" s="1517"/>
      <c r="J34" s="1547"/>
      <c r="K34" s="1514"/>
      <c r="L34" s="1497"/>
      <c r="M34" s="1498"/>
      <c r="N34" s="1529"/>
      <c r="O34" s="1536"/>
      <c r="P34" s="1519"/>
      <c r="Q34" s="1520"/>
      <c r="S34" s="1549"/>
      <c r="T34" s="1551"/>
      <c r="U34" s="1553"/>
      <c r="V34" s="1553"/>
      <c r="W34" s="1553"/>
      <c r="X34" s="1482"/>
      <c r="Y34" s="1482"/>
      <c r="Z34" s="1482"/>
      <c r="AA34" s="1482"/>
      <c r="AB34" s="1482"/>
    </row>
    <row r="35" spans="1:28" hidden="1" x14ac:dyDescent="0.25">
      <c r="A35" s="1549"/>
      <c r="C35" s="1547"/>
      <c r="D35" s="1514"/>
      <c r="E35" s="1497"/>
      <c r="F35" s="1498"/>
      <c r="G35" s="1529"/>
      <c r="H35" s="1530"/>
      <c r="I35" s="1517"/>
      <c r="J35" s="1547"/>
      <c r="K35" s="1514"/>
      <c r="L35" s="1497"/>
      <c r="M35" s="1498"/>
      <c r="N35" s="1529"/>
      <c r="O35" s="1536"/>
      <c r="P35" s="1519"/>
      <c r="Q35" s="1520"/>
      <c r="S35" s="1549"/>
      <c r="T35" s="1551"/>
      <c r="U35" s="1553"/>
      <c r="V35" s="1553"/>
      <c r="W35" s="1553"/>
      <c r="X35" s="1482"/>
      <c r="Y35" s="1482"/>
      <c r="Z35" s="1482"/>
      <c r="AA35" s="1482"/>
      <c r="AB35" s="1482"/>
    </row>
    <row r="36" spans="1:28" hidden="1" x14ac:dyDescent="0.25">
      <c r="A36" s="1549"/>
      <c r="C36" s="1547"/>
      <c r="D36" s="1514"/>
      <c r="E36" s="1497"/>
      <c r="F36" s="1498"/>
      <c r="G36" s="1529"/>
      <c r="H36" s="1530"/>
      <c r="I36" s="1517"/>
      <c r="J36" s="1547"/>
      <c r="K36" s="1514"/>
      <c r="L36" s="1497"/>
      <c r="M36" s="1498"/>
      <c r="N36" s="1529"/>
      <c r="O36" s="1536"/>
      <c r="P36" s="1519"/>
      <c r="Q36" s="1520"/>
      <c r="S36" s="1549"/>
      <c r="T36" s="1551"/>
      <c r="U36" s="1553"/>
      <c r="V36" s="1553"/>
      <c r="W36" s="1553"/>
      <c r="X36" s="1482"/>
      <c r="Y36" s="1482"/>
      <c r="Z36" s="1482"/>
      <c r="AA36" s="1482"/>
      <c r="AB36" s="1482"/>
    </row>
    <row r="37" spans="1:28" hidden="1" x14ac:dyDescent="0.25">
      <c r="A37" s="1549"/>
      <c r="C37" s="1547"/>
      <c r="D37" s="1514"/>
      <c r="E37" s="1497"/>
      <c r="F37" s="1498"/>
      <c r="G37" s="1529"/>
      <c r="H37" s="1530"/>
      <c r="I37" s="1517"/>
      <c r="J37" s="1547"/>
      <c r="K37" s="1514"/>
      <c r="L37" s="1497"/>
      <c r="M37" s="1498"/>
      <c r="N37" s="1529"/>
      <c r="O37" s="1536"/>
      <c r="P37" s="1519"/>
      <c r="Q37" s="1520"/>
      <c r="S37" s="1549"/>
      <c r="T37" s="1551"/>
      <c r="U37" s="1553"/>
      <c r="V37" s="1553"/>
      <c r="W37" s="1553"/>
      <c r="X37" s="1482"/>
      <c r="Y37" s="1482"/>
      <c r="Z37" s="1482"/>
      <c r="AA37" s="1482"/>
      <c r="AB37" s="1482"/>
    </row>
    <row r="38" spans="1:28" hidden="1" x14ac:dyDescent="0.25">
      <c r="A38" s="1549"/>
      <c r="C38" s="1547"/>
      <c r="D38" s="1514"/>
      <c r="E38" s="1497"/>
      <c r="F38" s="1498"/>
      <c r="G38" s="1529"/>
      <c r="H38" s="1530"/>
      <c r="I38" s="1517"/>
      <c r="J38" s="1547"/>
      <c r="K38" s="1514"/>
      <c r="L38" s="1497"/>
      <c r="M38" s="1498"/>
      <c r="N38" s="1529"/>
      <c r="O38" s="1536"/>
      <c r="P38" s="1519"/>
      <c r="Q38" s="1520"/>
      <c r="S38" s="1549"/>
      <c r="T38" s="1551"/>
      <c r="U38" s="1553"/>
      <c r="V38" s="1553"/>
      <c r="W38" s="1553"/>
      <c r="X38" s="1482"/>
      <c r="Y38" s="1482"/>
      <c r="Z38" s="1482"/>
      <c r="AA38" s="1482"/>
      <c r="AB38" s="1482"/>
    </row>
    <row r="39" spans="1:28" hidden="1" x14ac:dyDescent="0.25">
      <c r="A39" s="1549"/>
      <c r="C39" s="1547"/>
      <c r="D39" s="1514"/>
      <c r="E39" s="1497"/>
      <c r="F39" s="1498"/>
      <c r="G39" s="1529"/>
      <c r="H39" s="1530"/>
      <c r="I39" s="1517"/>
      <c r="J39" s="1547"/>
      <c r="K39" s="1514"/>
      <c r="L39" s="1497"/>
      <c r="M39" s="1498"/>
      <c r="N39" s="1529"/>
      <c r="O39" s="1536"/>
      <c r="P39" s="1519"/>
      <c r="Q39" s="1520"/>
      <c r="S39" s="1549"/>
      <c r="T39" s="1551"/>
      <c r="U39" s="1553"/>
      <c r="V39" s="1553"/>
      <c r="W39" s="1553"/>
      <c r="X39" s="1482"/>
      <c r="Y39" s="1482"/>
      <c r="Z39" s="1482"/>
      <c r="AA39" s="1482"/>
      <c r="AB39" s="1482"/>
    </row>
    <row r="40" spans="1:28" ht="18" customHeight="1" x14ac:dyDescent="0.25">
      <c r="A40" s="1549"/>
      <c r="C40" s="1547"/>
      <c r="D40" s="1514"/>
      <c r="E40" s="1497"/>
      <c r="F40" s="1498"/>
      <c r="G40" s="1537"/>
      <c r="H40" s="1530"/>
      <c r="I40" s="1517"/>
      <c r="J40" s="1547"/>
      <c r="K40" s="1514"/>
      <c r="L40" s="1497"/>
      <c r="M40" s="1498"/>
      <c r="N40" s="1537"/>
      <c r="O40" s="1536"/>
      <c r="P40" s="1519"/>
      <c r="Q40" s="1538"/>
      <c r="S40" s="1549"/>
      <c r="T40" s="1551"/>
      <c r="U40" s="1553"/>
      <c r="V40" s="1553"/>
      <c r="W40" s="1553"/>
      <c r="X40" s="1482"/>
      <c r="Y40" s="1482"/>
      <c r="Z40" s="1482"/>
      <c r="AA40" s="1482"/>
      <c r="AB40" s="1482"/>
    </row>
    <row r="41" spans="1:28" x14ac:dyDescent="0.25">
      <c r="A41" s="1549"/>
      <c r="C41" s="1547"/>
      <c r="D41" s="1514"/>
      <c r="E41" s="1497"/>
      <c r="F41" s="1498"/>
      <c r="G41" s="1529"/>
      <c r="H41" s="1530"/>
      <c r="I41" s="1517"/>
      <c r="J41" s="1547"/>
      <c r="K41" s="1514"/>
      <c r="L41" s="1497"/>
      <c r="M41" s="1498"/>
      <c r="N41" s="1529"/>
      <c r="O41" s="1536"/>
      <c r="P41" s="1519"/>
      <c r="Q41" s="1520"/>
      <c r="S41" s="1549"/>
      <c r="T41" s="1551"/>
      <c r="U41" s="1553"/>
      <c r="V41" s="1553"/>
      <c r="W41" s="1553"/>
      <c r="X41" s="1482"/>
      <c r="Y41" s="1482"/>
      <c r="Z41" s="1482"/>
      <c r="AA41" s="1482"/>
      <c r="AB41" s="1482"/>
    </row>
    <row r="42" spans="1:28" x14ac:dyDescent="0.25">
      <c r="A42" s="1549"/>
      <c r="C42" s="1547"/>
      <c r="D42" s="1514"/>
      <c r="E42" s="1497"/>
      <c r="F42" s="1498"/>
      <c r="G42" s="1529"/>
      <c r="H42" s="1530"/>
      <c r="I42" s="1517"/>
      <c r="J42" s="1547"/>
      <c r="K42" s="1514"/>
      <c r="L42" s="1497"/>
      <c r="M42" s="1498"/>
      <c r="N42" s="1529"/>
      <c r="O42" s="1536"/>
      <c r="P42" s="1519"/>
      <c r="Q42" s="1520"/>
      <c r="S42" s="1549"/>
      <c r="T42" s="1551"/>
      <c r="U42" s="1552"/>
      <c r="V42" s="1553"/>
      <c r="W42" s="1553"/>
      <c r="X42" s="1482"/>
      <c r="Y42" s="1482"/>
      <c r="Z42" s="1482"/>
      <c r="AA42" s="1482"/>
      <c r="AB42" s="1482"/>
    </row>
    <row r="43" spans="1:28" x14ac:dyDescent="0.25">
      <c r="A43" s="1549"/>
      <c r="C43" s="1547"/>
      <c r="D43" s="1514"/>
      <c r="E43" s="1497"/>
      <c r="F43" s="1498"/>
      <c r="G43" s="1529"/>
      <c r="H43" s="1530"/>
      <c r="I43" s="1517"/>
      <c r="J43" s="1547"/>
      <c r="K43" s="1514"/>
      <c r="L43" s="1497"/>
      <c r="M43" s="1498"/>
      <c r="N43" s="1529"/>
      <c r="O43" s="1536"/>
      <c r="P43" s="1519"/>
      <c r="Q43" s="1520"/>
      <c r="S43" s="1549"/>
      <c r="T43" s="1551"/>
      <c r="U43" s="1553"/>
      <c r="V43" s="1553"/>
      <c r="W43" s="1553"/>
      <c r="X43" s="1482"/>
      <c r="Y43" s="1482"/>
      <c r="Z43" s="1482"/>
      <c r="AA43" s="1482"/>
      <c r="AB43" s="1482"/>
    </row>
    <row r="44" spans="1:28" x14ac:dyDescent="0.25">
      <c r="A44" s="1549"/>
      <c r="C44" s="1547"/>
      <c r="D44" s="1514"/>
      <c r="E44" s="1497"/>
      <c r="F44" s="1498"/>
      <c r="G44" s="1529"/>
      <c r="H44" s="1530"/>
      <c r="I44" s="1517"/>
      <c r="J44" s="1547"/>
      <c r="K44" s="1514"/>
      <c r="L44" s="1497"/>
      <c r="M44" s="1498"/>
      <c r="N44" s="1529"/>
      <c r="O44" s="1536"/>
      <c r="P44" s="1519"/>
      <c r="Q44" s="1520"/>
      <c r="S44" s="1549"/>
      <c r="T44" s="1551"/>
      <c r="U44" s="1553"/>
      <c r="V44" s="1553"/>
      <c r="W44" s="1553"/>
      <c r="X44" s="1482"/>
      <c r="Y44" s="1482"/>
      <c r="Z44" s="1482"/>
      <c r="AA44" s="1482"/>
      <c r="AB44" s="1482"/>
    </row>
    <row r="45" spans="1:28" x14ac:dyDescent="0.25">
      <c r="A45" s="1549"/>
      <c r="C45" s="1547"/>
      <c r="D45" s="1514"/>
      <c r="E45" s="1497"/>
      <c r="F45" s="1498"/>
      <c r="G45" s="1529"/>
      <c r="H45" s="1530"/>
      <c r="I45" s="1517"/>
      <c r="J45" s="1547"/>
      <c r="K45" s="1514"/>
      <c r="L45" s="1497"/>
      <c r="M45" s="1498"/>
      <c r="N45" s="1529"/>
      <c r="O45" s="1536"/>
      <c r="P45" s="1519"/>
      <c r="Q45" s="1520"/>
      <c r="S45" s="1549"/>
      <c r="T45" s="1551"/>
      <c r="U45" s="1553"/>
      <c r="V45" s="1553"/>
      <c r="W45" s="1553"/>
      <c r="X45" s="1482"/>
      <c r="Y45" s="1482"/>
      <c r="Z45" s="1482"/>
      <c r="AA45" s="1482"/>
      <c r="AB45" s="1482"/>
    </row>
    <row r="46" spans="1:28" x14ac:dyDescent="0.25">
      <c r="A46" s="1549"/>
      <c r="C46" s="1547"/>
      <c r="D46" s="1514"/>
      <c r="E46" s="1497"/>
      <c r="F46" s="1498"/>
      <c r="G46" s="1529"/>
      <c r="H46" s="1530"/>
      <c r="I46" s="1517"/>
      <c r="J46" s="1547"/>
      <c r="K46" s="1514"/>
      <c r="L46" s="1497"/>
      <c r="M46" s="1498"/>
      <c r="N46" s="1529"/>
      <c r="O46" s="1536"/>
      <c r="P46" s="1519"/>
      <c r="Q46" s="1520"/>
      <c r="S46" s="1549"/>
      <c r="T46" s="1551"/>
      <c r="U46" s="1553"/>
      <c r="V46" s="1553"/>
      <c r="W46" s="1553"/>
      <c r="X46" s="1482"/>
      <c r="Y46" s="1482"/>
      <c r="Z46" s="1482"/>
      <c r="AA46" s="1482"/>
      <c r="AB46" s="1482"/>
    </row>
    <row r="47" spans="1:28" hidden="1" x14ac:dyDescent="0.25">
      <c r="A47" s="1549"/>
      <c r="C47" s="1547"/>
      <c r="D47" s="1514"/>
      <c r="E47" s="1497"/>
      <c r="F47" s="1498"/>
      <c r="G47" s="1529"/>
      <c r="H47" s="1530"/>
      <c r="I47" s="1517"/>
      <c r="J47" s="1547"/>
      <c r="K47" s="1514"/>
      <c r="L47" s="1497"/>
      <c r="M47" s="1498"/>
      <c r="N47" s="1529"/>
      <c r="O47" s="1536"/>
      <c r="P47" s="1519"/>
      <c r="Q47" s="1520"/>
      <c r="S47" s="1549"/>
      <c r="T47" s="1551"/>
      <c r="U47" s="1553"/>
      <c r="V47" s="1553"/>
      <c r="W47" s="1553"/>
      <c r="X47" s="1482"/>
      <c r="Y47" s="1482"/>
      <c r="Z47" s="1482"/>
      <c r="AA47" s="1482"/>
      <c r="AB47" s="1482"/>
    </row>
    <row r="48" spans="1:28" hidden="1" x14ac:dyDescent="0.25">
      <c r="A48" s="1549"/>
      <c r="C48" s="1547"/>
      <c r="D48" s="1514"/>
      <c r="E48" s="1497"/>
      <c r="F48" s="1498"/>
      <c r="G48" s="1529"/>
      <c r="H48" s="1530"/>
      <c r="I48" s="1517"/>
      <c r="J48" s="1547"/>
      <c r="K48" s="1514"/>
      <c r="L48" s="1497"/>
      <c r="M48" s="1498"/>
      <c r="N48" s="1529"/>
      <c r="O48" s="1536"/>
      <c r="P48" s="1519"/>
      <c r="Q48" s="1520"/>
      <c r="S48" s="1549"/>
      <c r="T48" s="1551"/>
      <c r="U48" s="1553"/>
      <c r="V48" s="1553"/>
      <c r="W48" s="1553"/>
      <c r="X48" s="1482"/>
      <c r="Y48" s="1482"/>
      <c r="Z48" s="1482"/>
      <c r="AA48" s="1482"/>
      <c r="AB48" s="1482"/>
    </row>
    <row r="49" spans="1:28" hidden="1" x14ac:dyDescent="0.25">
      <c r="A49" s="1549"/>
      <c r="C49" s="1547"/>
      <c r="D49" s="1514"/>
      <c r="E49" s="1497"/>
      <c r="F49" s="1498"/>
      <c r="G49" s="1529"/>
      <c r="H49" s="1530"/>
      <c r="I49" s="1517"/>
      <c r="J49" s="1547"/>
      <c r="K49" s="1514"/>
      <c r="L49" s="1497"/>
      <c r="M49" s="1498"/>
      <c r="N49" s="1529"/>
      <c r="O49" s="1536"/>
      <c r="P49" s="1519"/>
      <c r="Q49" s="1520"/>
      <c r="S49" s="1549"/>
      <c r="T49" s="1551"/>
      <c r="U49" s="1553"/>
      <c r="V49" s="1553"/>
      <c r="W49" s="1553"/>
      <c r="X49" s="1482"/>
      <c r="Y49" s="1482"/>
      <c r="Z49" s="1482"/>
      <c r="AA49" s="1482"/>
      <c r="AB49" s="1482"/>
    </row>
    <row r="50" spans="1:28" hidden="1" x14ac:dyDescent="0.25">
      <c r="A50" s="1549"/>
      <c r="C50" s="1547"/>
      <c r="D50" s="1514"/>
      <c r="E50" s="1497"/>
      <c r="F50" s="1498"/>
      <c r="G50" s="1529"/>
      <c r="H50" s="1530"/>
      <c r="I50" s="1517"/>
      <c r="J50" s="1547"/>
      <c r="K50" s="1514"/>
      <c r="L50" s="1497"/>
      <c r="M50" s="1498"/>
      <c r="N50" s="1529"/>
      <c r="O50" s="1536"/>
      <c r="P50" s="1519"/>
      <c r="Q50" s="1520"/>
      <c r="S50" s="1549"/>
      <c r="T50" s="1551"/>
      <c r="U50" s="1553"/>
      <c r="V50" s="1553"/>
      <c r="W50" s="1553"/>
      <c r="X50" s="1482"/>
      <c r="Y50" s="1482"/>
      <c r="Z50" s="1482"/>
      <c r="AA50" s="1482"/>
      <c r="AB50" s="1482"/>
    </row>
    <row r="51" spans="1:28" hidden="1" x14ac:dyDescent="0.25">
      <c r="A51" s="1549"/>
      <c r="C51" s="1547"/>
      <c r="D51" s="1514"/>
      <c r="E51" s="1497"/>
      <c r="F51" s="1498"/>
      <c r="G51" s="1529"/>
      <c r="H51" s="1530"/>
      <c r="I51" s="1517"/>
      <c r="J51" s="1547"/>
      <c r="K51" s="1514"/>
      <c r="L51" s="1497"/>
      <c r="M51" s="1498"/>
      <c r="N51" s="1529"/>
      <c r="O51" s="1536"/>
      <c r="P51" s="1519"/>
      <c r="Q51" s="1520"/>
      <c r="S51" s="1549"/>
      <c r="T51" s="1551"/>
      <c r="U51" s="1553"/>
      <c r="V51" s="1553"/>
      <c r="W51" s="1553"/>
      <c r="X51" s="1482"/>
      <c r="Y51" s="1482"/>
      <c r="Z51" s="1482"/>
      <c r="AA51" s="1482"/>
      <c r="AB51" s="1482"/>
    </row>
    <row r="52" spans="1:28" hidden="1" x14ac:dyDescent="0.25">
      <c r="A52" s="1549"/>
      <c r="C52" s="1547"/>
      <c r="D52" s="1514"/>
      <c r="E52" s="1497"/>
      <c r="F52" s="1498"/>
      <c r="G52" s="1529"/>
      <c r="H52" s="1530"/>
      <c r="I52" s="1517"/>
      <c r="J52" s="1547"/>
      <c r="K52" s="1514"/>
      <c r="L52" s="1497"/>
      <c r="M52" s="1498"/>
      <c r="N52" s="1529"/>
      <c r="O52" s="1536"/>
      <c r="P52" s="1519"/>
      <c r="Q52" s="1520"/>
      <c r="S52" s="1549"/>
      <c r="T52" s="1551"/>
      <c r="U52" s="1553"/>
      <c r="V52" s="1553"/>
      <c r="W52" s="1553"/>
      <c r="X52" s="1482"/>
      <c r="Y52" s="1482"/>
      <c r="Z52" s="1482"/>
      <c r="AA52" s="1482"/>
      <c r="AB52" s="1482"/>
    </row>
    <row r="53" spans="1:28" hidden="1" x14ac:dyDescent="0.25">
      <c r="A53" s="1549"/>
      <c r="C53" s="1547"/>
      <c r="D53" s="1514"/>
      <c r="E53" s="1497"/>
      <c r="F53" s="1498"/>
      <c r="G53" s="1529"/>
      <c r="H53" s="1530"/>
      <c r="I53" s="1517"/>
      <c r="J53" s="1547"/>
      <c r="K53" s="1514"/>
      <c r="L53" s="1497"/>
      <c r="M53" s="1498"/>
      <c r="N53" s="1529"/>
      <c r="O53" s="1536"/>
      <c r="P53" s="1519"/>
      <c r="Q53" s="1520"/>
      <c r="S53" s="1549"/>
      <c r="T53" s="1551"/>
      <c r="U53" s="1553"/>
      <c r="V53" s="1553"/>
      <c r="W53" s="1553"/>
      <c r="X53" s="1482"/>
      <c r="Y53" s="1482"/>
      <c r="Z53" s="1482"/>
      <c r="AA53" s="1482"/>
      <c r="AB53" s="1482"/>
    </row>
    <row r="54" spans="1:28" ht="17.25" customHeight="1" x14ac:dyDescent="0.25">
      <c r="A54" s="1549"/>
      <c r="C54" s="1528"/>
      <c r="D54" s="1514"/>
      <c r="E54" s="1497"/>
      <c r="F54" s="1498"/>
      <c r="G54" s="1537"/>
      <c r="H54" s="1530"/>
      <c r="I54" s="1517"/>
      <c r="J54" s="1528"/>
      <c r="K54" s="1514"/>
      <c r="L54" s="1497"/>
      <c r="M54" s="1498"/>
      <c r="N54" s="1537"/>
      <c r="O54" s="1536"/>
      <c r="P54" s="1519"/>
      <c r="Q54" s="1538"/>
      <c r="S54" s="1549"/>
      <c r="T54" s="1551"/>
      <c r="U54" s="1553"/>
      <c r="V54" s="1553"/>
      <c r="W54" s="1553"/>
      <c r="X54" s="1482"/>
      <c r="Y54" s="1482"/>
      <c r="Z54" s="1482"/>
      <c r="AA54" s="1482"/>
      <c r="AB54" s="1482"/>
    </row>
    <row r="55" spans="1:28" x14ac:dyDescent="0.25">
      <c r="A55" s="1549"/>
      <c r="C55" s="1528"/>
      <c r="D55" s="1514"/>
      <c r="E55" s="1497"/>
      <c r="F55" s="1498"/>
      <c r="G55" s="1529"/>
      <c r="H55" s="1530"/>
      <c r="I55" s="1517"/>
      <c r="J55" s="1528"/>
      <c r="K55" s="1514"/>
      <c r="L55" s="1497"/>
      <c r="M55" s="1498"/>
      <c r="N55" s="1529"/>
      <c r="O55" s="1536"/>
      <c r="P55" s="1519"/>
      <c r="Q55" s="1520"/>
      <c r="S55" s="1549"/>
      <c r="T55" s="1551"/>
      <c r="U55" s="1553"/>
      <c r="V55" s="1553"/>
      <c r="W55" s="1553"/>
      <c r="X55" s="1482"/>
      <c r="Y55" s="1482"/>
      <c r="Z55" s="1482"/>
      <c r="AA55" s="1482"/>
      <c r="AB55" s="1482"/>
    </row>
    <row r="56" spans="1:28" ht="21" customHeight="1" x14ac:dyDescent="0.25">
      <c r="A56" s="1482"/>
      <c r="C56" s="1546"/>
      <c r="D56" s="1514"/>
      <c r="E56" s="1497"/>
      <c r="F56" s="1498"/>
      <c r="G56" s="1525"/>
      <c r="H56" s="1525"/>
      <c r="I56" s="1517"/>
      <c r="J56" s="1528"/>
      <c r="K56" s="1514"/>
      <c r="L56" s="1497"/>
      <c r="M56" s="1498"/>
      <c r="N56" s="1525"/>
      <c r="O56" s="1526"/>
      <c r="P56" s="1519"/>
      <c r="Q56" s="1525"/>
      <c r="S56" s="1482"/>
      <c r="T56" s="1550"/>
      <c r="U56" s="1482"/>
      <c r="V56" s="1482"/>
      <c r="W56" s="1482"/>
      <c r="X56" s="1482"/>
      <c r="Y56" s="1482"/>
      <c r="Z56" s="1482"/>
      <c r="AA56" s="1482"/>
      <c r="AB56" s="1482"/>
    </row>
    <row r="57" spans="1:28" x14ac:dyDescent="0.25">
      <c r="A57" s="1482"/>
      <c r="S57" s="1482"/>
      <c r="T57" s="1550"/>
      <c r="U57" s="1482"/>
      <c r="V57" s="1482"/>
      <c r="W57" s="1482"/>
      <c r="X57" s="1482"/>
      <c r="Y57" s="1482"/>
      <c r="Z57" s="1482"/>
      <c r="AA57" s="1482"/>
      <c r="AB57" s="1482"/>
    </row>
    <row r="58" spans="1:28" x14ac:dyDescent="0.25">
      <c r="A58" s="1482"/>
      <c r="B58" s="1482"/>
      <c r="C58" s="1482"/>
      <c r="D58" s="1482"/>
      <c r="E58" s="1482"/>
      <c r="F58" s="1482"/>
      <c r="G58" s="1482"/>
      <c r="H58" s="1482"/>
      <c r="I58" s="1482"/>
      <c r="J58" s="1482"/>
      <c r="K58" s="1482"/>
      <c r="L58" s="1482"/>
      <c r="M58" s="1482"/>
      <c r="N58" s="1482"/>
      <c r="O58" s="1482"/>
      <c r="P58" s="1482"/>
      <c r="Q58" s="1482"/>
      <c r="R58" s="1482"/>
      <c r="S58" s="1482"/>
      <c r="T58" s="1550"/>
      <c r="U58" s="1482"/>
      <c r="V58" s="1482"/>
      <c r="W58" s="1482"/>
      <c r="X58" s="1482"/>
      <c r="Y58" s="1482"/>
      <c r="Z58" s="1482"/>
      <c r="AA58" s="1482"/>
      <c r="AB58" s="1482"/>
    </row>
    <row r="59" spans="1:28" x14ac:dyDescent="0.25">
      <c r="A59" s="1482"/>
      <c r="B59" s="1482"/>
      <c r="C59" s="1482"/>
      <c r="D59" s="1482"/>
      <c r="E59" s="1482"/>
      <c r="F59" s="1482"/>
      <c r="G59" s="1482"/>
      <c r="H59" s="1482"/>
      <c r="I59" s="1482"/>
      <c r="J59" s="1482"/>
      <c r="K59" s="1482"/>
      <c r="L59" s="1482"/>
      <c r="M59" s="1482"/>
      <c r="N59" s="1482"/>
      <c r="O59" s="1482"/>
      <c r="P59" s="1482"/>
      <c r="Q59" s="1482"/>
      <c r="R59" s="1482"/>
      <c r="S59" s="1482"/>
      <c r="T59" s="1550"/>
      <c r="U59" s="1482"/>
      <c r="V59" s="1482"/>
      <c r="W59" s="1482"/>
      <c r="X59" s="1482"/>
      <c r="Y59" s="1482"/>
      <c r="Z59" s="1482"/>
      <c r="AA59" s="1482"/>
      <c r="AB59" s="1482"/>
    </row>
    <row r="60" spans="1:28" x14ac:dyDescent="0.25">
      <c r="A60" s="1482"/>
      <c r="B60" s="1482"/>
      <c r="C60" s="1482"/>
      <c r="D60" s="1482"/>
      <c r="E60" s="1482"/>
      <c r="F60" s="1482"/>
      <c r="G60" s="1482"/>
      <c r="H60" s="1482"/>
      <c r="I60" s="1482"/>
      <c r="J60" s="1482"/>
      <c r="K60" s="1482"/>
      <c r="L60" s="1482"/>
      <c r="M60" s="1482"/>
      <c r="N60" s="1482"/>
      <c r="O60" s="1482"/>
      <c r="P60" s="1482"/>
      <c r="Q60" s="1482"/>
      <c r="R60" s="1482"/>
      <c r="S60" s="1482"/>
      <c r="T60" s="1550"/>
      <c r="U60" s="1482"/>
      <c r="V60" s="1482"/>
      <c r="W60" s="1482"/>
      <c r="X60" s="1482"/>
      <c r="Y60" s="1482"/>
      <c r="Z60" s="1482"/>
      <c r="AA60" s="1482"/>
      <c r="AB60" s="1482"/>
    </row>
    <row r="61" spans="1:28" x14ac:dyDescent="0.25">
      <c r="A61" s="1482"/>
      <c r="B61" s="1482"/>
      <c r="C61" s="1482"/>
      <c r="D61" s="1482"/>
      <c r="E61" s="1482"/>
      <c r="F61" s="1482"/>
      <c r="G61" s="1482"/>
      <c r="H61" s="1482"/>
      <c r="I61" s="1482"/>
      <c r="J61" s="1482"/>
      <c r="K61" s="1482"/>
      <c r="L61" s="1482"/>
      <c r="M61" s="1482"/>
      <c r="N61" s="1482"/>
      <c r="O61" s="1482"/>
      <c r="P61" s="1482"/>
      <c r="Q61" s="1482"/>
      <c r="R61" s="1482"/>
      <c r="S61" s="1482"/>
      <c r="T61" s="1550"/>
      <c r="U61" s="1482"/>
      <c r="V61" s="1482"/>
      <c r="W61" s="1482"/>
      <c r="X61" s="1482"/>
      <c r="Y61" s="1482"/>
      <c r="Z61" s="1482"/>
      <c r="AA61" s="1482"/>
      <c r="AB61" s="1482"/>
    </row>
    <row r="62" spans="1:28" x14ac:dyDescent="0.25">
      <c r="A62" s="1482"/>
      <c r="B62" s="1482"/>
      <c r="C62" s="1482"/>
      <c r="D62" s="1482"/>
      <c r="E62" s="1482"/>
      <c r="F62" s="1482"/>
      <c r="G62" s="1482"/>
      <c r="H62" s="1482"/>
      <c r="I62" s="1482"/>
      <c r="J62" s="1482"/>
      <c r="K62" s="1482"/>
      <c r="L62" s="1482"/>
      <c r="M62" s="1482"/>
      <c r="N62" s="1482"/>
      <c r="O62" s="1482"/>
      <c r="P62" s="1482"/>
      <c r="Q62" s="1482"/>
      <c r="R62" s="1482"/>
      <c r="S62" s="1482"/>
      <c r="T62" s="1550"/>
      <c r="U62" s="1482"/>
      <c r="V62" s="1482"/>
      <c r="W62" s="1482"/>
      <c r="X62" s="1482"/>
      <c r="Y62" s="1482"/>
      <c r="Z62" s="1482"/>
      <c r="AA62" s="1482"/>
      <c r="AB62" s="1482"/>
    </row>
    <row r="63" spans="1:28" x14ac:dyDescent="0.25">
      <c r="A63" s="1482"/>
      <c r="B63" s="1482"/>
      <c r="C63" s="1482"/>
      <c r="D63" s="1482"/>
      <c r="E63" s="1482"/>
      <c r="F63" s="1482"/>
      <c r="G63" s="1482"/>
      <c r="H63" s="1482"/>
      <c r="I63" s="1482"/>
      <c r="J63" s="1482"/>
      <c r="K63" s="1482"/>
      <c r="L63" s="1482"/>
      <c r="M63" s="1482"/>
      <c r="N63" s="1482"/>
      <c r="O63" s="1482"/>
      <c r="P63" s="1482"/>
      <c r="Q63" s="1482"/>
      <c r="R63" s="1482"/>
      <c r="S63" s="1482"/>
      <c r="T63" s="1550"/>
      <c r="U63" s="1482"/>
      <c r="V63" s="1482"/>
      <c r="W63" s="1482"/>
      <c r="X63" s="1482"/>
      <c r="Y63" s="1482"/>
      <c r="Z63" s="1482"/>
      <c r="AA63" s="1482"/>
      <c r="AB63" s="1482"/>
    </row>
  </sheetData>
  <phoneticPr fontId="124" type="noConversion"/>
  <pageMargins left="0.24" right="0.24" top="0.42" bottom="0.6" header="0.25" footer="0.36"/>
  <pageSetup paperSize="9" scale="96" fitToHeight="2" orientation="portrait" blackAndWhite="1"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83" r:id="rId4" name="basic2button">
              <controlPr defaultSize="0" print="0" autoFill="0" autoPict="0" macro="[0]!returnfromcopy">
                <anchor moveWithCells="1" sizeWithCells="1">
                  <from>
                    <xdr:col>19</xdr:col>
                    <xdr:colOff>76200</xdr:colOff>
                    <xdr:row>2</xdr:row>
                    <xdr:rowOff>44450</xdr:rowOff>
                  </from>
                  <to>
                    <xdr:col>20</xdr:col>
                    <xdr:colOff>342900</xdr:colOff>
                    <xdr:row>4</xdr:row>
                    <xdr:rowOff>88900</xdr:rowOff>
                  </to>
                </anchor>
              </controlPr>
            </control>
          </mc:Choice>
        </mc:AlternateContent>
        <mc:AlternateContent xmlns:mc="http://schemas.openxmlformats.org/markup-compatibility/2006">
          <mc:Choice Requires="x14">
            <control shapeId="75784" r:id="rId5" name="basic2delbutton">
              <controlPr defaultSize="0" print="0" autoFill="0" autoPict="0" macro="[0]!delete_basic2button">
                <anchor moveWithCells="1" sizeWithCells="1">
                  <from>
                    <xdr:col>19</xdr:col>
                    <xdr:colOff>76200</xdr:colOff>
                    <xdr:row>4</xdr:row>
                    <xdr:rowOff>107950</xdr:rowOff>
                  </from>
                  <to>
                    <xdr:col>20</xdr:col>
                    <xdr:colOff>342900</xdr:colOff>
                    <xdr:row>8</xdr:row>
                    <xdr:rowOff>6350</xdr:rowOff>
                  </to>
                </anchor>
              </controlPr>
            </control>
          </mc:Choice>
        </mc:AlternateContent>
        <mc:AlternateContent xmlns:mc="http://schemas.openxmlformats.org/markup-compatibility/2006">
          <mc:Choice Requires="x14">
            <control shapeId="75785" r:id="rId6" name="pdfbutton">
              <controlPr defaultSize="0" print="0" autoFill="0" autoPict="0" macro="[0]!pdfonly">
                <anchor moveWithCells="1" sizeWithCells="1">
                  <from>
                    <xdr:col>20</xdr:col>
                    <xdr:colOff>425450</xdr:colOff>
                    <xdr:row>3</xdr:row>
                    <xdr:rowOff>82550</xdr:rowOff>
                  </from>
                  <to>
                    <xdr:col>22</xdr:col>
                    <xdr:colOff>69850</xdr:colOff>
                    <xdr:row>6</xdr:row>
                    <xdr:rowOff>38100</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11140-F533-4031-AE06-6A097CBE2968}">
  <sheetPr codeName="Sheet124">
    <pageSetUpPr fitToPage="1"/>
  </sheetPr>
  <dimension ref="A1:AA63"/>
  <sheetViews>
    <sheetView showGridLines="0" zoomScaleNormal="100" workbookViewId="0"/>
  </sheetViews>
  <sheetFormatPr defaultColWidth="9.08984375" defaultRowHeight="12.5" x14ac:dyDescent="0.25"/>
  <cols>
    <col min="1" max="1" width="10.08984375" style="1493" customWidth="1"/>
    <col min="2" max="2" width="1.90625" style="1493" customWidth="1"/>
    <col min="3" max="3" width="11.54296875" style="1493" customWidth="1"/>
    <col min="4" max="4" width="11.6328125" style="1493" customWidth="1"/>
    <col min="5" max="5" width="13.08984375" style="1493" customWidth="1"/>
    <col min="6" max="6" width="13" style="1493" customWidth="1"/>
    <col min="7" max="7" width="12.08984375" style="1493" customWidth="1"/>
    <col min="8" max="8" width="8.08984375" style="1493" customWidth="1"/>
    <col min="9" max="9" width="11.90625" style="1493" customWidth="1"/>
    <col min="10" max="10" width="13.36328125" style="1493" customWidth="1"/>
    <col min="11" max="11" width="11.90625" style="1493" customWidth="1"/>
    <col min="12" max="13" width="12.54296875" style="1493" customWidth="1"/>
    <col min="14" max="14" width="13.36328125" style="1493" customWidth="1"/>
    <col min="15" max="15" width="1.6328125" style="1493" customWidth="1"/>
    <col min="16" max="16" width="1.90625" style="1493" customWidth="1"/>
    <col min="17" max="17" width="17" style="1493" customWidth="1"/>
    <col min="18" max="18" width="12.90625" style="1493" customWidth="1"/>
    <col min="19" max="16384" width="9.08984375" style="1493"/>
  </cols>
  <sheetData>
    <row r="1" spans="1:27" ht="21" customHeight="1" x14ac:dyDescent="0.25">
      <c r="A1" s="1548"/>
      <c r="B1" s="1548"/>
      <c r="C1" s="1548"/>
      <c r="D1" s="1548"/>
      <c r="E1" s="1548"/>
      <c r="F1" s="1548"/>
      <c r="G1" s="1548"/>
      <c r="H1" s="1548"/>
      <c r="I1" s="1548"/>
      <c r="J1" s="1548"/>
      <c r="K1" s="1548"/>
      <c r="L1" s="1548"/>
      <c r="M1" s="1548"/>
      <c r="N1" s="1548"/>
      <c r="O1" s="1548"/>
      <c r="P1" s="1548"/>
      <c r="Q1" s="2241"/>
      <c r="R1" s="2241"/>
      <c r="S1" s="2241"/>
      <c r="T1" s="1548"/>
      <c r="U1" s="1548"/>
      <c r="V1" s="1548"/>
      <c r="W1" s="1548"/>
      <c r="X1" s="1548"/>
      <c r="Y1" s="1548"/>
      <c r="Z1" s="1548"/>
      <c r="AA1" s="1548"/>
    </row>
    <row r="2" spans="1:27" ht="8.25" customHeight="1" x14ac:dyDescent="0.25">
      <c r="A2" s="1548"/>
      <c r="Q2" s="2241"/>
      <c r="R2" s="2241"/>
      <c r="S2" s="2241"/>
      <c r="T2" s="1548"/>
      <c r="U2" s="1548"/>
      <c r="V2" s="1548"/>
      <c r="W2" s="1548"/>
      <c r="X2" s="1548"/>
      <c r="Y2" s="1548"/>
      <c r="Z2" s="1548"/>
      <c r="AA2" s="1548"/>
    </row>
    <row r="3" spans="1:27" ht="15.5" x14ac:dyDescent="0.35">
      <c r="A3" s="1548"/>
      <c r="C3" s="2216"/>
      <c r="D3" s="1966"/>
      <c r="E3" s="1966"/>
      <c r="F3" s="1966"/>
      <c r="G3" s="1966"/>
      <c r="H3" s="1966"/>
      <c r="I3" s="1966"/>
      <c r="J3" s="1966"/>
      <c r="K3" s="1966"/>
      <c r="L3" s="1966"/>
      <c r="M3" s="1966"/>
      <c r="N3" s="2216"/>
      <c r="Q3" s="2241"/>
      <c r="R3" s="2241"/>
      <c r="S3" s="2241"/>
      <c r="T3" s="1548"/>
      <c r="U3" s="1548"/>
      <c r="V3" s="1548"/>
      <c r="W3" s="1548"/>
      <c r="X3" s="1548"/>
      <c r="Y3" s="1548"/>
      <c r="Z3" s="1548"/>
      <c r="AA3" s="1548"/>
    </row>
    <row r="4" spans="1:27" ht="6.75" customHeight="1" x14ac:dyDescent="0.3">
      <c r="A4" s="1548"/>
      <c r="C4" s="1501"/>
      <c r="D4" s="1966"/>
      <c r="E4" s="1966"/>
      <c r="F4" s="1966"/>
      <c r="G4" s="1966"/>
      <c r="H4" s="1966"/>
      <c r="I4" s="1966"/>
      <c r="J4" s="1966"/>
      <c r="K4" s="1966"/>
      <c r="L4" s="1966"/>
      <c r="M4" s="1966"/>
      <c r="N4" s="1966"/>
      <c r="Q4" s="2241"/>
      <c r="R4" s="2241"/>
      <c r="S4" s="2241"/>
      <c r="T4" s="1548"/>
      <c r="U4" s="1548"/>
      <c r="V4" s="1548"/>
      <c r="W4" s="1548"/>
      <c r="X4" s="1548"/>
      <c r="Y4" s="1548"/>
      <c r="Z4" s="1548"/>
      <c r="AA4" s="1548"/>
    </row>
    <row r="5" spans="1:27" ht="13" x14ac:dyDescent="0.3">
      <c r="A5" s="1548"/>
      <c r="C5" s="1501"/>
      <c r="D5" s="1966"/>
      <c r="E5" s="1966"/>
      <c r="F5" s="1966"/>
      <c r="G5" s="1966"/>
      <c r="H5" s="1966"/>
      <c r="I5" s="1966"/>
      <c r="J5" s="1966"/>
      <c r="K5" s="1966"/>
      <c r="L5" s="1966"/>
      <c r="M5" s="1966"/>
      <c r="N5" s="1966"/>
      <c r="Q5" s="2241"/>
      <c r="R5" s="2241"/>
      <c r="S5" s="2241"/>
      <c r="T5" s="1548"/>
      <c r="U5" s="1548"/>
      <c r="V5" s="1548"/>
      <c r="W5" s="1548"/>
      <c r="X5" s="1548"/>
      <c r="Y5" s="1548"/>
      <c r="Z5" s="1548"/>
      <c r="AA5" s="1548"/>
    </row>
    <row r="6" spans="1:27" ht="7.5" customHeight="1" x14ac:dyDescent="0.25">
      <c r="A6" s="1548"/>
      <c r="C6" s="1966"/>
      <c r="D6" s="1966"/>
      <c r="E6" s="1966"/>
      <c r="F6" s="1966"/>
      <c r="G6" s="1966"/>
      <c r="H6" s="1966"/>
      <c r="I6" s="1966"/>
      <c r="J6" s="1966"/>
      <c r="K6" s="1966"/>
      <c r="L6" s="1966"/>
      <c r="M6" s="1966"/>
      <c r="N6" s="1966"/>
      <c r="Q6" s="2241"/>
      <c r="R6" s="2241"/>
      <c r="S6" s="2241"/>
      <c r="T6" s="1548"/>
      <c r="U6" s="1548"/>
      <c r="V6" s="1548"/>
      <c r="W6" s="1548"/>
      <c r="X6" s="1548"/>
      <c r="Y6" s="1548"/>
      <c r="Z6" s="1548"/>
      <c r="AA6" s="1548"/>
    </row>
    <row r="7" spans="1:27" ht="13" x14ac:dyDescent="0.3">
      <c r="A7" s="1548"/>
      <c r="C7" s="1501"/>
      <c r="D7" s="1966"/>
      <c r="E7" s="2011"/>
      <c r="F7" s="1966"/>
      <c r="G7" s="1966"/>
      <c r="H7" s="1966"/>
      <c r="I7" s="1966"/>
      <c r="J7" s="1966"/>
      <c r="K7" s="1966"/>
      <c r="L7" s="1966"/>
      <c r="M7" s="1966"/>
      <c r="N7" s="1966"/>
      <c r="Q7" s="2241"/>
      <c r="R7" s="2241"/>
      <c r="S7" s="2241"/>
      <c r="T7" s="1548"/>
      <c r="U7" s="1548"/>
      <c r="V7" s="1548"/>
      <c r="W7" s="1548"/>
      <c r="X7" s="1548"/>
      <c r="Y7" s="1548"/>
      <c r="Z7" s="1548"/>
      <c r="AA7" s="1548"/>
    </row>
    <row r="8" spans="1:27" s="2106" customFormat="1" ht="55.5" customHeight="1" x14ac:dyDescent="0.3">
      <c r="A8" s="2240"/>
      <c r="C8" s="2218"/>
      <c r="D8" s="2218"/>
      <c r="E8" s="2218"/>
      <c r="F8" s="2218"/>
      <c r="G8" s="2218"/>
      <c r="H8" s="2218"/>
      <c r="I8" s="2219"/>
      <c r="J8" s="2218"/>
      <c r="K8" s="2218"/>
      <c r="L8" s="2218"/>
      <c r="M8" s="2218"/>
      <c r="N8" s="2218"/>
      <c r="P8" s="1493"/>
      <c r="Q8" s="2241"/>
      <c r="R8" s="2241"/>
      <c r="S8" s="2241"/>
      <c r="T8" s="1548"/>
      <c r="U8" s="1548"/>
      <c r="V8" s="1548"/>
      <c r="W8" s="1548"/>
      <c r="X8" s="1548"/>
      <c r="Y8" s="1548"/>
      <c r="Z8" s="1548"/>
      <c r="AA8" s="1548"/>
    </row>
    <row r="9" spans="1:27" ht="17.25" customHeight="1" x14ac:dyDescent="0.3">
      <c r="A9" s="1548"/>
      <c r="C9" s="2192"/>
      <c r="D9" s="2192"/>
      <c r="E9" s="2200"/>
      <c r="F9" s="1649"/>
      <c r="G9" s="2220"/>
      <c r="H9" s="1649"/>
      <c r="I9" s="2200"/>
      <c r="J9" s="1648"/>
      <c r="K9" s="1648"/>
      <c r="L9" s="1648"/>
      <c r="M9" s="1648"/>
      <c r="N9" s="2221"/>
      <c r="P9" s="2222"/>
      <c r="Q9" s="2241"/>
      <c r="R9" s="2241"/>
      <c r="S9" s="2241"/>
      <c r="T9" s="1548"/>
      <c r="U9" s="1548"/>
      <c r="V9" s="1548"/>
      <c r="W9" s="1548"/>
      <c r="X9" s="1548"/>
      <c r="Y9" s="1548"/>
      <c r="Z9" s="1548"/>
      <c r="AA9" s="1548"/>
    </row>
    <row r="10" spans="1:27" ht="13" x14ac:dyDescent="0.3">
      <c r="A10" s="1548"/>
      <c r="C10" s="2192"/>
      <c r="D10" s="2192"/>
      <c r="E10" s="2200"/>
      <c r="F10" s="1649"/>
      <c r="G10" s="2220"/>
      <c r="H10" s="1649"/>
      <c r="I10" s="2200"/>
      <c r="J10" s="1648"/>
      <c r="K10" s="1648"/>
      <c r="L10" s="1648"/>
      <c r="M10" s="1648"/>
      <c r="N10" s="2221"/>
      <c r="P10" s="2222"/>
      <c r="Q10" s="2241"/>
      <c r="R10" s="2241"/>
      <c r="S10" s="2241"/>
      <c r="T10" s="1548"/>
      <c r="U10" s="1548"/>
      <c r="V10" s="1548"/>
      <c r="W10" s="1548"/>
      <c r="X10" s="1548"/>
      <c r="Y10" s="1548"/>
      <c r="Z10" s="1548"/>
      <c r="AA10" s="1548"/>
    </row>
    <row r="11" spans="1:27" ht="13" x14ac:dyDescent="0.3">
      <c r="A11" s="1548"/>
      <c r="C11" s="2192"/>
      <c r="D11" s="2192"/>
      <c r="E11" s="2200"/>
      <c r="F11" s="1649"/>
      <c r="G11" s="2220"/>
      <c r="H11" s="1649"/>
      <c r="I11" s="2200"/>
      <c r="J11" s="1648"/>
      <c r="K11" s="1648"/>
      <c r="L11" s="1648"/>
      <c r="M11" s="1648"/>
      <c r="N11" s="2221"/>
      <c r="P11" s="2222"/>
      <c r="Q11" s="2241"/>
      <c r="R11" s="2241"/>
      <c r="S11" s="2241"/>
      <c r="T11" s="1548"/>
      <c r="U11" s="1548"/>
      <c r="V11" s="1548"/>
      <c r="W11" s="1548"/>
      <c r="X11" s="1548"/>
      <c r="Y11" s="1548"/>
      <c r="Z11" s="1548"/>
      <c r="AA11" s="1548"/>
    </row>
    <row r="12" spans="1:27" ht="13" x14ac:dyDescent="0.3">
      <c r="A12" s="1548"/>
      <c r="C12" s="2192"/>
      <c r="D12" s="2192"/>
      <c r="E12" s="2200"/>
      <c r="F12" s="1649"/>
      <c r="G12" s="2220"/>
      <c r="H12" s="1649"/>
      <c r="I12" s="2200"/>
      <c r="J12" s="1648"/>
      <c r="K12" s="1648"/>
      <c r="L12" s="1648"/>
      <c r="M12" s="1648"/>
      <c r="N12" s="2221"/>
      <c r="P12" s="2222"/>
      <c r="Q12" s="2241"/>
      <c r="R12" s="2241"/>
      <c r="S12" s="2241"/>
      <c r="T12" s="1548"/>
      <c r="U12" s="1548"/>
      <c r="V12" s="1548"/>
      <c r="W12" s="1548"/>
      <c r="X12" s="1548"/>
      <c r="Y12" s="1548"/>
      <c r="Z12" s="1548"/>
      <c r="AA12" s="1548"/>
    </row>
    <row r="13" spans="1:27" ht="13" x14ac:dyDescent="0.3">
      <c r="A13" s="1548"/>
      <c r="C13" s="2192"/>
      <c r="D13" s="2192"/>
      <c r="E13" s="2200"/>
      <c r="F13" s="1649"/>
      <c r="G13" s="2220"/>
      <c r="H13" s="1649"/>
      <c r="I13" s="2200"/>
      <c r="J13" s="1648"/>
      <c r="K13" s="1648"/>
      <c r="L13" s="1648"/>
      <c r="M13" s="1648"/>
      <c r="N13" s="2221"/>
      <c r="P13" s="2222"/>
      <c r="Q13" s="2241"/>
      <c r="R13" s="2241"/>
      <c r="S13" s="2241"/>
      <c r="T13" s="1548"/>
      <c r="U13" s="1548"/>
      <c r="V13" s="1548"/>
      <c r="W13" s="1548"/>
      <c r="X13" s="1548"/>
      <c r="Y13" s="1548"/>
      <c r="Z13" s="1548"/>
      <c r="AA13" s="1548"/>
    </row>
    <row r="14" spans="1:27" ht="13" x14ac:dyDescent="0.3">
      <c r="A14" s="1548"/>
      <c r="C14" s="2192"/>
      <c r="D14" s="2192"/>
      <c r="E14" s="2200"/>
      <c r="F14" s="1649"/>
      <c r="G14" s="2220"/>
      <c r="H14" s="1649"/>
      <c r="I14" s="2200"/>
      <c r="J14" s="1648"/>
      <c r="K14" s="1648"/>
      <c r="L14" s="1648"/>
      <c r="M14" s="1648"/>
      <c r="N14" s="2221"/>
      <c r="P14" s="2222"/>
      <c r="Q14" s="2241"/>
      <c r="R14" s="2241"/>
      <c r="S14" s="2241"/>
      <c r="T14" s="1548"/>
      <c r="U14" s="1548"/>
      <c r="V14" s="1548"/>
      <c r="W14" s="1548"/>
      <c r="X14" s="1548"/>
      <c r="Y14" s="1548"/>
      <c r="Z14" s="1548"/>
      <c r="AA14" s="1548"/>
    </row>
    <row r="15" spans="1:27" ht="13" x14ac:dyDescent="0.3">
      <c r="A15" s="1548"/>
      <c r="C15" s="2192"/>
      <c r="D15" s="2192"/>
      <c r="E15" s="2200"/>
      <c r="F15" s="1649"/>
      <c r="G15" s="2220"/>
      <c r="H15" s="1649"/>
      <c r="I15" s="2200"/>
      <c r="J15" s="1648"/>
      <c r="K15" s="1648"/>
      <c r="L15" s="1648"/>
      <c r="M15" s="1648"/>
      <c r="N15" s="2221"/>
      <c r="P15" s="2222"/>
      <c r="Q15" s="1548"/>
      <c r="R15" s="1548"/>
      <c r="S15" s="1548"/>
      <c r="T15" s="1548"/>
      <c r="U15" s="1548"/>
      <c r="V15" s="1548"/>
      <c r="W15" s="1548"/>
      <c r="X15" s="1548"/>
      <c r="Y15" s="1548"/>
      <c r="Z15" s="1548"/>
      <c r="AA15" s="1548"/>
    </row>
    <row r="16" spans="1:27" ht="13" x14ac:dyDescent="0.3">
      <c r="A16" s="1548"/>
      <c r="C16" s="2192"/>
      <c r="D16" s="2192"/>
      <c r="E16" s="2200"/>
      <c r="F16" s="1649"/>
      <c r="G16" s="2220"/>
      <c r="H16" s="1649"/>
      <c r="I16" s="2200"/>
      <c r="J16" s="1648"/>
      <c r="K16" s="1648"/>
      <c r="L16" s="1648"/>
      <c r="M16" s="1648"/>
      <c r="N16" s="2221"/>
      <c r="P16" s="2222"/>
      <c r="Q16" s="1548"/>
      <c r="R16" s="1548"/>
      <c r="S16" s="1548"/>
      <c r="T16" s="1548"/>
      <c r="U16" s="1548"/>
      <c r="V16" s="1548"/>
      <c r="W16" s="1548"/>
      <c r="X16" s="1548"/>
      <c r="Y16" s="1548"/>
      <c r="Z16" s="1548"/>
      <c r="AA16" s="1548"/>
    </row>
    <row r="17" spans="1:27" ht="13" x14ac:dyDescent="0.3">
      <c r="A17" s="1548"/>
      <c r="C17" s="2192"/>
      <c r="D17" s="2192"/>
      <c r="E17" s="2200"/>
      <c r="F17" s="1649"/>
      <c r="G17" s="2220"/>
      <c r="H17" s="1649"/>
      <c r="I17" s="2200"/>
      <c r="J17" s="1648"/>
      <c r="K17" s="1648"/>
      <c r="L17" s="1648"/>
      <c r="M17" s="1648"/>
      <c r="N17" s="2221"/>
      <c r="P17" s="2222"/>
      <c r="Q17" s="1548"/>
      <c r="R17" s="1548"/>
      <c r="S17" s="1548"/>
      <c r="T17" s="1548"/>
      <c r="U17" s="1548"/>
      <c r="V17" s="1548"/>
      <c r="W17" s="1548"/>
      <c r="X17" s="1548"/>
      <c r="Y17" s="1548"/>
      <c r="Z17" s="1548"/>
      <c r="AA17" s="1548"/>
    </row>
    <row r="18" spans="1:27" ht="13" x14ac:dyDescent="0.3">
      <c r="A18" s="1548"/>
      <c r="C18" s="2192"/>
      <c r="D18" s="2192"/>
      <c r="E18" s="2200"/>
      <c r="F18" s="1649"/>
      <c r="G18" s="2220"/>
      <c r="H18" s="1649"/>
      <c r="I18" s="2200"/>
      <c r="J18" s="1648"/>
      <c r="K18" s="1648"/>
      <c r="L18" s="1648"/>
      <c r="M18" s="1648"/>
      <c r="N18" s="2221"/>
      <c r="P18" s="2222"/>
      <c r="Q18" s="1548"/>
      <c r="R18" s="1548"/>
      <c r="S18" s="1548"/>
      <c r="T18" s="1548"/>
      <c r="U18" s="1548"/>
      <c r="V18" s="1548"/>
      <c r="W18" s="1548"/>
      <c r="X18" s="1548"/>
      <c r="Y18" s="1548"/>
      <c r="Z18" s="1548"/>
      <c r="AA18" s="1548"/>
    </row>
    <row r="19" spans="1:27" ht="13" x14ac:dyDescent="0.3">
      <c r="A19" s="1548"/>
      <c r="C19" s="2192"/>
      <c r="D19" s="2192"/>
      <c r="E19" s="2200"/>
      <c r="F19" s="1649"/>
      <c r="G19" s="2220"/>
      <c r="H19" s="1649"/>
      <c r="I19" s="2200"/>
      <c r="J19" s="1648"/>
      <c r="K19" s="1648"/>
      <c r="L19" s="1648"/>
      <c r="M19" s="1648"/>
      <c r="N19" s="2221"/>
      <c r="P19" s="2222"/>
      <c r="Q19" s="1548"/>
      <c r="R19" s="1548"/>
      <c r="S19" s="1548"/>
      <c r="T19" s="1548"/>
      <c r="U19" s="1548"/>
      <c r="V19" s="1548"/>
      <c r="W19" s="1548"/>
      <c r="X19" s="1548"/>
      <c r="Y19" s="1548"/>
      <c r="Z19" s="1548"/>
      <c r="AA19" s="1548"/>
    </row>
    <row r="20" spans="1:27" ht="13" x14ac:dyDescent="0.3">
      <c r="A20" s="1548"/>
      <c r="C20" s="2192"/>
      <c r="D20" s="2192"/>
      <c r="E20" s="2200"/>
      <c r="F20" s="1649"/>
      <c r="G20" s="2220"/>
      <c r="H20" s="1649"/>
      <c r="I20" s="2200"/>
      <c r="J20" s="1648"/>
      <c r="K20" s="1648"/>
      <c r="L20" s="1648"/>
      <c r="M20" s="1648"/>
      <c r="N20" s="2221"/>
      <c r="P20" s="2222"/>
      <c r="Q20" s="1548"/>
      <c r="R20" s="1548"/>
      <c r="S20" s="1548"/>
      <c r="T20" s="1548"/>
      <c r="U20" s="1548"/>
      <c r="V20" s="1548"/>
      <c r="W20" s="1548"/>
      <c r="X20" s="1548"/>
      <c r="Y20" s="1548"/>
      <c r="Z20" s="1548"/>
      <c r="AA20" s="1548"/>
    </row>
    <row r="21" spans="1:27" ht="13.5" thickBot="1" x14ac:dyDescent="0.35">
      <c r="A21" s="1548"/>
      <c r="C21" s="1966"/>
      <c r="D21" s="1966"/>
      <c r="E21" s="1966"/>
      <c r="F21" s="1966"/>
      <c r="G21" s="1966"/>
      <c r="H21" s="1966"/>
      <c r="I21" s="1966"/>
      <c r="J21" s="2223"/>
      <c r="K21" s="2223"/>
      <c r="L21" s="2223"/>
      <c r="M21" s="2223"/>
      <c r="N21" s="2223"/>
      <c r="Q21" s="1548"/>
      <c r="R21" s="1548"/>
      <c r="S21" s="1548"/>
      <c r="T21" s="1548"/>
      <c r="U21" s="1548"/>
      <c r="V21" s="1548"/>
      <c r="W21" s="1548"/>
      <c r="X21" s="1548"/>
      <c r="Y21" s="1548"/>
      <c r="Z21" s="1548"/>
      <c r="AA21" s="1548"/>
    </row>
    <row r="22" spans="1:27" ht="13.5" thickTop="1" x14ac:dyDescent="0.3">
      <c r="A22" s="1548"/>
      <c r="C22" s="1501"/>
      <c r="D22" s="1966"/>
      <c r="E22" s="1966"/>
      <c r="F22" s="1966"/>
      <c r="G22" s="1966"/>
      <c r="H22" s="1966"/>
      <c r="I22" s="1966"/>
      <c r="J22" s="2224"/>
      <c r="K22" s="1966"/>
      <c r="L22" s="2224"/>
      <c r="M22" s="2224"/>
      <c r="N22" s="1966"/>
      <c r="Q22" s="1548"/>
      <c r="R22" s="1548"/>
      <c r="S22" s="1548"/>
      <c r="T22" s="1548"/>
      <c r="U22" s="1548"/>
      <c r="V22" s="1548"/>
      <c r="W22" s="1548"/>
      <c r="X22" s="1548"/>
      <c r="Y22" s="1548"/>
      <c r="Z22" s="1548"/>
      <c r="AA22" s="1548"/>
    </row>
    <row r="23" spans="1:27" ht="13" x14ac:dyDescent="0.3">
      <c r="A23" s="1548"/>
      <c r="C23" s="2225"/>
      <c r="D23" s="2225"/>
      <c r="E23" s="2226"/>
      <c r="F23" s="2226"/>
      <c r="G23" s="2226"/>
      <c r="H23" s="2227"/>
      <c r="I23" s="2226"/>
      <c r="J23" s="2228"/>
      <c r="K23" s="2228"/>
      <c r="L23" s="2228"/>
      <c r="M23" s="2228"/>
      <c r="N23" s="2225"/>
      <c r="Q23" s="1548"/>
      <c r="R23" s="1548"/>
      <c r="S23" s="1548"/>
      <c r="T23" s="1548"/>
      <c r="U23" s="1548"/>
      <c r="V23" s="1548"/>
      <c r="W23" s="1548"/>
      <c r="X23" s="1548"/>
      <c r="Y23" s="1548"/>
      <c r="Z23" s="1548"/>
      <c r="AA23" s="1548"/>
    </row>
    <row r="24" spans="1:27" ht="15.75" customHeight="1" x14ac:dyDescent="0.25">
      <c r="A24" s="1548"/>
      <c r="C24" s="2192"/>
      <c r="D24" s="2192"/>
      <c r="E24" s="2229"/>
      <c r="F24" s="2229"/>
      <c r="G24" s="2229"/>
      <c r="H24" s="2230"/>
      <c r="I24" s="2229"/>
      <c r="J24" s="2229"/>
      <c r="K24" s="2229"/>
      <c r="L24" s="2229"/>
      <c r="M24" s="2229"/>
      <c r="N24" s="1648"/>
      <c r="Q24" s="1548"/>
      <c r="R24" s="1548"/>
      <c r="S24" s="1548"/>
      <c r="T24" s="1548"/>
      <c r="U24" s="1548"/>
      <c r="V24" s="1548"/>
      <c r="W24" s="1548"/>
      <c r="X24" s="1548"/>
      <c r="Y24" s="1548"/>
      <c r="Z24" s="1548"/>
      <c r="AA24" s="1548"/>
    </row>
    <row r="25" spans="1:27" x14ac:dyDescent="0.25">
      <c r="A25" s="1548"/>
      <c r="C25" s="2192"/>
      <c r="D25" s="2192"/>
      <c r="E25" s="2229"/>
      <c r="F25" s="2229"/>
      <c r="G25" s="2229"/>
      <c r="H25" s="2230"/>
      <c r="I25" s="2229"/>
      <c r="J25" s="2229"/>
      <c r="K25" s="2229"/>
      <c r="L25" s="2229"/>
      <c r="M25" s="2229"/>
      <c r="N25" s="1648"/>
      <c r="Q25" s="1548"/>
      <c r="R25" s="1548"/>
      <c r="S25" s="1548"/>
      <c r="T25" s="1548"/>
      <c r="U25" s="1548"/>
      <c r="V25" s="1548"/>
      <c r="W25" s="1548"/>
      <c r="X25" s="1548"/>
      <c r="Y25" s="1548"/>
      <c r="Z25" s="1548"/>
      <c r="AA25" s="1548"/>
    </row>
    <row r="26" spans="1:27" x14ac:dyDescent="0.25">
      <c r="A26" s="1548"/>
      <c r="C26" s="2192"/>
      <c r="D26" s="2192"/>
      <c r="E26" s="2229"/>
      <c r="F26" s="2229"/>
      <c r="G26" s="2229"/>
      <c r="H26" s="2230"/>
      <c r="I26" s="2229"/>
      <c r="J26" s="2229"/>
      <c r="K26" s="2229"/>
      <c r="L26" s="2229"/>
      <c r="M26" s="2229"/>
      <c r="N26" s="1648"/>
      <c r="Q26" s="1548"/>
      <c r="R26" s="1548"/>
      <c r="S26" s="1548"/>
      <c r="T26" s="1548"/>
      <c r="U26" s="1548"/>
      <c r="V26" s="1548"/>
      <c r="W26" s="1548"/>
      <c r="X26" s="1548"/>
      <c r="Y26" s="1548"/>
      <c r="Z26" s="1548"/>
      <c r="AA26" s="1548"/>
    </row>
    <row r="27" spans="1:27" x14ac:dyDescent="0.25">
      <c r="A27" s="1548"/>
      <c r="C27" s="2192"/>
      <c r="D27" s="2192"/>
      <c r="E27" s="2229"/>
      <c r="F27" s="2229"/>
      <c r="G27" s="2229"/>
      <c r="H27" s="2230"/>
      <c r="I27" s="2229"/>
      <c r="J27" s="2229"/>
      <c r="K27" s="2229"/>
      <c r="L27" s="2229"/>
      <c r="M27" s="2229"/>
      <c r="N27" s="1648"/>
      <c r="Q27" s="1548"/>
      <c r="R27" s="1548"/>
      <c r="S27" s="1548"/>
      <c r="T27" s="1548"/>
      <c r="U27" s="1548"/>
      <c r="V27" s="1548"/>
      <c r="W27" s="1548"/>
      <c r="X27" s="1548"/>
      <c r="Y27" s="1548"/>
      <c r="Z27" s="1548"/>
      <c r="AA27" s="1548"/>
    </row>
    <row r="28" spans="1:27" x14ac:dyDescent="0.25">
      <c r="A28" s="1548"/>
      <c r="C28" s="2192"/>
      <c r="D28" s="2192"/>
      <c r="E28" s="2229"/>
      <c r="F28" s="2229"/>
      <c r="G28" s="2229"/>
      <c r="H28" s="2230"/>
      <c r="I28" s="2229"/>
      <c r="J28" s="2229"/>
      <c r="K28" s="2229"/>
      <c r="L28" s="2229"/>
      <c r="M28" s="2229"/>
      <c r="N28" s="1648"/>
      <c r="Q28" s="1548"/>
      <c r="R28" s="1548"/>
      <c r="S28" s="1548"/>
      <c r="T28" s="1548"/>
      <c r="U28" s="1548"/>
      <c r="V28" s="1548"/>
      <c r="W28" s="1548"/>
      <c r="X28" s="1548"/>
      <c r="Y28" s="1548"/>
      <c r="Z28" s="1548"/>
      <c r="AA28" s="1548"/>
    </row>
    <row r="29" spans="1:27" x14ac:dyDescent="0.25">
      <c r="A29" s="1548"/>
      <c r="C29" s="2192"/>
      <c r="D29" s="2192"/>
      <c r="E29" s="2229"/>
      <c r="F29" s="2229"/>
      <c r="G29" s="2229"/>
      <c r="H29" s="2230"/>
      <c r="I29" s="2229"/>
      <c r="J29" s="2229"/>
      <c r="K29" s="2229"/>
      <c r="L29" s="2229"/>
      <c r="M29" s="2229"/>
      <c r="N29" s="1648"/>
      <c r="Q29" s="1548"/>
      <c r="R29" s="1548"/>
      <c r="S29" s="1548"/>
      <c r="T29" s="1548"/>
      <c r="U29" s="1548"/>
      <c r="V29" s="1548"/>
      <c r="W29" s="1548"/>
      <c r="X29" s="1548"/>
      <c r="Y29" s="1548"/>
      <c r="Z29" s="1548"/>
      <c r="AA29" s="1548"/>
    </row>
    <row r="30" spans="1:27" x14ac:dyDescent="0.25">
      <c r="A30" s="1548"/>
      <c r="C30" s="2192"/>
      <c r="D30" s="2192"/>
      <c r="E30" s="2229"/>
      <c r="F30" s="2229"/>
      <c r="G30" s="2229"/>
      <c r="H30" s="2230"/>
      <c r="I30" s="2229"/>
      <c r="J30" s="2229"/>
      <c r="K30" s="2229"/>
      <c r="L30" s="2229"/>
      <c r="M30" s="2229"/>
      <c r="N30" s="1648"/>
      <c r="Q30" s="1548"/>
      <c r="R30" s="1548"/>
      <c r="S30" s="1548"/>
      <c r="T30" s="1548"/>
      <c r="U30" s="1548"/>
      <c r="V30" s="1548"/>
      <c r="W30" s="1548"/>
      <c r="X30" s="1548"/>
      <c r="Y30" s="1548"/>
      <c r="Z30" s="1548"/>
      <c r="AA30" s="1548"/>
    </row>
    <row r="31" spans="1:27" x14ac:dyDescent="0.25">
      <c r="A31" s="1548"/>
      <c r="C31" s="2192"/>
      <c r="D31" s="2192"/>
      <c r="E31" s="2229"/>
      <c r="F31" s="2229"/>
      <c r="G31" s="2229"/>
      <c r="H31" s="2230"/>
      <c r="I31" s="2229"/>
      <c r="J31" s="2229"/>
      <c r="K31" s="2229"/>
      <c r="L31" s="2229"/>
      <c r="M31" s="2229"/>
      <c r="N31" s="1648"/>
      <c r="Q31" s="1548"/>
      <c r="R31" s="1548"/>
      <c r="S31" s="1548"/>
      <c r="T31" s="1548"/>
      <c r="U31" s="1548"/>
      <c r="V31" s="1548"/>
      <c r="W31" s="1548"/>
      <c r="X31" s="1548"/>
      <c r="Y31" s="1548"/>
      <c r="Z31" s="1548"/>
      <c r="AA31" s="1548"/>
    </row>
    <row r="32" spans="1:27" x14ac:dyDescent="0.25">
      <c r="A32" s="1548"/>
      <c r="C32" s="2192"/>
      <c r="D32" s="2192"/>
      <c r="E32" s="2229"/>
      <c r="F32" s="2229"/>
      <c r="G32" s="2229"/>
      <c r="H32" s="2230"/>
      <c r="I32" s="2229"/>
      <c r="J32" s="2229"/>
      <c r="K32" s="2229"/>
      <c r="L32" s="2229"/>
      <c r="M32" s="2229"/>
      <c r="N32" s="1648"/>
      <c r="Q32" s="1548"/>
      <c r="R32" s="1548"/>
      <c r="S32" s="1548"/>
      <c r="T32" s="1548"/>
      <c r="U32" s="1548"/>
      <c r="V32" s="1548"/>
      <c r="W32" s="1548"/>
      <c r="X32" s="1548"/>
      <c r="Y32" s="1548"/>
      <c r="Z32" s="1548"/>
      <c r="AA32" s="1548"/>
    </row>
    <row r="33" spans="1:27" x14ac:dyDescent="0.25">
      <c r="A33" s="1548"/>
      <c r="C33" s="2192"/>
      <c r="D33" s="2192"/>
      <c r="E33" s="2229"/>
      <c r="F33" s="2229"/>
      <c r="G33" s="2229"/>
      <c r="H33" s="2230"/>
      <c r="I33" s="2229"/>
      <c r="J33" s="2229"/>
      <c r="K33" s="2229"/>
      <c r="L33" s="2229"/>
      <c r="M33" s="2229"/>
      <c r="N33" s="1648"/>
      <c r="Q33" s="1548"/>
      <c r="R33" s="1548"/>
      <c r="S33" s="1548"/>
      <c r="T33" s="1548"/>
      <c r="U33" s="1548"/>
      <c r="V33" s="1548"/>
      <c r="W33" s="1548"/>
      <c r="X33" s="1548"/>
      <c r="Y33" s="1548"/>
      <c r="Z33" s="1548"/>
      <c r="AA33" s="1548"/>
    </row>
    <row r="34" spans="1:27" x14ac:dyDescent="0.25">
      <c r="A34" s="1548"/>
      <c r="C34" s="2192"/>
      <c r="D34" s="2192"/>
      <c r="E34" s="2229"/>
      <c r="F34" s="2229"/>
      <c r="G34" s="2229"/>
      <c r="H34" s="2230"/>
      <c r="I34" s="2229"/>
      <c r="J34" s="2229"/>
      <c r="K34" s="2229"/>
      <c r="L34" s="2229"/>
      <c r="M34" s="2229"/>
      <c r="N34" s="1648"/>
      <c r="Q34" s="1548"/>
      <c r="R34" s="1548"/>
      <c r="S34" s="1548"/>
      <c r="T34" s="1548"/>
      <c r="U34" s="1548"/>
      <c r="V34" s="1548"/>
      <c r="W34" s="1548"/>
      <c r="X34" s="1548"/>
      <c r="Y34" s="1548"/>
      <c r="Z34" s="1548"/>
      <c r="AA34" s="1548"/>
    </row>
    <row r="35" spans="1:27" x14ac:dyDescent="0.25">
      <c r="A35" s="1548"/>
      <c r="C35" s="2192"/>
      <c r="D35" s="2192"/>
      <c r="E35" s="2229"/>
      <c r="F35" s="2229"/>
      <c r="G35" s="2229"/>
      <c r="H35" s="2230"/>
      <c r="I35" s="2229"/>
      <c r="J35" s="2229"/>
      <c r="K35" s="2229"/>
      <c r="L35" s="2229"/>
      <c r="M35" s="2229"/>
      <c r="N35" s="1648"/>
      <c r="Q35" s="1548"/>
      <c r="R35" s="1548"/>
      <c r="S35" s="1548"/>
      <c r="T35" s="1548"/>
      <c r="U35" s="1548"/>
      <c r="V35" s="1548"/>
      <c r="W35" s="1548"/>
      <c r="X35" s="1548"/>
      <c r="Y35" s="1548"/>
      <c r="Z35" s="1548"/>
      <c r="AA35" s="1548"/>
    </row>
    <row r="36" spans="1:27" ht="13" x14ac:dyDescent="0.3">
      <c r="A36" s="1548"/>
      <c r="C36" s="1501"/>
      <c r="D36" s="1501"/>
      <c r="E36" s="2233"/>
      <c r="F36" s="2233"/>
      <c r="G36" s="2233"/>
      <c r="H36" s="2233"/>
      <c r="I36" s="2233"/>
      <c r="J36" s="2233"/>
      <c r="K36" s="2233"/>
      <c r="L36" s="2233"/>
      <c r="M36" s="2233"/>
      <c r="N36" s="2221"/>
      <c r="Q36" s="1548"/>
      <c r="R36" s="1548"/>
      <c r="S36" s="1548"/>
      <c r="T36" s="1548"/>
      <c r="U36" s="1548"/>
      <c r="V36" s="1548"/>
      <c r="W36" s="1548"/>
      <c r="X36" s="1548"/>
      <c r="Y36" s="1548"/>
      <c r="Z36" s="1548"/>
      <c r="AA36" s="1548"/>
    </row>
    <row r="37" spans="1:27" ht="13" x14ac:dyDescent="0.3">
      <c r="A37" s="1548"/>
      <c r="M37" s="2234"/>
      <c r="Q37" s="1548"/>
      <c r="R37" s="1548"/>
      <c r="S37" s="1548"/>
      <c r="T37" s="1548"/>
      <c r="U37" s="1548"/>
      <c r="V37" s="1548"/>
      <c r="W37" s="1548"/>
      <c r="X37" s="1548"/>
      <c r="Y37" s="1548"/>
      <c r="Z37" s="1548"/>
      <c r="AA37" s="1548"/>
    </row>
    <row r="38" spans="1:27" ht="13" x14ac:dyDescent="0.3">
      <c r="A38" s="1548"/>
      <c r="M38" s="2235"/>
      <c r="N38" s="2232"/>
      <c r="Q38" s="1548"/>
      <c r="R38" s="1548"/>
      <c r="S38" s="1548"/>
      <c r="T38" s="1548"/>
      <c r="U38" s="1548"/>
      <c r="V38" s="1548"/>
      <c r="W38" s="1548"/>
      <c r="X38" s="1548"/>
      <c r="Y38" s="1548"/>
      <c r="Z38" s="1548"/>
      <c r="AA38" s="1548"/>
    </row>
    <row r="39" spans="1:27" x14ac:dyDescent="0.25">
      <c r="A39" s="1548"/>
      <c r="B39" s="1548"/>
      <c r="C39" s="1548"/>
      <c r="D39" s="1548"/>
      <c r="E39" s="1548"/>
      <c r="F39" s="1548"/>
      <c r="G39" s="1548"/>
      <c r="H39" s="1548"/>
      <c r="I39" s="1548"/>
      <c r="J39" s="1548"/>
      <c r="K39" s="1548"/>
      <c r="L39" s="1548"/>
      <c r="M39" s="1548"/>
      <c r="N39" s="1548"/>
      <c r="O39" s="1548"/>
      <c r="P39" s="1548"/>
      <c r="Q39" s="1548"/>
      <c r="R39" s="1548"/>
      <c r="S39" s="1548"/>
      <c r="T39" s="1548"/>
      <c r="U39" s="1548"/>
      <c r="V39" s="1548"/>
      <c r="W39" s="1548"/>
      <c r="X39" s="1548"/>
      <c r="Y39" s="1548"/>
      <c r="Z39" s="1548"/>
      <c r="AA39" s="1548"/>
    </row>
    <row r="40" spans="1:27" x14ac:dyDescent="0.25">
      <c r="A40" s="1548"/>
      <c r="B40" s="1548"/>
      <c r="C40" s="1548"/>
      <c r="D40" s="1548"/>
      <c r="E40" s="1548"/>
      <c r="F40" s="1548"/>
      <c r="G40" s="1548"/>
      <c r="H40" s="1548"/>
      <c r="I40" s="1548"/>
      <c r="J40" s="1548"/>
      <c r="K40" s="1548"/>
      <c r="L40" s="1548"/>
      <c r="M40" s="1548"/>
      <c r="N40" s="1548"/>
      <c r="O40" s="1548"/>
      <c r="P40" s="1548"/>
      <c r="Q40" s="1548"/>
      <c r="R40" s="1548"/>
      <c r="S40" s="1548"/>
      <c r="T40" s="1548"/>
      <c r="U40" s="1548"/>
      <c r="V40" s="1548"/>
      <c r="W40" s="1548"/>
      <c r="X40" s="1548"/>
      <c r="Y40" s="1548"/>
      <c r="Z40" s="1548"/>
      <c r="AA40" s="1548"/>
    </row>
    <row r="41" spans="1:27" x14ac:dyDescent="0.25">
      <c r="A41" s="1548"/>
      <c r="B41" s="1548"/>
      <c r="C41" s="1548"/>
      <c r="D41" s="1548"/>
      <c r="E41" s="1548"/>
      <c r="F41" s="1548"/>
      <c r="G41" s="1548"/>
      <c r="H41" s="1548"/>
      <c r="I41" s="1548"/>
      <c r="J41" s="1548"/>
      <c r="K41" s="1548"/>
      <c r="L41" s="1548"/>
      <c r="M41" s="1548"/>
      <c r="N41" s="1548"/>
      <c r="O41" s="1548"/>
      <c r="P41" s="1548"/>
      <c r="Q41" s="1548"/>
      <c r="R41" s="1548"/>
      <c r="S41" s="1548"/>
      <c r="T41" s="1548"/>
      <c r="U41" s="1548"/>
      <c r="V41" s="1548"/>
      <c r="W41" s="1548"/>
      <c r="X41" s="1548"/>
      <c r="Y41" s="1548"/>
      <c r="Z41" s="1548"/>
      <c r="AA41" s="1548"/>
    </row>
    <row r="42" spans="1:27" x14ac:dyDescent="0.25">
      <c r="A42" s="1548"/>
      <c r="B42" s="1548"/>
      <c r="C42" s="1548"/>
      <c r="D42" s="1548"/>
      <c r="E42" s="1548"/>
      <c r="F42" s="1548"/>
      <c r="G42" s="1548"/>
      <c r="H42" s="1548"/>
      <c r="I42" s="1548"/>
      <c r="J42" s="1548"/>
      <c r="K42" s="1548"/>
      <c r="L42" s="1548"/>
      <c r="M42" s="1548"/>
      <c r="N42" s="1548"/>
      <c r="O42" s="1548"/>
      <c r="P42" s="1548"/>
      <c r="Q42" s="1548"/>
      <c r="R42" s="1548"/>
      <c r="S42" s="1548"/>
      <c r="T42" s="1548"/>
      <c r="U42" s="1548"/>
      <c r="V42" s="1548"/>
      <c r="W42" s="1548"/>
      <c r="X42" s="1548"/>
      <c r="Y42" s="1548"/>
      <c r="Z42" s="1548"/>
      <c r="AA42" s="1548"/>
    </row>
    <row r="43" spans="1:27" x14ac:dyDescent="0.25">
      <c r="A43" s="1548"/>
      <c r="B43" s="1548"/>
      <c r="C43" s="1548"/>
      <c r="D43" s="1548"/>
      <c r="E43" s="1548"/>
      <c r="F43" s="1548"/>
      <c r="G43" s="1548"/>
      <c r="H43" s="1548"/>
      <c r="I43" s="1548"/>
      <c r="J43" s="1548"/>
      <c r="K43" s="1548"/>
      <c r="L43" s="1548"/>
      <c r="M43" s="1548"/>
      <c r="N43" s="1548"/>
      <c r="O43" s="1548"/>
      <c r="P43" s="1548"/>
      <c r="Q43" s="1548"/>
      <c r="R43" s="1548"/>
      <c r="S43" s="1548"/>
      <c r="T43" s="1548"/>
      <c r="U43" s="1548"/>
      <c r="V43" s="1548"/>
      <c r="W43" s="1548"/>
      <c r="X43" s="1548"/>
      <c r="Y43" s="1548"/>
      <c r="Z43" s="1548"/>
      <c r="AA43" s="1548"/>
    </row>
    <row r="44" spans="1:27" x14ac:dyDescent="0.25">
      <c r="A44" s="1548"/>
      <c r="B44" s="1548"/>
      <c r="C44" s="1548"/>
      <c r="D44" s="1548"/>
      <c r="E44" s="1548"/>
      <c r="F44" s="1548"/>
      <c r="G44" s="1548"/>
      <c r="H44" s="1548"/>
      <c r="I44" s="1548"/>
      <c r="J44" s="1548"/>
      <c r="K44" s="1548"/>
      <c r="L44" s="1548"/>
      <c r="M44" s="1548"/>
      <c r="N44" s="1548"/>
      <c r="O44" s="1548"/>
      <c r="P44" s="1548"/>
      <c r="Q44" s="1548"/>
      <c r="R44" s="1548"/>
      <c r="S44" s="1548"/>
      <c r="T44" s="1548"/>
      <c r="U44" s="1548"/>
      <c r="V44" s="1548"/>
      <c r="W44" s="1548"/>
      <c r="X44" s="1548"/>
      <c r="Y44" s="1548"/>
      <c r="Z44" s="1548"/>
      <c r="AA44" s="1548"/>
    </row>
    <row r="45" spans="1:27" x14ac:dyDescent="0.25">
      <c r="A45" s="1548"/>
      <c r="B45" s="1548"/>
      <c r="C45" s="1548"/>
      <c r="D45" s="1548"/>
      <c r="E45" s="1548"/>
      <c r="F45" s="1548"/>
      <c r="G45" s="1548"/>
      <c r="H45" s="1548"/>
      <c r="I45" s="1548"/>
      <c r="J45" s="1548"/>
      <c r="K45" s="1548"/>
      <c r="L45" s="1548"/>
      <c r="M45" s="1548"/>
      <c r="N45" s="1548"/>
      <c r="O45" s="1548"/>
      <c r="P45" s="1548"/>
      <c r="Q45" s="1548"/>
      <c r="R45" s="1548"/>
      <c r="S45" s="1548"/>
      <c r="T45" s="1548"/>
      <c r="U45" s="1548"/>
      <c r="V45" s="1548"/>
      <c r="W45" s="1548"/>
      <c r="X45" s="1548"/>
      <c r="Y45" s="1548"/>
      <c r="Z45" s="1548"/>
      <c r="AA45" s="1548"/>
    </row>
    <row r="46" spans="1:27" x14ac:dyDescent="0.25">
      <c r="A46" s="1548"/>
      <c r="B46" s="1548"/>
      <c r="C46" s="1548"/>
      <c r="D46" s="1548"/>
      <c r="E46" s="1548"/>
      <c r="F46" s="1548"/>
      <c r="G46" s="1548"/>
      <c r="H46" s="1548"/>
      <c r="I46" s="1548"/>
      <c r="J46" s="1548"/>
      <c r="K46" s="1548"/>
      <c r="L46" s="1548"/>
      <c r="M46" s="1548"/>
      <c r="N46" s="1548"/>
      <c r="O46" s="1548"/>
      <c r="P46" s="1548"/>
      <c r="Q46" s="1548"/>
      <c r="R46" s="1548"/>
      <c r="S46" s="1548"/>
      <c r="T46" s="1548"/>
      <c r="U46" s="1548"/>
      <c r="V46" s="1548"/>
      <c r="W46" s="1548"/>
      <c r="X46" s="1548"/>
      <c r="Y46" s="1548"/>
      <c r="Z46" s="1548"/>
      <c r="AA46" s="1548"/>
    </row>
    <row r="47" spans="1:27" x14ac:dyDescent="0.25">
      <c r="A47" s="1548"/>
      <c r="B47" s="1548"/>
      <c r="C47" s="1548"/>
      <c r="D47" s="1548"/>
      <c r="E47" s="1548"/>
      <c r="F47" s="1548"/>
      <c r="G47" s="1548"/>
      <c r="H47" s="1548"/>
      <c r="I47" s="1548"/>
      <c r="J47" s="1548"/>
      <c r="K47" s="1548"/>
      <c r="L47" s="1548"/>
      <c r="M47" s="1548"/>
      <c r="N47" s="1548"/>
      <c r="O47" s="1548"/>
      <c r="P47" s="1548"/>
      <c r="Q47" s="1548"/>
      <c r="R47" s="1548"/>
      <c r="S47" s="1548"/>
      <c r="T47" s="1548"/>
      <c r="U47" s="1548"/>
      <c r="V47" s="1548"/>
      <c r="W47" s="1548"/>
      <c r="X47" s="1548"/>
      <c r="Y47" s="1548"/>
      <c r="Z47" s="1548"/>
      <c r="AA47" s="1548"/>
    </row>
    <row r="48" spans="1:27" x14ac:dyDescent="0.25">
      <c r="A48" s="1548"/>
      <c r="B48" s="1548"/>
      <c r="C48" s="1548"/>
      <c r="D48" s="1548"/>
      <c r="E48" s="1548"/>
      <c r="F48" s="1548"/>
      <c r="G48" s="1548"/>
      <c r="H48" s="1548"/>
      <c r="I48" s="1548"/>
      <c r="J48" s="1548"/>
      <c r="K48" s="1548"/>
      <c r="L48" s="1548"/>
      <c r="M48" s="1548"/>
      <c r="N48" s="1548"/>
      <c r="O48" s="1548"/>
      <c r="P48" s="1548"/>
      <c r="Q48" s="1548"/>
      <c r="R48" s="1548"/>
      <c r="S48" s="1548"/>
      <c r="T48" s="1548"/>
      <c r="U48" s="1548"/>
      <c r="V48" s="1548"/>
      <c r="W48" s="1548"/>
      <c r="X48" s="1548"/>
      <c r="Y48" s="1548"/>
      <c r="Z48" s="1548"/>
      <c r="AA48" s="1548"/>
    </row>
    <row r="49" spans="1:27" x14ac:dyDescent="0.25">
      <c r="A49" s="1548"/>
      <c r="B49" s="1548"/>
      <c r="C49" s="1548"/>
      <c r="D49" s="1548"/>
      <c r="E49" s="1548"/>
      <c r="F49" s="1548"/>
      <c r="G49" s="1548"/>
      <c r="H49" s="1548"/>
      <c r="I49" s="1548"/>
      <c r="J49" s="1548"/>
      <c r="K49" s="1548"/>
      <c r="L49" s="1548"/>
      <c r="M49" s="1548"/>
      <c r="N49" s="1548"/>
      <c r="O49" s="1548"/>
      <c r="P49" s="1548"/>
      <c r="Q49" s="1548"/>
      <c r="R49" s="1548"/>
      <c r="S49" s="1548"/>
      <c r="T49" s="1548"/>
      <c r="U49" s="1548"/>
      <c r="V49" s="1548"/>
      <c r="W49" s="1548"/>
      <c r="X49" s="1548"/>
      <c r="Y49" s="1548"/>
      <c r="Z49" s="1548"/>
      <c r="AA49" s="1548"/>
    </row>
    <row r="50" spans="1:27" x14ac:dyDescent="0.25">
      <c r="A50" s="1548"/>
      <c r="B50" s="1548"/>
      <c r="C50" s="1548"/>
      <c r="D50" s="1548"/>
      <c r="E50" s="1548"/>
      <c r="F50" s="1548"/>
      <c r="G50" s="1548"/>
      <c r="H50" s="1548"/>
      <c r="I50" s="1548"/>
      <c r="J50" s="1548"/>
      <c r="K50" s="1548"/>
      <c r="L50" s="1548"/>
      <c r="M50" s="1548"/>
      <c r="N50" s="1548"/>
      <c r="O50" s="1548"/>
      <c r="P50" s="1548"/>
      <c r="Q50" s="1548"/>
      <c r="R50" s="1548"/>
      <c r="S50" s="1548"/>
      <c r="T50" s="1548"/>
      <c r="U50" s="1548"/>
      <c r="V50" s="1548"/>
      <c r="W50" s="1548"/>
      <c r="X50" s="1548"/>
      <c r="Y50" s="1548"/>
      <c r="Z50" s="1548"/>
      <c r="AA50" s="1548"/>
    </row>
    <row r="51" spans="1:27" x14ac:dyDescent="0.25">
      <c r="A51" s="1548"/>
      <c r="B51" s="1548"/>
      <c r="C51" s="1548"/>
      <c r="D51" s="1548"/>
      <c r="E51" s="1548"/>
      <c r="F51" s="1548"/>
      <c r="G51" s="1548"/>
      <c r="H51" s="1548"/>
      <c r="I51" s="1548"/>
      <c r="J51" s="1548"/>
      <c r="K51" s="1548"/>
      <c r="L51" s="1548"/>
      <c r="M51" s="1548"/>
      <c r="N51" s="1548"/>
      <c r="O51" s="1548"/>
      <c r="P51" s="1548"/>
      <c r="Q51" s="1548"/>
      <c r="R51" s="1548"/>
      <c r="S51" s="1548"/>
      <c r="T51" s="1548"/>
      <c r="U51" s="1548"/>
      <c r="V51" s="1548"/>
      <c r="W51" s="1548"/>
      <c r="X51" s="1548"/>
      <c r="Y51" s="1548"/>
      <c r="Z51" s="1548"/>
      <c r="AA51" s="1548"/>
    </row>
    <row r="52" spans="1:27" x14ac:dyDescent="0.25">
      <c r="A52" s="1548"/>
      <c r="B52" s="1548"/>
      <c r="C52" s="1548"/>
      <c r="D52" s="1548"/>
      <c r="E52" s="1548"/>
      <c r="F52" s="1548"/>
      <c r="G52" s="1548"/>
      <c r="H52" s="1548"/>
      <c r="I52" s="1548"/>
      <c r="J52" s="1548"/>
      <c r="K52" s="1548"/>
      <c r="L52" s="1548"/>
      <c r="M52" s="1548"/>
      <c r="N52" s="1548"/>
      <c r="O52" s="1548"/>
      <c r="P52" s="1548"/>
      <c r="Q52" s="1548"/>
      <c r="R52" s="1548"/>
      <c r="S52" s="1548"/>
      <c r="T52" s="1548"/>
      <c r="U52" s="1548"/>
      <c r="V52" s="1548"/>
      <c r="W52" s="1548"/>
      <c r="X52" s="1548"/>
      <c r="Y52" s="1548"/>
      <c r="Z52" s="1548"/>
      <c r="AA52" s="1548"/>
    </row>
    <row r="53" spans="1:27" x14ac:dyDescent="0.25">
      <c r="A53" s="1548"/>
      <c r="B53" s="1548"/>
      <c r="C53" s="1548"/>
      <c r="D53" s="1548"/>
      <c r="E53" s="1548"/>
      <c r="F53" s="1548"/>
      <c r="G53" s="1548"/>
      <c r="H53" s="1548"/>
      <c r="I53" s="1548"/>
      <c r="J53" s="1548"/>
      <c r="K53" s="1548"/>
      <c r="L53" s="1548"/>
      <c r="M53" s="1548"/>
      <c r="N53" s="1548"/>
      <c r="O53" s="1548"/>
      <c r="P53" s="1548"/>
      <c r="Q53" s="1548"/>
      <c r="R53" s="1548"/>
      <c r="S53" s="1548"/>
      <c r="T53" s="1548"/>
      <c r="U53" s="1548"/>
      <c r="V53" s="1548"/>
      <c r="W53" s="1548"/>
      <c r="X53" s="1548"/>
      <c r="Y53" s="1548"/>
      <c r="Z53" s="1548"/>
      <c r="AA53" s="1548"/>
    </row>
    <row r="54" spans="1:27" x14ac:dyDescent="0.25">
      <c r="A54" s="1548"/>
      <c r="B54" s="1548"/>
      <c r="C54" s="1548"/>
      <c r="D54" s="1548"/>
      <c r="E54" s="1548"/>
      <c r="F54" s="1548"/>
      <c r="G54" s="1548"/>
      <c r="H54" s="1548"/>
      <c r="I54" s="1548"/>
      <c r="J54" s="1548"/>
      <c r="K54" s="1548"/>
      <c r="L54" s="1548"/>
      <c r="M54" s="1548"/>
      <c r="N54" s="1548"/>
      <c r="O54" s="1548"/>
      <c r="P54" s="1548"/>
      <c r="Q54" s="1548"/>
      <c r="R54" s="1548"/>
      <c r="S54" s="1548"/>
      <c r="T54" s="1548"/>
      <c r="U54" s="1548"/>
      <c r="V54" s="1548"/>
      <c r="W54" s="1548"/>
      <c r="X54" s="1548"/>
      <c r="Y54" s="1548"/>
      <c r="Z54" s="1548"/>
      <c r="AA54" s="1548"/>
    </row>
    <row r="55" spans="1:27" x14ac:dyDescent="0.25">
      <c r="A55" s="1548"/>
      <c r="B55" s="1548"/>
      <c r="C55" s="1548"/>
      <c r="D55" s="1548"/>
      <c r="E55" s="1548"/>
      <c r="F55" s="1548"/>
      <c r="G55" s="1548"/>
      <c r="H55" s="1548"/>
      <c r="I55" s="1548"/>
      <c r="J55" s="1548"/>
      <c r="K55" s="1548"/>
      <c r="L55" s="1548"/>
      <c r="M55" s="1548"/>
      <c r="N55" s="1548"/>
      <c r="O55" s="1548"/>
      <c r="P55" s="1548"/>
      <c r="Q55" s="1548"/>
      <c r="R55" s="1548"/>
      <c r="S55" s="1548"/>
      <c r="T55" s="1548"/>
      <c r="U55" s="1548"/>
      <c r="V55" s="1548"/>
      <c r="W55" s="1548"/>
      <c r="X55" s="1548"/>
      <c r="Y55" s="1548"/>
      <c r="Z55" s="1548"/>
      <c r="AA55" s="1548"/>
    </row>
    <row r="56" spans="1:27" x14ac:dyDescent="0.25">
      <c r="A56" s="1548"/>
      <c r="B56" s="1548"/>
      <c r="C56" s="1548"/>
      <c r="D56" s="1548"/>
      <c r="E56" s="1548"/>
      <c r="F56" s="1548"/>
      <c r="G56" s="1548"/>
      <c r="H56" s="1548"/>
      <c r="I56" s="1548"/>
      <c r="J56" s="1548"/>
      <c r="K56" s="1548"/>
      <c r="L56" s="1548"/>
      <c r="M56" s="1548"/>
      <c r="N56" s="1548"/>
      <c r="O56" s="1548"/>
      <c r="P56" s="1548"/>
      <c r="Q56" s="1548"/>
      <c r="R56" s="1548"/>
      <c r="S56" s="1548"/>
      <c r="T56" s="1548"/>
      <c r="U56" s="1548"/>
      <c r="V56" s="1548"/>
      <c r="W56" s="1548"/>
      <c r="X56" s="1548"/>
      <c r="Y56" s="1548"/>
      <c r="Z56" s="1548"/>
      <c r="AA56" s="1548"/>
    </row>
    <row r="57" spans="1:27" x14ac:dyDescent="0.25">
      <c r="A57" s="1548"/>
      <c r="B57" s="1548"/>
      <c r="C57" s="1548"/>
      <c r="D57" s="1548"/>
      <c r="E57" s="1548"/>
      <c r="F57" s="1548"/>
      <c r="G57" s="1548"/>
      <c r="H57" s="1548"/>
      <c r="I57" s="1548"/>
      <c r="J57" s="1548"/>
      <c r="K57" s="1548"/>
      <c r="L57" s="1548"/>
      <c r="M57" s="1548"/>
      <c r="N57" s="1548"/>
      <c r="O57" s="1548"/>
      <c r="P57" s="1548"/>
      <c r="Q57" s="1548"/>
      <c r="R57" s="1548"/>
      <c r="S57" s="1548"/>
      <c r="T57" s="1548"/>
      <c r="U57" s="1548"/>
      <c r="V57" s="1548"/>
      <c r="W57" s="1548"/>
      <c r="X57" s="1548"/>
      <c r="Y57" s="1548"/>
      <c r="Z57" s="1548"/>
      <c r="AA57" s="1548"/>
    </row>
    <row r="58" spans="1:27" x14ac:dyDescent="0.25">
      <c r="A58" s="1548"/>
      <c r="B58" s="1548"/>
      <c r="C58" s="1548"/>
      <c r="D58" s="1548"/>
      <c r="E58" s="1548"/>
      <c r="F58" s="1548"/>
      <c r="G58" s="1548"/>
      <c r="H58" s="1548"/>
      <c r="I58" s="1548"/>
      <c r="J58" s="1548"/>
      <c r="K58" s="1548"/>
      <c r="L58" s="1548"/>
      <c r="M58" s="1548"/>
      <c r="N58" s="1548"/>
      <c r="O58" s="1548"/>
      <c r="P58" s="1548"/>
      <c r="Q58" s="1548"/>
      <c r="R58" s="1548"/>
      <c r="S58" s="1548"/>
      <c r="T58" s="1548"/>
      <c r="U58" s="1548"/>
      <c r="V58" s="1548"/>
      <c r="W58" s="1548"/>
      <c r="X58" s="1548"/>
      <c r="Y58" s="1548"/>
      <c r="Z58" s="1548"/>
      <c r="AA58" s="1548"/>
    </row>
    <row r="59" spans="1:27" x14ac:dyDescent="0.25">
      <c r="A59" s="1548"/>
      <c r="B59" s="1548"/>
      <c r="C59" s="1548"/>
      <c r="D59" s="1548"/>
      <c r="E59" s="1548"/>
      <c r="F59" s="1548"/>
      <c r="G59" s="1548"/>
      <c r="H59" s="1548"/>
      <c r="I59" s="1548"/>
      <c r="J59" s="1548"/>
      <c r="K59" s="1548"/>
      <c r="L59" s="1548"/>
      <c r="M59" s="1548"/>
      <c r="N59" s="1548"/>
      <c r="O59" s="1548"/>
      <c r="P59" s="1548"/>
      <c r="Q59" s="1548"/>
      <c r="R59" s="1548"/>
      <c r="S59" s="1548"/>
      <c r="T59" s="1548"/>
      <c r="U59" s="1548"/>
      <c r="V59" s="1548"/>
      <c r="W59" s="1548"/>
      <c r="X59" s="1548"/>
      <c r="Y59" s="1548"/>
      <c r="Z59" s="1548"/>
      <c r="AA59" s="1548"/>
    </row>
    <row r="60" spans="1:27" x14ac:dyDescent="0.25">
      <c r="A60" s="1548"/>
      <c r="B60" s="1548"/>
      <c r="C60" s="1548"/>
      <c r="D60" s="1548"/>
      <c r="E60" s="1548"/>
      <c r="F60" s="1548"/>
      <c r="G60" s="1548"/>
      <c r="H60" s="1548"/>
      <c r="I60" s="1548"/>
      <c r="J60" s="1548"/>
      <c r="K60" s="1548"/>
      <c r="L60" s="1548"/>
      <c r="M60" s="1548"/>
      <c r="N60" s="1548"/>
      <c r="O60" s="1548"/>
      <c r="P60" s="1548"/>
      <c r="Q60" s="1548"/>
      <c r="R60" s="1548"/>
      <c r="S60" s="1548"/>
      <c r="T60" s="1548"/>
      <c r="U60" s="1548"/>
      <c r="V60" s="1548"/>
      <c r="W60" s="1548"/>
      <c r="X60" s="1548"/>
      <c r="Y60" s="1548"/>
      <c r="Z60" s="1548"/>
      <c r="AA60" s="1548"/>
    </row>
    <row r="61" spans="1:27" x14ac:dyDescent="0.25">
      <c r="A61" s="1548"/>
      <c r="B61" s="1548"/>
      <c r="C61" s="1548"/>
      <c r="D61" s="1548"/>
      <c r="E61" s="1548"/>
      <c r="F61" s="1548"/>
      <c r="G61" s="1548"/>
      <c r="H61" s="1548"/>
      <c r="I61" s="1548"/>
      <c r="J61" s="1548"/>
      <c r="K61" s="1548"/>
      <c r="L61" s="1548"/>
      <c r="M61" s="1548"/>
      <c r="N61" s="1548"/>
      <c r="O61" s="1548"/>
      <c r="P61" s="1548"/>
      <c r="Q61" s="1548"/>
      <c r="R61" s="1548"/>
      <c r="S61" s="1548"/>
      <c r="T61" s="1548"/>
      <c r="U61" s="1548"/>
      <c r="V61" s="1548"/>
      <c r="W61" s="1548"/>
      <c r="X61" s="1548"/>
      <c r="Y61" s="1548"/>
      <c r="Z61" s="1548"/>
      <c r="AA61" s="1548"/>
    </row>
    <row r="62" spans="1:27" x14ac:dyDescent="0.25">
      <c r="A62" s="1548"/>
      <c r="B62" s="1548"/>
      <c r="C62" s="1548"/>
      <c r="D62" s="1548"/>
      <c r="E62" s="1548"/>
      <c r="F62" s="1548"/>
      <c r="G62" s="1548"/>
      <c r="H62" s="1548"/>
      <c r="I62" s="1548"/>
      <c r="J62" s="1548"/>
      <c r="K62" s="1548"/>
      <c r="L62" s="1548"/>
      <c r="M62" s="1548"/>
      <c r="N62" s="1548"/>
      <c r="O62" s="1548"/>
      <c r="P62" s="1548"/>
      <c r="Q62" s="1548"/>
      <c r="R62" s="1548"/>
      <c r="S62" s="1548"/>
      <c r="T62" s="1548"/>
      <c r="U62" s="1548"/>
      <c r="V62" s="1548"/>
      <c r="W62" s="1548"/>
      <c r="X62" s="1548"/>
      <c r="Y62" s="1548"/>
      <c r="Z62" s="1548"/>
      <c r="AA62" s="1548"/>
    </row>
    <row r="63" spans="1:27" x14ac:dyDescent="0.25">
      <c r="A63" s="1548"/>
      <c r="B63" s="1548"/>
      <c r="C63" s="1548"/>
      <c r="D63" s="1548"/>
      <c r="E63" s="1548"/>
      <c r="F63" s="1548"/>
      <c r="G63" s="1548"/>
      <c r="H63" s="1548"/>
      <c r="I63" s="1548"/>
      <c r="J63" s="1548"/>
      <c r="K63" s="1548"/>
      <c r="L63" s="1548"/>
      <c r="M63" s="1548"/>
      <c r="N63" s="1548"/>
      <c r="O63" s="1548"/>
      <c r="P63" s="1548"/>
      <c r="Q63" s="1548"/>
      <c r="R63" s="1548"/>
      <c r="S63" s="1548"/>
      <c r="T63" s="1548"/>
      <c r="U63" s="1548"/>
      <c r="V63" s="1548"/>
      <c r="W63" s="1548"/>
      <c r="X63" s="1548"/>
      <c r="Y63" s="1548"/>
      <c r="Z63" s="1548"/>
      <c r="AA63" s="1548"/>
    </row>
  </sheetData>
  <phoneticPr fontId="124" type="noConversion"/>
  <pageMargins left="0.22" right="0.19685039370078741" top="0.44" bottom="0.36" header="0.28000000000000003" footer="0.16"/>
  <pageSetup paperSize="9" orientation="landscape" r:id="rId1"/>
  <headerFooter alignWithMargins="0">
    <oddFooter>&amp;R&amp;"Arial,Italic"Created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67" r:id="rId4" name="basic2button">
              <controlPr defaultSize="0" print="0" autoFill="0" autoPict="0" macro="[0]!returnfromcopy">
                <anchor moveWithCells="1" sizeWithCells="1">
                  <from>
                    <xdr:col>16</xdr:col>
                    <xdr:colOff>158750</xdr:colOff>
                    <xdr:row>0</xdr:row>
                    <xdr:rowOff>260350</xdr:rowOff>
                  </from>
                  <to>
                    <xdr:col>16</xdr:col>
                    <xdr:colOff>1054100</xdr:colOff>
                    <xdr:row>4</xdr:row>
                    <xdr:rowOff>44450</xdr:rowOff>
                  </to>
                </anchor>
              </controlPr>
            </control>
          </mc:Choice>
        </mc:AlternateContent>
        <mc:AlternateContent xmlns:mc="http://schemas.openxmlformats.org/markup-compatibility/2006">
          <mc:Choice Requires="x14">
            <control shapeId="100368" r:id="rId5" name="basic2delbutton">
              <controlPr defaultSize="0" print="0" autoFill="0" autoPict="0" macro="[0]!delete_basic2button">
                <anchor moveWithCells="1" sizeWithCells="1">
                  <from>
                    <xdr:col>16</xdr:col>
                    <xdr:colOff>158750</xdr:colOff>
                    <xdr:row>4</xdr:row>
                    <xdr:rowOff>69850</xdr:rowOff>
                  </from>
                  <to>
                    <xdr:col>16</xdr:col>
                    <xdr:colOff>1054100</xdr:colOff>
                    <xdr:row>7</xdr:row>
                    <xdr:rowOff>203200</xdr:rowOff>
                  </to>
                </anchor>
              </controlPr>
            </control>
          </mc:Choice>
        </mc:AlternateContent>
        <mc:AlternateContent xmlns:mc="http://schemas.openxmlformats.org/markup-compatibility/2006">
          <mc:Choice Requires="x14">
            <control shapeId="100369" r:id="rId6" name="pdfbutton">
              <controlPr defaultSize="0" print="0" autoFill="0" autoPict="0" macro="[0]!pdfonly">
                <anchor moveWithCells="1" sizeWithCells="1">
                  <from>
                    <xdr:col>16</xdr:col>
                    <xdr:colOff>1136650</xdr:colOff>
                    <xdr:row>2</xdr:row>
                    <xdr:rowOff>44450</xdr:rowOff>
                  </from>
                  <to>
                    <xdr:col>17</xdr:col>
                    <xdr:colOff>863600</xdr:colOff>
                    <xdr:row>6</xdr:row>
                    <xdr:rowOff>69850</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0FD48-4DA0-4F52-83E7-4B3D8C34CFA1}">
  <sheetPr codeName="Sheet103"/>
  <dimension ref="A1:Q109"/>
  <sheetViews>
    <sheetView showGridLines="0" workbookViewId="0"/>
  </sheetViews>
  <sheetFormatPr defaultColWidth="9.08984375" defaultRowHeight="12.5" x14ac:dyDescent="0.25"/>
  <cols>
    <col min="1" max="1" width="7.90625" style="1493" customWidth="1"/>
    <col min="2" max="2" width="1.453125" style="1493" customWidth="1"/>
    <col min="3" max="3" width="18" style="1493" customWidth="1"/>
    <col min="4" max="4" width="18.08984375" style="1493" customWidth="1"/>
    <col min="5" max="5" width="23" style="1493" customWidth="1"/>
    <col min="6" max="6" width="1.08984375" style="1493" customWidth="1"/>
    <col min="7" max="7" width="14.08984375" style="1493" customWidth="1"/>
    <col min="8" max="8" width="13.453125" style="1493" customWidth="1"/>
    <col min="9" max="9" width="2.453125" style="1493" customWidth="1"/>
    <col min="10" max="10" width="1.453125" style="1493" customWidth="1"/>
    <col min="11" max="11" width="7.6328125" style="1493" customWidth="1"/>
    <col min="12" max="12" width="16.90625" style="1493" customWidth="1"/>
    <col min="13" max="13" width="2" style="1493" customWidth="1"/>
    <col min="14" max="16" width="9.08984375" style="1493"/>
    <col min="17" max="17" width="106" style="1493" customWidth="1"/>
    <col min="18" max="16384" width="9.08984375" style="1493"/>
  </cols>
  <sheetData>
    <row r="1" spans="1:17" ht="54" customHeight="1" x14ac:dyDescent="0.35">
      <c r="A1" s="1697"/>
      <c r="B1" s="1671"/>
      <c r="C1" s="1672"/>
      <c r="D1" s="1672"/>
      <c r="E1" s="1673"/>
      <c r="F1" s="1488"/>
      <c r="G1" s="1671"/>
      <c r="H1" s="1672"/>
      <c r="I1" s="1672"/>
      <c r="J1" s="1672"/>
      <c r="K1" s="1672"/>
      <c r="L1" s="1673"/>
      <c r="M1" s="1488"/>
      <c r="N1" s="1488"/>
      <c r="O1" s="1488"/>
      <c r="P1" s="1488"/>
      <c r="Q1" s="1488"/>
    </row>
    <row r="2" spans="1:17" ht="18" customHeight="1" x14ac:dyDescent="0.3">
      <c r="A2" s="1488"/>
      <c r="B2" s="1548"/>
      <c r="C2" s="1674"/>
      <c r="D2" s="1674"/>
      <c r="E2" s="1674"/>
      <c r="F2" s="1674"/>
      <c r="G2" s="1548"/>
      <c r="H2" s="1548"/>
      <c r="I2" s="1675"/>
      <c r="J2" s="1675"/>
      <c r="K2" s="1548"/>
      <c r="L2" s="1548"/>
      <c r="M2" s="1488"/>
      <c r="N2" s="1488"/>
      <c r="O2" s="1488"/>
      <c r="P2" s="1488"/>
      <c r="Q2" s="1488"/>
    </row>
    <row r="3" spans="1:17" ht="21" customHeight="1" x14ac:dyDescent="0.35">
      <c r="A3" s="1488"/>
      <c r="B3" s="1548"/>
      <c r="C3" s="1650"/>
      <c r="D3" s="1682"/>
      <c r="E3" s="1666"/>
      <c r="F3" s="1666"/>
      <c r="G3" s="1683"/>
      <c r="H3" s="1684"/>
      <c r="I3" s="1676"/>
      <c r="J3" s="1698"/>
      <c r="K3" s="1677"/>
      <c r="L3" s="1677"/>
      <c r="M3" s="1673"/>
      <c r="N3" s="1488"/>
      <c r="O3" s="1488"/>
      <c r="P3" s="1488"/>
      <c r="Q3" s="1488"/>
    </row>
    <row r="4" spans="1:17" ht="54" customHeight="1" x14ac:dyDescent="0.35">
      <c r="A4" s="1488"/>
      <c r="B4" s="1548"/>
      <c r="C4" s="1680"/>
      <c r="D4" s="1680"/>
      <c r="E4" s="1680"/>
      <c r="F4" s="1548"/>
      <c r="G4" s="1681"/>
      <c r="H4" s="1681"/>
      <c r="I4" s="1488"/>
      <c r="J4" s="1685"/>
      <c r="K4" s="1686"/>
      <c r="M4" s="1687"/>
      <c r="N4" s="1488"/>
      <c r="O4" s="1696"/>
      <c r="P4" s="1695"/>
      <c r="Q4" s="1488"/>
    </row>
    <row r="5" spans="1:17" ht="15.75" customHeight="1" x14ac:dyDescent="0.35">
      <c r="A5" s="1488"/>
      <c r="B5" s="1548"/>
      <c r="C5" s="1678"/>
      <c r="D5" s="1678"/>
      <c r="E5" s="1679"/>
      <c r="F5" s="1548"/>
      <c r="G5" s="1648"/>
      <c r="H5" s="1649"/>
      <c r="I5" s="1488"/>
      <c r="J5" s="1685"/>
      <c r="K5" s="1650"/>
      <c r="L5" s="1651"/>
      <c r="M5" s="1687"/>
      <c r="N5" s="1488"/>
      <c r="O5" s="1696"/>
      <c r="P5" s="1695"/>
      <c r="Q5" s="1488"/>
    </row>
    <row r="6" spans="1:17" ht="15.75" customHeight="1" x14ac:dyDescent="0.35">
      <c r="A6" s="1488"/>
      <c r="B6" s="1548"/>
      <c r="C6" s="1678"/>
      <c r="D6" s="1678"/>
      <c r="E6" s="1679"/>
      <c r="F6" s="1548"/>
      <c r="G6" s="1648"/>
      <c r="H6" s="1649"/>
      <c r="I6" s="1488"/>
      <c r="J6" s="1685"/>
      <c r="K6" s="1650"/>
      <c r="L6" s="1654"/>
      <c r="M6" s="1687"/>
      <c r="N6" s="1488"/>
      <c r="O6" s="1695"/>
      <c r="P6" s="1695"/>
      <c r="Q6" s="1488"/>
    </row>
    <row r="7" spans="1:17" ht="15.75" customHeight="1" x14ac:dyDescent="0.35">
      <c r="A7" s="1488"/>
      <c r="B7" s="1548"/>
      <c r="C7" s="1678"/>
      <c r="D7" s="1678"/>
      <c r="E7" s="1679"/>
      <c r="F7" s="1548"/>
      <c r="G7" s="1648"/>
      <c r="H7" s="1649"/>
      <c r="I7" s="1488"/>
      <c r="J7" s="1685"/>
      <c r="K7" s="1688"/>
      <c r="M7" s="1687"/>
      <c r="N7" s="1488"/>
      <c r="O7" s="1488"/>
      <c r="P7" s="1488"/>
      <c r="Q7" s="1488"/>
    </row>
    <row r="8" spans="1:17" ht="15.75" customHeight="1" x14ac:dyDescent="0.25">
      <c r="A8" s="1488"/>
      <c r="B8" s="1548"/>
      <c r="C8" s="1678"/>
      <c r="D8" s="1678"/>
      <c r="E8" s="1679"/>
      <c r="F8" s="1548"/>
      <c r="G8" s="1648"/>
      <c r="H8" s="1649"/>
      <c r="I8" s="1488"/>
      <c r="J8" s="1685"/>
      <c r="M8" s="1687"/>
      <c r="N8" s="1488"/>
      <c r="O8" s="1488"/>
      <c r="P8" s="1488"/>
      <c r="Q8" s="1488"/>
    </row>
    <row r="9" spans="1:17" ht="15.75" customHeight="1" x14ac:dyDescent="0.25">
      <c r="A9" s="1488"/>
      <c r="B9" s="1548"/>
      <c r="C9" s="1678"/>
      <c r="D9" s="1678"/>
      <c r="E9" s="1679"/>
      <c r="F9" s="1548"/>
      <c r="G9" s="1648"/>
      <c r="H9" s="1649"/>
      <c r="I9" s="1488"/>
      <c r="J9" s="1685"/>
      <c r="M9" s="1687"/>
      <c r="N9" s="1488"/>
      <c r="O9" s="1488"/>
      <c r="P9" s="1488"/>
      <c r="Q9" s="1488"/>
    </row>
    <row r="10" spans="1:17" ht="15.75" customHeight="1" x14ac:dyDescent="0.25">
      <c r="A10" s="1488"/>
      <c r="B10" s="1548"/>
      <c r="C10" s="1678"/>
      <c r="D10" s="1678"/>
      <c r="E10" s="1679"/>
      <c r="F10" s="1548"/>
      <c r="G10" s="1648"/>
      <c r="H10" s="1649"/>
      <c r="I10" s="1488"/>
      <c r="J10" s="1685"/>
      <c r="M10" s="1687"/>
      <c r="N10" s="1488"/>
      <c r="O10" s="1488"/>
      <c r="P10" s="1488"/>
      <c r="Q10" s="1488"/>
    </row>
    <row r="11" spans="1:17" ht="15.75" customHeight="1" x14ac:dyDescent="0.25">
      <c r="A11" s="1488"/>
      <c r="B11" s="1548"/>
      <c r="C11" s="1678"/>
      <c r="D11" s="1678"/>
      <c r="E11" s="1679"/>
      <c r="F11" s="1548"/>
      <c r="G11" s="1648"/>
      <c r="H11" s="1649"/>
      <c r="I11" s="1488"/>
      <c r="J11" s="1685"/>
      <c r="M11" s="1687"/>
      <c r="N11" s="1488"/>
      <c r="O11" s="1488"/>
      <c r="P11" s="1488"/>
      <c r="Q11" s="1488"/>
    </row>
    <row r="12" spans="1:17" ht="15.75" customHeight="1" x14ac:dyDescent="0.25">
      <c r="A12" s="1488"/>
      <c r="B12" s="1548"/>
      <c r="C12" s="1678"/>
      <c r="D12" s="1678"/>
      <c r="E12" s="1679"/>
      <c r="F12" s="1548"/>
      <c r="G12" s="1648"/>
      <c r="H12" s="1649"/>
      <c r="I12" s="1488"/>
      <c r="J12" s="1685"/>
      <c r="M12" s="1687"/>
      <c r="N12" s="1488"/>
      <c r="O12" s="1488"/>
      <c r="P12" s="1488"/>
      <c r="Q12" s="1488"/>
    </row>
    <row r="13" spans="1:17" ht="15.75" customHeight="1" x14ac:dyDescent="0.25">
      <c r="A13" s="1488"/>
      <c r="B13" s="1548"/>
      <c r="C13" s="1678"/>
      <c r="D13" s="1678"/>
      <c r="E13" s="1679"/>
      <c r="F13" s="1548"/>
      <c r="G13" s="1648"/>
      <c r="H13" s="1649"/>
      <c r="I13" s="1488"/>
      <c r="J13" s="1685"/>
      <c r="M13" s="1687"/>
      <c r="N13" s="1488"/>
      <c r="O13" s="1488"/>
      <c r="P13" s="1488"/>
      <c r="Q13" s="1488"/>
    </row>
    <row r="14" spans="1:17" ht="15.75" customHeight="1" x14ac:dyDescent="0.25">
      <c r="A14" s="1488"/>
      <c r="B14" s="1548"/>
      <c r="C14" s="1678"/>
      <c r="D14" s="1678"/>
      <c r="E14" s="1679"/>
      <c r="F14" s="1548"/>
      <c r="G14" s="1648"/>
      <c r="H14" s="1649"/>
      <c r="I14" s="1488"/>
      <c r="J14" s="1685"/>
      <c r="M14" s="1687"/>
      <c r="N14" s="1488"/>
      <c r="O14" s="1488"/>
      <c r="P14" s="1488"/>
      <c r="Q14" s="1488"/>
    </row>
    <row r="15" spans="1:17" ht="15.75" customHeight="1" x14ac:dyDescent="0.25">
      <c r="A15" s="1488"/>
      <c r="B15" s="1548"/>
      <c r="C15" s="1678"/>
      <c r="D15" s="1678"/>
      <c r="E15" s="1679"/>
      <c r="F15" s="1548"/>
      <c r="G15" s="1648"/>
      <c r="H15" s="1649"/>
      <c r="I15" s="1488"/>
      <c r="J15" s="1685"/>
      <c r="M15" s="1687"/>
      <c r="N15" s="1488"/>
      <c r="O15" s="1488"/>
      <c r="P15" s="1488"/>
      <c r="Q15" s="1488"/>
    </row>
    <row r="16" spans="1:17" ht="15.75" customHeight="1" x14ac:dyDescent="0.25">
      <c r="A16" s="1488"/>
      <c r="B16" s="1548"/>
      <c r="C16" s="1678"/>
      <c r="D16" s="1678"/>
      <c r="E16" s="1679"/>
      <c r="F16" s="1548"/>
      <c r="G16" s="1648"/>
      <c r="H16" s="1649"/>
      <c r="I16" s="1488"/>
      <c r="J16" s="1685"/>
      <c r="K16" s="1665"/>
      <c r="L16" s="1667"/>
      <c r="M16" s="1687"/>
      <c r="N16" s="1488"/>
      <c r="O16" s="1488"/>
      <c r="P16" s="1488"/>
      <c r="Q16" s="1488"/>
    </row>
    <row r="17" spans="1:17" ht="15.75" customHeight="1" x14ac:dyDescent="0.35">
      <c r="A17" s="1488"/>
      <c r="B17" s="1548"/>
      <c r="C17" s="1678"/>
      <c r="D17" s="1678"/>
      <c r="E17" s="1679"/>
      <c r="F17" s="1548"/>
      <c r="G17" s="1648"/>
      <c r="H17" s="1649"/>
      <c r="I17" s="1488"/>
      <c r="J17" s="1685"/>
      <c r="K17" s="1689"/>
      <c r="L17" s="1690"/>
      <c r="M17" s="1687"/>
      <c r="N17" s="1488"/>
      <c r="O17" s="1488"/>
      <c r="P17" s="1488"/>
      <c r="Q17" s="1488"/>
    </row>
    <row r="18" spans="1:17" ht="15.75" customHeight="1" x14ac:dyDescent="0.35">
      <c r="A18" s="1488"/>
      <c r="B18" s="1548"/>
      <c r="C18" s="1678"/>
      <c r="D18" s="1678"/>
      <c r="E18" s="1679"/>
      <c r="F18" s="1548"/>
      <c r="G18" s="1648"/>
      <c r="H18" s="1649"/>
      <c r="I18" s="1488"/>
      <c r="J18" s="1685"/>
      <c r="K18" s="1689"/>
      <c r="L18" s="1690"/>
      <c r="M18" s="1687"/>
      <c r="N18" s="1488"/>
      <c r="O18" s="1488"/>
      <c r="P18" s="1488"/>
      <c r="Q18" s="1488"/>
    </row>
    <row r="19" spans="1:17" ht="15.75" customHeight="1" x14ac:dyDescent="0.35">
      <c r="A19" s="1488"/>
      <c r="B19" s="1548"/>
      <c r="C19" s="1678"/>
      <c r="D19" s="1678"/>
      <c r="E19" s="1679"/>
      <c r="F19" s="1548"/>
      <c r="G19" s="1648"/>
      <c r="H19" s="1649"/>
      <c r="I19" s="1488"/>
      <c r="J19" s="1685"/>
      <c r="K19" s="1689"/>
      <c r="L19" s="1690"/>
      <c r="M19" s="1687"/>
      <c r="N19" s="1488"/>
      <c r="O19" s="1488"/>
      <c r="P19" s="1488"/>
      <c r="Q19" s="1488"/>
    </row>
    <row r="20" spans="1:17" ht="15.75" customHeight="1" x14ac:dyDescent="0.35">
      <c r="A20" s="1488"/>
      <c r="B20" s="1548"/>
      <c r="C20" s="1678"/>
      <c r="D20" s="1678"/>
      <c r="E20" s="1679"/>
      <c r="F20" s="1548"/>
      <c r="G20" s="1648"/>
      <c r="H20" s="1649"/>
      <c r="I20" s="1488"/>
      <c r="J20" s="1685"/>
      <c r="K20" s="1689"/>
      <c r="L20" s="1690"/>
      <c r="M20" s="1687"/>
      <c r="N20" s="1488"/>
      <c r="O20" s="1488"/>
      <c r="P20" s="1488"/>
      <c r="Q20" s="1488"/>
    </row>
    <row r="21" spans="1:17" ht="15.75" customHeight="1" x14ac:dyDescent="0.25">
      <c r="A21" s="1488"/>
      <c r="B21" s="1548"/>
      <c r="C21" s="1678"/>
      <c r="D21" s="1678"/>
      <c r="E21" s="1679"/>
      <c r="F21" s="1548"/>
      <c r="G21" s="1648"/>
      <c r="H21" s="1649"/>
      <c r="I21" s="1488"/>
      <c r="J21" s="1685"/>
      <c r="K21" s="1691"/>
      <c r="L21" s="1670"/>
      <c r="M21" s="1687"/>
      <c r="N21" s="1488"/>
      <c r="O21" s="1488"/>
      <c r="P21" s="1488"/>
      <c r="Q21" s="1488"/>
    </row>
    <row r="22" spans="1:17" ht="15.75" customHeight="1" thickBot="1" x14ac:dyDescent="0.3">
      <c r="A22" s="1488"/>
      <c r="B22" s="1548"/>
      <c r="C22" s="1678"/>
      <c r="D22" s="1678"/>
      <c r="E22" s="1679"/>
      <c r="F22" s="1548"/>
      <c r="G22" s="1648"/>
      <c r="H22" s="1649"/>
      <c r="I22" s="1488"/>
      <c r="J22" s="1692"/>
      <c r="K22" s="1693"/>
      <c r="L22" s="1693"/>
      <c r="M22" s="1694"/>
      <c r="N22" s="1488"/>
      <c r="O22" s="1488"/>
      <c r="P22" s="1488"/>
      <c r="Q22" s="1488"/>
    </row>
    <row r="23" spans="1:17" ht="15.75" customHeight="1" x14ac:dyDescent="0.25">
      <c r="A23" s="1488"/>
      <c r="B23" s="1548"/>
      <c r="C23" s="1678"/>
      <c r="D23" s="1678"/>
      <c r="E23" s="1679"/>
      <c r="F23" s="1548"/>
      <c r="G23" s="1648"/>
      <c r="H23" s="1649"/>
      <c r="I23" s="1488"/>
      <c r="J23" s="1488"/>
      <c r="K23" s="1548"/>
      <c r="L23" s="1548"/>
      <c r="M23" s="1488"/>
      <c r="N23" s="1488"/>
      <c r="O23" s="1488"/>
      <c r="P23" s="1488"/>
      <c r="Q23" s="1488"/>
    </row>
    <row r="24" spans="1:17" ht="15.75" customHeight="1" x14ac:dyDescent="0.25">
      <c r="A24" s="1488"/>
      <c r="B24" s="1548"/>
      <c r="C24" s="1678"/>
      <c r="D24" s="1678"/>
      <c r="E24" s="1679"/>
      <c r="F24" s="1548"/>
      <c r="G24" s="1648"/>
      <c r="H24" s="1649"/>
      <c r="I24" s="1488"/>
      <c r="J24" s="1488"/>
      <c r="K24" s="1548"/>
      <c r="L24" s="1548"/>
      <c r="M24" s="1488"/>
      <c r="N24" s="1488"/>
      <c r="O24" s="1488"/>
      <c r="P24" s="1488"/>
      <c r="Q24" s="1488"/>
    </row>
    <row r="25" spans="1:17" ht="15.75" customHeight="1" x14ac:dyDescent="0.25">
      <c r="A25" s="1488"/>
      <c r="B25" s="1548"/>
      <c r="C25" s="1678"/>
      <c r="D25" s="1678"/>
      <c r="E25" s="1679"/>
      <c r="F25" s="1548"/>
      <c r="G25" s="1648"/>
      <c r="H25" s="1649"/>
      <c r="I25" s="1488"/>
      <c r="J25" s="1488"/>
      <c r="K25" s="1548"/>
      <c r="L25" s="1548"/>
      <c r="M25" s="1488"/>
      <c r="N25" s="1488"/>
      <c r="O25" s="1488"/>
      <c r="P25" s="1488"/>
      <c r="Q25" s="1488"/>
    </row>
    <row r="26" spans="1:17" ht="15.75" customHeight="1" x14ac:dyDescent="0.25">
      <c r="A26" s="1488"/>
      <c r="B26" s="1548"/>
      <c r="C26" s="1678"/>
      <c r="D26" s="1678"/>
      <c r="E26" s="1679"/>
      <c r="F26" s="1548"/>
      <c r="G26" s="1648"/>
      <c r="H26" s="1649"/>
      <c r="I26" s="1488"/>
      <c r="J26" s="1488"/>
      <c r="K26" s="1548"/>
      <c r="L26" s="1548"/>
      <c r="M26" s="1488"/>
      <c r="N26" s="1488"/>
      <c r="O26" s="1488"/>
      <c r="P26" s="1488"/>
      <c r="Q26" s="1488"/>
    </row>
    <row r="27" spans="1:17" ht="15.75" customHeight="1" x14ac:dyDescent="0.25">
      <c r="A27" s="1488"/>
      <c r="B27" s="1548"/>
      <c r="C27" s="1678"/>
      <c r="D27" s="1678"/>
      <c r="E27" s="1679"/>
      <c r="F27" s="1548"/>
      <c r="G27" s="1648"/>
      <c r="H27" s="1649"/>
      <c r="I27" s="1488"/>
      <c r="J27" s="1488"/>
      <c r="K27" s="1548"/>
      <c r="L27" s="1548"/>
      <c r="M27" s="1488"/>
      <c r="N27" s="1488"/>
      <c r="O27" s="1488"/>
      <c r="P27" s="1488"/>
      <c r="Q27" s="1488"/>
    </row>
    <row r="28" spans="1:17" ht="15.75" customHeight="1" x14ac:dyDescent="0.25">
      <c r="A28" s="1488"/>
      <c r="B28" s="1548"/>
      <c r="C28" s="1678"/>
      <c r="D28" s="1678"/>
      <c r="E28" s="1679"/>
      <c r="F28" s="1548"/>
      <c r="G28" s="1648"/>
      <c r="H28" s="1649"/>
      <c r="I28" s="1488"/>
      <c r="J28" s="1488"/>
      <c r="K28" s="1548"/>
      <c r="L28" s="1548"/>
      <c r="M28" s="1488"/>
      <c r="N28" s="1488"/>
      <c r="O28" s="1488"/>
      <c r="P28" s="1488"/>
      <c r="Q28" s="1488"/>
    </row>
    <row r="29" spans="1:17" ht="15.75" customHeight="1" x14ac:dyDescent="0.25">
      <c r="A29" s="1488"/>
      <c r="B29" s="1548"/>
      <c r="C29" s="1678"/>
      <c r="D29" s="1678"/>
      <c r="E29" s="1679"/>
      <c r="F29" s="1548"/>
      <c r="G29" s="1648"/>
      <c r="H29" s="1649"/>
      <c r="I29" s="1488"/>
      <c r="J29" s="1488"/>
      <c r="K29" s="1548"/>
      <c r="L29" s="1548"/>
      <c r="M29" s="1488"/>
      <c r="N29" s="1488"/>
      <c r="O29" s="1488"/>
      <c r="P29" s="1488"/>
      <c r="Q29" s="1488"/>
    </row>
    <row r="30" spans="1:17" ht="15.75" customHeight="1" x14ac:dyDescent="0.25">
      <c r="A30" s="1488"/>
      <c r="B30" s="1548"/>
      <c r="C30" s="1678"/>
      <c r="D30" s="1678"/>
      <c r="E30" s="1679"/>
      <c r="F30" s="1548"/>
      <c r="G30" s="1648"/>
      <c r="H30" s="1649"/>
      <c r="I30" s="1488"/>
      <c r="J30" s="1488"/>
      <c r="K30" s="1548"/>
      <c r="L30" s="1548"/>
      <c r="M30" s="1488"/>
      <c r="N30" s="1488"/>
      <c r="O30" s="1488"/>
      <c r="P30" s="1488"/>
      <c r="Q30" s="1488"/>
    </row>
    <row r="31" spans="1:17" ht="15.75" customHeight="1" x14ac:dyDescent="0.25">
      <c r="A31" s="1488"/>
      <c r="B31" s="1548"/>
      <c r="C31" s="1678"/>
      <c r="D31" s="1678"/>
      <c r="E31" s="1679"/>
      <c r="F31" s="1548"/>
      <c r="G31" s="1648"/>
      <c r="H31" s="1649"/>
      <c r="I31" s="1488"/>
      <c r="J31" s="1488"/>
      <c r="K31" s="1548"/>
      <c r="L31" s="1548"/>
      <c r="M31" s="1488"/>
      <c r="N31" s="1488"/>
      <c r="O31" s="1488"/>
      <c r="P31" s="1488"/>
      <c r="Q31" s="1488"/>
    </row>
    <row r="32" spans="1:17" ht="15.75" customHeight="1" x14ac:dyDescent="0.25">
      <c r="A32" s="1488"/>
      <c r="B32" s="1548"/>
      <c r="C32" s="1678"/>
      <c r="D32" s="1678"/>
      <c r="E32" s="1679"/>
      <c r="F32" s="1548"/>
      <c r="G32" s="1648"/>
      <c r="H32" s="1649"/>
      <c r="I32" s="1488"/>
      <c r="J32" s="1488"/>
      <c r="K32" s="1548"/>
      <c r="L32" s="1548"/>
      <c r="M32" s="1488"/>
      <c r="N32" s="1488"/>
      <c r="O32" s="1488"/>
      <c r="P32" s="1488"/>
      <c r="Q32" s="1488"/>
    </row>
    <row r="33" spans="1:17" ht="15.75" customHeight="1" x14ac:dyDescent="0.25">
      <c r="A33" s="1488"/>
      <c r="B33" s="1548"/>
      <c r="C33" s="1678"/>
      <c r="D33" s="1678"/>
      <c r="E33" s="1679"/>
      <c r="F33" s="1548"/>
      <c r="G33" s="1648"/>
      <c r="H33" s="1649"/>
      <c r="I33" s="1488"/>
      <c r="J33" s="1488"/>
      <c r="K33" s="1548"/>
      <c r="L33" s="1548"/>
      <c r="M33" s="1488"/>
      <c r="N33" s="1488"/>
      <c r="O33" s="1488"/>
      <c r="P33" s="1488"/>
      <c r="Q33" s="1488"/>
    </row>
    <row r="34" spans="1:17" ht="15.75" customHeight="1" x14ac:dyDescent="0.25">
      <c r="A34" s="1488"/>
      <c r="B34" s="1548"/>
      <c r="C34" s="1678"/>
      <c r="D34" s="1678"/>
      <c r="E34" s="1679"/>
      <c r="F34" s="1548"/>
      <c r="G34" s="1648"/>
      <c r="H34" s="1649"/>
      <c r="I34" s="1488"/>
      <c r="J34" s="1488"/>
      <c r="K34" s="1548"/>
      <c r="L34" s="1548"/>
      <c r="M34" s="1488"/>
      <c r="N34" s="1488"/>
      <c r="O34" s="1488"/>
      <c r="P34" s="1488"/>
      <c r="Q34" s="1488"/>
    </row>
    <row r="35" spans="1:17" ht="15.75" customHeight="1" x14ac:dyDescent="0.25">
      <c r="A35" s="1488"/>
      <c r="B35" s="1548"/>
      <c r="C35" s="1678"/>
      <c r="D35" s="1678"/>
      <c r="E35" s="1679"/>
      <c r="F35" s="1548"/>
      <c r="G35" s="1648"/>
      <c r="H35" s="1649"/>
      <c r="I35" s="1488"/>
      <c r="J35" s="1488"/>
      <c r="K35" s="1548"/>
      <c r="L35" s="1548"/>
      <c r="M35" s="1488"/>
      <c r="N35" s="1488"/>
      <c r="O35" s="1488"/>
      <c r="P35" s="1488"/>
      <c r="Q35" s="1488"/>
    </row>
    <row r="36" spans="1:17" ht="15.75" customHeight="1" x14ac:dyDescent="0.25">
      <c r="A36" s="1488"/>
      <c r="B36" s="1548"/>
      <c r="C36" s="1678"/>
      <c r="D36" s="1678"/>
      <c r="E36" s="1679"/>
      <c r="F36" s="1548"/>
      <c r="G36" s="1648"/>
      <c r="H36" s="1649"/>
      <c r="I36" s="1488"/>
      <c r="J36" s="1488"/>
      <c r="K36" s="1548"/>
      <c r="L36" s="1548"/>
      <c r="M36" s="1488"/>
      <c r="N36" s="1488"/>
      <c r="O36" s="1488"/>
      <c r="P36" s="1488"/>
      <c r="Q36" s="1488"/>
    </row>
    <row r="37" spans="1:17" ht="15.75" customHeight="1" x14ac:dyDescent="0.25">
      <c r="A37" s="1488"/>
      <c r="B37" s="1548"/>
      <c r="C37" s="1678"/>
      <c r="D37" s="1678"/>
      <c r="E37" s="1679"/>
      <c r="F37" s="1548"/>
      <c r="G37" s="1648"/>
      <c r="H37" s="1649"/>
      <c r="I37" s="1488"/>
      <c r="J37" s="1488"/>
      <c r="K37" s="1548"/>
      <c r="L37" s="1548"/>
      <c r="M37" s="1488"/>
      <c r="N37" s="1488"/>
      <c r="O37" s="1488"/>
      <c r="P37" s="1488"/>
      <c r="Q37" s="1488"/>
    </row>
    <row r="38" spans="1:17" ht="15.75" customHeight="1" x14ac:dyDescent="0.25">
      <c r="A38" s="1488"/>
      <c r="B38" s="1548"/>
      <c r="C38" s="1678"/>
      <c r="D38" s="1678"/>
      <c r="E38" s="1679"/>
      <c r="F38" s="1548"/>
      <c r="G38" s="1648"/>
      <c r="H38" s="1649"/>
      <c r="I38" s="1488"/>
      <c r="J38" s="1488"/>
      <c r="K38" s="1548"/>
      <c r="L38" s="1548"/>
      <c r="M38" s="1488"/>
      <c r="N38" s="1488"/>
      <c r="O38" s="1488"/>
      <c r="P38" s="1488"/>
      <c r="Q38" s="1488"/>
    </row>
    <row r="39" spans="1:17" ht="15.75" customHeight="1" x14ac:dyDescent="0.25">
      <c r="A39" s="1488"/>
      <c r="B39" s="1548"/>
      <c r="C39" s="1678"/>
      <c r="D39" s="1678"/>
      <c r="E39" s="1679"/>
      <c r="F39" s="1548"/>
      <c r="G39" s="1648"/>
      <c r="H39" s="1649"/>
      <c r="I39" s="1488"/>
      <c r="J39" s="1488"/>
      <c r="K39" s="1548"/>
      <c r="L39" s="1548"/>
      <c r="M39" s="1488"/>
      <c r="N39" s="1488"/>
      <c r="O39" s="1488"/>
      <c r="P39" s="1488"/>
      <c r="Q39" s="1488"/>
    </row>
    <row r="40" spans="1:17" ht="15.75" customHeight="1" x14ac:dyDescent="0.25">
      <c r="A40" s="1488"/>
      <c r="B40" s="1548"/>
      <c r="C40" s="1678"/>
      <c r="D40" s="1678"/>
      <c r="E40" s="1679"/>
      <c r="F40" s="1548"/>
      <c r="G40" s="1648"/>
      <c r="H40" s="1649"/>
      <c r="I40" s="1488"/>
      <c r="J40" s="1488"/>
      <c r="K40" s="1548"/>
      <c r="L40" s="1548"/>
      <c r="M40" s="1488"/>
      <c r="N40" s="1488"/>
      <c r="O40" s="1488"/>
      <c r="P40" s="1488"/>
      <c r="Q40" s="1488"/>
    </row>
    <row r="41" spans="1:17" ht="15.75" customHeight="1" x14ac:dyDescent="0.25">
      <c r="A41" s="1488"/>
      <c r="B41" s="1548"/>
      <c r="C41" s="1678"/>
      <c r="D41" s="1678"/>
      <c r="E41" s="1679"/>
      <c r="F41" s="1548"/>
      <c r="G41" s="1648"/>
      <c r="H41" s="1649"/>
      <c r="I41" s="1488"/>
      <c r="J41" s="1488"/>
      <c r="K41" s="1548"/>
      <c r="L41" s="1548"/>
      <c r="M41" s="1488"/>
      <c r="N41" s="1488"/>
      <c r="O41" s="1488"/>
      <c r="P41" s="1488"/>
      <c r="Q41" s="1488"/>
    </row>
    <row r="42" spans="1:17" ht="15.75" customHeight="1" x14ac:dyDescent="0.25">
      <c r="A42" s="1488"/>
      <c r="B42" s="1548"/>
      <c r="C42" s="1678"/>
      <c r="D42" s="1678"/>
      <c r="E42" s="1679"/>
      <c r="F42" s="1548"/>
      <c r="G42" s="1648"/>
      <c r="H42" s="1649"/>
      <c r="I42" s="1488"/>
      <c r="J42" s="1488"/>
      <c r="K42" s="1548"/>
      <c r="L42" s="1548"/>
      <c r="M42" s="1488"/>
      <c r="N42" s="1488"/>
      <c r="O42" s="1488"/>
      <c r="P42" s="1488"/>
      <c r="Q42" s="1488"/>
    </row>
    <row r="43" spans="1:17" ht="15.75" customHeight="1" x14ac:dyDescent="0.25">
      <c r="A43" s="1488"/>
      <c r="B43" s="1548"/>
      <c r="C43" s="1678"/>
      <c r="D43" s="1678"/>
      <c r="E43" s="1679"/>
      <c r="F43" s="1548"/>
      <c r="G43" s="1648"/>
      <c r="H43" s="1649"/>
      <c r="I43" s="1488"/>
      <c r="J43" s="1488"/>
      <c r="K43" s="1548"/>
      <c r="L43" s="1548"/>
      <c r="M43" s="1488"/>
      <c r="N43" s="1488"/>
      <c r="O43" s="1488"/>
      <c r="P43" s="1488"/>
      <c r="Q43" s="1488"/>
    </row>
    <row r="44" spans="1:17" ht="15.75" customHeight="1" x14ac:dyDescent="0.25">
      <c r="A44" s="1488"/>
      <c r="B44" s="1548"/>
      <c r="C44" s="1678"/>
      <c r="D44" s="1678"/>
      <c r="E44" s="1679"/>
      <c r="F44" s="1548"/>
      <c r="G44" s="1648"/>
      <c r="H44" s="1649"/>
      <c r="I44" s="1488"/>
      <c r="J44" s="1488"/>
      <c r="K44" s="1548"/>
      <c r="L44" s="1548"/>
      <c r="M44" s="1488"/>
      <c r="N44" s="1488"/>
      <c r="O44" s="1488"/>
      <c r="P44" s="1488"/>
      <c r="Q44" s="1488"/>
    </row>
    <row r="45" spans="1:17" ht="15.75" customHeight="1" x14ac:dyDescent="0.25">
      <c r="A45" s="1488"/>
      <c r="B45" s="1548"/>
      <c r="C45" s="1678"/>
      <c r="D45" s="1678"/>
      <c r="E45" s="1679"/>
      <c r="F45" s="1548"/>
      <c r="G45" s="1648"/>
      <c r="H45" s="1649"/>
      <c r="I45" s="1488"/>
      <c r="J45" s="1488"/>
      <c r="K45" s="1548"/>
      <c r="L45" s="1548"/>
      <c r="M45" s="1488"/>
      <c r="N45" s="1488"/>
      <c r="O45" s="1488"/>
      <c r="P45" s="1488"/>
      <c r="Q45" s="1488"/>
    </row>
    <row r="46" spans="1:17" ht="15.75" customHeight="1" x14ac:dyDescent="0.25">
      <c r="A46" s="1488"/>
      <c r="B46" s="1548"/>
      <c r="C46" s="1678"/>
      <c r="D46" s="1678"/>
      <c r="E46" s="1679"/>
      <c r="F46" s="1548"/>
      <c r="G46" s="1648"/>
      <c r="H46" s="1649"/>
      <c r="I46" s="1488"/>
      <c r="J46" s="1488"/>
      <c r="K46" s="1548"/>
      <c r="L46" s="1548"/>
      <c r="M46" s="1488"/>
      <c r="N46" s="1488"/>
      <c r="O46" s="1488"/>
      <c r="P46" s="1488"/>
      <c r="Q46" s="1488"/>
    </row>
    <row r="47" spans="1:17" ht="15.75" customHeight="1" x14ac:dyDescent="0.25">
      <c r="A47" s="1488"/>
      <c r="B47" s="1548"/>
      <c r="C47" s="1678"/>
      <c r="D47" s="1678"/>
      <c r="E47" s="1679"/>
      <c r="F47" s="1548"/>
      <c r="G47" s="1648"/>
      <c r="H47" s="1649"/>
      <c r="I47" s="1488"/>
      <c r="J47" s="1488"/>
      <c r="K47" s="1548"/>
      <c r="L47" s="1548"/>
      <c r="M47" s="1488"/>
      <c r="N47" s="1488"/>
      <c r="O47" s="1488"/>
      <c r="P47" s="1488"/>
      <c r="Q47" s="1488"/>
    </row>
    <row r="48" spans="1:17" ht="15.75" customHeight="1" x14ac:dyDescent="0.25">
      <c r="A48" s="1488"/>
      <c r="B48" s="1548"/>
      <c r="C48" s="1678"/>
      <c r="D48" s="1678"/>
      <c r="E48" s="1679"/>
      <c r="F48" s="1548"/>
      <c r="G48" s="1648"/>
      <c r="H48" s="1649"/>
      <c r="I48" s="1488"/>
      <c r="J48" s="1488"/>
      <c r="K48" s="1548"/>
      <c r="L48" s="1548"/>
      <c r="M48" s="1488"/>
      <c r="N48" s="1488"/>
      <c r="O48" s="1488"/>
      <c r="P48" s="1488"/>
      <c r="Q48" s="1488"/>
    </row>
    <row r="49" spans="1:17" ht="15.75" customHeight="1" x14ac:dyDescent="0.25">
      <c r="A49" s="1488"/>
      <c r="B49" s="1548"/>
      <c r="C49" s="1678"/>
      <c r="D49" s="1678"/>
      <c r="E49" s="1679"/>
      <c r="F49" s="1548"/>
      <c r="G49" s="1648"/>
      <c r="H49" s="1649"/>
      <c r="I49" s="1488"/>
      <c r="J49" s="1488"/>
      <c r="K49" s="1548"/>
      <c r="L49" s="1548"/>
      <c r="M49" s="1488"/>
      <c r="N49" s="1488"/>
      <c r="O49" s="1488"/>
      <c r="P49" s="1488"/>
      <c r="Q49" s="1488"/>
    </row>
    <row r="50" spans="1:17" ht="15.75" customHeight="1" x14ac:dyDescent="0.25">
      <c r="A50" s="1488"/>
      <c r="B50" s="1548"/>
      <c r="C50" s="1678"/>
      <c r="D50" s="1678"/>
      <c r="E50" s="1679"/>
      <c r="F50" s="1548"/>
      <c r="G50" s="1648"/>
      <c r="H50" s="1649"/>
      <c r="I50" s="1488"/>
      <c r="J50" s="1488"/>
      <c r="K50" s="1548"/>
      <c r="L50" s="1548"/>
      <c r="M50" s="1488"/>
      <c r="N50" s="1488"/>
      <c r="O50" s="1488"/>
      <c r="P50" s="1488"/>
      <c r="Q50" s="1488"/>
    </row>
    <row r="51" spans="1:17" ht="15.75" customHeight="1" x14ac:dyDescent="0.25">
      <c r="A51" s="1488"/>
      <c r="B51" s="1548"/>
      <c r="C51" s="1678"/>
      <c r="D51" s="1678"/>
      <c r="E51" s="1679"/>
      <c r="F51" s="1548"/>
      <c r="G51" s="1648"/>
      <c r="H51" s="1649"/>
      <c r="I51" s="1488"/>
      <c r="J51" s="1488"/>
      <c r="K51" s="1548"/>
      <c r="L51" s="1548"/>
      <c r="M51" s="1488"/>
      <c r="N51" s="1488"/>
      <c r="O51" s="1488"/>
      <c r="P51" s="1488"/>
      <c r="Q51" s="1488"/>
    </row>
    <row r="52" spans="1:17" ht="15.75" customHeight="1" x14ac:dyDescent="0.25">
      <c r="A52" s="1488"/>
      <c r="B52" s="1548"/>
      <c r="C52" s="1678"/>
      <c r="D52" s="1678"/>
      <c r="E52" s="1679"/>
      <c r="F52" s="1548"/>
      <c r="G52" s="1648"/>
      <c r="H52" s="1649"/>
      <c r="I52" s="1488"/>
      <c r="J52" s="1488"/>
      <c r="K52" s="1548"/>
      <c r="L52" s="1548"/>
      <c r="M52" s="1488"/>
      <c r="N52" s="1488"/>
      <c r="O52" s="1488"/>
      <c r="P52" s="1488"/>
      <c r="Q52" s="1488"/>
    </row>
    <row r="53" spans="1:17" ht="15.75" customHeight="1" x14ac:dyDescent="0.25">
      <c r="A53" s="1488"/>
      <c r="B53" s="1548"/>
      <c r="C53" s="1678"/>
      <c r="D53" s="1678"/>
      <c r="E53" s="1679"/>
      <c r="F53" s="1548"/>
      <c r="G53" s="1648"/>
      <c r="H53" s="1649"/>
      <c r="I53" s="1488"/>
      <c r="J53" s="1488"/>
      <c r="K53" s="1548"/>
      <c r="L53" s="1548"/>
      <c r="M53" s="1488"/>
      <c r="N53" s="1488"/>
      <c r="O53" s="1488"/>
      <c r="P53" s="1488"/>
      <c r="Q53" s="1488"/>
    </row>
    <row r="54" spans="1:17" ht="15.75" customHeight="1" x14ac:dyDescent="0.25">
      <c r="A54" s="1488"/>
      <c r="B54" s="1548"/>
      <c r="C54" s="1678"/>
      <c r="D54" s="1678"/>
      <c r="E54" s="1679"/>
      <c r="F54" s="1548"/>
      <c r="G54" s="1648"/>
      <c r="H54" s="1649"/>
      <c r="I54" s="1488"/>
      <c r="J54" s="1488"/>
      <c r="K54" s="1548"/>
      <c r="L54" s="1548"/>
      <c r="M54" s="1488"/>
      <c r="N54" s="1488"/>
      <c r="O54" s="1488"/>
      <c r="P54" s="1488"/>
      <c r="Q54" s="1488"/>
    </row>
    <row r="55" spans="1:17" ht="15.75" customHeight="1" x14ac:dyDescent="0.25">
      <c r="A55" s="1488"/>
      <c r="B55" s="1548"/>
      <c r="C55" s="1678"/>
      <c r="D55" s="1678"/>
      <c r="E55" s="1679"/>
      <c r="F55" s="1548"/>
      <c r="G55" s="1648"/>
      <c r="H55" s="1649"/>
      <c r="I55" s="1488"/>
      <c r="J55" s="1488"/>
      <c r="K55" s="1548"/>
      <c r="L55" s="1548"/>
      <c r="M55" s="1488"/>
      <c r="N55" s="1488"/>
      <c r="O55" s="1488"/>
      <c r="P55" s="1488"/>
      <c r="Q55" s="1488"/>
    </row>
    <row r="56" spans="1:17" ht="15.75" customHeight="1" x14ac:dyDescent="0.25">
      <c r="A56" s="1488"/>
      <c r="B56" s="1548"/>
      <c r="C56" s="1678"/>
      <c r="D56" s="1678"/>
      <c r="E56" s="1679"/>
      <c r="F56" s="1548"/>
      <c r="G56" s="1648"/>
      <c r="H56" s="1649"/>
      <c r="I56" s="1488"/>
      <c r="J56" s="1488"/>
      <c r="K56" s="1548"/>
      <c r="L56" s="1548"/>
      <c r="M56" s="1488"/>
      <c r="N56" s="1488"/>
      <c r="O56" s="1488"/>
      <c r="P56" s="1488"/>
      <c r="Q56" s="1488"/>
    </row>
    <row r="57" spans="1:17" ht="15.75" customHeight="1" x14ac:dyDescent="0.25">
      <c r="A57" s="1488"/>
      <c r="B57" s="1548"/>
      <c r="C57" s="1678"/>
      <c r="D57" s="1678"/>
      <c r="E57" s="1679"/>
      <c r="F57" s="1548"/>
      <c r="G57" s="1648"/>
      <c r="H57" s="1649"/>
      <c r="I57" s="1488"/>
      <c r="J57" s="1488"/>
      <c r="K57" s="1548"/>
      <c r="L57" s="1548"/>
      <c r="M57" s="1488"/>
      <c r="N57" s="1488"/>
      <c r="O57" s="1488"/>
      <c r="P57" s="1488"/>
      <c r="Q57" s="1488"/>
    </row>
    <row r="58" spans="1:17" ht="15.75" customHeight="1" x14ac:dyDescent="0.25">
      <c r="A58" s="1488"/>
      <c r="B58" s="1548"/>
      <c r="C58" s="1678"/>
      <c r="D58" s="1678"/>
      <c r="E58" s="1679"/>
      <c r="F58" s="1548"/>
      <c r="G58" s="1648"/>
      <c r="H58" s="1649"/>
      <c r="I58" s="1488"/>
      <c r="J58" s="1488"/>
      <c r="K58" s="1548"/>
      <c r="L58" s="1548"/>
      <c r="M58" s="1488"/>
      <c r="N58" s="1488"/>
      <c r="O58" s="1488"/>
      <c r="P58" s="1488"/>
      <c r="Q58" s="1488"/>
    </row>
    <row r="59" spans="1:17" ht="15.75" customHeight="1" x14ac:dyDescent="0.25">
      <c r="A59" s="1488"/>
      <c r="B59" s="1548"/>
      <c r="C59" s="1678"/>
      <c r="D59" s="1678"/>
      <c r="E59" s="1679"/>
      <c r="F59" s="1548"/>
      <c r="G59" s="1648"/>
      <c r="H59" s="1649"/>
      <c r="I59" s="1488"/>
      <c r="J59" s="1488"/>
      <c r="K59" s="1548"/>
      <c r="L59" s="1548"/>
      <c r="M59" s="1488"/>
      <c r="N59" s="1488"/>
      <c r="O59" s="1488"/>
      <c r="P59" s="1488"/>
      <c r="Q59" s="1488"/>
    </row>
    <row r="60" spans="1:17" ht="15.75" customHeight="1" x14ac:dyDescent="0.25">
      <c r="A60" s="1488"/>
      <c r="B60" s="1548"/>
      <c r="C60" s="1678"/>
      <c r="D60" s="1678"/>
      <c r="E60" s="1679"/>
      <c r="F60" s="1548"/>
      <c r="G60" s="1648"/>
      <c r="H60" s="1649"/>
      <c r="I60" s="1488"/>
      <c r="J60" s="1488"/>
      <c r="K60" s="1548"/>
      <c r="L60" s="1548"/>
      <c r="M60" s="1488"/>
      <c r="N60" s="1488"/>
      <c r="O60" s="1488"/>
      <c r="P60" s="1488"/>
      <c r="Q60" s="1488"/>
    </row>
    <row r="61" spans="1:17" ht="15.75" customHeight="1" x14ac:dyDescent="0.25">
      <c r="A61" s="1488"/>
      <c r="B61" s="1548"/>
      <c r="C61" s="1678"/>
      <c r="D61" s="1678"/>
      <c r="E61" s="1679"/>
      <c r="F61" s="1548"/>
      <c r="G61" s="1648"/>
      <c r="H61" s="1649"/>
      <c r="I61" s="1488"/>
      <c r="J61" s="1488"/>
      <c r="K61" s="1548"/>
      <c r="L61" s="1548"/>
      <c r="M61" s="1488"/>
      <c r="N61" s="1488"/>
      <c r="O61" s="1488"/>
      <c r="P61" s="1488"/>
      <c r="Q61" s="1488"/>
    </row>
    <row r="62" spans="1:17" ht="15.75" customHeight="1" x14ac:dyDescent="0.25">
      <c r="A62" s="1488"/>
      <c r="B62" s="1548"/>
      <c r="C62" s="1678"/>
      <c r="D62" s="1678"/>
      <c r="E62" s="1679"/>
      <c r="F62" s="1548"/>
      <c r="G62" s="1648"/>
      <c r="H62" s="1649"/>
      <c r="I62" s="1488"/>
      <c r="J62" s="1488"/>
      <c r="K62" s="1548"/>
      <c r="L62" s="1548"/>
      <c r="M62" s="1488"/>
      <c r="N62" s="1488"/>
      <c r="O62" s="1488"/>
      <c r="P62" s="1488"/>
      <c r="Q62" s="1488"/>
    </row>
    <row r="63" spans="1:17" ht="15.75" customHeight="1" x14ac:dyDescent="0.25">
      <c r="A63" s="1488"/>
      <c r="B63" s="1548"/>
      <c r="C63" s="1678"/>
      <c r="D63" s="1678"/>
      <c r="E63" s="1679"/>
      <c r="F63" s="1548"/>
      <c r="G63" s="1648"/>
      <c r="H63" s="1649"/>
      <c r="I63" s="1488"/>
      <c r="J63" s="1488"/>
      <c r="K63" s="1548"/>
      <c r="L63" s="1548"/>
      <c r="M63" s="1488"/>
      <c r="N63" s="1488"/>
      <c r="O63" s="1488"/>
      <c r="P63" s="1488"/>
      <c r="Q63" s="1488"/>
    </row>
    <row r="64" spans="1:17" ht="15.75" customHeight="1" x14ac:dyDescent="0.25">
      <c r="A64" s="1488"/>
      <c r="B64" s="1548"/>
      <c r="C64" s="1678"/>
      <c r="D64" s="1678"/>
      <c r="E64" s="1679"/>
      <c r="F64" s="1548"/>
      <c r="G64" s="1648"/>
      <c r="H64" s="1649"/>
      <c r="I64" s="1488"/>
      <c r="J64" s="1488"/>
      <c r="K64" s="1548"/>
      <c r="L64" s="1548"/>
      <c r="M64" s="1488"/>
      <c r="N64" s="1488"/>
      <c r="O64" s="1488"/>
      <c r="P64" s="1488"/>
      <c r="Q64" s="1488"/>
    </row>
    <row r="65" spans="1:17" ht="15.75" customHeight="1" x14ac:dyDescent="0.25">
      <c r="A65" s="1488"/>
      <c r="B65" s="1548"/>
      <c r="C65" s="1678"/>
      <c r="D65" s="1678"/>
      <c r="E65" s="1679"/>
      <c r="F65" s="1548"/>
      <c r="G65" s="1648"/>
      <c r="H65" s="1649"/>
      <c r="I65" s="1488"/>
      <c r="J65" s="1488"/>
      <c r="K65" s="1548"/>
      <c r="L65" s="1548"/>
      <c r="M65" s="1488"/>
      <c r="N65" s="1488"/>
      <c r="O65" s="1488"/>
      <c r="P65" s="1488"/>
      <c r="Q65" s="1488"/>
    </row>
    <row r="66" spans="1:17" ht="15.75" customHeight="1" x14ac:dyDescent="0.25">
      <c r="A66" s="1488"/>
      <c r="B66" s="1548"/>
      <c r="C66" s="1678"/>
      <c r="D66" s="1678"/>
      <c r="E66" s="1679"/>
      <c r="F66" s="1548"/>
      <c r="G66" s="1648"/>
      <c r="H66" s="1649"/>
      <c r="I66" s="1488"/>
      <c r="J66" s="1488"/>
      <c r="K66" s="1548"/>
      <c r="L66" s="1548"/>
      <c r="M66" s="1488"/>
      <c r="N66" s="1488"/>
      <c r="O66" s="1488"/>
      <c r="P66" s="1488"/>
      <c r="Q66" s="1488"/>
    </row>
    <row r="67" spans="1:17" ht="15.75" customHeight="1" x14ac:dyDescent="0.25">
      <c r="A67" s="1488"/>
      <c r="B67" s="1548"/>
      <c r="C67" s="1678"/>
      <c r="D67" s="1678"/>
      <c r="E67" s="1679"/>
      <c r="F67" s="1548"/>
      <c r="G67" s="1648"/>
      <c r="H67" s="1649"/>
      <c r="I67" s="1488"/>
      <c r="J67" s="1488"/>
      <c r="K67" s="1548"/>
      <c r="L67" s="1548"/>
      <c r="M67" s="1488"/>
      <c r="N67" s="1488"/>
      <c r="O67" s="1488"/>
      <c r="P67" s="1488"/>
      <c r="Q67" s="1488"/>
    </row>
    <row r="68" spans="1:17" ht="15.75" customHeight="1" x14ac:dyDescent="0.25">
      <c r="A68" s="1488"/>
      <c r="B68" s="1548"/>
      <c r="C68" s="1678"/>
      <c r="D68" s="1678"/>
      <c r="E68" s="1679"/>
      <c r="F68" s="1548"/>
      <c r="G68" s="1648"/>
      <c r="H68" s="1649"/>
      <c r="I68" s="1488"/>
      <c r="J68" s="1488"/>
      <c r="K68" s="1548"/>
      <c r="L68" s="1548"/>
      <c r="M68" s="1488"/>
      <c r="N68" s="1488"/>
      <c r="O68" s="1488"/>
      <c r="P68" s="1488"/>
      <c r="Q68" s="1488"/>
    </row>
    <row r="69" spans="1:17" ht="15.75" customHeight="1" x14ac:dyDescent="0.25">
      <c r="A69" s="1488"/>
      <c r="B69" s="1548"/>
      <c r="C69" s="1678"/>
      <c r="D69" s="1678"/>
      <c r="E69" s="1679"/>
      <c r="F69" s="1548"/>
      <c r="G69" s="1648"/>
      <c r="H69" s="1649"/>
      <c r="I69" s="1488"/>
      <c r="J69" s="1488"/>
      <c r="K69" s="1548"/>
      <c r="L69" s="1548"/>
      <c r="M69" s="1488"/>
      <c r="N69" s="1488"/>
      <c r="O69" s="1488"/>
      <c r="P69" s="1488"/>
      <c r="Q69" s="1488"/>
    </row>
    <row r="70" spans="1:17" ht="15.75" customHeight="1" x14ac:dyDescent="0.25">
      <c r="A70" s="1488"/>
      <c r="B70" s="1548"/>
      <c r="C70" s="1678"/>
      <c r="D70" s="1678"/>
      <c r="E70" s="1679"/>
      <c r="F70" s="1548"/>
      <c r="G70" s="1648"/>
      <c r="H70" s="1649"/>
      <c r="I70" s="1488"/>
      <c r="J70" s="1488"/>
      <c r="K70" s="1548"/>
      <c r="L70" s="1548"/>
      <c r="M70" s="1488"/>
      <c r="N70" s="1488"/>
      <c r="O70" s="1488"/>
      <c r="P70" s="1488"/>
      <c r="Q70" s="1488"/>
    </row>
    <row r="71" spans="1:17" ht="15.75" customHeight="1" x14ac:dyDescent="0.25">
      <c r="A71" s="1488"/>
      <c r="B71" s="1548"/>
      <c r="C71" s="1678"/>
      <c r="D71" s="1678"/>
      <c r="E71" s="1679"/>
      <c r="F71" s="1548"/>
      <c r="G71" s="1648"/>
      <c r="H71" s="1649"/>
      <c r="I71" s="1488"/>
      <c r="J71" s="1488"/>
      <c r="K71" s="1548"/>
      <c r="L71" s="1548"/>
      <c r="M71" s="1488"/>
      <c r="N71" s="1488"/>
      <c r="O71" s="1488"/>
      <c r="P71" s="1488"/>
      <c r="Q71" s="1488"/>
    </row>
    <row r="72" spans="1:17" ht="15.75" customHeight="1" x14ac:dyDescent="0.25">
      <c r="A72" s="1488"/>
      <c r="B72" s="1548"/>
      <c r="C72" s="1678"/>
      <c r="D72" s="1678"/>
      <c r="E72" s="1679"/>
      <c r="F72" s="1548"/>
      <c r="G72" s="1648"/>
      <c r="H72" s="1649"/>
      <c r="I72" s="1488"/>
      <c r="J72" s="1488"/>
      <c r="K72" s="1548"/>
      <c r="L72" s="1548"/>
      <c r="M72" s="1488"/>
      <c r="N72" s="1488"/>
      <c r="O72" s="1488"/>
      <c r="P72" s="1488"/>
      <c r="Q72" s="1488"/>
    </row>
    <row r="73" spans="1:17" ht="15.75" customHeight="1" x14ac:dyDescent="0.25">
      <c r="A73" s="1488"/>
      <c r="B73" s="1548"/>
      <c r="C73" s="1678"/>
      <c r="D73" s="1678"/>
      <c r="E73" s="1679"/>
      <c r="F73" s="1548"/>
      <c r="G73" s="1648"/>
      <c r="H73" s="1649"/>
      <c r="I73" s="1488"/>
      <c r="J73" s="1488"/>
      <c r="K73" s="1548"/>
      <c r="L73" s="1548"/>
      <c r="M73" s="1488"/>
      <c r="N73" s="1488"/>
      <c r="O73" s="1488"/>
      <c r="P73" s="1488"/>
      <c r="Q73" s="1488"/>
    </row>
    <row r="74" spans="1:17" ht="15.75" customHeight="1" x14ac:dyDescent="0.25">
      <c r="A74" s="1488"/>
      <c r="B74" s="1548"/>
      <c r="C74" s="1678"/>
      <c r="D74" s="1678"/>
      <c r="E74" s="1679"/>
      <c r="F74" s="1548"/>
      <c r="G74" s="1648"/>
      <c r="H74" s="1649"/>
      <c r="I74" s="1488"/>
      <c r="J74" s="1488"/>
      <c r="K74" s="1548"/>
      <c r="L74" s="1548"/>
      <c r="M74" s="1488"/>
      <c r="N74" s="1488"/>
      <c r="O74" s="1488"/>
      <c r="P74" s="1488"/>
      <c r="Q74" s="1488"/>
    </row>
    <row r="75" spans="1:17" ht="15.75" customHeight="1" x14ac:dyDescent="0.25">
      <c r="A75" s="1488"/>
      <c r="B75" s="1548"/>
      <c r="C75" s="1678"/>
      <c r="D75" s="1678"/>
      <c r="E75" s="1679"/>
      <c r="F75" s="1548"/>
      <c r="G75" s="1648"/>
      <c r="H75" s="1649"/>
      <c r="I75" s="1488"/>
      <c r="J75" s="1488"/>
      <c r="K75" s="1548"/>
      <c r="L75" s="1548"/>
      <c r="M75" s="1488"/>
      <c r="N75" s="1488"/>
      <c r="O75" s="1488"/>
      <c r="P75" s="1488"/>
      <c r="Q75" s="1488"/>
    </row>
    <row r="76" spans="1:17" ht="15.75" customHeight="1" x14ac:dyDescent="0.25">
      <c r="A76" s="1488"/>
      <c r="B76" s="1548"/>
      <c r="C76" s="1678"/>
      <c r="D76" s="1678"/>
      <c r="E76" s="1679"/>
      <c r="F76" s="1548"/>
      <c r="G76" s="1648"/>
      <c r="H76" s="1649"/>
      <c r="I76" s="1488"/>
      <c r="J76" s="1488"/>
      <c r="K76" s="1548"/>
      <c r="L76" s="1548"/>
      <c r="M76" s="1488"/>
      <c r="N76" s="1488"/>
      <c r="O76" s="1488"/>
      <c r="P76" s="1488"/>
      <c r="Q76" s="1488"/>
    </row>
    <row r="77" spans="1:17" ht="15.75" customHeight="1" x14ac:dyDescent="0.25">
      <c r="A77" s="1488"/>
      <c r="B77" s="1548"/>
      <c r="C77" s="1678"/>
      <c r="D77" s="1678"/>
      <c r="E77" s="1679"/>
      <c r="F77" s="1548"/>
      <c r="G77" s="1648"/>
      <c r="H77" s="1649"/>
      <c r="I77" s="1488"/>
      <c r="J77" s="1488"/>
      <c r="K77" s="1548"/>
      <c r="L77" s="1548"/>
      <c r="M77" s="1488"/>
      <c r="N77" s="1488"/>
      <c r="O77" s="1488"/>
      <c r="P77" s="1488"/>
      <c r="Q77" s="1488"/>
    </row>
    <row r="78" spans="1:17" ht="15.75" customHeight="1" x14ac:dyDescent="0.25">
      <c r="A78" s="1488"/>
      <c r="B78" s="1548"/>
      <c r="C78" s="1678"/>
      <c r="D78" s="1678"/>
      <c r="E78" s="1679"/>
      <c r="F78" s="1548"/>
      <c r="G78" s="1648"/>
      <c r="H78" s="1649"/>
      <c r="I78" s="1488"/>
      <c r="J78" s="1488"/>
      <c r="K78" s="1548"/>
      <c r="L78" s="1548"/>
      <c r="M78" s="1488"/>
      <c r="N78" s="1488"/>
      <c r="O78" s="1488"/>
      <c r="P78" s="1488"/>
      <c r="Q78" s="1488"/>
    </row>
    <row r="79" spans="1:17" ht="15.75" customHeight="1" x14ac:dyDescent="0.25">
      <c r="A79" s="1488"/>
      <c r="B79" s="1548"/>
      <c r="C79" s="1678"/>
      <c r="D79" s="1678"/>
      <c r="E79" s="1679"/>
      <c r="F79" s="1548"/>
      <c r="G79" s="1648"/>
      <c r="H79" s="1649"/>
      <c r="I79" s="1488"/>
      <c r="J79" s="1488"/>
      <c r="K79" s="1548"/>
      <c r="L79" s="1548"/>
      <c r="M79" s="1488"/>
      <c r="N79" s="1488"/>
      <c r="O79" s="1488"/>
      <c r="P79" s="1488"/>
      <c r="Q79" s="1488"/>
    </row>
    <row r="80" spans="1:17" ht="15.75" customHeight="1" x14ac:dyDescent="0.25">
      <c r="A80" s="1488"/>
      <c r="B80" s="1548"/>
      <c r="C80" s="1678"/>
      <c r="D80" s="1678"/>
      <c r="E80" s="1679"/>
      <c r="F80" s="1548"/>
      <c r="G80" s="1648"/>
      <c r="H80" s="1649"/>
      <c r="I80" s="1488"/>
      <c r="J80" s="1488"/>
      <c r="K80" s="1548"/>
      <c r="L80" s="1548"/>
      <c r="M80" s="1488"/>
      <c r="N80" s="1488"/>
      <c r="O80" s="1488"/>
      <c r="P80" s="1488"/>
      <c r="Q80" s="1488"/>
    </row>
    <row r="81" spans="1:17" ht="15.75" customHeight="1" x14ac:dyDescent="0.25">
      <c r="A81" s="1488"/>
      <c r="B81" s="1548"/>
      <c r="C81" s="1678"/>
      <c r="D81" s="1678"/>
      <c r="E81" s="1679"/>
      <c r="F81" s="1548"/>
      <c r="G81" s="1648"/>
      <c r="H81" s="1649"/>
      <c r="I81" s="1488"/>
      <c r="J81" s="1488"/>
      <c r="K81" s="1548"/>
      <c r="L81" s="1548"/>
      <c r="M81" s="1488"/>
      <c r="N81" s="1488"/>
      <c r="O81" s="1488"/>
      <c r="P81" s="1488"/>
      <c r="Q81" s="1488"/>
    </row>
    <row r="82" spans="1:17" ht="15.75" customHeight="1" x14ac:dyDescent="0.25">
      <c r="A82" s="1488"/>
      <c r="B82" s="1548"/>
      <c r="C82" s="1678"/>
      <c r="D82" s="1678"/>
      <c r="E82" s="1679"/>
      <c r="F82" s="1548"/>
      <c r="G82" s="1648"/>
      <c r="H82" s="1649"/>
      <c r="I82" s="1488"/>
      <c r="J82" s="1488"/>
      <c r="K82" s="1548"/>
      <c r="L82" s="1548"/>
      <c r="M82" s="1488"/>
      <c r="N82" s="1488"/>
      <c r="O82" s="1488"/>
      <c r="P82" s="1488"/>
      <c r="Q82" s="1488"/>
    </row>
    <row r="83" spans="1:17" ht="15.75" customHeight="1" x14ac:dyDescent="0.25">
      <c r="A83" s="1488"/>
      <c r="B83" s="1548"/>
      <c r="C83" s="1678"/>
      <c r="D83" s="1678"/>
      <c r="E83" s="1679"/>
      <c r="F83" s="1548"/>
      <c r="G83" s="1648"/>
      <c r="H83" s="1649"/>
      <c r="I83" s="1488"/>
      <c r="J83" s="1488"/>
      <c r="K83" s="1548"/>
      <c r="L83" s="1548"/>
      <c r="M83" s="1488"/>
      <c r="N83" s="1488"/>
      <c r="O83" s="1488"/>
      <c r="P83" s="1488"/>
      <c r="Q83" s="1488"/>
    </row>
    <row r="84" spans="1:17" ht="15.75" customHeight="1" x14ac:dyDescent="0.25">
      <c r="A84" s="1488"/>
      <c r="B84" s="1548"/>
      <c r="C84" s="1678"/>
      <c r="D84" s="1678"/>
      <c r="E84" s="1679"/>
      <c r="F84" s="1548"/>
      <c r="G84" s="1648"/>
      <c r="H84" s="1649"/>
      <c r="I84" s="1488"/>
      <c r="J84" s="1488"/>
      <c r="K84" s="1548"/>
      <c r="L84" s="1548"/>
      <c r="M84" s="1488"/>
      <c r="N84" s="1488"/>
      <c r="O84" s="1488"/>
      <c r="P84" s="1488"/>
      <c r="Q84" s="1488"/>
    </row>
    <row r="85" spans="1:17" ht="15.75" customHeight="1" x14ac:dyDescent="0.25">
      <c r="A85" s="1488"/>
      <c r="B85" s="1548"/>
      <c r="C85" s="1678"/>
      <c r="D85" s="1678"/>
      <c r="E85" s="1679"/>
      <c r="F85" s="1548"/>
      <c r="G85" s="1648"/>
      <c r="H85" s="1649"/>
      <c r="I85" s="1488"/>
      <c r="J85" s="1488"/>
      <c r="K85" s="1548"/>
      <c r="L85" s="1548"/>
      <c r="M85" s="1488"/>
      <c r="N85" s="1488"/>
      <c r="O85" s="1488"/>
      <c r="P85" s="1488"/>
      <c r="Q85" s="1488"/>
    </row>
    <row r="86" spans="1:17" ht="15.75" customHeight="1" x14ac:dyDescent="0.25">
      <c r="A86" s="1488"/>
      <c r="B86" s="1548"/>
      <c r="C86" s="1678"/>
      <c r="D86" s="1678"/>
      <c r="E86" s="1679"/>
      <c r="F86" s="1548"/>
      <c r="G86" s="1648"/>
      <c r="H86" s="1649"/>
      <c r="I86" s="1488"/>
      <c r="J86" s="1488"/>
      <c r="K86" s="1548"/>
      <c r="L86" s="1548"/>
      <c r="M86" s="1488"/>
      <c r="N86" s="1488"/>
      <c r="O86" s="1488"/>
      <c r="P86" s="1488"/>
      <c r="Q86" s="1488"/>
    </row>
    <row r="87" spans="1:17" ht="15.75" customHeight="1" x14ac:dyDescent="0.25">
      <c r="A87" s="1488"/>
      <c r="B87" s="1548"/>
      <c r="C87" s="1678"/>
      <c r="D87" s="1678"/>
      <c r="E87" s="1679"/>
      <c r="F87" s="1548"/>
      <c r="G87" s="1648"/>
      <c r="H87" s="1649"/>
      <c r="I87" s="1488"/>
      <c r="J87" s="1488"/>
      <c r="K87" s="1548"/>
      <c r="L87" s="1548"/>
      <c r="M87" s="1488"/>
      <c r="N87" s="1488"/>
      <c r="O87" s="1488"/>
      <c r="P87" s="1488"/>
      <c r="Q87" s="1488"/>
    </row>
    <row r="88" spans="1:17" ht="15.75" customHeight="1" x14ac:dyDescent="0.25">
      <c r="A88" s="1488"/>
      <c r="B88" s="1548"/>
      <c r="C88" s="1678"/>
      <c r="D88" s="1678"/>
      <c r="E88" s="1679"/>
      <c r="F88" s="1548"/>
      <c r="G88" s="1648"/>
      <c r="H88" s="1649"/>
      <c r="I88" s="1488"/>
      <c r="J88" s="1488"/>
      <c r="K88" s="1548"/>
      <c r="L88" s="1548"/>
      <c r="M88" s="1488"/>
      <c r="N88" s="1488"/>
      <c r="O88" s="1488"/>
      <c r="P88" s="1488"/>
      <c r="Q88" s="1488"/>
    </row>
    <row r="89" spans="1:17" ht="15.75" customHeight="1" x14ac:dyDescent="0.25">
      <c r="A89" s="1488"/>
      <c r="B89" s="1548"/>
      <c r="C89" s="1678"/>
      <c r="D89" s="1678"/>
      <c r="E89" s="1679"/>
      <c r="F89" s="1548"/>
      <c r="G89" s="1648"/>
      <c r="H89" s="1649"/>
      <c r="I89" s="1488"/>
      <c r="J89" s="1488"/>
      <c r="K89" s="1548"/>
      <c r="L89" s="1548"/>
      <c r="M89" s="1488"/>
      <c r="N89" s="1488"/>
      <c r="O89" s="1488"/>
      <c r="P89" s="1488"/>
      <c r="Q89" s="1488"/>
    </row>
    <row r="90" spans="1:17" ht="15.75" customHeight="1" x14ac:dyDescent="0.25">
      <c r="A90" s="1488"/>
      <c r="B90" s="1548"/>
      <c r="C90" s="1678"/>
      <c r="D90" s="1678"/>
      <c r="E90" s="1679"/>
      <c r="F90" s="1548"/>
      <c r="G90" s="1648"/>
      <c r="H90" s="1649"/>
      <c r="I90" s="1488"/>
      <c r="J90" s="1488"/>
      <c r="K90" s="1548"/>
      <c r="L90" s="1548"/>
      <c r="M90" s="1488"/>
      <c r="N90" s="1488"/>
      <c r="O90" s="1488"/>
      <c r="P90" s="1488"/>
      <c r="Q90" s="1488"/>
    </row>
    <row r="91" spans="1:17" ht="15.75" customHeight="1" x14ac:dyDescent="0.25">
      <c r="A91" s="1488"/>
      <c r="B91" s="1548"/>
      <c r="C91" s="1678"/>
      <c r="D91" s="1678"/>
      <c r="E91" s="1679"/>
      <c r="F91" s="1548"/>
      <c r="G91" s="1648"/>
      <c r="H91" s="1649"/>
      <c r="I91" s="1488"/>
      <c r="J91" s="1488"/>
      <c r="K91" s="1548"/>
      <c r="L91" s="1548"/>
      <c r="M91" s="1488"/>
      <c r="N91" s="1488"/>
      <c r="O91" s="1488"/>
      <c r="P91" s="1488"/>
      <c r="Q91" s="1488"/>
    </row>
    <row r="92" spans="1:17" ht="15.75" customHeight="1" x14ac:dyDescent="0.25">
      <c r="A92" s="1488"/>
      <c r="B92" s="1548"/>
      <c r="C92" s="1678"/>
      <c r="D92" s="1678"/>
      <c r="E92" s="1679"/>
      <c r="F92" s="1548"/>
      <c r="G92" s="1648"/>
      <c r="H92" s="1649"/>
      <c r="I92" s="1488"/>
      <c r="J92" s="1488"/>
      <c r="K92" s="1548"/>
      <c r="L92" s="1548"/>
      <c r="M92" s="1488"/>
      <c r="N92" s="1488"/>
      <c r="O92" s="1488"/>
      <c r="P92" s="1488"/>
      <c r="Q92" s="1488"/>
    </row>
    <row r="93" spans="1:17" ht="15.75" customHeight="1" x14ac:dyDescent="0.25">
      <c r="A93" s="1488"/>
      <c r="B93" s="1548"/>
      <c r="C93" s="1678"/>
      <c r="D93" s="1678"/>
      <c r="E93" s="1679"/>
      <c r="F93" s="1548"/>
      <c r="G93" s="1648"/>
      <c r="H93" s="1649"/>
      <c r="I93" s="1488"/>
      <c r="J93" s="1488"/>
      <c r="K93" s="1548"/>
      <c r="L93" s="1548"/>
      <c r="M93" s="1488"/>
      <c r="N93" s="1488"/>
      <c r="O93" s="1488"/>
      <c r="P93" s="1488"/>
      <c r="Q93" s="1488"/>
    </row>
    <row r="94" spans="1:17" ht="15.75" customHeight="1" x14ac:dyDescent="0.25">
      <c r="A94" s="1488"/>
      <c r="B94" s="1548"/>
      <c r="C94" s="1678"/>
      <c r="D94" s="1678"/>
      <c r="E94" s="1679"/>
      <c r="F94" s="1548"/>
      <c r="G94" s="1648"/>
      <c r="H94" s="1649"/>
      <c r="I94" s="1488"/>
      <c r="J94" s="1488"/>
      <c r="K94" s="1548"/>
      <c r="L94" s="1548"/>
      <c r="M94" s="1488"/>
      <c r="N94" s="1488"/>
      <c r="O94" s="1488"/>
      <c r="P94" s="1488"/>
      <c r="Q94" s="1488"/>
    </row>
    <row r="95" spans="1:17" ht="15.75" customHeight="1" x14ac:dyDescent="0.25">
      <c r="A95" s="1488"/>
      <c r="B95" s="1548"/>
      <c r="C95" s="1678"/>
      <c r="D95" s="1678"/>
      <c r="E95" s="1679"/>
      <c r="F95" s="1548"/>
      <c r="G95" s="1648"/>
      <c r="H95" s="1649"/>
      <c r="I95" s="1488"/>
      <c r="J95" s="1488"/>
      <c r="K95" s="1548"/>
      <c r="L95" s="1548"/>
      <c r="M95" s="1488"/>
      <c r="N95" s="1488"/>
      <c r="O95" s="1488"/>
      <c r="P95" s="1488"/>
      <c r="Q95" s="1488"/>
    </row>
    <row r="96" spans="1:17" ht="15.75" customHeight="1" x14ac:dyDescent="0.25">
      <c r="A96" s="1488"/>
      <c r="B96" s="1548"/>
      <c r="C96" s="1678"/>
      <c r="D96" s="1678"/>
      <c r="E96" s="1679"/>
      <c r="F96" s="1548"/>
      <c r="G96" s="1648"/>
      <c r="H96" s="1649"/>
      <c r="I96" s="1488"/>
      <c r="J96" s="1488"/>
      <c r="K96" s="1548"/>
      <c r="L96" s="1548"/>
      <c r="M96" s="1488"/>
      <c r="N96" s="1488"/>
      <c r="O96" s="1488"/>
      <c r="P96" s="1488"/>
      <c r="Q96" s="1488"/>
    </row>
    <row r="97" spans="1:17" ht="15.75" customHeight="1" x14ac:dyDescent="0.25">
      <c r="A97" s="1488"/>
      <c r="B97" s="1548"/>
      <c r="C97" s="1678"/>
      <c r="D97" s="1678"/>
      <c r="E97" s="1679"/>
      <c r="F97" s="1548"/>
      <c r="G97" s="1648"/>
      <c r="H97" s="1649"/>
      <c r="I97" s="1488"/>
      <c r="J97" s="1488"/>
      <c r="K97" s="1548"/>
      <c r="L97" s="1548"/>
      <c r="M97" s="1488"/>
      <c r="N97" s="1488"/>
      <c r="O97" s="1488"/>
      <c r="P97" s="1488"/>
      <c r="Q97" s="1488"/>
    </row>
    <row r="98" spans="1:17" ht="15.75" customHeight="1" x14ac:dyDescent="0.25">
      <c r="A98" s="1488"/>
      <c r="B98" s="1548"/>
      <c r="C98" s="1678"/>
      <c r="D98" s="1678"/>
      <c r="E98" s="1679"/>
      <c r="F98" s="1548"/>
      <c r="G98" s="1648"/>
      <c r="H98" s="1649"/>
      <c r="I98" s="1488"/>
      <c r="J98" s="1488"/>
      <c r="K98" s="1548"/>
      <c r="L98" s="1548"/>
      <c r="M98" s="1488"/>
      <c r="N98" s="1488"/>
      <c r="O98" s="1488"/>
      <c r="P98" s="1488"/>
      <c r="Q98" s="1488"/>
    </row>
    <row r="99" spans="1:17" ht="15.75" customHeight="1" x14ac:dyDescent="0.25">
      <c r="A99" s="1488"/>
      <c r="B99" s="1548"/>
      <c r="C99" s="1678"/>
      <c r="D99" s="1678"/>
      <c r="E99" s="1679"/>
      <c r="F99" s="1548"/>
      <c r="G99" s="1648"/>
      <c r="H99" s="1649"/>
      <c r="I99" s="1488"/>
      <c r="J99" s="1488"/>
      <c r="K99" s="1548"/>
      <c r="L99" s="1548"/>
      <c r="M99" s="1488"/>
      <c r="N99" s="1488"/>
      <c r="O99" s="1488"/>
      <c r="P99" s="1488"/>
      <c r="Q99" s="1488"/>
    </row>
    <row r="100" spans="1:17" ht="15.75" customHeight="1" x14ac:dyDescent="0.25">
      <c r="A100" s="1488"/>
      <c r="B100" s="1548"/>
      <c r="C100" s="1678"/>
      <c r="D100" s="1678"/>
      <c r="E100" s="1679"/>
      <c r="F100" s="1548"/>
      <c r="G100" s="1648"/>
      <c r="H100" s="1649"/>
      <c r="I100" s="1488"/>
      <c r="J100" s="1488"/>
      <c r="K100" s="1548"/>
      <c r="L100" s="1548"/>
      <c r="M100" s="1488"/>
      <c r="N100" s="1488"/>
      <c r="O100" s="1488"/>
      <c r="P100" s="1488"/>
      <c r="Q100" s="1488"/>
    </row>
    <row r="101" spans="1:17" ht="15.75" customHeight="1" x14ac:dyDescent="0.25">
      <c r="A101" s="1488"/>
      <c r="B101" s="1548"/>
      <c r="C101" s="1678"/>
      <c r="D101" s="1678"/>
      <c r="E101" s="1679"/>
      <c r="F101" s="1548"/>
      <c r="G101" s="1648"/>
      <c r="H101" s="1649"/>
      <c r="I101" s="1488"/>
      <c r="J101" s="1488"/>
      <c r="K101" s="1548"/>
      <c r="L101" s="1548"/>
      <c r="M101" s="1488"/>
      <c r="N101" s="1488"/>
      <c r="O101" s="1488"/>
      <c r="P101" s="1488"/>
      <c r="Q101" s="1488"/>
    </row>
    <row r="102" spans="1:17" ht="15.75" customHeight="1" x14ac:dyDescent="0.25">
      <c r="A102" s="1488"/>
      <c r="B102" s="1548"/>
      <c r="C102" s="1678"/>
      <c r="D102" s="1678"/>
      <c r="E102" s="1679"/>
      <c r="F102" s="1548"/>
      <c r="G102" s="1648"/>
      <c r="H102" s="1649"/>
      <c r="I102" s="1488"/>
      <c r="J102" s="1488"/>
      <c r="K102" s="1548"/>
      <c r="L102" s="1548"/>
      <c r="M102" s="1488"/>
      <c r="N102" s="1488"/>
      <c r="O102" s="1488"/>
      <c r="P102" s="1488"/>
      <c r="Q102" s="1488"/>
    </row>
    <row r="103" spans="1:17" ht="15.75" customHeight="1" x14ac:dyDescent="0.25">
      <c r="A103" s="1488"/>
      <c r="B103" s="1548"/>
      <c r="C103" s="1678"/>
      <c r="D103" s="1678"/>
      <c r="E103" s="1679"/>
      <c r="F103" s="1548"/>
      <c r="G103" s="1648"/>
      <c r="H103" s="1649"/>
      <c r="I103" s="1488"/>
      <c r="J103" s="1488"/>
      <c r="K103" s="1548"/>
      <c r="L103" s="1548"/>
      <c r="M103" s="1488"/>
      <c r="N103" s="1488"/>
      <c r="O103" s="1488"/>
      <c r="P103" s="1488"/>
      <c r="Q103" s="1488"/>
    </row>
    <row r="104" spans="1:17" ht="15.75" customHeight="1" x14ac:dyDescent="0.25">
      <c r="A104" s="1488"/>
      <c r="B104" s="1548"/>
      <c r="C104" s="1678"/>
      <c r="D104" s="1678"/>
      <c r="E104" s="1679"/>
      <c r="F104" s="1548"/>
      <c r="G104" s="1648"/>
      <c r="H104" s="1649"/>
      <c r="I104" s="1488"/>
      <c r="J104" s="1488"/>
      <c r="K104" s="1548"/>
      <c r="L104" s="1548"/>
      <c r="M104" s="1488"/>
      <c r="N104" s="1488"/>
      <c r="O104" s="1488"/>
      <c r="P104" s="1488"/>
      <c r="Q104" s="1488"/>
    </row>
    <row r="105" spans="1:17" ht="15.75" customHeight="1" x14ac:dyDescent="0.25">
      <c r="A105" s="1488"/>
      <c r="B105" s="1548"/>
      <c r="C105" s="1678"/>
      <c r="D105" s="1678"/>
      <c r="E105" s="1679"/>
      <c r="F105" s="1548"/>
      <c r="G105" s="1648"/>
      <c r="H105" s="1649"/>
      <c r="I105" s="1488"/>
      <c r="J105" s="1488"/>
      <c r="K105" s="1548"/>
      <c r="L105" s="1548"/>
      <c r="M105" s="1488"/>
      <c r="N105" s="1488"/>
      <c r="O105" s="1488"/>
      <c r="P105" s="1488"/>
      <c r="Q105" s="1488"/>
    </row>
    <row r="106" spans="1:17" x14ac:dyDescent="0.25">
      <c r="A106" s="1488"/>
      <c r="B106" s="1548"/>
      <c r="C106" s="1548"/>
      <c r="D106" s="1548"/>
      <c r="E106" s="1548"/>
      <c r="F106" s="1548"/>
      <c r="G106" s="1548"/>
      <c r="H106" s="1548"/>
      <c r="I106" s="1488"/>
      <c r="J106" s="1488"/>
      <c r="K106" s="1548"/>
      <c r="L106" s="1548"/>
      <c r="M106" s="1488"/>
      <c r="N106" s="1488"/>
      <c r="O106" s="1488"/>
      <c r="P106" s="1488"/>
      <c r="Q106" s="1488"/>
    </row>
    <row r="107" spans="1:17" x14ac:dyDescent="0.25">
      <c r="A107" s="1488"/>
      <c r="B107" s="1548"/>
      <c r="C107" s="1665"/>
      <c r="D107" s="1666"/>
      <c r="E107" s="1666"/>
      <c r="F107" s="1666"/>
      <c r="G107" s="1666"/>
      <c r="H107" s="1667"/>
      <c r="I107" s="1488"/>
      <c r="J107" s="1488"/>
      <c r="K107" s="1548"/>
      <c r="L107" s="1548"/>
      <c r="M107" s="1488"/>
      <c r="N107" s="1488"/>
      <c r="O107" s="1488"/>
      <c r="P107" s="1488"/>
      <c r="Q107" s="1488"/>
    </row>
    <row r="108" spans="1:17" ht="15.5" x14ac:dyDescent="0.35">
      <c r="A108" s="1488"/>
      <c r="B108" s="1548"/>
      <c r="C108" s="1668"/>
      <c r="D108" s="1669"/>
      <c r="E108" s="1669"/>
      <c r="F108" s="1669"/>
      <c r="G108" s="1669"/>
      <c r="H108" s="1670"/>
      <c r="I108" s="1488"/>
      <c r="J108" s="1488"/>
      <c r="K108" s="1548"/>
      <c r="L108" s="1548"/>
      <c r="M108" s="1488"/>
      <c r="N108" s="1488"/>
      <c r="O108" s="1488"/>
      <c r="P108" s="1488"/>
      <c r="Q108" s="1488"/>
    </row>
    <row r="109" spans="1:17" x14ac:dyDescent="0.25">
      <c r="A109" s="1488"/>
      <c r="B109" s="1488"/>
      <c r="C109" s="1488"/>
      <c r="D109" s="1488"/>
      <c r="E109" s="1488"/>
      <c r="F109" s="1488"/>
      <c r="G109" s="1488"/>
      <c r="H109" s="1488"/>
      <c r="I109" s="1488"/>
      <c r="J109" s="1488"/>
      <c r="K109" s="1488"/>
      <c r="L109" s="1488"/>
      <c r="M109" s="1488"/>
      <c r="N109" s="1488"/>
      <c r="O109" s="1488"/>
      <c r="P109" s="1488"/>
      <c r="Q109" s="1488"/>
    </row>
  </sheetData>
  <phoneticPr fontId="124" type="noConversion"/>
  <pageMargins left="0.7" right="0.7" top="0.75" bottom="0.75" header="0.3" footer="0.3"/>
  <pageSetup paperSize="9" orientation="landscape"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88" r:id="rId4" name="basic2button">
              <controlPr defaultSize="0" print="0" autoFill="0" autoPict="0" macro="[0]!returnfromcopy">
                <anchor moveWithCells="1" sizeWithCells="1">
                  <from>
                    <xdr:col>14</xdr:col>
                    <xdr:colOff>69850</xdr:colOff>
                    <xdr:row>0</xdr:row>
                    <xdr:rowOff>450850</xdr:rowOff>
                  </from>
                  <to>
                    <xdr:col>15</xdr:col>
                    <xdr:colOff>336550</xdr:colOff>
                    <xdr:row>1</xdr:row>
                    <xdr:rowOff>215900</xdr:rowOff>
                  </to>
                </anchor>
              </controlPr>
            </control>
          </mc:Choice>
        </mc:AlternateContent>
        <mc:AlternateContent xmlns:mc="http://schemas.openxmlformats.org/markup-compatibility/2006">
          <mc:Choice Requires="x14">
            <control shapeId="79889" r:id="rId5" name="basic2delbutton">
              <controlPr defaultSize="0" print="0" autoFill="0" autoPict="0" macro="[0]!delete_basic2button">
                <anchor moveWithCells="1" sizeWithCells="1">
                  <from>
                    <xdr:col>14</xdr:col>
                    <xdr:colOff>69850</xdr:colOff>
                    <xdr:row>2</xdr:row>
                    <xdr:rowOff>0</xdr:rowOff>
                  </from>
                  <to>
                    <xdr:col>15</xdr:col>
                    <xdr:colOff>336550</xdr:colOff>
                    <xdr:row>3</xdr:row>
                    <xdr:rowOff>298450</xdr:rowOff>
                  </to>
                </anchor>
              </controlPr>
            </control>
          </mc:Choice>
        </mc:AlternateContent>
        <mc:AlternateContent xmlns:mc="http://schemas.openxmlformats.org/markup-compatibility/2006">
          <mc:Choice Requires="x14">
            <control shapeId="79890" r:id="rId6" name="pdfbutton">
              <controlPr defaultSize="0" print="0" autoFill="0" autoPict="0" macro="[0]!pdfonly">
                <anchor moveWithCells="1" sizeWithCells="1">
                  <from>
                    <xdr:col>15</xdr:col>
                    <xdr:colOff>419100</xdr:colOff>
                    <xdr:row>0</xdr:row>
                    <xdr:rowOff>609600</xdr:rowOff>
                  </from>
                  <to>
                    <xdr:col>16</xdr:col>
                    <xdr:colOff>685800</xdr:colOff>
                    <xdr:row>2</xdr:row>
                    <xdr:rowOff>260350</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4A52B-FD9F-4FF3-892F-9EB7D8F7B4EC}">
  <sheetPr codeName="Sheet75"/>
  <dimension ref="A1:Z72"/>
  <sheetViews>
    <sheetView showGridLines="0" workbookViewId="0"/>
  </sheetViews>
  <sheetFormatPr defaultColWidth="9.08984375" defaultRowHeight="12.5" x14ac:dyDescent="0.25"/>
  <cols>
    <col min="1" max="1" width="13.36328125" style="1407" customWidth="1"/>
    <col min="2" max="2" width="7.36328125" style="1407" customWidth="1"/>
    <col min="3" max="3" width="3.08984375" style="1407" customWidth="1"/>
    <col min="4" max="4" width="10" style="1407" customWidth="1"/>
    <col min="5" max="5" width="3.453125" style="1407" customWidth="1"/>
    <col min="6" max="6" width="13.36328125" style="1407" customWidth="1"/>
    <col min="7" max="7" width="13.6328125" style="1407" customWidth="1"/>
    <col min="8" max="8" width="2.36328125" style="1407" customWidth="1"/>
    <col min="9" max="9" width="10.36328125" style="1407" customWidth="1"/>
    <col min="10" max="10" width="13.6328125" style="1407" customWidth="1"/>
    <col min="11" max="11" width="15.54296875" style="1407" customWidth="1"/>
    <col min="12" max="12" width="2.08984375" style="1407" customWidth="1"/>
    <col min="13" max="13" width="25" style="1407" customWidth="1"/>
    <col min="14" max="25" width="9.08984375" style="1407"/>
    <col min="26" max="26" width="45.08984375" style="1407" customWidth="1"/>
    <col min="27" max="16384" width="9.08984375" style="1407"/>
  </cols>
  <sheetData>
    <row r="1" spans="1:26" ht="43.5" customHeight="1" x14ac:dyDescent="0.25">
      <c r="A1" s="1488"/>
      <c r="B1" s="1488"/>
      <c r="C1" s="1482"/>
      <c r="D1" s="1482"/>
      <c r="E1" s="1482"/>
      <c r="F1" s="1482"/>
      <c r="G1" s="1482"/>
      <c r="H1" s="1482"/>
      <c r="I1" s="1482"/>
      <c r="J1" s="1482"/>
      <c r="K1" s="1482"/>
      <c r="L1" s="1482"/>
      <c r="M1" s="1482"/>
      <c r="N1" s="1482"/>
      <c r="O1" s="1482"/>
      <c r="P1" s="1482"/>
      <c r="Q1" s="1482"/>
      <c r="R1" s="1482"/>
      <c r="S1" s="1482"/>
      <c r="T1" s="1482"/>
      <c r="U1" s="1482"/>
      <c r="V1" s="1482"/>
      <c r="W1" s="1482"/>
      <c r="X1" s="1482"/>
      <c r="Y1" s="1482"/>
      <c r="Z1" s="1482"/>
    </row>
    <row r="2" spans="1:26" ht="20" x14ac:dyDescent="0.4">
      <c r="A2" s="1488"/>
      <c r="B2" s="1488"/>
      <c r="D2" s="1563"/>
      <c r="M2" s="1482"/>
      <c r="N2" s="1482"/>
      <c r="O2" s="1482"/>
      <c r="P2" s="1482"/>
      <c r="Q2" s="1482"/>
      <c r="R2" s="1482"/>
      <c r="S2" s="1482"/>
      <c r="T2" s="1482"/>
      <c r="U2" s="1482"/>
      <c r="V2" s="1482"/>
      <c r="W2" s="1482"/>
      <c r="X2" s="1482"/>
      <c r="Y2" s="1482"/>
      <c r="Z2" s="1482"/>
    </row>
    <row r="3" spans="1:26" ht="12.75" customHeight="1" x14ac:dyDescent="0.25">
      <c r="A3" s="1488"/>
      <c r="B3" s="1488"/>
      <c r="M3" s="1482"/>
      <c r="N3" s="1482"/>
      <c r="O3" s="1482"/>
      <c r="P3" s="1482"/>
      <c r="Q3" s="1482"/>
      <c r="R3" s="1482"/>
      <c r="S3" s="1482"/>
      <c r="T3" s="1482"/>
      <c r="U3" s="1482"/>
      <c r="V3" s="1482"/>
      <c r="W3" s="1482"/>
      <c r="X3" s="1482"/>
      <c r="Y3" s="1482"/>
      <c r="Z3" s="1482"/>
    </row>
    <row r="4" spans="1:26" x14ac:dyDescent="0.25">
      <c r="A4" s="1488"/>
      <c r="B4" s="1488"/>
      <c r="M4" s="1482"/>
      <c r="N4" s="1482"/>
      <c r="O4" s="1482"/>
      <c r="P4" s="1482"/>
      <c r="Q4" s="1482"/>
      <c r="R4" s="1482"/>
      <c r="S4" s="1482"/>
      <c r="T4" s="1482"/>
      <c r="U4" s="1482"/>
      <c r="V4" s="1482"/>
      <c r="W4" s="1482"/>
      <c r="X4" s="1482"/>
      <c r="Y4" s="1482"/>
      <c r="Z4" s="1482"/>
    </row>
    <row r="5" spans="1:26" ht="13" x14ac:dyDescent="0.3">
      <c r="A5" s="1488"/>
      <c r="B5" s="1488"/>
      <c r="D5" s="1568"/>
      <c r="E5" s="1492"/>
      <c r="F5" s="1493"/>
      <c r="G5" s="1492"/>
      <c r="H5" s="1492"/>
      <c r="J5" s="1569"/>
      <c r="K5" s="1570"/>
      <c r="M5" s="1482"/>
      <c r="N5" s="1482"/>
      <c r="O5" s="1482"/>
      <c r="P5" s="1482"/>
      <c r="Q5" s="1482"/>
      <c r="R5" s="1482"/>
      <c r="S5" s="1482"/>
      <c r="T5" s="1482"/>
      <c r="U5" s="1482"/>
      <c r="V5" s="1482"/>
      <c r="W5" s="1482"/>
      <c r="X5" s="1482"/>
      <c r="Y5" s="1482"/>
      <c r="Z5" s="1482"/>
    </row>
    <row r="6" spans="1:26" ht="13.5" customHeight="1" x14ac:dyDescent="0.3">
      <c r="A6" s="1488"/>
      <c r="B6" s="1488"/>
      <c r="D6" s="1436"/>
      <c r="E6" s="1573"/>
      <c r="F6" s="1436"/>
      <c r="G6" s="1492"/>
      <c r="H6" s="1492"/>
      <c r="J6" s="1569"/>
      <c r="K6" s="1570"/>
      <c r="M6" s="1482"/>
      <c r="N6" s="1482"/>
      <c r="O6" s="1482"/>
      <c r="P6" s="1482"/>
      <c r="Q6" s="1482"/>
      <c r="R6" s="1482"/>
      <c r="S6" s="1482"/>
      <c r="T6" s="1482"/>
      <c r="U6" s="1482"/>
      <c r="V6" s="1482"/>
      <c r="W6" s="1482"/>
      <c r="X6" s="1482"/>
      <c r="Y6" s="1482"/>
      <c r="Z6" s="1482"/>
    </row>
    <row r="7" spans="1:26" ht="13" x14ac:dyDescent="0.3">
      <c r="A7" s="1488"/>
      <c r="B7" s="1488"/>
      <c r="D7" s="1568"/>
      <c r="E7" s="1492"/>
      <c r="F7" s="1493"/>
      <c r="G7" s="1492"/>
      <c r="H7" s="1492"/>
      <c r="J7" s="1569"/>
      <c r="K7" s="1575"/>
      <c r="M7" s="1482"/>
      <c r="N7" s="1482"/>
      <c r="O7" s="1482"/>
      <c r="P7" s="1482"/>
      <c r="Q7" s="1482"/>
      <c r="R7" s="1482"/>
      <c r="S7" s="1482"/>
      <c r="T7" s="1482"/>
      <c r="U7" s="1482"/>
      <c r="V7" s="1482"/>
      <c r="W7" s="1482"/>
      <c r="X7" s="1482"/>
      <c r="Y7" s="1482"/>
      <c r="Z7" s="1482"/>
    </row>
    <row r="8" spans="1:26" x14ac:dyDescent="0.25">
      <c r="A8" s="1488"/>
      <c r="B8" s="1488"/>
      <c r="D8" s="1425"/>
      <c r="E8" s="1425"/>
      <c r="F8" s="1425"/>
      <c r="G8" s="1425"/>
      <c r="H8" s="1425"/>
      <c r="I8" s="1425"/>
      <c r="J8" s="1425"/>
      <c r="K8" s="1425"/>
      <c r="M8" s="1482"/>
      <c r="N8" s="1482"/>
      <c r="O8" s="1482"/>
      <c r="P8" s="1482"/>
      <c r="Q8" s="1482"/>
      <c r="R8" s="1482"/>
      <c r="S8" s="1482"/>
      <c r="T8" s="1482"/>
      <c r="U8" s="1482"/>
      <c r="V8" s="1482"/>
      <c r="W8" s="1482"/>
      <c r="X8" s="1482"/>
      <c r="Y8" s="1482"/>
      <c r="Z8" s="1482"/>
    </row>
    <row r="9" spans="1:26" ht="13" x14ac:dyDescent="0.3">
      <c r="A9" s="1488"/>
      <c r="B9" s="1488"/>
      <c r="D9" s="1576"/>
      <c r="M9" s="1482"/>
      <c r="N9" s="1482"/>
      <c r="O9" s="1482"/>
      <c r="P9" s="1482"/>
      <c r="Q9" s="1482"/>
      <c r="R9" s="1482"/>
      <c r="S9" s="1482"/>
      <c r="T9" s="1482"/>
      <c r="U9" s="1482"/>
      <c r="V9" s="1482"/>
      <c r="W9" s="1482"/>
      <c r="X9" s="1482"/>
      <c r="Y9" s="1482"/>
      <c r="Z9" s="1482"/>
    </row>
    <row r="10" spans="1:26" ht="12.75" customHeight="1" x14ac:dyDescent="0.3">
      <c r="A10" s="1488"/>
      <c r="B10" s="1488"/>
      <c r="D10" s="1576"/>
      <c r="M10" s="1482"/>
      <c r="N10" s="1482"/>
      <c r="O10" s="1482"/>
      <c r="P10" s="1482"/>
      <c r="Q10" s="1482"/>
      <c r="R10" s="1482"/>
      <c r="S10" s="1482"/>
      <c r="T10" s="1482"/>
      <c r="U10" s="1482"/>
      <c r="V10" s="1482"/>
      <c r="W10" s="1482"/>
      <c r="X10" s="1482"/>
      <c r="Y10" s="1482"/>
      <c r="Z10" s="1482"/>
    </row>
    <row r="11" spans="1:26" ht="12.75" customHeight="1" x14ac:dyDescent="0.3">
      <c r="A11" s="1488"/>
      <c r="B11" s="1488"/>
      <c r="D11" s="1576"/>
      <c r="M11" s="1482"/>
      <c r="N11" s="1482"/>
      <c r="O11" s="1482"/>
      <c r="P11" s="1482"/>
      <c r="Q11" s="1482"/>
      <c r="R11" s="1482"/>
      <c r="S11" s="1482"/>
      <c r="T11" s="1482"/>
      <c r="U11" s="1482"/>
      <c r="V11" s="1482"/>
      <c r="W11" s="1482"/>
      <c r="X11" s="1482"/>
      <c r="Y11" s="1482"/>
      <c r="Z11" s="1482"/>
    </row>
    <row r="12" spans="1:26" ht="12.75" customHeight="1" x14ac:dyDescent="0.3">
      <c r="A12" s="1488"/>
      <c r="B12" s="1488"/>
      <c r="D12" s="1576"/>
      <c r="M12" s="1482"/>
      <c r="N12" s="1482"/>
      <c r="O12" s="1482"/>
      <c r="P12" s="1482"/>
      <c r="Q12" s="1482"/>
      <c r="R12" s="1482"/>
      <c r="S12" s="1482"/>
      <c r="T12" s="1482"/>
      <c r="U12" s="1482"/>
      <c r="V12" s="1482"/>
      <c r="W12" s="1482"/>
      <c r="X12" s="1482"/>
      <c r="Y12" s="1482"/>
      <c r="Z12" s="1482"/>
    </row>
    <row r="13" spans="1:26" ht="8.25" customHeight="1" x14ac:dyDescent="0.25">
      <c r="A13" s="1488"/>
      <c r="B13" s="1488"/>
      <c r="D13" s="1425"/>
      <c r="E13" s="1425"/>
      <c r="F13" s="1425"/>
      <c r="G13" s="1425"/>
      <c r="H13" s="1425"/>
      <c r="I13" s="1425"/>
      <c r="J13" s="1425"/>
      <c r="K13" s="1425"/>
      <c r="M13" s="1482"/>
      <c r="N13" s="1482"/>
      <c r="O13" s="1482"/>
      <c r="P13" s="1482"/>
      <c r="Q13" s="1482"/>
      <c r="R13" s="1482"/>
      <c r="S13" s="1482"/>
      <c r="T13" s="1482"/>
      <c r="U13" s="1482"/>
      <c r="V13" s="1482"/>
      <c r="W13" s="1482"/>
      <c r="X13" s="1482"/>
      <c r="Y13" s="1482"/>
      <c r="Z13" s="1482"/>
    </row>
    <row r="14" spans="1:26" ht="8.25" customHeight="1" x14ac:dyDescent="0.25">
      <c r="A14" s="1488"/>
      <c r="B14" s="1488"/>
      <c r="M14" s="1482"/>
      <c r="N14" s="1482"/>
      <c r="O14" s="1482"/>
      <c r="P14" s="1482"/>
      <c r="Q14" s="1482"/>
      <c r="R14" s="1482"/>
      <c r="S14" s="1482"/>
      <c r="T14" s="1482"/>
      <c r="U14" s="1482"/>
      <c r="V14" s="1482"/>
      <c r="W14" s="1482"/>
      <c r="X14" s="1482"/>
      <c r="Y14" s="1482"/>
      <c r="Z14" s="1482"/>
    </row>
    <row r="15" spans="1:26" ht="12.75" customHeight="1" x14ac:dyDescent="0.3">
      <c r="A15" s="1488"/>
      <c r="B15" s="1488"/>
      <c r="D15" s="1472"/>
      <c r="F15" s="1578"/>
      <c r="J15" s="1579"/>
      <c r="M15" s="1482"/>
      <c r="N15" s="1482"/>
      <c r="O15" s="1482"/>
      <c r="P15" s="1482"/>
      <c r="Q15" s="1482"/>
      <c r="R15" s="1482"/>
      <c r="S15" s="1482"/>
      <c r="T15" s="1482"/>
      <c r="U15" s="1482"/>
      <c r="V15" s="1482"/>
      <c r="W15" s="1482"/>
      <c r="X15" s="1482"/>
      <c r="Y15" s="1482"/>
      <c r="Z15" s="1482"/>
    </row>
    <row r="16" spans="1:26" ht="18" customHeight="1" x14ac:dyDescent="0.25">
      <c r="A16" s="1488"/>
      <c r="B16" s="1488"/>
      <c r="F16" s="1578"/>
      <c r="J16" s="1579"/>
      <c r="M16" s="1482"/>
      <c r="N16" s="1482"/>
      <c r="O16" s="1482"/>
      <c r="P16" s="1482"/>
      <c r="Q16" s="1482"/>
      <c r="R16" s="1482"/>
      <c r="S16" s="1482"/>
      <c r="T16" s="1482"/>
      <c r="U16" s="1482"/>
      <c r="V16" s="1482"/>
      <c r="W16" s="1482"/>
      <c r="X16" s="1482"/>
      <c r="Y16" s="1482"/>
      <c r="Z16" s="1482"/>
    </row>
    <row r="17" spans="1:26" ht="12.75" customHeight="1" x14ac:dyDescent="0.25">
      <c r="A17" s="1488"/>
      <c r="B17" s="1488"/>
      <c r="M17" s="1482"/>
      <c r="N17" s="1482"/>
      <c r="O17" s="1482"/>
      <c r="P17" s="1482"/>
      <c r="Q17" s="1482"/>
      <c r="R17" s="1482"/>
      <c r="S17" s="1482"/>
      <c r="T17" s="1482"/>
      <c r="U17" s="1482"/>
      <c r="V17" s="1482"/>
      <c r="W17" s="1482"/>
      <c r="X17" s="1482"/>
      <c r="Y17" s="1482"/>
      <c r="Z17" s="1482"/>
    </row>
    <row r="18" spans="1:26" ht="12.75" customHeight="1" x14ac:dyDescent="0.25">
      <c r="A18" s="1488"/>
      <c r="B18" s="1488"/>
      <c r="F18" s="1578"/>
      <c r="G18" s="1920"/>
      <c r="J18" s="1920"/>
      <c r="M18" s="1482"/>
      <c r="N18" s="1482"/>
      <c r="O18" s="1482"/>
      <c r="P18" s="1482"/>
      <c r="Q18" s="1482"/>
      <c r="R18" s="1482"/>
      <c r="S18" s="1482"/>
      <c r="T18" s="1482"/>
      <c r="U18" s="1482"/>
      <c r="V18" s="1482"/>
      <c r="W18" s="1482"/>
      <c r="X18" s="1482"/>
      <c r="Y18" s="1482"/>
      <c r="Z18" s="1482"/>
    </row>
    <row r="19" spans="1:26" ht="12.75" customHeight="1" x14ac:dyDescent="0.25">
      <c r="A19" s="1488"/>
      <c r="B19" s="1488"/>
      <c r="D19" s="1582"/>
      <c r="M19" s="1482"/>
      <c r="N19" s="1482"/>
      <c r="O19" s="1482"/>
      <c r="P19" s="1482"/>
      <c r="Q19" s="1482"/>
      <c r="R19" s="1482"/>
      <c r="S19" s="1482"/>
      <c r="T19" s="1482"/>
      <c r="U19" s="1482"/>
      <c r="V19" s="1482"/>
      <c r="W19" s="1482"/>
      <c r="X19" s="1482"/>
      <c r="Y19" s="1482"/>
      <c r="Z19" s="1482"/>
    </row>
    <row r="20" spans="1:26" ht="12.75" customHeight="1" x14ac:dyDescent="0.25">
      <c r="A20" s="1488"/>
      <c r="B20" s="1488"/>
      <c r="D20" s="1493"/>
      <c r="E20" s="1493"/>
      <c r="F20" s="1493"/>
      <c r="G20" s="1493"/>
      <c r="H20" s="1493"/>
      <c r="I20" s="1493"/>
      <c r="J20" s="1493"/>
      <c r="K20" s="1493"/>
      <c r="M20" s="1482"/>
      <c r="N20" s="1482"/>
      <c r="O20" s="1482"/>
      <c r="P20" s="1482"/>
      <c r="Q20" s="1482"/>
      <c r="R20" s="1482"/>
      <c r="S20" s="1482"/>
      <c r="T20" s="1482"/>
      <c r="U20" s="1482"/>
      <c r="V20" s="1482"/>
      <c r="W20" s="1482"/>
      <c r="X20" s="1482"/>
      <c r="Y20" s="1482"/>
      <c r="Z20" s="1482"/>
    </row>
    <row r="21" spans="1:26" ht="12.75" customHeight="1" x14ac:dyDescent="0.25">
      <c r="A21" s="1488"/>
      <c r="B21" s="1488"/>
      <c r="D21" s="1493"/>
      <c r="E21" s="1493"/>
      <c r="F21" s="1493"/>
      <c r="G21" s="1493"/>
      <c r="H21" s="1493"/>
      <c r="I21" s="1493"/>
      <c r="J21" s="1493"/>
      <c r="K21" s="1493"/>
      <c r="M21" s="1482"/>
      <c r="N21" s="1482"/>
      <c r="O21" s="1482"/>
      <c r="P21" s="1482"/>
      <c r="Q21" s="1482"/>
      <c r="R21" s="1482"/>
      <c r="S21" s="1482"/>
      <c r="T21" s="1482"/>
      <c r="U21" s="1482"/>
      <c r="V21" s="1482"/>
      <c r="W21" s="1482"/>
      <c r="X21" s="1482"/>
      <c r="Y21" s="1482"/>
      <c r="Z21" s="1482"/>
    </row>
    <row r="22" spans="1:26" ht="12.75" customHeight="1" x14ac:dyDescent="0.25">
      <c r="A22" s="1488"/>
      <c r="B22" s="1488"/>
      <c r="D22" s="1493"/>
      <c r="E22" s="1493"/>
      <c r="F22" s="1493"/>
      <c r="G22" s="1493"/>
      <c r="H22" s="1493"/>
      <c r="I22" s="1493"/>
      <c r="J22" s="1493"/>
      <c r="K22" s="1493"/>
      <c r="M22" s="1482"/>
      <c r="N22" s="1482"/>
      <c r="O22" s="1482"/>
      <c r="P22" s="1482"/>
      <c r="Q22" s="1482"/>
      <c r="R22" s="1482"/>
      <c r="S22" s="1482"/>
      <c r="T22" s="1482"/>
      <c r="U22" s="1482"/>
      <c r="V22" s="1482"/>
      <c r="W22" s="1482"/>
      <c r="X22" s="1482"/>
      <c r="Y22" s="1482"/>
      <c r="Z22" s="1482"/>
    </row>
    <row r="23" spans="1:26" ht="12.75" customHeight="1" x14ac:dyDescent="0.25">
      <c r="A23" s="1488"/>
      <c r="B23" s="1488"/>
      <c r="D23" s="1493"/>
      <c r="E23" s="1493"/>
      <c r="F23" s="1493"/>
      <c r="G23" s="1493"/>
      <c r="H23" s="1493"/>
      <c r="I23" s="1493"/>
      <c r="J23" s="1493"/>
      <c r="K23" s="1493"/>
      <c r="M23" s="1482"/>
      <c r="N23" s="1482"/>
      <c r="O23" s="1482"/>
      <c r="P23" s="1482"/>
      <c r="Q23" s="1482"/>
      <c r="R23" s="1482"/>
      <c r="S23" s="1482"/>
      <c r="T23" s="1482"/>
      <c r="U23" s="1482"/>
      <c r="V23" s="1482"/>
      <c r="W23" s="1482"/>
      <c r="X23" s="1482"/>
      <c r="Y23" s="1482"/>
      <c r="Z23" s="1482"/>
    </row>
    <row r="24" spans="1:26" ht="12.75" customHeight="1" x14ac:dyDescent="0.3">
      <c r="A24" s="1488"/>
      <c r="B24" s="1488"/>
      <c r="D24" s="1425"/>
      <c r="E24" s="1425"/>
      <c r="F24" s="1583"/>
      <c r="G24" s="1425"/>
      <c r="H24" s="1584"/>
      <c r="I24" s="1585"/>
      <c r="J24" s="1425"/>
      <c r="K24" s="1425"/>
      <c r="M24" s="1482"/>
      <c r="N24" s="1482"/>
      <c r="O24" s="1482"/>
      <c r="P24" s="1482"/>
      <c r="Q24" s="1482"/>
      <c r="R24" s="1482"/>
      <c r="S24" s="1482"/>
      <c r="T24" s="1482"/>
      <c r="U24" s="1482"/>
      <c r="V24" s="1482"/>
      <c r="W24" s="1482"/>
      <c r="X24" s="1482"/>
      <c r="Y24" s="1482"/>
      <c r="Z24" s="1482"/>
    </row>
    <row r="25" spans="1:26" ht="16.5" customHeight="1" x14ac:dyDescent="0.35">
      <c r="A25" s="1488"/>
      <c r="B25" s="1488"/>
      <c r="D25"/>
      <c r="E25"/>
      <c r="F25" s="1586"/>
      <c r="M25" s="1482"/>
      <c r="N25" s="1482"/>
      <c r="O25" s="1482"/>
      <c r="P25" s="1482"/>
      <c r="Q25" s="1482"/>
      <c r="R25" s="1482"/>
      <c r="S25" s="1482"/>
      <c r="T25" s="1482"/>
      <c r="U25" s="1482"/>
      <c r="V25" s="1482"/>
      <c r="W25" s="1482"/>
      <c r="X25" s="1482"/>
      <c r="Y25" s="1482"/>
      <c r="Z25" s="1482"/>
    </row>
    <row r="26" spans="1:26" ht="12.75" customHeight="1" x14ac:dyDescent="0.35">
      <c r="A26" s="1488"/>
      <c r="B26" s="1488"/>
      <c r="D26"/>
      <c r="E26"/>
      <c r="G26" s="1587"/>
      <c r="H26" s="1588"/>
      <c r="J26" s="1587"/>
      <c r="K26" s="1589"/>
      <c r="M26" s="1482"/>
      <c r="N26" s="1482"/>
      <c r="O26" s="1482"/>
      <c r="P26" s="1482"/>
      <c r="Q26" s="1482"/>
      <c r="R26" s="1482"/>
      <c r="S26" s="1482"/>
      <c r="T26" s="1482"/>
      <c r="U26" s="1482"/>
      <c r="V26" s="1482"/>
      <c r="W26" s="1482"/>
      <c r="X26" s="1482"/>
      <c r="Y26" s="1482"/>
      <c r="Z26" s="1482"/>
    </row>
    <row r="27" spans="1:26" ht="12.75" customHeight="1" x14ac:dyDescent="0.35">
      <c r="A27" s="1488"/>
      <c r="B27" s="1488"/>
      <c r="C27" s="1588"/>
      <c r="D27"/>
      <c r="E27"/>
      <c r="G27" s="1921"/>
      <c r="J27" s="1921"/>
      <c r="M27" s="1482"/>
      <c r="N27" s="1482"/>
      <c r="O27" s="1482"/>
      <c r="P27" s="1482"/>
      <c r="Q27" s="1482"/>
      <c r="R27" s="1482"/>
      <c r="S27" s="1482"/>
      <c r="T27" s="1482"/>
      <c r="U27" s="1482"/>
      <c r="V27" s="1482"/>
      <c r="W27" s="1482"/>
      <c r="X27" s="1482"/>
      <c r="Y27" s="1482"/>
      <c r="Z27" s="1482"/>
    </row>
    <row r="28" spans="1:26" ht="12.75" customHeight="1" x14ac:dyDescent="0.35">
      <c r="A28" s="1488"/>
      <c r="B28" s="1488"/>
      <c r="C28" s="1588"/>
      <c r="D28"/>
      <c r="E28"/>
      <c r="G28" s="1922"/>
      <c r="J28" s="1922"/>
      <c r="M28" s="1482"/>
      <c r="N28" s="1482"/>
      <c r="O28" s="1482"/>
      <c r="P28" s="1482"/>
      <c r="Q28" s="1482"/>
      <c r="R28" s="1482"/>
      <c r="S28" s="1482"/>
      <c r="T28" s="1482"/>
      <c r="U28" s="1482"/>
      <c r="V28" s="1482"/>
      <c r="W28" s="1482"/>
      <c r="X28" s="1482"/>
      <c r="Y28" s="1482"/>
      <c r="Z28" s="1482"/>
    </row>
    <row r="29" spans="1:26" ht="12.75" customHeight="1" x14ac:dyDescent="0.35">
      <c r="A29" s="1488"/>
      <c r="B29" s="1488"/>
      <c r="C29" s="1588"/>
      <c r="D29"/>
      <c r="E29"/>
      <c r="G29" s="1922"/>
      <c r="J29" s="1922"/>
      <c r="M29" s="1482"/>
      <c r="N29" s="1482"/>
      <c r="O29" s="1482"/>
      <c r="P29" s="1482"/>
      <c r="Q29" s="1482"/>
      <c r="R29" s="1482"/>
      <c r="S29" s="1482"/>
      <c r="T29" s="1482"/>
      <c r="U29" s="1482"/>
      <c r="V29" s="1482"/>
      <c r="W29" s="1482"/>
      <c r="X29" s="1482"/>
      <c r="Y29" s="1482"/>
      <c r="Z29" s="1482"/>
    </row>
    <row r="30" spans="1:26" ht="12.75" customHeight="1" x14ac:dyDescent="0.35">
      <c r="A30" s="1488"/>
      <c r="B30" s="1488"/>
      <c r="C30" s="1588"/>
      <c r="D30"/>
      <c r="E30"/>
      <c r="G30" s="1593"/>
      <c r="J30" s="1593"/>
      <c r="M30" s="1482"/>
      <c r="N30" s="1482"/>
      <c r="O30" s="1482"/>
      <c r="P30" s="1482"/>
      <c r="Q30" s="1482"/>
      <c r="R30" s="1482"/>
      <c r="S30" s="1482"/>
      <c r="T30" s="1482"/>
      <c r="U30" s="1482"/>
      <c r="V30" s="1482"/>
      <c r="W30" s="1482"/>
      <c r="X30" s="1482"/>
      <c r="Y30" s="1482"/>
      <c r="Z30" s="1482"/>
    </row>
    <row r="31" spans="1:26" ht="14.5" x14ac:dyDescent="0.35">
      <c r="A31" s="1488"/>
      <c r="B31" s="1488"/>
      <c r="C31" s="1588"/>
      <c r="D31"/>
      <c r="E31"/>
      <c r="G31" s="1712"/>
      <c r="J31" s="1712"/>
      <c r="M31" s="1482"/>
      <c r="N31" s="1482"/>
      <c r="O31" s="1482"/>
      <c r="P31" s="1482"/>
      <c r="Q31" s="1482"/>
      <c r="R31" s="1482"/>
      <c r="S31" s="1482"/>
      <c r="T31" s="1482"/>
      <c r="U31" s="1482"/>
      <c r="V31" s="1482"/>
      <c r="W31" s="1482"/>
      <c r="X31" s="1482"/>
      <c r="Y31" s="1482"/>
      <c r="Z31" s="1482"/>
    </row>
    <row r="32" spans="1:26" ht="12.75" customHeight="1" x14ac:dyDescent="0.3">
      <c r="A32" s="1488"/>
      <c r="B32" s="1488"/>
      <c r="D32" s="1425"/>
      <c r="E32" s="1425"/>
      <c r="F32" s="1595"/>
      <c r="G32" s="1585"/>
      <c r="H32" s="1425"/>
      <c r="I32" s="1425"/>
      <c r="J32" s="1585"/>
      <c r="K32" s="1425"/>
      <c r="M32" s="1482"/>
      <c r="N32" s="1482"/>
      <c r="O32" s="1482"/>
      <c r="P32" s="1482"/>
      <c r="Q32" s="1482"/>
      <c r="R32" s="1482"/>
      <c r="S32" s="1482"/>
      <c r="T32" s="1482"/>
      <c r="U32" s="1482"/>
      <c r="V32" s="1482"/>
      <c r="W32" s="1482"/>
      <c r="X32" s="1482"/>
      <c r="Y32" s="1482"/>
      <c r="Z32" s="1482"/>
    </row>
    <row r="33" spans="1:26" ht="13" x14ac:dyDescent="0.3">
      <c r="A33" s="1488"/>
      <c r="B33" s="1488"/>
      <c r="D33" s="1596"/>
      <c r="E33" s="1436"/>
      <c r="F33" s="1436"/>
      <c r="G33" s="1436"/>
      <c r="H33" s="1436"/>
      <c r="I33" s="1436"/>
      <c r="J33" s="1436"/>
      <c r="K33" s="1436"/>
      <c r="M33" s="1482"/>
      <c r="N33" s="1482"/>
      <c r="O33" s="1482"/>
      <c r="P33" s="1482"/>
      <c r="Q33" s="1482"/>
      <c r="R33" s="1482"/>
      <c r="S33" s="1482"/>
      <c r="T33" s="1482"/>
      <c r="U33" s="1482"/>
      <c r="V33" s="1482"/>
      <c r="W33" s="1482"/>
      <c r="X33" s="1482"/>
      <c r="Y33" s="1482"/>
      <c r="Z33" s="1482"/>
    </row>
    <row r="34" spans="1:26" ht="24" customHeight="1" x14ac:dyDescent="0.35">
      <c r="A34" s="1488"/>
      <c r="B34" s="1488"/>
      <c r="D34" s="1713"/>
      <c r="E34" s="1436"/>
      <c r="F34" s="1436"/>
      <c r="G34" s="1598"/>
      <c r="H34" s="1436"/>
      <c r="I34" s="1713"/>
      <c r="J34" s="1436"/>
      <c r="K34" s="1436"/>
      <c r="M34" s="1482"/>
      <c r="N34" s="1482"/>
      <c r="O34" s="1482"/>
      <c r="P34" s="1482"/>
      <c r="Q34" s="1482"/>
      <c r="R34" s="1482"/>
      <c r="S34" s="1482"/>
      <c r="T34" s="1482"/>
      <c r="U34" s="1482"/>
      <c r="V34" s="1482"/>
      <c r="W34" s="1482"/>
      <c r="X34" s="1482"/>
      <c r="Y34" s="1482"/>
      <c r="Z34" s="1482"/>
    </row>
    <row r="35" spans="1:26" ht="13" x14ac:dyDescent="0.3">
      <c r="A35" s="1488"/>
      <c r="B35" s="1488"/>
      <c r="D35" s="1599"/>
      <c r="E35" s="1436"/>
      <c r="F35" s="1600"/>
      <c r="G35" s="1600"/>
      <c r="H35" s="1436"/>
      <c r="I35" s="1601"/>
      <c r="J35" s="1602"/>
      <c r="K35" s="1603"/>
      <c r="M35" s="1482"/>
      <c r="N35" s="1482"/>
      <c r="O35" s="1482"/>
      <c r="P35" s="1482"/>
      <c r="Q35" s="1482"/>
      <c r="R35" s="1482"/>
      <c r="S35" s="1482"/>
      <c r="T35" s="1482"/>
      <c r="U35" s="1482"/>
      <c r="V35" s="1482"/>
      <c r="W35" s="1482"/>
      <c r="X35" s="1482"/>
      <c r="Y35" s="1482"/>
      <c r="Z35" s="1482"/>
    </row>
    <row r="36" spans="1:26" ht="18" customHeight="1" x14ac:dyDescent="0.25">
      <c r="A36" s="1488"/>
      <c r="B36" s="1488"/>
      <c r="D36" s="1604"/>
      <c r="E36" s="1436"/>
      <c r="F36" s="1436"/>
      <c r="G36" s="1453"/>
      <c r="H36" s="1436"/>
      <c r="I36" s="1601"/>
      <c r="J36" s="1605"/>
      <c r="K36" s="1606"/>
      <c r="M36" s="1482"/>
      <c r="N36" s="1482"/>
      <c r="O36" s="1482"/>
      <c r="P36" s="1482"/>
      <c r="Q36" s="1482"/>
      <c r="R36" s="1482"/>
      <c r="S36" s="1482"/>
      <c r="T36" s="1482"/>
      <c r="U36" s="1482"/>
      <c r="V36" s="1482"/>
      <c r="W36" s="1482"/>
      <c r="X36" s="1482"/>
      <c r="Y36" s="1482"/>
      <c r="Z36" s="1482"/>
    </row>
    <row r="37" spans="1:26" ht="18" customHeight="1" x14ac:dyDescent="0.25">
      <c r="A37" s="1488"/>
      <c r="B37" s="1488"/>
      <c r="D37" s="1604"/>
      <c r="E37" s="1436"/>
      <c r="F37" s="1436"/>
      <c r="G37" s="1453"/>
      <c r="H37" s="1436"/>
      <c r="I37" s="1601"/>
      <c r="J37" s="1605"/>
      <c r="K37" s="1606"/>
      <c r="M37" s="1482"/>
      <c r="N37" s="1482"/>
      <c r="O37" s="1482"/>
      <c r="P37" s="1482"/>
      <c r="Q37" s="1482"/>
      <c r="R37" s="1482"/>
      <c r="S37" s="1482"/>
      <c r="T37" s="1482"/>
      <c r="U37" s="1482"/>
      <c r="V37" s="1482"/>
      <c r="W37" s="1482"/>
      <c r="X37" s="1482"/>
      <c r="Y37" s="1482"/>
      <c r="Z37" s="1482"/>
    </row>
    <row r="38" spans="1:26" ht="18" customHeight="1" x14ac:dyDescent="0.25">
      <c r="A38" s="1488"/>
      <c r="B38" s="1488"/>
      <c r="D38" s="1604"/>
      <c r="E38" s="1436"/>
      <c r="F38" s="1436"/>
      <c r="G38" s="1453"/>
      <c r="H38" s="1436"/>
      <c r="I38" s="1601"/>
      <c r="J38" s="1605"/>
      <c r="K38" s="1606"/>
      <c r="M38" s="1482"/>
      <c r="N38" s="1482"/>
      <c r="O38" s="1482"/>
      <c r="P38" s="1482"/>
      <c r="Q38" s="1482"/>
      <c r="R38" s="1482"/>
      <c r="S38" s="1482"/>
      <c r="T38" s="1482"/>
      <c r="U38" s="1482"/>
      <c r="V38" s="1482"/>
      <c r="W38" s="1482"/>
      <c r="X38" s="1482"/>
      <c r="Y38" s="1482"/>
      <c r="Z38" s="1482"/>
    </row>
    <row r="39" spans="1:26" ht="15" customHeight="1" x14ac:dyDescent="0.25">
      <c r="A39" s="1488"/>
      <c r="B39" s="1488"/>
      <c r="D39" s="1442"/>
      <c r="E39" s="1442"/>
      <c r="F39" s="1442"/>
      <c r="G39" s="1442"/>
      <c r="H39" s="1442"/>
      <c r="I39" s="1607"/>
      <c r="J39" s="1607"/>
      <c r="K39" s="1442"/>
      <c r="M39" s="1482"/>
      <c r="N39" s="1482"/>
      <c r="O39" s="1482"/>
      <c r="P39" s="1482"/>
      <c r="Q39" s="1482"/>
      <c r="R39" s="1482"/>
      <c r="S39" s="1482"/>
      <c r="T39" s="1482"/>
      <c r="U39" s="1482"/>
      <c r="V39" s="1482"/>
      <c r="W39" s="1482"/>
      <c r="X39" s="1482"/>
      <c r="Y39" s="1482"/>
      <c r="Z39" s="1482"/>
    </row>
    <row r="40" spans="1:26" ht="19.5" customHeight="1" x14ac:dyDescent="0.3">
      <c r="A40" s="1488"/>
      <c r="B40" s="1488"/>
      <c r="D40" s="1600"/>
      <c r="E40" s="1436"/>
      <c r="F40" s="1436"/>
      <c r="G40" s="1608"/>
      <c r="H40" s="1436"/>
      <c r="I40" s="1601"/>
      <c r="J40" s="1609"/>
      <c r="K40" s="1610"/>
      <c r="M40" s="1482"/>
      <c r="N40" s="1482"/>
      <c r="O40" s="1482"/>
      <c r="P40" s="1482"/>
      <c r="Q40" s="1482"/>
      <c r="R40" s="1482"/>
      <c r="S40" s="1482"/>
      <c r="T40" s="1482"/>
      <c r="U40" s="1482"/>
      <c r="V40" s="1482"/>
      <c r="W40" s="1482"/>
      <c r="X40" s="1482"/>
      <c r="Y40" s="1482"/>
      <c r="Z40" s="1482"/>
    </row>
    <row r="41" spans="1:26" x14ac:dyDescent="0.25">
      <c r="A41" s="1488"/>
      <c r="B41" s="1488"/>
      <c r="D41" s="1436"/>
      <c r="E41" s="1436"/>
      <c r="F41" s="1436"/>
      <c r="G41" s="1436"/>
      <c r="H41" s="1436"/>
      <c r="I41" s="1436"/>
      <c r="J41" s="1436"/>
      <c r="K41" s="1611"/>
      <c r="M41" s="1482"/>
      <c r="N41" s="1482"/>
      <c r="O41" s="1482"/>
      <c r="P41" s="1482"/>
      <c r="Q41" s="1482"/>
      <c r="R41" s="1482"/>
      <c r="S41" s="1482"/>
      <c r="T41" s="1482"/>
      <c r="U41" s="1482"/>
      <c r="V41" s="1482"/>
      <c r="W41" s="1482"/>
      <c r="X41" s="1482"/>
      <c r="Y41" s="1482"/>
      <c r="Z41" s="1482"/>
    </row>
    <row r="42" spans="1:26" ht="13" x14ac:dyDescent="0.3">
      <c r="A42" s="1488"/>
      <c r="B42" s="1488"/>
      <c r="D42" s="1614"/>
      <c r="E42" s="1612"/>
      <c r="F42" s="1436"/>
      <c r="G42" s="1436"/>
      <c r="H42" s="1436"/>
      <c r="I42" s="1613"/>
      <c r="J42" s="1436"/>
      <c r="K42" s="1436"/>
      <c r="M42" s="1482"/>
      <c r="N42" s="1482"/>
      <c r="O42" s="1482"/>
      <c r="P42" s="1482"/>
      <c r="Q42" s="1482"/>
      <c r="R42" s="1482"/>
      <c r="S42" s="1482"/>
      <c r="T42" s="1482"/>
      <c r="U42" s="1482"/>
      <c r="V42" s="1482"/>
      <c r="W42" s="1482"/>
      <c r="X42" s="1482"/>
      <c r="Y42" s="1482"/>
      <c r="Z42" s="1482"/>
    </row>
    <row r="43" spans="1:26" x14ac:dyDescent="0.25">
      <c r="A43" s="1488"/>
      <c r="B43" s="1488"/>
      <c r="E43" s="1436"/>
      <c r="F43" s="1436"/>
      <c r="G43" s="1436"/>
      <c r="H43" s="1436"/>
      <c r="I43" s="1436"/>
      <c r="J43" s="1436"/>
      <c r="K43" s="1436"/>
      <c r="M43" s="1482"/>
      <c r="N43" s="1482"/>
      <c r="O43" s="1482"/>
      <c r="P43" s="1482"/>
      <c r="Q43" s="1482"/>
      <c r="R43" s="1482"/>
      <c r="S43" s="1482"/>
      <c r="T43" s="1482"/>
      <c r="U43" s="1482"/>
      <c r="V43" s="1482"/>
      <c r="W43" s="1482"/>
      <c r="X43" s="1482"/>
      <c r="Y43" s="1482"/>
      <c r="Z43" s="1482"/>
    </row>
    <row r="44" spans="1:26" x14ac:dyDescent="0.25">
      <c r="A44" s="1488"/>
      <c r="B44" s="1488"/>
      <c r="D44" s="1436"/>
      <c r="E44" s="1436"/>
      <c r="F44" s="1436"/>
      <c r="G44" s="1436"/>
      <c r="H44" s="1436"/>
      <c r="I44" s="1436"/>
      <c r="J44" s="1436"/>
      <c r="K44" s="1436"/>
      <c r="M44" s="1482"/>
      <c r="N44" s="1482"/>
      <c r="O44" s="1482"/>
      <c r="P44" s="1482"/>
      <c r="Q44" s="1482"/>
      <c r="R44" s="1482"/>
      <c r="S44" s="1482"/>
      <c r="T44" s="1482"/>
      <c r="U44" s="1482"/>
      <c r="V44" s="1482"/>
      <c r="W44" s="1482"/>
      <c r="X44" s="1482"/>
      <c r="Y44" s="1482"/>
      <c r="Z44" s="1482"/>
    </row>
    <row r="45" spans="1:26" x14ac:dyDescent="0.25">
      <c r="A45" s="1488"/>
      <c r="B45" s="1488"/>
      <c r="M45" s="1482"/>
      <c r="N45" s="1482"/>
      <c r="O45" s="1482"/>
      <c r="P45" s="1482"/>
      <c r="Q45" s="1482"/>
      <c r="R45" s="1482"/>
      <c r="S45" s="1482"/>
      <c r="T45" s="1482"/>
      <c r="U45" s="1482"/>
      <c r="V45" s="1482"/>
      <c r="W45" s="1482"/>
      <c r="X45" s="1482"/>
      <c r="Y45" s="1482"/>
      <c r="Z45" s="1482"/>
    </row>
    <row r="46" spans="1:26" ht="15.5" x14ac:dyDescent="0.35">
      <c r="A46" s="1488"/>
      <c r="B46" s="1488"/>
      <c r="D46" s="1615"/>
      <c r="F46" s="1616"/>
      <c r="M46" s="1482"/>
      <c r="N46" s="1482"/>
      <c r="O46" s="1482"/>
      <c r="P46" s="1482"/>
      <c r="Q46" s="1482"/>
      <c r="R46" s="1482"/>
      <c r="S46" s="1482"/>
      <c r="T46" s="1482"/>
      <c r="U46" s="1482"/>
      <c r="V46" s="1482"/>
      <c r="W46" s="1482"/>
      <c r="X46" s="1482"/>
      <c r="Y46" s="1482"/>
      <c r="Z46" s="1482"/>
    </row>
    <row r="47" spans="1:26" ht="15" customHeight="1" x14ac:dyDescent="0.25">
      <c r="A47" s="1488"/>
      <c r="B47" s="1488"/>
      <c r="M47" s="1482"/>
      <c r="N47" s="1482"/>
      <c r="O47" s="1482"/>
      <c r="P47" s="1482"/>
      <c r="Q47" s="1482"/>
      <c r="R47" s="1482"/>
      <c r="S47" s="1482"/>
      <c r="T47" s="1482"/>
      <c r="U47" s="1482"/>
      <c r="V47" s="1482"/>
      <c r="W47" s="1482"/>
      <c r="X47" s="1482"/>
      <c r="Y47" s="1482"/>
      <c r="Z47" s="1482"/>
    </row>
    <row r="48" spans="1:26" x14ac:dyDescent="0.25">
      <c r="A48" s="1488"/>
      <c r="B48" s="1488"/>
      <c r="M48" s="1482"/>
      <c r="N48" s="1482"/>
      <c r="O48" s="1482"/>
      <c r="P48" s="1482"/>
      <c r="Q48" s="1482"/>
      <c r="R48" s="1482"/>
      <c r="S48" s="1482"/>
      <c r="T48" s="1482"/>
      <c r="U48" s="1482"/>
      <c r="V48" s="1482"/>
      <c r="W48" s="1482"/>
      <c r="X48" s="1482"/>
      <c r="Y48" s="1482"/>
      <c r="Z48" s="1482"/>
    </row>
    <row r="49" spans="1:26" x14ac:dyDescent="0.25">
      <c r="A49" s="1488"/>
      <c r="B49" s="1488"/>
      <c r="C49" s="1482"/>
      <c r="D49" s="1482"/>
      <c r="E49" s="1482"/>
      <c r="F49" s="1482"/>
      <c r="G49" s="1482"/>
      <c r="H49" s="1482"/>
      <c r="I49" s="1482"/>
      <c r="J49" s="1482"/>
      <c r="K49" s="1482"/>
      <c r="L49" s="1482"/>
      <c r="M49" s="1482"/>
      <c r="N49" s="1482"/>
      <c r="O49" s="1482"/>
      <c r="P49" s="1482"/>
      <c r="Q49" s="1482"/>
      <c r="R49" s="1482"/>
      <c r="S49" s="1482"/>
      <c r="T49" s="1482"/>
      <c r="U49" s="1482"/>
      <c r="V49" s="1482"/>
      <c r="W49" s="1482"/>
      <c r="X49" s="1482"/>
      <c r="Y49" s="1482"/>
      <c r="Z49" s="1482"/>
    </row>
    <row r="50" spans="1:26" x14ac:dyDescent="0.25">
      <c r="A50" s="1488"/>
      <c r="B50" s="1488"/>
      <c r="C50" s="1482"/>
      <c r="D50" s="1482"/>
      <c r="E50" s="1482"/>
      <c r="F50" s="1482"/>
      <c r="G50" s="1482"/>
      <c r="H50" s="1482"/>
      <c r="I50" s="1482"/>
      <c r="J50" s="1482"/>
      <c r="K50" s="1482"/>
      <c r="L50" s="1482"/>
      <c r="M50" s="1482"/>
      <c r="N50" s="1482"/>
      <c r="O50" s="1482"/>
      <c r="P50" s="1482"/>
      <c r="Q50" s="1482"/>
      <c r="R50" s="1482"/>
      <c r="S50" s="1482"/>
      <c r="T50" s="1482"/>
      <c r="U50" s="1482"/>
      <c r="V50" s="1482"/>
      <c r="W50" s="1482"/>
      <c r="X50" s="1482"/>
      <c r="Y50" s="1482"/>
      <c r="Z50" s="1482"/>
    </row>
    <row r="51" spans="1:26" x14ac:dyDescent="0.25">
      <c r="A51" s="1488"/>
      <c r="B51" s="1488"/>
      <c r="C51" s="1482"/>
      <c r="D51" s="1482"/>
      <c r="E51" s="1482"/>
      <c r="F51" s="1482"/>
      <c r="G51" s="1482"/>
      <c r="H51" s="1482"/>
      <c r="I51" s="1482"/>
      <c r="J51" s="1482"/>
      <c r="K51" s="1482"/>
      <c r="L51" s="1482"/>
      <c r="M51" s="1482"/>
      <c r="N51" s="1482"/>
      <c r="O51" s="1482"/>
      <c r="P51" s="1482"/>
      <c r="Q51" s="1482"/>
      <c r="R51" s="1482"/>
      <c r="S51" s="1482"/>
      <c r="T51" s="1482"/>
      <c r="U51" s="1482"/>
      <c r="V51" s="1482"/>
      <c r="W51" s="1482"/>
      <c r="X51" s="1482"/>
      <c r="Y51" s="1482"/>
      <c r="Z51" s="1482"/>
    </row>
    <row r="52" spans="1:26" x14ac:dyDescent="0.25">
      <c r="A52" s="1488"/>
      <c r="B52" s="1488"/>
      <c r="C52" s="1482"/>
      <c r="D52" s="1482"/>
      <c r="E52" s="1482"/>
      <c r="F52" s="1482"/>
      <c r="G52" s="1482"/>
      <c r="H52" s="1482"/>
      <c r="I52" s="1482"/>
      <c r="J52" s="1482"/>
      <c r="K52" s="1482"/>
      <c r="L52" s="1482"/>
      <c r="M52" s="1482"/>
      <c r="N52" s="1482"/>
      <c r="O52" s="1482"/>
      <c r="P52" s="1482"/>
      <c r="Q52" s="1482"/>
      <c r="R52" s="1482"/>
      <c r="S52" s="1482"/>
      <c r="T52" s="1482"/>
      <c r="U52" s="1482"/>
      <c r="V52" s="1482"/>
      <c r="W52" s="1482"/>
      <c r="X52" s="1482"/>
      <c r="Y52" s="1482"/>
      <c r="Z52" s="1482"/>
    </row>
    <row r="53" spans="1:26" x14ac:dyDescent="0.25">
      <c r="A53" s="1488"/>
      <c r="B53" s="1488"/>
      <c r="C53" s="1482"/>
      <c r="D53" s="1482"/>
      <c r="E53" s="1482"/>
      <c r="F53" s="1482"/>
      <c r="G53" s="1482"/>
      <c r="H53" s="1482"/>
      <c r="I53" s="1482"/>
      <c r="J53" s="1482"/>
      <c r="K53" s="1482"/>
      <c r="L53" s="1482"/>
      <c r="M53" s="1482"/>
      <c r="N53" s="1482"/>
      <c r="O53" s="1482"/>
      <c r="P53" s="1482"/>
      <c r="Q53" s="1482"/>
      <c r="R53" s="1482"/>
      <c r="S53" s="1482"/>
      <c r="T53" s="1482"/>
      <c r="U53" s="1482"/>
      <c r="V53" s="1482"/>
      <c r="W53" s="1482"/>
      <c r="X53" s="1482"/>
      <c r="Y53" s="1482"/>
      <c r="Z53" s="1482"/>
    </row>
    <row r="54" spans="1:26" x14ac:dyDescent="0.25">
      <c r="A54" s="1488"/>
      <c r="B54" s="1488"/>
      <c r="C54" s="1482"/>
      <c r="D54" s="1482"/>
      <c r="E54" s="1482"/>
      <c r="F54" s="1482"/>
      <c r="G54" s="1482"/>
      <c r="H54" s="1482"/>
      <c r="I54" s="1482"/>
      <c r="J54" s="1482"/>
      <c r="K54" s="1482"/>
      <c r="L54" s="1482"/>
      <c r="M54" s="1482"/>
      <c r="N54" s="1482"/>
      <c r="O54" s="1482"/>
      <c r="P54" s="1482"/>
      <c r="Q54" s="1482"/>
      <c r="R54" s="1482"/>
      <c r="S54" s="1482"/>
      <c r="T54" s="1482"/>
      <c r="U54" s="1482"/>
      <c r="V54" s="1482"/>
      <c r="W54" s="1482"/>
      <c r="X54" s="1482"/>
      <c r="Y54" s="1482"/>
      <c r="Z54" s="1482"/>
    </row>
    <row r="55" spans="1:26" x14ac:dyDescent="0.25">
      <c r="A55" s="1488"/>
      <c r="B55" s="1488"/>
      <c r="C55" s="1482"/>
      <c r="D55" s="1482"/>
      <c r="E55" s="1482"/>
      <c r="F55" s="1482"/>
      <c r="G55" s="1482"/>
      <c r="H55" s="1482"/>
      <c r="I55" s="1482"/>
      <c r="J55" s="1482"/>
      <c r="K55" s="1482"/>
      <c r="L55" s="1482"/>
      <c r="M55" s="1482"/>
      <c r="N55" s="1482"/>
      <c r="O55" s="1482"/>
      <c r="P55" s="1482"/>
      <c r="Q55" s="1482"/>
      <c r="R55" s="1482"/>
      <c r="S55" s="1482"/>
      <c r="T55" s="1482"/>
      <c r="U55" s="1482"/>
      <c r="V55" s="1482"/>
      <c r="W55" s="1482"/>
      <c r="X55" s="1482"/>
      <c r="Y55" s="1482"/>
      <c r="Z55" s="1482"/>
    </row>
    <row r="56" spans="1:26" x14ac:dyDescent="0.25">
      <c r="A56" s="1488"/>
      <c r="B56" s="1488"/>
      <c r="C56" s="1482"/>
      <c r="D56" s="1482"/>
      <c r="E56" s="1482"/>
      <c r="F56" s="1482"/>
      <c r="G56" s="1482"/>
      <c r="H56" s="1482"/>
      <c r="I56" s="1482"/>
      <c r="J56" s="1482"/>
      <c r="K56" s="1482"/>
      <c r="L56" s="1482"/>
      <c r="M56" s="1482"/>
      <c r="N56" s="1482"/>
      <c r="O56" s="1482"/>
      <c r="P56" s="1482"/>
      <c r="Q56" s="1482"/>
      <c r="R56" s="1482"/>
      <c r="S56" s="1482"/>
      <c r="T56" s="1482"/>
      <c r="U56" s="1482"/>
      <c r="V56" s="1482"/>
      <c r="W56" s="1482"/>
      <c r="X56" s="1482"/>
      <c r="Y56" s="1482"/>
      <c r="Z56" s="1482"/>
    </row>
    <row r="57" spans="1:26" x14ac:dyDescent="0.25">
      <c r="A57" s="1488"/>
      <c r="B57" s="1488"/>
      <c r="C57" s="1482"/>
      <c r="D57" s="1482"/>
      <c r="E57" s="1482"/>
      <c r="F57" s="1482"/>
      <c r="G57" s="1482"/>
      <c r="H57" s="1482"/>
      <c r="I57" s="1482"/>
      <c r="J57" s="1482"/>
      <c r="K57" s="1482"/>
      <c r="L57" s="1482"/>
      <c r="M57" s="1482"/>
      <c r="N57" s="1482"/>
      <c r="O57" s="1482"/>
      <c r="P57" s="1482"/>
      <c r="Q57" s="1482"/>
      <c r="R57" s="1482"/>
      <c r="S57" s="1482"/>
      <c r="T57" s="1482"/>
      <c r="U57" s="1482"/>
      <c r="V57" s="1482"/>
      <c r="W57" s="1482"/>
      <c r="X57" s="1482"/>
      <c r="Y57" s="1482"/>
      <c r="Z57" s="1482"/>
    </row>
    <row r="58" spans="1:26" x14ac:dyDescent="0.25">
      <c r="A58" s="1488"/>
      <c r="B58" s="1488"/>
      <c r="C58" s="1482"/>
      <c r="D58" s="1482"/>
      <c r="E58" s="1482"/>
      <c r="F58" s="1482"/>
      <c r="G58" s="1482"/>
      <c r="H58" s="1482"/>
      <c r="I58" s="1482"/>
      <c r="J58" s="1482"/>
      <c r="K58" s="1482"/>
      <c r="L58" s="1482"/>
      <c r="M58" s="1482"/>
      <c r="N58" s="1482"/>
      <c r="O58" s="1482"/>
      <c r="P58" s="1482"/>
      <c r="Q58" s="1482"/>
      <c r="R58" s="1482"/>
      <c r="S58" s="1482"/>
      <c r="T58" s="1482"/>
      <c r="U58" s="1482"/>
      <c r="V58" s="1482"/>
      <c r="W58" s="1482"/>
      <c r="X58" s="1482"/>
      <c r="Y58" s="1482"/>
      <c r="Z58" s="1482"/>
    </row>
    <row r="59" spans="1:26" x14ac:dyDescent="0.25">
      <c r="A59" s="1488"/>
      <c r="B59" s="1488"/>
      <c r="C59" s="1482"/>
      <c r="D59" s="1482"/>
      <c r="E59" s="1482"/>
      <c r="F59" s="1482"/>
      <c r="G59" s="1482"/>
      <c r="H59" s="1482"/>
      <c r="I59" s="1482"/>
      <c r="J59" s="1482"/>
      <c r="K59" s="1482"/>
      <c r="L59" s="1482"/>
      <c r="M59" s="1482"/>
      <c r="N59" s="1482"/>
      <c r="O59" s="1482"/>
      <c r="P59" s="1482"/>
      <c r="Q59" s="1482"/>
      <c r="R59" s="1482"/>
      <c r="S59" s="1482"/>
      <c r="T59" s="1482"/>
      <c r="U59" s="1482"/>
      <c r="V59" s="1482"/>
      <c r="W59" s="1482"/>
      <c r="X59" s="1482"/>
      <c r="Y59" s="1482"/>
      <c r="Z59" s="1482"/>
    </row>
    <row r="60" spans="1:26" x14ac:dyDescent="0.25">
      <c r="A60" s="1488"/>
      <c r="B60" s="1488"/>
      <c r="C60" s="1482"/>
      <c r="D60" s="1482"/>
      <c r="E60" s="1482"/>
      <c r="F60" s="1482"/>
      <c r="G60" s="1482"/>
      <c r="H60" s="1482"/>
      <c r="I60" s="1482"/>
      <c r="J60" s="1482"/>
      <c r="K60" s="1482"/>
      <c r="L60" s="1482"/>
      <c r="M60" s="1482"/>
      <c r="N60" s="1482"/>
      <c r="O60" s="1482"/>
      <c r="P60" s="1482"/>
      <c r="Q60" s="1482"/>
      <c r="R60" s="1482"/>
      <c r="S60" s="1482"/>
      <c r="T60" s="1482"/>
      <c r="U60" s="1482"/>
      <c r="V60" s="1482"/>
      <c r="W60" s="1482"/>
      <c r="X60" s="1482"/>
      <c r="Y60" s="1482"/>
      <c r="Z60" s="1482"/>
    </row>
    <row r="61" spans="1:26" x14ac:dyDescent="0.25">
      <c r="A61" s="1488"/>
      <c r="B61" s="1488"/>
      <c r="C61" s="1482"/>
      <c r="D61" s="1482"/>
      <c r="E61" s="1482"/>
      <c r="F61" s="1482"/>
      <c r="G61" s="1482"/>
      <c r="H61" s="1482"/>
      <c r="I61" s="1482"/>
      <c r="J61" s="1482"/>
      <c r="K61" s="1482"/>
      <c r="L61" s="1482"/>
      <c r="M61" s="1482"/>
      <c r="N61" s="1482"/>
      <c r="O61" s="1482"/>
      <c r="P61" s="1482"/>
      <c r="Q61" s="1482"/>
      <c r="R61" s="1482"/>
      <c r="S61" s="1482"/>
      <c r="T61" s="1482"/>
      <c r="U61" s="1482"/>
      <c r="V61" s="1482"/>
      <c r="W61" s="1482"/>
      <c r="X61" s="1482"/>
      <c r="Y61" s="1482"/>
      <c r="Z61" s="1482"/>
    </row>
    <row r="62" spans="1:26" x14ac:dyDescent="0.25">
      <c r="A62" s="1488"/>
      <c r="B62" s="1488"/>
      <c r="C62" s="1482"/>
      <c r="D62" s="1482"/>
      <c r="E62" s="1482"/>
      <c r="F62" s="1482"/>
      <c r="G62" s="1482"/>
      <c r="H62" s="1482"/>
      <c r="I62" s="1482"/>
      <c r="J62" s="1482"/>
      <c r="K62" s="1482"/>
      <c r="L62" s="1482"/>
      <c r="M62" s="1482"/>
      <c r="N62" s="1482"/>
      <c r="O62" s="1482"/>
      <c r="P62" s="1482"/>
      <c r="Q62" s="1482"/>
      <c r="R62" s="1482"/>
      <c r="S62" s="1482"/>
      <c r="T62" s="1482"/>
      <c r="U62" s="1482"/>
      <c r="V62" s="1482"/>
      <c r="W62" s="1482"/>
      <c r="X62" s="1482"/>
      <c r="Y62" s="1482"/>
      <c r="Z62" s="1482"/>
    </row>
    <row r="63" spans="1:26" x14ac:dyDescent="0.25">
      <c r="A63" s="1488"/>
      <c r="B63" s="1488"/>
      <c r="C63" s="1482"/>
      <c r="D63" s="1482"/>
      <c r="E63" s="1482"/>
      <c r="F63" s="1482"/>
      <c r="G63" s="1482"/>
      <c r="H63" s="1482"/>
      <c r="I63" s="1482"/>
      <c r="J63" s="1482"/>
      <c r="K63" s="1482"/>
      <c r="L63" s="1482"/>
      <c r="M63" s="1482"/>
      <c r="N63" s="1482"/>
      <c r="O63" s="1482"/>
      <c r="P63" s="1482"/>
      <c r="Q63" s="1482"/>
      <c r="R63" s="1482"/>
      <c r="S63" s="1482"/>
      <c r="T63" s="1482"/>
      <c r="U63" s="1482"/>
      <c r="V63" s="1482"/>
      <c r="W63" s="1482"/>
      <c r="X63" s="1482"/>
      <c r="Y63" s="1482"/>
      <c r="Z63" s="1482"/>
    </row>
    <row r="64" spans="1:26" x14ac:dyDescent="0.25">
      <c r="A64" s="1488"/>
      <c r="B64" s="1488"/>
      <c r="C64" s="1482"/>
      <c r="D64" s="1482"/>
      <c r="E64" s="1482"/>
      <c r="F64" s="1482"/>
      <c r="G64" s="1482"/>
      <c r="H64" s="1482"/>
      <c r="I64" s="1482"/>
      <c r="J64" s="1482"/>
      <c r="K64" s="1482"/>
      <c r="L64" s="1482"/>
      <c r="M64" s="1482"/>
      <c r="N64" s="1482"/>
      <c r="O64" s="1482"/>
      <c r="P64" s="1482"/>
      <c r="Q64" s="1482"/>
      <c r="R64" s="1482"/>
      <c r="S64" s="1482"/>
      <c r="T64" s="1482"/>
      <c r="U64" s="1482"/>
      <c r="V64" s="1482"/>
      <c r="W64" s="1482"/>
      <c r="X64" s="1482"/>
      <c r="Y64" s="1482"/>
      <c r="Z64" s="1482"/>
    </row>
    <row r="65" spans="1:26" x14ac:dyDescent="0.25">
      <c r="A65" s="1488"/>
      <c r="B65" s="1488"/>
      <c r="C65" s="1482"/>
      <c r="D65" s="1482"/>
      <c r="E65" s="1482"/>
      <c r="F65" s="1482"/>
      <c r="G65" s="1482"/>
      <c r="H65" s="1482"/>
      <c r="I65" s="1482"/>
      <c r="J65" s="1482"/>
      <c r="K65" s="1482"/>
      <c r="L65" s="1482"/>
      <c r="M65" s="1482"/>
      <c r="N65" s="1482"/>
      <c r="O65" s="1482"/>
      <c r="P65" s="1482"/>
      <c r="Q65" s="1482"/>
      <c r="R65" s="1482"/>
      <c r="S65" s="1482"/>
      <c r="T65" s="1482"/>
      <c r="U65" s="1482"/>
      <c r="V65" s="1482"/>
      <c r="W65" s="1482"/>
      <c r="X65" s="1482"/>
      <c r="Y65" s="1482"/>
      <c r="Z65" s="1482"/>
    </row>
    <row r="66" spans="1:26" x14ac:dyDescent="0.25">
      <c r="A66" s="1488"/>
      <c r="B66" s="1488"/>
      <c r="C66" s="1482"/>
      <c r="D66" s="1482"/>
      <c r="E66" s="1482"/>
      <c r="F66" s="1482"/>
      <c r="G66" s="1482"/>
      <c r="H66" s="1482"/>
      <c r="I66" s="1482"/>
      <c r="J66" s="1482"/>
      <c r="K66" s="1482"/>
      <c r="L66" s="1482"/>
      <c r="M66" s="1482"/>
      <c r="N66" s="1482"/>
      <c r="O66" s="1482"/>
      <c r="P66" s="1482"/>
      <c r="Q66" s="1482"/>
      <c r="R66" s="1482"/>
      <c r="S66" s="1482"/>
      <c r="T66" s="1482"/>
      <c r="U66" s="1482"/>
      <c r="V66" s="1482"/>
      <c r="W66" s="1482"/>
      <c r="X66" s="1482"/>
      <c r="Y66" s="1482"/>
      <c r="Z66" s="1482"/>
    </row>
    <row r="67" spans="1:26" x14ac:dyDescent="0.25">
      <c r="A67" s="1488"/>
      <c r="B67" s="1488"/>
      <c r="C67" s="1482"/>
      <c r="D67" s="1482"/>
      <c r="E67" s="1482"/>
      <c r="F67" s="1482"/>
      <c r="G67" s="1482"/>
      <c r="H67" s="1482"/>
      <c r="I67" s="1482"/>
      <c r="J67" s="1482"/>
      <c r="K67" s="1482"/>
      <c r="L67" s="1482"/>
      <c r="M67" s="1482"/>
      <c r="N67" s="1482"/>
      <c r="O67" s="1482"/>
      <c r="P67" s="1482"/>
      <c r="Q67" s="1482"/>
      <c r="R67" s="1482"/>
      <c r="S67" s="1482"/>
      <c r="T67" s="1482"/>
      <c r="U67" s="1482"/>
      <c r="V67" s="1482"/>
      <c r="W67" s="1482"/>
      <c r="X67" s="1482"/>
      <c r="Y67" s="1482"/>
      <c r="Z67" s="1482"/>
    </row>
    <row r="68" spans="1:26" x14ac:dyDescent="0.25">
      <c r="A68" s="1488"/>
      <c r="B68" s="1488"/>
      <c r="C68" s="1482"/>
      <c r="D68" s="1482"/>
      <c r="E68" s="1482"/>
      <c r="F68" s="1482"/>
      <c r="G68" s="1482"/>
      <c r="H68" s="1482"/>
      <c r="I68" s="1482"/>
      <c r="J68" s="1482"/>
      <c r="K68" s="1482"/>
      <c r="L68" s="1482"/>
      <c r="M68" s="1482"/>
      <c r="N68" s="1482"/>
      <c r="O68" s="1482"/>
      <c r="P68" s="1482"/>
      <c r="Q68" s="1482"/>
      <c r="R68" s="1482"/>
      <c r="S68" s="1482"/>
      <c r="T68" s="1482"/>
      <c r="U68" s="1482"/>
      <c r="V68" s="1482"/>
      <c r="W68" s="1482"/>
      <c r="X68" s="1482"/>
      <c r="Y68" s="1482"/>
      <c r="Z68" s="1482"/>
    </row>
    <row r="69" spans="1:26" x14ac:dyDescent="0.25">
      <c r="A69" s="1488"/>
      <c r="B69" s="1488"/>
      <c r="C69" s="1482"/>
      <c r="D69" s="1482"/>
      <c r="E69" s="1482"/>
      <c r="F69" s="1482"/>
      <c r="G69" s="1482"/>
      <c r="H69" s="1482"/>
      <c r="I69" s="1482"/>
      <c r="J69" s="1482"/>
      <c r="K69" s="1482"/>
      <c r="L69" s="1482"/>
      <c r="M69" s="1482"/>
      <c r="N69" s="1482"/>
      <c r="O69" s="1482"/>
      <c r="P69" s="1482"/>
      <c r="Q69" s="1482"/>
      <c r="R69" s="1482"/>
      <c r="S69" s="1482"/>
      <c r="T69" s="1482"/>
      <c r="U69" s="1482"/>
      <c r="V69" s="1482"/>
      <c r="W69" s="1482"/>
      <c r="X69" s="1482"/>
      <c r="Y69" s="1482"/>
      <c r="Z69" s="1482"/>
    </row>
    <row r="70" spans="1:26" x14ac:dyDescent="0.25">
      <c r="A70" s="1488"/>
      <c r="B70" s="1488"/>
      <c r="C70" s="1482"/>
      <c r="D70" s="1482"/>
      <c r="E70" s="1482"/>
      <c r="F70" s="1482"/>
      <c r="G70" s="1482"/>
      <c r="H70" s="1482"/>
      <c r="I70" s="1482"/>
      <c r="J70" s="1482"/>
      <c r="K70" s="1482"/>
      <c r="L70" s="1482"/>
      <c r="M70" s="1482"/>
      <c r="N70" s="1482"/>
      <c r="O70" s="1482"/>
      <c r="P70" s="1482"/>
      <c r="Q70" s="1482"/>
      <c r="R70" s="1482"/>
      <c r="S70" s="1482"/>
      <c r="T70" s="1482"/>
      <c r="U70" s="1482"/>
      <c r="V70" s="1482"/>
      <c r="W70" s="1482"/>
      <c r="X70" s="1482"/>
      <c r="Y70" s="1482"/>
      <c r="Z70" s="1482"/>
    </row>
    <row r="71" spans="1:26" x14ac:dyDescent="0.25">
      <c r="A71" s="1488"/>
      <c r="B71" s="1488"/>
      <c r="C71" s="1482"/>
      <c r="D71" s="1482"/>
      <c r="E71" s="1482"/>
      <c r="F71" s="1482"/>
      <c r="G71" s="1482"/>
      <c r="H71" s="1482"/>
      <c r="I71" s="1482"/>
      <c r="J71" s="1482"/>
      <c r="K71" s="1482"/>
      <c r="L71" s="1482"/>
      <c r="M71" s="1482"/>
      <c r="N71" s="1482"/>
      <c r="O71" s="1482"/>
      <c r="P71" s="1482"/>
      <c r="Q71" s="1482"/>
      <c r="R71" s="1482"/>
      <c r="S71" s="1482"/>
      <c r="T71" s="1482"/>
      <c r="U71" s="1482"/>
      <c r="V71" s="1482"/>
      <c r="W71" s="1482"/>
      <c r="X71" s="1482"/>
      <c r="Y71" s="1482"/>
      <c r="Z71" s="1482"/>
    </row>
    <row r="72" spans="1:26" x14ac:dyDescent="0.25">
      <c r="A72" s="1488"/>
      <c r="B72" s="1488"/>
      <c r="C72" s="1482"/>
      <c r="D72" s="1482"/>
      <c r="E72" s="1482"/>
      <c r="F72" s="1482"/>
      <c r="G72" s="1482"/>
      <c r="H72" s="1482"/>
      <c r="I72" s="1482"/>
      <c r="J72" s="1482"/>
      <c r="K72" s="1482"/>
      <c r="L72" s="1482"/>
      <c r="M72" s="1482"/>
      <c r="N72" s="1482"/>
      <c r="O72" s="1482"/>
      <c r="P72" s="1482"/>
      <c r="Q72" s="1482"/>
      <c r="R72" s="1482"/>
      <c r="S72" s="1482"/>
      <c r="T72" s="1482"/>
      <c r="U72" s="1482"/>
      <c r="V72" s="1482"/>
      <c r="W72" s="1482"/>
      <c r="X72" s="1482"/>
      <c r="Y72" s="1482"/>
      <c r="Z72" s="1482"/>
    </row>
  </sheetData>
  <phoneticPr fontId="124" type="noConversion"/>
  <dataValidations count="2">
    <dataValidation type="date" allowBlank="1" showInputMessage="1" showErrorMessage="1" errorTitle="Effective Date" error="Date must be within this list" sqref="G18" xr:uid="{056CEA3B-C419-4022-B305-EC1EA389E405}">
      <formula1>O4</formula1>
      <formula2>Q6</formula2>
    </dataValidation>
    <dataValidation type="date" allowBlank="1" showInputMessage="1" showErrorMessage="1" errorTitle="Effective Date" error="Date must be within this list" sqref="J18" xr:uid="{43DE5C7C-743D-4A6E-8964-083C70D857B4}">
      <formula1>O4</formula1>
      <formula2>Q6</formula2>
    </dataValidation>
  </dataValidations>
  <pageMargins left="0.75" right="0.75" top="0.44" bottom="1" header="0.3" footer="0.5"/>
  <pageSetup paperSize="9" orientation="portrait" blackAndWhite="1" horizontalDpi="3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005" r:id="rId4" name="basic2button">
              <controlPr defaultSize="0" print="0" autoFill="0" autoPict="0" macro="[0]!returnfromcopy">
                <anchor moveWithCells="1" sizeWithCells="1">
                  <from>
                    <xdr:col>12</xdr:col>
                    <xdr:colOff>622300</xdr:colOff>
                    <xdr:row>0</xdr:row>
                    <xdr:rowOff>152400</xdr:rowOff>
                  </from>
                  <to>
                    <xdr:col>12</xdr:col>
                    <xdr:colOff>1517650</xdr:colOff>
                    <xdr:row>1</xdr:row>
                    <xdr:rowOff>44450</xdr:rowOff>
                  </to>
                </anchor>
              </controlPr>
            </control>
          </mc:Choice>
        </mc:AlternateContent>
        <mc:AlternateContent xmlns:mc="http://schemas.openxmlformats.org/markup-compatibility/2006">
          <mc:Choice Requires="x14">
            <control shapeId="84006" r:id="rId5" name="basic2delbutton">
              <controlPr defaultSize="0" print="0" autoFill="0" autoPict="0" macro="[0]!delete_basic2button">
                <anchor moveWithCells="1" sizeWithCells="1">
                  <from>
                    <xdr:col>12</xdr:col>
                    <xdr:colOff>622300</xdr:colOff>
                    <xdr:row>1</xdr:row>
                    <xdr:rowOff>69850</xdr:rowOff>
                  </from>
                  <to>
                    <xdr:col>12</xdr:col>
                    <xdr:colOff>1517650</xdr:colOff>
                    <xdr:row>4</xdr:row>
                    <xdr:rowOff>44450</xdr:rowOff>
                  </to>
                </anchor>
              </controlPr>
            </control>
          </mc:Choice>
        </mc:AlternateContent>
        <mc:AlternateContent xmlns:mc="http://schemas.openxmlformats.org/markup-compatibility/2006">
          <mc:Choice Requires="x14">
            <control shapeId="84007" r:id="rId6" name="pdfbutton">
              <controlPr defaultSize="0" print="0" autoFill="0" autoPict="0" macro="[0]!pdfonly">
                <anchor moveWithCells="1" sizeWithCells="1">
                  <from>
                    <xdr:col>12</xdr:col>
                    <xdr:colOff>1606550</xdr:colOff>
                    <xdr:row>0</xdr:row>
                    <xdr:rowOff>311150</xdr:rowOff>
                  </from>
                  <to>
                    <xdr:col>14</xdr:col>
                    <xdr:colOff>158750</xdr:colOff>
                    <xdr:row>2</xdr:row>
                    <xdr:rowOff>69850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5F623-F929-4775-9B7A-579C6B59E037}">
  <sheetPr codeName="Sheet60">
    <pageSetUpPr fitToPage="1"/>
  </sheetPr>
  <dimension ref="A1:Z47"/>
  <sheetViews>
    <sheetView showGridLines="0" workbookViewId="0"/>
  </sheetViews>
  <sheetFormatPr defaultColWidth="9.08984375" defaultRowHeight="12.5" x14ac:dyDescent="0.25"/>
  <cols>
    <col min="1" max="1" width="6.08984375" style="2100" customWidth="1"/>
    <col min="2" max="2" width="2" style="1436" customWidth="1"/>
    <col min="3" max="3" width="9" style="1436" customWidth="1"/>
    <col min="4" max="4" width="3.90625" style="1436" customWidth="1"/>
    <col min="5" max="5" width="7.6328125" style="1436" customWidth="1"/>
    <col min="6" max="6" width="12.6328125" style="1436" customWidth="1"/>
    <col min="7" max="7" width="7.6328125" style="1436" customWidth="1"/>
    <col min="8" max="8" width="12.6328125" style="1436" customWidth="1"/>
    <col min="9" max="9" width="7.6328125" style="1436" customWidth="1"/>
    <col min="10" max="10" width="12.6328125" style="1436" customWidth="1"/>
    <col min="11" max="11" width="7.6328125" style="1436" customWidth="1"/>
    <col min="12" max="12" width="12.6328125" style="1436" customWidth="1"/>
    <col min="13" max="13" width="7.6328125" style="1436" customWidth="1"/>
    <col min="14" max="14" width="12.6328125" style="1436" customWidth="1"/>
    <col min="15" max="15" width="7.6328125" style="1436" customWidth="1"/>
    <col min="16" max="16" width="12.6328125" style="1436" customWidth="1"/>
    <col min="17" max="17" width="13.6328125" style="1436" customWidth="1"/>
    <col min="18" max="18" width="2.453125" style="1436" customWidth="1"/>
    <col min="19" max="19" width="16.08984375" style="1436" customWidth="1"/>
    <col min="20" max="20" width="5" style="1436" customWidth="1"/>
    <col min="21" max="21" width="13.6328125" style="2079" customWidth="1"/>
    <col min="22" max="22" width="16" style="1420" customWidth="1"/>
    <col min="23" max="23" width="14" style="1436" customWidth="1"/>
    <col min="24" max="16384" width="9.08984375" style="1436"/>
  </cols>
  <sheetData>
    <row r="1" spans="1:26" ht="29.25" customHeight="1" x14ac:dyDescent="0.25">
      <c r="A1" s="2099"/>
      <c r="B1" s="1550"/>
      <c r="C1" s="1550"/>
      <c r="D1" s="1550"/>
      <c r="E1" s="1550"/>
      <c r="F1" s="1550"/>
      <c r="G1" s="1550"/>
      <c r="H1" s="1550"/>
      <c r="I1" s="1550"/>
      <c r="J1" s="1550"/>
      <c r="K1" s="1550"/>
      <c r="L1" s="1550"/>
      <c r="M1" s="1550"/>
      <c r="N1" s="1550"/>
      <c r="O1" s="1550"/>
      <c r="P1" s="1550"/>
      <c r="Q1" s="1550"/>
      <c r="R1" s="1550"/>
      <c r="S1" s="1550"/>
      <c r="T1" s="1550"/>
      <c r="U1" s="1550"/>
      <c r="V1" s="1550"/>
      <c r="W1" s="1550"/>
      <c r="X1" s="1550"/>
      <c r="Y1" s="1550"/>
      <c r="Z1" s="1550"/>
    </row>
    <row r="2" spans="1:26" ht="20" x14ac:dyDescent="0.4">
      <c r="A2" s="2099"/>
      <c r="B2" s="1963"/>
      <c r="C2" s="1964"/>
      <c r="D2" s="1965"/>
      <c r="E2" s="1966"/>
      <c r="F2" s="1966"/>
      <c r="G2" s="1966"/>
      <c r="H2" s="1966"/>
      <c r="I2" s="1966"/>
      <c r="J2" s="1966"/>
      <c r="K2" s="1966"/>
      <c r="L2" s="1966"/>
      <c r="M2" s="1966"/>
      <c r="N2" s="1966"/>
      <c r="O2" s="1966"/>
      <c r="P2" s="1966"/>
      <c r="Q2" s="1966"/>
      <c r="R2" s="1966"/>
      <c r="S2" s="1550"/>
      <c r="T2" s="1550"/>
      <c r="U2" s="1550"/>
      <c r="V2" s="1550"/>
      <c r="W2" s="1550"/>
      <c r="X2" s="1550"/>
      <c r="Y2" s="1550"/>
      <c r="Z2" s="1550"/>
    </row>
    <row r="3" spans="1:26" ht="8.25" customHeight="1" x14ac:dyDescent="0.3">
      <c r="A3" s="2099"/>
      <c r="B3" s="1963"/>
      <c r="C3" s="1963"/>
      <c r="D3" s="1966"/>
      <c r="E3" s="1966"/>
      <c r="F3" s="1966"/>
      <c r="G3" s="1966"/>
      <c r="H3" s="1966"/>
      <c r="I3" s="1966"/>
      <c r="J3" s="1966"/>
      <c r="K3" s="1966"/>
      <c r="L3" s="1966"/>
      <c r="M3" s="1966"/>
      <c r="N3" s="1966"/>
      <c r="O3" s="1966"/>
      <c r="P3" s="1966"/>
      <c r="Q3" s="1501"/>
      <c r="R3" s="1501"/>
      <c r="S3" s="1550"/>
      <c r="T3" s="1550"/>
      <c r="U3" s="1550"/>
      <c r="V3" s="1550"/>
      <c r="W3" s="1550"/>
      <c r="X3" s="1550"/>
      <c r="Y3" s="1550"/>
      <c r="Z3" s="1550"/>
    </row>
    <row r="4" spans="1:26" ht="4.5" customHeight="1" x14ac:dyDescent="0.25">
      <c r="A4" s="2099"/>
      <c r="B4" s="1963"/>
      <c r="C4" s="1963"/>
      <c r="D4" s="1966"/>
      <c r="E4" s="1966"/>
      <c r="F4" s="1966"/>
      <c r="G4" s="1966"/>
      <c r="H4" s="1966"/>
      <c r="I4" s="1966"/>
      <c r="J4" s="1966"/>
      <c r="K4" s="1966"/>
      <c r="L4" s="1966"/>
      <c r="M4" s="1966"/>
      <c r="N4" s="1966"/>
      <c r="O4" s="1966"/>
      <c r="P4" s="1966"/>
      <c r="Q4" s="1966"/>
      <c r="R4" s="1966"/>
      <c r="S4" s="1550"/>
      <c r="T4" s="1550"/>
      <c r="U4" s="1550"/>
      <c r="V4" s="1550"/>
      <c r="W4" s="1550"/>
      <c r="X4" s="1550"/>
      <c r="Y4" s="1550"/>
      <c r="Z4" s="1550"/>
    </row>
    <row r="5" spans="1:26" ht="13" x14ac:dyDescent="0.3">
      <c r="A5" s="2099"/>
      <c r="B5" s="1963"/>
      <c r="C5" s="1967"/>
      <c r="D5" s="1966"/>
      <c r="E5" s="1966"/>
      <c r="F5" s="1966"/>
      <c r="G5" s="1966"/>
      <c r="H5" s="1966"/>
      <c r="I5" s="1966"/>
      <c r="J5" s="1966"/>
      <c r="K5" s="1966"/>
      <c r="L5" s="1966"/>
      <c r="M5" s="1966"/>
      <c r="N5" s="1966"/>
      <c r="O5" s="1966"/>
      <c r="P5" s="1501"/>
      <c r="Q5" s="1969"/>
      <c r="R5" s="1968"/>
      <c r="S5" s="1550"/>
      <c r="T5" s="1550"/>
      <c r="U5" s="1550"/>
      <c r="V5" s="1550"/>
      <c r="W5" s="1550"/>
      <c r="X5" s="1550"/>
      <c r="Y5" s="1550"/>
      <c r="Z5" s="1550"/>
    </row>
    <row r="6" spans="1:26" ht="13" x14ac:dyDescent="0.3">
      <c r="A6" s="2099"/>
      <c r="B6" s="1963"/>
      <c r="D6" s="1969"/>
      <c r="F6" s="1966"/>
      <c r="G6" s="1966"/>
      <c r="H6" s="1966"/>
      <c r="I6" s="1966"/>
      <c r="J6" s="1966"/>
      <c r="K6" s="1966"/>
      <c r="L6" s="1966"/>
      <c r="M6" s="1966"/>
      <c r="N6" s="1966"/>
      <c r="O6" s="1966"/>
      <c r="P6" s="1501"/>
      <c r="Q6" s="1573"/>
      <c r="R6" s="1968"/>
      <c r="S6" s="1550"/>
      <c r="T6" s="1550"/>
      <c r="U6" s="1550"/>
      <c r="V6" s="1550"/>
      <c r="W6" s="1550"/>
      <c r="X6" s="1550"/>
      <c r="Y6" s="1550"/>
      <c r="Z6" s="1550"/>
    </row>
    <row r="7" spans="1:26" ht="13" x14ac:dyDescent="0.3">
      <c r="A7" s="2099"/>
      <c r="B7" s="1963"/>
      <c r="C7" s="1967"/>
      <c r="D7" s="1966"/>
      <c r="E7" s="1966"/>
      <c r="F7" s="1966"/>
      <c r="G7" s="1966"/>
      <c r="H7" s="1966"/>
      <c r="I7" s="1966"/>
      <c r="J7" s="1966"/>
      <c r="K7" s="1966"/>
      <c r="L7" s="1966"/>
      <c r="M7" s="1966"/>
      <c r="N7" s="1966"/>
      <c r="O7" s="1966"/>
      <c r="P7" s="1501"/>
      <c r="Q7" s="1970"/>
      <c r="R7" s="1970"/>
      <c r="S7" s="1550"/>
      <c r="T7" s="1550"/>
      <c r="U7" s="1550"/>
      <c r="V7" s="1550"/>
      <c r="W7" s="1550"/>
      <c r="X7" s="1550"/>
      <c r="Y7" s="1550"/>
      <c r="Z7" s="1550"/>
    </row>
    <row r="8" spans="1:26" x14ac:dyDescent="0.25">
      <c r="A8" s="2099"/>
      <c r="B8" s="1963"/>
      <c r="C8" s="1971"/>
      <c r="D8" s="1972"/>
      <c r="E8" s="1972"/>
      <c r="F8" s="1972"/>
      <c r="G8" s="1972"/>
      <c r="H8" s="1972"/>
      <c r="I8" s="1972"/>
      <c r="J8" s="1972"/>
      <c r="K8" s="1972"/>
      <c r="L8" s="1972"/>
      <c r="M8" s="1972"/>
      <c r="N8" s="1972"/>
      <c r="O8" s="1972"/>
      <c r="P8" s="1972"/>
      <c r="Q8" s="1972"/>
      <c r="R8" s="1966"/>
      <c r="S8" s="2099"/>
      <c r="T8" s="1550"/>
      <c r="U8" s="1550"/>
      <c r="V8" s="1550"/>
      <c r="W8" s="1550"/>
      <c r="X8" s="1550"/>
      <c r="Y8" s="1550"/>
      <c r="Z8" s="1550"/>
    </row>
    <row r="9" spans="1:26" ht="13" x14ac:dyDescent="0.3">
      <c r="A9" s="2099"/>
      <c r="B9" s="1963"/>
      <c r="C9" s="1973"/>
      <c r="D9" s="2037"/>
      <c r="E9" s="2037"/>
      <c r="F9" s="2037"/>
      <c r="G9" s="2037"/>
      <c r="H9" s="2037"/>
      <c r="I9" s="2037"/>
      <c r="J9" s="2037"/>
      <c r="K9" s="2037"/>
      <c r="L9" s="2037"/>
      <c r="M9" s="2037"/>
      <c r="N9" s="2037"/>
      <c r="O9" s="2037"/>
      <c r="P9" s="2037"/>
      <c r="Q9" s="2037"/>
      <c r="R9" s="1966"/>
      <c r="S9" s="2099"/>
      <c r="T9" s="1550"/>
      <c r="U9" s="1550"/>
      <c r="V9" s="1550"/>
      <c r="W9" s="1550"/>
      <c r="X9" s="1550"/>
      <c r="Y9" s="1550"/>
      <c r="Z9" s="1550"/>
    </row>
    <row r="10" spans="1:26" ht="13" x14ac:dyDescent="0.3">
      <c r="A10" s="2099"/>
      <c r="B10" s="1963"/>
      <c r="C10" s="1973"/>
      <c r="D10" s="2038"/>
      <c r="E10" s="2038"/>
      <c r="F10" s="2038"/>
      <c r="G10" s="2038"/>
      <c r="H10" s="2038"/>
      <c r="I10" s="2038"/>
      <c r="J10" s="2038"/>
      <c r="K10" s="2038"/>
      <c r="L10" s="2038"/>
      <c r="M10" s="2038"/>
      <c r="N10" s="2038"/>
      <c r="O10" s="2038"/>
      <c r="P10" s="2038"/>
      <c r="Q10" s="2038"/>
      <c r="R10" s="1974"/>
      <c r="S10" s="2099"/>
      <c r="T10" s="1550"/>
      <c r="U10" s="1550"/>
      <c r="V10" s="1550"/>
      <c r="W10" s="1550"/>
      <c r="X10" s="1550"/>
      <c r="Y10" s="1550"/>
      <c r="Z10" s="1550"/>
    </row>
    <row r="11" spans="1:26" ht="13" x14ac:dyDescent="0.3">
      <c r="A11" s="2099"/>
      <c r="B11" s="1963"/>
      <c r="C11" s="1973"/>
      <c r="D11" s="2038"/>
      <c r="E11" s="2038"/>
      <c r="F11" s="2038"/>
      <c r="G11" s="2038"/>
      <c r="H11" s="2038"/>
      <c r="I11" s="2038"/>
      <c r="J11" s="2038"/>
      <c r="K11" s="2038"/>
      <c r="L11" s="2038"/>
      <c r="M11" s="2038"/>
      <c r="N11" s="2038"/>
      <c r="O11" s="2038"/>
      <c r="P11" s="2038"/>
      <c r="Q11" s="2038"/>
      <c r="R11" s="1974"/>
      <c r="S11" s="2099"/>
      <c r="T11" s="1550"/>
      <c r="U11" s="1550"/>
      <c r="V11" s="1550"/>
      <c r="W11" s="1550"/>
      <c r="X11" s="1550"/>
      <c r="Y11" s="1550"/>
      <c r="Z11" s="1550"/>
    </row>
    <row r="12" spans="1:26" ht="6.75" customHeight="1" x14ac:dyDescent="0.25">
      <c r="A12" s="2099"/>
      <c r="B12" s="1963"/>
      <c r="C12" s="1972"/>
      <c r="D12" s="1972"/>
      <c r="E12" s="1972"/>
      <c r="F12" s="1972"/>
      <c r="G12" s="1972"/>
      <c r="H12" s="1972"/>
      <c r="I12" s="1972"/>
      <c r="J12" s="1972"/>
      <c r="K12" s="1972"/>
      <c r="L12" s="1972"/>
      <c r="M12" s="1972"/>
      <c r="N12" s="1972"/>
      <c r="O12" s="1972"/>
      <c r="P12" s="1972"/>
      <c r="Q12" s="1972"/>
      <c r="R12" s="1966"/>
      <c r="S12" s="2099"/>
      <c r="T12" s="1550"/>
      <c r="U12" s="1550"/>
      <c r="V12" s="1550"/>
      <c r="W12" s="1550"/>
      <c r="X12" s="1550"/>
      <c r="Y12" s="1550"/>
      <c r="Z12" s="1550"/>
    </row>
    <row r="13" spans="1:26" ht="13" x14ac:dyDescent="0.3">
      <c r="A13" s="2099"/>
      <c r="B13" s="1963"/>
      <c r="C13" s="1501"/>
      <c r="D13" s="1966"/>
      <c r="E13" s="1966"/>
      <c r="F13" s="1966"/>
      <c r="G13" s="1966"/>
      <c r="H13" s="1966"/>
      <c r="I13" s="1966"/>
      <c r="J13" s="1966"/>
      <c r="K13" s="1966"/>
      <c r="L13" s="1966"/>
      <c r="M13" s="1966"/>
      <c r="N13" s="1966"/>
      <c r="O13" s="1966"/>
      <c r="P13" s="1966"/>
      <c r="Q13" s="1966"/>
      <c r="R13" s="1966"/>
      <c r="S13" s="2099"/>
      <c r="T13" s="1550"/>
      <c r="U13" s="1550"/>
      <c r="V13" s="1550"/>
      <c r="W13" s="1550"/>
      <c r="X13" s="1550"/>
      <c r="Y13" s="1550"/>
      <c r="Z13" s="1550"/>
    </row>
    <row r="14" spans="1:26" ht="12.75" customHeight="1" x14ac:dyDescent="0.3">
      <c r="A14" s="2099"/>
      <c r="B14" s="1975"/>
      <c r="C14" s="1966"/>
      <c r="D14" s="1966"/>
      <c r="E14" s="1966"/>
      <c r="F14" s="1966"/>
      <c r="G14" s="1966"/>
      <c r="H14" s="2086"/>
      <c r="I14" s="1966"/>
      <c r="J14" s="2086"/>
      <c r="K14" s="1966"/>
      <c r="L14" s="2086"/>
      <c r="M14" s="1966"/>
      <c r="N14" s="2086"/>
      <c r="O14" s="1966"/>
      <c r="P14" s="2086"/>
      <c r="Q14" s="1966"/>
      <c r="R14" s="1976"/>
      <c r="S14" s="1550"/>
      <c r="T14" s="1550"/>
      <c r="U14" s="1550"/>
      <c r="V14" s="1550"/>
      <c r="W14" s="1550"/>
      <c r="X14" s="1550"/>
      <c r="Y14" s="1550"/>
      <c r="Z14" s="1550"/>
    </row>
    <row r="15" spans="1:26" ht="12.75" customHeight="1" x14ac:dyDescent="0.25">
      <c r="A15" s="2099"/>
      <c r="B15" s="1975"/>
      <c r="C15" s="2039"/>
      <c r="F15" s="2081"/>
      <c r="H15" s="2081"/>
      <c r="J15" s="2081"/>
      <c r="L15" s="2081"/>
      <c r="N15" s="2081"/>
      <c r="P15" s="2081"/>
      <c r="Q15" s="1966"/>
      <c r="R15" s="1966"/>
      <c r="S15" s="1550"/>
      <c r="T15" s="1550"/>
      <c r="U15" s="1550"/>
      <c r="V15" s="1550"/>
      <c r="W15" s="1550"/>
      <c r="X15" s="1550"/>
      <c r="Y15" s="1550"/>
      <c r="Z15" s="1550"/>
    </row>
    <row r="16" spans="1:26" ht="12.75" customHeight="1" x14ac:dyDescent="0.3">
      <c r="A16" s="2099"/>
      <c r="B16" s="1975"/>
      <c r="C16" s="2040"/>
      <c r="D16" s="1615"/>
      <c r="E16" s="1615"/>
      <c r="F16" s="1516"/>
      <c r="G16" s="1516"/>
      <c r="H16" s="1516"/>
      <c r="I16" s="1516"/>
      <c r="J16" s="1516"/>
      <c r="K16" s="1516"/>
      <c r="L16" s="1516"/>
      <c r="M16" s="1516"/>
      <c r="N16" s="1516"/>
      <c r="O16" s="1615"/>
      <c r="P16" s="1516"/>
      <c r="Q16" s="1966"/>
      <c r="R16" s="1966"/>
      <c r="S16" s="1550"/>
      <c r="T16" s="1550"/>
      <c r="U16" s="1550"/>
      <c r="V16" s="1550"/>
      <c r="W16" s="1550"/>
      <c r="X16" s="1550"/>
      <c r="Y16" s="1550"/>
      <c r="Z16" s="1550"/>
    </row>
    <row r="17" spans="1:26" ht="12.75" customHeight="1" x14ac:dyDescent="0.3">
      <c r="A17" s="2099"/>
      <c r="B17" s="1966"/>
      <c r="C17" s="1966"/>
      <c r="D17" s="1966"/>
      <c r="E17" s="1966"/>
      <c r="F17" s="1600"/>
      <c r="H17" s="2041"/>
      <c r="I17" s="2041"/>
      <c r="J17" s="2041"/>
      <c r="K17" s="2041"/>
      <c r="L17" s="2041"/>
      <c r="M17" s="2041"/>
      <c r="N17" s="2041"/>
      <c r="O17" s="2042"/>
      <c r="P17" s="2041"/>
      <c r="R17" s="1966"/>
      <c r="S17" s="1550"/>
      <c r="T17" s="1550"/>
      <c r="U17" s="1550"/>
      <c r="V17" s="1550"/>
      <c r="W17" s="1550"/>
      <c r="X17" s="1550"/>
      <c r="Y17" s="1550"/>
      <c r="Z17" s="1550"/>
    </row>
    <row r="18" spans="1:26" ht="12.75" customHeight="1" x14ac:dyDescent="0.25">
      <c r="A18" s="2099"/>
      <c r="B18" s="1963"/>
      <c r="C18" s="2039"/>
      <c r="D18" s="1966"/>
      <c r="E18" s="1966"/>
      <c r="F18" s="2081"/>
      <c r="G18" s="1496"/>
      <c r="H18" s="2081"/>
      <c r="I18" s="1496"/>
      <c r="J18" s="2081"/>
      <c r="K18" s="1496"/>
      <c r="L18" s="2081"/>
      <c r="M18" s="1496"/>
      <c r="N18" s="2081"/>
      <c r="O18" s="2043"/>
      <c r="P18" s="2081"/>
      <c r="Q18" s="1977"/>
      <c r="R18" s="1966"/>
      <c r="S18" s="1550"/>
      <c r="T18" s="1550"/>
      <c r="U18" s="1550"/>
      <c r="V18" s="1550"/>
      <c r="W18" s="1550"/>
      <c r="X18" s="1550"/>
      <c r="Y18" s="1550"/>
      <c r="Z18" s="1550"/>
    </row>
    <row r="19" spans="1:26" ht="12.75" customHeight="1" x14ac:dyDescent="0.3">
      <c r="A19" s="2099"/>
      <c r="B19" s="1963"/>
      <c r="C19" s="2039"/>
      <c r="D19" s="1966"/>
      <c r="E19" s="2087"/>
      <c r="F19" s="2081"/>
      <c r="G19" s="1496"/>
      <c r="H19" s="2081"/>
      <c r="I19" s="1496"/>
      <c r="J19" s="2081"/>
      <c r="K19" s="1496"/>
      <c r="L19" s="2081"/>
      <c r="M19" s="1496"/>
      <c r="N19" s="2081"/>
      <c r="O19" s="2044"/>
      <c r="P19" s="2081"/>
      <c r="Q19" s="1966"/>
      <c r="R19" s="1966"/>
      <c r="S19" s="1550"/>
      <c r="T19" s="1550"/>
      <c r="U19" s="1550"/>
      <c r="V19" s="1550"/>
      <c r="W19" s="1550"/>
      <c r="X19" s="1550"/>
      <c r="Y19" s="1550"/>
      <c r="Z19" s="1550"/>
    </row>
    <row r="20" spans="1:26" ht="14.25" customHeight="1" x14ac:dyDescent="0.3">
      <c r="A20" s="2099"/>
      <c r="B20" s="1963"/>
      <c r="C20" s="1978"/>
      <c r="D20" s="1979"/>
      <c r="E20" s="1980"/>
      <c r="F20" s="2046"/>
      <c r="G20" s="2045"/>
      <c r="H20" s="2046"/>
      <c r="I20" s="2045"/>
      <c r="J20" s="2046"/>
      <c r="K20" s="2045"/>
      <c r="L20" s="2046"/>
      <c r="M20" s="2045"/>
      <c r="N20" s="2046"/>
      <c r="O20" s="2046"/>
      <c r="P20" s="2046"/>
      <c r="Q20" s="1981"/>
      <c r="R20" s="1976"/>
      <c r="S20" s="1550"/>
      <c r="T20" s="1550"/>
      <c r="U20" s="1550"/>
      <c r="V20" s="1550"/>
      <c r="W20" s="1550"/>
      <c r="X20" s="1550"/>
      <c r="Y20" s="1550"/>
      <c r="Z20" s="1550"/>
    </row>
    <row r="21" spans="1:26" ht="18" customHeight="1" x14ac:dyDescent="0.3">
      <c r="A21" s="2099"/>
      <c r="B21" s="1963"/>
      <c r="C21" s="1982"/>
      <c r="D21" s="1983"/>
      <c r="E21" s="1984"/>
      <c r="F21" s="1985"/>
      <c r="G21" s="1985"/>
      <c r="H21" s="1985"/>
      <c r="I21" s="1985"/>
      <c r="J21" s="1985"/>
      <c r="K21" s="1985"/>
      <c r="L21" s="1985"/>
      <c r="M21" s="1985"/>
      <c r="N21" s="1985"/>
      <c r="P21" s="1611"/>
      <c r="Q21" s="1976"/>
      <c r="R21" s="1976"/>
      <c r="S21" s="1550"/>
      <c r="T21" s="1550"/>
      <c r="U21" s="1550"/>
      <c r="V21" s="1550"/>
      <c r="W21" s="1550"/>
      <c r="X21" s="1550"/>
      <c r="Y21" s="1550"/>
      <c r="Z21" s="1550"/>
    </row>
    <row r="22" spans="1:26" ht="14.25" customHeight="1" x14ac:dyDescent="0.3">
      <c r="A22" s="2099"/>
      <c r="B22" s="1963"/>
      <c r="C22" s="1986"/>
      <c r="D22" s="1983"/>
      <c r="E22" s="1984"/>
      <c r="F22" s="1985"/>
      <c r="G22" s="1985"/>
      <c r="H22" s="1985"/>
      <c r="I22" s="1985"/>
      <c r="J22" s="1985"/>
      <c r="K22" s="1985"/>
      <c r="L22" s="1985"/>
      <c r="M22" s="1985"/>
      <c r="N22" s="1985"/>
      <c r="O22" s="2047"/>
      <c r="P22" s="1611"/>
      <c r="Q22" s="1976"/>
      <c r="R22" s="1976"/>
      <c r="S22" s="1550"/>
      <c r="T22" s="1550"/>
      <c r="U22" s="1550"/>
      <c r="V22" s="1550"/>
      <c r="W22" s="1550"/>
      <c r="X22" s="1550"/>
      <c r="Y22" s="1550"/>
      <c r="Z22" s="1550"/>
    </row>
    <row r="23" spans="1:26" ht="11.25" customHeight="1" x14ac:dyDescent="0.3">
      <c r="A23" s="2099"/>
      <c r="B23" s="1963"/>
      <c r="C23" s="1987"/>
      <c r="D23" s="1983"/>
      <c r="E23" s="1984"/>
      <c r="F23" s="1985"/>
      <c r="G23" s="1985"/>
      <c r="H23" s="1985"/>
      <c r="I23" s="1985"/>
      <c r="J23" s="1985"/>
      <c r="K23" s="1985"/>
      <c r="L23" s="1985"/>
      <c r="M23" s="1985"/>
      <c r="N23" s="1985"/>
      <c r="O23" s="2047"/>
      <c r="P23" s="1611"/>
      <c r="Q23" s="1976"/>
      <c r="R23" s="1976"/>
      <c r="S23" s="1550"/>
      <c r="T23" s="1550"/>
      <c r="U23" s="1550"/>
      <c r="V23" s="1550"/>
      <c r="W23" s="1550"/>
      <c r="X23" s="1550"/>
      <c r="Y23" s="1550"/>
      <c r="Z23" s="1550"/>
    </row>
    <row r="24" spans="1:26" ht="9" customHeight="1" x14ac:dyDescent="0.3">
      <c r="A24" s="2099"/>
      <c r="B24" s="1963"/>
      <c r="C24" s="1988"/>
      <c r="D24" s="1983"/>
      <c r="E24" s="1989"/>
      <c r="F24" s="1990"/>
      <c r="G24" s="1990"/>
      <c r="H24" s="1990"/>
      <c r="I24" s="1990"/>
      <c r="J24" s="1990"/>
      <c r="K24" s="1990"/>
      <c r="L24" s="1990"/>
      <c r="M24" s="1990"/>
      <c r="N24" s="1990"/>
      <c r="O24" s="2048"/>
      <c r="P24" s="1990"/>
      <c r="Q24" s="1976"/>
      <c r="R24" s="1976"/>
      <c r="S24" s="1550"/>
      <c r="T24" s="1550"/>
      <c r="U24" s="1550"/>
      <c r="V24" s="1550"/>
      <c r="W24" s="1550"/>
      <c r="X24" s="1550"/>
      <c r="Y24" s="1550"/>
      <c r="Z24" s="1550"/>
    </row>
    <row r="25" spans="1:26" ht="13" x14ac:dyDescent="0.3">
      <c r="A25" s="2099"/>
      <c r="B25" s="1963"/>
      <c r="C25" s="1600"/>
      <c r="D25" s="1983"/>
      <c r="E25" s="1991"/>
      <c r="F25" s="1439"/>
      <c r="G25" s="2050"/>
      <c r="H25" s="2051"/>
      <c r="I25" s="2052"/>
      <c r="J25" s="2053"/>
      <c r="K25" s="2054"/>
      <c r="L25" s="2051"/>
      <c r="M25" s="2051"/>
      <c r="N25" s="2055"/>
      <c r="O25" s="2056"/>
      <c r="P25" s="2057"/>
      <c r="Q25" s="1992"/>
      <c r="R25" s="1976"/>
      <c r="S25" s="1550"/>
      <c r="T25" s="1550"/>
      <c r="U25" s="1550"/>
      <c r="V25" s="1550"/>
      <c r="W25" s="1550"/>
      <c r="X25" s="1550"/>
      <c r="Y25" s="1550"/>
      <c r="Z25" s="1550"/>
    </row>
    <row r="26" spans="1:26" ht="13" x14ac:dyDescent="0.3">
      <c r="A26" s="2099"/>
      <c r="B26" s="1963"/>
      <c r="C26" s="1993"/>
      <c r="D26" s="1983"/>
      <c r="E26" s="2075"/>
      <c r="F26" s="1437"/>
      <c r="O26" s="2058"/>
      <c r="P26" s="2059"/>
      <c r="Q26" s="1994"/>
      <c r="R26" s="1976"/>
      <c r="S26" s="1550"/>
      <c r="T26" s="1550"/>
      <c r="U26" s="1550"/>
      <c r="V26" s="1550"/>
      <c r="W26" s="1550"/>
      <c r="X26" s="1550"/>
      <c r="Y26" s="1550"/>
      <c r="Z26" s="1550"/>
    </row>
    <row r="27" spans="1:26" ht="13" x14ac:dyDescent="0.3">
      <c r="A27" s="2099"/>
      <c r="B27" s="1963"/>
      <c r="D27" s="1995"/>
      <c r="E27" s="2076"/>
      <c r="F27" s="2060"/>
      <c r="G27" s="1996"/>
      <c r="H27" s="1997"/>
      <c r="I27" s="1996"/>
      <c r="J27" s="1997"/>
      <c r="K27" s="1996"/>
      <c r="L27" s="1997"/>
      <c r="M27" s="1996"/>
      <c r="N27" s="1997"/>
      <c r="O27" s="2061"/>
      <c r="P27" s="1997"/>
      <c r="Q27" s="1998"/>
      <c r="R27" s="1999"/>
      <c r="S27" s="1550"/>
      <c r="T27" s="1550"/>
      <c r="U27" s="1550"/>
      <c r="V27" s="1550"/>
      <c r="W27" s="1550"/>
      <c r="X27" s="1550"/>
      <c r="Y27" s="1550"/>
      <c r="Z27" s="1550"/>
    </row>
    <row r="28" spans="1:26" ht="23.25" customHeight="1" x14ac:dyDescent="0.25">
      <c r="A28" s="2099"/>
      <c r="B28" s="1963"/>
      <c r="C28" s="2000"/>
      <c r="D28" s="2001"/>
      <c r="E28" s="2082"/>
      <c r="F28" s="2003"/>
      <c r="G28" s="2082"/>
      <c r="H28" s="2003"/>
      <c r="I28" s="2082"/>
      <c r="J28" s="2003"/>
      <c r="K28" s="2082"/>
      <c r="L28" s="2003"/>
      <c r="M28" s="2082"/>
      <c r="N28" s="2003"/>
      <c r="O28" s="2083"/>
      <c r="P28" s="2004"/>
      <c r="Q28" s="2005"/>
      <c r="R28" s="2006"/>
      <c r="S28" s="1550"/>
      <c r="T28" s="1550"/>
      <c r="U28" s="1550"/>
      <c r="V28" s="1550"/>
      <c r="W28" s="1550"/>
      <c r="X28" s="1550"/>
      <c r="Y28" s="1550"/>
      <c r="Z28" s="1550"/>
    </row>
    <row r="29" spans="1:26" ht="15.75" customHeight="1" x14ac:dyDescent="0.25">
      <c r="A29" s="2099"/>
      <c r="B29" s="1963"/>
      <c r="C29" s="2000"/>
      <c r="D29" s="2001"/>
      <c r="E29" s="2082"/>
      <c r="F29" s="2003"/>
      <c r="G29" s="2082"/>
      <c r="H29" s="2003"/>
      <c r="I29" s="2082"/>
      <c r="J29" s="2003"/>
      <c r="K29" s="2082"/>
      <c r="L29" s="2003"/>
      <c r="M29" s="2082"/>
      <c r="N29" s="2003"/>
      <c r="O29" s="2083"/>
      <c r="P29" s="2004"/>
      <c r="Q29" s="2005"/>
      <c r="R29" s="2006"/>
      <c r="S29" s="1550"/>
      <c r="T29" s="1550"/>
      <c r="U29" s="1550"/>
      <c r="V29" s="1550"/>
      <c r="W29" s="1550"/>
      <c r="X29" s="1550"/>
      <c r="Y29" s="1550"/>
      <c r="Z29" s="1550"/>
    </row>
    <row r="30" spans="1:26" ht="15.75" customHeight="1" x14ac:dyDescent="0.25">
      <c r="A30" s="2099"/>
      <c r="B30" s="1963"/>
      <c r="C30" s="2000"/>
      <c r="D30" s="2001"/>
      <c r="E30" s="2082"/>
      <c r="F30" s="2003"/>
      <c r="G30" s="2082"/>
      <c r="H30" s="2003"/>
      <c r="I30" s="2082"/>
      <c r="J30" s="2003"/>
      <c r="K30" s="2082"/>
      <c r="L30" s="2003"/>
      <c r="M30" s="2082"/>
      <c r="N30" s="2003"/>
      <c r="O30" s="2083"/>
      <c r="P30" s="2004"/>
      <c r="Q30" s="2005"/>
      <c r="R30" s="2006"/>
      <c r="S30" s="1550"/>
      <c r="T30" s="1550"/>
      <c r="U30" s="1550"/>
      <c r="V30" s="1550"/>
      <c r="W30" s="1550"/>
      <c r="X30" s="1550"/>
      <c r="Y30" s="1550"/>
      <c r="Z30" s="1550"/>
    </row>
    <row r="31" spans="1:26" ht="15.75" hidden="1" customHeight="1" x14ac:dyDescent="0.25">
      <c r="A31" s="2099"/>
      <c r="B31" s="1966"/>
      <c r="C31" s="2000"/>
      <c r="D31" s="2001"/>
      <c r="E31" s="2084"/>
      <c r="F31" s="2003"/>
      <c r="G31" s="2085"/>
      <c r="H31" s="2003"/>
      <c r="I31" s="2085"/>
      <c r="J31" s="2003"/>
      <c r="K31" s="2085"/>
      <c r="L31" s="2003"/>
      <c r="M31" s="2085"/>
      <c r="N31" s="2003"/>
      <c r="O31" s="1966"/>
      <c r="P31" s="2004"/>
      <c r="Q31" s="2005"/>
      <c r="R31" s="2006"/>
      <c r="S31" s="1550"/>
      <c r="T31" s="1550"/>
      <c r="U31" s="1550"/>
      <c r="V31" s="1550"/>
      <c r="W31" s="1550"/>
      <c r="X31" s="1550"/>
      <c r="Y31" s="1550"/>
      <c r="Z31" s="1550"/>
    </row>
    <row r="32" spans="1:26" ht="15.75" hidden="1" customHeight="1" x14ac:dyDescent="0.25">
      <c r="A32" s="2099"/>
      <c r="B32" s="1966"/>
      <c r="C32" s="2000"/>
      <c r="D32" s="2001"/>
      <c r="E32" s="2084"/>
      <c r="F32" s="2003"/>
      <c r="G32" s="2085"/>
      <c r="H32" s="2003"/>
      <c r="I32" s="2085"/>
      <c r="J32" s="2003"/>
      <c r="K32" s="2085"/>
      <c r="L32" s="2003"/>
      <c r="M32" s="2085"/>
      <c r="N32" s="2003"/>
      <c r="O32" s="1966"/>
      <c r="P32" s="2004"/>
      <c r="Q32" s="2005"/>
      <c r="R32" s="2006"/>
      <c r="S32" s="1550"/>
      <c r="T32" s="1550"/>
      <c r="U32" s="1550"/>
      <c r="V32" s="1550"/>
      <c r="W32" s="1550"/>
      <c r="X32" s="1550"/>
      <c r="Y32" s="1550"/>
      <c r="Z32" s="1550"/>
    </row>
    <row r="33" spans="1:26" ht="10.5" customHeight="1" x14ac:dyDescent="0.25">
      <c r="A33" s="2099"/>
      <c r="B33" s="1966"/>
      <c r="C33" s="2000"/>
      <c r="D33" s="2001"/>
      <c r="E33" s="2002"/>
      <c r="F33" s="2003"/>
      <c r="G33" s="2077"/>
      <c r="H33" s="2003"/>
      <c r="I33" s="2077"/>
      <c r="J33" s="2003"/>
      <c r="K33" s="2077"/>
      <c r="L33" s="2003"/>
      <c r="M33" s="2077"/>
      <c r="N33" s="2003"/>
      <c r="O33" s="1492"/>
      <c r="P33" s="2004"/>
      <c r="Q33" s="2005"/>
      <c r="R33" s="2011"/>
      <c r="S33" s="1550"/>
      <c r="T33" s="1550"/>
      <c r="U33" s="1550"/>
      <c r="V33" s="1550"/>
      <c r="W33" s="1550"/>
      <c r="X33" s="1550"/>
      <c r="Y33" s="1550"/>
      <c r="Z33" s="1550"/>
    </row>
    <row r="34" spans="1:26" ht="21" customHeight="1" thickBot="1" x14ac:dyDescent="0.3">
      <c r="A34" s="2099"/>
      <c r="B34" s="1966"/>
      <c r="C34" s="2007"/>
      <c r="D34" s="2008"/>
      <c r="E34" s="2008"/>
      <c r="F34" s="2009"/>
      <c r="G34" s="2008"/>
      <c r="H34" s="2009"/>
      <c r="I34" s="2008"/>
      <c r="J34" s="2009"/>
      <c r="K34" s="2008"/>
      <c r="L34" s="2009"/>
      <c r="M34" s="2008"/>
      <c r="N34" s="2009"/>
      <c r="O34" s="2008"/>
      <c r="P34" s="2009"/>
      <c r="Q34" s="2065"/>
      <c r="R34" s="2010"/>
      <c r="S34" s="1550"/>
      <c r="T34" s="1550"/>
      <c r="U34" s="1550"/>
      <c r="V34" s="1550"/>
      <c r="W34" s="1550"/>
      <c r="X34" s="1550"/>
      <c r="Y34" s="1550"/>
      <c r="Z34" s="1550"/>
    </row>
    <row r="35" spans="1:26" ht="13.5" customHeight="1" thickTop="1" x14ac:dyDescent="0.3">
      <c r="A35" s="2099"/>
      <c r="B35" s="1966"/>
      <c r="C35" s="1963"/>
      <c r="D35" s="2011"/>
      <c r="E35" s="1969"/>
      <c r="F35" s="2011"/>
      <c r="G35" s="2011"/>
      <c r="H35" s="2011"/>
      <c r="I35" s="2011"/>
      <c r="J35" s="2011"/>
      <c r="K35" s="2011"/>
      <c r="L35" s="2011"/>
      <c r="M35" s="2011"/>
      <c r="N35" s="2011"/>
      <c r="O35" s="2012"/>
      <c r="P35" s="2011"/>
      <c r="Q35" s="2013"/>
      <c r="R35" s="2011"/>
      <c r="S35" s="1550"/>
      <c r="T35" s="1550"/>
      <c r="U35" s="1550"/>
      <c r="V35" s="1550"/>
      <c r="W35" s="1550"/>
      <c r="X35" s="1550"/>
      <c r="Y35" s="1550"/>
      <c r="Z35" s="1550"/>
    </row>
    <row r="36" spans="1:26" ht="13" x14ac:dyDescent="0.3">
      <c r="A36" s="2099"/>
      <c r="B36" s="1966"/>
      <c r="C36" s="2014"/>
      <c r="E36" s="2015"/>
      <c r="F36" s="1966"/>
      <c r="G36" s="1966"/>
      <c r="H36" s="1966"/>
      <c r="I36" s="1966"/>
      <c r="J36" s="1966"/>
      <c r="K36" s="1966"/>
      <c r="L36" s="1966"/>
      <c r="M36" s="2016"/>
      <c r="N36" s="2017"/>
      <c r="O36" s="2018"/>
      <c r="P36" s="2016"/>
      <c r="Q36" s="2019"/>
      <c r="R36" s="1966"/>
      <c r="S36" s="1550"/>
      <c r="T36" s="1550"/>
      <c r="U36" s="1550"/>
      <c r="V36" s="1550"/>
      <c r="W36" s="1550"/>
      <c r="X36" s="1550"/>
      <c r="Y36" s="1550"/>
      <c r="Z36" s="1550"/>
    </row>
    <row r="37" spans="1:26" ht="13" x14ac:dyDescent="0.3">
      <c r="A37" s="2099"/>
      <c r="B37" s="1966"/>
      <c r="C37" s="2020"/>
      <c r="D37" s="1969"/>
      <c r="E37" s="1969"/>
      <c r="F37" s="1969"/>
      <c r="G37" s="1969"/>
      <c r="H37" s="1969"/>
      <c r="I37" s="1969"/>
      <c r="J37" s="1969"/>
      <c r="K37" s="1969"/>
      <c r="L37" s="1969"/>
      <c r="M37" s="2066"/>
      <c r="N37" s="2021"/>
      <c r="O37" s="2022"/>
      <c r="P37" s="2023"/>
      <c r="Q37" s="2024"/>
      <c r="R37" s="1969"/>
      <c r="S37" s="1550"/>
      <c r="T37" s="1550"/>
      <c r="U37" s="1550"/>
      <c r="V37" s="1550"/>
      <c r="W37" s="1550"/>
      <c r="X37" s="1550"/>
      <c r="Y37" s="1550"/>
      <c r="Z37" s="1550"/>
    </row>
    <row r="38" spans="1:26" ht="13" x14ac:dyDescent="0.3">
      <c r="A38" s="2099"/>
      <c r="B38" s="1966"/>
      <c r="C38" s="2020"/>
      <c r="D38" s="1969"/>
      <c r="E38" s="1969"/>
      <c r="F38" s="1969"/>
      <c r="G38" s="1969"/>
      <c r="H38" s="1969"/>
      <c r="I38" s="1969"/>
      <c r="J38" s="1969"/>
      <c r="K38" s="1969"/>
      <c r="L38" s="1969"/>
      <c r="M38" s="2066"/>
      <c r="N38" s="2021"/>
      <c r="O38" s="2022"/>
      <c r="P38" s="2023"/>
      <c r="Q38" s="2024"/>
      <c r="R38" s="1969"/>
      <c r="S38" s="1550"/>
      <c r="T38" s="1550"/>
      <c r="U38" s="1550"/>
      <c r="V38" s="1550"/>
      <c r="W38" s="1550"/>
      <c r="X38" s="1550"/>
      <c r="Y38" s="1550"/>
      <c r="Z38" s="1550"/>
    </row>
    <row r="39" spans="1:26" ht="13" x14ac:dyDescent="0.3">
      <c r="A39" s="2099"/>
      <c r="B39" s="1966"/>
      <c r="C39" s="2020"/>
      <c r="D39" s="1969"/>
      <c r="E39" s="1969"/>
      <c r="F39" s="1969"/>
      <c r="G39" s="1969"/>
      <c r="H39" s="1969"/>
      <c r="I39" s="1969"/>
      <c r="J39" s="1969"/>
      <c r="K39" s="1969"/>
      <c r="L39" s="1969"/>
      <c r="M39" s="2066"/>
      <c r="N39" s="2021"/>
      <c r="O39" s="2022"/>
      <c r="P39" s="2023"/>
      <c r="Q39" s="2024"/>
      <c r="R39" s="1969"/>
      <c r="S39" s="1550"/>
      <c r="T39" s="1550"/>
      <c r="U39" s="1550"/>
      <c r="V39" s="1550"/>
      <c r="W39" s="1550"/>
      <c r="X39" s="1550"/>
      <c r="Y39" s="1550"/>
      <c r="Z39" s="1550"/>
    </row>
    <row r="40" spans="1:26" ht="17.25" customHeight="1" x14ac:dyDescent="0.3">
      <c r="A40" s="2099"/>
      <c r="B40" s="1966"/>
      <c r="C40" s="1966"/>
      <c r="D40" s="1966"/>
      <c r="E40" s="2067"/>
      <c r="F40" s="2067"/>
      <c r="G40" s="2067"/>
      <c r="H40" s="2067"/>
      <c r="I40" s="2067"/>
      <c r="J40" s="2067"/>
      <c r="K40" s="2067"/>
      <c r="L40" s="2067"/>
      <c r="M40" s="2068"/>
      <c r="N40" s="2096"/>
      <c r="O40" s="2097"/>
      <c r="P40" s="2096"/>
      <c r="Q40" s="2098"/>
      <c r="R40" s="1969"/>
      <c r="S40" s="1550"/>
      <c r="T40" s="1550"/>
      <c r="U40" s="1550"/>
      <c r="V40" s="1550"/>
      <c r="W40" s="1550"/>
      <c r="X40" s="1550"/>
      <c r="Y40" s="1550"/>
      <c r="Z40" s="1550"/>
    </row>
    <row r="41" spans="1:26" ht="12" customHeight="1" x14ac:dyDescent="0.35">
      <c r="A41" s="2099"/>
      <c r="B41" s="1966"/>
      <c r="C41" s="2015"/>
      <c r="D41" s="1988"/>
      <c r="E41" s="2025"/>
      <c r="F41" s="1969"/>
      <c r="G41" s="1969"/>
      <c r="H41" s="1969"/>
      <c r="I41" s="1969"/>
      <c r="J41" s="1969"/>
      <c r="K41" s="1969"/>
      <c r="L41" s="1969"/>
      <c r="M41" s="1969"/>
      <c r="N41" s="1969"/>
      <c r="O41" s="1969"/>
      <c r="P41" s="1969"/>
      <c r="Q41" s="1969"/>
      <c r="R41" s="1969"/>
      <c r="S41" s="1550"/>
      <c r="T41" s="1550"/>
      <c r="U41" s="1550"/>
      <c r="V41" s="1550"/>
      <c r="W41" s="1550"/>
      <c r="X41" s="1550"/>
      <c r="Y41" s="1550"/>
      <c r="Z41" s="1550"/>
    </row>
    <row r="42" spans="1:26" ht="12" customHeight="1" x14ac:dyDescent="0.25">
      <c r="A42" s="2099"/>
      <c r="B42" s="1550"/>
      <c r="C42" s="1550"/>
      <c r="D42" s="1550"/>
      <c r="E42" s="1550"/>
      <c r="F42" s="1550"/>
      <c r="G42" s="1550"/>
      <c r="H42" s="1550"/>
      <c r="I42" s="1550"/>
      <c r="J42" s="1550"/>
      <c r="K42" s="1550"/>
      <c r="L42" s="1550"/>
      <c r="M42" s="1550"/>
      <c r="N42" s="1550"/>
      <c r="O42" s="1550"/>
      <c r="P42" s="1550"/>
      <c r="Q42" s="1550"/>
      <c r="R42" s="1550"/>
      <c r="S42" s="1550"/>
      <c r="T42" s="1550"/>
      <c r="U42" s="1550"/>
      <c r="V42" s="1550"/>
      <c r="W42" s="1550"/>
      <c r="X42" s="1550"/>
      <c r="Y42" s="1550"/>
      <c r="Z42" s="1550"/>
    </row>
    <row r="43" spans="1:26" ht="14.25" customHeight="1" x14ac:dyDescent="0.25">
      <c r="A43" s="2099"/>
      <c r="B43" s="1550"/>
      <c r="C43" s="1550"/>
      <c r="D43" s="1550"/>
      <c r="E43" s="1550"/>
      <c r="F43" s="1550"/>
      <c r="G43" s="1550"/>
      <c r="H43" s="1550"/>
      <c r="I43" s="1550"/>
      <c r="J43" s="1550"/>
      <c r="K43" s="1550"/>
      <c r="L43" s="1550"/>
      <c r="M43" s="1550"/>
      <c r="N43" s="1550"/>
      <c r="O43" s="1550"/>
      <c r="P43" s="1550"/>
      <c r="Q43" s="1550"/>
      <c r="R43" s="1550"/>
      <c r="S43" s="1550"/>
      <c r="T43" s="1550"/>
      <c r="U43" s="1550"/>
      <c r="V43" s="1550"/>
      <c r="W43" s="1550"/>
      <c r="X43" s="1550"/>
      <c r="Y43" s="1550"/>
      <c r="Z43" s="1550"/>
    </row>
    <row r="44" spans="1:26" x14ac:dyDescent="0.25">
      <c r="A44" s="2099"/>
      <c r="B44" s="1550"/>
      <c r="C44" s="1550"/>
      <c r="D44" s="1550"/>
      <c r="E44" s="1550"/>
      <c r="F44" s="1550"/>
      <c r="G44" s="1550"/>
      <c r="H44" s="1550"/>
      <c r="I44" s="1550"/>
      <c r="J44" s="1550"/>
      <c r="K44" s="1550"/>
      <c r="L44" s="1550"/>
      <c r="M44" s="1550"/>
      <c r="N44" s="1550"/>
      <c r="O44" s="1550"/>
      <c r="P44" s="1550"/>
      <c r="Q44" s="1550"/>
      <c r="R44" s="1550"/>
      <c r="S44" s="1550"/>
      <c r="T44" s="1550"/>
      <c r="U44" s="1550"/>
      <c r="V44" s="1550"/>
      <c r="W44" s="1550"/>
      <c r="X44" s="1550"/>
      <c r="Y44" s="1550"/>
      <c r="Z44" s="1550"/>
    </row>
    <row r="45" spans="1:26" x14ac:dyDescent="0.25">
      <c r="A45" s="2099"/>
      <c r="B45" s="1550"/>
      <c r="C45" s="1550"/>
      <c r="D45" s="1550"/>
      <c r="E45" s="1550"/>
      <c r="F45" s="1550"/>
      <c r="G45" s="1550"/>
      <c r="H45" s="1550"/>
      <c r="I45" s="1550"/>
      <c r="J45" s="1550"/>
      <c r="K45" s="1550"/>
      <c r="L45" s="1550"/>
      <c r="M45" s="1550"/>
      <c r="N45" s="1550"/>
      <c r="O45" s="1550"/>
      <c r="P45" s="1550"/>
      <c r="Q45" s="1550"/>
      <c r="R45" s="1550"/>
      <c r="S45" s="1550"/>
      <c r="T45" s="1550"/>
      <c r="U45" s="1550"/>
      <c r="V45" s="1550"/>
      <c r="W45" s="1550"/>
      <c r="X45" s="1550"/>
      <c r="Y45" s="1550"/>
      <c r="Z45" s="1550"/>
    </row>
    <row r="46" spans="1:26" x14ac:dyDescent="0.25">
      <c r="A46" s="2099"/>
      <c r="B46" s="1550"/>
      <c r="C46" s="1550"/>
      <c r="D46" s="1550"/>
      <c r="E46" s="1550"/>
      <c r="F46" s="1550"/>
      <c r="G46" s="1550"/>
      <c r="H46" s="1550"/>
      <c r="I46" s="1550"/>
      <c r="J46" s="1550"/>
      <c r="K46" s="1550"/>
      <c r="L46" s="1550"/>
      <c r="M46" s="1550"/>
      <c r="N46" s="1550"/>
      <c r="O46" s="1550"/>
      <c r="P46" s="1550"/>
      <c r="Q46" s="1550"/>
      <c r="R46" s="1550"/>
      <c r="S46" s="1550"/>
      <c r="T46" s="1550"/>
      <c r="U46" s="1550"/>
      <c r="V46" s="1550"/>
      <c r="W46" s="1550"/>
      <c r="X46" s="1550"/>
      <c r="Y46" s="1550"/>
      <c r="Z46" s="1550"/>
    </row>
    <row r="47" spans="1:26" x14ac:dyDescent="0.25">
      <c r="A47" s="2099"/>
      <c r="B47" s="1550"/>
      <c r="C47" s="1550"/>
      <c r="D47" s="1550"/>
      <c r="E47" s="1550"/>
      <c r="F47" s="1550"/>
      <c r="G47" s="1550"/>
      <c r="H47" s="1550"/>
      <c r="I47" s="1550"/>
      <c r="J47" s="1550"/>
      <c r="K47" s="1550"/>
      <c r="L47" s="1550"/>
      <c r="M47" s="1550"/>
      <c r="N47" s="1550"/>
      <c r="O47" s="1550"/>
      <c r="P47" s="1550"/>
      <c r="Q47" s="1550"/>
      <c r="R47" s="1550"/>
      <c r="S47" s="1550"/>
      <c r="T47" s="1550"/>
      <c r="U47" s="1550"/>
      <c r="V47" s="1550"/>
      <c r="W47" s="1550"/>
      <c r="X47" s="1550"/>
      <c r="Y47" s="1550"/>
      <c r="Z47" s="1550"/>
    </row>
  </sheetData>
  <phoneticPr fontId="124" type="noConversion"/>
  <conditionalFormatting sqref="P19 F19:N19">
    <cfRule type="cellIs" dxfId="8" priority="1" stopIfTrue="1" operator="notEqual">
      <formula>""</formula>
    </cfRule>
  </conditionalFormatting>
  <pageMargins left="0.57999999999999996" right="0.3" top="0.54" bottom="0.69" header="0.25" footer="0.2"/>
  <pageSetup paperSize="9" scale="91" orientation="landscape"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064" r:id="rId4" name="basic2button">
              <controlPr defaultSize="0" print="0" autoFill="0" autoPict="0" macro="[0]!returnfromcopy">
                <anchor moveWithCells="1" sizeWithCells="1">
                  <from>
                    <xdr:col>18</xdr:col>
                    <xdr:colOff>76200</xdr:colOff>
                    <xdr:row>0</xdr:row>
                    <xdr:rowOff>184150</xdr:rowOff>
                  </from>
                  <to>
                    <xdr:col>18</xdr:col>
                    <xdr:colOff>965200</xdr:colOff>
                    <xdr:row>2</xdr:row>
                    <xdr:rowOff>0</xdr:rowOff>
                  </to>
                </anchor>
              </controlPr>
            </control>
          </mc:Choice>
        </mc:AlternateContent>
        <mc:AlternateContent xmlns:mc="http://schemas.openxmlformats.org/markup-compatibility/2006">
          <mc:Choice Requires="x14">
            <control shapeId="87065" r:id="rId5" name="basic2delbutton">
              <controlPr defaultSize="0" print="0" autoFill="0" autoPict="0" macro="[0]!delete_basic2button">
                <anchor moveWithCells="1" sizeWithCells="1">
                  <from>
                    <xdr:col>18</xdr:col>
                    <xdr:colOff>76200</xdr:colOff>
                    <xdr:row>2</xdr:row>
                    <xdr:rowOff>25400</xdr:rowOff>
                  </from>
                  <to>
                    <xdr:col>18</xdr:col>
                    <xdr:colOff>965200</xdr:colOff>
                    <xdr:row>6</xdr:row>
                    <xdr:rowOff>101600</xdr:rowOff>
                  </to>
                </anchor>
              </controlPr>
            </control>
          </mc:Choice>
        </mc:AlternateContent>
        <mc:AlternateContent xmlns:mc="http://schemas.openxmlformats.org/markup-compatibility/2006">
          <mc:Choice Requires="x14">
            <control shapeId="87066" r:id="rId6" name="pdfbutton">
              <controlPr defaultSize="0" print="0" autoFill="0" autoPict="0" macro="[0]!pdfonly">
                <anchor moveWithCells="1" sizeWithCells="1">
                  <from>
                    <xdr:col>18</xdr:col>
                    <xdr:colOff>1003300</xdr:colOff>
                    <xdr:row>0</xdr:row>
                    <xdr:rowOff>342900</xdr:rowOff>
                  </from>
                  <to>
                    <xdr:col>20</xdr:col>
                    <xdr:colOff>450850</xdr:colOff>
                    <xdr:row>4</xdr:row>
                    <xdr:rowOff>120650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5A979-4804-459C-8B1C-205D60CAC6EE}">
  <sheetPr codeName="Sheet62">
    <pageSetUpPr fitToPage="1"/>
  </sheetPr>
  <dimension ref="A1:Z50"/>
  <sheetViews>
    <sheetView showGridLines="0" workbookViewId="0"/>
  </sheetViews>
  <sheetFormatPr defaultColWidth="9.08984375" defaultRowHeight="12.5" x14ac:dyDescent="0.25"/>
  <cols>
    <col min="1" max="1" width="5.6328125" style="1436" customWidth="1"/>
    <col min="2" max="2" width="2" style="1436" customWidth="1"/>
    <col min="3" max="3" width="9" style="1436" customWidth="1"/>
    <col min="4" max="4" width="3.90625" style="1436" customWidth="1"/>
    <col min="5" max="5" width="7.6328125" style="1436" customWidth="1"/>
    <col min="6" max="6" width="12.6328125" style="1436" customWidth="1"/>
    <col min="7" max="7" width="7.6328125" style="1436" customWidth="1"/>
    <col min="8" max="8" width="12.6328125" style="1436" customWidth="1"/>
    <col min="9" max="9" width="7.6328125" style="1436" customWidth="1"/>
    <col min="10" max="10" width="12.6328125" style="1436" customWidth="1"/>
    <col min="11" max="11" width="7.6328125" style="1436" customWidth="1"/>
    <col min="12" max="12" width="12.6328125" style="1436" customWidth="1"/>
    <col min="13" max="13" width="7.6328125" style="1436" customWidth="1"/>
    <col min="14" max="14" width="12.6328125" style="1436" customWidth="1"/>
    <col min="15" max="15" width="7.6328125" style="1436" customWidth="1"/>
    <col min="16" max="16" width="12.6328125" style="1436" customWidth="1"/>
    <col min="17" max="17" width="13.6328125" style="1436" customWidth="1"/>
    <col min="18" max="19" width="1.36328125" style="1436" customWidth="1"/>
    <col min="20" max="20" width="19.08984375" style="1436" customWidth="1"/>
    <col min="21" max="22" width="9.08984375" style="1436"/>
    <col min="23" max="23" width="9.08984375" style="2079"/>
    <col min="24" max="16384" width="9.08984375" style="1436"/>
  </cols>
  <sheetData>
    <row r="1" spans="1:26" ht="30" customHeight="1" x14ac:dyDescent="0.25">
      <c r="A1" s="2172"/>
      <c r="B1" s="2171"/>
      <c r="C1" s="2171"/>
      <c r="D1" s="2171"/>
      <c r="E1" s="2171"/>
      <c r="F1" s="2171"/>
      <c r="G1" s="2171"/>
      <c r="H1" s="2171"/>
      <c r="I1" s="2171"/>
      <c r="J1" s="2171"/>
      <c r="K1" s="2171"/>
      <c r="L1" s="2171"/>
      <c r="M1" s="2171"/>
      <c r="N1" s="2171"/>
      <c r="O1" s="2171"/>
      <c r="P1" s="2171"/>
      <c r="Q1" s="2171"/>
      <c r="R1" s="2171"/>
      <c r="S1" s="2171"/>
      <c r="T1" s="2171"/>
      <c r="U1" s="2171"/>
      <c r="V1" s="2171"/>
      <c r="W1" s="2171"/>
      <c r="X1" s="2171"/>
      <c r="Y1" s="2171"/>
      <c r="Z1" s="2171"/>
    </row>
    <row r="2" spans="1:26" ht="20" x14ac:dyDescent="0.4">
      <c r="A2" s="2171"/>
      <c r="B2" s="1963"/>
      <c r="C2" s="1964"/>
      <c r="D2" s="1965"/>
      <c r="E2" s="1966"/>
      <c r="F2" s="1966"/>
      <c r="G2" s="1966"/>
      <c r="H2" s="1966"/>
      <c r="I2" s="1966"/>
      <c r="J2" s="1966"/>
      <c r="K2" s="1966"/>
      <c r="L2" s="1966"/>
      <c r="M2" s="1966"/>
      <c r="N2" s="1966"/>
      <c r="O2" s="1966"/>
      <c r="P2" s="1966"/>
      <c r="Q2" s="1966"/>
      <c r="R2" s="1966"/>
      <c r="S2" s="2171"/>
      <c r="T2" s="2171"/>
      <c r="U2" s="2171"/>
      <c r="V2" s="2171"/>
      <c r="W2" s="2171"/>
      <c r="X2" s="2171"/>
      <c r="Y2" s="2171"/>
      <c r="Z2" s="2171"/>
    </row>
    <row r="3" spans="1:26" ht="13" x14ac:dyDescent="0.3">
      <c r="A3" s="2171"/>
      <c r="B3" s="1963"/>
      <c r="C3" s="1963"/>
      <c r="D3" s="1966"/>
      <c r="E3" s="1966"/>
      <c r="F3" s="1966"/>
      <c r="G3" s="1966"/>
      <c r="H3" s="1966"/>
      <c r="I3" s="1966"/>
      <c r="J3" s="1966"/>
      <c r="K3" s="1966"/>
      <c r="L3" s="1966"/>
      <c r="M3" s="1966"/>
      <c r="N3" s="1966"/>
      <c r="O3" s="1966"/>
      <c r="P3" s="1966"/>
      <c r="Q3" s="1501"/>
      <c r="R3" s="1501"/>
      <c r="S3" s="2171"/>
      <c r="T3" s="2171"/>
      <c r="U3" s="2171"/>
      <c r="V3" s="2171"/>
      <c r="W3" s="2171"/>
      <c r="X3" s="2171"/>
      <c r="Y3" s="2171"/>
      <c r="Z3" s="2171"/>
    </row>
    <row r="4" spans="1:26" x14ac:dyDescent="0.25">
      <c r="A4" s="2171"/>
      <c r="B4" s="1963"/>
      <c r="C4" s="1963"/>
      <c r="D4" s="1966"/>
      <c r="E4" s="1966"/>
      <c r="F4" s="1966"/>
      <c r="G4" s="1966"/>
      <c r="H4" s="1966"/>
      <c r="I4" s="1966"/>
      <c r="J4" s="1966"/>
      <c r="K4" s="1966"/>
      <c r="L4" s="1966"/>
      <c r="M4" s="1966"/>
      <c r="N4" s="1966"/>
      <c r="O4" s="1966"/>
      <c r="P4" s="1966"/>
      <c r="Q4" s="1966"/>
      <c r="R4" s="1966"/>
      <c r="S4" s="2171"/>
      <c r="T4" s="2171"/>
      <c r="U4" s="2171"/>
      <c r="V4" s="2171"/>
      <c r="W4" s="2171"/>
      <c r="X4" s="2171"/>
      <c r="Y4" s="2171"/>
      <c r="Z4" s="2171"/>
    </row>
    <row r="5" spans="1:26" ht="13" x14ac:dyDescent="0.3">
      <c r="A5" s="2171"/>
      <c r="B5" s="1963"/>
      <c r="C5" s="1967"/>
      <c r="D5" s="1966"/>
      <c r="E5" s="1966"/>
      <c r="F5" s="1966"/>
      <c r="G5" s="1966"/>
      <c r="H5" s="1966"/>
      <c r="I5" s="1966"/>
      <c r="J5" s="1966"/>
      <c r="K5" s="1966"/>
      <c r="L5" s="1966"/>
      <c r="M5" s="1966"/>
      <c r="N5" s="1966"/>
      <c r="O5" s="1966"/>
      <c r="P5" s="1501"/>
      <c r="Q5" s="1969"/>
      <c r="R5" s="1968"/>
      <c r="S5" s="2171"/>
      <c r="T5" s="2171"/>
      <c r="U5" s="2171"/>
      <c r="V5" s="2171"/>
      <c r="W5" s="2171"/>
      <c r="X5" s="2171"/>
      <c r="Y5" s="2171"/>
      <c r="Z5" s="2171"/>
    </row>
    <row r="6" spans="1:26" ht="13" x14ac:dyDescent="0.3">
      <c r="A6" s="2171"/>
      <c r="B6" s="1963"/>
      <c r="D6" s="1969"/>
      <c r="F6" s="1966"/>
      <c r="G6" s="1966"/>
      <c r="H6" s="1966"/>
      <c r="I6" s="1966"/>
      <c r="J6" s="1966"/>
      <c r="K6" s="1966"/>
      <c r="L6" s="1966"/>
      <c r="M6" s="1966"/>
      <c r="N6" s="1966"/>
      <c r="O6" s="1966"/>
      <c r="P6" s="1501"/>
      <c r="Q6" s="2036"/>
      <c r="R6" s="1968"/>
      <c r="S6" s="2171"/>
      <c r="T6" s="2171"/>
      <c r="U6" s="2171"/>
      <c r="V6" s="2171"/>
      <c r="W6" s="2171"/>
      <c r="X6" s="2171"/>
      <c r="Y6" s="2171"/>
      <c r="Z6" s="2171"/>
    </row>
    <row r="7" spans="1:26" ht="13" x14ac:dyDescent="0.3">
      <c r="A7" s="2171"/>
      <c r="B7" s="1963"/>
      <c r="C7" s="1967"/>
      <c r="D7" s="1966"/>
      <c r="E7" s="1573"/>
      <c r="F7" s="1966"/>
      <c r="G7" s="1966"/>
      <c r="H7" s="1966"/>
      <c r="I7" s="1966"/>
      <c r="J7" s="1966"/>
      <c r="K7" s="1966"/>
      <c r="L7" s="1966"/>
      <c r="M7" s="1966"/>
      <c r="N7" s="1966"/>
      <c r="O7" s="1966"/>
      <c r="P7" s="1501"/>
      <c r="Q7" s="1970"/>
      <c r="R7" s="1970"/>
      <c r="S7" s="2171"/>
      <c r="T7" s="2172"/>
      <c r="U7" s="2171"/>
      <c r="V7" s="2171"/>
      <c r="W7" s="2171"/>
      <c r="X7" s="2171"/>
      <c r="Y7" s="2171"/>
      <c r="Z7" s="2171"/>
    </row>
    <row r="8" spans="1:26" x14ac:dyDescent="0.25">
      <c r="A8" s="2171"/>
      <c r="B8" s="1963"/>
      <c r="C8" s="1971"/>
      <c r="D8" s="1972"/>
      <c r="E8" s="1972"/>
      <c r="F8" s="1972"/>
      <c r="G8" s="1972"/>
      <c r="H8" s="1972"/>
      <c r="I8" s="1972"/>
      <c r="J8" s="1972"/>
      <c r="K8" s="1972"/>
      <c r="L8" s="1972"/>
      <c r="M8" s="1972"/>
      <c r="N8" s="1972"/>
      <c r="O8" s="1972"/>
      <c r="P8" s="1972"/>
      <c r="Q8" s="1972"/>
      <c r="R8" s="1966"/>
      <c r="S8" s="2171"/>
      <c r="T8" s="2172"/>
      <c r="U8" s="2171"/>
      <c r="V8" s="2171"/>
      <c r="W8" s="2171"/>
      <c r="X8" s="2171"/>
      <c r="Y8" s="2171"/>
      <c r="Z8" s="2171"/>
    </row>
    <row r="9" spans="1:26" ht="13" x14ac:dyDescent="0.3">
      <c r="A9" s="2171"/>
      <c r="B9" s="1963"/>
      <c r="C9" s="1973"/>
      <c r="D9" s="2037"/>
      <c r="E9" s="2037"/>
      <c r="F9" s="2037"/>
      <c r="G9" s="2037"/>
      <c r="H9" s="2037"/>
      <c r="I9" s="2037"/>
      <c r="J9" s="2037"/>
      <c r="K9" s="2037"/>
      <c r="L9" s="2037"/>
      <c r="M9" s="2037"/>
      <c r="N9" s="2037"/>
      <c r="O9" s="2037"/>
      <c r="P9" s="2037"/>
      <c r="Q9" s="2037"/>
      <c r="R9" s="1966"/>
      <c r="S9" s="2171"/>
      <c r="T9" s="2172"/>
      <c r="U9" s="2171"/>
      <c r="V9" s="2171"/>
      <c r="W9" s="2171"/>
      <c r="X9" s="2171"/>
      <c r="Y9" s="2171"/>
      <c r="Z9" s="2171"/>
    </row>
    <row r="10" spans="1:26" ht="13" x14ac:dyDescent="0.3">
      <c r="A10" s="2171"/>
      <c r="B10" s="1963"/>
      <c r="C10" s="1973"/>
      <c r="D10" s="2038"/>
      <c r="E10" s="2038"/>
      <c r="F10" s="2038"/>
      <c r="G10" s="2038"/>
      <c r="H10" s="2038"/>
      <c r="I10" s="2038"/>
      <c r="J10" s="2038"/>
      <c r="K10" s="2038"/>
      <c r="L10" s="2038"/>
      <c r="M10" s="2038"/>
      <c r="N10" s="2038"/>
      <c r="O10" s="2038"/>
      <c r="P10" s="2038"/>
      <c r="Q10" s="2038"/>
      <c r="R10" s="1974"/>
      <c r="S10" s="2171"/>
      <c r="T10" s="2172"/>
      <c r="U10" s="2171"/>
      <c r="V10" s="2171"/>
      <c r="W10" s="2171"/>
      <c r="X10" s="2171"/>
      <c r="Y10" s="2171"/>
      <c r="Z10" s="2171"/>
    </row>
    <row r="11" spans="1:26" ht="13" x14ac:dyDescent="0.3">
      <c r="A11" s="2171"/>
      <c r="B11" s="1963"/>
      <c r="C11" s="1973"/>
      <c r="D11" s="2038"/>
      <c r="E11" s="2038"/>
      <c r="F11" s="2038"/>
      <c r="G11" s="2038"/>
      <c r="H11" s="2038"/>
      <c r="I11" s="2038"/>
      <c r="J11" s="2038"/>
      <c r="K11" s="2038"/>
      <c r="L11" s="2038"/>
      <c r="M11" s="2038"/>
      <c r="N11" s="2038"/>
      <c r="O11" s="2038"/>
      <c r="P11" s="2038"/>
      <c r="Q11" s="2038"/>
      <c r="R11" s="1974"/>
      <c r="S11" s="2171"/>
      <c r="T11" s="2172"/>
      <c r="U11" s="2171"/>
      <c r="V11" s="2171"/>
      <c r="W11" s="2171"/>
      <c r="X11" s="2171"/>
      <c r="Y11" s="2171"/>
      <c r="Z11" s="2171"/>
    </row>
    <row r="12" spans="1:26" ht="13" x14ac:dyDescent="0.3">
      <c r="A12" s="2171"/>
      <c r="B12" s="1963"/>
      <c r="C12" s="1973"/>
      <c r="D12" s="2038"/>
      <c r="E12" s="2038"/>
      <c r="F12" s="2038"/>
      <c r="G12" s="2038"/>
      <c r="H12" s="2038"/>
      <c r="I12" s="2038"/>
      <c r="J12" s="2038"/>
      <c r="K12" s="2038"/>
      <c r="L12" s="2038"/>
      <c r="M12" s="2038"/>
      <c r="N12" s="2038"/>
      <c r="O12" s="2038"/>
      <c r="P12" s="2038"/>
      <c r="Q12" s="2038"/>
      <c r="R12" s="1974"/>
      <c r="S12" s="2171"/>
      <c r="T12" s="2172"/>
      <c r="U12" s="2171"/>
      <c r="V12" s="2171"/>
      <c r="W12" s="2171"/>
      <c r="X12" s="2171"/>
      <c r="Y12" s="2171"/>
      <c r="Z12" s="2171"/>
    </row>
    <row r="13" spans="1:26" ht="13" x14ac:dyDescent="0.3">
      <c r="A13" s="2171"/>
      <c r="B13" s="1963"/>
      <c r="C13" s="1501"/>
      <c r="D13" s="1966"/>
      <c r="E13" s="1966"/>
      <c r="F13" s="1966"/>
      <c r="G13" s="1966"/>
      <c r="H13" s="1966"/>
      <c r="I13" s="1966"/>
      <c r="J13" s="1966"/>
      <c r="K13" s="1966"/>
      <c r="L13" s="1966"/>
      <c r="M13" s="1966"/>
      <c r="N13" s="1966"/>
      <c r="O13" s="1966"/>
      <c r="P13" s="1966"/>
      <c r="Q13" s="1966"/>
      <c r="R13" s="1966"/>
      <c r="S13" s="2171"/>
      <c r="T13" s="2171"/>
      <c r="U13" s="2171"/>
      <c r="V13" s="2171"/>
      <c r="W13" s="2171"/>
      <c r="X13" s="2171"/>
      <c r="Y13" s="2171"/>
      <c r="Z13" s="2171"/>
    </row>
    <row r="14" spans="1:26" ht="13" x14ac:dyDescent="0.3">
      <c r="A14" s="2171"/>
      <c r="B14" s="1975"/>
      <c r="C14" s="1966"/>
      <c r="D14" s="1966"/>
      <c r="E14" s="1966"/>
      <c r="F14" s="1966"/>
      <c r="G14" s="1966"/>
      <c r="H14" s="1966"/>
      <c r="I14" s="1966"/>
      <c r="J14" s="1966"/>
      <c r="K14" s="1966"/>
      <c r="L14" s="1966"/>
      <c r="M14" s="1966"/>
      <c r="N14" s="1966"/>
      <c r="O14" s="1966"/>
      <c r="P14" s="1966"/>
      <c r="Q14" s="1966"/>
      <c r="R14" s="1976"/>
      <c r="S14" s="2171"/>
      <c r="T14" s="2171"/>
      <c r="U14" s="2171"/>
      <c r="V14" s="2171"/>
      <c r="W14" s="2171"/>
      <c r="X14" s="2171"/>
      <c r="Y14" s="2171"/>
      <c r="Z14" s="2171"/>
    </row>
    <row r="15" spans="1:26" ht="12.75" customHeight="1" x14ac:dyDescent="0.25">
      <c r="A15" s="2171"/>
      <c r="B15" s="1975"/>
      <c r="C15" s="2130"/>
      <c r="F15" s="2081"/>
      <c r="H15" s="2081"/>
      <c r="J15" s="2081"/>
      <c r="L15" s="2081"/>
      <c r="N15" s="2081"/>
      <c r="P15" s="2081"/>
      <c r="Q15" s="1966"/>
      <c r="R15" s="1966"/>
      <c r="S15" s="2171"/>
      <c r="T15" s="2171"/>
      <c r="U15" s="2171"/>
      <c r="V15" s="2171"/>
      <c r="W15" s="2171"/>
      <c r="X15" s="2171"/>
      <c r="Y15" s="2171"/>
      <c r="Z15" s="2171"/>
    </row>
    <row r="16" spans="1:26" ht="12.75" customHeight="1" x14ac:dyDescent="0.3">
      <c r="A16" s="2171"/>
      <c r="B16" s="1975"/>
      <c r="C16" s="2040"/>
      <c r="D16" s="1615"/>
      <c r="E16" s="1615"/>
      <c r="F16" s="1516"/>
      <c r="G16" s="1516"/>
      <c r="H16" s="1516"/>
      <c r="I16" s="1516"/>
      <c r="J16" s="1516"/>
      <c r="K16" s="1516"/>
      <c r="L16" s="1516"/>
      <c r="M16" s="1516"/>
      <c r="N16" s="1516"/>
      <c r="O16" s="1615"/>
      <c r="P16" s="1516"/>
      <c r="Q16" s="1966"/>
      <c r="R16" s="1966"/>
      <c r="S16" s="2171"/>
      <c r="T16" s="2171"/>
      <c r="U16" s="2171"/>
      <c r="V16" s="2171"/>
      <c r="W16" s="2171"/>
      <c r="X16" s="2171"/>
      <c r="Y16" s="2171"/>
      <c r="Z16" s="2171"/>
    </row>
    <row r="17" spans="1:26" ht="12.75" customHeight="1" x14ac:dyDescent="0.25">
      <c r="A17" s="2171"/>
      <c r="B17" s="1966"/>
      <c r="C17" s="1966"/>
      <c r="D17" s="1966"/>
      <c r="E17" s="1966"/>
      <c r="O17" s="1966"/>
      <c r="R17" s="1966"/>
      <c r="S17" s="2171"/>
      <c r="T17" s="2171"/>
      <c r="U17" s="2171"/>
      <c r="V17" s="2171"/>
      <c r="W17" s="2171"/>
      <c r="X17" s="2171"/>
      <c r="Y17" s="2171"/>
      <c r="Z17" s="2171"/>
    </row>
    <row r="18" spans="1:26" ht="12.75" customHeight="1" x14ac:dyDescent="0.25">
      <c r="A18" s="2171"/>
      <c r="B18" s="1963"/>
      <c r="C18" s="2130"/>
      <c r="D18" s="1966"/>
      <c r="E18" s="1966"/>
      <c r="F18" s="2081"/>
      <c r="G18" s="1496"/>
      <c r="H18" s="2081"/>
      <c r="I18" s="1496"/>
      <c r="J18" s="2081"/>
      <c r="K18" s="1496"/>
      <c r="L18" s="2081"/>
      <c r="M18" s="1496"/>
      <c r="N18" s="2081"/>
      <c r="O18" s="2043"/>
      <c r="P18" s="2081"/>
      <c r="Q18" s="1977"/>
      <c r="R18" s="1966"/>
      <c r="S18" s="2171"/>
      <c r="T18" s="2171"/>
      <c r="U18" s="2171"/>
      <c r="V18" s="2171"/>
      <c r="W18" s="2171"/>
      <c r="X18" s="2171"/>
      <c r="Y18" s="2171"/>
      <c r="Z18" s="2171"/>
    </row>
    <row r="19" spans="1:26" ht="13" x14ac:dyDescent="0.3">
      <c r="A19" s="2171"/>
      <c r="B19" s="1963"/>
      <c r="C19" s="2167"/>
      <c r="D19" s="1983"/>
      <c r="E19" s="1984"/>
      <c r="F19" s="2081"/>
      <c r="G19" s="1496"/>
      <c r="H19" s="2081"/>
      <c r="I19" s="1496"/>
      <c r="J19" s="2081"/>
      <c r="K19" s="1496"/>
      <c r="L19" s="2081"/>
      <c r="M19" s="1496"/>
      <c r="N19" s="2081"/>
      <c r="O19" s="1966"/>
      <c r="P19" s="2081"/>
      <c r="Q19" s="2131"/>
      <c r="R19" s="1976"/>
      <c r="S19" s="2171"/>
      <c r="T19" s="2171"/>
      <c r="U19" s="2171"/>
      <c r="V19" s="2171"/>
      <c r="W19" s="2171"/>
      <c r="X19" s="2171"/>
      <c r="Y19" s="2171"/>
      <c r="Z19" s="2171"/>
    </row>
    <row r="20" spans="1:26" ht="13" x14ac:dyDescent="0.3">
      <c r="A20" s="2171"/>
      <c r="B20" s="1963"/>
      <c r="C20" s="2132"/>
      <c r="D20" s="1983"/>
      <c r="E20" s="1984"/>
      <c r="F20" s="2133"/>
      <c r="G20" s="2133"/>
      <c r="H20" s="2133"/>
      <c r="I20" s="2133"/>
      <c r="J20" s="2133"/>
      <c r="K20" s="2133"/>
      <c r="L20" s="2133"/>
      <c r="M20" s="2133"/>
      <c r="N20" s="2133"/>
      <c r="O20" s="2134"/>
      <c r="P20" s="2164"/>
      <c r="Q20" s="1976"/>
      <c r="R20" s="1976"/>
      <c r="S20" s="2171"/>
      <c r="T20" s="2171"/>
      <c r="U20" s="2171"/>
      <c r="V20" s="2171"/>
      <c r="W20" s="2171"/>
      <c r="X20" s="2171"/>
      <c r="Y20" s="2171"/>
      <c r="Z20" s="2171"/>
    </row>
    <row r="21" spans="1:26" ht="6" customHeight="1" x14ac:dyDescent="0.3">
      <c r="A21" s="2171"/>
      <c r="B21" s="1963"/>
      <c r="C21" s="1978"/>
      <c r="D21" s="1979"/>
      <c r="E21" s="1980"/>
      <c r="F21" s="2045"/>
      <c r="G21" s="2045"/>
      <c r="H21" s="2045"/>
      <c r="I21" s="2045"/>
      <c r="J21" s="2045"/>
      <c r="K21" s="2045"/>
      <c r="L21" s="2045"/>
      <c r="M21" s="2045"/>
      <c r="N21" s="2045"/>
      <c r="O21" s="2046"/>
      <c r="P21" s="2135"/>
      <c r="Q21" s="1981"/>
      <c r="R21" s="1976"/>
      <c r="S21" s="2171"/>
      <c r="T21" s="2171"/>
      <c r="U21" s="2171"/>
      <c r="V21" s="2171"/>
      <c r="W21" s="2171"/>
      <c r="X21" s="2171"/>
      <c r="Y21" s="2171"/>
      <c r="Z21" s="2171"/>
    </row>
    <row r="22" spans="1:26" ht="18" customHeight="1" x14ac:dyDescent="0.3">
      <c r="A22" s="2171"/>
      <c r="B22" s="1963"/>
      <c r="C22" s="1982"/>
      <c r="D22" s="1983"/>
      <c r="E22" s="1984"/>
      <c r="F22" s="1985"/>
      <c r="G22" s="1985"/>
      <c r="H22" s="1985"/>
      <c r="I22" s="1985"/>
      <c r="J22" s="1985"/>
      <c r="K22" s="1985"/>
      <c r="L22" s="1985"/>
      <c r="M22" s="1985"/>
      <c r="N22" s="1985"/>
      <c r="P22" s="1611"/>
      <c r="Q22" s="1976"/>
      <c r="R22" s="1976"/>
      <c r="S22" s="2171"/>
      <c r="T22" s="2171"/>
      <c r="U22" s="2171"/>
      <c r="V22" s="2171"/>
      <c r="W22" s="2171"/>
      <c r="X22" s="2171"/>
      <c r="Y22" s="2171"/>
      <c r="Z22" s="2171"/>
    </row>
    <row r="23" spans="1:26" ht="14.25" customHeight="1" x14ac:dyDescent="0.3">
      <c r="A23" s="2171"/>
      <c r="B23" s="1963"/>
      <c r="C23" s="1986"/>
      <c r="D23" s="1983"/>
      <c r="E23" s="1984"/>
      <c r="F23" s="1985"/>
      <c r="G23" s="1985"/>
      <c r="H23" s="1985"/>
      <c r="I23" s="1985"/>
      <c r="J23" s="1985"/>
      <c r="K23" s="1985"/>
      <c r="L23" s="1985"/>
      <c r="M23" s="1985"/>
      <c r="N23" s="1985"/>
      <c r="O23" s="2047"/>
      <c r="P23" s="1611"/>
      <c r="Q23" s="1976"/>
      <c r="R23" s="1976"/>
      <c r="S23" s="2171"/>
      <c r="T23" s="2171"/>
      <c r="U23" s="2171"/>
      <c r="V23" s="2171"/>
      <c r="W23" s="2171"/>
      <c r="X23" s="2171"/>
      <c r="Y23" s="2171"/>
      <c r="Z23" s="2171"/>
    </row>
    <row r="24" spans="1:26" ht="14.25" customHeight="1" x14ac:dyDescent="0.3">
      <c r="A24" s="2171"/>
      <c r="B24" s="1963"/>
      <c r="C24" s="1986"/>
      <c r="D24" s="1983"/>
      <c r="E24" s="1984"/>
      <c r="F24" s="1985"/>
      <c r="G24" s="1985"/>
      <c r="H24" s="1985"/>
      <c r="I24" s="1985"/>
      <c r="J24" s="1985"/>
      <c r="K24" s="1985"/>
      <c r="L24" s="1985"/>
      <c r="M24" s="1985"/>
      <c r="N24" s="1985"/>
      <c r="O24" s="2047"/>
      <c r="P24" s="1611"/>
      <c r="Q24" s="1976"/>
      <c r="R24" s="1976"/>
      <c r="S24" s="2171"/>
      <c r="T24" s="2171"/>
      <c r="U24" s="2171"/>
      <c r="V24" s="2171"/>
      <c r="W24" s="2171"/>
      <c r="X24" s="2171"/>
      <c r="Y24" s="2171"/>
      <c r="Z24" s="2171"/>
    </row>
    <row r="25" spans="1:26" ht="10.5" customHeight="1" x14ac:dyDescent="0.3">
      <c r="A25" s="2171"/>
      <c r="B25" s="1963"/>
      <c r="C25" s="1988"/>
      <c r="D25" s="1983"/>
      <c r="E25" s="1989"/>
      <c r="F25" s="1990"/>
      <c r="G25" s="1990"/>
      <c r="H25" s="1990"/>
      <c r="I25" s="1990"/>
      <c r="J25" s="1990"/>
      <c r="K25" s="1990"/>
      <c r="L25" s="1990"/>
      <c r="M25" s="1990"/>
      <c r="N25" s="1990"/>
      <c r="O25" s="2048"/>
      <c r="P25" s="1990"/>
      <c r="Q25" s="1976"/>
      <c r="R25" s="1976"/>
      <c r="S25" s="2171"/>
      <c r="T25" s="2171"/>
      <c r="U25" s="2171"/>
      <c r="V25" s="2171"/>
      <c r="W25" s="2171"/>
      <c r="X25" s="2171"/>
      <c r="Y25" s="2171"/>
      <c r="Z25" s="2171"/>
    </row>
    <row r="26" spans="1:26" ht="13" x14ac:dyDescent="0.3">
      <c r="A26" s="2171"/>
      <c r="B26" s="1963"/>
      <c r="D26" s="1983"/>
      <c r="E26" s="2100"/>
      <c r="F26" s="1990"/>
      <c r="G26" s="1990"/>
      <c r="H26" s="1990"/>
      <c r="J26" s="2137"/>
      <c r="K26" s="2138"/>
      <c r="L26" s="1990"/>
      <c r="M26" s="1990"/>
      <c r="N26" s="2139"/>
      <c r="O26" s="2140"/>
      <c r="P26" s="1990"/>
      <c r="Q26" s="2141"/>
      <c r="R26" s="1976"/>
      <c r="S26" s="2171"/>
      <c r="T26" s="2171"/>
      <c r="U26" s="2171"/>
      <c r="V26" s="2171"/>
      <c r="W26" s="2171"/>
      <c r="X26" s="2171"/>
      <c r="Y26" s="2171"/>
      <c r="Z26" s="2171"/>
    </row>
    <row r="27" spans="1:26" ht="13" x14ac:dyDescent="0.3">
      <c r="A27" s="2171"/>
      <c r="B27" s="1963"/>
      <c r="C27" s="1993"/>
      <c r="D27" s="1983"/>
      <c r="E27" s="2142"/>
      <c r="O27" s="2058"/>
      <c r="P27" s="2143"/>
      <c r="Q27" s="1976"/>
      <c r="R27" s="1976"/>
      <c r="S27" s="2171"/>
      <c r="T27" s="2171"/>
      <c r="U27" s="2171"/>
      <c r="V27" s="2171"/>
      <c r="W27" s="2171"/>
      <c r="X27" s="2171"/>
      <c r="Y27" s="2171"/>
      <c r="Z27" s="2171"/>
    </row>
    <row r="28" spans="1:26" ht="23.25" customHeight="1" x14ac:dyDescent="0.35">
      <c r="A28" s="2171"/>
      <c r="B28" s="1963"/>
      <c r="C28" s="2000"/>
      <c r="D28"/>
      <c r="E28" s="2170"/>
      <c r="F28" s="2145"/>
      <c r="G28" s="2165"/>
      <c r="H28" s="2145"/>
      <c r="I28" s="2165"/>
      <c r="J28" s="2145"/>
      <c r="K28" s="2165"/>
      <c r="L28" s="2145"/>
      <c r="M28" s="2165"/>
      <c r="N28" s="2145"/>
      <c r="O28" s="2082"/>
      <c r="P28" s="2145"/>
      <c r="Q28" s="2146"/>
      <c r="R28" s="2006"/>
      <c r="S28" s="2171"/>
      <c r="T28" s="2171"/>
      <c r="U28" s="2171"/>
      <c r="V28" s="2171"/>
      <c r="W28" s="2171"/>
      <c r="X28" s="2171"/>
      <c r="Y28" s="2171"/>
      <c r="Z28" s="2171"/>
    </row>
    <row r="29" spans="1:26" ht="15.75" customHeight="1" x14ac:dyDescent="0.35">
      <c r="A29" s="2171"/>
      <c r="B29" s="1963"/>
      <c r="C29" s="2000"/>
      <c r="D29"/>
      <c r="E29" s="2165"/>
      <c r="F29" s="2145"/>
      <c r="G29" s="2165"/>
      <c r="H29" s="2145"/>
      <c r="I29" s="2165"/>
      <c r="J29" s="2145"/>
      <c r="K29" s="2165"/>
      <c r="L29" s="2145"/>
      <c r="M29" s="2165"/>
      <c r="N29" s="2145"/>
      <c r="O29" s="2082"/>
      <c r="P29" s="2145"/>
      <c r="Q29" s="2146"/>
      <c r="R29" s="2006"/>
      <c r="S29" s="2171"/>
      <c r="T29" s="2171"/>
      <c r="U29" s="2171"/>
      <c r="V29" s="2171"/>
      <c r="W29" s="2171"/>
      <c r="X29" s="2171"/>
      <c r="Y29" s="2171"/>
      <c r="Z29" s="2171"/>
    </row>
    <row r="30" spans="1:26" ht="15.75" customHeight="1" x14ac:dyDescent="0.35">
      <c r="A30" s="2171"/>
      <c r="B30" s="1963"/>
      <c r="C30" s="2000"/>
      <c r="D30"/>
      <c r="E30" s="2165"/>
      <c r="F30" s="2145"/>
      <c r="G30" s="2165"/>
      <c r="H30" s="2145"/>
      <c r="I30" s="2165"/>
      <c r="J30" s="2145"/>
      <c r="K30" s="2165"/>
      <c r="L30" s="2145"/>
      <c r="M30" s="2165"/>
      <c r="N30" s="2145"/>
      <c r="O30" s="2082"/>
      <c r="P30" s="2145"/>
      <c r="Q30" s="2146"/>
      <c r="R30" s="2006"/>
      <c r="S30" s="2171"/>
      <c r="T30" s="2171"/>
      <c r="U30" s="2171"/>
      <c r="V30" s="2171"/>
      <c r="W30" s="2171"/>
      <c r="X30" s="2171"/>
      <c r="Y30" s="2171"/>
      <c r="Z30" s="2171"/>
    </row>
    <row r="31" spans="1:26" hidden="1" x14ac:dyDescent="0.25">
      <c r="A31" s="2171"/>
      <c r="B31" s="1966"/>
      <c r="C31" s="2000"/>
      <c r="D31" s="2168"/>
      <c r="E31" s="2166"/>
      <c r="F31" s="2145"/>
      <c r="G31" s="2166"/>
      <c r="H31" s="2145"/>
      <c r="I31" s="2166"/>
      <c r="J31" s="2145"/>
      <c r="K31" s="2166"/>
      <c r="L31" s="2145"/>
      <c r="M31" s="2166"/>
      <c r="N31" s="2145"/>
      <c r="O31" s="2085"/>
      <c r="P31" s="2145"/>
      <c r="Q31" s="2146"/>
      <c r="R31" s="2006"/>
      <c r="S31" s="2171"/>
      <c r="T31" s="2171"/>
      <c r="U31" s="2171"/>
      <c r="V31" s="2171"/>
      <c r="W31" s="2171"/>
      <c r="X31" s="2171"/>
      <c r="Y31" s="2171"/>
      <c r="Z31" s="2171"/>
    </row>
    <row r="32" spans="1:26" hidden="1" x14ac:dyDescent="0.25">
      <c r="A32" s="2171"/>
      <c r="B32" s="1966"/>
      <c r="C32" s="2000"/>
      <c r="D32" s="2001"/>
      <c r="E32" s="2166"/>
      <c r="F32" s="2145"/>
      <c r="G32" s="2166"/>
      <c r="H32" s="2145"/>
      <c r="I32" s="2166"/>
      <c r="J32" s="2145"/>
      <c r="K32" s="2166"/>
      <c r="L32" s="2145"/>
      <c r="M32" s="2166"/>
      <c r="N32" s="2145"/>
      <c r="O32" s="2085"/>
      <c r="P32" s="2145"/>
      <c r="Q32" s="2146"/>
      <c r="R32" s="2006"/>
      <c r="S32" s="2171"/>
      <c r="T32" s="2171"/>
      <c r="U32" s="2171"/>
      <c r="V32" s="2171"/>
      <c r="W32" s="2171"/>
      <c r="X32" s="2171"/>
      <c r="Y32" s="2171"/>
      <c r="Z32" s="2171"/>
    </row>
    <row r="33" spans="1:26" x14ac:dyDescent="0.25">
      <c r="A33" s="2171"/>
      <c r="B33" s="1966"/>
      <c r="C33" s="2000"/>
      <c r="D33" s="2001"/>
      <c r="E33" s="2169"/>
      <c r="F33" s="2145"/>
      <c r="G33" s="2166"/>
      <c r="H33" s="2145"/>
      <c r="I33" s="2166"/>
      <c r="J33" s="2145"/>
      <c r="K33" s="2166"/>
      <c r="L33" s="2145"/>
      <c r="M33" s="2166"/>
      <c r="N33" s="2145"/>
      <c r="O33" s="2085"/>
      <c r="P33" s="2145"/>
      <c r="Q33" s="2146"/>
      <c r="R33" s="2011"/>
      <c r="S33" s="2171"/>
      <c r="T33" s="2171"/>
      <c r="U33" s="2171"/>
      <c r="V33" s="2171"/>
      <c r="W33" s="2171"/>
      <c r="X33" s="2171"/>
      <c r="Y33" s="2171"/>
      <c r="Z33" s="2171"/>
    </row>
    <row r="34" spans="1:26" ht="21" customHeight="1" thickBot="1" x14ac:dyDescent="0.3">
      <c r="A34" s="2171"/>
      <c r="B34" s="1966"/>
      <c r="C34" s="2007"/>
      <c r="D34" s="2008"/>
      <c r="E34" s="2008"/>
      <c r="F34" s="2009"/>
      <c r="G34" s="2008"/>
      <c r="H34" s="2009"/>
      <c r="I34" s="2008"/>
      <c r="J34" s="2009"/>
      <c r="K34" s="2008"/>
      <c r="L34" s="2009"/>
      <c r="M34" s="2008"/>
      <c r="N34" s="2009"/>
      <c r="O34" s="2008"/>
      <c r="P34" s="2009"/>
      <c r="Q34" s="2148"/>
      <c r="R34" s="2010"/>
      <c r="S34" s="2171"/>
      <c r="T34" s="2171"/>
      <c r="U34" s="2171"/>
      <c r="V34" s="2171"/>
      <c r="W34" s="2171"/>
      <c r="X34" s="2171"/>
      <c r="Y34" s="2171"/>
      <c r="Z34" s="2171"/>
    </row>
    <row r="35" spans="1:26" ht="13.5" customHeight="1" thickTop="1" x14ac:dyDescent="0.3">
      <c r="A35" s="2171"/>
      <c r="B35" s="1966"/>
      <c r="C35" s="1963"/>
      <c r="D35" s="2011"/>
      <c r="E35" s="1969"/>
      <c r="F35" s="2011"/>
      <c r="G35" s="2011"/>
      <c r="H35" s="2011"/>
      <c r="I35" s="2011"/>
      <c r="J35" s="2011"/>
      <c r="K35" s="2011"/>
      <c r="L35" s="2011"/>
      <c r="M35" s="2011"/>
      <c r="N35" s="2011"/>
      <c r="O35" s="2012"/>
      <c r="P35" s="2011"/>
      <c r="Q35" s="2013"/>
      <c r="R35" s="2011"/>
      <c r="S35" s="2171"/>
      <c r="T35" s="2171"/>
      <c r="U35" s="2171"/>
      <c r="V35" s="2171"/>
      <c r="W35" s="2171"/>
      <c r="X35" s="2171"/>
      <c r="Y35" s="2171"/>
      <c r="Z35" s="2171"/>
    </row>
    <row r="36" spans="1:26" ht="13" x14ac:dyDescent="0.3">
      <c r="A36" s="2171"/>
      <c r="B36" s="1966"/>
      <c r="C36" s="2014"/>
      <c r="E36" s="2015"/>
      <c r="F36" s="1966"/>
      <c r="G36" s="1966"/>
      <c r="H36" s="1966"/>
      <c r="I36" s="1966"/>
      <c r="J36" s="1966"/>
      <c r="K36" s="1966"/>
      <c r="L36" s="1966"/>
      <c r="M36" s="2016"/>
      <c r="N36" s="2017"/>
      <c r="O36" s="2018"/>
      <c r="P36" s="2016"/>
      <c r="Q36" s="2019"/>
      <c r="R36" s="1966"/>
      <c r="S36" s="2171"/>
      <c r="T36" s="2171"/>
      <c r="U36" s="2171"/>
      <c r="V36" s="2171"/>
      <c r="W36" s="2171"/>
      <c r="X36" s="2171"/>
      <c r="Y36" s="2171"/>
      <c r="Z36" s="2171"/>
    </row>
    <row r="37" spans="1:26" ht="13" x14ac:dyDescent="0.3">
      <c r="A37" s="2171"/>
      <c r="B37" s="1966"/>
      <c r="C37" s="2020"/>
      <c r="D37" s="1969"/>
      <c r="E37" s="1969"/>
      <c r="F37" s="1969"/>
      <c r="G37" s="1969"/>
      <c r="H37" s="1969"/>
      <c r="I37" s="1969"/>
      <c r="J37" s="1969"/>
      <c r="K37" s="1969"/>
      <c r="L37" s="1969"/>
      <c r="M37" s="2066"/>
      <c r="N37" s="2021"/>
      <c r="O37" s="2022"/>
      <c r="P37" s="2023"/>
      <c r="Q37" s="2149"/>
      <c r="R37" s="1969"/>
      <c r="S37" s="2171"/>
      <c r="T37" s="2171"/>
      <c r="U37" s="2171"/>
      <c r="V37" s="2171"/>
      <c r="W37" s="2171"/>
      <c r="X37" s="2171"/>
      <c r="Y37" s="2171"/>
      <c r="Z37" s="2171"/>
    </row>
    <row r="38" spans="1:26" ht="13" x14ac:dyDescent="0.3">
      <c r="A38" s="2171"/>
      <c r="B38" s="1966"/>
      <c r="C38" s="2020"/>
      <c r="D38" s="1969"/>
      <c r="E38" s="1969"/>
      <c r="F38" s="1969"/>
      <c r="G38" s="1969"/>
      <c r="H38" s="1969"/>
      <c r="I38" s="1969"/>
      <c r="J38" s="1969"/>
      <c r="K38" s="1969"/>
      <c r="L38" s="1969"/>
      <c r="M38" s="2066"/>
      <c r="N38" s="2021"/>
      <c r="O38" s="2022"/>
      <c r="P38" s="2023"/>
      <c r="Q38" s="2149"/>
      <c r="R38" s="1969"/>
      <c r="S38" s="2171"/>
      <c r="T38" s="2171"/>
      <c r="U38" s="2171"/>
      <c r="V38" s="2171"/>
      <c r="W38" s="2171"/>
      <c r="X38" s="2171"/>
      <c r="Y38" s="2171"/>
      <c r="Z38" s="2171"/>
    </row>
    <row r="39" spans="1:26" ht="13" x14ac:dyDescent="0.3">
      <c r="A39" s="2171"/>
      <c r="B39" s="1966"/>
      <c r="C39" s="2020"/>
      <c r="D39" s="1969"/>
      <c r="E39" s="1969"/>
      <c r="F39" s="1969"/>
      <c r="G39" s="1969"/>
      <c r="H39" s="1969"/>
      <c r="I39" s="1969"/>
      <c r="J39" s="1969"/>
      <c r="K39" s="1969"/>
      <c r="L39" s="1969"/>
      <c r="M39" s="2066"/>
      <c r="N39" s="2021"/>
      <c r="O39" s="2022"/>
      <c r="P39" s="2023"/>
      <c r="Q39" s="2149"/>
      <c r="R39" s="1969"/>
      <c r="S39" s="2171"/>
      <c r="T39" s="2171"/>
      <c r="U39" s="2171"/>
      <c r="V39" s="2171"/>
      <c r="W39" s="2171"/>
      <c r="X39" s="2171"/>
      <c r="Y39" s="2171"/>
      <c r="Z39" s="2171"/>
    </row>
    <row r="40" spans="1:26" ht="18" customHeight="1" x14ac:dyDescent="0.25">
      <c r="A40" s="2171"/>
      <c r="B40" s="1966"/>
      <c r="C40" s="1966"/>
      <c r="D40" s="1966"/>
      <c r="E40" s="2067"/>
      <c r="F40" s="2067"/>
      <c r="G40" s="2067"/>
      <c r="H40" s="2067"/>
      <c r="I40" s="2067"/>
      <c r="J40" s="2067"/>
      <c r="K40" s="2067"/>
      <c r="L40" s="2067"/>
      <c r="M40" s="2068"/>
      <c r="N40" s="2150"/>
      <c r="O40" s="2066"/>
      <c r="P40" s="2150"/>
      <c r="Q40" s="2151"/>
      <c r="R40" s="1969"/>
      <c r="S40" s="2171"/>
      <c r="T40" s="2171"/>
      <c r="U40" s="2171"/>
      <c r="V40" s="2171"/>
      <c r="W40" s="2171"/>
      <c r="X40" s="2171"/>
      <c r="Y40" s="2171"/>
      <c r="Z40" s="2171"/>
    </row>
    <row r="41" spans="1:26" ht="15.5" x14ac:dyDescent="0.35">
      <c r="A41" s="2171"/>
      <c r="B41" s="1966"/>
      <c r="C41" s="2015"/>
      <c r="D41" s="1988"/>
      <c r="E41" s="2025"/>
      <c r="F41" s="1969"/>
      <c r="G41" s="1969"/>
      <c r="H41" s="1969"/>
      <c r="I41" s="1969"/>
      <c r="J41" s="1969"/>
      <c r="K41" s="1969"/>
      <c r="L41" s="1969"/>
      <c r="M41" s="1969"/>
      <c r="N41" s="1969"/>
      <c r="O41" s="1969"/>
      <c r="P41" s="1969"/>
      <c r="Q41" s="1969"/>
      <c r="R41" s="1969"/>
      <c r="S41" s="2171"/>
      <c r="T41" s="2171"/>
      <c r="U41" s="2171"/>
      <c r="V41" s="2171"/>
      <c r="W41" s="2171"/>
      <c r="X41" s="2171"/>
      <c r="Y41" s="2171"/>
      <c r="Z41" s="2171"/>
    </row>
    <row r="42" spans="1:26" x14ac:dyDescent="0.25">
      <c r="A42" s="2171"/>
      <c r="B42" s="2171"/>
      <c r="C42" s="2171"/>
      <c r="D42" s="2171"/>
      <c r="E42" s="2171"/>
      <c r="F42" s="2171"/>
      <c r="G42" s="2171"/>
      <c r="H42" s="2171"/>
      <c r="I42" s="2171"/>
      <c r="J42" s="2171"/>
      <c r="K42" s="2171"/>
      <c r="L42" s="2171"/>
      <c r="M42" s="2171"/>
      <c r="N42" s="2171"/>
      <c r="O42" s="2171"/>
      <c r="P42" s="2171"/>
      <c r="Q42" s="2171"/>
      <c r="R42" s="2171"/>
      <c r="S42" s="2171"/>
      <c r="T42" s="2171"/>
      <c r="U42" s="2171"/>
      <c r="V42" s="2171"/>
      <c r="W42" s="2171"/>
      <c r="X42" s="2171"/>
      <c r="Y42" s="2171"/>
      <c r="Z42" s="2171"/>
    </row>
    <row r="43" spans="1:26" x14ac:dyDescent="0.25">
      <c r="A43" s="2171"/>
      <c r="B43" s="2171"/>
      <c r="C43" s="2171"/>
      <c r="D43" s="2171"/>
      <c r="E43" s="2171"/>
      <c r="F43" s="2171"/>
      <c r="G43" s="2171"/>
      <c r="H43" s="2171"/>
      <c r="I43" s="2171"/>
      <c r="J43" s="2171"/>
      <c r="K43" s="2171"/>
      <c r="L43" s="2171"/>
      <c r="M43" s="2171"/>
      <c r="N43" s="2171"/>
      <c r="O43" s="2171"/>
      <c r="P43" s="2171"/>
      <c r="Q43" s="2171"/>
      <c r="R43" s="2171"/>
      <c r="S43" s="2171"/>
      <c r="T43" s="2171"/>
      <c r="U43" s="2171"/>
      <c r="V43" s="2171"/>
      <c r="W43" s="2171"/>
      <c r="X43" s="2171"/>
      <c r="Y43" s="2171"/>
      <c r="Z43" s="2171"/>
    </row>
    <row r="44" spans="1:26" x14ac:dyDescent="0.25">
      <c r="A44" s="2171"/>
      <c r="B44" s="2171"/>
      <c r="C44" s="2171"/>
      <c r="D44" s="2171"/>
      <c r="E44" s="2171"/>
      <c r="F44" s="2171"/>
      <c r="G44" s="2171"/>
      <c r="H44" s="2171"/>
      <c r="I44" s="2171"/>
      <c r="J44" s="2171"/>
      <c r="K44" s="2171"/>
      <c r="L44" s="2171"/>
      <c r="M44" s="2171"/>
      <c r="N44" s="2171"/>
      <c r="O44" s="2171"/>
      <c r="P44" s="2171"/>
      <c r="Q44" s="2171"/>
      <c r="R44" s="2171"/>
      <c r="S44" s="2171"/>
      <c r="T44" s="2171"/>
      <c r="U44" s="2171"/>
      <c r="V44" s="2171"/>
      <c r="W44" s="2171"/>
      <c r="X44" s="2171"/>
      <c r="Y44" s="2171"/>
      <c r="Z44" s="2171"/>
    </row>
    <row r="45" spans="1:26" x14ac:dyDescent="0.25">
      <c r="A45" s="2171"/>
      <c r="B45" s="2171"/>
      <c r="C45" s="2171"/>
      <c r="D45" s="2171"/>
      <c r="E45" s="2171"/>
      <c r="F45" s="2171"/>
      <c r="G45" s="2171"/>
      <c r="H45" s="2171"/>
      <c r="I45" s="2171"/>
      <c r="J45" s="2171"/>
      <c r="K45" s="2171"/>
      <c r="L45" s="2171"/>
      <c r="M45" s="2171"/>
      <c r="N45" s="2171"/>
      <c r="O45" s="2171"/>
      <c r="P45" s="2171"/>
      <c r="Q45" s="2171"/>
      <c r="R45" s="2171"/>
      <c r="S45" s="2171"/>
      <c r="T45" s="2171"/>
      <c r="U45" s="2171"/>
      <c r="V45" s="2171"/>
      <c r="W45" s="2171"/>
      <c r="X45" s="2171"/>
      <c r="Y45" s="2171"/>
      <c r="Z45" s="2171"/>
    </row>
    <row r="46" spans="1:26" ht="12.75" customHeight="1" x14ac:dyDescent="0.25">
      <c r="A46" s="2171"/>
      <c r="B46" s="2171"/>
      <c r="C46" s="2171"/>
      <c r="D46" s="2171"/>
      <c r="E46" s="2171"/>
      <c r="F46" s="2171"/>
      <c r="G46" s="2171"/>
      <c r="H46" s="2171"/>
      <c r="I46" s="2171"/>
      <c r="J46" s="2171"/>
      <c r="K46" s="2171"/>
      <c r="L46" s="2171"/>
      <c r="M46" s="2171"/>
      <c r="N46" s="2171"/>
      <c r="O46" s="2171"/>
      <c r="P46" s="2171"/>
      <c r="Q46" s="2171"/>
      <c r="R46" s="2171"/>
      <c r="S46" s="2171"/>
      <c r="T46" s="2171"/>
      <c r="U46" s="2171"/>
      <c r="V46" s="2171"/>
      <c r="W46" s="2171"/>
      <c r="X46" s="2171"/>
      <c r="Y46" s="2171"/>
      <c r="Z46" s="2171"/>
    </row>
    <row r="47" spans="1:26" x14ac:dyDescent="0.25">
      <c r="A47" s="2171"/>
      <c r="B47" s="2171"/>
      <c r="C47" s="2171"/>
      <c r="D47" s="2171"/>
      <c r="E47" s="2171"/>
      <c r="F47" s="2171"/>
      <c r="G47" s="2171"/>
      <c r="H47" s="2171"/>
      <c r="I47" s="2171"/>
      <c r="J47" s="2171"/>
      <c r="K47" s="2171"/>
      <c r="L47" s="2171"/>
      <c r="M47" s="2171"/>
      <c r="N47" s="2171"/>
      <c r="O47" s="2171"/>
      <c r="P47" s="2171"/>
      <c r="Q47" s="2171"/>
      <c r="R47" s="2171"/>
      <c r="S47" s="2171"/>
      <c r="T47" s="2171"/>
      <c r="U47" s="2171"/>
      <c r="V47" s="2171"/>
      <c r="W47" s="2171"/>
      <c r="X47" s="2171"/>
      <c r="Y47" s="2171"/>
      <c r="Z47" s="2171"/>
    </row>
    <row r="48" spans="1:26" x14ac:dyDescent="0.25">
      <c r="A48" s="2171"/>
      <c r="B48" s="2171"/>
      <c r="C48" s="2171"/>
      <c r="D48" s="2171"/>
      <c r="E48" s="2171"/>
      <c r="F48" s="2171"/>
      <c r="G48" s="2171"/>
      <c r="H48" s="2171"/>
      <c r="I48" s="2171"/>
      <c r="J48" s="2171"/>
      <c r="K48" s="2171"/>
      <c r="L48" s="2171"/>
      <c r="M48" s="2171"/>
      <c r="N48" s="2171"/>
      <c r="O48" s="2171"/>
      <c r="P48" s="2171"/>
      <c r="Q48" s="2171"/>
      <c r="R48" s="2171"/>
      <c r="S48" s="2171"/>
      <c r="T48" s="2171"/>
      <c r="U48" s="2171"/>
      <c r="V48" s="2171"/>
      <c r="W48" s="2171"/>
      <c r="X48" s="2171"/>
      <c r="Y48" s="2171"/>
      <c r="Z48" s="2171"/>
    </row>
    <row r="49" spans="1:26" x14ac:dyDescent="0.25">
      <c r="A49" s="2171"/>
      <c r="B49" s="2171"/>
      <c r="C49" s="2171"/>
      <c r="D49" s="2171"/>
      <c r="E49" s="2171"/>
      <c r="F49" s="2171"/>
      <c r="G49" s="2171"/>
      <c r="H49" s="2171"/>
      <c r="I49" s="2171"/>
      <c r="J49" s="2171"/>
      <c r="K49" s="2171"/>
      <c r="L49" s="2171"/>
      <c r="M49" s="2171"/>
      <c r="N49" s="2171"/>
      <c r="O49" s="2171"/>
      <c r="P49" s="2171"/>
      <c r="Q49" s="2171"/>
      <c r="R49" s="2171"/>
      <c r="S49" s="2171"/>
      <c r="T49" s="2171"/>
      <c r="U49" s="2171"/>
      <c r="V49" s="2171"/>
      <c r="W49" s="2171"/>
      <c r="X49" s="2171"/>
      <c r="Y49" s="2171"/>
      <c r="Z49" s="2171"/>
    </row>
    <row r="50" spans="1:26" x14ac:dyDescent="0.25">
      <c r="A50" s="2171"/>
      <c r="B50" s="2171"/>
      <c r="C50" s="2171"/>
      <c r="D50" s="2171"/>
      <c r="E50" s="2171"/>
      <c r="F50" s="2171"/>
      <c r="G50" s="2171"/>
      <c r="H50" s="2171"/>
      <c r="I50" s="2171"/>
      <c r="J50" s="2171"/>
      <c r="K50" s="2171"/>
      <c r="L50" s="2171"/>
      <c r="M50" s="2171"/>
      <c r="N50" s="2171"/>
      <c r="O50" s="2171"/>
      <c r="P50" s="2171"/>
      <c r="Q50" s="2171"/>
      <c r="R50" s="2171"/>
      <c r="S50" s="2171"/>
      <c r="T50" s="2171"/>
      <c r="U50" s="2171"/>
      <c r="V50" s="2171"/>
      <c r="W50" s="2171"/>
      <c r="X50" s="2171"/>
      <c r="Y50" s="2171"/>
      <c r="Z50" s="2171"/>
    </row>
  </sheetData>
  <phoneticPr fontId="124" type="noConversion"/>
  <pageMargins left="0.57999999999999996" right="0.3" top="0.54" bottom="0.69" header="0.25" footer="0.2"/>
  <pageSetup paperSize="9" scale="92" orientation="landscape" blackAndWhite="1" horizontalDpi="300" verticalDpi="200"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30" r:id="rId4" name="basic2button">
              <controlPr defaultSize="0" print="0" autoFill="0" autoPict="0" macro="[0]!returnfromcopy">
                <anchor moveWithCells="1" sizeWithCells="1">
                  <from>
                    <xdr:col>19</xdr:col>
                    <xdr:colOff>88900</xdr:colOff>
                    <xdr:row>0</xdr:row>
                    <xdr:rowOff>101600</xdr:rowOff>
                  </from>
                  <to>
                    <xdr:col>19</xdr:col>
                    <xdr:colOff>977900</xdr:colOff>
                    <xdr:row>1</xdr:row>
                    <xdr:rowOff>158750</xdr:rowOff>
                  </to>
                </anchor>
              </controlPr>
            </control>
          </mc:Choice>
        </mc:AlternateContent>
        <mc:AlternateContent xmlns:mc="http://schemas.openxmlformats.org/markup-compatibility/2006">
          <mc:Choice Requires="x14">
            <control shapeId="90131" r:id="rId5" name="basic2delbutton">
              <controlPr defaultSize="0" print="0" autoFill="0" autoPict="0" macro="[0]!delete_basic2button">
                <anchor moveWithCells="1" sizeWithCells="1">
                  <from>
                    <xdr:col>19</xdr:col>
                    <xdr:colOff>88900</xdr:colOff>
                    <xdr:row>1</xdr:row>
                    <xdr:rowOff>184150</xdr:rowOff>
                  </from>
                  <to>
                    <xdr:col>19</xdr:col>
                    <xdr:colOff>977900</xdr:colOff>
                    <xdr:row>5</xdr:row>
                    <xdr:rowOff>0</xdr:rowOff>
                  </to>
                </anchor>
              </controlPr>
            </control>
          </mc:Choice>
        </mc:AlternateContent>
        <mc:AlternateContent xmlns:mc="http://schemas.openxmlformats.org/markup-compatibility/2006">
          <mc:Choice Requires="x14">
            <control shapeId="90132" r:id="rId6" name="pdfbutton">
              <controlPr defaultSize="0" print="0" autoFill="0" autoPict="0" macro="[0]!pdfonly">
                <anchor moveWithCells="1" sizeWithCells="1">
                  <from>
                    <xdr:col>19</xdr:col>
                    <xdr:colOff>1022350</xdr:colOff>
                    <xdr:row>0</xdr:row>
                    <xdr:rowOff>260350</xdr:rowOff>
                  </from>
                  <to>
                    <xdr:col>20</xdr:col>
                    <xdr:colOff>596900</xdr:colOff>
                    <xdr:row>3</xdr:row>
                    <xdr:rowOff>25400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49082-F59E-448B-AAD7-AC767D8A9614}">
  <sheetPr codeName="Sheet63"/>
  <dimension ref="A1:Z45"/>
  <sheetViews>
    <sheetView showGridLines="0" workbookViewId="0"/>
  </sheetViews>
  <sheetFormatPr defaultColWidth="9.08984375" defaultRowHeight="12.5" x14ac:dyDescent="0.25"/>
  <cols>
    <col min="1" max="1" width="19.6328125" style="1776" customWidth="1"/>
    <col min="2" max="2" width="2.90625" style="1776" customWidth="1"/>
    <col min="3" max="3" width="11" style="1776" customWidth="1"/>
    <col min="4" max="4" width="5.90625" style="1776" customWidth="1"/>
    <col min="5" max="5" width="11.90625" style="1776" customWidth="1"/>
    <col min="6" max="6" width="2.54296875" style="1776" customWidth="1"/>
    <col min="7" max="7" width="12.453125" style="1776" customWidth="1"/>
    <col min="8" max="8" width="14" style="1776" customWidth="1"/>
    <col min="9" max="9" width="9.453125" style="1776" customWidth="1"/>
    <col min="10" max="10" width="15.54296875" style="1776" customWidth="1"/>
    <col min="11" max="11" width="3.08984375" style="1776" customWidth="1"/>
    <col min="12" max="12" width="24" style="1776" customWidth="1"/>
    <col min="13" max="16384" width="9.08984375" style="1776"/>
  </cols>
  <sheetData>
    <row r="1" spans="1:26" ht="8.25" customHeight="1" x14ac:dyDescent="0.25">
      <c r="A1" s="1904"/>
      <c r="B1" s="1904"/>
      <c r="C1" s="1904"/>
      <c r="D1" s="1904"/>
      <c r="E1" s="1904"/>
      <c r="F1" s="1904"/>
      <c r="G1" s="1904"/>
      <c r="H1" s="1904"/>
      <c r="I1" s="1904"/>
      <c r="J1" s="1905"/>
      <c r="K1" s="1904"/>
      <c r="L1" s="1904"/>
      <c r="M1" s="1904"/>
      <c r="N1" s="1904"/>
      <c r="O1" s="1904"/>
      <c r="P1" s="1904"/>
      <c r="Q1" s="1904"/>
      <c r="R1" s="1904"/>
      <c r="S1" s="1904"/>
      <c r="T1" s="1904"/>
      <c r="U1" s="1904"/>
      <c r="V1" s="1904"/>
      <c r="W1" s="1904"/>
      <c r="X1" s="1904"/>
      <c r="Y1" s="1904"/>
      <c r="Z1" s="1904"/>
    </row>
    <row r="2" spans="1:26" ht="8.25" customHeight="1" x14ac:dyDescent="0.25">
      <c r="A2" s="1904"/>
      <c r="B2" s="1904"/>
      <c r="C2" s="1904"/>
      <c r="D2" s="1904"/>
      <c r="E2" s="1906"/>
      <c r="F2" s="1906"/>
      <c r="G2" s="1906"/>
      <c r="H2" s="1906"/>
      <c r="I2" s="1904"/>
      <c r="J2" s="1904"/>
      <c r="K2" s="1904"/>
      <c r="L2" s="1904"/>
      <c r="M2" s="1904"/>
      <c r="N2" s="1904"/>
      <c r="O2" s="1904"/>
      <c r="P2" s="1904"/>
      <c r="Q2" s="1904"/>
      <c r="R2" s="1904"/>
      <c r="S2" s="1904"/>
      <c r="T2" s="1904"/>
      <c r="U2" s="1904"/>
      <c r="V2" s="1904"/>
      <c r="W2" s="1904"/>
      <c r="X2" s="1904"/>
      <c r="Y2" s="1904"/>
      <c r="Z2" s="1904"/>
    </row>
    <row r="3" spans="1:26" ht="13" x14ac:dyDescent="0.3">
      <c r="A3" s="1384"/>
      <c r="C3" s="1784"/>
      <c r="J3" s="1785"/>
      <c r="K3" s="1904"/>
      <c r="L3" s="1904"/>
      <c r="M3" s="1904"/>
      <c r="N3" s="1904"/>
      <c r="O3" s="1904"/>
      <c r="P3" s="1904"/>
      <c r="Q3" s="1904"/>
      <c r="R3" s="1904"/>
      <c r="S3" s="1904"/>
      <c r="T3" s="1904"/>
      <c r="U3" s="1904"/>
      <c r="V3" s="1904"/>
      <c r="W3" s="1904"/>
      <c r="X3" s="1904"/>
      <c r="Y3" s="1904"/>
      <c r="Z3" s="1904"/>
    </row>
    <row r="4" spans="1:26" ht="17.5" x14ac:dyDescent="0.35">
      <c r="A4" s="1384"/>
      <c r="C4" s="1789"/>
      <c r="D4" s="1789"/>
      <c r="E4" s="1790"/>
      <c r="F4" s="1790"/>
      <c r="G4" s="1790"/>
      <c r="H4" s="1791"/>
      <c r="I4" s="1792"/>
      <c r="J4" s="1793"/>
      <c r="K4" s="1904"/>
      <c r="L4" s="1904"/>
      <c r="M4" s="1904"/>
      <c r="N4" s="1904"/>
      <c r="O4" s="1904"/>
      <c r="P4" s="1904"/>
      <c r="Q4" s="1904"/>
      <c r="R4" s="1904"/>
      <c r="S4" s="1904"/>
      <c r="T4" s="1904"/>
      <c r="U4" s="1904"/>
      <c r="V4" s="1904"/>
      <c r="W4" s="1904"/>
      <c r="X4" s="1904"/>
      <c r="Y4" s="1904"/>
      <c r="Z4" s="1904"/>
    </row>
    <row r="5" spans="1:26" x14ac:dyDescent="0.25">
      <c r="A5" s="1384"/>
      <c r="B5" s="1798"/>
      <c r="K5" s="1904"/>
      <c r="L5" s="1904"/>
      <c r="M5" s="1904"/>
      <c r="N5" s="1904"/>
      <c r="O5" s="1904"/>
      <c r="P5" s="1904"/>
      <c r="Q5" s="1904"/>
      <c r="R5" s="1904"/>
      <c r="S5" s="1904"/>
      <c r="T5" s="1904"/>
      <c r="U5" s="1904"/>
      <c r="V5" s="1904"/>
      <c r="W5" s="1904"/>
      <c r="X5" s="1904"/>
      <c r="Y5" s="1904"/>
      <c r="Z5" s="1904"/>
    </row>
    <row r="6" spans="1:26" x14ac:dyDescent="0.25">
      <c r="A6" s="1384"/>
      <c r="B6" s="1798"/>
      <c r="D6" s="1801"/>
      <c r="E6" s="1802"/>
      <c r="H6" s="1803"/>
      <c r="J6" s="1801"/>
      <c r="K6" s="1904"/>
      <c r="L6" s="1904"/>
      <c r="M6" s="1904"/>
      <c r="N6" s="1904"/>
      <c r="O6" s="1904"/>
      <c r="P6" s="1904"/>
      <c r="Q6" s="1904"/>
      <c r="R6" s="1904"/>
      <c r="S6" s="1904"/>
      <c r="T6" s="1904"/>
      <c r="U6" s="1904"/>
      <c r="V6" s="1904"/>
      <c r="W6" s="1904"/>
      <c r="X6" s="1904"/>
      <c r="Y6" s="1904"/>
      <c r="Z6" s="1904"/>
    </row>
    <row r="7" spans="1:26" x14ac:dyDescent="0.25">
      <c r="A7" s="1384"/>
      <c r="B7" s="1798"/>
      <c r="E7" s="1802"/>
      <c r="H7" s="1803"/>
      <c r="J7" s="1808"/>
      <c r="K7" s="1908"/>
      <c r="L7" s="1904"/>
      <c r="M7" s="1904"/>
      <c r="N7" s="1904"/>
      <c r="O7" s="1904"/>
      <c r="P7" s="1904"/>
      <c r="Q7" s="1904"/>
      <c r="R7" s="1904"/>
      <c r="S7" s="1904"/>
      <c r="T7" s="1904"/>
      <c r="U7" s="1904"/>
      <c r="V7" s="1904"/>
      <c r="W7" s="1904"/>
      <c r="X7" s="1904"/>
      <c r="Y7" s="1904"/>
      <c r="Z7" s="1904"/>
    </row>
    <row r="8" spans="1:26" x14ac:dyDescent="0.25">
      <c r="A8" s="1384"/>
      <c r="B8" s="1798"/>
      <c r="D8" s="1801"/>
      <c r="H8" s="1803"/>
      <c r="J8" s="1812"/>
      <c r="K8" s="1908"/>
      <c r="L8" s="1904"/>
      <c r="M8" s="1904"/>
      <c r="N8" s="1904"/>
      <c r="O8" s="1904"/>
      <c r="P8" s="1904"/>
      <c r="Q8" s="1904"/>
      <c r="R8" s="1904"/>
      <c r="S8" s="1904"/>
      <c r="T8" s="1904"/>
      <c r="U8" s="1904"/>
      <c r="V8" s="1904"/>
      <c r="W8" s="1904"/>
      <c r="X8" s="1904"/>
      <c r="Y8" s="1904"/>
      <c r="Z8" s="1904"/>
    </row>
    <row r="9" spans="1:26" x14ac:dyDescent="0.25">
      <c r="A9" s="1384"/>
      <c r="B9" s="1798"/>
      <c r="C9" s="1813"/>
      <c r="D9" s="1813"/>
      <c r="E9" s="1813"/>
      <c r="F9" s="1813"/>
      <c r="G9" s="1813"/>
      <c r="H9" s="1813"/>
      <c r="I9" s="1813"/>
      <c r="J9" s="1813"/>
      <c r="K9" s="1910"/>
      <c r="L9" s="1904"/>
      <c r="M9" s="1904"/>
      <c r="N9" s="1904"/>
      <c r="O9" s="1904"/>
      <c r="P9" s="1904"/>
      <c r="Q9" s="1904"/>
      <c r="R9" s="1904"/>
      <c r="S9" s="1904"/>
      <c r="T9" s="1904"/>
      <c r="U9" s="1904"/>
      <c r="V9" s="1904"/>
      <c r="W9" s="1904"/>
      <c r="X9" s="1904"/>
      <c r="Y9" s="1904"/>
      <c r="Z9" s="1904"/>
    </row>
    <row r="10" spans="1:26" ht="13" x14ac:dyDescent="0.3">
      <c r="A10" s="1384"/>
      <c r="B10" s="1798"/>
      <c r="C10" s="1815"/>
      <c r="D10" s="1816"/>
      <c r="E10" s="1802"/>
      <c r="I10" s="1817"/>
      <c r="J10" s="1817"/>
      <c r="K10" s="1904"/>
      <c r="L10" s="1904"/>
      <c r="M10" s="1904"/>
      <c r="N10" s="1904"/>
      <c r="O10" s="1904"/>
      <c r="P10" s="1904"/>
      <c r="Q10" s="1904"/>
      <c r="R10" s="1904"/>
      <c r="S10" s="1904"/>
      <c r="T10" s="1904"/>
      <c r="U10" s="1904"/>
      <c r="V10" s="1904"/>
      <c r="W10" s="1904"/>
      <c r="X10" s="1904"/>
      <c r="Y10" s="1904"/>
      <c r="Z10" s="1904"/>
    </row>
    <row r="11" spans="1:26" ht="13" x14ac:dyDescent="0.3">
      <c r="A11" s="1384"/>
      <c r="B11" s="1798"/>
      <c r="C11" s="1815"/>
      <c r="K11" s="1904"/>
      <c r="L11" s="1904"/>
      <c r="M11" s="1904"/>
      <c r="N11" s="1904"/>
      <c r="O11" s="1904"/>
      <c r="P11" s="1904"/>
      <c r="Q11" s="1904"/>
      <c r="R11" s="1904"/>
      <c r="S11" s="1904"/>
      <c r="T11" s="1904"/>
      <c r="U11" s="1904"/>
      <c r="V11" s="1904"/>
      <c r="W11" s="1904"/>
      <c r="X11" s="1904"/>
      <c r="Y11" s="1904"/>
      <c r="Z11" s="1904"/>
    </row>
    <row r="12" spans="1:26" ht="13" x14ac:dyDescent="0.3">
      <c r="A12" s="1384"/>
      <c r="B12" s="1798"/>
      <c r="C12" s="1815"/>
      <c r="K12" s="1904"/>
      <c r="L12" s="1904"/>
      <c r="M12" s="1904"/>
      <c r="N12" s="1904"/>
      <c r="O12" s="1904"/>
      <c r="P12" s="1904"/>
      <c r="Q12" s="1904"/>
      <c r="R12" s="1904"/>
      <c r="S12" s="1904"/>
      <c r="T12" s="1904"/>
      <c r="U12" s="1904"/>
      <c r="V12" s="1904"/>
      <c r="W12" s="1904"/>
      <c r="X12" s="1904"/>
      <c r="Y12" s="1904"/>
      <c r="Z12" s="1904"/>
    </row>
    <row r="13" spans="1:26" ht="13" x14ac:dyDescent="0.3">
      <c r="A13" s="1384"/>
      <c r="B13" s="1798"/>
      <c r="C13" s="1815"/>
      <c r="D13" s="1817"/>
      <c r="K13" s="1904"/>
      <c r="L13" s="1904"/>
      <c r="M13" s="1904"/>
      <c r="N13" s="1904"/>
      <c r="O13" s="1904"/>
      <c r="P13" s="1904"/>
      <c r="Q13" s="1904"/>
      <c r="R13" s="1904"/>
      <c r="S13" s="1904"/>
      <c r="T13" s="1904"/>
      <c r="U13" s="1904"/>
      <c r="V13" s="1904"/>
      <c r="W13" s="1904"/>
      <c r="X13" s="1904"/>
      <c r="Y13" s="1904"/>
      <c r="Z13" s="1904"/>
    </row>
    <row r="14" spans="1:26" x14ac:dyDescent="0.25">
      <c r="A14" s="1904"/>
      <c r="B14" s="1798"/>
      <c r="C14" s="1798"/>
      <c r="D14" s="1798"/>
      <c r="E14" s="1798"/>
      <c r="F14" s="1798"/>
      <c r="G14" s="1798"/>
      <c r="H14" s="1798"/>
      <c r="I14" s="1798"/>
      <c r="J14" s="1798"/>
      <c r="K14" s="1904"/>
      <c r="L14" s="1904"/>
      <c r="M14" s="1904"/>
      <c r="N14" s="1904"/>
      <c r="O14" s="1904"/>
      <c r="P14" s="1904"/>
      <c r="Q14" s="1904"/>
      <c r="R14" s="1904"/>
      <c r="S14" s="1904"/>
      <c r="T14" s="1904"/>
      <c r="U14" s="1904"/>
      <c r="V14" s="1904"/>
      <c r="W14" s="1904"/>
      <c r="X14" s="1904"/>
      <c r="Y14" s="1904"/>
      <c r="Z14" s="1904"/>
    </row>
    <row r="15" spans="1:26" x14ac:dyDescent="0.25">
      <c r="A15" s="1904"/>
      <c r="B15" s="1798"/>
      <c r="C15" s="1822"/>
      <c r="D15" s="1822"/>
      <c r="E15" s="1822"/>
      <c r="F15" s="1822"/>
      <c r="G15" s="1822"/>
      <c r="H15" s="1822"/>
      <c r="I15" s="1822"/>
      <c r="J15" s="1822"/>
      <c r="K15" s="1911"/>
      <c r="L15" s="1904"/>
      <c r="M15" s="1904"/>
      <c r="N15" s="1904"/>
      <c r="O15" s="1904"/>
      <c r="P15" s="1904"/>
      <c r="Q15" s="1904"/>
      <c r="R15" s="1904"/>
      <c r="S15" s="1904"/>
      <c r="T15" s="1904"/>
      <c r="U15" s="1904"/>
      <c r="V15" s="1904"/>
      <c r="W15" s="1904"/>
      <c r="X15" s="1904"/>
      <c r="Y15" s="1904"/>
      <c r="Z15" s="1904"/>
    </row>
    <row r="16" spans="1:26" ht="8.25" customHeight="1" x14ac:dyDescent="0.25">
      <c r="A16" s="1904"/>
      <c r="B16" s="1798"/>
      <c r="C16" s="1798"/>
      <c r="D16" s="1798"/>
      <c r="E16" s="1798"/>
      <c r="F16" s="1798"/>
      <c r="G16" s="1798"/>
      <c r="H16" s="1798"/>
      <c r="I16" s="1798"/>
      <c r="J16" s="1798"/>
      <c r="K16" s="1904"/>
      <c r="L16" s="1904"/>
      <c r="M16" s="1904"/>
      <c r="N16" s="1904"/>
      <c r="O16" s="1904"/>
      <c r="P16" s="1904"/>
      <c r="Q16" s="1904"/>
      <c r="R16" s="1904"/>
      <c r="S16" s="1904"/>
      <c r="T16" s="1904"/>
      <c r="U16" s="1904"/>
      <c r="V16" s="1904"/>
      <c r="W16" s="1904"/>
      <c r="X16" s="1904"/>
      <c r="Y16" s="1904"/>
      <c r="Z16" s="1904"/>
    </row>
    <row r="17" spans="1:26" x14ac:dyDescent="0.25">
      <c r="A17" s="1904"/>
      <c r="G17" s="1835"/>
      <c r="H17" s="1826"/>
      <c r="K17" s="1904"/>
      <c r="L17" s="1904"/>
      <c r="M17" s="1904"/>
      <c r="N17" s="1904"/>
      <c r="O17" s="1904"/>
      <c r="P17" s="1904"/>
      <c r="Q17" s="1904"/>
      <c r="R17" s="1904"/>
      <c r="S17" s="1904"/>
      <c r="T17" s="1904"/>
      <c r="U17" s="1904"/>
      <c r="V17" s="1904"/>
      <c r="W17" s="1904"/>
      <c r="X17" s="1904"/>
      <c r="Y17" s="1904"/>
      <c r="Z17" s="1904"/>
    </row>
    <row r="18" spans="1:26" x14ac:dyDescent="0.25">
      <c r="A18" s="1904"/>
      <c r="G18" s="1835"/>
      <c r="H18" s="1826"/>
      <c r="K18" s="1904"/>
      <c r="L18" s="1904"/>
      <c r="M18" s="1904"/>
      <c r="N18" s="1904"/>
      <c r="O18" s="1904"/>
      <c r="P18" s="1904"/>
      <c r="Q18" s="1904"/>
      <c r="R18" s="1904"/>
      <c r="S18" s="1904"/>
      <c r="T18" s="1904"/>
      <c r="U18" s="1904"/>
      <c r="V18" s="1904"/>
      <c r="W18" s="1904"/>
      <c r="X18" s="1904"/>
      <c r="Y18" s="1904"/>
      <c r="Z18" s="1904"/>
    </row>
    <row r="19" spans="1:26" x14ac:dyDescent="0.25">
      <c r="A19" s="1904"/>
      <c r="G19" s="1902"/>
      <c r="K19" s="1904"/>
      <c r="L19" s="1904"/>
      <c r="M19" s="1904"/>
      <c r="N19" s="1904"/>
      <c r="O19" s="1904"/>
      <c r="P19" s="1904"/>
      <c r="Q19" s="1904"/>
      <c r="R19" s="1904"/>
      <c r="S19" s="1904"/>
      <c r="T19" s="1904"/>
      <c r="U19" s="1904"/>
      <c r="V19" s="1904"/>
      <c r="W19" s="1904"/>
      <c r="X19" s="1904"/>
      <c r="Y19" s="1904"/>
      <c r="Z19" s="1904"/>
    </row>
    <row r="20" spans="1:26" x14ac:dyDescent="0.25">
      <c r="A20" s="1904"/>
      <c r="G20" s="1903"/>
      <c r="H20" s="1833"/>
      <c r="K20" s="1904"/>
      <c r="L20" s="1904"/>
      <c r="M20" s="1904"/>
      <c r="N20" s="1904"/>
      <c r="O20" s="1904"/>
      <c r="P20" s="1904"/>
      <c r="Q20" s="1904"/>
      <c r="R20" s="1904"/>
      <c r="S20" s="1904"/>
      <c r="T20" s="1904"/>
      <c r="U20" s="1904"/>
      <c r="V20" s="1904"/>
      <c r="W20" s="1904"/>
      <c r="X20" s="1904"/>
      <c r="Y20" s="1904"/>
      <c r="Z20" s="1904"/>
    </row>
    <row r="21" spans="1:26" ht="13" x14ac:dyDescent="0.3">
      <c r="A21" s="1904"/>
      <c r="F21" s="1784"/>
      <c r="G21" s="1835"/>
      <c r="H21" s="1784"/>
      <c r="K21" s="1904"/>
      <c r="L21" s="1904"/>
      <c r="M21" s="1904"/>
      <c r="N21" s="1904"/>
      <c r="O21" s="1904"/>
      <c r="P21" s="1904"/>
      <c r="Q21" s="1904"/>
      <c r="R21" s="1904"/>
      <c r="S21" s="1904"/>
      <c r="T21" s="1904"/>
      <c r="U21" s="1904"/>
      <c r="V21" s="1904"/>
      <c r="W21" s="1904"/>
      <c r="X21" s="1904"/>
      <c r="Y21" s="1904"/>
      <c r="Z21" s="1904"/>
    </row>
    <row r="22" spans="1:26" ht="23.25" customHeight="1" x14ac:dyDescent="0.3">
      <c r="A22" s="1904"/>
      <c r="C22" s="1836"/>
      <c r="D22" s="1836"/>
      <c r="E22" s="1837"/>
      <c r="F22" s="1837"/>
      <c r="G22" s="1837"/>
      <c r="H22" s="1837"/>
      <c r="I22" s="1837"/>
      <c r="J22" s="1837"/>
      <c r="K22" s="1904"/>
      <c r="L22" s="1904"/>
      <c r="M22" s="1904"/>
      <c r="N22" s="1904"/>
      <c r="O22" s="1904"/>
      <c r="P22" s="1904"/>
      <c r="Q22" s="1904"/>
      <c r="R22" s="1904"/>
      <c r="S22" s="1904"/>
      <c r="T22" s="1904"/>
      <c r="U22" s="1904"/>
      <c r="V22" s="1904"/>
      <c r="W22" s="1904"/>
      <c r="X22" s="1904"/>
      <c r="Y22" s="1904"/>
      <c r="Z22" s="1904"/>
    </row>
    <row r="23" spans="1:26" ht="13" x14ac:dyDescent="0.3">
      <c r="A23" s="1904"/>
      <c r="C23" s="1838"/>
      <c r="D23" s="1838"/>
      <c r="E23" s="1839"/>
      <c r="F23" s="1839"/>
      <c r="G23" s="1839"/>
      <c r="H23" s="1839"/>
      <c r="I23" s="1839"/>
      <c r="J23" s="1839"/>
      <c r="K23" s="1912"/>
      <c r="L23" s="1904"/>
      <c r="M23" s="1904"/>
      <c r="N23" s="1904"/>
      <c r="O23" s="1904"/>
      <c r="P23" s="1904"/>
      <c r="Q23" s="1904"/>
      <c r="R23" s="1904"/>
      <c r="S23" s="1904"/>
      <c r="T23" s="1904"/>
      <c r="U23" s="1904"/>
      <c r="V23" s="1904"/>
      <c r="W23" s="1904"/>
      <c r="X23" s="1904"/>
      <c r="Y23" s="1904"/>
      <c r="Z23" s="1904"/>
    </row>
    <row r="24" spans="1:26" ht="15" customHeight="1" x14ac:dyDescent="0.3">
      <c r="A24" s="1904"/>
      <c r="C24" s="1844"/>
      <c r="D24" s="1844"/>
      <c r="E24" s="1845"/>
      <c r="F24" s="1844"/>
      <c r="G24" s="1844"/>
      <c r="H24" s="1844"/>
      <c r="I24" s="1844"/>
      <c r="J24" s="1844"/>
      <c r="K24" s="1904"/>
      <c r="L24" s="1904"/>
      <c r="M24" s="1904"/>
      <c r="N24" s="1904"/>
      <c r="O24" s="1904"/>
      <c r="P24" s="1904"/>
      <c r="Q24" s="1904"/>
      <c r="R24" s="1904"/>
      <c r="S24" s="1904"/>
      <c r="T24" s="1904"/>
      <c r="U24" s="1904"/>
      <c r="V24" s="1904"/>
      <c r="W24" s="1904"/>
      <c r="X24" s="1904"/>
      <c r="Y24" s="1904"/>
      <c r="Z24" s="1904"/>
    </row>
    <row r="25" spans="1:26" ht="15" customHeight="1" x14ac:dyDescent="0.3">
      <c r="A25" s="1904"/>
      <c r="E25" s="1784"/>
      <c r="H25" s="1844"/>
      <c r="I25" s="1844"/>
      <c r="J25" s="1844"/>
      <c r="K25" s="1904"/>
      <c r="L25" s="1904"/>
      <c r="M25" s="1904"/>
      <c r="N25" s="1904"/>
      <c r="O25" s="1904"/>
      <c r="P25" s="1904"/>
      <c r="Q25" s="1904"/>
      <c r="R25" s="1904"/>
      <c r="S25" s="1904"/>
      <c r="T25" s="1904"/>
      <c r="U25" s="1904"/>
      <c r="V25" s="1904"/>
      <c r="W25" s="1904"/>
      <c r="X25" s="1904"/>
      <c r="Y25" s="1904"/>
      <c r="Z25" s="1904"/>
    </row>
    <row r="26" spans="1:26" ht="13" x14ac:dyDescent="0.3">
      <c r="A26" s="1904"/>
      <c r="B26" s="1849"/>
      <c r="C26" s="1850"/>
      <c r="D26" s="1851"/>
      <c r="E26" s="1903"/>
      <c r="F26" s="1852"/>
      <c r="G26" s="1867"/>
      <c r="H26" s="1854"/>
      <c r="I26" s="1855"/>
      <c r="J26" s="1855"/>
      <c r="K26" s="1904"/>
      <c r="L26" s="1904"/>
      <c r="M26" s="1904"/>
      <c r="N26" s="1904"/>
      <c r="O26" s="1904"/>
      <c r="P26" s="1904"/>
      <c r="Q26" s="1904"/>
      <c r="R26" s="1904"/>
      <c r="S26" s="1904"/>
      <c r="T26" s="1904"/>
      <c r="U26" s="1904"/>
      <c r="V26" s="1904"/>
      <c r="W26" s="1904"/>
      <c r="X26" s="1904"/>
      <c r="Y26" s="1904"/>
      <c r="Z26" s="1904"/>
    </row>
    <row r="27" spans="1:26" ht="13" x14ac:dyDescent="0.3">
      <c r="A27" s="1904"/>
      <c r="B27" s="1849"/>
      <c r="C27" s="1850"/>
      <c r="D27" s="1851"/>
      <c r="E27" s="1903"/>
      <c r="F27" s="1852"/>
      <c r="G27" s="1867"/>
      <c r="H27" s="1854"/>
      <c r="I27" s="1855"/>
      <c r="J27" s="1855"/>
      <c r="K27" s="1904"/>
      <c r="L27" s="1904"/>
      <c r="M27" s="1904"/>
      <c r="N27" s="1904"/>
      <c r="O27" s="1904"/>
      <c r="P27" s="1904"/>
      <c r="Q27" s="1904"/>
      <c r="R27" s="1904"/>
      <c r="S27" s="1904"/>
      <c r="T27" s="1904"/>
      <c r="U27" s="1904"/>
      <c r="V27" s="1904"/>
      <c r="W27" s="1904"/>
      <c r="X27" s="1904"/>
      <c r="Y27" s="1904"/>
      <c r="Z27" s="1904"/>
    </row>
    <row r="28" spans="1:26" ht="13" x14ac:dyDescent="0.3">
      <c r="A28" s="1904"/>
      <c r="B28" s="1849"/>
      <c r="C28" s="1850"/>
      <c r="D28" s="1851"/>
      <c r="E28" s="1903"/>
      <c r="F28" s="1852"/>
      <c r="G28" s="1867"/>
      <c r="H28" s="1854"/>
      <c r="I28" s="1855"/>
      <c r="J28" s="1855"/>
      <c r="K28" s="1904"/>
      <c r="L28" s="1904"/>
      <c r="M28" s="1904"/>
      <c r="N28" s="1904"/>
      <c r="O28" s="1904"/>
      <c r="P28" s="1904"/>
      <c r="Q28" s="1904"/>
      <c r="R28" s="1904"/>
      <c r="S28" s="1904"/>
      <c r="T28" s="1904"/>
      <c r="U28" s="1904"/>
      <c r="V28" s="1904"/>
      <c r="W28" s="1904"/>
      <c r="X28" s="1904"/>
      <c r="Y28" s="1904"/>
      <c r="Z28" s="1904"/>
    </row>
    <row r="29" spans="1:26" ht="13" hidden="1" x14ac:dyDescent="0.3">
      <c r="A29" s="1904"/>
      <c r="B29" s="1849"/>
      <c r="C29" s="1850"/>
      <c r="D29" s="1851"/>
      <c r="E29" s="1832"/>
      <c r="F29" s="1852"/>
      <c r="G29" s="1853"/>
      <c r="H29" s="1854"/>
      <c r="I29" s="1855"/>
      <c r="J29" s="1855"/>
      <c r="K29" s="1904"/>
      <c r="L29" s="1904"/>
      <c r="M29" s="1904"/>
      <c r="N29" s="1904"/>
      <c r="O29" s="1904"/>
      <c r="P29" s="1904"/>
      <c r="Q29" s="1904"/>
      <c r="R29" s="1904"/>
      <c r="S29" s="1904"/>
      <c r="T29" s="1904"/>
      <c r="U29" s="1904"/>
      <c r="V29" s="1904"/>
      <c r="W29" s="1904"/>
      <c r="X29" s="1904"/>
      <c r="Y29" s="1904"/>
      <c r="Z29" s="1904"/>
    </row>
    <row r="30" spans="1:26" ht="13" hidden="1" x14ac:dyDescent="0.3">
      <c r="A30" s="1904"/>
      <c r="B30" s="1849"/>
      <c r="C30" s="1850"/>
      <c r="D30" s="1851"/>
      <c r="E30" s="1832"/>
      <c r="F30" s="1852"/>
      <c r="G30" s="1853"/>
      <c r="H30" s="1854"/>
      <c r="I30" s="1855"/>
      <c r="J30" s="1855"/>
      <c r="K30" s="1904"/>
      <c r="L30" s="1904"/>
      <c r="M30" s="1904"/>
      <c r="N30" s="1904"/>
      <c r="O30" s="1904"/>
      <c r="P30" s="1904"/>
      <c r="Q30" s="1904"/>
      <c r="R30" s="1904"/>
      <c r="S30" s="1904"/>
      <c r="T30" s="1904"/>
      <c r="U30" s="1904"/>
      <c r="V30" s="1904"/>
      <c r="W30" s="1904"/>
      <c r="X30" s="1904"/>
      <c r="Y30" s="1904"/>
      <c r="Z30" s="1904"/>
    </row>
    <row r="31" spans="1:26" x14ac:dyDescent="0.25">
      <c r="A31" s="1904"/>
      <c r="C31" s="1857"/>
      <c r="D31" s="1857"/>
      <c r="G31" s="1858"/>
      <c r="H31" s="1858"/>
      <c r="I31" s="1858"/>
      <c r="J31" s="1858"/>
      <c r="K31" s="1904"/>
      <c r="L31" s="1904"/>
      <c r="M31" s="1904"/>
      <c r="N31" s="1904"/>
      <c r="O31" s="1904"/>
      <c r="P31" s="1904"/>
      <c r="Q31" s="1904"/>
      <c r="R31" s="1904"/>
      <c r="S31" s="1904"/>
      <c r="T31" s="1904"/>
      <c r="U31" s="1904"/>
      <c r="V31" s="1904"/>
      <c r="W31" s="1904"/>
      <c r="X31" s="1904"/>
      <c r="Y31" s="1904"/>
      <c r="Z31" s="1904"/>
    </row>
    <row r="32" spans="1:26" ht="17.25" customHeight="1" thickBot="1" x14ac:dyDescent="0.3">
      <c r="A32" s="1904"/>
      <c r="C32" s="1859"/>
      <c r="D32" s="1859"/>
      <c r="E32" s="1859"/>
      <c r="F32" s="1859"/>
      <c r="G32" s="1860"/>
      <c r="H32" s="1860"/>
      <c r="I32" s="1860"/>
      <c r="J32" s="1860"/>
      <c r="K32" s="1904"/>
      <c r="L32" s="1904"/>
      <c r="M32" s="1904"/>
      <c r="N32" s="1904"/>
      <c r="O32" s="1904"/>
      <c r="P32" s="1904"/>
      <c r="Q32" s="1904"/>
      <c r="R32" s="1904"/>
      <c r="S32" s="1904"/>
      <c r="T32" s="1904"/>
      <c r="U32" s="1904"/>
      <c r="V32" s="1904"/>
      <c r="W32" s="1904"/>
      <c r="X32" s="1904"/>
      <c r="Y32" s="1904"/>
      <c r="Z32" s="1904"/>
    </row>
    <row r="33" spans="1:26" ht="13.5" thickTop="1" x14ac:dyDescent="0.3">
      <c r="A33" s="1907"/>
      <c r="C33" s="1784"/>
      <c r="D33" s="1784"/>
      <c r="K33" s="1904"/>
      <c r="L33" s="1904"/>
      <c r="M33" s="1904"/>
      <c r="N33" s="1904"/>
      <c r="O33" s="1904"/>
      <c r="P33" s="1904"/>
      <c r="Q33" s="1904"/>
      <c r="R33" s="1904"/>
      <c r="S33" s="1904"/>
      <c r="T33" s="1904"/>
      <c r="U33" s="1904"/>
      <c r="V33" s="1904"/>
      <c r="W33" s="1904"/>
      <c r="X33" s="1904"/>
      <c r="Y33" s="1904"/>
      <c r="Z33" s="1904"/>
    </row>
    <row r="34" spans="1:26" x14ac:dyDescent="0.25">
      <c r="A34" s="1904"/>
      <c r="G34" s="1803"/>
      <c r="K34" s="1904"/>
      <c r="L34" s="1904"/>
      <c r="M34" s="1904"/>
      <c r="N34" s="1904"/>
      <c r="O34" s="1904"/>
      <c r="P34" s="1904"/>
      <c r="Q34" s="1904"/>
      <c r="R34" s="1904"/>
      <c r="S34" s="1904"/>
      <c r="T34" s="1904"/>
      <c r="U34" s="1904"/>
      <c r="V34" s="1904"/>
      <c r="W34" s="1904"/>
      <c r="X34" s="1904"/>
      <c r="Y34" s="1904"/>
      <c r="Z34" s="1904"/>
    </row>
    <row r="35" spans="1:26" x14ac:dyDescent="0.25">
      <c r="A35" s="1908"/>
      <c r="J35" s="1858"/>
      <c r="K35" s="1904"/>
      <c r="L35" s="1904"/>
      <c r="M35" s="1904"/>
      <c r="N35" s="1904"/>
      <c r="O35" s="1904"/>
      <c r="P35" s="1904"/>
      <c r="Q35" s="1904"/>
      <c r="R35" s="1904"/>
      <c r="S35" s="1904"/>
      <c r="T35" s="1904"/>
      <c r="U35" s="1904"/>
      <c r="V35" s="1904"/>
      <c r="W35" s="1904"/>
      <c r="X35" s="1904"/>
      <c r="Y35" s="1904"/>
      <c r="Z35" s="1904"/>
    </row>
    <row r="36" spans="1:26" x14ac:dyDescent="0.25">
      <c r="A36" s="1904"/>
      <c r="C36" s="1864"/>
      <c r="J36" s="1858"/>
      <c r="K36" s="1904"/>
      <c r="L36" s="1904"/>
      <c r="M36" s="1904"/>
      <c r="N36" s="1904"/>
      <c r="O36" s="1904"/>
      <c r="P36" s="1904"/>
      <c r="Q36" s="1904"/>
      <c r="R36" s="1904"/>
      <c r="S36" s="1904"/>
      <c r="T36" s="1904"/>
      <c r="U36" s="1904"/>
      <c r="V36" s="1904"/>
      <c r="W36" s="1904"/>
      <c r="X36" s="1904"/>
      <c r="Y36" s="1904"/>
      <c r="Z36" s="1904"/>
    </row>
    <row r="37" spans="1:26" x14ac:dyDescent="0.25">
      <c r="A37" s="1904"/>
      <c r="H37" s="1865"/>
      <c r="I37" s="1813"/>
      <c r="J37" s="1866"/>
      <c r="K37" s="1904"/>
      <c r="L37" s="1904"/>
      <c r="M37" s="1904"/>
      <c r="N37" s="1904"/>
      <c r="O37" s="1904"/>
      <c r="P37" s="1904"/>
      <c r="Q37" s="1904"/>
      <c r="R37" s="1904"/>
      <c r="S37" s="1904"/>
      <c r="T37" s="1904"/>
      <c r="U37" s="1904"/>
      <c r="V37" s="1904"/>
      <c r="W37" s="1904"/>
      <c r="X37" s="1904"/>
      <c r="Y37" s="1904"/>
      <c r="Z37" s="1904"/>
    </row>
    <row r="38" spans="1:26" x14ac:dyDescent="0.25">
      <c r="A38" s="1904"/>
      <c r="J38" s="1858"/>
      <c r="K38" s="1904"/>
      <c r="L38" s="1904"/>
      <c r="M38" s="1904"/>
      <c r="N38" s="1904"/>
      <c r="O38" s="1904"/>
      <c r="P38" s="1904"/>
      <c r="Q38" s="1904"/>
      <c r="R38" s="1904"/>
      <c r="S38" s="1904"/>
      <c r="T38" s="1904"/>
      <c r="U38" s="1904"/>
      <c r="V38" s="1904"/>
      <c r="W38" s="1904"/>
      <c r="X38" s="1904"/>
      <c r="Y38" s="1904"/>
      <c r="Z38" s="1904"/>
    </row>
    <row r="39" spans="1:26" ht="13" x14ac:dyDescent="0.3">
      <c r="A39" s="1904"/>
      <c r="B39" s="1798"/>
      <c r="C39" s="1798"/>
      <c r="D39" s="1798"/>
      <c r="E39" s="1784"/>
      <c r="F39" s="1798"/>
      <c r="G39" s="1798"/>
      <c r="I39" s="1798"/>
      <c r="J39" s="1867"/>
      <c r="K39" s="1913"/>
      <c r="L39" s="1904"/>
      <c r="M39" s="1904"/>
      <c r="N39" s="1904"/>
      <c r="O39" s="1904"/>
      <c r="P39" s="1904"/>
      <c r="Q39" s="1904"/>
      <c r="R39" s="1904"/>
      <c r="S39" s="1904"/>
      <c r="T39" s="1904"/>
      <c r="U39" s="1904"/>
      <c r="V39" s="1904"/>
      <c r="W39" s="1904"/>
      <c r="X39" s="1904"/>
      <c r="Y39" s="1904"/>
      <c r="Z39" s="1904"/>
    </row>
    <row r="40" spans="1:26" x14ac:dyDescent="0.25">
      <c r="A40" s="1904"/>
      <c r="B40" s="1798"/>
      <c r="C40" s="1798"/>
      <c r="D40" s="1798"/>
      <c r="E40" s="1798"/>
      <c r="F40" s="1798"/>
      <c r="G40" s="1798"/>
      <c r="I40" s="1798"/>
      <c r="J40" s="1858"/>
      <c r="K40" s="1904"/>
      <c r="L40" s="1904"/>
      <c r="M40" s="1904"/>
      <c r="N40" s="1904"/>
      <c r="O40" s="1904"/>
      <c r="P40" s="1904"/>
      <c r="Q40" s="1904"/>
      <c r="R40" s="1904"/>
      <c r="S40" s="1904"/>
      <c r="T40" s="1904"/>
      <c r="U40" s="1904"/>
      <c r="V40" s="1904"/>
      <c r="W40" s="1904"/>
      <c r="X40" s="1904"/>
      <c r="Y40" s="1904"/>
      <c r="Z40" s="1904"/>
    </row>
    <row r="41" spans="1:26" x14ac:dyDescent="0.25">
      <c r="A41" s="1904"/>
      <c r="B41" s="1798"/>
      <c r="D41" s="1798"/>
      <c r="E41" s="1798"/>
      <c r="F41" s="1798"/>
      <c r="G41" s="1798"/>
      <c r="J41" s="1867"/>
      <c r="K41" s="1904"/>
      <c r="L41" s="1904"/>
      <c r="M41" s="1904"/>
      <c r="N41" s="1904"/>
      <c r="O41" s="1904"/>
      <c r="P41" s="1904"/>
      <c r="Q41" s="1904"/>
      <c r="R41" s="1904"/>
      <c r="S41" s="1904"/>
      <c r="T41" s="1904"/>
      <c r="U41" s="1904"/>
      <c r="V41" s="1904"/>
      <c r="W41" s="1904"/>
      <c r="X41" s="1904"/>
      <c r="Y41" s="1904"/>
      <c r="Z41" s="1904"/>
    </row>
    <row r="42" spans="1:26" x14ac:dyDescent="0.25">
      <c r="A42" s="1904"/>
      <c r="B42" s="1798"/>
      <c r="C42" s="1798"/>
      <c r="D42" s="1798"/>
      <c r="E42" s="1798"/>
      <c r="F42" s="1798"/>
      <c r="G42" s="1798"/>
      <c r="H42" s="1798"/>
      <c r="I42" s="1798"/>
      <c r="J42" s="1867"/>
      <c r="K42" s="1904"/>
      <c r="L42" s="1904"/>
      <c r="M42" s="1904"/>
      <c r="N42" s="1904"/>
      <c r="O42" s="1904"/>
      <c r="P42" s="1904"/>
      <c r="Q42" s="1904"/>
      <c r="R42" s="1904"/>
      <c r="S42" s="1904"/>
      <c r="T42" s="1904"/>
      <c r="U42" s="1904"/>
      <c r="V42" s="1904"/>
      <c r="W42" s="1904"/>
      <c r="X42" s="1904"/>
      <c r="Y42" s="1904"/>
      <c r="Z42" s="1904"/>
    </row>
    <row r="43" spans="1:26" ht="75.75" customHeight="1" x14ac:dyDescent="0.35">
      <c r="A43" s="1904"/>
      <c r="B43" s="1798"/>
      <c r="C43" s="1798"/>
      <c r="D43" s="1869"/>
      <c r="E43" s="1870"/>
      <c r="F43" s="1798"/>
      <c r="G43" s="1798"/>
      <c r="H43" s="1798"/>
      <c r="I43" s="1798"/>
      <c r="J43" s="1867"/>
      <c r="K43" s="1904"/>
      <c r="L43" s="1904"/>
      <c r="M43" s="1904"/>
      <c r="N43" s="1904"/>
      <c r="O43" s="1904"/>
      <c r="P43" s="1904"/>
      <c r="Q43" s="1904"/>
      <c r="R43" s="1904"/>
      <c r="S43" s="1904"/>
      <c r="T43" s="1904"/>
      <c r="U43" s="1904"/>
      <c r="V43" s="1904"/>
      <c r="W43" s="1904"/>
      <c r="X43" s="1904"/>
      <c r="Y43" s="1904"/>
      <c r="Z43" s="1904"/>
    </row>
    <row r="44" spans="1:26" ht="34.5" customHeight="1" x14ac:dyDescent="0.25">
      <c r="A44" s="1904"/>
      <c r="B44" s="1904"/>
      <c r="C44" s="1904"/>
      <c r="D44" s="1904"/>
      <c r="E44" s="1904"/>
      <c r="F44" s="1904"/>
      <c r="G44" s="1904"/>
      <c r="H44" s="1904"/>
      <c r="I44" s="1904"/>
      <c r="J44" s="1904"/>
      <c r="K44" s="1904"/>
      <c r="L44" s="1904"/>
      <c r="M44" s="1904"/>
      <c r="N44" s="1904"/>
      <c r="O44" s="1904"/>
      <c r="P44" s="1904"/>
      <c r="Q44" s="1904"/>
      <c r="R44" s="1904"/>
      <c r="S44" s="1904"/>
      <c r="T44" s="1904"/>
      <c r="U44" s="1904"/>
      <c r="V44" s="1904"/>
      <c r="W44" s="1904"/>
      <c r="X44" s="1904"/>
      <c r="Y44" s="1904"/>
      <c r="Z44" s="1904"/>
    </row>
    <row r="45" spans="1:26" ht="48" customHeight="1" x14ac:dyDescent="0.25">
      <c r="A45" s="1904"/>
      <c r="B45" s="1909"/>
      <c r="C45" s="1904"/>
      <c r="D45" s="1904"/>
      <c r="E45" s="1904"/>
      <c r="F45" s="1904"/>
      <c r="G45" s="1904"/>
      <c r="H45" s="1904"/>
      <c r="I45" s="1904"/>
      <c r="J45" s="1904"/>
      <c r="K45" s="1904"/>
      <c r="L45" s="1904"/>
      <c r="M45" s="1904"/>
      <c r="N45" s="1904"/>
      <c r="O45" s="1904"/>
      <c r="P45" s="1904"/>
      <c r="Q45" s="1904"/>
      <c r="R45" s="1904"/>
      <c r="S45" s="1904"/>
      <c r="T45" s="1904"/>
      <c r="U45" s="1904"/>
      <c r="V45" s="1904"/>
      <c r="W45" s="1904"/>
      <c r="X45" s="1904"/>
      <c r="Y45" s="1904"/>
      <c r="Z45" s="1904"/>
    </row>
  </sheetData>
  <phoneticPr fontId="0" type="noConversion"/>
  <conditionalFormatting sqref="J39">
    <cfRule type="expression" dxfId="7" priority="1" stopIfTrue="1">
      <formula>$L$37=TRUE</formula>
    </cfRule>
  </conditionalFormatting>
  <conditionalFormatting sqref="G21">
    <cfRule type="expression" dxfId="6" priority="2" stopIfTrue="1">
      <formula>$G$20="y"</formula>
    </cfRule>
  </conditionalFormatting>
  <dataValidations count="3">
    <dataValidation type="date" allowBlank="1" showInputMessage="1" showErrorMessage="1" errorTitle="Effective Date" error="Date must be between the start and end dates of this Rating List" sqref="G17" xr:uid="{BA186121-F584-4C33-AADB-3B27BC98C9EC}">
      <formula1>N2</formula1>
      <formula2>L9-1</formula2>
    </dataValidation>
    <dataValidation type="date" allowBlank="1" showInputMessage="1" showErrorMessage="1" errorTitle="Last date of Occupation" error="Date must be between the start and end dates of this Rating List" sqref="G21" xr:uid="{62AE02A7-B59B-426F-B760-DAB875CCBB30}">
      <formula1>N2</formula1>
      <formula2>N3</formula2>
    </dataValidation>
    <dataValidation type="date" allowBlank="1" showInputMessage="1" showErrorMessage="1" errorTitle="Repayment Date" error="Date must be between the start and end dates of this Rating List" sqref="G18" xr:uid="{D81976D5-003D-4D61-8895-35793751B608}">
      <formula1>N2</formula1>
      <formula2>N3</formula2>
    </dataValidation>
  </dataValidations>
  <pageMargins left="0.62" right="0.64" top="1" bottom="1" header="0.5" footer="0.5"/>
  <pageSetup paperSize="9" orientation="portrait" blackAndWhite="1" horizontalDpi="4294967292"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67" r:id="rId4" name="basic2button">
              <controlPr defaultSize="0" print="0" autoFill="0" autoPict="0" macro="[0]!returnfromcopy">
                <anchor moveWithCells="1" sizeWithCells="1">
                  <from>
                    <xdr:col>11</xdr:col>
                    <xdr:colOff>101600</xdr:colOff>
                    <xdr:row>1</xdr:row>
                    <xdr:rowOff>25400</xdr:rowOff>
                  </from>
                  <to>
                    <xdr:col>11</xdr:col>
                    <xdr:colOff>990600</xdr:colOff>
                    <xdr:row>3</xdr:row>
                    <xdr:rowOff>190500</xdr:rowOff>
                  </to>
                </anchor>
              </controlPr>
            </control>
          </mc:Choice>
        </mc:AlternateContent>
        <mc:AlternateContent xmlns:mc="http://schemas.openxmlformats.org/markup-compatibility/2006">
          <mc:Choice Requires="x14">
            <control shapeId="82968" r:id="rId5" name="basic2delbutton">
              <controlPr defaultSize="0" print="0" autoFill="0" autoPict="0" macro="[0]!delete_basic2button">
                <anchor moveWithCells="1" sizeWithCells="1">
                  <from>
                    <xdr:col>11</xdr:col>
                    <xdr:colOff>101600</xdr:colOff>
                    <xdr:row>3</xdr:row>
                    <xdr:rowOff>215900</xdr:rowOff>
                  </from>
                  <to>
                    <xdr:col>11</xdr:col>
                    <xdr:colOff>990600</xdr:colOff>
                    <xdr:row>7</xdr:row>
                    <xdr:rowOff>69850</xdr:rowOff>
                  </to>
                </anchor>
              </controlPr>
            </control>
          </mc:Choice>
        </mc:AlternateContent>
        <mc:AlternateContent xmlns:mc="http://schemas.openxmlformats.org/markup-compatibility/2006">
          <mc:Choice Requires="x14">
            <control shapeId="82969" r:id="rId6" name="pdfbutton">
              <controlPr defaultSize="0" print="0" autoFill="0" autoPict="0" macro="[0]!pdfonly">
                <anchor moveWithCells="1" sizeWithCells="1">
                  <from>
                    <xdr:col>11</xdr:col>
                    <xdr:colOff>1073150</xdr:colOff>
                    <xdr:row>2</xdr:row>
                    <xdr:rowOff>76200</xdr:rowOff>
                  </from>
                  <to>
                    <xdr:col>12</xdr:col>
                    <xdr:colOff>317500</xdr:colOff>
                    <xdr:row>5</xdr:row>
                    <xdr:rowOff>88900</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94189-5B30-42B7-AE4D-FA4AB2670520}">
  <sheetPr codeName="Sheet105"/>
  <dimension ref="A1:S51"/>
  <sheetViews>
    <sheetView showGridLines="0" workbookViewId="0"/>
  </sheetViews>
  <sheetFormatPr defaultColWidth="9.08984375" defaultRowHeight="12.5" x14ac:dyDescent="0.25"/>
  <cols>
    <col min="1" max="1" width="23.6328125" style="1966" customWidth="1"/>
    <col min="2" max="2" width="0.6328125" style="1966" customWidth="1"/>
    <col min="3" max="3" width="1.453125" style="1966" customWidth="1"/>
    <col min="4" max="4" width="11.90625" style="1966" customWidth="1"/>
    <col min="5" max="5" width="26.08984375" style="1966" customWidth="1"/>
    <col min="6" max="6" width="15.453125" style="1966" customWidth="1"/>
    <col min="7" max="7" width="9.08984375" style="1966"/>
    <col min="8" max="8" width="32.36328125" style="1966" customWidth="1"/>
    <col min="9" max="9" width="0.6328125" style="1966" customWidth="1"/>
    <col min="10" max="10" width="35.453125" style="1966" customWidth="1"/>
    <col min="11" max="16384" width="9.08984375" style="1966"/>
  </cols>
  <sheetData>
    <row r="1" spans="1:19" ht="37.5" customHeight="1" x14ac:dyDescent="0.25">
      <c r="A1" s="2205"/>
      <c r="B1" s="2205"/>
      <c r="C1" s="2205"/>
      <c r="D1" s="2205"/>
      <c r="E1" s="2205"/>
      <c r="F1" s="2205"/>
      <c r="G1" s="2205"/>
      <c r="H1" s="2205"/>
      <c r="I1" s="2205"/>
      <c r="J1" s="2205"/>
      <c r="K1" s="2205"/>
      <c r="L1" s="2205"/>
      <c r="M1" s="2205"/>
      <c r="N1" s="2205"/>
      <c r="O1" s="2205"/>
      <c r="P1" s="2205"/>
      <c r="Q1" s="2205"/>
      <c r="R1" s="2205"/>
      <c r="S1" s="2205"/>
    </row>
    <row r="2" spans="1:19" x14ac:dyDescent="0.25">
      <c r="A2" s="2205"/>
      <c r="J2" s="2205"/>
      <c r="K2" s="2205"/>
      <c r="L2" s="2205"/>
      <c r="M2" s="2205"/>
      <c r="N2" s="2205"/>
      <c r="O2" s="2205"/>
      <c r="P2" s="2205"/>
      <c r="Q2" s="2205"/>
      <c r="R2" s="2205"/>
      <c r="S2" s="2205"/>
    </row>
    <row r="3" spans="1:19" ht="15.5" x14ac:dyDescent="0.35">
      <c r="A3" s="2205"/>
      <c r="C3" s="2038"/>
      <c r="D3" s="2176"/>
      <c r="E3" s="1972"/>
      <c r="F3" s="1972"/>
      <c r="G3" s="1972"/>
      <c r="H3" s="2177"/>
      <c r="J3" s="2205"/>
      <c r="K3" s="2205"/>
      <c r="L3" s="2205"/>
      <c r="M3" s="2205"/>
      <c r="N3" s="2205"/>
      <c r="O3" s="2205"/>
      <c r="P3" s="2205"/>
      <c r="Q3" s="2205"/>
      <c r="R3" s="2205"/>
      <c r="S3" s="2205"/>
    </row>
    <row r="4" spans="1:19" ht="22.5" customHeight="1" x14ac:dyDescent="0.3">
      <c r="A4" s="2205"/>
      <c r="C4" s="2038"/>
      <c r="D4" s="2179"/>
      <c r="J4" s="2205"/>
      <c r="K4" s="2205"/>
      <c r="L4" s="2205"/>
      <c r="M4" s="2205"/>
      <c r="N4" s="2205"/>
      <c r="O4" s="2205"/>
      <c r="P4" s="2205"/>
      <c r="Q4" s="2205"/>
      <c r="R4" s="2205"/>
      <c r="S4" s="2205"/>
    </row>
    <row r="5" spans="1:19" ht="13" x14ac:dyDescent="0.3">
      <c r="A5" s="2205"/>
      <c r="C5" s="2038"/>
      <c r="D5" s="2179"/>
      <c r="J5" s="2205"/>
      <c r="K5" s="2205"/>
      <c r="L5" s="2205"/>
      <c r="M5" s="2205"/>
      <c r="N5" s="2205"/>
      <c r="O5" s="2205"/>
      <c r="P5" s="2205"/>
      <c r="Q5" s="2205"/>
      <c r="R5" s="2205"/>
      <c r="S5" s="2205"/>
    </row>
    <row r="6" spans="1:19" ht="13" x14ac:dyDescent="0.3">
      <c r="A6" s="2205"/>
      <c r="C6" s="2038"/>
      <c r="D6" s="2179"/>
      <c r="J6" s="2205"/>
      <c r="K6" s="2205"/>
      <c r="L6" s="2205"/>
      <c r="M6" s="2205"/>
      <c r="N6" s="2205"/>
      <c r="O6" s="2205"/>
      <c r="P6" s="2205"/>
      <c r="Q6" s="2205"/>
      <c r="R6" s="2205"/>
      <c r="S6" s="2205"/>
    </row>
    <row r="7" spans="1:19" ht="13" x14ac:dyDescent="0.3">
      <c r="A7" s="2205"/>
      <c r="C7" s="2038"/>
      <c r="D7" s="2180"/>
      <c r="E7" s="1972"/>
      <c r="F7" s="1972"/>
      <c r="G7" s="1972"/>
      <c r="H7" s="1972"/>
      <c r="J7" s="2205"/>
      <c r="K7" s="2205"/>
      <c r="L7" s="2205"/>
      <c r="M7" s="2205"/>
      <c r="N7" s="2205"/>
      <c r="O7" s="2205"/>
      <c r="P7" s="2205"/>
      <c r="Q7" s="2205"/>
      <c r="R7" s="2205"/>
      <c r="S7" s="2205"/>
    </row>
    <row r="8" spans="1:19" ht="13" x14ac:dyDescent="0.3">
      <c r="A8" s="2205"/>
      <c r="C8" s="2038"/>
      <c r="D8" s="2179"/>
      <c r="J8" s="2205"/>
      <c r="K8" s="2205"/>
      <c r="L8" s="2205"/>
      <c r="M8" s="2205"/>
      <c r="N8" s="2205"/>
      <c r="O8" s="2205"/>
      <c r="P8" s="2205"/>
      <c r="Q8" s="2205"/>
      <c r="R8" s="2205"/>
      <c r="S8" s="2205"/>
    </row>
    <row r="9" spans="1:19" ht="20.25" customHeight="1" x14ac:dyDescent="0.25">
      <c r="A9" s="2205"/>
      <c r="C9" s="2038"/>
      <c r="F9" s="2201"/>
      <c r="J9" s="2205"/>
      <c r="K9" s="2205"/>
      <c r="L9" s="2205"/>
      <c r="M9" s="2205"/>
      <c r="N9" s="2205"/>
      <c r="O9" s="2205"/>
      <c r="P9" s="2205"/>
      <c r="Q9" s="2205"/>
      <c r="R9" s="2205"/>
      <c r="S9" s="2205"/>
    </row>
    <row r="10" spans="1:19" ht="21.75" customHeight="1" x14ac:dyDescent="0.25">
      <c r="A10" s="2205"/>
      <c r="D10" s="2184"/>
      <c r="F10" s="2201"/>
      <c r="J10" s="2205"/>
      <c r="K10" s="2205"/>
      <c r="L10" s="2205"/>
      <c r="M10" s="2205"/>
      <c r="N10" s="2205"/>
      <c r="O10" s="2205"/>
      <c r="P10" s="2205"/>
      <c r="Q10" s="2205"/>
      <c r="R10" s="2205"/>
      <c r="S10" s="2205"/>
    </row>
    <row r="11" spans="1:19" ht="18.75" customHeight="1" x14ac:dyDescent="0.25">
      <c r="A11" s="2205"/>
      <c r="C11" s="2038"/>
      <c r="F11" s="2011"/>
      <c r="J11" s="2205"/>
      <c r="K11" s="2205"/>
      <c r="L11" s="2205"/>
      <c r="M11" s="2205"/>
      <c r="N11" s="2205"/>
      <c r="O11" s="2205"/>
      <c r="P11" s="2205"/>
      <c r="Q11" s="2205"/>
      <c r="R11" s="2205"/>
      <c r="S11" s="2205"/>
    </row>
    <row r="12" spans="1:19" x14ac:dyDescent="0.25">
      <c r="A12" s="2205"/>
      <c r="C12" s="2038"/>
      <c r="F12" s="2185"/>
      <c r="J12" s="2205"/>
      <c r="K12" s="2205"/>
      <c r="L12" s="2205"/>
      <c r="M12" s="2205"/>
      <c r="N12" s="2205"/>
      <c r="O12" s="2205"/>
      <c r="P12" s="2205"/>
      <c r="Q12" s="2205"/>
      <c r="R12" s="2205"/>
      <c r="S12" s="2205"/>
    </row>
    <row r="13" spans="1:19" x14ac:dyDescent="0.25">
      <c r="A13" s="2205"/>
      <c r="C13" s="2038"/>
      <c r="F13" s="2202"/>
      <c r="J13" s="2205"/>
      <c r="K13" s="2205"/>
      <c r="L13" s="2205"/>
      <c r="M13" s="2205"/>
      <c r="N13" s="2205"/>
      <c r="O13" s="2205"/>
      <c r="P13" s="2205"/>
      <c r="Q13" s="2205"/>
      <c r="R13" s="2205"/>
      <c r="S13" s="2205"/>
    </row>
    <row r="14" spans="1:19" x14ac:dyDescent="0.25">
      <c r="A14" s="2205"/>
      <c r="J14" s="2205"/>
      <c r="K14" s="2205"/>
      <c r="L14" s="2205"/>
      <c r="M14" s="2205"/>
      <c r="N14" s="2205"/>
      <c r="O14" s="2205"/>
      <c r="P14" s="2205"/>
      <c r="Q14" s="2205"/>
      <c r="R14" s="2205"/>
      <c r="S14" s="2205"/>
    </row>
    <row r="15" spans="1:19" ht="18" customHeight="1" x14ac:dyDescent="0.25">
      <c r="A15" s="2205"/>
      <c r="F15" s="2201"/>
      <c r="J15" s="2205"/>
      <c r="K15" s="2205"/>
      <c r="L15" s="2205"/>
      <c r="M15" s="2205"/>
      <c r="N15" s="2205"/>
      <c r="O15" s="2205"/>
      <c r="P15" s="2205"/>
      <c r="Q15" s="2205"/>
      <c r="R15" s="2205"/>
      <c r="S15" s="2205"/>
    </row>
    <row r="16" spans="1:19" ht="18" customHeight="1" x14ac:dyDescent="0.25">
      <c r="A16" s="2205"/>
      <c r="D16" s="2038"/>
      <c r="F16" s="2201"/>
      <c r="J16" s="2205"/>
      <c r="K16" s="2205"/>
      <c r="L16" s="2205"/>
      <c r="M16" s="2205"/>
      <c r="N16" s="2205"/>
      <c r="O16" s="2205"/>
      <c r="P16" s="2205"/>
      <c r="Q16" s="2205"/>
      <c r="R16" s="2205"/>
      <c r="S16" s="2205"/>
    </row>
    <row r="17" spans="1:19" ht="18" customHeight="1" x14ac:dyDescent="0.25">
      <c r="A17" s="2205"/>
      <c r="F17" s="1649"/>
      <c r="J17" s="2205"/>
      <c r="K17" s="2205"/>
      <c r="L17" s="2205"/>
      <c r="M17" s="2205"/>
      <c r="N17" s="2205"/>
      <c r="O17" s="2205"/>
      <c r="P17" s="2205"/>
      <c r="Q17" s="2205"/>
      <c r="R17" s="2205"/>
      <c r="S17" s="2205"/>
    </row>
    <row r="18" spans="1:19" x14ac:dyDescent="0.25">
      <c r="A18" s="2205"/>
      <c r="J18" s="2205"/>
      <c r="K18" s="2205"/>
      <c r="L18" s="2205"/>
      <c r="M18" s="2205"/>
      <c r="N18" s="2205"/>
      <c r="O18" s="2205"/>
      <c r="P18" s="2205"/>
      <c r="Q18" s="2205"/>
      <c r="R18" s="2205"/>
      <c r="S18" s="2205"/>
    </row>
    <row r="19" spans="1:19" ht="20.25" customHeight="1" x14ac:dyDescent="0.25">
      <c r="A19" s="2205"/>
      <c r="C19" s="2189"/>
      <c r="F19" s="2203"/>
      <c r="J19" s="2205"/>
      <c r="K19" s="2205"/>
      <c r="L19" s="2205"/>
      <c r="M19" s="2205"/>
      <c r="N19" s="2205"/>
      <c r="O19" s="2205"/>
      <c r="P19" s="2205"/>
      <c r="Q19" s="2205"/>
      <c r="R19" s="2205"/>
      <c r="S19" s="2205"/>
    </row>
    <row r="20" spans="1:19" ht="17.25" customHeight="1" x14ac:dyDescent="0.25">
      <c r="A20" s="2205"/>
      <c r="F20" s="2204"/>
      <c r="J20" s="2205"/>
      <c r="K20" s="2205"/>
      <c r="L20" s="2205"/>
      <c r="M20" s="2205"/>
      <c r="N20" s="2205"/>
      <c r="O20" s="2205"/>
      <c r="P20" s="2205"/>
      <c r="Q20" s="2205"/>
      <c r="R20" s="2205"/>
      <c r="S20" s="2205"/>
    </row>
    <row r="21" spans="1:19" ht="19.5" customHeight="1" x14ac:dyDescent="0.25">
      <c r="A21" s="2205"/>
      <c r="E21" s="2186"/>
      <c r="F21" s="2192"/>
      <c r="J21" s="2205"/>
      <c r="K21" s="2205"/>
      <c r="L21" s="2205"/>
      <c r="M21" s="2205"/>
      <c r="N21" s="2205"/>
      <c r="O21" s="2205"/>
      <c r="P21" s="2205"/>
      <c r="Q21" s="2205"/>
      <c r="R21" s="2205"/>
      <c r="S21" s="2205"/>
    </row>
    <row r="22" spans="1:19" x14ac:dyDescent="0.25">
      <c r="A22" s="2205"/>
      <c r="J22" s="2205"/>
      <c r="K22" s="2205"/>
      <c r="L22" s="2205"/>
      <c r="M22" s="2205"/>
      <c r="N22" s="2205"/>
      <c r="O22" s="2205"/>
      <c r="P22" s="2205"/>
      <c r="Q22" s="2205"/>
      <c r="R22" s="2205"/>
      <c r="S22" s="2205"/>
    </row>
    <row r="23" spans="1:19" ht="13" x14ac:dyDescent="0.3">
      <c r="A23" s="2205"/>
      <c r="H23" s="1976"/>
      <c r="J23" s="2205"/>
      <c r="K23" s="2205"/>
      <c r="L23" s="2205"/>
      <c r="M23" s="2205"/>
      <c r="N23" s="2205"/>
      <c r="O23" s="2205"/>
      <c r="P23" s="2205"/>
      <c r="Q23" s="2205"/>
      <c r="R23" s="2205"/>
      <c r="S23" s="2205"/>
    </row>
    <row r="24" spans="1:19" x14ac:dyDescent="0.25">
      <c r="A24" s="2205"/>
      <c r="F24" s="2193"/>
      <c r="J24" s="2205"/>
      <c r="K24" s="2205"/>
      <c r="L24" s="2205"/>
      <c r="M24" s="2205"/>
      <c r="N24" s="2205"/>
      <c r="O24" s="2205"/>
      <c r="P24" s="2205"/>
      <c r="Q24" s="2205"/>
      <c r="R24" s="2205"/>
      <c r="S24" s="2205"/>
    </row>
    <row r="25" spans="1:19" x14ac:dyDescent="0.25">
      <c r="A25" s="2205"/>
      <c r="D25" s="2038"/>
      <c r="F25" s="2193"/>
      <c r="J25" s="2205"/>
      <c r="K25" s="2205"/>
      <c r="L25" s="2205"/>
      <c r="M25" s="2205"/>
      <c r="N25" s="2205"/>
      <c r="O25" s="2205"/>
      <c r="P25" s="2205"/>
      <c r="Q25" s="2205"/>
      <c r="R25" s="2205"/>
      <c r="S25" s="2205"/>
    </row>
    <row r="26" spans="1:19" x14ac:dyDescent="0.25">
      <c r="A26" s="2205"/>
      <c r="D26" s="2038"/>
      <c r="F26" s="2194"/>
      <c r="J26" s="2205"/>
      <c r="K26" s="2205"/>
      <c r="L26" s="2205"/>
      <c r="M26" s="2205"/>
      <c r="N26" s="2205"/>
      <c r="O26" s="2205"/>
      <c r="P26" s="2205"/>
      <c r="Q26" s="2205"/>
      <c r="R26" s="2205"/>
      <c r="S26" s="2205"/>
    </row>
    <row r="27" spans="1:19" x14ac:dyDescent="0.25">
      <c r="A27" s="2205"/>
      <c r="F27" s="2011"/>
      <c r="J27" s="2205"/>
      <c r="K27" s="2205"/>
      <c r="L27" s="2205"/>
      <c r="M27" s="2205"/>
      <c r="N27" s="2205"/>
      <c r="O27" s="2205"/>
      <c r="P27" s="2205"/>
      <c r="Q27" s="2205"/>
      <c r="R27" s="2205"/>
      <c r="S27" s="2205"/>
    </row>
    <row r="28" spans="1:19" x14ac:dyDescent="0.25">
      <c r="A28" s="2205"/>
      <c r="F28" s="2193"/>
      <c r="J28" s="2205"/>
      <c r="K28" s="2205"/>
      <c r="L28" s="2205"/>
      <c r="M28" s="2205"/>
      <c r="N28" s="2205"/>
      <c r="O28" s="2205"/>
      <c r="P28" s="2205"/>
      <c r="Q28" s="2205"/>
      <c r="R28" s="2205"/>
      <c r="S28" s="2205"/>
    </row>
    <row r="29" spans="1:19" x14ac:dyDescent="0.25">
      <c r="A29" s="2205"/>
      <c r="D29" s="2038"/>
      <c r="F29" s="2193"/>
      <c r="J29" s="2205"/>
      <c r="K29" s="2205"/>
      <c r="L29" s="2205"/>
      <c r="M29" s="2205"/>
      <c r="N29" s="2205"/>
      <c r="O29" s="2205"/>
      <c r="P29" s="2205"/>
      <c r="Q29" s="2205"/>
      <c r="R29" s="2205"/>
      <c r="S29" s="2205"/>
    </row>
    <row r="30" spans="1:19" x14ac:dyDescent="0.25">
      <c r="A30" s="2205"/>
      <c r="D30" s="2038"/>
      <c r="F30" s="2194"/>
      <c r="J30" s="2205"/>
      <c r="K30" s="2205"/>
      <c r="L30" s="2205"/>
      <c r="M30" s="2205"/>
      <c r="N30" s="2205"/>
      <c r="O30" s="2205"/>
      <c r="P30" s="2205"/>
      <c r="Q30" s="2205"/>
      <c r="R30" s="2205"/>
      <c r="S30" s="2205"/>
    </row>
    <row r="31" spans="1:19" x14ac:dyDescent="0.25">
      <c r="A31" s="2205"/>
      <c r="D31" s="1972"/>
      <c r="E31" s="1972"/>
      <c r="F31" s="2195"/>
      <c r="G31" s="1972"/>
      <c r="H31" s="1972"/>
      <c r="J31" s="2205"/>
      <c r="K31" s="2205"/>
      <c r="L31" s="2205"/>
      <c r="M31" s="2205"/>
      <c r="N31" s="2205"/>
      <c r="O31" s="2205"/>
      <c r="P31" s="2205"/>
      <c r="Q31" s="2205"/>
      <c r="R31" s="2205"/>
      <c r="S31" s="2205"/>
    </row>
    <row r="32" spans="1:19" ht="25.5" customHeight="1" x14ac:dyDescent="0.25">
      <c r="A32" s="2205"/>
      <c r="D32" s="2038"/>
      <c r="F32" s="2193"/>
      <c r="J32" s="2205"/>
      <c r="K32" s="2205"/>
      <c r="L32" s="2205"/>
      <c r="M32" s="2205"/>
      <c r="N32" s="2205"/>
      <c r="O32" s="2205"/>
      <c r="P32" s="2205"/>
      <c r="Q32" s="2205"/>
      <c r="R32" s="2205"/>
      <c r="S32" s="2205"/>
    </row>
    <row r="33" spans="1:19" ht="16.5" customHeight="1" x14ac:dyDescent="0.25">
      <c r="A33" s="2205"/>
      <c r="F33" s="2193"/>
      <c r="J33" s="2205"/>
      <c r="K33" s="2205"/>
      <c r="L33" s="2205"/>
      <c r="M33" s="2205"/>
      <c r="N33" s="2205"/>
      <c r="O33" s="2205"/>
      <c r="P33" s="2205"/>
      <c r="Q33" s="2205"/>
      <c r="R33" s="2205"/>
      <c r="S33" s="2205"/>
    </row>
    <row r="34" spans="1:19" ht="19.5" customHeight="1" thickBot="1" x14ac:dyDescent="0.4">
      <c r="A34" s="2205"/>
      <c r="D34" s="2196"/>
      <c r="E34" s="2196"/>
      <c r="F34" s="2197"/>
      <c r="J34" s="2205"/>
      <c r="K34" s="2205"/>
      <c r="L34" s="2205"/>
      <c r="M34" s="2205"/>
      <c r="N34" s="2205"/>
      <c r="O34" s="2205"/>
      <c r="P34" s="2205"/>
      <c r="Q34" s="2205"/>
      <c r="R34" s="2205"/>
      <c r="S34" s="2205"/>
    </row>
    <row r="35" spans="1:19" ht="13" thickTop="1" x14ac:dyDescent="0.25">
      <c r="A35" s="2205"/>
      <c r="J35" s="2205"/>
      <c r="K35" s="2205"/>
      <c r="L35" s="2205"/>
      <c r="M35" s="2205"/>
      <c r="N35" s="2205"/>
      <c r="O35" s="2205"/>
      <c r="P35" s="2205"/>
      <c r="Q35" s="2205"/>
      <c r="R35" s="2205"/>
      <c r="S35" s="2205"/>
    </row>
    <row r="36" spans="1:19" x14ac:dyDescent="0.25">
      <c r="A36" s="2205"/>
      <c r="J36" s="2205"/>
      <c r="K36" s="2205"/>
      <c r="L36" s="2205"/>
      <c r="M36" s="2205"/>
      <c r="N36" s="2205"/>
      <c r="O36" s="2205"/>
      <c r="P36" s="2205"/>
      <c r="Q36" s="2205"/>
      <c r="R36" s="2205"/>
      <c r="S36" s="2205"/>
    </row>
    <row r="37" spans="1:19" x14ac:dyDescent="0.25">
      <c r="A37" s="2205"/>
      <c r="C37" s="1972"/>
      <c r="D37" s="1972"/>
      <c r="E37" s="1972"/>
      <c r="F37" s="1972"/>
      <c r="G37" s="1972"/>
      <c r="H37" s="1972"/>
      <c r="J37" s="2205"/>
      <c r="K37" s="2205"/>
      <c r="L37" s="2205"/>
      <c r="M37" s="2205"/>
      <c r="N37" s="2205"/>
      <c r="O37" s="2205"/>
      <c r="P37" s="2205"/>
      <c r="Q37" s="2205"/>
      <c r="R37" s="2205"/>
      <c r="S37" s="2205"/>
    </row>
    <row r="38" spans="1:19" ht="21.75" customHeight="1" x14ac:dyDescent="0.3">
      <c r="A38" s="2205"/>
      <c r="D38" s="2015"/>
      <c r="E38" s="2198"/>
      <c r="H38" s="2199"/>
      <c r="J38" s="2205"/>
      <c r="K38" s="2205"/>
      <c r="L38" s="2205"/>
      <c r="M38" s="2205"/>
      <c r="N38" s="2205"/>
      <c r="O38" s="2205"/>
      <c r="P38" s="2205"/>
      <c r="Q38" s="2205"/>
      <c r="R38" s="2205"/>
      <c r="S38" s="2205"/>
    </row>
    <row r="39" spans="1:19" x14ac:dyDescent="0.25">
      <c r="A39" s="2205"/>
      <c r="J39" s="2205"/>
      <c r="K39" s="2205"/>
      <c r="L39" s="2205"/>
      <c r="M39" s="2205"/>
      <c r="N39" s="2205"/>
      <c r="O39" s="2205"/>
      <c r="P39" s="2205"/>
      <c r="Q39" s="2205"/>
      <c r="R39" s="2205"/>
      <c r="S39" s="2205"/>
    </row>
    <row r="40" spans="1:19" x14ac:dyDescent="0.25">
      <c r="A40" s="2205"/>
      <c r="D40" s="1972"/>
      <c r="E40" s="1972"/>
      <c r="F40" s="1972"/>
      <c r="G40" s="1972"/>
      <c r="H40" s="1972"/>
      <c r="J40" s="2205"/>
      <c r="K40" s="2205"/>
      <c r="L40" s="2205"/>
      <c r="M40" s="2205"/>
      <c r="N40" s="2205"/>
      <c r="O40" s="2205"/>
      <c r="P40" s="2205"/>
      <c r="Q40" s="2205"/>
      <c r="R40" s="2205"/>
      <c r="S40" s="2205"/>
    </row>
    <row r="41" spans="1:19" x14ac:dyDescent="0.25">
      <c r="A41" s="2205"/>
      <c r="J41" s="2205"/>
      <c r="K41" s="2205"/>
      <c r="L41" s="2205"/>
      <c r="M41" s="2205"/>
      <c r="N41" s="2205"/>
      <c r="O41" s="2205"/>
      <c r="P41" s="2205"/>
      <c r="Q41" s="2205"/>
      <c r="R41" s="2205"/>
      <c r="S41" s="2205"/>
    </row>
    <row r="42" spans="1:19" x14ac:dyDescent="0.25">
      <c r="A42" s="2205"/>
      <c r="J42" s="2205"/>
      <c r="K42" s="2205"/>
      <c r="L42" s="2205"/>
      <c r="M42" s="2205"/>
      <c r="N42" s="2205"/>
      <c r="O42" s="2205"/>
      <c r="P42" s="2205"/>
      <c r="Q42" s="2205"/>
      <c r="R42" s="2205"/>
      <c r="S42" s="2205"/>
    </row>
    <row r="43" spans="1:19" x14ac:dyDescent="0.25">
      <c r="A43" s="2205"/>
      <c r="J43" s="2205"/>
      <c r="K43" s="2205"/>
      <c r="L43" s="2205"/>
      <c r="M43" s="2205"/>
      <c r="N43" s="2205"/>
      <c r="O43" s="2205"/>
      <c r="P43" s="2205"/>
      <c r="Q43" s="2205"/>
      <c r="R43" s="2205"/>
      <c r="S43" s="2205"/>
    </row>
    <row r="44" spans="1:19" x14ac:dyDescent="0.25">
      <c r="A44" s="2205"/>
      <c r="B44" s="2205"/>
      <c r="C44" s="2205"/>
      <c r="D44" s="2205"/>
      <c r="E44" s="2205"/>
      <c r="F44" s="2205"/>
      <c r="G44" s="2205"/>
      <c r="H44" s="2205"/>
      <c r="I44" s="2205"/>
      <c r="J44" s="2205"/>
      <c r="K44" s="2205"/>
      <c r="L44" s="2205"/>
      <c r="M44" s="2205"/>
      <c r="N44" s="2205"/>
      <c r="O44" s="2205"/>
      <c r="P44" s="2205"/>
      <c r="Q44" s="2205"/>
      <c r="R44" s="2205"/>
      <c r="S44" s="2205"/>
    </row>
    <row r="45" spans="1:19" x14ac:dyDescent="0.25">
      <c r="A45" s="2205"/>
      <c r="B45" s="2205"/>
      <c r="C45" s="2205"/>
      <c r="D45" s="2205"/>
      <c r="E45" s="2205"/>
      <c r="F45" s="2205"/>
      <c r="G45" s="2205"/>
      <c r="H45" s="2205"/>
      <c r="I45" s="2205"/>
      <c r="J45" s="2205"/>
      <c r="K45" s="2205"/>
      <c r="L45" s="2205"/>
      <c r="M45" s="2205"/>
      <c r="N45" s="2205"/>
      <c r="O45" s="2205"/>
      <c r="P45" s="2205"/>
      <c r="Q45" s="2205"/>
      <c r="R45" s="2205"/>
      <c r="S45" s="2205"/>
    </row>
    <row r="46" spans="1:19" x14ac:dyDescent="0.25">
      <c r="A46" s="2205"/>
      <c r="B46" s="2205"/>
      <c r="C46" s="2205"/>
      <c r="D46" s="2205"/>
      <c r="E46" s="2205"/>
      <c r="F46" s="2205"/>
      <c r="G46" s="2205"/>
      <c r="H46" s="2205"/>
      <c r="I46" s="2205"/>
      <c r="J46" s="2205"/>
      <c r="K46" s="2205"/>
      <c r="L46" s="2205"/>
      <c r="M46" s="2205"/>
      <c r="N46" s="2205"/>
      <c r="O46" s="2205"/>
      <c r="P46" s="2205"/>
      <c r="Q46" s="2205"/>
      <c r="R46" s="2205"/>
      <c r="S46" s="2205"/>
    </row>
    <row r="47" spans="1:19" x14ac:dyDescent="0.25">
      <c r="A47" s="2205"/>
      <c r="B47" s="2205"/>
      <c r="C47" s="2205"/>
      <c r="D47" s="2205"/>
      <c r="E47" s="2205"/>
      <c r="F47" s="2205"/>
      <c r="G47" s="2205"/>
      <c r="H47" s="2205"/>
      <c r="I47" s="2205"/>
      <c r="J47" s="2205"/>
      <c r="K47" s="2205"/>
      <c r="L47" s="2205"/>
      <c r="M47" s="2205"/>
      <c r="N47" s="2205"/>
      <c r="O47" s="2205"/>
      <c r="P47" s="2205"/>
      <c r="Q47" s="2205"/>
      <c r="R47" s="2205"/>
      <c r="S47" s="2205"/>
    </row>
    <row r="48" spans="1:19" x14ac:dyDescent="0.25">
      <c r="A48" s="2205"/>
      <c r="B48" s="2205"/>
      <c r="C48" s="2205"/>
      <c r="D48" s="2205"/>
      <c r="E48" s="2205"/>
      <c r="F48" s="2205"/>
      <c r="G48" s="2205"/>
      <c r="H48" s="2205"/>
      <c r="I48" s="2205"/>
      <c r="J48" s="2205"/>
      <c r="K48" s="2205"/>
      <c r="L48" s="2205"/>
      <c r="M48" s="2205"/>
      <c r="N48" s="2205"/>
      <c r="O48" s="2205"/>
      <c r="P48" s="2205"/>
      <c r="Q48" s="2205"/>
      <c r="R48" s="2205"/>
      <c r="S48" s="2205"/>
    </row>
    <row r="49" spans="1:19" x14ac:dyDescent="0.25">
      <c r="A49" s="2205"/>
      <c r="B49" s="2205"/>
      <c r="C49" s="2205"/>
      <c r="D49" s="2205"/>
      <c r="E49" s="2205"/>
      <c r="F49" s="2205"/>
      <c r="G49" s="2205"/>
      <c r="H49" s="2205"/>
      <c r="I49" s="2205"/>
      <c r="J49" s="2205"/>
      <c r="K49" s="2205"/>
      <c r="L49" s="2205"/>
      <c r="M49" s="2205"/>
      <c r="N49" s="2205"/>
      <c r="O49" s="2205"/>
      <c r="P49" s="2205"/>
      <c r="Q49" s="2205"/>
      <c r="R49" s="2205"/>
      <c r="S49" s="2205"/>
    </row>
    <row r="50" spans="1:19" x14ac:dyDescent="0.25">
      <c r="A50" s="2205"/>
      <c r="B50" s="2205"/>
      <c r="C50" s="2205"/>
      <c r="D50" s="2205"/>
      <c r="E50" s="2205"/>
      <c r="F50" s="2205"/>
      <c r="G50" s="2205"/>
      <c r="H50" s="2205"/>
      <c r="I50" s="2205"/>
      <c r="J50" s="2205"/>
      <c r="K50" s="2205"/>
      <c r="L50" s="2205"/>
      <c r="M50" s="2205"/>
      <c r="N50" s="2205"/>
      <c r="O50" s="2205"/>
      <c r="P50" s="2205"/>
      <c r="Q50" s="2205"/>
      <c r="R50" s="2205"/>
      <c r="S50" s="2205"/>
    </row>
    <row r="51" spans="1:19" x14ac:dyDescent="0.25">
      <c r="A51" s="2205"/>
      <c r="B51" s="2205"/>
      <c r="C51" s="2205"/>
      <c r="D51" s="2205"/>
      <c r="E51" s="2205"/>
      <c r="F51" s="2205"/>
      <c r="G51" s="2205"/>
      <c r="H51" s="2205"/>
      <c r="I51" s="2205"/>
      <c r="J51" s="2205"/>
      <c r="K51" s="2205"/>
      <c r="L51" s="2205"/>
      <c r="M51" s="2205"/>
      <c r="N51" s="2205"/>
      <c r="O51" s="2205"/>
      <c r="P51" s="2205"/>
      <c r="Q51" s="2205"/>
      <c r="R51" s="2205"/>
      <c r="S51" s="2205"/>
    </row>
  </sheetData>
  <phoneticPr fontId="124" type="noConversion"/>
  <conditionalFormatting sqref="G21:H21">
    <cfRule type="expression" dxfId="5" priority="1" stopIfTrue="1">
      <formula>$L$20&gt;$L$21</formula>
    </cfRule>
  </conditionalFormatting>
  <conditionalFormatting sqref="G9:H9">
    <cfRule type="expression" dxfId="4" priority="2" stopIfTrue="1">
      <formula>$L$29=TRUE</formula>
    </cfRule>
  </conditionalFormatting>
  <conditionalFormatting sqref="G10:H10">
    <cfRule type="expression" dxfId="3" priority="3" stopIfTrue="1">
      <formula>$L$30=TRUE</formula>
    </cfRule>
  </conditionalFormatting>
  <conditionalFormatting sqref="G15:H15">
    <cfRule type="expression" dxfId="2" priority="4" stopIfTrue="1">
      <formula>$L$31=TRUE</formula>
    </cfRule>
  </conditionalFormatting>
  <conditionalFormatting sqref="G16:H16">
    <cfRule type="expression" dxfId="1" priority="5" stopIfTrue="1">
      <formula>$L$32=TRUE</formula>
    </cfRule>
  </conditionalFormatting>
  <conditionalFormatting sqref="G19:H19">
    <cfRule type="expression" dxfId="0" priority="6" stopIfTrue="1">
      <formula>$L$33=TRUE</formula>
    </cfRule>
  </conditionalFormatting>
  <dataValidations disablePrompts="1" count="1">
    <dataValidation type="date" allowBlank="1" showInputMessage="1" showErrorMessage="1" errorTitle="Date Error" error="must be within this revaluation period" sqref="F19" xr:uid="{439B2772-2659-42C3-96E9-315010CF34F7}">
      <formula1>L10</formula1>
      <formula2>M10</formula2>
    </dataValidation>
  </dataValidations>
  <pageMargins left="0.23622047244094491" right="0.23622047244094491" top="0.74803149606299213" bottom="0.74803149606299213" header="0.31496062992125984" footer="0.31496062992125984"/>
  <pageSetup paperSize="9" orientation="portrait" r:id="rId1"/>
  <headerFooter alignWithMargins="0">
    <oddFooter>&amp;R&amp;"Arial,Italic"&amp;8Created with Calcurate Business Rates Software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3" r:id="rId4" name="basic2button">
              <controlPr defaultSize="0" print="0" autoFill="0" autoPict="0" macro="[0]!returnfromcopy">
                <anchor moveWithCells="1" sizeWithCells="1">
                  <from>
                    <xdr:col>9</xdr:col>
                    <xdr:colOff>184150</xdr:colOff>
                    <xdr:row>0</xdr:row>
                    <xdr:rowOff>158750</xdr:rowOff>
                  </from>
                  <to>
                    <xdr:col>9</xdr:col>
                    <xdr:colOff>1073150</xdr:colOff>
                    <xdr:row>1</xdr:row>
                    <xdr:rowOff>139700</xdr:rowOff>
                  </to>
                </anchor>
              </controlPr>
            </control>
          </mc:Choice>
        </mc:AlternateContent>
        <mc:AlternateContent xmlns:mc="http://schemas.openxmlformats.org/markup-compatibility/2006">
          <mc:Choice Requires="x14">
            <control shapeId="92174" r:id="rId5" name="basic2delbutton">
              <controlPr defaultSize="0" print="0" autoFill="0" autoPict="0" macro="[0]!delete_basic2button">
                <anchor moveWithCells="1" sizeWithCells="1">
                  <from>
                    <xdr:col>9</xdr:col>
                    <xdr:colOff>184150</xdr:colOff>
                    <xdr:row>1</xdr:row>
                    <xdr:rowOff>158750</xdr:rowOff>
                  </from>
                  <to>
                    <xdr:col>9</xdr:col>
                    <xdr:colOff>1073150</xdr:colOff>
                    <xdr:row>4</xdr:row>
                    <xdr:rowOff>69850</xdr:rowOff>
                  </to>
                </anchor>
              </controlPr>
            </control>
          </mc:Choice>
        </mc:AlternateContent>
        <mc:AlternateContent xmlns:mc="http://schemas.openxmlformats.org/markup-compatibility/2006">
          <mc:Choice Requires="x14">
            <control shapeId="92175" r:id="rId6" name="pdfbutton">
              <controlPr defaultSize="0" print="0" autoFill="0" autoPict="0" macro="[0]!pdfonly">
                <anchor moveWithCells="1" sizeWithCells="1">
                  <from>
                    <xdr:col>9</xdr:col>
                    <xdr:colOff>1168400</xdr:colOff>
                    <xdr:row>0</xdr:row>
                    <xdr:rowOff>317500</xdr:rowOff>
                  </from>
                  <to>
                    <xdr:col>9</xdr:col>
                    <xdr:colOff>2057400</xdr:colOff>
                    <xdr:row>3</xdr:row>
                    <xdr:rowOff>44450</xdr:rowOff>
                  </to>
                </anchor>
              </controlPr>
            </control>
          </mc:Choice>
        </mc:AlternateContent>
      </controls>
    </mc:Choice>
  </mc:AlternateContent>
</worksheet>
</file>

<file path=docMetadata/LabelInfo.xml><?xml version="1.0" encoding="utf-8"?>
<clbl:labelList xmlns:clbl="http://schemas.microsoft.com/office/2020/mipLabelMetadata">
  <clbl:label id="{bb24e89f-6132-424b-9c64-0340397f5d20}" enabled="1" method="Privileged" siteId="{0159e9d0-09a0-4edf-96ba-a3deea363c2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103</vt:i4>
      </vt:variant>
      <vt:variant>
        <vt:lpstr>Named Ranges</vt:lpstr>
      </vt:variant>
      <vt:variant>
        <vt:i4>64</vt:i4>
      </vt:variant>
    </vt:vector>
  </HeadingPairs>
  <TitlesOfParts>
    <vt:vector size="167" baseType="lpstr">
      <vt:lpstr>menu</vt:lpstr>
      <vt:lpstr>details</vt:lpstr>
      <vt:lpstr>gl_list</vt:lpstr>
      <vt:lpstr>basic</vt:lpstr>
      <vt:lpstr>payments</vt:lpstr>
      <vt:lpstr>instalments</vt:lpstr>
      <vt:lpstr>basic output</vt:lpstr>
      <vt:lpstr>basic client report</vt:lpstr>
      <vt:lpstr>basic analysis original</vt:lpstr>
      <vt:lpstr>basic analysis revised</vt:lpstr>
      <vt:lpstr>ta analysis original yr1</vt:lpstr>
      <vt:lpstr>ta analysis revised yr1</vt:lpstr>
      <vt:lpstr>ta analysis original yr2</vt:lpstr>
      <vt:lpstr>ta analysis revised yr2</vt:lpstr>
      <vt:lpstr>ta analysis original yr3</vt:lpstr>
      <vt:lpstr>ta analysis revised yr3</vt:lpstr>
      <vt:lpstr>ta analysis original yr4</vt:lpstr>
      <vt:lpstr>ta analysis revised yr4</vt:lpstr>
      <vt:lpstr>ta analysis original yr5</vt:lpstr>
      <vt:lpstr>ta analysis revised yr5</vt:lpstr>
      <vt:lpstr>calc1</vt:lpstr>
      <vt:lpstr>calc2</vt:lpstr>
      <vt:lpstr>advanced</vt:lpstr>
      <vt:lpstr>s44a</vt:lpstr>
      <vt:lpstr>advanced report</vt:lpstr>
      <vt:lpstr>advanced payments</vt:lpstr>
      <vt:lpstr>advanced client report</vt:lpstr>
      <vt:lpstr>advanced detail</vt:lpstr>
      <vt:lpstr>input_engine_o</vt:lpstr>
      <vt:lpstr>input_engine_ox</vt:lpstr>
      <vt:lpstr>input_engine_r</vt:lpstr>
      <vt:lpstr>workings1</vt:lpstr>
      <vt:lpstr>workings1x</vt:lpstr>
      <vt:lpstr>workings2</vt:lpstr>
      <vt:lpstr>nncalc1</vt:lpstr>
      <vt:lpstr>nccalc1</vt:lpstr>
      <vt:lpstr>bncalc1</vt:lpstr>
      <vt:lpstr>bccalc1</vt:lpstr>
      <vt:lpstr>nncalc2</vt:lpstr>
      <vt:lpstr>nccalc2</vt:lpstr>
      <vt:lpstr>bncalc2</vt:lpstr>
      <vt:lpstr>bccalc2</vt:lpstr>
      <vt:lpstr>workings2x</vt:lpstr>
      <vt:lpstr>input_engine_rx</vt:lpstr>
      <vt:lpstr>original detail 1</vt:lpstr>
      <vt:lpstr>revised detail 1</vt:lpstr>
      <vt:lpstr>original detail 2</vt:lpstr>
      <vt:lpstr>revised detail 2</vt:lpstr>
      <vt:lpstr>original detail 3</vt:lpstr>
      <vt:lpstr>revised detail 3</vt:lpstr>
      <vt:lpstr>split</vt:lpstr>
      <vt:lpstr>split report</vt:lpstr>
      <vt:lpstr>merge</vt:lpstr>
      <vt:lpstr>merge report</vt:lpstr>
      <vt:lpstr>rjs</vt:lpstr>
      <vt:lpstr>rcalc</vt:lpstr>
      <vt:lpstr>rjscalc1</vt:lpstr>
      <vt:lpstr>rjscalc2</vt:lpstr>
      <vt:lpstr>text</vt:lpstr>
      <vt:lpstr>interest</vt:lpstr>
      <vt:lpstr>interest breakdown</vt:lpstr>
      <vt:lpstr>authorities</vt:lpstr>
      <vt:lpstr>riverlake</vt:lpstr>
      <vt:lpstr>email</vt:lpstr>
      <vt:lpstr>memoryhelp</vt:lpstr>
      <vt:lpstr>memorysetup</vt:lpstr>
      <vt:lpstr>info sheet</vt:lpstr>
      <vt:lpstr>global</vt:lpstr>
      <vt:lpstr>update</vt:lpstr>
      <vt:lpstr>data</vt:lpstr>
      <vt:lpstr>gl list</vt:lpstr>
      <vt:lpstr>links</vt:lpstr>
      <vt:lpstr>reliefs</vt:lpstr>
      <vt:lpstr>vo website filter</vt:lpstr>
      <vt:lpstr>analyse filter</vt:lpstr>
      <vt:lpstr>helix filter</vt:lpstr>
      <vt:lpstr>impcheck</vt:lpstr>
      <vt:lpstr>version history</vt:lpstr>
      <vt:lpstr>conditions</vt:lpstr>
      <vt:lpstr>codes</vt:lpstr>
      <vt:lpstr>folder settings</vt:lpstr>
      <vt:lpstr>copysheetmap</vt:lpstr>
      <vt:lpstr>macromap</vt:lpstr>
      <vt:lpstr>tempmem</vt:lpstr>
      <vt:lpstr>basic (2)</vt:lpstr>
      <vt:lpstr>payments (2)</vt:lpstr>
      <vt:lpstr>instalments (2)</vt:lpstr>
      <vt:lpstr>basic output (2)</vt:lpstr>
      <vt:lpstr>basic client report (2)</vt:lpstr>
      <vt:lpstr>basic analysis (2)</vt:lpstr>
      <vt:lpstr>ta analysis (2)</vt:lpstr>
      <vt:lpstr>info sheet (2)</vt:lpstr>
      <vt:lpstr>advanced report (2)</vt:lpstr>
      <vt:lpstr>advanced payments (2)</vt:lpstr>
      <vt:lpstr>advanced client report (2)</vt:lpstr>
      <vt:lpstr>advanced detail (2)</vt:lpstr>
      <vt:lpstr>advanced detail report (2)</vt:lpstr>
      <vt:lpstr>rcalc (2)</vt:lpstr>
      <vt:lpstr>rjs (2)</vt:lpstr>
      <vt:lpstr>split report (2)</vt:lpstr>
      <vt:lpstr>merge report (2)</vt:lpstr>
      <vt:lpstr>interest (2)</vt:lpstr>
      <vt:lpstr>s44a (2)</vt:lpstr>
      <vt:lpstr>advanced!Print_Area</vt:lpstr>
      <vt:lpstr>'advanced client report'!Print_Area</vt:lpstr>
      <vt:lpstr>'advanced client report (2)'!Print_Area</vt:lpstr>
      <vt:lpstr>'advanced detail'!Print_Area</vt:lpstr>
      <vt:lpstr>'advanced detail (2)'!Print_Area</vt:lpstr>
      <vt:lpstr>'advanced detail report (2)'!Print_Area</vt:lpstr>
      <vt:lpstr>'advanced payments'!Print_Area</vt:lpstr>
      <vt:lpstr>'advanced payments (2)'!Print_Area</vt:lpstr>
      <vt:lpstr>'advanced report'!Print_Area</vt:lpstr>
      <vt:lpstr>'advanced report (2)'!Print_Area</vt:lpstr>
      <vt:lpstr>basic!Print_Area</vt:lpstr>
      <vt:lpstr>'basic (2)'!Print_Area</vt:lpstr>
      <vt:lpstr>'basic analysis (2)'!Print_Area</vt:lpstr>
      <vt:lpstr>'basic analysis original'!Print_Area</vt:lpstr>
      <vt:lpstr>'basic analysis revised'!Print_Area</vt:lpstr>
      <vt:lpstr>'basic client report'!Print_Area</vt:lpstr>
      <vt:lpstr>'basic client report (2)'!Print_Area</vt:lpstr>
      <vt:lpstr>'basic output'!Print_Area</vt:lpstr>
      <vt:lpstr>'basic output (2)'!Print_Area</vt:lpstr>
      <vt:lpstr>conditions!Print_Area</vt:lpstr>
      <vt:lpstr>'info sheet'!Print_Area</vt:lpstr>
      <vt:lpstr>'info sheet (2)'!Print_Area</vt:lpstr>
      <vt:lpstr>instalments!Print_Area</vt:lpstr>
      <vt:lpstr>'instalments (2)'!Print_Area</vt:lpstr>
      <vt:lpstr>interest!Print_Area</vt:lpstr>
      <vt:lpstr>'interest (2)'!Print_Area</vt:lpstr>
      <vt:lpstr>'interest breakdown'!Print_Area</vt:lpstr>
      <vt:lpstr>menu!Print_Area</vt:lpstr>
      <vt:lpstr>'merge report'!Print_Area</vt:lpstr>
      <vt:lpstr>'merge report (2)'!Print_Area</vt:lpstr>
      <vt:lpstr>'original detail 1'!Print_Area</vt:lpstr>
      <vt:lpstr>'original detail 2'!Print_Area</vt:lpstr>
      <vt:lpstr>'original detail 3'!Print_Area</vt:lpstr>
      <vt:lpstr>payments!Print_Area</vt:lpstr>
      <vt:lpstr>'payments (2)'!Print_Area</vt:lpstr>
      <vt:lpstr>rcalc!Print_Area</vt:lpstr>
      <vt:lpstr>'rcalc (2)'!Print_Area</vt:lpstr>
      <vt:lpstr>'revised detail 1'!Print_Area</vt:lpstr>
      <vt:lpstr>'revised detail 2'!Print_Area</vt:lpstr>
      <vt:lpstr>'revised detail 3'!Print_Area</vt:lpstr>
      <vt:lpstr>riverlake!Print_Area</vt:lpstr>
      <vt:lpstr>rjs!Print_Area</vt:lpstr>
      <vt:lpstr>'rjs (2)'!Print_Area</vt:lpstr>
      <vt:lpstr>s44a!Print_Area</vt:lpstr>
      <vt:lpstr>'s44a (2)'!Print_Area</vt:lpstr>
      <vt:lpstr>split!Print_Area</vt:lpstr>
      <vt:lpstr>'split report'!Print_Area</vt:lpstr>
      <vt:lpstr>'split report (2)'!Print_Area</vt:lpstr>
      <vt:lpstr>'ta analysis (2)'!Print_Area</vt:lpstr>
      <vt:lpstr>'ta analysis original yr1'!Print_Area</vt:lpstr>
      <vt:lpstr>'ta analysis original yr2'!Print_Area</vt:lpstr>
      <vt:lpstr>'ta analysis original yr3'!Print_Area</vt:lpstr>
      <vt:lpstr>'ta analysis original yr4'!Print_Area</vt:lpstr>
      <vt:lpstr>'ta analysis original yr5'!Print_Area</vt:lpstr>
      <vt:lpstr>'ta analysis revised yr1'!Print_Area</vt:lpstr>
      <vt:lpstr>'ta analysis revised yr2'!Print_Area</vt:lpstr>
      <vt:lpstr>'ta analysis revised yr3'!Print_Area</vt:lpstr>
      <vt:lpstr>'ta analysis revised yr4'!Print_Area</vt:lpstr>
      <vt:lpstr>'ta analysis revised yr5'!Print_Area</vt:lpstr>
      <vt:lpstr>'version history'!Print_Area</vt:lpstr>
      <vt:lpstr>'advanced detail'!Print_Titles</vt:lpstr>
      <vt:lpstr>'advanced detail (2)'!Print_Titles</vt:lpstr>
      <vt:lpstr>rcalc!Print_Titles</vt:lpstr>
      <vt:lpstr>'rcalc (2)'!Print_Titles</vt:lpstr>
    </vt:vector>
  </TitlesOfParts>
  <Company>Calcurate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Calcurate 2023 England</dc:title>
  <dc:subject>Business Rates</dc:subject>
  <dc:creator>Richard Knox</dc:creator>
  <cp:lastModifiedBy>Pataki, Imre @ London</cp:lastModifiedBy>
  <cp:lastPrinted>2025-01-08T00:23:28Z</cp:lastPrinted>
  <dcterms:created xsi:type="dcterms:W3CDTF">2019-11-19T10:13:39Z</dcterms:created>
  <dcterms:modified xsi:type="dcterms:W3CDTF">2026-05-13T12:21:59Z</dcterms:modified>
</cp:coreProperties>
</file>